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filterPrivacy="1" defaultThemeVersion="124226"/>
  <xr:revisionPtr revIDLastSave="24" documentId="13_ncr:1_{44EDD914-7356-4401-81E3-F3445869B1DF}" xr6:coauthVersionLast="47" xr6:coauthVersionMax="47" xr10:uidLastSave="{805D4887-A97E-4553-8098-3E11CCDB146F}"/>
  <bookViews>
    <workbookView xWindow="-110" yWindow="-110" windowWidth="19420" windowHeight="10300" tabRatio="912" firstSheet="3" activeTab="3" xr2:uid="{00000000-000D-0000-FFFF-FFFF00000000}"/>
  </bookViews>
  <sheets>
    <sheet name="EPS Working- Yash" sheetId="50" state="hidden" r:id="rId1"/>
    <sheet name="Result " sheetId="49" state="hidden" r:id="rId2"/>
    <sheet name="BS" sheetId="51" state="hidden" r:id="rId3"/>
    <sheet name="Newspaper" sheetId="11" r:id="rId4"/>
    <sheet name="Regulation 33 - Balance Sheet_" sheetId="4" state="hidden" r:id="rId5"/>
    <sheet name="Regulation 33 - Results" sheetId="5" r:id="rId6"/>
    <sheet name="Umbergaon" sheetId="53" state="hidden" r:id="rId7"/>
    <sheet name="ho" sheetId="54" state="hidden" r:id="rId8"/>
    <sheet name="Cochin" sheetId="55" state="hidden" r:id="rId9"/>
    <sheet name="Chennai" sheetId="56" state="hidden" r:id="rId10"/>
    <sheet name="EPS Working- Aman" sheetId="57" state="hidden" r:id="rId11"/>
    <sheet name="Intercompany" sheetId="59" state="hidden" r:id="rId12"/>
    <sheet name="Current Non Current of Loan Q2 " sheetId="44" state="hidden" r:id="rId13"/>
    <sheet name="Debtors Creditors Q2" sheetId="45" state="hidden" r:id="rId14"/>
    <sheet name="Lease Liab Q2" sheetId="47" state="hidden" r:id="rId15"/>
    <sheet name="Gratuity Provision " sheetId="48" state="hidden" r:id="rId16"/>
    <sheet name="Regulation 33 - Balance Sheet" sheetId="28" state="hidden" r:id="rId17"/>
    <sheet name="Cashflow" sheetId="14" state="hidden" r:id="rId18"/>
    <sheet name="EPS Working (2)" sheetId="43" state="hidden" r:id="rId19"/>
    <sheet name="Standalone - Cashflow- Before M" sheetId="13" state="hidden" r:id="rId20"/>
    <sheet name="TB-30-09-2021" sheetId="29" state="hidden" r:id="rId21"/>
    <sheet name="TB - F.Y. 2022-23 (Half Yearly)" sheetId="31" state="hidden" r:id="rId22"/>
    <sheet name="Sheet1" sheetId="34" state="hidden" r:id="rId23"/>
    <sheet name="DTA-DTL LMIL Q2 2022-23" sheetId="33" state="hidden" r:id="rId24"/>
    <sheet name="Result Working Final - LSIPL" sheetId="40" state="hidden" r:id="rId25"/>
    <sheet name="Main Working Sheet - Final" sheetId="38" state="hidden" r:id="rId26"/>
    <sheet name="Adjustment Working F.Y. 2021-22" sheetId="22" state="hidden" r:id="rId27"/>
    <sheet name="Half yearly P&amp;L - 2020-21" sheetId="21" state="hidden" r:id="rId28"/>
    <sheet name="LMIL - P&amp;L - Q2 (FY 2022-23)" sheetId="30" state="hidden" r:id="rId29"/>
    <sheet name="LMIL - BS SUMIF Formula" sheetId="39" state="hidden" r:id="rId30"/>
    <sheet name="Working File Q2 P&amp;L" sheetId="41" state="hidden" r:id="rId31"/>
    <sheet name="Working File Q2 BS" sheetId="42" state="hidden" r:id="rId32"/>
    <sheet name="q2_FY2020-21" sheetId="15" state="hidden" r:id="rId33"/>
    <sheet name="Analytic review" sheetId="10" state="hidden" r:id="rId34"/>
    <sheet name="Latim Sourcing_profit" sheetId="6" state="hidden" r:id="rId35"/>
    <sheet name="Provision for Tax" sheetId="8" state="hidden" r:id="rId36"/>
    <sheet name="Latim Metals - TB" sheetId="12" state="hidden" r:id="rId37"/>
    <sheet name="EPS Working" sheetId="7" state="hidden" r:id="rId38"/>
    <sheet name="Q2 FY 21-22" sheetId="18" state="hidden" r:id="rId39"/>
    <sheet name="DTA DTL_ OLD" sheetId="23" state="hidden" r:id="rId40"/>
    <sheet name="IT PROVISION_" sheetId="24" state="hidden" r:id="rId41"/>
    <sheet name="latim metal IND AS 116" sheetId="25" state="hidden" r:id="rId42"/>
    <sheet name="LATIM SOURCING IND AS 116" sheetId="26" state="hidden" r:id="rId43"/>
    <sheet name="Trial Balance LS" sheetId="27" state="hidden" r:id="rId44"/>
    <sheet name="BS Q2 21-22" sheetId="19" state="hidden" r:id="rId45"/>
    <sheet name="PNL Q2 21-22" sheetId="20" state="hidden" r:id="rId46"/>
    <sheet name="INDAS 116 METALS" sheetId="16" state="hidden" r:id="rId47"/>
    <sheet name="DTA DTL" sheetId="17" state="hidden" r:id="rId48"/>
    <sheet name="Def Tax" sheetId="9"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s>
  <definedNames>
    <definedName name="\_Q" localSheetId="26">'[1]PM RATE D'!#REF!</definedName>
    <definedName name="\_Q" localSheetId="18">'[1]PM RATE D'!#REF!</definedName>
    <definedName name="\_Q" localSheetId="29">'[1]PM RATE D'!#REF!</definedName>
    <definedName name="\_Q" localSheetId="16">'[1]PM RATE D'!#REF!</definedName>
    <definedName name="\_Q" localSheetId="20">'[1]PM RATE D'!#REF!</definedName>
    <definedName name="\_Q" localSheetId="43">'[1]PM RATE D'!#REF!</definedName>
    <definedName name="\_Q">'[1]PM RATE D'!#REF!</definedName>
    <definedName name="\a" localSheetId="26">#REF!</definedName>
    <definedName name="\a" localSheetId="33">#REF!</definedName>
    <definedName name="\a" localSheetId="17">#REF!</definedName>
    <definedName name="\a" localSheetId="48">#REF!</definedName>
    <definedName name="\a" localSheetId="29">#REF!</definedName>
    <definedName name="\a" localSheetId="3">#REF!</definedName>
    <definedName name="\a" localSheetId="35">#REF!</definedName>
    <definedName name="\a" localSheetId="16">#REF!</definedName>
    <definedName name="\a" localSheetId="5">#REF!</definedName>
    <definedName name="\a" localSheetId="19">#REF!</definedName>
    <definedName name="\a" localSheetId="20">#REF!</definedName>
    <definedName name="\a" localSheetId="43">#REF!</definedName>
    <definedName name="\a">#REF!</definedName>
    <definedName name="\aa" localSheetId="26">#REF!</definedName>
    <definedName name="\aa" localSheetId="29">#REF!</definedName>
    <definedName name="\aa" localSheetId="16">#REF!</definedName>
    <definedName name="\aa" localSheetId="20">#REF!</definedName>
    <definedName name="\aa" localSheetId="43">#REF!</definedName>
    <definedName name="\aa">#REF!</definedName>
    <definedName name="\b" localSheetId="26">#REF!</definedName>
    <definedName name="\b" localSheetId="33">#REF!</definedName>
    <definedName name="\b" localSheetId="17">#REF!</definedName>
    <definedName name="\b" localSheetId="48">#REF!</definedName>
    <definedName name="\b" localSheetId="29">#REF!</definedName>
    <definedName name="\b" localSheetId="3">#REF!</definedName>
    <definedName name="\b" localSheetId="35">#REF!</definedName>
    <definedName name="\b" localSheetId="16">#REF!</definedName>
    <definedName name="\b" localSheetId="5">#REF!</definedName>
    <definedName name="\b" localSheetId="19">#REF!</definedName>
    <definedName name="\b" localSheetId="20">#REF!</definedName>
    <definedName name="\b" localSheetId="43">#REF!</definedName>
    <definedName name="\b">#REF!</definedName>
    <definedName name="\c" localSheetId="26">#REF!</definedName>
    <definedName name="\c" localSheetId="33">#REF!</definedName>
    <definedName name="\c" localSheetId="17">#REF!</definedName>
    <definedName name="\c" localSheetId="48">#REF!</definedName>
    <definedName name="\c" localSheetId="29">#REF!</definedName>
    <definedName name="\c" localSheetId="3">#REF!</definedName>
    <definedName name="\c" localSheetId="35">#REF!</definedName>
    <definedName name="\c" localSheetId="16">#REF!</definedName>
    <definedName name="\c" localSheetId="5">#REF!</definedName>
    <definedName name="\c" localSheetId="19">#REF!</definedName>
    <definedName name="\c" localSheetId="20">#REF!</definedName>
    <definedName name="\c" localSheetId="43">#REF!</definedName>
    <definedName name="\c">#REF!</definedName>
    <definedName name="\d" localSheetId="26">#REF!</definedName>
    <definedName name="\d" localSheetId="33">#REF!</definedName>
    <definedName name="\d" localSheetId="17">#REF!</definedName>
    <definedName name="\d" localSheetId="48">#REF!</definedName>
    <definedName name="\d" localSheetId="29">#REF!</definedName>
    <definedName name="\d" localSheetId="3">#REF!</definedName>
    <definedName name="\d" localSheetId="35">#REF!</definedName>
    <definedName name="\d" localSheetId="16">#REF!</definedName>
    <definedName name="\d" localSheetId="5">#REF!</definedName>
    <definedName name="\d" localSheetId="19">#REF!</definedName>
    <definedName name="\d" localSheetId="20">#REF!</definedName>
    <definedName name="\d" localSheetId="43">#REF!</definedName>
    <definedName name="\d">#REF!</definedName>
    <definedName name="\e" localSheetId="26">#REF!</definedName>
    <definedName name="\e" localSheetId="33">#REF!</definedName>
    <definedName name="\e" localSheetId="17">#REF!</definedName>
    <definedName name="\e" localSheetId="48">#REF!</definedName>
    <definedName name="\e" localSheetId="29">#REF!</definedName>
    <definedName name="\e" localSheetId="3">#REF!</definedName>
    <definedName name="\e" localSheetId="35">#REF!</definedName>
    <definedName name="\e" localSheetId="16">#REF!</definedName>
    <definedName name="\e" localSheetId="5">#REF!</definedName>
    <definedName name="\e" localSheetId="19">#REF!</definedName>
    <definedName name="\e" localSheetId="20">#REF!</definedName>
    <definedName name="\e" localSheetId="43">#REF!</definedName>
    <definedName name="\e">#REF!</definedName>
    <definedName name="\F" localSheetId="18">'[1]PM RATE D'!#REF!</definedName>
    <definedName name="\F" localSheetId="29">'[1]PM RATE D'!#REF!</definedName>
    <definedName name="\F" localSheetId="16">'[1]PM RATE D'!#REF!</definedName>
    <definedName name="\F" localSheetId="20">'[1]PM RATE D'!#REF!</definedName>
    <definedName name="\F" localSheetId="43">'[1]PM RATE D'!#REF!</definedName>
    <definedName name="\F">'[1]PM RATE D'!#REF!</definedName>
    <definedName name="\g" localSheetId="26">#REF!</definedName>
    <definedName name="\g" localSheetId="33">#REF!</definedName>
    <definedName name="\g" localSheetId="17">#REF!</definedName>
    <definedName name="\g" localSheetId="48">#REF!</definedName>
    <definedName name="\g" localSheetId="29">#REF!</definedName>
    <definedName name="\g" localSheetId="3">#REF!</definedName>
    <definedName name="\g" localSheetId="35">#REF!</definedName>
    <definedName name="\g" localSheetId="16">#REF!</definedName>
    <definedName name="\g" localSheetId="5">#REF!</definedName>
    <definedName name="\g" localSheetId="19">#REF!</definedName>
    <definedName name="\g" localSheetId="20">#REF!</definedName>
    <definedName name="\g" localSheetId="43">#REF!</definedName>
    <definedName name="\g">#REF!</definedName>
    <definedName name="\H" localSheetId="26">'[1]PM RATE D'!#REF!</definedName>
    <definedName name="\H" localSheetId="23">'[1]PM RATE D'!#REF!</definedName>
    <definedName name="\H" localSheetId="18">'[1]PM RATE D'!#REF!</definedName>
    <definedName name="\H" localSheetId="29">'[1]PM RATE D'!#REF!</definedName>
    <definedName name="\H" localSheetId="16">'[1]PM RATE D'!#REF!</definedName>
    <definedName name="\H" localSheetId="20">'[1]PM RATE D'!#REF!</definedName>
    <definedName name="\H" localSheetId="43">'[1]PM RATE D'!#REF!</definedName>
    <definedName name="\H">'[1]PM RATE D'!#REF!</definedName>
    <definedName name="\i" localSheetId="26">#REF!</definedName>
    <definedName name="\i" localSheetId="33">#REF!</definedName>
    <definedName name="\i" localSheetId="17">#REF!</definedName>
    <definedName name="\i" localSheetId="48">#REF!</definedName>
    <definedName name="\i" localSheetId="29">#REF!</definedName>
    <definedName name="\i" localSheetId="3">#REF!</definedName>
    <definedName name="\i" localSheetId="35">#REF!</definedName>
    <definedName name="\i" localSheetId="16">#REF!</definedName>
    <definedName name="\i" localSheetId="5">#REF!</definedName>
    <definedName name="\i" localSheetId="19">#REF!</definedName>
    <definedName name="\i" localSheetId="20">#REF!</definedName>
    <definedName name="\i" localSheetId="43">#REF!</definedName>
    <definedName name="\i">#REF!</definedName>
    <definedName name="\l" localSheetId="26">#REF!</definedName>
    <definedName name="\l" localSheetId="33">#REF!</definedName>
    <definedName name="\l" localSheetId="17">#REF!</definedName>
    <definedName name="\l" localSheetId="29">#REF!</definedName>
    <definedName name="\l" localSheetId="3">#REF!</definedName>
    <definedName name="\l" localSheetId="16">#REF!</definedName>
    <definedName name="\l" localSheetId="5">#REF!</definedName>
    <definedName name="\l" localSheetId="19">#REF!</definedName>
    <definedName name="\l" localSheetId="20">#REF!</definedName>
    <definedName name="\l" localSheetId="43">#REF!</definedName>
    <definedName name="\l">#REF!</definedName>
    <definedName name="\m" localSheetId="26">#REF!</definedName>
    <definedName name="\m" localSheetId="33">#REF!</definedName>
    <definedName name="\m" localSheetId="17">#REF!</definedName>
    <definedName name="\m" localSheetId="29">#REF!</definedName>
    <definedName name="\m" localSheetId="3">#REF!</definedName>
    <definedName name="\m" localSheetId="16">#REF!</definedName>
    <definedName name="\m" localSheetId="5">#REF!</definedName>
    <definedName name="\m" localSheetId="19">#REF!</definedName>
    <definedName name="\m" localSheetId="20">#REF!</definedName>
    <definedName name="\m" localSheetId="43">#REF!</definedName>
    <definedName name="\m">#REF!</definedName>
    <definedName name="\p" localSheetId="26">#REF!</definedName>
    <definedName name="\p" localSheetId="33">#REF!</definedName>
    <definedName name="\p" localSheetId="17">#REF!</definedName>
    <definedName name="\p" localSheetId="29">#REF!</definedName>
    <definedName name="\p" localSheetId="3">#REF!</definedName>
    <definedName name="\p" localSheetId="16">#REF!</definedName>
    <definedName name="\p" localSheetId="5">#REF!</definedName>
    <definedName name="\p" localSheetId="19">#REF!</definedName>
    <definedName name="\p" localSheetId="20">#REF!</definedName>
    <definedName name="\p" localSheetId="43">#REF!</definedName>
    <definedName name="\p">#REF!</definedName>
    <definedName name="\q" localSheetId="26">#REF!</definedName>
    <definedName name="\q" localSheetId="33">#REF!</definedName>
    <definedName name="\q" localSheetId="17">#REF!</definedName>
    <definedName name="\q" localSheetId="29">#REF!</definedName>
    <definedName name="\q" localSheetId="3">#REF!</definedName>
    <definedName name="\q" localSheetId="16">#REF!</definedName>
    <definedName name="\q" localSheetId="5">#REF!</definedName>
    <definedName name="\q" localSheetId="19">#REF!</definedName>
    <definedName name="\q" localSheetId="20">#REF!</definedName>
    <definedName name="\q" localSheetId="43">#REF!</definedName>
    <definedName name="\q">#REF!</definedName>
    <definedName name="\s" localSheetId="26">#REF!</definedName>
    <definedName name="\s" localSheetId="33">#REF!</definedName>
    <definedName name="\s" localSheetId="17">#REF!</definedName>
    <definedName name="\s" localSheetId="48">#REF!</definedName>
    <definedName name="\s" localSheetId="29">#REF!</definedName>
    <definedName name="\s" localSheetId="3">#REF!</definedName>
    <definedName name="\s" localSheetId="35">#REF!</definedName>
    <definedName name="\s" localSheetId="16">#REF!</definedName>
    <definedName name="\s" localSheetId="5">#REF!</definedName>
    <definedName name="\s" localSheetId="19">#REF!</definedName>
    <definedName name="\s" localSheetId="20">#REF!</definedName>
    <definedName name="\s" localSheetId="43">#REF!</definedName>
    <definedName name="\s">#REF!</definedName>
    <definedName name="\v" localSheetId="26">[2]PBCLIST!#REF!</definedName>
    <definedName name="\v" localSheetId="33">[2]PBCLIST!#REF!</definedName>
    <definedName name="\v" localSheetId="17">[2]PBCLIST!#REF!</definedName>
    <definedName name="\v" localSheetId="18">[2]PBCLIST!#REF!</definedName>
    <definedName name="\v" localSheetId="29">[2]PBCLIST!#REF!</definedName>
    <definedName name="\v" localSheetId="3">[2]PBCLIST!#REF!</definedName>
    <definedName name="\v" localSheetId="16">[2]PBCLIST!#REF!</definedName>
    <definedName name="\v" localSheetId="19">[2]PBCLIST!#REF!</definedName>
    <definedName name="\v" localSheetId="20">[2]PBCLIST!#REF!</definedName>
    <definedName name="\v" localSheetId="43">[2]PBCLIST!#REF!</definedName>
    <definedName name="\v">[2]PBCLIST!#REF!</definedName>
    <definedName name="\x" localSheetId="26">[2]PBCLIST!#REF!</definedName>
    <definedName name="\x" localSheetId="33">[2]PBCLIST!#REF!</definedName>
    <definedName name="\x" localSheetId="29">[2]PBCLIST!#REF!</definedName>
    <definedName name="\x" localSheetId="3">[2]PBCLIST!#REF!</definedName>
    <definedName name="\x" localSheetId="16">[2]PBCLIST!#REF!</definedName>
    <definedName name="\x" localSheetId="20">[2]PBCLIST!#REF!</definedName>
    <definedName name="\x" localSheetId="43">[2]PBCLIST!#REF!</definedName>
    <definedName name="\x">[2]PBCLIST!#REF!</definedName>
    <definedName name="\y" localSheetId="26">#REF!</definedName>
    <definedName name="\y" localSheetId="33">#REF!</definedName>
    <definedName name="\y" localSheetId="17">#REF!</definedName>
    <definedName name="\y" localSheetId="48">#REF!</definedName>
    <definedName name="\y" localSheetId="29">#REF!</definedName>
    <definedName name="\y" localSheetId="3">#REF!</definedName>
    <definedName name="\y" localSheetId="35">#REF!</definedName>
    <definedName name="\y" localSheetId="16">#REF!</definedName>
    <definedName name="\y" localSheetId="5">#REF!</definedName>
    <definedName name="\y" localSheetId="19">#REF!</definedName>
    <definedName name="\y" localSheetId="20">#REF!</definedName>
    <definedName name="\y" localSheetId="43">#REF!</definedName>
    <definedName name="\y">#REF!</definedName>
    <definedName name="\z" localSheetId="26">[2]PBCLIST!#REF!</definedName>
    <definedName name="\z" localSheetId="33">[2]PBCLIST!#REF!</definedName>
    <definedName name="\z" localSheetId="17">[2]PBCLIST!#REF!</definedName>
    <definedName name="\z" localSheetId="18">[2]PBCLIST!#REF!</definedName>
    <definedName name="\z" localSheetId="29">[2]PBCLIST!#REF!</definedName>
    <definedName name="\z" localSheetId="3">[2]PBCLIST!#REF!</definedName>
    <definedName name="\z" localSheetId="16">[2]PBCLIST!#REF!</definedName>
    <definedName name="\z" localSheetId="19">[2]PBCLIST!#REF!</definedName>
    <definedName name="\z" localSheetId="20">[2]PBCLIST!#REF!</definedName>
    <definedName name="\z" localSheetId="43">[2]PBCLIST!#REF!</definedName>
    <definedName name="\z">[2]PBCLIST!#REF!</definedName>
    <definedName name="_" localSheetId="26">'[3]For Excel'!#REF!</definedName>
    <definedName name="_" localSheetId="33">'[3]For Excel'!#REF!</definedName>
    <definedName name="_" localSheetId="29">'[3]For Excel'!#REF!</definedName>
    <definedName name="_" localSheetId="3">'[3]For Excel'!#REF!</definedName>
    <definedName name="_" localSheetId="16">'[3]For Excel'!#REF!</definedName>
    <definedName name="_" localSheetId="20">'[3]For Excel'!#REF!</definedName>
    <definedName name="_" localSheetId="43">'[3]For Excel'!#REF!</definedName>
    <definedName name="_">'[3]For Excel'!#REF!</definedName>
    <definedName name="__" localSheetId="33">'[3]For Excel'!#REF!</definedName>
    <definedName name="__" localSheetId="29">'[3]For Excel'!#REF!</definedName>
    <definedName name="__" localSheetId="3">'[3]For Excel'!#REF!</definedName>
    <definedName name="__" localSheetId="16">'[3]For Excel'!#REF!</definedName>
    <definedName name="__" localSheetId="20">'[3]For Excel'!#REF!</definedName>
    <definedName name="__" localSheetId="43">'[3]For Excel'!#REF!</definedName>
    <definedName name="__">'[3]For Excel'!#REF!</definedName>
    <definedName name="___" localSheetId="33">'[3]For Excel'!#REF!</definedName>
    <definedName name="___" localSheetId="29">'[3]For Excel'!#REF!</definedName>
    <definedName name="___" localSheetId="3">'[3]For Excel'!#REF!</definedName>
    <definedName name="___" localSheetId="16">'[3]For Excel'!#REF!</definedName>
    <definedName name="___" localSheetId="20">'[3]For Excel'!#REF!</definedName>
    <definedName name="___" localSheetId="43">'[3]For Excel'!#REF!</definedName>
    <definedName name="___">'[3]For Excel'!#REF!</definedName>
    <definedName name="________________DAT1" localSheetId="29">'[4]PO for Assets 2004'!#REF!</definedName>
    <definedName name="________________DAT1" localSheetId="16">'[4]PO for Assets 2004'!#REF!</definedName>
    <definedName name="________________DAT1" localSheetId="20">'[4]PO for Assets 2004'!#REF!</definedName>
    <definedName name="________________DAT1" localSheetId="43">'[4]PO for Assets 2004'!#REF!</definedName>
    <definedName name="________________DAT1">'[4]PO for Assets 2004'!#REF!</definedName>
    <definedName name="________________DAT11" localSheetId="29">'[4]PO for Assets 2004'!#REF!</definedName>
    <definedName name="________________DAT11" localSheetId="16">'[4]PO for Assets 2004'!#REF!</definedName>
    <definedName name="________________DAT11" localSheetId="20">'[4]PO for Assets 2004'!#REF!</definedName>
    <definedName name="________________DAT11" localSheetId="43">'[4]PO for Assets 2004'!#REF!</definedName>
    <definedName name="________________DAT11">'[4]PO for Assets 2004'!#REF!</definedName>
    <definedName name="________________DAT12" localSheetId="29">'[4]PO for Assets 2004'!#REF!</definedName>
    <definedName name="________________DAT12" localSheetId="16">'[4]PO for Assets 2004'!#REF!</definedName>
    <definedName name="________________DAT12" localSheetId="20">'[4]PO for Assets 2004'!#REF!</definedName>
    <definedName name="________________DAT12" localSheetId="43">'[4]PO for Assets 2004'!#REF!</definedName>
    <definedName name="________________DAT12">'[4]PO for Assets 2004'!#REF!</definedName>
    <definedName name="________________DAT13" localSheetId="29">'[4]PO for Assets 2004'!#REF!</definedName>
    <definedName name="________________DAT13" localSheetId="16">'[4]PO for Assets 2004'!#REF!</definedName>
    <definedName name="________________DAT13" localSheetId="20">'[4]PO for Assets 2004'!#REF!</definedName>
    <definedName name="________________DAT13" localSheetId="43">'[4]PO for Assets 2004'!#REF!</definedName>
    <definedName name="________________DAT13">'[4]PO for Assets 2004'!#REF!</definedName>
    <definedName name="________________DAT18" localSheetId="29">'[4]PO for Assets 2004'!#REF!</definedName>
    <definedName name="________________DAT18" localSheetId="16">'[4]PO for Assets 2004'!#REF!</definedName>
    <definedName name="________________DAT18" localSheetId="20">'[4]PO for Assets 2004'!#REF!</definedName>
    <definedName name="________________DAT18" localSheetId="43">'[4]PO for Assets 2004'!#REF!</definedName>
    <definedName name="________________DAT18">'[4]PO for Assets 2004'!#REF!</definedName>
    <definedName name="________________DAT19" localSheetId="29">'[4]PO for Assets 2004'!#REF!</definedName>
    <definedName name="________________DAT19" localSheetId="16">'[4]PO for Assets 2004'!#REF!</definedName>
    <definedName name="________________DAT19" localSheetId="20">'[4]PO for Assets 2004'!#REF!</definedName>
    <definedName name="________________DAT19" localSheetId="43">'[4]PO for Assets 2004'!#REF!</definedName>
    <definedName name="________________DAT19">'[4]PO for Assets 2004'!#REF!</definedName>
    <definedName name="________________DAT2" localSheetId="29">'[4]PO for Assets 2004'!#REF!</definedName>
    <definedName name="________________DAT2" localSheetId="16">'[4]PO for Assets 2004'!#REF!</definedName>
    <definedName name="________________DAT2" localSheetId="20">'[4]PO for Assets 2004'!#REF!</definedName>
    <definedName name="________________DAT2" localSheetId="43">'[4]PO for Assets 2004'!#REF!</definedName>
    <definedName name="________________DAT2">'[4]PO for Assets 2004'!#REF!</definedName>
    <definedName name="________________DAT20" localSheetId="29">'[4]PO for Assets 2004'!#REF!</definedName>
    <definedName name="________________DAT20" localSheetId="16">'[4]PO for Assets 2004'!#REF!</definedName>
    <definedName name="________________DAT20" localSheetId="20">'[4]PO for Assets 2004'!#REF!</definedName>
    <definedName name="________________DAT20" localSheetId="43">'[4]PO for Assets 2004'!#REF!</definedName>
    <definedName name="________________DAT20">'[4]PO for Assets 2004'!#REF!</definedName>
    <definedName name="________________DAT21" localSheetId="29">'[4]PO for Assets 2004'!#REF!</definedName>
    <definedName name="________________DAT21" localSheetId="16">'[4]PO for Assets 2004'!#REF!</definedName>
    <definedName name="________________DAT21" localSheetId="20">'[4]PO for Assets 2004'!#REF!</definedName>
    <definedName name="________________DAT21" localSheetId="43">'[4]PO for Assets 2004'!#REF!</definedName>
    <definedName name="________________DAT21">'[4]PO for Assets 2004'!#REF!</definedName>
    <definedName name="________________DAT22" localSheetId="29">'[4]PO for Assets 2004'!#REF!</definedName>
    <definedName name="________________DAT22" localSheetId="16">'[4]PO for Assets 2004'!#REF!</definedName>
    <definedName name="________________DAT22" localSheetId="20">'[4]PO for Assets 2004'!#REF!</definedName>
    <definedName name="________________DAT22" localSheetId="43">'[4]PO for Assets 2004'!#REF!</definedName>
    <definedName name="________________DAT22">'[4]PO for Assets 2004'!#REF!</definedName>
    <definedName name="________________DAT3" localSheetId="29">'[4]PO for Assets 2004'!#REF!</definedName>
    <definedName name="________________DAT3" localSheetId="16">'[4]PO for Assets 2004'!#REF!</definedName>
    <definedName name="________________DAT3" localSheetId="20">'[4]PO for Assets 2004'!#REF!</definedName>
    <definedName name="________________DAT3" localSheetId="43">'[4]PO for Assets 2004'!#REF!</definedName>
    <definedName name="________________DAT3">'[4]PO for Assets 2004'!#REF!</definedName>
    <definedName name="________________DAT9" localSheetId="29">'[4]PO for Assets 2004'!#REF!</definedName>
    <definedName name="________________DAT9" localSheetId="16">'[4]PO for Assets 2004'!#REF!</definedName>
    <definedName name="________________DAT9" localSheetId="20">'[4]PO for Assets 2004'!#REF!</definedName>
    <definedName name="________________DAT9" localSheetId="43">'[4]PO for Assets 2004'!#REF!</definedName>
    <definedName name="________________DAT9">'[4]PO for Assets 2004'!#REF!</definedName>
    <definedName name="______________DAT1" localSheetId="29">'[4]PO for Assets 2004'!#REF!</definedName>
    <definedName name="______________DAT1" localSheetId="16">'[4]PO for Assets 2004'!#REF!</definedName>
    <definedName name="______________DAT1" localSheetId="20">'[4]PO for Assets 2004'!#REF!</definedName>
    <definedName name="______________DAT1" localSheetId="43">'[4]PO for Assets 2004'!#REF!</definedName>
    <definedName name="______________DAT1">'[4]PO for Assets 2004'!#REF!</definedName>
    <definedName name="______________DAT11" localSheetId="29">'[4]PO for Assets 2004'!#REF!</definedName>
    <definedName name="______________DAT11" localSheetId="16">'[4]PO for Assets 2004'!#REF!</definedName>
    <definedName name="______________DAT11" localSheetId="20">'[4]PO for Assets 2004'!#REF!</definedName>
    <definedName name="______________DAT11" localSheetId="43">'[4]PO for Assets 2004'!#REF!</definedName>
    <definedName name="______________DAT11">'[4]PO for Assets 2004'!#REF!</definedName>
    <definedName name="______________DAT12" localSheetId="29">'[4]PO for Assets 2004'!#REF!</definedName>
    <definedName name="______________DAT12" localSheetId="16">'[4]PO for Assets 2004'!#REF!</definedName>
    <definedName name="______________DAT12" localSheetId="20">'[4]PO for Assets 2004'!#REF!</definedName>
    <definedName name="______________DAT12" localSheetId="43">'[4]PO for Assets 2004'!#REF!</definedName>
    <definedName name="______________DAT12">'[4]PO for Assets 2004'!#REF!</definedName>
    <definedName name="______________DAT13" localSheetId="29">'[4]PO for Assets 2004'!#REF!</definedName>
    <definedName name="______________DAT13" localSheetId="16">'[4]PO for Assets 2004'!#REF!</definedName>
    <definedName name="______________DAT13" localSheetId="20">'[4]PO for Assets 2004'!#REF!</definedName>
    <definedName name="______________DAT13" localSheetId="43">'[4]PO for Assets 2004'!#REF!</definedName>
    <definedName name="______________DAT13">'[4]PO for Assets 2004'!#REF!</definedName>
    <definedName name="______________DAT18" localSheetId="29">'[4]PO for Assets 2004'!#REF!</definedName>
    <definedName name="______________DAT18" localSheetId="16">'[4]PO for Assets 2004'!#REF!</definedName>
    <definedName name="______________DAT18" localSheetId="20">'[4]PO for Assets 2004'!#REF!</definedName>
    <definedName name="______________DAT18" localSheetId="43">'[4]PO for Assets 2004'!#REF!</definedName>
    <definedName name="______________DAT18">'[4]PO for Assets 2004'!#REF!</definedName>
    <definedName name="______________DAT19" localSheetId="29">'[4]PO for Assets 2004'!#REF!</definedName>
    <definedName name="______________DAT19" localSheetId="16">'[4]PO for Assets 2004'!#REF!</definedName>
    <definedName name="______________DAT19" localSheetId="20">'[4]PO for Assets 2004'!#REF!</definedName>
    <definedName name="______________DAT19" localSheetId="43">'[4]PO for Assets 2004'!#REF!</definedName>
    <definedName name="______________DAT19">'[4]PO for Assets 2004'!#REF!</definedName>
    <definedName name="______________DAT2" localSheetId="29">'[4]PO for Assets 2004'!#REF!</definedName>
    <definedName name="______________DAT2" localSheetId="16">'[4]PO for Assets 2004'!#REF!</definedName>
    <definedName name="______________DAT2" localSheetId="20">'[4]PO for Assets 2004'!#REF!</definedName>
    <definedName name="______________DAT2" localSheetId="43">'[4]PO for Assets 2004'!#REF!</definedName>
    <definedName name="______________DAT2">'[4]PO for Assets 2004'!#REF!</definedName>
    <definedName name="______________DAT20" localSheetId="29">'[4]PO for Assets 2004'!#REF!</definedName>
    <definedName name="______________DAT20" localSheetId="16">'[4]PO for Assets 2004'!#REF!</definedName>
    <definedName name="______________DAT20" localSheetId="20">'[4]PO for Assets 2004'!#REF!</definedName>
    <definedName name="______________DAT20" localSheetId="43">'[4]PO for Assets 2004'!#REF!</definedName>
    <definedName name="______________DAT20">'[4]PO for Assets 2004'!#REF!</definedName>
    <definedName name="______________DAT21" localSheetId="29">'[4]PO for Assets 2004'!#REF!</definedName>
    <definedName name="______________DAT21" localSheetId="16">'[4]PO for Assets 2004'!#REF!</definedName>
    <definedName name="______________DAT21" localSheetId="20">'[4]PO for Assets 2004'!#REF!</definedName>
    <definedName name="______________DAT21" localSheetId="43">'[4]PO for Assets 2004'!#REF!</definedName>
    <definedName name="______________DAT21">'[4]PO for Assets 2004'!#REF!</definedName>
    <definedName name="______________DAT22" localSheetId="29">'[4]PO for Assets 2004'!#REF!</definedName>
    <definedName name="______________DAT22" localSheetId="16">'[4]PO for Assets 2004'!#REF!</definedName>
    <definedName name="______________DAT22" localSheetId="20">'[4]PO for Assets 2004'!#REF!</definedName>
    <definedName name="______________DAT22" localSheetId="43">'[4]PO for Assets 2004'!#REF!</definedName>
    <definedName name="______________DAT22">'[4]PO for Assets 2004'!#REF!</definedName>
    <definedName name="______________DAT3" localSheetId="29">'[4]PO for Assets 2004'!#REF!</definedName>
    <definedName name="______________DAT3" localSheetId="16">'[4]PO for Assets 2004'!#REF!</definedName>
    <definedName name="______________DAT3" localSheetId="20">'[4]PO for Assets 2004'!#REF!</definedName>
    <definedName name="______________DAT3" localSheetId="43">'[4]PO for Assets 2004'!#REF!</definedName>
    <definedName name="______________DAT3">'[4]PO for Assets 2004'!#REF!</definedName>
    <definedName name="______________DAT9" localSheetId="29">'[4]PO for Assets 2004'!#REF!</definedName>
    <definedName name="______________DAT9" localSheetId="16">'[4]PO for Assets 2004'!#REF!</definedName>
    <definedName name="______________DAT9" localSheetId="20">'[4]PO for Assets 2004'!#REF!</definedName>
    <definedName name="______________DAT9" localSheetId="43">'[4]PO for Assets 2004'!#REF!</definedName>
    <definedName name="______________DAT9">'[4]PO for Assets 2004'!#REF!</definedName>
    <definedName name="____________DAT1" localSheetId="29">'[4]PO for Assets 2004'!#REF!</definedName>
    <definedName name="____________DAT1" localSheetId="16">'[4]PO for Assets 2004'!#REF!</definedName>
    <definedName name="____________DAT1" localSheetId="20">'[4]PO for Assets 2004'!#REF!</definedName>
    <definedName name="____________DAT1" localSheetId="43">'[4]PO for Assets 2004'!#REF!</definedName>
    <definedName name="____________DAT1">'[4]PO for Assets 2004'!#REF!</definedName>
    <definedName name="____________DAT11" localSheetId="29">'[4]PO for Assets 2004'!#REF!</definedName>
    <definedName name="____________DAT11" localSheetId="16">'[4]PO for Assets 2004'!#REF!</definedName>
    <definedName name="____________DAT11" localSheetId="20">'[4]PO for Assets 2004'!#REF!</definedName>
    <definedName name="____________DAT11" localSheetId="43">'[4]PO for Assets 2004'!#REF!</definedName>
    <definedName name="____________DAT11">'[4]PO for Assets 2004'!#REF!</definedName>
    <definedName name="____________DAT12" localSheetId="29">'[4]PO for Assets 2004'!#REF!</definedName>
    <definedName name="____________DAT12" localSheetId="16">'[4]PO for Assets 2004'!#REF!</definedName>
    <definedName name="____________DAT12" localSheetId="20">'[4]PO for Assets 2004'!#REF!</definedName>
    <definedName name="____________DAT12" localSheetId="43">'[4]PO for Assets 2004'!#REF!</definedName>
    <definedName name="____________DAT12">'[4]PO for Assets 2004'!#REF!</definedName>
    <definedName name="____________DAT13" localSheetId="29">'[4]PO for Assets 2004'!#REF!</definedName>
    <definedName name="____________DAT13" localSheetId="16">'[4]PO for Assets 2004'!#REF!</definedName>
    <definedName name="____________DAT13" localSheetId="20">'[4]PO for Assets 2004'!#REF!</definedName>
    <definedName name="____________DAT13" localSheetId="43">'[4]PO for Assets 2004'!#REF!</definedName>
    <definedName name="____________DAT13">'[4]PO for Assets 2004'!#REF!</definedName>
    <definedName name="____________DAT18" localSheetId="29">'[4]PO for Assets 2004'!#REF!</definedName>
    <definedName name="____________DAT18" localSheetId="16">'[4]PO for Assets 2004'!#REF!</definedName>
    <definedName name="____________DAT18" localSheetId="20">'[4]PO for Assets 2004'!#REF!</definedName>
    <definedName name="____________DAT18" localSheetId="43">'[4]PO for Assets 2004'!#REF!</definedName>
    <definedName name="____________DAT18">'[4]PO for Assets 2004'!#REF!</definedName>
    <definedName name="____________DAT19" localSheetId="29">'[4]PO for Assets 2004'!#REF!</definedName>
    <definedName name="____________DAT19" localSheetId="16">'[4]PO for Assets 2004'!#REF!</definedName>
    <definedName name="____________DAT19" localSheetId="20">'[4]PO for Assets 2004'!#REF!</definedName>
    <definedName name="____________DAT19" localSheetId="43">'[4]PO for Assets 2004'!#REF!</definedName>
    <definedName name="____________DAT19">'[4]PO for Assets 2004'!#REF!</definedName>
    <definedName name="____________DAT2" localSheetId="29">'[4]PO for Assets 2004'!#REF!</definedName>
    <definedName name="____________DAT2" localSheetId="16">'[4]PO for Assets 2004'!#REF!</definedName>
    <definedName name="____________DAT2" localSheetId="20">'[4]PO for Assets 2004'!#REF!</definedName>
    <definedName name="____________DAT2" localSheetId="43">'[4]PO for Assets 2004'!#REF!</definedName>
    <definedName name="____________DAT2">'[4]PO for Assets 2004'!#REF!</definedName>
    <definedName name="____________DAT20" localSheetId="29">'[4]PO for Assets 2004'!#REF!</definedName>
    <definedName name="____________DAT20" localSheetId="16">'[4]PO for Assets 2004'!#REF!</definedName>
    <definedName name="____________DAT20" localSheetId="20">'[4]PO for Assets 2004'!#REF!</definedName>
    <definedName name="____________DAT20" localSheetId="43">'[4]PO for Assets 2004'!#REF!</definedName>
    <definedName name="____________DAT20">'[4]PO for Assets 2004'!#REF!</definedName>
    <definedName name="____________DAT21" localSheetId="29">'[4]PO for Assets 2004'!#REF!</definedName>
    <definedName name="____________DAT21" localSheetId="16">'[4]PO for Assets 2004'!#REF!</definedName>
    <definedName name="____________DAT21" localSheetId="20">'[4]PO for Assets 2004'!#REF!</definedName>
    <definedName name="____________DAT21" localSheetId="43">'[4]PO for Assets 2004'!#REF!</definedName>
    <definedName name="____________DAT21">'[4]PO for Assets 2004'!#REF!</definedName>
    <definedName name="____________DAT22" localSheetId="29">'[4]PO for Assets 2004'!#REF!</definedName>
    <definedName name="____________DAT22" localSheetId="16">'[4]PO for Assets 2004'!#REF!</definedName>
    <definedName name="____________DAT22" localSheetId="20">'[4]PO for Assets 2004'!#REF!</definedName>
    <definedName name="____________DAT22" localSheetId="43">'[4]PO for Assets 2004'!#REF!</definedName>
    <definedName name="____________DAT22">'[4]PO for Assets 2004'!#REF!</definedName>
    <definedName name="____________DAT3" localSheetId="29">'[4]PO for Assets 2004'!#REF!</definedName>
    <definedName name="____________DAT3" localSheetId="16">'[4]PO for Assets 2004'!#REF!</definedName>
    <definedName name="____________DAT3" localSheetId="20">'[4]PO for Assets 2004'!#REF!</definedName>
    <definedName name="____________DAT3" localSheetId="43">'[4]PO for Assets 2004'!#REF!</definedName>
    <definedName name="____________DAT3">'[4]PO for Assets 2004'!#REF!</definedName>
    <definedName name="____________DAT9" localSheetId="29">'[4]PO for Assets 2004'!#REF!</definedName>
    <definedName name="____________DAT9" localSheetId="16">'[4]PO for Assets 2004'!#REF!</definedName>
    <definedName name="____________DAT9" localSheetId="20">'[4]PO for Assets 2004'!#REF!</definedName>
    <definedName name="____________DAT9" localSheetId="43">'[4]PO for Assets 2004'!#REF!</definedName>
    <definedName name="____________DAT9">'[4]PO for Assets 2004'!#REF!</definedName>
    <definedName name="___________DAT1" localSheetId="29">'[4]PO for Assets 2004'!#REF!</definedName>
    <definedName name="___________DAT1" localSheetId="16">'[4]PO for Assets 2004'!#REF!</definedName>
    <definedName name="___________DAT1" localSheetId="20">'[4]PO for Assets 2004'!#REF!</definedName>
    <definedName name="___________DAT1" localSheetId="43">'[4]PO for Assets 2004'!#REF!</definedName>
    <definedName name="___________DAT1">'[4]PO for Assets 2004'!#REF!</definedName>
    <definedName name="___________DAT11" localSheetId="29">'[4]PO for Assets 2004'!#REF!</definedName>
    <definedName name="___________DAT11" localSheetId="16">'[4]PO for Assets 2004'!#REF!</definedName>
    <definedName name="___________DAT11" localSheetId="20">'[4]PO for Assets 2004'!#REF!</definedName>
    <definedName name="___________DAT11" localSheetId="43">'[4]PO for Assets 2004'!#REF!</definedName>
    <definedName name="___________DAT11">'[4]PO for Assets 2004'!#REF!</definedName>
    <definedName name="___________DAT12" localSheetId="29">'[4]PO for Assets 2004'!#REF!</definedName>
    <definedName name="___________DAT12" localSheetId="16">'[4]PO for Assets 2004'!#REF!</definedName>
    <definedName name="___________DAT12" localSheetId="20">'[4]PO for Assets 2004'!#REF!</definedName>
    <definedName name="___________DAT12" localSheetId="43">'[4]PO for Assets 2004'!#REF!</definedName>
    <definedName name="___________DAT12">'[4]PO for Assets 2004'!#REF!</definedName>
    <definedName name="___________DAT13" localSheetId="29">'[4]PO for Assets 2004'!#REF!</definedName>
    <definedName name="___________DAT13" localSheetId="16">'[4]PO for Assets 2004'!#REF!</definedName>
    <definedName name="___________DAT13" localSheetId="20">'[4]PO for Assets 2004'!#REF!</definedName>
    <definedName name="___________DAT13" localSheetId="43">'[4]PO for Assets 2004'!#REF!</definedName>
    <definedName name="___________DAT13">'[4]PO for Assets 2004'!#REF!</definedName>
    <definedName name="___________DAT18" localSheetId="29">'[4]PO for Assets 2004'!#REF!</definedName>
    <definedName name="___________DAT18" localSheetId="16">'[4]PO for Assets 2004'!#REF!</definedName>
    <definedName name="___________DAT18" localSheetId="20">'[4]PO for Assets 2004'!#REF!</definedName>
    <definedName name="___________DAT18" localSheetId="43">'[4]PO for Assets 2004'!#REF!</definedName>
    <definedName name="___________DAT18">'[4]PO for Assets 2004'!#REF!</definedName>
    <definedName name="___________DAT19" localSheetId="29">'[4]PO for Assets 2004'!#REF!</definedName>
    <definedName name="___________DAT19" localSheetId="16">'[4]PO for Assets 2004'!#REF!</definedName>
    <definedName name="___________DAT19" localSheetId="20">'[4]PO for Assets 2004'!#REF!</definedName>
    <definedName name="___________DAT19" localSheetId="43">'[4]PO for Assets 2004'!#REF!</definedName>
    <definedName name="___________DAT19">'[4]PO for Assets 2004'!#REF!</definedName>
    <definedName name="___________DAT2" localSheetId="29">'[4]PO for Assets 2004'!#REF!</definedName>
    <definedName name="___________DAT2" localSheetId="16">'[4]PO for Assets 2004'!#REF!</definedName>
    <definedName name="___________DAT2" localSheetId="20">'[4]PO for Assets 2004'!#REF!</definedName>
    <definedName name="___________DAT2" localSheetId="43">'[4]PO for Assets 2004'!#REF!</definedName>
    <definedName name="___________DAT2">'[4]PO for Assets 2004'!#REF!</definedName>
    <definedName name="___________DAT20" localSheetId="29">'[4]PO for Assets 2004'!#REF!</definedName>
    <definedName name="___________DAT20" localSheetId="16">'[4]PO for Assets 2004'!#REF!</definedName>
    <definedName name="___________DAT20" localSheetId="20">'[4]PO for Assets 2004'!#REF!</definedName>
    <definedName name="___________DAT20" localSheetId="43">'[4]PO for Assets 2004'!#REF!</definedName>
    <definedName name="___________DAT20">'[4]PO for Assets 2004'!#REF!</definedName>
    <definedName name="___________DAT21" localSheetId="29">'[4]PO for Assets 2004'!#REF!</definedName>
    <definedName name="___________DAT21" localSheetId="16">'[4]PO for Assets 2004'!#REF!</definedName>
    <definedName name="___________DAT21" localSheetId="20">'[4]PO for Assets 2004'!#REF!</definedName>
    <definedName name="___________DAT21" localSheetId="43">'[4]PO for Assets 2004'!#REF!</definedName>
    <definedName name="___________DAT21">'[4]PO for Assets 2004'!#REF!</definedName>
    <definedName name="___________DAT22" localSheetId="29">'[4]PO for Assets 2004'!#REF!</definedName>
    <definedName name="___________DAT22" localSheetId="16">'[4]PO for Assets 2004'!#REF!</definedName>
    <definedName name="___________DAT22" localSheetId="20">'[4]PO for Assets 2004'!#REF!</definedName>
    <definedName name="___________DAT22" localSheetId="43">'[4]PO for Assets 2004'!#REF!</definedName>
    <definedName name="___________DAT22">'[4]PO for Assets 2004'!#REF!</definedName>
    <definedName name="___________DAT3" localSheetId="29">'[4]PO for Assets 2004'!#REF!</definedName>
    <definedName name="___________DAT3" localSheetId="16">'[4]PO for Assets 2004'!#REF!</definedName>
    <definedName name="___________DAT3" localSheetId="20">'[4]PO for Assets 2004'!#REF!</definedName>
    <definedName name="___________DAT3" localSheetId="43">'[4]PO for Assets 2004'!#REF!</definedName>
    <definedName name="___________DAT3">'[4]PO for Assets 2004'!#REF!</definedName>
    <definedName name="___________DAT9" localSheetId="29">'[4]PO for Assets 2004'!#REF!</definedName>
    <definedName name="___________DAT9" localSheetId="16">'[4]PO for Assets 2004'!#REF!</definedName>
    <definedName name="___________DAT9" localSheetId="20">'[4]PO for Assets 2004'!#REF!</definedName>
    <definedName name="___________DAT9" localSheetId="43">'[4]PO for Assets 2004'!#REF!</definedName>
    <definedName name="___________DAT9">'[4]PO for Assets 2004'!#REF!</definedName>
    <definedName name="___________ksm14" localSheetId="26">#REF!</definedName>
    <definedName name="___________ksm14" localSheetId="18">#REF!</definedName>
    <definedName name="___________ksm14" localSheetId="29">#REF!</definedName>
    <definedName name="___________ksm14" localSheetId="16">#REF!</definedName>
    <definedName name="___________ksm14" localSheetId="20">#REF!</definedName>
    <definedName name="___________ksm14" localSheetId="43">#REF!</definedName>
    <definedName name="___________ksm14">#REF!</definedName>
    <definedName name="___________ksm6" localSheetId="26">#REF!</definedName>
    <definedName name="___________ksm6" localSheetId="29">#REF!</definedName>
    <definedName name="___________ksm6" localSheetId="16">#REF!</definedName>
    <definedName name="___________ksm6" localSheetId="20">#REF!</definedName>
    <definedName name="___________ksm6" localSheetId="43">#REF!</definedName>
    <definedName name="___________ksm6">#REF!</definedName>
    <definedName name="__________DAT1" localSheetId="26">'[4]PO for Assets 2004'!#REF!</definedName>
    <definedName name="__________DAT1" localSheetId="23">'[4]PO for Assets 2004'!#REF!</definedName>
    <definedName name="__________DAT1" localSheetId="18">'[4]PO for Assets 2004'!#REF!</definedName>
    <definedName name="__________DAT1" localSheetId="29">'[4]PO for Assets 2004'!#REF!</definedName>
    <definedName name="__________DAT1" localSheetId="16">'[4]PO for Assets 2004'!#REF!</definedName>
    <definedName name="__________DAT1" localSheetId="20">'[4]PO for Assets 2004'!#REF!</definedName>
    <definedName name="__________DAT1" localSheetId="43">'[4]PO for Assets 2004'!#REF!</definedName>
    <definedName name="__________DAT1">'[4]PO for Assets 2004'!#REF!</definedName>
    <definedName name="__________DAT11" localSheetId="26">'[4]PO for Assets 2004'!#REF!</definedName>
    <definedName name="__________DAT11" localSheetId="18">'[4]PO for Assets 2004'!#REF!</definedName>
    <definedName name="__________DAT11" localSheetId="29">'[4]PO for Assets 2004'!#REF!</definedName>
    <definedName name="__________DAT11" localSheetId="16">'[4]PO for Assets 2004'!#REF!</definedName>
    <definedName name="__________DAT11" localSheetId="20">'[4]PO for Assets 2004'!#REF!</definedName>
    <definedName name="__________DAT11" localSheetId="43">'[4]PO for Assets 2004'!#REF!</definedName>
    <definedName name="__________DAT11">'[4]PO for Assets 2004'!#REF!</definedName>
    <definedName name="__________DAT12" localSheetId="26">'[4]PO for Assets 2004'!#REF!</definedName>
    <definedName name="__________DAT12" localSheetId="29">'[4]PO for Assets 2004'!#REF!</definedName>
    <definedName name="__________DAT12" localSheetId="16">'[4]PO for Assets 2004'!#REF!</definedName>
    <definedName name="__________DAT12" localSheetId="20">'[4]PO for Assets 2004'!#REF!</definedName>
    <definedName name="__________DAT12" localSheetId="43">'[4]PO for Assets 2004'!#REF!</definedName>
    <definedName name="__________DAT12">'[4]PO for Assets 2004'!#REF!</definedName>
    <definedName name="__________DAT13" localSheetId="26">'[4]PO for Assets 2004'!#REF!</definedName>
    <definedName name="__________DAT13" localSheetId="29">'[4]PO for Assets 2004'!#REF!</definedName>
    <definedName name="__________DAT13" localSheetId="16">'[4]PO for Assets 2004'!#REF!</definedName>
    <definedName name="__________DAT13" localSheetId="20">'[4]PO for Assets 2004'!#REF!</definedName>
    <definedName name="__________DAT13" localSheetId="43">'[4]PO for Assets 2004'!#REF!</definedName>
    <definedName name="__________DAT13">'[4]PO for Assets 2004'!#REF!</definedName>
    <definedName name="__________DAT18" localSheetId="29">'[4]PO for Assets 2004'!#REF!</definedName>
    <definedName name="__________DAT18" localSheetId="16">'[4]PO for Assets 2004'!#REF!</definedName>
    <definedName name="__________DAT18" localSheetId="20">'[4]PO for Assets 2004'!#REF!</definedName>
    <definedName name="__________DAT18" localSheetId="43">'[4]PO for Assets 2004'!#REF!</definedName>
    <definedName name="__________DAT18">'[4]PO for Assets 2004'!#REF!</definedName>
    <definedName name="__________DAT19" localSheetId="29">'[4]PO for Assets 2004'!#REF!</definedName>
    <definedName name="__________DAT19" localSheetId="16">'[4]PO for Assets 2004'!#REF!</definedName>
    <definedName name="__________DAT19" localSheetId="20">'[4]PO for Assets 2004'!#REF!</definedName>
    <definedName name="__________DAT19" localSheetId="43">'[4]PO for Assets 2004'!#REF!</definedName>
    <definedName name="__________DAT19">'[4]PO for Assets 2004'!#REF!</definedName>
    <definedName name="__________DAT2" localSheetId="29">'[4]PO for Assets 2004'!#REF!</definedName>
    <definedName name="__________DAT2" localSheetId="16">'[4]PO for Assets 2004'!#REF!</definedName>
    <definedName name="__________DAT2" localSheetId="20">'[4]PO for Assets 2004'!#REF!</definedName>
    <definedName name="__________DAT2" localSheetId="43">'[4]PO for Assets 2004'!#REF!</definedName>
    <definedName name="__________DAT2">'[4]PO for Assets 2004'!#REF!</definedName>
    <definedName name="__________DAT20" localSheetId="29">'[4]PO for Assets 2004'!#REF!</definedName>
    <definedName name="__________DAT20" localSheetId="16">'[4]PO for Assets 2004'!#REF!</definedName>
    <definedName name="__________DAT20" localSheetId="20">'[4]PO for Assets 2004'!#REF!</definedName>
    <definedName name="__________DAT20" localSheetId="43">'[4]PO for Assets 2004'!#REF!</definedName>
    <definedName name="__________DAT20">'[4]PO for Assets 2004'!#REF!</definedName>
    <definedName name="__________DAT21" localSheetId="29">'[4]PO for Assets 2004'!#REF!</definedName>
    <definedName name="__________DAT21" localSheetId="16">'[4]PO for Assets 2004'!#REF!</definedName>
    <definedName name="__________DAT21" localSheetId="20">'[4]PO for Assets 2004'!#REF!</definedName>
    <definedName name="__________DAT21" localSheetId="43">'[4]PO for Assets 2004'!#REF!</definedName>
    <definedName name="__________DAT21">'[4]PO for Assets 2004'!#REF!</definedName>
    <definedName name="__________DAT22" localSheetId="29">'[4]PO for Assets 2004'!#REF!</definedName>
    <definedName name="__________DAT22" localSheetId="16">'[4]PO for Assets 2004'!#REF!</definedName>
    <definedName name="__________DAT22" localSheetId="20">'[4]PO for Assets 2004'!#REF!</definedName>
    <definedName name="__________DAT22" localSheetId="43">'[4]PO for Assets 2004'!#REF!</definedName>
    <definedName name="__________DAT22">'[4]PO for Assets 2004'!#REF!</definedName>
    <definedName name="__________DAT3" localSheetId="29">'[4]PO for Assets 2004'!#REF!</definedName>
    <definedName name="__________DAT3" localSheetId="16">'[4]PO for Assets 2004'!#REF!</definedName>
    <definedName name="__________DAT3" localSheetId="20">'[4]PO for Assets 2004'!#REF!</definedName>
    <definedName name="__________DAT3" localSheetId="43">'[4]PO for Assets 2004'!#REF!</definedName>
    <definedName name="__________DAT3">'[4]PO for Assets 2004'!#REF!</definedName>
    <definedName name="__________DAT9" localSheetId="29">'[4]PO for Assets 2004'!#REF!</definedName>
    <definedName name="__________DAT9" localSheetId="16">'[4]PO for Assets 2004'!#REF!</definedName>
    <definedName name="__________DAT9" localSheetId="20">'[4]PO for Assets 2004'!#REF!</definedName>
    <definedName name="__________DAT9" localSheetId="43">'[4]PO for Assets 2004'!#REF!</definedName>
    <definedName name="__________DAT9">'[4]PO for Assets 2004'!#REF!</definedName>
    <definedName name="__________ksm14" localSheetId="26">#REF!</definedName>
    <definedName name="__________ksm14" localSheetId="18">#REF!</definedName>
    <definedName name="__________ksm14" localSheetId="29">#REF!</definedName>
    <definedName name="__________ksm14" localSheetId="16">#REF!</definedName>
    <definedName name="__________ksm14" localSheetId="20">#REF!</definedName>
    <definedName name="__________ksm14" localSheetId="43">#REF!</definedName>
    <definedName name="__________ksm14">#REF!</definedName>
    <definedName name="__________ksm6" localSheetId="26">#REF!</definedName>
    <definedName name="__________ksm6" localSheetId="29">#REF!</definedName>
    <definedName name="__________ksm6" localSheetId="16">#REF!</definedName>
    <definedName name="__________ksm6" localSheetId="20">#REF!</definedName>
    <definedName name="__________ksm6" localSheetId="43">#REF!</definedName>
    <definedName name="__________ksm6">#REF!</definedName>
    <definedName name="_________DAT1" localSheetId="26">'[4]PO for Assets 2004'!#REF!</definedName>
    <definedName name="_________DAT1" localSheetId="23">'[4]PO for Assets 2004'!#REF!</definedName>
    <definedName name="_________DAT1" localSheetId="18">'[4]PO for Assets 2004'!#REF!</definedName>
    <definedName name="_________DAT1" localSheetId="29">'[4]PO for Assets 2004'!#REF!</definedName>
    <definedName name="_________DAT1" localSheetId="16">'[4]PO for Assets 2004'!#REF!</definedName>
    <definedName name="_________DAT1" localSheetId="20">'[4]PO for Assets 2004'!#REF!</definedName>
    <definedName name="_________DAT1" localSheetId="43">'[4]PO for Assets 2004'!#REF!</definedName>
    <definedName name="_________DAT1">'[4]PO for Assets 2004'!#REF!</definedName>
    <definedName name="_________DAT11" localSheetId="26">'[4]PO for Assets 2004'!#REF!</definedName>
    <definedName name="_________DAT11" localSheetId="18">'[4]PO for Assets 2004'!#REF!</definedName>
    <definedName name="_________DAT11" localSheetId="29">'[4]PO for Assets 2004'!#REF!</definedName>
    <definedName name="_________DAT11" localSheetId="16">'[4]PO for Assets 2004'!#REF!</definedName>
    <definedName name="_________DAT11" localSheetId="20">'[4]PO for Assets 2004'!#REF!</definedName>
    <definedName name="_________DAT11" localSheetId="43">'[4]PO for Assets 2004'!#REF!</definedName>
    <definedName name="_________DAT11">'[4]PO for Assets 2004'!#REF!</definedName>
    <definedName name="_________DAT12" localSheetId="26">'[4]PO for Assets 2004'!#REF!</definedName>
    <definedName name="_________DAT12" localSheetId="29">'[4]PO for Assets 2004'!#REF!</definedName>
    <definedName name="_________DAT12" localSheetId="16">'[4]PO for Assets 2004'!#REF!</definedName>
    <definedName name="_________DAT12" localSheetId="20">'[4]PO for Assets 2004'!#REF!</definedName>
    <definedName name="_________DAT12" localSheetId="43">'[4]PO for Assets 2004'!#REF!</definedName>
    <definedName name="_________DAT12">'[4]PO for Assets 2004'!#REF!</definedName>
    <definedName name="_________DAT13" localSheetId="26">'[4]PO for Assets 2004'!#REF!</definedName>
    <definedName name="_________DAT13" localSheetId="29">'[4]PO for Assets 2004'!#REF!</definedName>
    <definedName name="_________DAT13" localSheetId="16">'[4]PO for Assets 2004'!#REF!</definedName>
    <definedName name="_________DAT13" localSheetId="20">'[4]PO for Assets 2004'!#REF!</definedName>
    <definedName name="_________DAT13" localSheetId="43">'[4]PO for Assets 2004'!#REF!</definedName>
    <definedName name="_________DAT13">'[4]PO for Assets 2004'!#REF!</definedName>
    <definedName name="_________DAT18" localSheetId="29">'[4]PO for Assets 2004'!#REF!</definedName>
    <definedName name="_________DAT18" localSheetId="16">'[4]PO for Assets 2004'!#REF!</definedName>
    <definedName name="_________DAT18" localSheetId="20">'[4]PO for Assets 2004'!#REF!</definedName>
    <definedName name="_________DAT18" localSheetId="43">'[4]PO for Assets 2004'!#REF!</definedName>
    <definedName name="_________DAT18">'[4]PO for Assets 2004'!#REF!</definedName>
    <definedName name="_________DAT19" localSheetId="29">'[4]PO for Assets 2004'!#REF!</definedName>
    <definedName name="_________DAT19" localSheetId="16">'[4]PO for Assets 2004'!#REF!</definedName>
    <definedName name="_________DAT19" localSheetId="20">'[4]PO for Assets 2004'!#REF!</definedName>
    <definedName name="_________DAT19" localSheetId="43">'[4]PO for Assets 2004'!#REF!</definedName>
    <definedName name="_________DAT19">'[4]PO for Assets 2004'!#REF!</definedName>
    <definedName name="_________DAT2" localSheetId="29">'[4]PO for Assets 2004'!#REF!</definedName>
    <definedName name="_________DAT2" localSheetId="16">'[4]PO for Assets 2004'!#REF!</definedName>
    <definedName name="_________DAT2" localSheetId="20">'[4]PO for Assets 2004'!#REF!</definedName>
    <definedName name="_________DAT2" localSheetId="43">'[4]PO for Assets 2004'!#REF!</definedName>
    <definedName name="_________DAT2">'[4]PO for Assets 2004'!#REF!</definedName>
    <definedName name="_________DAT20" localSheetId="29">'[4]PO for Assets 2004'!#REF!</definedName>
    <definedName name="_________DAT20" localSheetId="16">'[4]PO for Assets 2004'!#REF!</definedName>
    <definedName name="_________DAT20" localSheetId="20">'[4]PO for Assets 2004'!#REF!</definedName>
    <definedName name="_________DAT20" localSheetId="43">'[4]PO for Assets 2004'!#REF!</definedName>
    <definedName name="_________DAT20">'[4]PO for Assets 2004'!#REF!</definedName>
    <definedName name="_________DAT21" localSheetId="29">'[4]PO for Assets 2004'!#REF!</definedName>
    <definedName name="_________DAT21" localSheetId="16">'[4]PO for Assets 2004'!#REF!</definedName>
    <definedName name="_________DAT21" localSheetId="20">'[4]PO for Assets 2004'!#REF!</definedName>
    <definedName name="_________DAT21" localSheetId="43">'[4]PO for Assets 2004'!#REF!</definedName>
    <definedName name="_________DAT21">'[4]PO for Assets 2004'!#REF!</definedName>
    <definedName name="_________DAT22" localSheetId="29">'[4]PO for Assets 2004'!#REF!</definedName>
    <definedName name="_________DAT22" localSheetId="16">'[4]PO for Assets 2004'!#REF!</definedName>
    <definedName name="_________DAT22" localSheetId="20">'[4]PO for Assets 2004'!#REF!</definedName>
    <definedName name="_________DAT22" localSheetId="43">'[4]PO for Assets 2004'!#REF!</definedName>
    <definedName name="_________DAT22">'[4]PO for Assets 2004'!#REF!</definedName>
    <definedName name="_________DAT3" localSheetId="29">'[4]PO for Assets 2004'!#REF!</definedName>
    <definedName name="_________DAT3" localSheetId="16">'[4]PO for Assets 2004'!#REF!</definedName>
    <definedName name="_________DAT3" localSheetId="20">'[4]PO for Assets 2004'!#REF!</definedName>
    <definedName name="_________DAT3" localSheetId="43">'[4]PO for Assets 2004'!#REF!</definedName>
    <definedName name="_________DAT3">'[4]PO for Assets 2004'!#REF!</definedName>
    <definedName name="_________DAT9" localSheetId="29">'[4]PO for Assets 2004'!#REF!</definedName>
    <definedName name="_________DAT9" localSheetId="16">'[4]PO for Assets 2004'!#REF!</definedName>
    <definedName name="_________DAT9" localSheetId="20">'[4]PO for Assets 2004'!#REF!</definedName>
    <definedName name="_________DAT9" localSheetId="43">'[4]PO for Assets 2004'!#REF!</definedName>
    <definedName name="_________DAT9">'[4]PO for Assets 2004'!#REF!</definedName>
    <definedName name="_________ksm14" localSheetId="26">#REF!</definedName>
    <definedName name="_________ksm14" localSheetId="18">#REF!</definedName>
    <definedName name="_________ksm14" localSheetId="29">#REF!</definedName>
    <definedName name="_________ksm14" localSheetId="16">#REF!</definedName>
    <definedName name="_________ksm14" localSheetId="20">#REF!</definedName>
    <definedName name="_________ksm14" localSheetId="43">#REF!</definedName>
    <definedName name="_________ksm14">#REF!</definedName>
    <definedName name="_________ksm6" localSheetId="26">#REF!</definedName>
    <definedName name="_________ksm6" localSheetId="29">#REF!</definedName>
    <definedName name="_________ksm6" localSheetId="16">#REF!</definedName>
    <definedName name="_________ksm6" localSheetId="20">#REF!</definedName>
    <definedName name="_________ksm6" localSheetId="43">#REF!</definedName>
    <definedName name="_________ksm6">#REF!</definedName>
    <definedName name="________DAT1" localSheetId="26">'[4]PO for Assets 2004'!#REF!</definedName>
    <definedName name="________DAT1" localSheetId="23">'[4]PO for Assets 2004'!#REF!</definedName>
    <definedName name="________DAT1" localSheetId="18">'[4]PO for Assets 2004'!#REF!</definedName>
    <definedName name="________DAT1" localSheetId="29">'[4]PO for Assets 2004'!#REF!</definedName>
    <definedName name="________DAT1" localSheetId="16">'[4]PO for Assets 2004'!#REF!</definedName>
    <definedName name="________DAT1" localSheetId="20">'[4]PO for Assets 2004'!#REF!</definedName>
    <definedName name="________DAT1" localSheetId="43">'[4]PO for Assets 2004'!#REF!</definedName>
    <definedName name="________DAT1">'[4]PO for Assets 2004'!#REF!</definedName>
    <definedName name="________DAT11" localSheetId="26">'[4]PO for Assets 2004'!#REF!</definedName>
    <definedName name="________DAT11" localSheetId="18">'[4]PO for Assets 2004'!#REF!</definedName>
    <definedName name="________DAT11" localSheetId="29">'[4]PO for Assets 2004'!#REF!</definedName>
    <definedName name="________DAT11" localSheetId="16">'[4]PO for Assets 2004'!#REF!</definedName>
    <definedName name="________DAT11" localSheetId="20">'[4]PO for Assets 2004'!#REF!</definedName>
    <definedName name="________DAT11" localSheetId="43">'[4]PO for Assets 2004'!#REF!</definedName>
    <definedName name="________DAT11">'[4]PO for Assets 2004'!#REF!</definedName>
    <definedName name="________DAT12" localSheetId="26">'[4]PO for Assets 2004'!#REF!</definedName>
    <definedName name="________DAT12" localSheetId="29">'[4]PO for Assets 2004'!#REF!</definedName>
    <definedName name="________DAT12" localSheetId="16">'[4]PO for Assets 2004'!#REF!</definedName>
    <definedName name="________DAT12" localSheetId="20">'[4]PO for Assets 2004'!#REF!</definedName>
    <definedName name="________DAT12" localSheetId="43">'[4]PO for Assets 2004'!#REF!</definedName>
    <definedName name="________DAT12">'[4]PO for Assets 2004'!#REF!</definedName>
    <definedName name="________DAT13" localSheetId="26">'[4]PO for Assets 2004'!#REF!</definedName>
    <definedName name="________DAT13" localSheetId="29">'[4]PO for Assets 2004'!#REF!</definedName>
    <definedName name="________DAT13" localSheetId="16">'[4]PO for Assets 2004'!#REF!</definedName>
    <definedName name="________DAT13" localSheetId="20">'[4]PO for Assets 2004'!#REF!</definedName>
    <definedName name="________DAT13" localSheetId="43">'[4]PO for Assets 2004'!#REF!</definedName>
    <definedName name="________DAT13">'[4]PO for Assets 2004'!#REF!</definedName>
    <definedName name="________DAT18" localSheetId="29">'[4]PO for Assets 2004'!#REF!</definedName>
    <definedName name="________DAT18" localSheetId="16">'[4]PO for Assets 2004'!#REF!</definedName>
    <definedName name="________DAT18" localSheetId="20">'[4]PO for Assets 2004'!#REF!</definedName>
    <definedName name="________DAT18" localSheetId="43">'[4]PO for Assets 2004'!#REF!</definedName>
    <definedName name="________DAT18">'[4]PO for Assets 2004'!#REF!</definedName>
    <definedName name="________DAT19" localSheetId="29">'[4]PO for Assets 2004'!#REF!</definedName>
    <definedName name="________DAT19" localSheetId="16">'[4]PO for Assets 2004'!#REF!</definedName>
    <definedName name="________DAT19" localSheetId="20">'[4]PO for Assets 2004'!#REF!</definedName>
    <definedName name="________DAT19" localSheetId="43">'[4]PO for Assets 2004'!#REF!</definedName>
    <definedName name="________DAT19">'[4]PO for Assets 2004'!#REF!</definedName>
    <definedName name="________DAT2" localSheetId="29">'[4]PO for Assets 2004'!#REF!</definedName>
    <definedName name="________DAT2" localSheetId="16">'[4]PO for Assets 2004'!#REF!</definedName>
    <definedName name="________DAT2" localSheetId="20">'[4]PO for Assets 2004'!#REF!</definedName>
    <definedName name="________DAT2" localSheetId="43">'[4]PO for Assets 2004'!#REF!</definedName>
    <definedName name="________DAT2">'[4]PO for Assets 2004'!#REF!</definedName>
    <definedName name="________DAT20" localSheetId="29">'[4]PO for Assets 2004'!#REF!</definedName>
    <definedName name="________DAT20" localSheetId="16">'[4]PO for Assets 2004'!#REF!</definedName>
    <definedName name="________DAT20" localSheetId="20">'[4]PO for Assets 2004'!#REF!</definedName>
    <definedName name="________DAT20" localSheetId="43">'[4]PO for Assets 2004'!#REF!</definedName>
    <definedName name="________DAT20">'[4]PO for Assets 2004'!#REF!</definedName>
    <definedName name="________DAT21" localSheetId="29">'[4]PO for Assets 2004'!#REF!</definedName>
    <definedName name="________DAT21" localSheetId="16">'[4]PO for Assets 2004'!#REF!</definedName>
    <definedName name="________DAT21" localSheetId="20">'[4]PO for Assets 2004'!#REF!</definedName>
    <definedName name="________DAT21" localSheetId="43">'[4]PO for Assets 2004'!#REF!</definedName>
    <definedName name="________DAT21">'[4]PO for Assets 2004'!#REF!</definedName>
    <definedName name="________DAT22" localSheetId="29">'[4]PO for Assets 2004'!#REF!</definedName>
    <definedName name="________DAT22" localSheetId="16">'[4]PO for Assets 2004'!#REF!</definedName>
    <definedName name="________DAT22" localSheetId="20">'[4]PO for Assets 2004'!#REF!</definedName>
    <definedName name="________DAT22" localSheetId="43">'[4]PO for Assets 2004'!#REF!</definedName>
    <definedName name="________DAT22">'[4]PO for Assets 2004'!#REF!</definedName>
    <definedName name="________DAT3" localSheetId="29">'[4]PO for Assets 2004'!#REF!</definedName>
    <definedName name="________DAT3" localSheetId="16">'[4]PO for Assets 2004'!#REF!</definedName>
    <definedName name="________DAT3" localSheetId="20">'[4]PO for Assets 2004'!#REF!</definedName>
    <definedName name="________DAT3" localSheetId="43">'[4]PO for Assets 2004'!#REF!</definedName>
    <definedName name="________DAT3">'[4]PO for Assets 2004'!#REF!</definedName>
    <definedName name="________DAT9" localSheetId="29">'[4]PO for Assets 2004'!#REF!</definedName>
    <definedName name="________DAT9" localSheetId="16">'[4]PO for Assets 2004'!#REF!</definedName>
    <definedName name="________DAT9" localSheetId="20">'[4]PO for Assets 2004'!#REF!</definedName>
    <definedName name="________DAT9" localSheetId="43">'[4]PO for Assets 2004'!#REF!</definedName>
    <definedName name="________DAT9">'[4]PO for Assets 2004'!#REF!</definedName>
    <definedName name="________ksm14" localSheetId="26">#REF!</definedName>
    <definedName name="________ksm14" localSheetId="18">#REF!</definedName>
    <definedName name="________ksm14" localSheetId="29">#REF!</definedName>
    <definedName name="________ksm14" localSheetId="16">#REF!</definedName>
    <definedName name="________ksm14" localSheetId="20">#REF!</definedName>
    <definedName name="________ksm14" localSheetId="43">#REF!</definedName>
    <definedName name="________ksm14">#REF!</definedName>
    <definedName name="________ksm6" localSheetId="26">#REF!</definedName>
    <definedName name="________ksm6" localSheetId="29">#REF!</definedName>
    <definedName name="________ksm6" localSheetId="16">#REF!</definedName>
    <definedName name="________ksm6" localSheetId="20">#REF!</definedName>
    <definedName name="________ksm6" localSheetId="43">#REF!</definedName>
    <definedName name="________ksm6">#REF!</definedName>
    <definedName name="_______DAT1" localSheetId="26">#REF!</definedName>
    <definedName name="_______DAT1" localSheetId="29">#REF!</definedName>
    <definedName name="_______DAT1" localSheetId="16">#REF!</definedName>
    <definedName name="_______DAT1" localSheetId="20">#REF!</definedName>
    <definedName name="_______DAT1" localSheetId="43">#REF!</definedName>
    <definedName name="_______DAT1">#REF!</definedName>
    <definedName name="_______DAT11" localSheetId="26">#REF!</definedName>
    <definedName name="_______DAT11" localSheetId="29">#REF!</definedName>
    <definedName name="_______DAT11" localSheetId="16">#REF!</definedName>
    <definedName name="_______DAT11" localSheetId="20">#REF!</definedName>
    <definedName name="_______DAT11" localSheetId="43">#REF!</definedName>
    <definedName name="_______DAT11">#REF!</definedName>
    <definedName name="_______DAT12" localSheetId="26">#REF!</definedName>
    <definedName name="_______DAT12" localSheetId="29">#REF!</definedName>
    <definedName name="_______DAT12" localSheetId="16">#REF!</definedName>
    <definedName name="_______DAT12" localSheetId="20">#REF!</definedName>
    <definedName name="_______DAT12" localSheetId="43">#REF!</definedName>
    <definedName name="_______DAT12">#REF!</definedName>
    <definedName name="_______DAT13" localSheetId="26">#REF!</definedName>
    <definedName name="_______DAT13" localSheetId="29">#REF!</definedName>
    <definedName name="_______DAT13" localSheetId="16">#REF!</definedName>
    <definedName name="_______DAT13" localSheetId="20">#REF!</definedName>
    <definedName name="_______DAT13" localSheetId="43">#REF!</definedName>
    <definedName name="_______DAT13">#REF!</definedName>
    <definedName name="_______DAT18" localSheetId="26">#REF!</definedName>
    <definedName name="_______DAT18" localSheetId="29">#REF!</definedName>
    <definedName name="_______DAT18" localSheetId="16">#REF!</definedName>
    <definedName name="_______DAT18" localSheetId="20">#REF!</definedName>
    <definedName name="_______DAT18" localSheetId="43">#REF!</definedName>
    <definedName name="_______DAT18">#REF!</definedName>
    <definedName name="_______DAT19" localSheetId="26">#REF!</definedName>
    <definedName name="_______DAT19" localSheetId="29">#REF!</definedName>
    <definedName name="_______DAT19" localSheetId="16">#REF!</definedName>
    <definedName name="_______DAT19" localSheetId="20">#REF!</definedName>
    <definedName name="_______DAT19" localSheetId="43">#REF!</definedName>
    <definedName name="_______DAT19">#REF!</definedName>
    <definedName name="_______DAT2" localSheetId="26">#REF!</definedName>
    <definedName name="_______DAT2" localSheetId="29">#REF!</definedName>
    <definedName name="_______DAT2" localSheetId="16">#REF!</definedName>
    <definedName name="_______DAT2" localSheetId="20">#REF!</definedName>
    <definedName name="_______DAT2" localSheetId="43">#REF!</definedName>
    <definedName name="_______DAT2">#REF!</definedName>
    <definedName name="_______DAT20" localSheetId="26">#REF!</definedName>
    <definedName name="_______DAT20" localSheetId="29">#REF!</definedName>
    <definedName name="_______DAT20" localSheetId="16">#REF!</definedName>
    <definedName name="_______DAT20" localSheetId="20">#REF!</definedName>
    <definedName name="_______DAT20" localSheetId="43">#REF!</definedName>
    <definedName name="_______DAT20">#REF!</definedName>
    <definedName name="_______DAT21" localSheetId="18">'[5]0904'!#REF!</definedName>
    <definedName name="_______DAT21" localSheetId="29">'[5]0904'!#REF!</definedName>
    <definedName name="_______DAT21" localSheetId="16">'[5]0904'!#REF!</definedName>
    <definedName name="_______DAT21" localSheetId="20">'[5]0904'!#REF!</definedName>
    <definedName name="_______DAT21" localSheetId="43">'[5]0904'!#REF!</definedName>
    <definedName name="_______DAT21">'[5]0904'!#REF!</definedName>
    <definedName name="_______DAT22" localSheetId="26">#REF!</definedName>
    <definedName name="_______DAT22" localSheetId="18">#REF!</definedName>
    <definedName name="_______DAT22" localSheetId="29">#REF!</definedName>
    <definedName name="_______DAT22" localSheetId="16">#REF!</definedName>
    <definedName name="_______DAT22" localSheetId="20">#REF!</definedName>
    <definedName name="_______DAT22" localSheetId="43">#REF!</definedName>
    <definedName name="_______DAT22">#REF!</definedName>
    <definedName name="_______DAT3" localSheetId="26">#REF!</definedName>
    <definedName name="_______DAT3" localSheetId="29">#REF!</definedName>
    <definedName name="_______DAT3" localSheetId="16">#REF!</definedName>
    <definedName name="_______DAT3" localSheetId="20">#REF!</definedName>
    <definedName name="_______DAT3" localSheetId="43">#REF!</definedName>
    <definedName name="_______DAT3">#REF!</definedName>
    <definedName name="_______DAT9" localSheetId="26">#REF!</definedName>
    <definedName name="_______DAT9" localSheetId="29">#REF!</definedName>
    <definedName name="_______DAT9" localSheetId="16">#REF!</definedName>
    <definedName name="_______DAT9" localSheetId="20">#REF!</definedName>
    <definedName name="_______DAT9" localSheetId="43">#REF!</definedName>
    <definedName name="_______DAT9">#REF!</definedName>
    <definedName name="_______ksm14" localSheetId="26">#REF!</definedName>
    <definedName name="_______ksm14" localSheetId="29">#REF!</definedName>
    <definedName name="_______ksm14" localSheetId="16">#REF!</definedName>
    <definedName name="_______ksm14" localSheetId="20">#REF!</definedName>
    <definedName name="_______ksm14" localSheetId="43">#REF!</definedName>
    <definedName name="_______ksm14">#REF!</definedName>
    <definedName name="_______ksm6" localSheetId="26">#REF!</definedName>
    <definedName name="_______ksm6" localSheetId="29">#REF!</definedName>
    <definedName name="_______ksm6" localSheetId="16">#REF!</definedName>
    <definedName name="_______ksm6" localSheetId="20">#REF!</definedName>
    <definedName name="_______ksm6" localSheetId="43">#REF!</definedName>
    <definedName name="_______ksm6">#REF!</definedName>
    <definedName name="______DAT1" localSheetId="18">'[4]PO for Assets 2004'!#REF!</definedName>
    <definedName name="______DAT1" localSheetId="29">'[4]PO for Assets 2004'!#REF!</definedName>
    <definedName name="______DAT1" localSheetId="16">'[4]PO for Assets 2004'!#REF!</definedName>
    <definedName name="______DAT1" localSheetId="20">'[4]PO for Assets 2004'!#REF!</definedName>
    <definedName name="______DAT1" localSheetId="43">'[4]PO for Assets 2004'!#REF!</definedName>
    <definedName name="______DAT1">'[4]PO for Assets 2004'!#REF!</definedName>
    <definedName name="______DAT11" localSheetId="18">'[4]PO for Assets 2004'!#REF!</definedName>
    <definedName name="______DAT11" localSheetId="29">'[4]PO for Assets 2004'!#REF!</definedName>
    <definedName name="______DAT11" localSheetId="16">'[4]PO for Assets 2004'!#REF!</definedName>
    <definedName name="______DAT11" localSheetId="20">'[4]PO for Assets 2004'!#REF!</definedName>
    <definedName name="______DAT11" localSheetId="43">'[4]PO for Assets 2004'!#REF!</definedName>
    <definedName name="______DAT11">'[4]PO for Assets 2004'!#REF!</definedName>
    <definedName name="______DAT12" localSheetId="29">'[4]PO for Assets 2004'!#REF!</definedName>
    <definedName name="______DAT12" localSheetId="16">'[4]PO for Assets 2004'!#REF!</definedName>
    <definedName name="______DAT12" localSheetId="20">'[4]PO for Assets 2004'!#REF!</definedName>
    <definedName name="______DAT12" localSheetId="43">'[4]PO for Assets 2004'!#REF!</definedName>
    <definedName name="______DAT12">'[4]PO for Assets 2004'!#REF!</definedName>
    <definedName name="______DAT13" localSheetId="29">'[4]PO for Assets 2004'!#REF!</definedName>
    <definedName name="______DAT13" localSheetId="16">'[4]PO for Assets 2004'!#REF!</definedName>
    <definedName name="______DAT13" localSheetId="20">'[4]PO for Assets 2004'!#REF!</definedName>
    <definedName name="______DAT13" localSheetId="43">'[4]PO for Assets 2004'!#REF!</definedName>
    <definedName name="______DAT13">'[4]PO for Assets 2004'!#REF!</definedName>
    <definedName name="______DAT18" localSheetId="29">'[4]PO for Assets 2004'!#REF!</definedName>
    <definedName name="______DAT18" localSheetId="16">'[4]PO for Assets 2004'!#REF!</definedName>
    <definedName name="______DAT18" localSheetId="20">'[4]PO for Assets 2004'!#REF!</definedName>
    <definedName name="______DAT18" localSheetId="43">'[4]PO for Assets 2004'!#REF!</definedName>
    <definedName name="______DAT18">'[4]PO for Assets 2004'!#REF!</definedName>
    <definedName name="______DAT19" localSheetId="29">'[4]PO for Assets 2004'!#REF!</definedName>
    <definedName name="______DAT19" localSheetId="16">'[4]PO for Assets 2004'!#REF!</definedName>
    <definedName name="______DAT19" localSheetId="20">'[4]PO for Assets 2004'!#REF!</definedName>
    <definedName name="______DAT19" localSheetId="43">'[4]PO for Assets 2004'!#REF!</definedName>
    <definedName name="______DAT19">'[4]PO for Assets 2004'!#REF!</definedName>
    <definedName name="______DAT2" localSheetId="29">'[4]PO for Assets 2004'!#REF!</definedName>
    <definedName name="______DAT2" localSheetId="16">'[4]PO for Assets 2004'!#REF!</definedName>
    <definedName name="______DAT2" localSheetId="20">'[4]PO for Assets 2004'!#REF!</definedName>
    <definedName name="______DAT2" localSheetId="43">'[4]PO for Assets 2004'!#REF!</definedName>
    <definedName name="______DAT2">'[4]PO for Assets 2004'!#REF!</definedName>
    <definedName name="______DAT20" localSheetId="29">'[4]PO for Assets 2004'!#REF!</definedName>
    <definedName name="______DAT20" localSheetId="16">'[4]PO for Assets 2004'!#REF!</definedName>
    <definedName name="______DAT20" localSheetId="20">'[4]PO for Assets 2004'!#REF!</definedName>
    <definedName name="______DAT20" localSheetId="43">'[4]PO for Assets 2004'!#REF!</definedName>
    <definedName name="______DAT20">'[4]PO for Assets 2004'!#REF!</definedName>
    <definedName name="______DAT21" localSheetId="29">'[4]PO for Assets 2004'!#REF!</definedName>
    <definedName name="______DAT21" localSheetId="16">'[4]PO for Assets 2004'!#REF!</definedName>
    <definedName name="______DAT21" localSheetId="20">'[4]PO for Assets 2004'!#REF!</definedName>
    <definedName name="______DAT21" localSheetId="43">'[4]PO for Assets 2004'!#REF!</definedName>
    <definedName name="______DAT21">'[4]PO for Assets 2004'!#REF!</definedName>
    <definedName name="______DAT22" localSheetId="29">'[4]PO for Assets 2004'!#REF!</definedName>
    <definedName name="______DAT22" localSheetId="16">'[4]PO for Assets 2004'!#REF!</definedName>
    <definedName name="______DAT22" localSheetId="20">'[4]PO for Assets 2004'!#REF!</definedName>
    <definedName name="______DAT22" localSheetId="43">'[4]PO for Assets 2004'!#REF!</definedName>
    <definedName name="______DAT22">'[4]PO for Assets 2004'!#REF!</definedName>
    <definedName name="______DAT3" localSheetId="29">'[4]PO for Assets 2004'!#REF!</definedName>
    <definedName name="______DAT3" localSheetId="16">'[4]PO for Assets 2004'!#REF!</definedName>
    <definedName name="______DAT3" localSheetId="20">'[4]PO for Assets 2004'!#REF!</definedName>
    <definedName name="______DAT3" localSheetId="43">'[4]PO for Assets 2004'!#REF!</definedName>
    <definedName name="______DAT3">'[4]PO for Assets 2004'!#REF!</definedName>
    <definedName name="______DAT9" localSheetId="29">'[4]PO for Assets 2004'!#REF!</definedName>
    <definedName name="______DAT9" localSheetId="16">'[4]PO for Assets 2004'!#REF!</definedName>
    <definedName name="______DAT9" localSheetId="20">'[4]PO for Assets 2004'!#REF!</definedName>
    <definedName name="______DAT9" localSheetId="43">'[4]PO for Assets 2004'!#REF!</definedName>
    <definedName name="______DAT9">'[4]PO for Assets 2004'!#REF!</definedName>
    <definedName name="______ksm14" localSheetId="26">#REF!</definedName>
    <definedName name="______ksm14" localSheetId="18">#REF!</definedName>
    <definedName name="______ksm14" localSheetId="29">#REF!</definedName>
    <definedName name="______ksm14" localSheetId="16">#REF!</definedName>
    <definedName name="______ksm14" localSheetId="20">#REF!</definedName>
    <definedName name="______ksm14" localSheetId="43">#REF!</definedName>
    <definedName name="______ksm14">#REF!</definedName>
    <definedName name="______ksm6" localSheetId="26">#REF!</definedName>
    <definedName name="______ksm6" localSheetId="29">#REF!</definedName>
    <definedName name="______ksm6" localSheetId="16">#REF!</definedName>
    <definedName name="______ksm6" localSheetId="20">#REF!</definedName>
    <definedName name="______ksm6" localSheetId="43">#REF!</definedName>
    <definedName name="______ksm6">#REF!</definedName>
    <definedName name="_____DAT1" localSheetId="26">#REF!</definedName>
    <definedName name="_____DAT1" localSheetId="29">#REF!</definedName>
    <definedName name="_____DAT1" localSheetId="16">#REF!</definedName>
    <definedName name="_____DAT1" localSheetId="20">#REF!</definedName>
    <definedName name="_____DAT1" localSheetId="43">#REF!</definedName>
    <definedName name="_____DAT1">#REF!</definedName>
    <definedName name="_____DAT11" localSheetId="26">#REF!</definedName>
    <definedName name="_____DAT11" localSheetId="29">#REF!</definedName>
    <definedName name="_____DAT11" localSheetId="16">#REF!</definedName>
    <definedName name="_____DAT11" localSheetId="20">#REF!</definedName>
    <definedName name="_____DAT11" localSheetId="43">#REF!</definedName>
    <definedName name="_____DAT11">#REF!</definedName>
    <definedName name="_____DAT12" localSheetId="26">#REF!</definedName>
    <definedName name="_____DAT12" localSheetId="29">#REF!</definedName>
    <definedName name="_____DAT12" localSheetId="16">#REF!</definedName>
    <definedName name="_____DAT12" localSheetId="20">#REF!</definedName>
    <definedName name="_____DAT12" localSheetId="43">#REF!</definedName>
    <definedName name="_____DAT12">#REF!</definedName>
    <definedName name="_____DAT13" localSheetId="26">#REF!</definedName>
    <definedName name="_____DAT13" localSheetId="29">#REF!</definedName>
    <definedName name="_____DAT13" localSheetId="16">#REF!</definedName>
    <definedName name="_____DAT13" localSheetId="20">#REF!</definedName>
    <definedName name="_____DAT13" localSheetId="43">#REF!</definedName>
    <definedName name="_____DAT13">#REF!</definedName>
    <definedName name="_____DAT18" localSheetId="26">#REF!</definedName>
    <definedName name="_____DAT18" localSheetId="29">#REF!</definedName>
    <definedName name="_____DAT18" localSheetId="16">#REF!</definedName>
    <definedName name="_____DAT18" localSheetId="20">#REF!</definedName>
    <definedName name="_____DAT18" localSheetId="43">#REF!</definedName>
    <definedName name="_____DAT18">#REF!</definedName>
    <definedName name="_____DAT19" localSheetId="26">#REF!</definedName>
    <definedName name="_____DAT19" localSheetId="29">#REF!</definedName>
    <definedName name="_____DAT19" localSheetId="16">#REF!</definedName>
    <definedName name="_____DAT19" localSheetId="20">#REF!</definedName>
    <definedName name="_____DAT19" localSheetId="43">#REF!</definedName>
    <definedName name="_____DAT19">#REF!</definedName>
    <definedName name="_____DAT2" localSheetId="26">#REF!</definedName>
    <definedName name="_____DAT2" localSheetId="29">#REF!</definedName>
    <definedName name="_____DAT2" localSheetId="16">#REF!</definedName>
    <definedName name="_____DAT2" localSheetId="20">#REF!</definedName>
    <definedName name="_____DAT2" localSheetId="43">#REF!</definedName>
    <definedName name="_____DAT2">#REF!</definedName>
    <definedName name="_____DAT20" localSheetId="26">#REF!</definedName>
    <definedName name="_____DAT20" localSheetId="29">#REF!</definedName>
    <definedName name="_____DAT20" localSheetId="16">#REF!</definedName>
    <definedName name="_____DAT20" localSheetId="20">#REF!</definedName>
    <definedName name="_____DAT20" localSheetId="43">#REF!</definedName>
    <definedName name="_____DAT20">#REF!</definedName>
    <definedName name="_____DAT21" localSheetId="18">'[5]0904'!#REF!</definedName>
    <definedName name="_____DAT21" localSheetId="29">'[5]0904'!#REF!</definedName>
    <definedName name="_____DAT21" localSheetId="16">'[5]0904'!#REF!</definedName>
    <definedName name="_____DAT21" localSheetId="20">'[5]0904'!#REF!</definedName>
    <definedName name="_____DAT21" localSheetId="43">'[5]0904'!#REF!</definedName>
    <definedName name="_____DAT21">'[5]0904'!#REF!</definedName>
    <definedName name="_____DAT22" localSheetId="26">#REF!</definedName>
    <definedName name="_____DAT22" localSheetId="18">#REF!</definedName>
    <definedName name="_____DAT22" localSheetId="29">#REF!</definedName>
    <definedName name="_____DAT22" localSheetId="16">#REF!</definedName>
    <definedName name="_____DAT22" localSheetId="20">#REF!</definedName>
    <definedName name="_____DAT22" localSheetId="43">#REF!</definedName>
    <definedName name="_____DAT22">#REF!</definedName>
    <definedName name="_____DAT3" localSheetId="26">#REF!</definedName>
    <definedName name="_____DAT3" localSheetId="29">#REF!</definedName>
    <definedName name="_____DAT3" localSheetId="16">#REF!</definedName>
    <definedName name="_____DAT3" localSheetId="20">#REF!</definedName>
    <definedName name="_____DAT3" localSheetId="43">#REF!</definedName>
    <definedName name="_____DAT3">#REF!</definedName>
    <definedName name="_____DAT9" localSheetId="26">#REF!</definedName>
    <definedName name="_____DAT9" localSheetId="29">#REF!</definedName>
    <definedName name="_____DAT9" localSheetId="16">#REF!</definedName>
    <definedName name="_____DAT9" localSheetId="20">#REF!</definedName>
    <definedName name="_____DAT9" localSheetId="43">#REF!</definedName>
    <definedName name="_____DAT9">#REF!</definedName>
    <definedName name="_____ksm14" localSheetId="26">#REF!</definedName>
    <definedName name="_____ksm14" localSheetId="29">#REF!</definedName>
    <definedName name="_____ksm14" localSheetId="16">#REF!</definedName>
    <definedName name="_____ksm14" localSheetId="20">#REF!</definedName>
    <definedName name="_____ksm14" localSheetId="43">#REF!</definedName>
    <definedName name="_____ksm14">#REF!</definedName>
    <definedName name="_____ksm6" localSheetId="26">#REF!</definedName>
    <definedName name="_____ksm6" localSheetId="29">#REF!</definedName>
    <definedName name="_____ksm6" localSheetId="16">#REF!</definedName>
    <definedName name="_____ksm6" localSheetId="20">#REF!</definedName>
    <definedName name="_____ksm6" localSheetId="43">#REF!</definedName>
    <definedName name="_____ksm6">#REF!</definedName>
    <definedName name="____DAT1" localSheetId="18">'[4]PO for Assets 2004'!#REF!</definedName>
    <definedName name="____DAT1" localSheetId="29">'[4]PO for Assets 2004'!#REF!</definedName>
    <definedName name="____DAT1" localSheetId="16">'[4]PO for Assets 2004'!#REF!</definedName>
    <definedName name="____DAT1" localSheetId="20">'[4]PO for Assets 2004'!#REF!</definedName>
    <definedName name="____DAT1" localSheetId="43">'[4]PO for Assets 2004'!#REF!</definedName>
    <definedName name="____DAT1">'[4]PO for Assets 2004'!#REF!</definedName>
    <definedName name="____DAT11" localSheetId="18">'[4]PO for Assets 2004'!#REF!</definedName>
    <definedName name="____DAT11" localSheetId="29">'[4]PO for Assets 2004'!#REF!</definedName>
    <definedName name="____DAT11" localSheetId="16">'[4]PO for Assets 2004'!#REF!</definedName>
    <definedName name="____DAT11" localSheetId="20">'[4]PO for Assets 2004'!#REF!</definedName>
    <definedName name="____DAT11" localSheetId="43">'[4]PO for Assets 2004'!#REF!</definedName>
    <definedName name="____DAT11">'[4]PO for Assets 2004'!#REF!</definedName>
    <definedName name="____DAT12" localSheetId="29">'[4]PO for Assets 2004'!#REF!</definedName>
    <definedName name="____DAT12" localSheetId="16">'[4]PO for Assets 2004'!#REF!</definedName>
    <definedName name="____DAT12" localSheetId="20">'[4]PO for Assets 2004'!#REF!</definedName>
    <definedName name="____DAT12" localSheetId="43">'[4]PO for Assets 2004'!#REF!</definedName>
    <definedName name="____DAT12">'[4]PO for Assets 2004'!#REF!</definedName>
    <definedName name="____DAT13" localSheetId="29">'[4]PO for Assets 2004'!#REF!</definedName>
    <definedName name="____DAT13" localSheetId="16">'[4]PO for Assets 2004'!#REF!</definedName>
    <definedName name="____DAT13" localSheetId="20">'[4]PO for Assets 2004'!#REF!</definedName>
    <definedName name="____DAT13" localSheetId="43">'[4]PO for Assets 2004'!#REF!</definedName>
    <definedName name="____DAT13">'[4]PO for Assets 2004'!#REF!</definedName>
    <definedName name="____DAT18" localSheetId="29">'[4]PO for Assets 2004'!#REF!</definedName>
    <definedName name="____DAT18" localSheetId="16">'[4]PO for Assets 2004'!#REF!</definedName>
    <definedName name="____DAT18" localSheetId="20">'[4]PO for Assets 2004'!#REF!</definedName>
    <definedName name="____DAT18" localSheetId="43">'[4]PO for Assets 2004'!#REF!</definedName>
    <definedName name="____DAT18">'[4]PO for Assets 2004'!#REF!</definedName>
    <definedName name="____DAT19" localSheetId="29">'[4]PO for Assets 2004'!#REF!</definedName>
    <definedName name="____DAT19" localSheetId="16">'[4]PO for Assets 2004'!#REF!</definedName>
    <definedName name="____DAT19" localSheetId="20">'[4]PO for Assets 2004'!#REF!</definedName>
    <definedName name="____DAT19" localSheetId="43">'[4]PO for Assets 2004'!#REF!</definedName>
    <definedName name="____DAT19">'[4]PO for Assets 2004'!#REF!</definedName>
    <definedName name="____DAT2" localSheetId="29">'[4]PO for Assets 2004'!#REF!</definedName>
    <definedName name="____DAT2" localSheetId="16">'[4]PO for Assets 2004'!#REF!</definedName>
    <definedName name="____DAT2" localSheetId="20">'[4]PO for Assets 2004'!#REF!</definedName>
    <definedName name="____DAT2" localSheetId="43">'[4]PO for Assets 2004'!#REF!</definedName>
    <definedName name="____DAT2">'[4]PO for Assets 2004'!#REF!</definedName>
    <definedName name="____DAT20" localSheetId="29">'[4]PO for Assets 2004'!#REF!</definedName>
    <definedName name="____DAT20" localSheetId="16">'[4]PO for Assets 2004'!#REF!</definedName>
    <definedName name="____DAT20" localSheetId="20">'[4]PO for Assets 2004'!#REF!</definedName>
    <definedName name="____DAT20" localSheetId="43">'[4]PO for Assets 2004'!#REF!</definedName>
    <definedName name="____DAT20">'[4]PO for Assets 2004'!#REF!</definedName>
    <definedName name="____DAT21" localSheetId="29">'[4]PO for Assets 2004'!#REF!</definedName>
    <definedName name="____DAT21" localSheetId="16">'[4]PO for Assets 2004'!#REF!</definedName>
    <definedName name="____DAT21" localSheetId="20">'[4]PO for Assets 2004'!#REF!</definedName>
    <definedName name="____DAT21" localSheetId="43">'[4]PO for Assets 2004'!#REF!</definedName>
    <definedName name="____DAT21">'[4]PO for Assets 2004'!#REF!</definedName>
    <definedName name="____DAT22" localSheetId="29">'[4]PO for Assets 2004'!#REF!</definedName>
    <definedName name="____DAT22" localSheetId="16">'[4]PO for Assets 2004'!#REF!</definedName>
    <definedName name="____DAT22" localSheetId="20">'[4]PO for Assets 2004'!#REF!</definedName>
    <definedName name="____DAT22" localSheetId="43">'[4]PO for Assets 2004'!#REF!</definedName>
    <definedName name="____DAT22">'[4]PO for Assets 2004'!#REF!</definedName>
    <definedName name="____DAT3" localSheetId="29">'[4]PO for Assets 2004'!#REF!</definedName>
    <definedName name="____DAT3" localSheetId="16">'[4]PO for Assets 2004'!#REF!</definedName>
    <definedName name="____DAT3" localSheetId="20">'[4]PO for Assets 2004'!#REF!</definedName>
    <definedName name="____DAT3" localSheetId="43">'[4]PO for Assets 2004'!#REF!</definedName>
    <definedName name="____DAT3">'[4]PO for Assets 2004'!#REF!</definedName>
    <definedName name="____DAT9" localSheetId="29">'[4]PO for Assets 2004'!#REF!</definedName>
    <definedName name="____DAT9" localSheetId="16">'[4]PO for Assets 2004'!#REF!</definedName>
    <definedName name="____DAT9" localSheetId="20">'[4]PO for Assets 2004'!#REF!</definedName>
    <definedName name="____DAT9" localSheetId="43">'[4]PO for Assets 2004'!#REF!</definedName>
    <definedName name="____DAT9">'[4]PO for Assets 2004'!#REF!</definedName>
    <definedName name="____DET1" localSheetId="33">[6]FOIL!#REF!</definedName>
    <definedName name="____DET1" localSheetId="29">[6]FOIL!#REF!</definedName>
    <definedName name="____DET1" localSheetId="16">[6]FOIL!#REF!</definedName>
    <definedName name="____DET1" localSheetId="20">[6]FOIL!#REF!</definedName>
    <definedName name="____DET1">[6]FOIL!#REF!</definedName>
    <definedName name="____Grp12" localSheetId="33">#REF!</definedName>
    <definedName name="____Grp12" localSheetId="18">#REF!</definedName>
    <definedName name="____Grp12" localSheetId="29">#REF!</definedName>
    <definedName name="____Grp12" localSheetId="16">#REF!</definedName>
    <definedName name="____Grp12" localSheetId="20">#REF!</definedName>
    <definedName name="____Grp12">#REF!</definedName>
    <definedName name="____Grp13" localSheetId="26">#REF!</definedName>
    <definedName name="____Grp13" localSheetId="33">#REF!</definedName>
    <definedName name="____Grp13" localSheetId="29">#REF!</definedName>
    <definedName name="____Grp13" localSheetId="16">#REF!</definedName>
    <definedName name="____Grp13" localSheetId="20">#REF!</definedName>
    <definedName name="____Grp13" localSheetId="43">#REF!</definedName>
    <definedName name="____Grp13">#REF!</definedName>
    <definedName name="____Grp14" localSheetId="26">#REF!</definedName>
    <definedName name="____Grp14" localSheetId="33">#REF!</definedName>
    <definedName name="____Grp14" localSheetId="29">#REF!</definedName>
    <definedName name="____Grp14" localSheetId="16">#REF!</definedName>
    <definedName name="____Grp14" localSheetId="20">#REF!</definedName>
    <definedName name="____Grp14" localSheetId="43">#REF!</definedName>
    <definedName name="____Grp14">#REF!</definedName>
    <definedName name="____Grp15" localSheetId="26">#REF!</definedName>
    <definedName name="____Grp15" localSheetId="33">#REF!</definedName>
    <definedName name="____Grp15" localSheetId="29">#REF!</definedName>
    <definedName name="____Grp15" localSheetId="16">#REF!</definedName>
    <definedName name="____Grp15" localSheetId="20">#REF!</definedName>
    <definedName name="____Grp15" localSheetId="43">#REF!</definedName>
    <definedName name="____Grp15">#REF!</definedName>
    <definedName name="____Grp2" localSheetId="26">#REF!</definedName>
    <definedName name="____Grp2" localSheetId="33">#REF!</definedName>
    <definedName name="____Grp2" localSheetId="29">#REF!</definedName>
    <definedName name="____Grp2" localSheetId="16">#REF!</definedName>
    <definedName name="____Grp2" localSheetId="20">#REF!</definedName>
    <definedName name="____Grp2" localSheetId="43">#REF!</definedName>
    <definedName name="____Grp2">#REF!</definedName>
    <definedName name="____ksm14" localSheetId="26">#REF!</definedName>
    <definedName name="____ksm14" localSheetId="29">#REF!</definedName>
    <definedName name="____ksm14" localSheetId="16">#REF!</definedName>
    <definedName name="____ksm14" localSheetId="20">#REF!</definedName>
    <definedName name="____ksm14" localSheetId="43">#REF!</definedName>
    <definedName name="____ksm14">#REF!</definedName>
    <definedName name="____ksm6" localSheetId="26">#REF!</definedName>
    <definedName name="____ksm6" localSheetId="29">#REF!</definedName>
    <definedName name="____ksm6" localSheetId="16">#REF!</definedName>
    <definedName name="____ksm6" localSheetId="20">#REF!</definedName>
    <definedName name="____ksm6" localSheetId="43">#REF!</definedName>
    <definedName name="____ksm6">#REF!</definedName>
    <definedName name="____Sch10" localSheetId="26">'[7]Schedules PL'!#REF!</definedName>
    <definedName name="____Sch10" localSheetId="33">'[7]Schedules PL'!#REF!</definedName>
    <definedName name="____Sch10" localSheetId="18">'[7]Schedules PL'!#REF!</definedName>
    <definedName name="____Sch10" localSheetId="29">'[7]Schedules PL'!#REF!</definedName>
    <definedName name="____Sch10" localSheetId="16">'[7]Schedules PL'!#REF!</definedName>
    <definedName name="____Sch10" localSheetId="20">'[7]Schedules PL'!#REF!</definedName>
    <definedName name="____Sch10" localSheetId="43">'[7]Schedules PL'!#REF!</definedName>
    <definedName name="____Sch10">'[7]Schedules PL'!#REF!</definedName>
    <definedName name="____Sch11" localSheetId="26">'[7]Schedules PL'!#REF!</definedName>
    <definedName name="____Sch11" localSheetId="33">'[7]Schedules PL'!#REF!</definedName>
    <definedName name="____Sch11" localSheetId="18">'[7]Schedules PL'!#REF!</definedName>
    <definedName name="____Sch11" localSheetId="29">'[7]Schedules PL'!#REF!</definedName>
    <definedName name="____Sch11" localSheetId="16">'[7]Schedules PL'!#REF!</definedName>
    <definedName name="____Sch11" localSheetId="20">'[7]Schedules PL'!#REF!</definedName>
    <definedName name="____Sch11" localSheetId="43">'[7]Schedules PL'!#REF!</definedName>
    <definedName name="____Sch11">'[7]Schedules PL'!#REF!</definedName>
    <definedName name="____Sch12" localSheetId="26">'[7]Schedules PL'!#REF!</definedName>
    <definedName name="____Sch12" localSheetId="33">'[7]Schedules PL'!#REF!</definedName>
    <definedName name="____Sch12" localSheetId="29">'[7]Schedules PL'!#REF!</definedName>
    <definedName name="____Sch12" localSheetId="16">'[7]Schedules PL'!#REF!</definedName>
    <definedName name="____Sch12" localSheetId="20">'[7]Schedules PL'!#REF!</definedName>
    <definedName name="____Sch12" localSheetId="43">'[7]Schedules PL'!#REF!</definedName>
    <definedName name="____Sch12">'[7]Schedules PL'!#REF!</definedName>
    <definedName name="____Sch14" localSheetId="26">'[7]Schedules PL'!#REF!</definedName>
    <definedName name="____Sch14" localSheetId="33">'[7]Schedules PL'!#REF!</definedName>
    <definedName name="____Sch14" localSheetId="29">'[7]Schedules PL'!#REF!</definedName>
    <definedName name="____Sch14" localSheetId="16">'[7]Schedules PL'!#REF!</definedName>
    <definedName name="____Sch14" localSheetId="20">'[7]Schedules PL'!#REF!</definedName>
    <definedName name="____Sch14" localSheetId="43">'[7]Schedules PL'!#REF!</definedName>
    <definedName name="____Sch14">'[7]Schedules PL'!#REF!</definedName>
    <definedName name="____Sch15" localSheetId="33">'[7]Schedules PL'!#REF!</definedName>
    <definedName name="____Sch15" localSheetId="29">'[7]Schedules PL'!#REF!</definedName>
    <definedName name="____Sch15" localSheetId="16">'[7]Schedules PL'!#REF!</definedName>
    <definedName name="____Sch15" localSheetId="20">'[7]Schedules PL'!#REF!</definedName>
    <definedName name="____Sch15" localSheetId="43">'[7]Schedules PL'!#REF!</definedName>
    <definedName name="____Sch15">'[7]Schedules PL'!#REF!</definedName>
    <definedName name="____Sch2" localSheetId="33">'[7]Schedules PL'!#REF!</definedName>
    <definedName name="____Sch2" localSheetId="29">'[7]Schedules PL'!#REF!</definedName>
    <definedName name="____Sch2" localSheetId="16">'[7]Schedules PL'!#REF!</definedName>
    <definedName name="____Sch2" localSheetId="20">'[7]Schedules PL'!#REF!</definedName>
    <definedName name="____Sch2" localSheetId="43">'[7]Schedules PL'!#REF!</definedName>
    <definedName name="____Sch2">'[7]Schedules PL'!#REF!</definedName>
    <definedName name="____Sch4" localSheetId="33">'[7]Schedules PL'!#REF!</definedName>
    <definedName name="____Sch4" localSheetId="29">'[7]Schedules PL'!#REF!</definedName>
    <definedName name="____Sch4" localSheetId="16">'[7]Schedules PL'!#REF!</definedName>
    <definedName name="____Sch4" localSheetId="20">'[7]Schedules PL'!#REF!</definedName>
    <definedName name="____Sch4" localSheetId="43">'[7]Schedules PL'!#REF!</definedName>
    <definedName name="____Sch4">'[7]Schedules PL'!#REF!</definedName>
    <definedName name="____Sch5" localSheetId="33">'[7]Schedules PL'!#REF!</definedName>
    <definedName name="____Sch5" localSheetId="29">'[7]Schedules PL'!#REF!</definedName>
    <definedName name="____Sch5" localSheetId="16">'[7]Schedules PL'!#REF!</definedName>
    <definedName name="____Sch5" localSheetId="20">'[7]Schedules PL'!#REF!</definedName>
    <definedName name="____Sch5" localSheetId="43">'[7]Schedules PL'!#REF!</definedName>
    <definedName name="____Sch5">'[7]Schedules PL'!#REF!</definedName>
    <definedName name="____Sch6" localSheetId="33">'[7]Schedules PL'!#REF!</definedName>
    <definedName name="____Sch6" localSheetId="29">'[7]Schedules PL'!#REF!</definedName>
    <definedName name="____Sch6" localSheetId="16">'[7]Schedules PL'!#REF!</definedName>
    <definedName name="____Sch6" localSheetId="20">'[7]Schedules PL'!#REF!</definedName>
    <definedName name="____Sch6" localSheetId="43">'[7]Schedules PL'!#REF!</definedName>
    <definedName name="____Sch6">'[7]Schedules PL'!#REF!</definedName>
    <definedName name="____Sch7" localSheetId="33">'[7]Schedules PL'!#REF!</definedName>
    <definedName name="____Sch7" localSheetId="29">'[7]Schedules PL'!#REF!</definedName>
    <definedName name="____Sch7" localSheetId="16">'[7]Schedules PL'!#REF!</definedName>
    <definedName name="____Sch7" localSheetId="20">'[7]Schedules PL'!#REF!</definedName>
    <definedName name="____Sch7" localSheetId="43">'[7]Schedules PL'!#REF!</definedName>
    <definedName name="____Sch7">'[7]Schedules PL'!#REF!</definedName>
    <definedName name="____Sch8" localSheetId="33">'[7]Schedules PL'!#REF!</definedName>
    <definedName name="____Sch8" localSheetId="29">'[7]Schedules PL'!#REF!</definedName>
    <definedName name="____Sch8" localSheetId="16">'[7]Schedules PL'!#REF!</definedName>
    <definedName name="____Sch8" localSheetId="20">'[7]Schedules PL'!#REF!</definedName>
    <definedName name="____Sch8" localSheetId="43">'[7]Schedules PL'!#REF!</definedName>
    <definedName name="____Sch8">'[7]Schedules PL'!#REF!</definedName>
    <definedName name="____Sch9" localSheetId="33">'[7]Schedules BS'!#REF!</definedName>
    <definedName name="____Sch9" localSheetId="29">'[7]Schedules BS'!#REF!</definedName>
    <definedName name="____Sch9" localSheetId="16">'[7]Schedules BS'!#REF!</definedName>
    <definedName name="____Sch9" localSheetId="20">'[7]Schedules BS'!#REF!</definedName>
    <definedName name="____Sch9" localSheetId="43">'[7]Schedules BS'!#REF!</definedName>
    <definedName name="____Sch9">'[7]Schedules BS'!#REF!</definedName>
    <definedName name="___bb1" localSheetId="26">#REF!</definedName>
    <definedName name="___bb1" localSheetId="33">#REF!</definedName>
    <definedName name="___bb1" localSheetId="17">#REF!</definedName>
    <definedName name="___bb1" localSheetId="29">#REF!</definedName>
    <definedName name="___bb1" localSheetId="3">#REF!</definedName>
    <definedName name="___bb1" localSheetId="16">#REF!</definedName>
    <definedName name="___bb1" localSheetId="19">#REF!</definedName>
    <definedName name="___bb1" localSheetId="20">#REF!</definedName>
    <definedName name="___bb1" localSheetId="43">#REF!</definedName>
    <definedName name="___bb1">#REF!</definedName>
    <definedName name="___C" localSheetId="26">#REF!</definedName>
    <definedName name="___C" localSheetId="33">#REF!</definedName>
    <definedName name="___C" localSheetId="17">#REF!</definedName>
    <definedName name="___C" localSheetId="29">#REF!</definedName>
    <definedName name="___C" localSheetId="3">#REF!</definedName>
    <definedName name="___C" localSheetId="16">#REF!</definedName>
    <definedName name="___C" localSheetId="19">#REF!</definedName>
    <definedName name="___C" localSheetId="20">#REF!</definedName>
    <definedName name="___C" localSheetId="43">#REF!</definedName>
    <definedName name="___C">#REF!</definedName>
    <definedName name="___DAT1" localSheetId="26">'[4]PO for Assets 2004'!#REF!</definedName>
    <definedName name="___DAT1" localSheetId="23">'[4]PO for Assets 2004'!#REF!</definedName>
    <definedName name="___DAT1" localSheetId="18">'[4]PO for Assets 2004'!#REF!</definedName>
    <definedName name="___DAT1" localSheetId="29">'[4]PO for Assets 2004'!#REF!</definedName>
    <definedName name="___DAT1" localSheetId="16">'[4]PO for Assets 2004'!#REF!</definedName>
    <definedName name="___DAT1" localSheetId="20">'[4]PO for Assets 2004'!#REF!</definedName>
    <definedName name="___DAT1" localSheetId="43">'[4]PO for Assets 2004'!#REF!</definedName>
    <definedName name="___DAT1">'[4]PO for Assets 2004'!#REF!</definedName>
    <definedName name="___DAT11" localSheetId="26">'[4]PO for Assets 2004'!#REF!</definedName>
    <definedName name="___DAT11" localSheetId="18">'[4]PO for Assets 2004'!#REF!</definedName>
    <definedName name="___DAT11" localSheetId="29">'[4]PO for Assets 2004'!#REF!</definedName>
    <definedName name="___DAT11" localSheetId="16">'[4]PO for Assets 2004'!#REF!</definedName>
    <definedName name="___DAT11" localSheetId="20">'[4]PO for Assets 2004'!#REF!</definedName>
    <definedName name="___DAT11" localSheetId="43">'[4]PO for Assets 2004'!#REF!</definedName>
    <definedName name="___DAT11">'[4]PO for Assets 2004'!#REF!</definedName>
    <definedName name="___DAT12" localSheetId="26">'[4]PO for Assets 2004'!#REF!</definedName>
    <definedName name="___DAT12" localSheetId="29">'[4]PO for Assets 2004'!#REF!</definedName>
    <definedName name="___DAT12" localSheetId="16">'[4]PO for Assets 2004'!#REF!</definedName>
    <definedName name="___DAT12" localSheetId="20">'[4]PO for Assets 2004'!#REF!</definedName>
    <definedName name="___DAT12" localSheetId="43">'[4]PO for Assets 2004'!#REF!</definedName>
    <definedName name="___DAT12">'[4]PO for Assets 2004'!#REF!</definedName>
    <definedName name="___DAT13" localSheetId="26">'[4]PO for Assets 2004'!#REF!</definedName>
    <definedName name="___DAT13" localSheetId="29">'[4]PO for Assets 2004'!#REF!</definedName>
    <definedName name="___DAT13" localSheetId="16">'[4]PO for Assets 2004'!#REF!</definedName>
    <definedName name="___DAT13" localSheetId="20">'[4]PO for Assets 2004'!#REF!</definedName>
    <definedName name="___DAT13" localSheetId="43">'[4]PO for Assets 2004'!#REF!</definedName>
    <definedName name="___DAT13">'[4]PO for Assets 2004'!#REF!</definedName>
    <definedName name="___DAT18" localSheetId="29">'[4]PO for Assets 2004'!#REF!</definedName>
    <definedName name="___DAT18" localSheetId="16">'[4]PO for Assets 2004'!#REF!</definedName>
    <definedName name="___DAT18" localSheetId="20">'[4]PO for Assets 2004'!#REF!</definedName>
    <definedName name="___DAT18" localSheetId="43">'[4]PO for Assets 2004'!#REF!</definedName>
    <definedName name="___DAT18">'[4]PO for Assets 2004'!#REF!</definedName>
    <definedName name="___DAT19" localSheetId="29">'[4]PO for Assets 2004'!#REF!</definedName>
    <definedName name="___DAT19" localSheetId="16">'[4]PO for Assets 2004'!#REF!</definedName>
    <definedName name="___DAT19" localSheetId="20">'[4]PO for Assets 2004'!#REF!</definedName>
    <definedName name="___DAT19" localSheetId="43">'[4]PO for Assets 2004'!#REF!</definedName>
    <definedName name="___DAT19">'[4]PO for Assets 2004'!#REF!</definedName>
    <definedName name="___DAT2" localSheetId="29">'[4]PO for Assets 2004'!#REF!</definedName>
    <definedName name="___DAT2" localSheetId="16">'[4]PO for Assets 2004'!#REF!</definedName>
    <definedName name="___DAT2" localSheetId="20">'[4]PO for Assets 2004'!#REF!</definedName>
    <definedName name="___DAT2" localSheetId="43">'[4]PO for Assets 2004'!#REF!</definedName>
    <definedName name="___DAT2">'[4]PO for Assets 2004'!#REF!</definedName>
    <definedName name="___DAT20" localSheetId="29">'[4]PO for Assets 2004'!#REF!</definedName>
    <definedName name="___DAT20" localSheetId="16">'[4]PO for Assets 2004'!#REF!</definedName>
    <definedName name="___DAT20" localSheetId="20">'[4]PO for Assets 2004'!#REF!</definedName>
    <definedName name="___DAT20" localSheetId="43">'[4]PO for Assets 2004'!#REF!</definedName>
    <definedName name="___DAT20">'[4]PO for Assets 2004'!#REF!</definedName>
    <definedName name="___DAT21" localSheetId="29">'[4]PO for Assets 2004'!#REF!</definedName>
    <definedName name="___DAT21" localSheetId="16">'[4]PO for Assets 2004'!#REF!</definedName>
    <definedName name="___DAT21" localSheetId="20">'[4]PO for Assets 2004'!#REF!</definedName>
    <definedName name="___DAT21" localSheetId="43">'[4]PO for Assets 2004'!#REF!</definedName>
    <definedName name="___DAT21">'[4]PO for Assets 2004'!#REF!</definedName>
    <definedName name="___DAT22" localSheetId="29">'[4]PO for Assets 2004'!#REF!</definedName>
    <definedName name="___DAT22" localSheetId="16">'[4]PO for Assets 2004'!#REF!</definedName>
    <definedName name="___DAT22" localSheetId="20">'[4]PO for Assets 2004'!#REF!</definedName>
    <definedName name="___DAT22" localSheetId="43">'[4]PO for Assets 2004'!#REF!</definedName>
    <definedName name="___DAT22">'[4]PO for Assets 2004'!#REF!</definedName>
    <definedName name="___DAT3" localSheetId="29">'[4]PO for Assets 2004'!#REF!</definedName>
    <definedName name="___DAT3" localSheetId="16">'[4]PO for Assets 2004'!#REF!</definedName>
    <definedName name="___DAT3" localSheetId="20">'[4]PO for Assets 2004'!#REF!</definedName>
    <definedName name="___DAT3" localSheetId="43">'[4]PO for Assets 2004'!#REF!</definedName>
    <definedName name="___DAT3">'[4]PO for Assets 2004'!#REF!</definedName>
    <definedName name="___DAT9" localSheetId="29">'[4]PO for Assets 2004'!#REF!</definedName>
    <definedName name="___DAT9" localSheetId="16">'[4]PO for Assets 2004'!#REF!</definedName>
    <definedName name="___DAT9" localSheetId="20">'[4]PO for Assets 2004'!#REF!</definedName>
    <definedName name="___DAT9" localSheetId="43">'[4]PO for Assets 2004'!#REF!</definedName>
    <definedName name="___DAT9">'[4]PO for Assets 2004'!#REF!</definedName>
    <definedName name="___DET1" localSheetId="33">[6]FOIL!#REF!</definedName>
    <definedName name="___DET1" localSheetId="17">[6]FOIL!#REF!</definedName>
    <definedName name="___DET1" localSheetId="48">[6]FOIL!#REF!</definedName>
    <definedName name="___DET1" localSheetId="29">[6]FOIL!#REF!</definedName>
    <definedName name="___DET1" localSheetId="3">[6]FOIL!#REF!</definedName>
    <definedName name="___DET1" localSheetId="35">[6]FOIL!#REF!</definedName>
    <definedName name="___DET1" localSheetId="16">[6]FOIL!#REF!</definedName>
    <definedName name="___DET1" localSheetId="5">[6]FOIL!#REF!</definedName>
    <definedName name="___DET1" localSheetId="19">[6]FOIL!#REF!</definedName>
    <definedName name="___DET1" localSheetId="20">[6]FOIL!#REF!</definedName>
    <definedName name="___DET1" localSheetId="43">[6]FOIL!#REF!</definedName>
    <definedName name="___DET1">[6]FOIL!#REF!</definedName>
    <definedName name="___Grp12" localSheetId="26">#REF!</definedName>
    <definedName name="___Grp12" localSheetId="33">#REF!</definedName>
    <definedName name="___Grp12" localSheetId="17">#REF!</definedName>
    <definedName name="___Grp12" localSheetId="48">#REF!</definedName>
    <definedName name="___Grp12" localSheetId="29">#REF!</definedName>
    <definedName name="___Grp12" localSheetId="3">#REF!</definedName>
    <definedName name="___Grp12" localSheetId="35">#REF!</definedName>
    <definedName name="___Grp12" localSheetId="16">#REF!</definedName>
    <definedName name="___Grp12" localSheetId="5">#REF!</definedName>
    <definedName name="___Grp12" localSheetId="19">#REF!</definedName>
    <definedName name="___Grp12" localSheetId="20">#REF!</definedName>
    <definedName name="___Grp12" localSheetId="43">#REF!</definedName>
    <definedName name="___Grp12">#REF!</definedName>
    <definedName name="___Grp13" localSheetId="26">#REF!</definedName>
    <definedName name="___Grp13" localSheetId="33">#REF!</definedName>
    <definedName name="___Grp13" localSheetId="17">#REF!</definedName>
    <definedName name="___Grp13" localSheetId="48">#REF!</definedName>
    <definedName name="___Grp13" localSheetId="29">#REF!</definedName>
    <definedName name="___Grp13" localSheetId="3">#REF!</definedName>
    <definedName name="___Grp13" localSheetId="35">#REF!</definedName>
    <definedName name="___Grp13" localSheetId="16">#REF!</definedName>
    <definedName name="___Grp13" localSheetId="5">#REF!</definedName>
    <definedName name="___Grp13" localSheetId="19">#REF!</definedName>
    <definedName name="___Grp13" localSheetId="20">#REF!</definedName>
    <definedName name="___Grp13" localSheetId="43">#REF!</definedName>
    <definedName name="___Grp13">#REF!</definedName>
    <definedName name="___Grp14" localSheetId="26">#REF!</definedName>
    <definedName name="___Grp14" localSheetId="33">#REF!</definedName>
    <definedName name="___Grp14" localSheetId="17">#REF!</definedName>
    <definedName name="___Grp14" localSheetId="48">#REF!</definedName>
    <definedName name="___Grp14" localSheetId="29">#REF!</definedName>
    <definedName name="___Grp14" localSheetId="3">#REF!</definedName>
    <definedName name="___Grp14" localSheetId="35">#REF!</definedName>
    <definedName name="___Grp14" localSheetId="16">#REF!</definedName>
    <definedName name="___Grp14" localSheetId="5">#REF!</definedName>
    <definedName name="___Grp14" localSheetId="19">#REF!</definedName>
    <definedName name="___Grp14" localSheetId="20">#REF!</definedName>
    <definedName name="___Grp14" localSheetId="43">#REF!</definedName>
    <definedName name="___Grp14">#REF!</definedName>
    <definedName name="___Grp15" localSheetId="26">#REF!</definedName>
    <definedName name="___Grp15" localSheetId="33">#REF!</definedName>
    <definedName name="___Grp15" localSheetId="17">#REF!</definedName>
    <definedName name="___Grp15" localSheetId="29">#REF!</definedName>
    <definedName name="___Grp15" localSheetId="3">#REF!</definedName>
    <definedName name="___Grp15" localSheetId="16">#REF!</definedName>
    <definedName name="___Grp15" localSheetId="5">#REF!</definedName>
    <definedName name="___Grp15" localSheetId="19">#REF!</definedName>
    <definedName name="___Grp15" localSheetId="20">#REF!</definedName>
    <definedName name="___Grp15" localSheetId="43">#REF!</definedName>
    <definedName name="___Grp15">#REF!</definedName>
    <definedName name="___Grp2" localSheetId="26">#REF!</definedName>
    <definedName name="___Grp2" localSheetId="33">#REF!</definedName>
    <definedName name="___Grp2" localSheetId="17">#REF!</definedName>
    <definedName name="___Grp2" localSheetId="29">#REF!</definedName>
    <definedName name="___Grp2" localSheetId="3">#REF!</definedName>
    <definedName name="___Grp2" localSheetId="16">#REF!</definedName>
    <definedName name="___Grp2" localSheetId="5">#REF!</definedName>
    <definedName name="___Grp2" localSheetId="19">#REF!</definedName>
    <definedName name="___Grp2" localSheetId="20">#REF!</definedName>
    <definedName name="___Grp2" localSheetId="43">#REF!</definedName>
    <definedName name="___Grp2">#REF!</definedName>
    <definedName name="___ksm14" localSheetId="26">#REF!</definedName>
    <definedName name="___ksm14" localSheetId="29">#REF!</definedName>
    <definedName name="___ksm14" localSheetId="16">#REF!</definedName>
    <definedName name="___ksm14" localSheetId="20">#REF!</definedName>
    <definedName name="___ksm14" localSheetId="43">#REF!</definedName>
    <definedName name="___ksm14">#REF!</definedName>
    <definedName name="___ksm6" localSheetId="26">#REF!</definedName>
    <definedName name="___ksm6" localSheetId="29">#REF!</definedName>
    <definedName name="___ksm6" localSheetId="16">#REF!</definedName>
    <definedName name="___ksm6" localSheetId="20">#REF!</definedName>
    <definedName name="___ksm6" localSheetId="43">#REF!</definedName>
    <definedName name="___ksm6">#REF!</definedName>
    <definedName name="___lia1" localSheetId="26">#REF!</definedName>
    <definedName name="___lia1" localSheetId="33">#REF!</definedName>
    <definedName name="___lia1" localSheetId="17">#REF!</definedName>
    <definedName name="___lia1" localSheetId="29">#REF!</definedName>
    <definedName name="___lia1" localSheetId="3">#REF!</definedName>
    <definedName name="___lia1" localSheetId="16">#REF!</definedName>
    <definedName name="___lia1" localSheetId="19">#REF!</definedName>
    <definedName name="___lia1" localSheetId="20">#REF!</definedName>
    <definedName name="___lia1" localSheetId="43">#REF!</definedName>
    <definedName name="___lia1">#REF!</definedName>
    <definedName name="___rdd1" localSheetId="26">#REF!</definedName>
    <definedName name="___rdd1" localSheetId="33">#REF!</definedName>
    <definedName name="___rdd1" localSheetId="17">#REF!</definedName>
    <definedName name="___rdd1" localSheetId="29">#REF!</definedName>
    <definedName name="___rdd1" localSheetId="3">#REF!</definedName>
    <definedName name="___rdd1" localSheetId="16">#REF!</definedName>
    <definedName name="___rdd1" localSheetId="19">#REF!</definedName>
    <definedName name="___rdd1" localSheetId="20">#REF!</definedName>
    <definedName name="___rdd1" localSheetId="43">#REF!</definedName>
    <definedName name="___rdd1">#REF!</definedName>
    <definedName name="___Sch10" localSheetId="26">'[7]Schedules PL'!#REF!</definedName>
    <definedName name="___Sch10" localSheetId="33">'[7]Schedules PL'!#REF!</definedName>
    <definedName name="___Sch10" localSheetId="17">'[7]Schedules PL'!#REF!</definedName>
    <definedName name="___Sch10" localSheetId="29">'[7]Schedules PL'!#REF!</definedName>
    <definedName name="___Sch10" localSheetId="3">'[7]Schedules PL'!#REF!</definedName>
    <definedName name="___Sch10" localSheetId="16">'[7]Schedules PL'!#REF!</definedName>
    <definedName name="___Sch10" localSheetId="5">'[7]Schedules PL'!#REF!</definedName>
    <definedName name="___Sch10" localSheetId="19">'[7]Schedules PL'!#REF!</definedName>
    <definedName name="___Sch10" localSheetId="20">'[7]Schedules PL'!#REF!</definedName>
    <definedName name="___Sch10" localSheetId="43">'[7]Schedules PL'!#REF!</definedName>
    <definedName name="___Sch10">'[7]Schedules PL'!#REF!</definedName>
    <definedName name="___Sch11" localSheetId="26">'[7]Schedules PL'!#REF!</definedName>
    <definedName name="___Sch11" localSheetId="33">'[7]Schedules PL'!#REF!</definedName>
    <definedName name="___Sch11" localSheetId="29">'[7]Schedules PL'!#REF!</definedName>
    <definedName name="___Sch11" localSheetId="3">'[7]Schedules PL'!#REF!</definedName>
    <definedName name="___Sch11" localSheetId="16">'[7]Schedules PL'!#REF!</definedName>
    <definedName name="___Sch11" localSheetId="5">'[7]Schedules PL'!#REF!</definedName>
    <definedName name="___Sch11" localSheetId="20">'[7]Schedules PL'!#REF!</definedName>
    <definedName name="___Sch11" localSheetId="43">'[7]Schedules PL'!#REF!</definedName>
    <definedName name="___Sch11">'[7]Schedules PL'!#REF!</definedName>
    <definedName name="___Sch12" localSheetId="26">'[7]Schedules PL'!#REF!</definedName>
    <definedName name="___Sch12" localSheetId="33">'[7]Schedules PL'!#REF!</definedName>
    <definedName name="___Sch12" localSheetId="29">'[7]Schedules PL'!#REF!</definedName>
    <definedName name="___Sch12" localSheetId="3">'[7]Schedules PL'!#REF!</definedName>
    <definedName name="___Sch12" localSheetId="16">'[7]Schedules PL'!#REF!</definedName>
    <definedName name="___Sch12" localSheetId="5">'[7]Schedules PL'!#REF!</definedName>
    <definedName name="___Sch12" localSheetId="20">'[7]Schedules PL'!#REF!</definedName>
    <definedName name="___Sch12" localSheetId="43">'[7]Schedules PL'!#REF!</definedName>
    <definedName name="___Sch12">'[7]Schedules PL'!#REF!</definedName>
    <definedName name="___Sch13" localSheetId="26">'[7]Schedules PL'!#REF!</definedName>
    <definedName name="___Sch13" localSheetId="33">'[7]Schedules PL'!#REF!</definedName>
    <definedName name="___Sch13" localSheetId="29">'[7]Schedules PL'!#REF!</definedName>
    <definedName name="___Sch13" localSheetId="16">'[7]Schedules PL'!#REF!</definedName>
    <definedName name="___Sch13" localSheetId="20">'[7]Schedules PL'!#REF!</definedName>
    <definedName name="___Sch13" localSheetId="43">'[7]Schedules PL'!#REF!</definedName>
    <definedName name="___Sch13">'[7]Schedules PL'!#REF!</definedName>
    <definedName name="___Sch14" localSheetId="33">'[7]Schedules PL'!#REF!</definedName>
    <definedName name="___Sch14" localSheetId="29">'[7]Schedules PL'!#REF!</definedName>
    <definedName name="___Sch14" localSheetId="3">'[7]Schedules PL'!#REF!</definedName>
    <definedName name="___Sch14" localSheetId="16">'[7]Schedules PL'!#REF!</definedName>
    <definedName name="___Sch14" localSheetId="5">'[7]Schedules PL'!#REF!</definedName>
    <definedName name="___Sch14" localSheetId="20">'[7]Schedules PL'!#REF!</definedName>
    <definedName name="___Sch14" localSheetId="43">'[7]Schedules PL'!#REF!</definedName>
    <definedName name="___Sch14">'[7]Schedules PL'!#REF!</definedName>
    <definedName name="___Sch15" localSheetId="33">'[7]Schedules PL'!#REF!</definedName>
    <definedName name="___Sch15" localSheetId="29">'[7]Schedules PL'!#REF!</definedName>
    <definedName name="___Sch15" localSheetId="3">'[7]Schedules PL'!#REF!</definedName>
    <definedName name="___Sch15" localSheetId="16">'[7]Schedules PL'!#REF!</definedName>
    <definedName name="___Sch15" localSheetId="5">'[7]Schedules PL'!#REF!</definedName>
    <definedName name="___Sch15" localSheetId="20">'[7]Schedules PL'!#REF!</definedName>
    <definedName name="___Sch15" localSheetId="43">'[7]Schedules PL'!#REF!</definedName>
    <definedName name="___Sch15">'[7]Schedules PL'!#REF!</definedName>
    <definedName name="___Sch2" localSheetId="33">'[7]Schedules PL'!#REF!</definedName>
    <definedName name="___Sch2" localSheetId="29">'[7]Schedules PL'!#REF!</definedName>
    <definedName name="___Sch2" localSheetId="3">'[7]Schedules PL'!#REF!</definedName>
    <definedName name="___Sch2" localSheetId="16">'[7]Schedules PL'!#REF!</definedName>
    <definedName name="___Sch2" localSheetId="5">'[7]Schedules PL'!#REF!</definedName>
    <definedName name="___Sch2" localSheetId="20">'[7]Schedules PL'!#REF!</definedName>
    <definedName name="___Sch2" localSheetId="43">'[7]Schedules PL'!#REF!</definedName>
    <definedName name="___Sch2">'[7]Schedules PL'!#REF!</definedName>
    <definedName name="___Sch4" localSheetId="33">'[7]Schedules PL'!#REF!</definedName>
    <definedName name="___Sch4" localSheetId="29">'[7]Schedules PL'!#REF!</definedName>
    <definedName name="___Sch4" localSheetId="3">'[7]Schedules PL'!#REF!</definedName>
    <definedName name="___Sch4" localSheetId="16">'[7]Schedules PL'!#REF!</definedName>
    <definedName name="___Sch4" localSheetId="5">'[7]Schedules PL'!#REF!</definedName>
    <definedName name="___Sch4" localSheetId="20">'[7]Schedules PL'!#REF!</definedName>
    <definedName name="___Sch4" localSheetId="43">'[7]Schedules PL'!#REF!</definedName>
    <definedName name="___Sch4">'[7]Schedules PL'!#REF!</definedName>
    <definedName name="___Sch5" localSheetId="33">'[7]Schedules PL'!#REF!</definedName>
    <definedName name="___Sch5" localSheetId="29">'[7]Schedules PL'!#REF!</definedName>
    <definedName name="___Sch5" localSheetId="3">'[7]Schedules PL'!#REF!</definedName>
    <definedName name="___Sch5" localSheetId="16">'[7]Schedules PL'!#REF!</definedName>
    <definedName name="___Sch5" localSheetId="5">'[7]Schedules PL'!#REF!</definedName>
    <definedName name="___Sch5" localSheetId="20">'[7]Schedules PL'!#REF!</definedName>
    <definedName name="___Sch5" localSheetId="43">'[7]Schedules PL'!#REF!</definedName>
    <definedName name="___Sch5">'[7]Schedules PL'!#REF!</definedName>
    <definedName name="___Sch6" localSheetId="33">'[7]Schedules PL'!#REF!</definedName>
    <definedName name="___Sch6" localSheetId="29">'[7]Schedules PL'!#REF!</definedName>
    <definedName name="___Sch6" localSheetId="3">'[7]Schedules PL'!#REF!</definedName>
    <definedName name="___Sch6" localSheetId="16">'[7]Schedules PL'!#REF!</definedName>
    <definedName name="___Sch6" localSheetId="5">'[7]Schedules PL'!#REF!</definedName>
    <definedName name="___Sch6" localSheetId="20">'[7]Schedules PL'!#REF!</definedName>
    <definedName name="___Sch6" localSheetId="43">'[7]Schedules PL'!#REF!</definedName>
    <definedName name="___Sch6">'[7]Schedules PL'!#REF!</definedName>
    <definedName name="___Sch7" localSheetId="33">'[7]Schedules PL'!#REF!</definedName>
    <definedName name="___Sch7" localSheetId="29">'[7]Schedules PL'!#REF!</definedName>
    <definedName name="___Sch7" localSheetId="3">'[7]Schedules PL'!#REF!</definedName>
    <definedName name="___Sch7" localSheetId="16">'[7]Schedules PL'!#REF!</definedName>
    <definedName name="___Sch7" localSheetId="5">'[7]Schedules PL'!#REF!</definedName>
    <definedName name="___Sch7" localSheetId="20">'[7]Schedules PL'!#REF!</definedName>
    <definedName name="___Sch7" localSheetId="43">'[7]Schedules PL'!#REF!</definedName>
    <definedName name="___Sch7">'[7]Schedules PL'!#REF!</definedName>
    <definedName name="___Sch8" localSheetId="33">'[7]Schedules PL'!#REF!</definedName>
    <definedName name="___Sch8" localSheetId="29">'[7]Schedules PL'!#REF!</definedName>
    <definedName name="___Sch8" localSheetId="3">'[7]Schedules PL'!#REF!</definedName>
    <definedName name="___Sch8" localSheetId="16">'[7]Schedules PL'!#REF!</definedName>
    <definedName name="___Sch8" localSheetId="5">'[7]Schedules PL'!#REF!</definedName>
    <definedName name="___Sch8" localSheetId="20">'[7]Schedules PL'!#REF!</definedName>
    <definedName name="___Sch8" localSheetId="43">'[7]Schedules PL'!#REF!</definedName>
    <definedName name="___Sch8">'[7]Schedules PL'!#REF!</definedName>
    <definedName name="___Sch9" localSheetId="33">'[7]Schedules BS'!#REF!</definedName>
    <definedName name="___Sch9" localSheetId="29">'[7]Schedules BS'!#REF!</definedName>
    <definedName name="___Sch9" localSheetId="3">'[7]Schedules BS'!#REF!</definedName>
    <definedName name="___Sch9" localSheetId="16">'[7]Schedules BS'!#REF!</definedName>
    <definedName name="___Sch9" localSheetId="5">'[7]Schedules BS'!#REF!</definedName>
    <definedName name="___Sch9" localSheetId="20">'[7]Schedules BS'!#REF!</definedName>
    <definedName name="___Sch9" localSheetId="43">'[7]Schedules BS'!#REF!</definedName>
    <definedName name="___Sch9">'[7]Schedules BS'!#REF!</definedName>
    <definedName name="__123Graph_A" localSheetId="33" hidden="1">'[8]TRIAL BALANCE'!#REF!</definedName>
    <definedName name="__123Graph_A" localSheetId="48" hidden="1">'[9]TRIAL BALANCE'!#REF!</definedName>
    <definedName name="__123Graph_A" localSheetId="29" hidden="1">'[8]TRIAL BALANCE'!#REF!</definedName>
    <definedName name="__123Graph_A" localSheetId="3" hidden="1">'[8]TRIAL BALANCE'!#REF!</definedName>
    <definedName name="__123Graph_A" localSheetId="35" hidden="1">'[9]TRIAL BALANCE'!#REF!</definedName>
    <definedName name="__123Graph_A" localSheetId="16" hidden="1">'[8]TRIAL BALANCE'!#REF!</definedName>
    <definedName name="__123Graph_A" localSheetId="20" hidden="1">'[8]TRIAL BALANCE'!#REF!</definedName>
    <definedName name="__123Graph_A" localSheetId="43" hidden="1">'[8]TRIAL BALANCE'!#REF!</definedName>
    <definedName name="__123Graph_A" hidden="1">'[8]TRIAL BALANCE'!#REF!</definedName>
    <definedName name="__123Graph_B" localSheetId="33" hidden="1">'[8]TRIAL BALANCE'!#REF!</definedName>
    <definedName name="__123Graph_B" localSheetId="48" hidden="1">'[9]TRIAL BALANCE'!#REF!</definedName>
    <definedName name="__123Graph_B" localSheetId="29" hidden="1">'[8]TRIAL BALANCE'!#REF!</definedName>
    <definedName name="__123Graph_B" localSheetId="3" hidden="1">'[8]TRIAL BALANCE'!#REF!</definedName>
    <definedName name="__123Graph_B" localSheetId="35" hidden="1">'[9]TRIAL BALANCE'!#REF!</definedName>
    <definedName name="__123Graph_B" localSheetId="16" hidden="1">'[8]TRIAL BALANCE'!#REF!</definedName>
    <definedName name="__123Graph_B" localSheetId="20" hidden="1">'[8]TRIAL BALANCE'!#REF!</definedName>
    <definedName name="__123Graph_B" localSheetId="43" hidden="1">'[8]TRIAL BALANCE'!#REF!</definedName>
    <definedName name="__123Graph_B" hidden="1">'[8]TRIAL BALANCE'!#REF!</definedName>
    <definedName name="__123Graph_C" localSheetId="26" hidden="1">#REF!</definedName>
    <definedName name="__123Graph_C" localSheetId="18" hidden="1">#REF!</definedName>
    <definedName name="__123Graph_C" localSheetId="29" hidden="1">#REF!</definedName>
    <definedName name="__123Graph_C" localSheetId="16" hidden="1">#REF!</definedName>
    <definedName name="__123Graph_C" localSheetId="20" hidden="1">#REF!</definedName>
    <definedName name="__123Graph_C" localSheetId="43" hidden="1">#REF!</definedName>
    <definedName name="__123Graph_C" hidden="1">#REF!</definedName>
    <definedName name="__123Graph_D" localSheetId="26" hidden="1">#REF!</definedName>
    <definedName name="__123Graph_D" localSheetId="29" hidden="1">#REF!</definedName>
    <definedName name="__123Graph_D" localSheetId="16" hidden="1">#REF!</definedName>
    <definedName name="__123Graph_D" localSheetId="20" hidden="1">#REF!</definedName>
    <definedName name="__123Graph_D" localSheetId="43" hidden="1">#REF!</definedName>
    <definedName name="__123Graph_D" hidden="1">#REF!</definedName>
    <definedName name="__123Graph_E" localSheetId="26" hidden="1">#REF!</definedName>
    <definedName name="__123Graph_E" localSheetId="29" hidden="1">#REF!</definedName>
    <definedName name="__123Graph_E" localSheetId="16" hidden="1">#REF!</definedName>
    <definedName name="__123Graph_E" localSheetId="20" hidden="1">#REF!</definedName>
    <definedName name="__123Graph_E" localSheetId="43" hidden="1">#REF!</definedName>
    <definedName name="__123Graph_E" hidden="1">#REF!</definedName>
    <definedName name="__123Graph_F" localSheetId="26" hidden="1">#REF!</definedName>
    <definedName name="__123Graph_F" localSheetId="29" hidden="1">#REF!</definedName>
    <definedName name="__123Graph_F" localSheetId="16" hidden="1">#REF!</definedName>
    <definedName name="__123Graph_F" localSheetId="20" hidden="1">#REF!</definedName>
    <definedName name="__123Graph_F" localSheetId="43" hidden="1">#REF!</definedName>
    <definedName name="__123Graph_F" hidden="1">#REF!</definedName>
    <definedName name="__123Graph_X" localSheetId="26" hidden="1">'[8]TRIAL BALANCE'!#REF!</definedName>
    <definedName name="__123Graph_X" localSheetId="33" hidden="1">'[8]TRIAL BALANCE'!#REF!</definedName>
    <definedName name="__123Graph_X" localSheetId="48" hidden="1">'[9]TRIAL BALANCE'!#REF!</definedName>
    <definedName name="__123Graph_X" localSheetId="18" hidden="1">'[8]TRIAL BALANCE'!#REF!</definedName>
    <definedName name="__123Graph_X" localSheetId="29" hidden="1">'[8]TRIAL BALANCE'!#REF!</definedName>
    <definedName name="__123Graph_X" localSheetId="3" hidden="1">'[8]TRIAL BALANCE'!#REF!</definedName>
    <definedName name="__123Graph_X" localSheetId="35" hidden="1">'[9]TRIAL BALANCE'!#REF!</definedName>
    <definedName name="__123Graph_X" localSheetId="16" hidden="1">'[8]TRIAL BALANCE'!#REF!</definedName>
    <definedName name="__123Graph_X" localSheetId="20" hidden="1">'[8]TRIAL BALANCE'!#REF!</definedName>
    <definedName name="__123Graph_X" localSheetId="43" hidden="1">'[8]TRIAL BALANCE'!#REF!</definedName>
    <definedName name="__123Graph_X" hidden="1">'[8]TRIAL BALANCE'!#REF!</definedName>
    <definedName name="__bb1" localSheetId="26">#REF!</definedName>
    <definedName name="__bb1" localSheetId="33">#REF!</definedName>
    <definedName name="__bb1" localSheetId="17">#REF!</definedName>
    <definedName name="__bb1" localSheetId="29">#REF!</definedName>
    <definedName name="__bb1" localSheetId="3">#REF!</definedName>
    <definedName name="__bb1" localSheetId="16">#REF!</definedName>
    <definedName name="__bb1" localSheetId="19">#REF!</definedName>
    <definedName name="__bb1" localSheetId="20">#REF!</definedName>
    <definedName name="__bb1" localSheetId="43">#REF!</definedName>
    <definedName name="__bb1">#REF!</definedName>
    <definedName name="__C" localSheetId="26">#REF!</definedName>
    <definedName name="__C" localSheetId="33">#REF!</definedName>
    <definedName name="__C" localSheetId="17">#REF!</definedName>
    <definedName name="__C" localSheetId="29">#REF!</definedName>
    <definedName name="__C" localSheetId="3">#REF!</definedName>
    <definedName name="__C" localSheetId="16">#REF!</definedName>
    <definedName name="__C" localSheetId="19">#REF!</definedName>
    <definedName name="__C" localSheetId="20">#REF!</definedName>
    <definedName name="__C" localSheetId="43">#REF!</definedName>
    <definedName name="__C">#REF!</definedName>
    <definedName name="__DAT1" localSheetId="26">'[4]PO for Assets 2004'!#REF!</definedName>
    <definedName name="__DAT1" localSheetId="23">'[4]PO for Assets 2004'!#REF!</definedName>
    <definedName name="__DAT1" localSheetId="18">'[4]PO for Assets 2004'!#REF!</definedName>
    <definedName name="__DAT1" localSheetId="29">'[4]PO for Assets 2004'!#REF!</definedName>
    <definedName name="__DAT1" localSheetId="16">'[4]PO for Assets 2004'!#REF!</definedName>
    <definedName name="__DAT1" localSheetId="20">'[4]PO for Assets 2004'!#REF!</definedName>
    <definedName name="__DAT1" localSheetId="43">'[4]PO for Assets 2004'!#REF!</definedName>
    <definedName name="__DAT1">'[4]PO for Assets 2004'!#REF!</definedName>
    <definedName name="__DAT10" localSheetId="26">#REF!</definedName>
    <definedName name="__DAT10" localSheetId="18">#REF!</definedName>
    <definedName name="__DAT10" localSheetId="29">#REF!</definedName>
    <definedName name="__DAT10" localSheetId="16">#REF!</definedName>
    <definedName name="__DAT10" localSheetId="20">#REF!</definedName>
    <definedName name="__DAT10" localSheetId="43">#REF!</definedName>
    <definedName name="__DAT10">#REF!</definedName>
    <definedName name="__DAT100">'[10]#REF'!$CV$2:$CV$11188</definedName>
    <definedName name="__DAT101">'[10]#REF'!$CW$2:$CW$11188</definedName>
    <definedName name="__DAT102">'[10]#REF'!$CX$2:$CX$11188</definedName>
    <definedName name="__DAT103">'[10]#REF'!$CY$2:$CY$11188</definedName>
    <definedName name="__DAT104">'[10]#REF'!$CZ$2:$CZ$11188</definedName>
    <definedName name="__DAT105">'[10]#REF'!$DA$2:$DA$11188</definedName>
    <definedName name="__DAT106">'[10]#REF'!$DB$2:$DB$11188</definedName>
    <definedName name="__DAT107">'[10]#REF'!$DC$2:$DC$11188</definedName>
    <definedName name="__DAT108">'[10]#REF'!$DD$2:$DD$11188</definedName>
    <definedName name="__DAT11" localSheetId="23">'[4]PO for Assets 2004'!#REF!</definedName>
    <definedName name="__DAT11" localSheetId="18">'[4]PO for Assets 2004'!#REF!</definedName>
    <definedName name="__DAT11" localSheetId="29">'[4]PO for Assets 2004'!#REF!</definedName>
    <definedName name="__DAT11" localSheetId="16">'[4]PO for Assets 2004'!#REF!</definedName>
    <definedName name="__DAT11" localSheetId="20">'[4]PO for Assets 2004'!#REF!</definedName>
    <definedName name="__DAT11" localSheetId="43">'[4]PO for Assets 2004'!#REF!</definedName>
    <definedName name="__DAT11">'[4]PO for Assets 2004'!#REF!</definedName>
    <definedName name="__DAT111">[11]Sheet1!$D$2:$D$29</definedName>
    <definedName name="__DAT12" localSheetId="23">'[4]PO for Assets 2004'!#REF!</definedName>
    <definedName name="__DAT12" localSheetId="18">'[4]PO for Assets 2004'!#REF!</definedName>
    <definedName name="__DAT12" localSheetId="29">'[4]PO for Assets 2004'!#REF!</definedName>
    <definedName name="__DAT12" localSheetId="16">'[4]PO for Assets 2004'!#REF!</definedName>
    <definedName name="__DAT12" localSheetId="20">'[4]PO for Assets 2004'!#REF!</definedName>
    <definedName name="__DAT12" localSheetId="43">'[4]PO for Assets 2004'!#REF!</definedName>
    <definedName name="__DAT12">'[4]PO for Assets 2004'!#REF!</definedName>
    <definedName name="__DAT13" localSheetId="23">'[4]PO for Assets 2004'!#REF!</definedName>
    <definedName name="__DAT13" localSheetId="18">'[4]PO for Assets 2004'!#REF!</definedName>
    <definedName name="__DAT13" localSheetId="29">'[4]PO for Assets 2004'!#REF!</definedName>
    <definedName name="__DAT13" localSheetId="16">'[4]PO for Assets 2004'!#REF!</definedName>
    <definedName name="__DAT13" localSheetId="20">'[4]PO for Assets 2004'!#REF!</definedName>
    <definedName name="__DAT13" localSheetId="43">'[4]PO for Assets 2004'!#REF!</definedName>
    <definedName name="__DAT13">'[4]PO for Assets 2004'!#REF!</definedName>
    <definedName name="__DAT14" localSheetId="26">#REF!</definedName>
    <definedName name="__DAT14" localSheetId="18">#REF!</definedName>
    <definedName name="__DAT14" localSheetId="29">#REF!</definedName>
    <definedName name="__DAT14" localSheetId="16">#REF!</definedName>
    <definedName name="__DAT14" localSheetId="20">#REF!</definedName>
    <definedName name="__DAT14" localSheetId="43">#REF!</definedName>
    <definedName name="__DAT14">#REF!</definedName>
    <definedName name="__DAT15" localSheetId="26">#REF!</definedName>
    <definedName name="__DAT15" localSheetId="29">#REF!</definedName>
    <definedName name="__DAT15" localSheetId="16">#REF!</definedName>
    <definedName name="__DAT15" localSheetId="20">#REF!</definedName>
    <definedName name="__DAT15" localSheetId="43">#REF!</definedName>
    <definedName name="__DAT15">#REF!</definedName>
    <definedName name="__DAT16" localSheetId="26">#REF!</definedName>
    <definedName name="__DAT16" localSheetId="29">#REF!</definedName>
    <definedName name="__DAT16" localSheetId="16">#REF!</definedName>
    <definedName name="__DAT16" localSheetId="20">#REF!</definedName>
    <definedName name="__DAT16" localSheetId="43">#REF!</definedName>
    <definedName name="__DAT16">#REF!</definedName>
    <definedName name="__DAT17" localSheetId="26">#REF!</definedName>
    <definedName name="__DAT17" localSheetId="29">#REF!</definedName>
    <definedName name="__DAT17" localSheetId="16">#REF!</definedName>
    <definedName name="__DAT17" localSheetId="20">#REF!</definedName>
    <definedName name="__DAT17" localSheetId="43">#REF!</definedName>
    <definedName name="__DAT17">#REF!</definedName>
    <definedName name="__DAT18" localSheetId="18">'[4]PO for Assets 2004'!#REF!</definedName>
    <definedName name="__DAT18" localSheetId="29">'[4]PO for Assets 2004'!#REF!</definedName>
    <definedName name="__DAT18" localSheetId="16">'[4]PO for Assets 2004'!#REF!</definedName>
    <definedName name="__DAT18" localSheetId="20">'[4]PO for Assets 2004'!#REF!</definedName>
    <definedName name="__DAT18" localSheetId="43">'[4]PO for Assets 2004'!#REF!</definedName>
    <definedName name="__DAT18">'[4]PO for Assets 2004'!#REF!</definedName>
    <definedName name="__DAT19" localSheetId="18">'[4]PO for Assets 2004'!#REF!</definedName>
    <definedName name="__DAT19" localSheetId="29">'[4]PO for Assets 2004'!#REF!</definedName>
    <definedName name="__DAT19" localSheetId="16">'[4]PO for Assets 2004'!#REF!</definedName>
    <definedName name="__DAT19" localSheetId="20">'[4]PO for Assets 2004'!#REF!</definedName>
    <definedName name="__DAT19" localSheetId="43">'[4]PO for Assets 2004'!#REF!</definedName>
    <definedName name="__DAT19">'[4]PO for Assets 2004'!#REF!</definedName>
    <definedName name="__DAT2" localSheetId="29">'[4]PO for Assets 2004'!#REF!</definedName>
    <definedName name="__DAT2" localSheetId="16">'[4]PO for Assets 2004'!#REF!</definedName>
    <definedName name="__DAT2" localSheetId="20">'[4]PO for Assets 2004'!#REF!</definedName>
    <definedName name="__DAT2" localSheetId="43">'[4]PO for Assets 2004'!#REF!</definedName>
    <definedName name="__DAT2">'[4]PO for Assets 2004'!#REF!</definedName>
    <definedName name="__DAT20" localSheetId="29">'[4]PO for Assets 2004'!#REF!</definedName>
    <definedName name="__DAT20" localSheetId="16">'[4]PO for Assets 2004'!#REF!</definedName>
    <definedName name="__DAT20" localSheetId="20">'[4]PO for Assets 2004'!#REF!</definedName>
    <definedName name="__DAT20" localSheetId="43">'[4]PO for Assets 2004'!#REF!</definedName>
    <definedName name="__DAT20">'[4]PO for Assets 2004'!#REF!</definedName>
    <definedName name="__DAT21" localSheetId="29">'[4]PO for Assets 2004'!#REF!</definedName>
    <definedName name="__DAT21" localSheetId="16">'[4]PO for Assets 2004'!#REF!</definedName>
    <definedName name="__DAT21" localSheetId="20">'[4]PO for Assets 2004'!#REF!</definedName>
    <definedName name="__DAT21" localSheetId="43">'[4]PO for Assets 2004'!#REF!</definedName>
    <definedName name="__DAT21">'[4]PO for Assets 2004'!#REF!</definedName>
    <definedName name="__DAT22" localSheetId="29">'[4]PO for Assets 2004'!#REF!</definedName>
    <definedName name="__DAT22" localSheetId="16">'[4]PO for Assets 2004'!#REF!</definedName>
    <definedName name="__DAT22" localSheetId="20">'[4]PO for Assets 2004'!#REF!</definedName>
    <definedName name="__DAT22" localSheetId="43">'[4]PO for Assets 2004'!#REF!</definedName>
    <definedName name="__DAT22">'[4]PO for Assets 2004'!#REF!</definedName>
    <definedName name="__DAT23" localSheetId="29">'[12]IVL INV'!#REF!</definedName>
    <definedName name="__DAT23" localSheetId="16">'[12]IVL INV'!#REF!</definedName>
    <definedName name="__DAT23" localSheetId="20">'[12]IVL INV'!#REF!</definedName>
    <definedName name="__DAT23" localSheetId="43">'[12]IVL INV'!#REF!</definedName>
    <definedName name="__DAT23">'[12]IVL INV'!#REF!</definedName>
    <definedName name="__DAT24" localSheetId="26">#REF!</definedName>
    <definedName name="__DAT24" localSheetId="18">#REF!</definedName>
    <definedName name="__DAT24" localSheetId="29">#REF!</definedName>
    <definedName name="__DAT24" localSheetId="16">#REF!</definedName>
    <definedName name="__DAT24" localSheetId="20">#REF!</definedName>
    <definedName name="__DAT24" localSheetId="43">#REF!</definedName>
    <definedName name="__DAT24">#REF!</definedName>
    <definedName name="__DAT25" localSheetId="26">#REF!</definedName>
    <definedName name="__DAT25" localSheetId="29">#REF!</definedName>
    <definedName name="__DAT25" localSheetId="16">#REF!</definedName>
    <definedName name="__DAT25" localSheetId="20">#REF!</definedName>
    <definedName name="__DAT25" localSheetId="43">#REF!</definedName>
    <definedName name="__DAT25">#REF!</definedName>
    <definedName name="__DAT26" localSheetId="26">#REF!</definedName>
    <definedName name="__DAT26" localSheetId="29">#REF!</definedName>
    <definedName name="__DAT26" localSheetId="16">#REF!</definedName>
    <definedName name="__DAT26" localSheetId="20">#REF!</definedName>
    <definedName name="__DAT26" localSheetId="43">#REF!</definedName>
    <definedName name="__DAT26">#REF!</definedName>
    <definedName name="__DAT27" localSheetId="26">#REF!</definedName>
    <definedName name="__DAT27" localSheetId="29">#REF!</definedName>
    <definedName name="__DAT27" localSheetId="16">#REF!</definedName>
    <definedName name="__DAT27" localSheetId="20">#REF!</definedName>
    <definedName name="__DAT27" localSheetId="43">#REF!</definedName>
    <definedName name="__DAT27">#REF!</definedName>
    <definedName name="__DAT28" localSheetId="26">#REF!</definedName>
    <definedName name="__DAT28" localSheetId="29">#REF!</definedName>
    <definedName name="__DAT28" localSheetId="16">#REF!</definedName>
    <definedName name="__DAT28" localSheetId="20">#REF!</definedName>
    <definedName name="__DAT28" localSheetId="43">#REF!</definedName>
    <definedName name="__DAT28">#REF!</definedName>
    <definedName name="__DAT29" localSheetId="26">#REF!</definedName>
    <definedName name="__DAT29" localSheetId="29">#REF!</definedName>
    <definedName name="__DAT29" localSheetId="16">#REF!</definedName>
    <definedName name="__DAT29" localSheetId="20">#REF!</definedName>
    <definedName name="__DAT29" localSheetId="43">#REF!</definedName>
    <definedName name="__DAT29">#REF!</definedName>
    <definedName name="__DAT3" localSheetId="18">'[4]PO for Assets 2004'!#REF!</definedName>
    <definedName name="__DAT3" localSheetId="29">'[4]PO for Assets 2004'!#REF!</definedName>
    <definedName name="__DAT3" localSheetId="16">'[4]PO for Assets 2004'!#REF!</definedName>
    <definedName name="__DAT3" localSheetId="20">'[4]PO for Assets 2004'!#REF!</definedName>
    <definedName name="__DAT3" localSheetId="43">'[4]PO for Assets 2004'!#REF!</definedName>
    <definedName name="__DAT3">'[4]PO for Assets 2004'!#REF!</definedName>
    <definedName name="__DAT30" localSheetId="26">#REF!</definedName>
    <definedName name="__DAT30" localSheetId="18">#REF!</definedName>
    <definedName name="__DAT30" localSheetId="29">#REF!</definedName>
    <definedName name="__DAT30" localSheetId="16">#REF!</definedName>
    <definedName name="__DAT30" localSheetId="20">#REF!</definedName>
    <definedName name="__DAT30" localSheetId="43">#REF!</definedName>
    <definedName name="__DAT30">#REF!</definedName>
    <definedName name="__DAT31" localSheetId="26">#REF!</definedName>
    <definedName name="__DAT31" localSheetId="29">#REF!</definedName>
    <definedName name="__DAT31" localSheetId="16">#REF!</definedName>
    <definedName name="__DAT31" localSheetId="20">#REF!</definedName>
    <definedName name="__DAT31" localSheetId="43">#REF!</definedName>
    <definedName name="__DAT31">#REF!</definedName>
    <definedName name="__DAT32" localSheetId="26">#REF!</definedName>
    <definedName name="__DAT32" localSheetId="29">#REF!</definedName>
    <definedName name="__DAT32" localSheetId="16">#REF!</definedName>
    <definedName name="__DAT32" localSheetId="20">#REF!</definedName>
    <definedName name="__DAT32" localSheetId="43">#REF!</definedName>
    <definedName name="__DAT32">#REF!</definedName>
    <definedName name="__DAT33" localSheetId="26">#REF!</definedName>
    <definedName name="__DAT33" localSheetId="29">#REF!</definedName>
    <definedName name="__DAT33" localSheetId="16">#REF!</definedName>
    <definedName name="__DAT33" localSheetId="20">#REF!</definedName>
    <definedName name="__DAT33" localSheetId="43">#REF!</definedName>
    <definedName name="__DAT33">#REF!</definedName>
    <definedName name="__DAT34" localSheetId="26">#REF!</definedName>
    <definedName name="__DAT34" localSheetId="29">#REF!</definedName>
    <definedName name="__DAT34" localSheetId="16">#REF!</definedName>
    <definedName name="__DAT34" localSheetId="20">#REF!</definedName>
    <definedName name="__DAT34" localSheetId="43">#REF!</definedName>
    <definedName name="__DAT34">#REF!</definedName>
    <definedName name="__DAT35" localSheetId="26">#REF!</definedName>
    <definedName name="__DAT35" localSheetId="29">#REF!</definedName>
    <definedName name="__DAT35" localSheetId="16">#REF!</definedName>
    <definedName name="__DAT35" localSheetId="20">#REF!</definedName>
    <definedName name="__DAT35" localSheetId="43">#REF!</definedName>
    <definedName name="__DAT35">#REF!</definedName>
    <definedName name="__DAT36" localSheetId="26">#REF!</definedName>
    <definedName name="__DAT36" localSheetId="29">#REF!</definedName>
    <definedName name="__DAT36" localSheetId="16">#REF!</definedName>
    <definedName name="__DAT36" localSheetId="20">#REF!</definedName>
    <definedName name="__DAT36" localSheetId="43">#REF!</definedName>
    <definedName name="__DAT36">#REF!</definedName>
    <definedName name="__DAT37" localSheetId="26">#REF!</definedName>
    <definedName name="__DAT37" localSheetId="29">#REF!</definedName>
    <definedName name="__DAT37" localSheetId="16">#REF!</definedName>
    <definedName name="__DAT37" localSheetId="20">#REF!</definedName>
    <definedName name="__DAT37" localSheetId="43">#REF!</definedName>
    <definedName name="__DAT37">#REF!</definedName>
    <definedName name="__DAT38" localSheetId="26">#REF!</definedName>
    <definedName name="__DAT38" localSheetId="29">#REF!</definedName>
    <definedName name="__DAT38" localSheetId="16">#REF!</definedName>
    <definedName name="__DAT38" localSheetId="20">#REF!</definedName>
    <definedName name="__DAT38" localSheetId="43">#REF!</definedName>
    <definedName name="__DAT38">#REF!</definedName>
    <definedName name="__DAT39" localSheetId="26">#REF!</definedName>
    <definedName name="__DAT39" localSheetId="29">#REF!</definedName>
    <definedName name="__DAT39" localSheetId="16">#REF!</definedName>
    <definedName name="__DAT39" localSheetId="20">#REF!</definedName>
    <definedName name="__DAT39" localSheetId="43">#REF!</definedName>
    <definedName name="__DAT39">#REF!</definedName>
    <definedName name="__DAT4" localSheetId="26">#REF!</definedName>
    <definedName name="__DAT4" localSheetId="29">#REF!</definedName>
    <definedName name="__DAT4" localSheetId="16">#REF!</definedName>
    <definedName name="__DAT4" localSheetId="20">#REF!</definedName>
    <definedName name="__DAT4" localSheetId="43">#REF!</definedName>
    <definedName name="__DAT4">#REF!</definedName>
    <definedName name="__DAT40" localSheetId="26">#REF!</definedName>
    <definedName name="__DAT40" localSheetId="29">#REF!</definedName>
    <definedName name="__DAT40" localSheetId="16">#REF!</definedName>
    <definedName name="__DAT40" localSheetId="20">#REF!</definedName>
    <definedName name="__DAT40" localSheetId="43">#REF!</definedName>
    <definedName name="__DAT40">#REF!</definedName>
    <definedName name="__DAT41" localSheetId="26">#REF!</definedName>
    <definedName name="__DAT41" localSheetId="29">#REF!</definedName>
    <definedName name="__DAT41" localSheetId="16">#REF!</definedName>
    <definedName name="__DAT41" localSheetId="20">#REF!</definedName>
    <definedName name="__DAT41" localSheetId="43">#REF!</definedName>
    <definedName name="__DAT41">#REF!</definedName>
    <definedName name="__DAT42" localSheetId="26">#REF!</definedName>
    <definedName name="__DAT42" localSheetId="29">#REF!</definedName>
    <definedName name="__DAT42" localSheetId="16">#REF!</definedName>
    <definedName name="__DAT42" localSheetId="20">#REF!</definedName>
    <definedName name="__DAT42" localSheetId="43">#REF!</definedName>
    <definedName name="__DAT42">#REF!</definedName>
    <definedName name="__DAT43" localSheetId="26">#REF!</definedName>
    <definedName name="__DAT43" localSheetId="29">#REF!</definedName>
    <definedName name="__DAT43" localSheetId="16">#REF!</definedName>
    <definedName name="__DAT43" localSheetId="20">#REF!</definedName>
    <definedName name="__DAT43" localSheetId="43">#REF!</definedName>
    <definedName name="__DAT43">#REF!</definedName>
    <definedName name="__DAT44" localSheetId="26">#REF!</definedName>
    <definedName name="__DAT44" localSheetId="29">#REF!</definedName>
    <definedName name="__DAT44" localSheetId="16">#REF!</definedName>
    <definedName name="__DAT44" localSheetId="20">#REF!</definedName>
    <definedName name="__DAT44" localSheetId="43">#REF!</definedName>
    <definedName name="__DAT44">#REF!</definedName>
    <definedName name="__DAT45" localSheetId="26">#REF!</definedName>
    <definedName name="__DAT45" localSheetId="29">#REF!</definedName>
    <definedName name="__DAT45" localSheetId="16">#REF!</definedName>
    <definedName name="__DAT45" localSheetId="20">#REF!</definedName>
    <definedName name="__DAT45" localSheetId="43">#REF!</definedName>
    <definedName name="__DAT45">#REF!</definedName>
    <definedName name="__DAT46" localSheetId="26">#REF!</definedName>
    <definedName name="__DAT46" localSheetId="29">#REF!</definedName>
    <definedName name="__DAT46" localSheetId="16">#REF!</definedName>
    <definedName name="__DAT46" localSheetId="20">#REF!</definedName>
    <definedName name="__DAT46" localSheetId="43">#REF!</definedName>
    <definedName name="__DAT46">#REF!</definedName>
    <definedName name="__DAT47" localSheetId="26">#REF!</definedName>
    <definedName name="__DAT47" localSheetId="29">#REF!</definedName>
    <definedName name="__DAT47" localSheetId="16">#REF!</definedName>
    <definedName name="__DAT47" localSheetId="20">#REF!</definedName>
    <definedName name="__DAT47" localSheetId="43">#REF!</definedName>
    <definedName name="__DAT47">#REF!</definedName>
    <definedName name="__DAT48" localSheetId="26">#REF!</definedName>
    <definedName name="__DAT48" localSheetId="29">#REF!</definedName>
    <definedName name="__DAT48" localSheetId="16">#REF!</definedName>
    <definedName name="__DAT48" localSheetId="20">#REF!</definedName>
    <definedName name="__DAT48" localSheetId="43">#REF!</definedName>
    <definedName name="__DAT48">#REF!</definedName>
    <definedName name="__DAT49" localSheetId="26">#REF!</definedName>
    <definedName name="__DAT49" localSheetId="29">#REF!</definedName>
    <definedName name="__DAT49" localSheetId="16">#REF!</definedName>
    <definedName name="__DAT49" localSheetId="20">#REF!</definedName>
    <definedName name="__DAT49" localSheetId="43">#REF!</definedName>
    <definedName name="__DAT49">#REF!</definedName>
    <definedName name="__DAT5" localSheetId="26">#REF!</definedName>
    <definedName name="__DAT5" localSheetId="29">#REF!</definedName>
    <definedName name="__DAT5" localSheetId="16">#REF!</definedName>
    <definedName name="__DAT5" localSheetId="20">#REF!</definedName>
    <definedName name="__DAT5" localSheetId="43">#REF!</definedName>
    <definedName name="__DAT5">#REF!</definedName>
    <definedName name="__DAT50" localSheetId="26">#REF!</definedName>
    <definedName name="__DAT50" localSheetId="29">#REF!</definedName>
    <definedName name="__DAT50" localSheetId="16">#REF!</definedName>
    <definedName name="__DAT50" localSheetId="20">#REF!</definedName>
    <definedName name="__DAT50" localSheetId="43">#REF!</definedName>
    <definedName name="__DAT50">#REF!</definedName>
    <definedName name="__DAT51" localSheetId="26">#REF!</definedName>
    <definedName name="__DAT51" localSheetId="29">#REF!</definedName>
    <definedName name="__DAT51" localSheetId="16">#REF!</definedName>
    <definedName name="__DAT51" localSheetId="20">#REF!</definedName>
    <definedName name="__DAT51" localSheetId="43">#REF!</definedName>
    <definedName name="__DAT51">#REF!</definedName>
    <definedName name="__DAT52" localSheetId="26">#REF!</definedName>
    <definedName name="__DAT52" localSheetId="29">#REF!</definedName>
    <definedName name="__DAT52" localSheetId="16">#REF!</definedName>
    <definedName name="__DAT52" localSheetId="20">#REF!</definedName>
    <definedName name="__DAT52" localSheetId="43">#REF!</definedName>
    <definedName name="__DAT52">#REF!</definedName>
    <definedName name="__DAT53" localSheetId="26">#REF!</definedName>
    <definedName name="__DAT53" localSheetId="29">#REF!</definedName>
    <definedName name="__DAT53" localSheetId="16">#REF!</definedName>
    <definedName name="__DAT53" localSheetId="20">#REF!</definedName>
    <definedName name="__DAT53" localSheetId="43">#REF!</definedName>
    <definedName name="__DAT53">#REF!</definedName>
    <definedName name="__DAT54" localSheetId="26">#REF!</definedName>
    <definedName name="__DAT54" localSheetId="29">#REF!</definedName>
    <definedName name="__DAT54" localSheetId="16">#REF!</definedName>
    <definedName name="__DAT54" localSheetId="20">#REF!</definedName>
    <definedName name="__DAT54" localSheetId="43">#REF!</definedName>
    <definedName name="__DAT54">#REF!</definedName>
    <definedName name="__DAT55">[11]Sheet1!$P$2:$P$29</definedName>
    <definedName name="__DAT56" localSheetId="26">#REF!</definedName>
    <definedName name="__DAT56" localSheetId="18">#REF!</definedName>
    <definedName name="__DAT56" localSheetId="29">#REF!</definedName>
    <definedName name="__DAT56" localSheetId="16">#REF!</definedName>
    <definedName name="__DAT56" localSheetId="20">#REF!</definedName>
    <definedName name="__DAT56" localSheetId="43">#REF!</definedName>
    <definedName name="__DAT56">#REF!</definedName>
    <definedName name="__DAT561" localSheetId="26">[11]Sheet1!#REF!</definedName>
    <definedName name="__DAT561" localSheetId="23">[11]Sheet1!#REF!</definedName>
    <definedName name="__DAT561" localSheetId="18">[11]Sheet1!#REF!</definedName>
    <definedName name="__DAT561" localSheetId="29">[11]Sheet1!#REF!</definedName>
    <definedName name="__DAT561" localSheetId="16">[11]Sheet1!#REF!</definedName>
    <definedName name="__DAT561" localSheetId="20">[11]Sheet1!#REF!</definedName>
    <definedName name="__DAT561" localSheetId="43">[11]Sheet1!#REF!</definedName>
    <definedName name="__DAT561">[11]Sheet1!#REF!</definedName>
    <definedName name="__DAT57" localSheetId="26">#REF!</definedName>
    <definedName name="__DAT57" localSheetId="18">#REF!</definedName>
    <definedName name="__DAT57" localSheetId="29">#REF!</definedName>
    <definedName name="__DAT57" localSheetId="16">#REF!</definedName>
    <definedName name="__DAT57" localSheetId="20">#REF!</definedName>
    <definedName name="__DAT57" localSheetId="43">#REF!</definedName>
    <definedName name="__DAT57">#REF!</definedName>
    <definedName name="__DAT58" localSheetId="26">#REF!</definedName>
    <definedName name="__DAT58" localSheetId="29">#REF!</definedName>
    <definedName name="__DAT58" localSheetId="16">#REF!</definedName>
    <definedName name="__DAT58" localSheetId="20">#REF!</definedName>
    <definedName name="__DAT58" localSheetId="43">#REF!</definedName>
    <definedName name="__DAT58">#REF!</definedName>
    <definedName name="__DAT59" localSheetId="26">#REF!</definedName>
    <definedName name="__DAT59" localSheetId="29">#REF!</definedName>
    <definedName name="__DAT59" localSheetId="16">#REF!</definedName>
    <definedName name="__DAT59" localSheetId="20">#REF!</definedName>
    <definedName name="__DAT59" localSheetId="43">#REF!</definedName>
    <definedName name="__DAT59">#REF!</definedName>
    <definedName name="__DAT6" localSheetId="26">#REF!</definedName>
    <definedName name="__DAT6" localSheetId="29">#REF!</definedName>
    <definedName name="__DAT6" localSheetId="16">#REF!</definedName>
    <definedName name="__DAT6" localSheetId="20">#REF!</definedName>
    <definedName name="__DAT6" localSheetId="43">#REF!</definedName>
    <definedName name="__DAT6">#REF!</definedName>
    <definedName name="__DAt60">[11]Sheet1!$B$2:$B$29</definedName>
    <definedName name="__DAT61" localSheetId="26">#REF!</definedName>
    <definedName name="__DAT61" localSheetId="18">#REF!</definedName>
    <definedName name="__DAT61" localSheetId="29">#REF!</definedName>
    <definedName name="__DAT61" localSheetId="16">#REF!</definedName>
    <definedName name="__DAT61" localSheetId="20">#REF!</definedName>
    <definedName name="__DAT61" localSheetId="43">#REF!</definedName>
    <definedName name="__DAT61">#REF!</definedName>
    <definedName name="__DAT62" localSheetId="26">#REF!</definedName>
    <definedName name="__DAT62" localSheetId="29">#REF!</definedName>
    <definedName name="__DAT62" localSheetId="16">#REF!</definedName>
    <definedName name="__DAT62" localSheetId="20">#REF!</definedName>
    <definedName name="__DAT62" localSheetId="43">#REF!</definedName>
    <definedName name="__DAT62">#REF!</definedName>
    <definedName name="__DAT63" localSheetId="26">#REF!</definedName>
    <definedName name="__DAT63" localSheetId="29">#REF!</definedName>
    <definedName name="__DAT63" localSheetId="16">#REF!</definedName>
    <definedName name="__DAT63" localSheetId="20">#REF!</definedName>
    <definedName name="__DAT63" localSheetId="43">#REF!</definedName>
    <definedName name="__DAT63">#REF!</definedName>
    <definedName name="__DAT64" localSheetId="26">#REF!</definedName>
    <definedName name="__DAT64" localSheetId="29">#REF!</definedName>
    <definedName name="__DAT64" localSheetId="16">#REF!</definedName>
    <definedName name="__DAT64" localSheetId="20">#REF!</definedName>
    <definedName name="__DAT64" localSheetId="43">#REF!</definedName>
    <definedName name="__DAT64">#REF!</definedName>
    <definedName name="__DAT65" localSheetId="26">#REF!</definedName>
    <definedName name="__DAT65" localSheetId="29">#REF!</definedName>
    <definedName name="__DAT65" localSheetId="16">#REF!</definedName>
    <definedName name="__DAT65" localSheetId="20">#REF!</definedName>
    <definedName name="__DAT65" localSheetId="43">#REF!</definedName>
    <definedName name="__DAT65">#REF!</definedName>
    <definedName name="__DAT66" localSheetId="26">#REF!</definedName>
    <definedName name="__DAT66" localSheetId="29">#REF!</definedName>
    <definedName name="__DAT66" localSheetId="16">#REF!</definedName>
    <definedName name="__DAT66" localSheetId="20">#REF!</definedName>
    <definedName name="__DAT66" localSheetId="43">#REF!</definedName>
    <definedName name="__DAT66">#REF!</definedName>
    <definedName name="__DAT67" localSheetId="26">#REF!</definedName>
    <definedName name="__DAT67" localSheetId="29">#REF!</definedName>
    <definedName name="__DAT67" localSheetId="16">#REF!</definedName>
    <definedName name="__DAT67" localSheetId="20">#REF!</definedName>
    <definedName name="__DAT67" localSheetId="43">#REF!</definedName>
    <definedName name="__DAT67">#REF!</definedName>
    <definedName name="__DAT68" localSheetId="26">#REF!</definedName>
    <definedName name="__DAT68" localSheetId="29">#REF!</definedName>
    <definedName name="__DAT68" localSheetId="16">#REF!</definedName>
    <definedName name="__DAT68" localSheetId="20">#REF!</definedName>
    <definedName name="__DAT68" localSheetId="43">#REF!</definedName>
    <definedName name="__DAT68">#REF!</definedName>
    <definedName name="__DAT69" localSheetId="26">#REF!</definedName>
    <definedName name="__DAT69" localSheetId="29">#REF!</definedName>
    <definedName name="__DAT69" localSheetId="16">#REF!</definedName>
    <definedName name="__DAT69" localSheetId="20">#REF!</definedName>
    <definedName name="__DAT69" localSheetId="43">#REF!</definedName>
    <definedName name="__DAT69">#REF!</definedName>
    <definedName name="__DAT7" localSheetId="26">#REF!</definedName>
    <definedName name="__DAT7" localSheetId="29">#REF!</definedName>
    <definedName name="__DAT7" localSheetId="16">#REF!</definedName>
    <definedName name="__DAT7" localSheetId="20">#REF!</definedName>
    <definedName name="__DAT7" localSheetId="43">#REF!</definedName>
    <definedName name="__DAT7">#REF!</definedName>
    <definedName name="__DAT70" localSheetId="26">#REF!</definedName>
    <definedName name="__DAT70" localSheetId="29">#REF!</definedName>
    <definedName name="__DAT70" localSheetId="16">#REF!</definedName>
    <definedName name="__DAT70" localSheetId="20">#REF!</definedName>
    <definedName name="__DAT70" localSheetId="43">#REF!</definedName>
    <definedName name="__DAT70">#REF!</definedName>
    <definedName name="__DAT71" localSheetId="26">#REF!</definedName>
    <definedName name="__DAT71" localSheetId="29">#REF!</definedName>
    <definedName name="__DAT71" localSheetId="16">#REF!</definedName>
    <definedName name="__DAT71" localSheetId="20">#REF!</definedName>
    <definedName name="__DAT71" localSheetId="43">#REF!</definedName>
    <definedName name="__DAT71">#REF!</definedName>
    <definedName name="__DAT72" localSheetId="26">#REF!</definedName>
    <definedName name="__DAT72" localSheetId="29">#REF!</definedName>
    <definedName name="__DAT72" localSheetId="16">#REF!</definedName>
    <definedName name="__DAT72" localSheetId="20">#REF!</definedName>
    <definedName name="__DAT72" localSheetId="43">#REF!</definedName>
    <definedName name="__DAT72">#REF!</definedName>
    <definedName name="__DAT73" localSheetId="26">#REF!</definedName>
    <definedName name="__DAT73" localSheetId="29">#REF!</definedName>
    <definedName name="__DAT73" localSheetId="16">#REF!</definedName>
    <definedName name="__DAT73" localSheetId="20">#REF!</definedName>
    <definedName name="__DAT73" localSheetId="43">#REF!</definedName>
    <definedName name="__DAT73">#REF!</definedName>
    <definedName name="__DAT74" localSheetId="26">#REF!</definedName>
    <definedName name="__DAT74" localSheetId="29">#REF!</definedName>
    <definedName name="__DAT74" localSheetId="16">#REF!</definedName>
    <definedName name="__DAT74" localSheetId="20">#REF!</definedName>
    <definedName name="__DAT74" localSheetId="43">#REF!</definedName>
    <definedName name="__DAT74">#REF!</definedName>
    <definedName name="__DAT75" localSheetId="26">#REF!</definedName>
    <definedName name="__DAT75" localSheetId="29">#REF!</definedName>
    <definedName name="__DAT75" localSheetId="16">#REF!</definedName>
    <definedName name="__DAT75" localSheetId="20">#REF!</definedName>
    <definedName name="__DAT75" localSheetId="43">#REF!</definedName>
    <definedName name="__DAT75">#REF!</definedName>
    <definedName name="__DAT76" localSheetId="26">#REF!</definedName>
    <definedName name="__DAT76" localSheetId="29">#REF!</definedName>
    <definedName name="__DAT76" localSheetId="16">#REF!</definedName>
    <definedName name="__DAT76" localSheetId="20">#REF!</definedName>
    <definedName name="__DAT76" localSheetId="43">#REF!</definedName>
    <definedName name="__DAT76">#REF!</definedName>
    <definedName name="__DAT77" localSheetId="26">#REF!</definedName>
    <definedName name="__DAT77" localSheetId="29">#REF!</definedName>
    <definedName name="__DAT77" localSheetId="16">#REF!</definedName>
    <definedName name="__DAT77" localSheetId="20">#REF!</definedName>
    <definedName name="__DAT77" localSheetId="43">#REF!</definedName>
    <definedName name="__DAT77">#REF!</definedName>
    <definedName name="__DAT78" localSheetId="26">#REF!</definedName>
    <definedName name="__DAT78" localSheetId="29">#REF!</definedName>
    <definedName name="__DAT78" localSheetId="16">#REF!</definedName>
    <definedName name="__DAT78" localSheetId="20">#REF!</definedName>
    <definedName name="__DAT78" localSheetId="43">#REF!</definedName>
    <definedName name="__DAT78">#REF!</definedName>
    <definedName name="__DAT79" localSheetId="26">#REF!</definedName>
    <definedName name="__DAT79" localSheetId="29">#REF!</definedName>
    <definedName name="__DAT79" localSheetId="16">#REF!</definedName>
    <definedName name="__DAT79" localSheetId="20">#REF!</definedName>
    <definedName name="__DAT79" localSheetId="43">#REF!</definedName>
    <definedName name="__DAT79">#REF!</definedName>
    <definedName name="__DAT8" localSheetId="26">#REF!</definedName>
    <definedName name="__DAT8" localSheetId="29">#REF!</definedName>
    <definedName name="__DAT8" localSheetId="16">#REF!</definedName>
    <definedName name="__DAT8" localSheetId="20">#REF!</definedName>
    <definedName name="__DAT8" localSheetId="43">#REF!</definedName>
    <definedName name="__DAT8">#REF!</definedName>
    <definedName name="__DAT80" localSheetId="26">#REF!</definedName>
    <definedName name="__DAT80" localSheetId="29">#REF!</definedName>
    <definedName name="__DAT80" localSheetId="16">#REF!</definedName>
    <definedName name="__DAT80" localSheetId="20">#REF!</definedName>
    <definedName name="__DAT80" localSheetId="43">#REF!</definedName>
    <definedName name="__DAT80">#REF!</definedName>
    <definedName name="__DAT81" localSheetId="26">#REF!</definedName>
    <definedName name="__DAT81" localSheetId="29">#REF!</definedName>
    <definedName name="__DAT81" localSheetId="16">#REF!</definedName>
    <definedName name="__DAT81" localSheetId="20">#REF!</definedName>
    <definedName name="__DAT81" localSheetId="43">#REF!</definedName>
    <definedName name="__DAT81">#REF!</definedName>
    <definedName name="__DAT82" localSheetId="26">#REF!</definedName>
    <definedName name="__DAT82" localSheetId="29">#REF!</definedName>
    <definedName name="__DAT82" localSheetId="16">#REF!</definedName>
    <definedName name="__DAT82" localSheetId="20">#REF!</definedName>
    <definedName name="__DAT82" localSheetId="43">#REF!</definedName>
    <definedName name="__DAT82">#REF!</definedName>
    <definedName name="__DAT83" localSheetId="26">#REF!</definedName>
    <definedName name="__DAT83" localSheetId="29">#REF!</definedName>
    <definedName name="__DAT83" localSheetId="16">#REF!</definedName>
    <definedName name="__DAT83" localSheetId="20">#REF!</definedName>
    <definedName name="__DAT83" localSheetId="43">#REF!</definedName>
    <definedName name="__DAT83">#REF!</definedName>
    <definedName name="__DAT84" localSheetId="26">#REF!</definedName>
    <definedName name="__DAT84" localSheetId="29">#REF!</definedName>
    <definedName name="__DAT84" localSheetId="16">#REF!</definedName>
    <definedName name="__DAT84" localSheetId="20">#REF!</definedName>
    <definedName name="__DAT84" localSheetId="43">#REF!</definedName>
    <definedName name="__DAT84">#REF!</definedName>
    <definedName name="__DAT85" localSheetId="26">#REF!</definedName>
    <definedName name="__DAT85" localSheetId="29">#REF!</definedName>
    <definedName name="__DAT85" localSheetId="16">#REF!</definedName>
    <definedName name="__DAT85" localSheetId="20">#REF!</definedName>
    <definedName name="__DAT85" localSheetId="43">#REF!</definedName>
    <definedName name="__DAT85">#REF!</definedName>
    <definedName name="__DAT86" localSheetId="26">#REF!</definedName>
    <definedName name="__DAT86" localSheetId="29">#REF!</definedName>
    <definedName name="__DAT86" localSheetId="16">#REF!</definedName>
    <definedName name="__DAT86" localSheetId="20">#REF!</definedName>
    <definedName name="__DAT86" localSheetId="43">#REF!</definedName>
    <definedName name="__DAT86">#REF!</definedName>
    <definedName name="__DAT87" localSheetId="26">#REF!</definedName>
    <definedName name="__DAT87" localSheetId="29">#REF!</definedName>
    <definedName name="__DAT87" localSheetId="16">#REF!</definedName>
    <definedName name="__DAT87" localSheetId="20">#REF!</definedName>
    <definedName name="__DAT87" localSheetId="43">#REF!</definedName>
    <definedName name="__DAT87">#REF!</definedName>
    <definedName name="__DAT88">'[10]#REF'!$CJ$2:$CJ$11188</definedName>
    <definedName name="__DAT89">'[10]#REF'!$CK$2:$CK$11188</definedName>
    <definedName name="__DAT9" localSheetId="23">'[4]PO for Assets 2004'!#REF!</definedName>
    <definedName name="__DAT9" localSheetId="18">'[4]PO for Assets 2004'!#REF!</definedName>
    <definedName name="__DAT9" localSheetId="29">'[4]PO for Assets 2004'!#REF!</definedName>
    <definedName name="__DAT9" localSheetId="16">'[4]PO for Assets 2004'!#REF!</definedName>
    <definedName name="__DAT9" localSheetId="20">'[4]PO for Assets 2004'!#REF!</definedName>
    <definedName name="__DAT9" localSheetId="43">'[4]PO for Assets 2004'!#REF!</definedName>
    <definedName name="__DAT9">'[4]PO for Assets 2004'!#REF!</definedName>
    <definedName name="__DAT90">'[10]#REF'!$CL$2:$CL$11188</definedName>
    <definedName name="__DAT91">'[10]#REF'!$CM$2:$CM$11188</definedName>
    <definedName name="__DAT92">'[10]#REF'!$CN$2:$CN$11188</definedName>
    <definedName name="__DAT93">'[10]#REF'!$CO$2:$CO$11188</definedName>
    <definedName name="__DAT94">'[10]#REF'!$CP$2:$CP$11188</definedName>
    <definedName name="__DAT95">'[10]#REF'!$CQ$2:$CQ$11188</definedName>
    <definedName name="__DAT96">'[10]#REF'!$CR$2:$CR$11188</definedName>
    <definedName name="__DAT97">'[10]#REF'!$CS$2:$CS$11188</definedName>
    <definedName name="__DAT98">'[10]#REF'!$CT$2:$CT$11188</definedName>
    <definedName name="__DAT99">'[10]#REF'!$CU$2:$CU$11188</definedName>
    <definedName name="__DET1" localSheetId="26">[6]FOIL!#REF!</definedName>
    <definedName name="__DET1" localSheetId="33">[6]FOIL!#REF!</definedName>
    <definedName name="__DET1" localSheetId="17">[6]FOIL!#REF!</definedName>
    <definedName name="__DET1" localSheetId="48">[6]FOIL!#REF!</definedName>
    <definedName name="__DET1" localSheetId="18">[6]FOIL!#REF!</definedName>
    <definedName name="__DET1" localSheetId="29">[6]FOIL!#REF!</definedName>
    <definedName name="__DET1" localSheetId="3">[6]FOIL!#REF!</definedName>
    <definedName name="__DET1" localSheetId="35">[6]FOIL!#REF!</definedName>
    <definedName name="__DET1" localSheetId="16">[6]FOIL!#REF!</definedName>
    <definedName name="__DET1" localSheetId="5">[6]FOIL!#REF!</definedName>
    <definedName name="__DET1" localSheetId="19">[6]FOIL!#REF!</definedName>
    <definedName name="__DET1" localSheetId="20">[6]FOIL!#REF!</definedName>
    <definedName name="__DET1" localSheetId="43">[6]FOIL!#REF!</definedName>
    <definedName name="__DET1">[6]FOIL!#REF!</definedName>
    <definedName name="__Grp12" localSheetId="26">#REF!</definedName>
    <definedName name="__Grp12" localSheetId="33">#REF!</definedName>
    <definedName name="__Grp12" localSheetId="17">#REF!</definedName>
    <definedName name="__Grp12" localSheetId="48">#REF!</definedName>
    <definedName name="__Grp12" localSheetId="29">#REF!</definedName>
    <definedName name="__Grp12" localSheetId="3">#REF!</definedName>
    <definedName name="__Grp12" localSheetId="35">#REF!</definedName>
    <definedName name="__Grp12" localSheetId="16">#REF!</definedName>
    <definedName name="__Grp12" localSheetId="5">#REF!</definedName>
    <definedName name="__Grp12" localSheetId="19">#REF!</definedName>
    <definedName name="__Grp12" localSheetId="20">#REF!</definedName>
    <definedName name="__Grp12" localSheetId="43">#REF!</definedName>
    <definedName name="__Grp12">#REF!</definedName>
    <definedName name="__Grp13" localSheetId="26">#REF!</definedName>
    <definedName name="__Grp13" localSheetId="33">#REF!</definedName>
    <definedName name="__Grp13" localSheetId="17">#REF!</definedName>
    <definedName name="__Grp13" localSheetId="48">#REF!</definedName>
    <definedName name="__Grp13" localSheetId="29">#REF!</definedName>
    <definedName name="__Grp13" localSheetId="3">#REF!</definedName>
    <definedName name="__Grp13" localSheetId="35">#REF!</definedName>
    <definedName name="__Grp13" localSheetId="16">#REF!</definedName>
    <definedName name="__Grp13" localSheetId="5">#REF!</definedName>
    <definedName name="__Grp13" localSheetId="19">#REF!</definedName>
    <definedName name="__Grp13" localSheetId="20">#REF!</definedName>
    <definedName name="__Grp13" localSheetId="43">#REF!</definedName>
    <definedName name="__Grp13">#REF!</definedName>
    <definedName name="__Grp14" localSheetId="26">#REF!</definedName>
    <definedName name="__Grp14" localSheetId="33">#REF!</definedName>
    <definedName name="__Grp14" localSheetId="17">#REF!</definedName>
    <definedName name="__Grp14" localSheetId="48">#REF!</definedName>
    <definedName name="__Grp14" localSheetId="29">#REF!</definedName>
    <definedName name="__Grp14" localSheetId="3">#REF!</definedName>
    <definedName name="__Grp14" localSheetId="35">#REF!</definedName>
    <definedName name="__Grp14" localSheetId="16">#REF!</definedName>
    <definedName name="__Grp14" localSheetId="5">#REF!</definedName>
    <definedName name="__Grp14" localSheetId="19">#REF!</definedName>
    <definedName name="__Grp14" localSheetId="20">#REF!</definedName>
    <definedName name="__Grp14" localSheetId="43">#REF!</definedName>
    <definedName name="__Grp14">#REF!</definedName>
    <definedName name="__Grp15" localSheetId="26">#REF!</definedName>
    <definedName name="__Grp15" localSheetId="33">#REF!</definedName>
    <definedName name="__Grp15" localSheetId="17">#REF!</definedName>
    <definedName name="__Grp15" localSheetId="29">#REF!</definedName>
    <definedName name="__Grp15" localSheetId="3">#REF!</definedName>
    <definedName name="__Grp15" localSheetId="16">#REF!</definedName>
    <definedName name="__Grp15" localSheetId="5">#REF!</definedName>
    <definedName name="__Grp15" localSheetId="19">#REF!</definedName>
    <definedName name="__Grp15" localSheetId="20">#REF!</definedName>
    <definedName name="__Grp15" localSheetId="43">#REF!</definedName>
    <definedName name="__Grp15">#REF!</definedName>
    <definedName name="__Grp2" localSheetId="26">#REF!</definedName>
    <definedName name="__Grp2" localSheetId="33">#REF!</definedName>
    <definedName name="__Grp2" localSheetId="17">#REF!</definedName>
    <definedName name="__Grp2" localSheetId="29">#REF!</definedName>
    <definedName name="__Grp2" localSheetId="3">#REF!</definedName>
    <definedName name="__Grp2" localSheetId="16">#REF!</definedName>
    <definedName name="__Grp2" localSheetId="5">#REF!</definedName>
    <definedName name="__Grp2" localSheetId="19">#REF!</definedName>
    <definedName name="__Grp2" localSheetId="20">#REF!</definedName>
    <definedName name="__Grp2" localSheetId="43">#REF!</definedName>
    <definedName name="__Grp2">#REF!</definedName>
    <definedName name="__IMP1" localSheetId="26">#REF!</definedName>
    <definedName name="__IMP1" localSheetId="29">#REF!</definedName>
    <definedName name="__IMP1" localSheetId="16">#REF!</definedName>
    <definedName name="__IMP1" localSheetId="20">#REF!</definedName>
    <definedName name="__IMP1" localSheetId="43">#REF!</definedName>
    <definedName name="__IMP1">#REF!</definedName>
    <definedName name="__ksm14" localSheetId="26">#REF!</definedName>
    <definedName name="__ksm14" localSheetId="29">#REF!</definedName>
    <definedName name="__ksm14" localSheetId="16">#REF!</definedName>
    <definedName name="__ksm14" localSheetId="20">#REF!</definedName>
    <definedName name="__ksm14" localSheetId="43">#REF!</definedName>
    <definedName name="__ksm14">#REF!</definedName>
    <definedName name="__ksm6" localSheetId="26">#REF!</definedName>
    <definedName name="__ksm6" localSheetId="29">#REF!</definedName>
    <definedName name="__ksm6" localSheetId="16">#REF!</definedName>
    <definedName name="__ksm6" localSheetId="20">#REF!</definedName>
    <definedName name="__ksm6" localSheetId="43">#REF!</definedName>
    <definedName name="__ksm6">#REF!</definedName>
    <definedName name="__LF1" localSheetId="26">#REF!</definedName>
    <definedName name="__LF1" localSheetId="33">#REF!</definedName>
    <definedName name="__LF1" localSheetId="17">#REF!</definedName>
    <definedName name="__LF1" localSheetId="29">#REF!</definedName>
    <definedName name="__LF1" localSheetId="3">#REF!</definedName>
    <definedName name="__LF1" localSheetId="16">#REF!</definedName>
    <definedName name="__LF1" localSheetId="5">#REF!</definedName>
    <definedName name="__LF1" localSheetId="19">#REF!</definedName>
    <definedName name="__LF1" localSheetId="20">#REF!</definedName>
    <definedName name="__LF1" localSheetId="43">#REF!</definedName>
    <definedName name="__LF1">#REF!</definedName>
    <definedName name="__lia1" localSheetId="26">#REF!</definedName>
    <definedName name="__lia1" localSheetId="33">#REF!</definedName>
    <definedName name="__lia1" localSheetId="17">#REF!</definedName>
    <definedName name="__lia1" localSheetId="29">#REF!</definedName>
    <definedName name="__lia1" localSheetId="3">#REF!</definedName>
    <definedName name="__lia1" localSheetId="16">#REF!</definedName>
    <definedName name="__lia1" localSheetId="19">#REF!</definedName>
    <definedName name="__lia1" localSheetId="20">#REF!</definedName>
    <definedName name="__lia1" localSheetId="43">#REF!</definedName>
    <definedName name="__lia1">#REF!</definedName>
    <definedName name="__P999999" localSheetId="18">[13]Sales!#REF!</definedName>
    <definedName name="__P999999" localSheetId="29">[13]Sales!#REF!</definedName>
    <definedName name="__P999999" localSheetId="16">[13]Sales!#REF!</definedName>
    <definedName name="__P999999" localSheetId="20">[13]Sales!#REF!</definedName>
    <definedName name="__P999999" localSheetId="43">[13]Sales!#REF!</definedName>
    <definedName name="__P999999">[13]Sales!#REF!</definedName>
    <definedName name="__PKG1" localSheetId="26">#REF!</definedName>
    <definedName name="__PKG1" localSheetId="18">#REF!</definedName>
    <definedName name="__PKG1" localSheetId="29">#REF!</definedName>
    <definedName name="__PKG1" localSheetId="16">#REF!</definedName>
    <definedName name="__PKG1" localSheetId="20">#REF!</definedName>
    <definedName name="__PKG1" localSheetId="43">#REF!</definedName>
    <definedName name="__PKG1">#REF!</definedName>
    <definedName name="__PKG2" localSheetId="26">#REF!</definedName>
    <definedName name="__PKG2" localSheetId="29">#REF!</definedName>
    <definedName name="__PKG2" localSheetId="16">#REF!</definedName>
    <definedName name="__PKG2" localSheetId="20">#REF!</definedName>
    <definedName name="__PKG2" localSheetId="43">#REF!</definedName>
    <definedName name="__PKG2">#REF!</definedName>
    <definedName name="__pp2" localSheetId="26">#REF!</definedName>
    <definedName name="__pp2" localSheetId="29">#REF!</definedName>
    <definedName name="__pp2" localSheetId="16">#REF!</definedName>
    <definedName name="__pp2" localSheetId="20">#REF!</definedName>
    <definedName name="__pp2" localSheetId="43">#REF!</definedName>
    <definedName name="__pp2">#REF!</definedName>
    <definedName name="__QST30" localSheetId="26">#REF!</definedName>
    <definedName name="__QST30" localSheetId="29">#REF!</definedName>
    <definedName name="__QST30" localSheetId="16">#REF!</definedName>
    <definedName name="__QST30" localSheetId="20">#REF!</definedName>
    <definedName name="__QST30" localSheetId="43">#REF!</definedName>
    <definedName name="__QST30">#REF!</definedName>
    <definedName name="__rdd1" localSheetId="26">#REF!</definedName>
    <definedName name="__rdd1" localSheetId="33">#REF!</definedName>
    <definedName name="__rdd1" localSheetId="17">#REF!</definedName>
    <definedName name="__rdd1" localSheetId="29">#REF!</definedName>
    <definedName name="__rdd1" localSheetId="3">#REF!</definedName>
    <definedName name="__rdd1" localSheetId="16">#REF!</definedName>
    <definedName name="__rdd1" localSheetId="19">#REF!</definedName>
    <definedName name="__rdd1" localSheetId="20">#REF!</definedName>
    <definedName name="__rdd1" localSheetId="43">#REF!</definedName>
    <definedName name="__rdd1">#REF!</definedName>
    <definedName name="__Sch10" localSheetId="26">'[7]Schedules PL'!#REF!</definedName>
    <definedName name="__Sch10" localSheetId="33">'[7]Schedules PL'!#REF!</definedName>
    <definedName name="__Sch10" localSheetId="17">'[7]Schedules PL'!#REF!</definedName>
    <definedName name="__Sch10" localSheetId="29">'[7]Schedules PL'!#REF!</definedName>
    <definedName name="__Sch10" localSheetId="3">'[7]Schedules PL'!#REF!</definedName>
    <definedName name="__Sch10" localSheetId="16">'[7]Schedules PL'!#REF!</definedName>
    <definedName name="__Sch10" localSheetId="5">'[7]Schedules PL'!#REF!</definedName>
    <definedName name="__Sch10" localSheetId="19">'[7]Schedules PL'!#REF!</definedName>
    <definedName name="__Sch10" localSheetId="20">'[7]Schedules PL'!#REF!</definedName>
    <definedName name="__Sch10" localSheetId="43">'[7]Schedules PL'!#REF!</definedName>
    <definedName name="__Sch10">'[7]Schedules PL'!#REF!</definedName>
    <definedName name="__Sch11" localSheetId="26">'[7]Schedules PL'!#REF!</definedName>
    <definedName name="__Sch11" localSheetId="33">'[7]Schedules PL'!#REF!</definedName>
    <definedName name="__Sch11" localSheetId="29">'[7]Schedules PL'!#REF!</definedName>
    <definedName name="__Sch11" localSheetId="3">'[7]Schedules PL'!#REF!</definedName>
    <definedName name="__Sch11" localSheetId="16">'[7]Schedules PL'!#REF!</definedName>
    <definedName name="__Sch11" localSheetId="5">'[7]Schedules PL'!#REF!</definedName>
    <definedName name="__Sch11" localSheetId="20">'[7]Schedules PL'!#REF!</definedName>
    <definedName name="__Sch11" localSheetId="43">'[7]Schedules PL'!#REF!</definedName>
    <definedName name="__Sch11">'[7]Schedules PL'!#REF!</definedName>
    <definedName name="__Sch12" localSheetId="26">'[7]Schedules PL'!#REF!</definedName>
    <definedName name="__Sch12" localSheetId="33">'[7]Schedules PL'!#REF!</definedName>
    <definedName name="__Sch12" localSheetId="29">'[7]Schedules PL'!#REF!</definedName>
    <definedName name="__Sch12" localSheetId="16">'[7]Schedules PL'!#REF!</definedName>
    <definedName name="__Sch12" localSheetId="5">'[7]Schedules PL'!#REF!</definedName>
    <definedName name="__Sch12" localSheetId="20">'[7]Schedules PL'!#REF!</definedName>
    <definedName name="__Sch12" localSheetId="43">'[7]Schedules PL'!#REF!</definedName>
    <definedName name="__Sch12">'[7]Schedules PL'!#REF!</definedName>
    <definedName name="__Sch13" localSheetId="26">'[7]Schedules PL'!#REF!</definedName>
    <definedName name="__Sch13" localSheetId="33">'[7]Schedules PL'!#REF!</definedName>
    <definedName name="__Sch13" localSheetId="29">'[7]Schedules PL'!#REF!</definedName>
    <definedName name="__Sch13" localSheetId="16">'[7]Schedules PL'!#REF!</definedName>
    <definedName name="__Sch13" localSheetId="5">'[7]Schedules PL'!#REF!</definedName>
    <definedName name="__Sch13" localSheetId="20">'[7]Schedules PL'!#REF!</definedName>
    <definedName name="__Sch13" localSheetId="43">'[7]Schedules PL'!#REF!</definedName>
    <definedName name="__Sch13">'[7]Schedules PL'!#REF!</definedName>
    <definedName name="__Sch14" localSheetId="33">'[7]Schedules PL'!#REF!</definedName>
    <definedName name="__Sch14" localSheetId="29">'[7]Schedules PL'!#REF!</definedName>
    <definedName name="__Sch14" localSheetId="16">'[7]Schedules PL'!#REF!</definedName>
    <definedName name="__Sch14" localSheetId="5">'[7]Schedules PL'!#REF!</definedName>
    <definedName name="__Sch14" localSheetId="20">'[7]Schedules PL'!#REF!</definedName>
    <definedName name="__Sch14" localSheetId="43">'[7]Schedules PL'!#REF!</definedName>
    <definedName name="__Sch14">'[7]Schedules PL'!#REF!</definedName>
    <definedName name="__Sch15" localSheetId="33">'[7]Schedules PL'!#REF!</definedName>
    <definedName name="__Sch15" localSheetId="29">'[7]Schedules PL'!#REF!</definedName>
    <definedName name="__Sch15" localSheetId="16">'[7]Schedules PL'!#REF!</definedName>
    <definedName name="__Sch15" localSheetId="5">'[7]Schedules PL'!#REF!</definedName>
    <definedName name="__Sch15" localSheetId="20">'[7]Schedules PL'!#REF!</definedName>
    <definedName name="__Sch15" localSheetId="43">'[7]Schedules PL'!#REF!</definedName>
    <definedName name="__Sch15">'[7]Schedules PL'!#REF!</definedName>
    <definedName name="__Sch2" localSheetId="33">'[7]Schedules PL'!#REF!</definedName>
    <definedName name="__Sch2" localSheetId="29">'[7]Schedules PL'!#REF!</definedName>
    <definedName name="__Sch2" localSheetId="16">'[7]Schedules PL'!#REF!</definedName>
    <definedName name="__Sch2" localSheetId="5">'[7]Schedules PL'!#REF!</definedName>
    <definedName name="__Sch2" localSheetId="20">'[7]Schedules PL'!#REF!</definedName>
    <definedName name="__Sch2" localSheetId="43">'[7]Schedules PL'!#REF!</definedName>
    <definedName name="__Sch2">'[7]Schedules PL'!#REF!</definedName>
    <definedName name="__Sch4" localSheetId="33">'[7]Schedules PL'!#REF!</definedName>
    <definedName name="__Sch4" localSheetId="29">'[7]Schedules PL'!#REF!</definedName>
    <definedName name="__Sch4" localSheetId="16">'[7]Schedules PL'!#REF!</definedName>
    <definedName name="__Sch4" localSheetId="5">'[7]Schedules PL'!#REF!</definedName>
    <definedName name="__Sch4" localSheetId="20">'[7]Schedules PL'!#REF!</definedName>
    <definedName name="__Sch4" localSheetId="43">'[7]Schedules PL'!#REF!</definedName>
    <definedName name="__Sch4">'[7]Schedules PL'!#REF!</definedName>
    <definedName name="__Sch5" localSheetId="33">'[7]Schedules PL'!#REF!</definedName>
    <definedName name="__Sch5" localSheetId="29">'[7]Schedules PL'!#REF!</definedName>
    <definedName name="__Sch5" localSheetId="16">'[7]Schedules PL'!#REF!</definedName>
    <definedName name="__Sch5" localSheetId="5">'[7]Schedules PL'!#REF!</definedName>
    <definedName name="__Sch5" localSheetId="20">'[7]Schedules PL'!#REF!</definedName>
    <definedName name="__Sch5" localSheetId="43">'[7]Schedules PL'!#REF!</definedName>
    <definedName name="__Sch5">'[7]Schedules PL'!#REF!</definedName>
    <definedName name="__Sch6" localSheetId="33">'[7]Schedules PL'!#REF!</definedName>
    <definedName name="__Sch6" localSheetId="29">'[7]Schedules PL'!#REF!</definedName>
    <definedName name="__Sch6" localSheetId="16">'[7]Schedules PL'!#REF!</definedName>
    <definedName name="__Sch6" localSheetId="5">'[7]Schedules PL'!#REF!</definedName>
    <definedName name="__Sch6" localSheetId="20">'[7]Schedules PL'!#REF!</definedName>
    <definedName name="__Sch6" localSheetId="43">'[7]Schedules PL'!#REF!</definedName>
    <definedName name="__Sch6">'[7]Schedules PL'!#REF!</definedName>
    <definedName name="__Sch7" localSheetId="33">'[7]Schedules PL'!#REF!</definedName>
    <definedName name="__Sch7" localSheetId="29">'[7]Schedules PL'!#REF!</definedName>
    <definedName name="__Sch7" localSheetId="16">'[7]Schedules PL'!#REF!</definedName>
    <definedName name="__Sch7" localSheetId="5">'[7]Schedules PL'!#REF!</definedName>
    <definedName name="__Sch7" localSheetId="20">'[7]Schedules PL'!#REF!</definedName>
    <definedName name="__Sch7" localSheetId="43">'[7]Schedules PL'!#REF!</definedName>
    <definedName name="__Sch7">'[7]Schedules PL'!#REF!</definedName>
    <definedName name="__Sch8" localSheetId="33">'[7]Schedules PL'!#REF!</definedName>
    <definedName name="__Sch8" localSheetId="29">'[7]Schedules PL'!#REF!</definedName>
    <definedName name="__Sch8" localSheetId="16">'[7]Schedules PL'!#REF!</definedName>
    <definedName name="__Sch8" localSheetId="5">'[7]Schedules PL'!#REF!</definedName>
    <definedName name="__Sch8" localSheetId="20">'[7]Schedules PL'!#REF!</definedName>
    <definedName name="__Sch8" localSheetId="43">'[7]Schedules PL'!#REF!</definedName>
    <definedName name="__Sch8">'[7]Schedules PL'!#REF!</definedName>
    <definedName name="__Sch9" localSheetId="33">'[7]Schedules BS'!#REF!</definedName>
    <definedName name="__Sch9" localSheetId="29">'[7]Schedules BS'!#REF!</definedName>
    <definedName name="__Sch9" localSheetId="16">'[7]Schedules BS'!#REF!</definedName>
    <definedName name="__Sch9" localSheetId="5">'[7]Schedules BS'!#REF!</definedName>
    <definedName name="__Sch9" localSheetId="20">'[7]Schedules BS'!#REF!</definedName>
    <definedName name="__Sch9" localSheetId="43">'[7]Schedules BS'!#REF!</definedName>
    <definedName name="__Sch9">'[7]Schedules BS'!#REF!</definedName>
    <definedName name="__TB1" localSheetId="33">[14]COMICRO!#REF!</definedName>
    <definedName name="__TB1" localSheetId="29">[14]COMICRO!#REF!</definedName>
    <definedName name="__TB1" localSheetId="16">[14]COMICRO!#REF!</definedName>
    <definedName name="__TB1" localSheetId="20">[14]COMICRO!#REF!</definedName>
    <definedName name="__TB1" localSheetId="43">[14]COMICRO!#REF!</definedName>
    <definedName name="__TB1">[14]COMICRO!#REF!</definedName>
    <definedName name="__TB2" localSheetId="33">[14]COMICRO!#REF!</definedName>
    <definedName name="__TB2" localSheetId="29">[14]COMICRO!#REF!</definedName>
    <definedName name="__TB2" localSheetId="16">[14]COMICRO!#REF!</definedName>
    <definedName name="__TB2" localSheetId="20">[14]COMICRO!#REF!</definedName>
    <definedName name="__TB2" localSheetId="43">[14]COMICRO!#REF!</definedName>
    <definedName name="__TB2">[14]COMICRO!#REF!</definedName>
    <definedName name="__TB3" localSheetId="33">[14]COMICRO!#REF!</definedName>
    <definedName name="__TB3" localSheetId="29">[14]COMICRO!#REF!</definedName>
    <definedName name="__TB3" localSheetId="16">[14]COMICRO!#REF!</definedName>
    <definedName name="__TB3" localSheetId="20">[14]COMICRO!#REF!</definedName>
    <definedName name="__TB3" localSheetId="43">[14]COMICRO!#REF!</definedName>
    <definedName name="__TB3">[14]COMICRO!#REF!</definedName>
    <definedName name="__TB4" localSheetId="33">[14]COMICRO!#REF!</definedName>
    <definedName name="__TB4" localSheetId="29">[14]COMICRO!#REF!</definedName>
    <definedName name="__TB4" localSheetId="16">[14]COMICRO!#REF!</definedName>
    <definedName name="__TB4" localSheetId="20">[14]COMICRO!#REF!</definedName>
    <definedName name="__TB4" localSheetId="43">[14]COMICRO!#REF!</definedName>
    <definedName name="__TB4">[14]COMICRO!#REF!</definedName>
    <definedName name="__TB5" localSheetId="33">[14]COMICRO!#REF!</definedName>
    <definedName name="__TB5" localSheetId="29">[14]COMICRO!#REF!</definedName>
    <definedName name="__TB5" localSheetId="16">[14]COMICRO!#REF!</definedName>
    <definedName name="__TB5" localSheetId="20">[14]COMICRO!#REF!</definedName>
    <definedName name="__TB5" localSheetId="43">[14]COMICRO!#REF!</definedName>
    <definedName name="__TB5">[14]COMICRO!#REF!</definedName>
    <definedName name="__TB6" localSheetId="33">[14]COMICRO!#REF!</definedName>
    <definedName name="__TB6" localSheetId="29">[14]COMICRO!#REF!</definedName>
    <definedName name="__TB6" localSheetId="16">[14]COMICRO!#REF!</definedName>
    <definedName name="__TB6" localSheetId="20">[14]COMICRO!#REF!</definedName>
    <definedName name="__TB6" localSheetId="43">[14]COMICRO!#REF!</definedName>
    <definedName name="__TB6">[14]COMICRO!#REF!</definedName>
    <definedName name="__TB7" localSheetId="33">[14]COMICRO!#REF!</definedName>
    <definedName name="__TB7" localSheetId="29">[14]COMICRO!#REF!</definedName>
    <definedName name="__TB7" localSheetId="16">[14]COMICRO!#REF!</definedName>
    <definedName name="__TB7" localSheetId="20">[14]COMICRO!#REF!</definedName>
    <definedName name="__TB7" localSheetId="43">[14]COMICRO!#REF!</definedName>
    <definedName name="__TB7">[14]COMICRO!#REF!</definedName>
    <definedName name="__tot1" localSheetId="26">#REF!</definedName>
    <definedName name="__tot1" localSheetId="18">#REF!</definedName>
    <definedName name="__tot1" localSheetId="29">#REF!</definedName>
    <definedName name="__tot1" localSheetId="16">#REF!</definedName>
    <definedName name="__tot1" localSheetId="20">#REF!</definedName>
    <definedName name="__tot1" localSheetId="43">#REF!</definedName>
    <definedName name="__tot1">#REF!</definedName>
    <definedName name="__tot2" localSheetId="26">#REF!</definedName>
    <definedName name="__tot2" localSheetId="29">#REF!</definedName>
    <definedName name="__tot2" localSheetId="16">#REF!</definedName>
    <definedName name="__tot2" localSheetId="20">#REF!</definedName>
    <definedName name="__tot2" localSheetId="43">#REF!</definedName>
    <definedName name="__tot2">#REF!</definedName>
    <definedName name="_1">#N/A</definedName>
    <definedName name="_2" localSheetId="48">[15]Accounts!#REF!</definedName>
    <definedName name="_2" localSheetId="35">[15]Accounts!#REF!</definedName>
    <definedName name="_2">#N/A</definedName>
    <definedName name="_2B_9" localSheetId="26">#REF!</definedName>
    <definedName name="_2B_9" localSheetId="33">#REF!</definedName>
    <definedName name="_2B_9" localSheetId="17">#REF!</definedName>
    <definedName name="_2B_9" localSheetId="48">#REF!</definedName>
    <definedName name="_2B_9" localSheetId="29">#REF!</definedName>
    <definedName name="_2B_9" localSheetId="3">#REF!</definedName>
    <definedName name="_2B_9" localSheetId="35">#REF!</definedName>
    <definedName name="_2B_9" localSheetId="16">#REF!</definedName>
    <definedName name="_2B_9" localSheetId="5">#REF!</definedName>
    <definedName name="_2B_9" localSheetId="19">#REF!</definedName>
    <definedName name="_2B_9" localSheetId="20">#REF!</definedName>
    <definedName name="_2B_9" localSheetId="43">#REF!</definedName>
    <definedName name="_2B_9">#REF!</definedName>
    <definedName name="_4" localSheetId="26">[15]Accounts!#REF!</definedName>
    <definedName name="_4" localSheetId="33">[15]Accounts!#REF!</definedName>
    <definedName name="_4" localSheetId="18">[15]Accounts!#REF!</definedName>
    <definedName name="_4" localSheetId="29">[15]Accounts!#REF!</definedName>
    <definedName name="_4" localSheetId="16">[15]Accounts!#REF!</definedName>
    <definedName name="_4" localSheetId="20">[15]Accounts!#REF!</definedName>
    <definedName name="_4" localSheetId="43">[15]Accounts!#REF!</definedName>
    <definedName name="_4">[15]Accounts!#REF!</definedName>
    <definedName name="_99_00" localSheetId="26">[16]QTY!#REF!</definedName>
    <definedName name="_99_00" localSheetId="33">[16]QTY!#REF!</definedName>
    <definedName name="_99_00" localSheetId="48">[16]QTY!#REF!</definedName>
    <definedName name="_99_00" localSheetId="29">[16]QTY!#REF!</definedName>
    <definedName name="_99_00" localSheetId="35">[16]QTY!#REF!</definedName>
    <definedName name="_99_00" localSheetId="16">[16]QTY!#REF!</definedName>
    <definedName name="_99_00" localSheetId="5">[16]QTY!#REF!</definedName>
    <definedName name="_99_00" localSheetId="20">[16]QTY!#REF!</definedName>
    <definedName name="_99_00" localSheetId="43">[16]QTY!#REF!</definedName>
    <definedName name="_99_00">[16]QTY!#REF!</definedName>
    <definedName name="_ANX1" localSheetId="26">[17]BE!#REF!</definedName>
    <definedName name="_ANX1" localSheetId="33">[17]BE!#REF!</definedName>
    <definedName name="_ANX1" localSheetId="48">[18]BE!#REF!</definedName>
    <definedName name="_ANX1" localSheetId="29">[17]BE!#REF!</definedName>
    <definedName name="_ANX1" localSheetId="35">[18]BE!#REF!</definedName>
    <definedName name="_ANX1" localSheetId="16">[17]BE!#REF!</definedName>
    <definedName name="_ANX1" localSheetId="5">[17]BE!#REF!</definedName>
    <definedName name="_ANX1" localSheetId="20">[17]BE!#REF!</definedName>
    <definedName name="_ANX1" localSheetId="43">[17]BE!#REF!</definedName>
    <definedName name="_ANX1">[17]BE!#REF!</definedName>
    <definedName name="_ANX2" localSheetId="26">[17]BE!#REF!</definedName>
    <definedName name="_ANX2" localSheetId="33">[17]BE!#REF!</definedName>
    <definedName name="_ANX2" localSheetId="48">[18]BE!#REF!</definedName>
    <definedName name="_ANX2" localSheetId="29">[17]BE!#REF!</definedName>
    <definedName name="_ANX2" localSheetId="35">[18]BE!#REF!</definedName>
    <definedName name="_ANX2" localSheetId="16">[17]BE!#REF!</definedName>
    <definedName name="_ANX2" localSheetId="5">[17]BE!#REF!</definedName>
    <definedName name="_ANX2" localSheetId="20">[17]BE!#REF!</definedName>
    <definedName name="_ANX2" localSheetId="43">[17]BE!#REF!</definedName>
    <definedName name="_ANX2">[17]BE!#REF!</definedName>
    <definedName name="_ANX3">#N/A</definedName>
    <definedName name="_bb1" localSheetId="26">#REF!</definedName>
    <definedName name="_bb1" localSheetId="33">#REF!</definedName>
    <definedName name="_bb1" localSheetId="17">#REF!</definedName>
    <definedName name="_bb1" localSheetId="29">#REF!</definedName>
    <definedName name="_bb1" localSheetId="3">#REF!</definedName>
    <definedName name="_bb1" localSheetId="16">#REF!</definedName>
    <definedName name="_bb1" localSheetId="19">#REF!</definedName>
    <definedName name="_bb1" localSheetId="20">#REF!</definedName>
    <definedName name="_bb1" localSheetId="43">#REF!</definedName>
    <definedName name="_bb1">#REF!</definedName>
    <definedName name="_C" localSheetId="26">#REF!</definedName>
    <definedName name="_C" localSheetId="33">#REF!</definedName>
    <definedName name="_C" localSheetId="17">#REF!</definedName>
    <definedName name="_C" localSheetId="29">#REF!</definedName>
    <definedName name="_C" localSheetId="3">#REF!</definedName>
    <definedName name="_C" localSheetId="16">#REF!</definedName>
    <definedName name="_C" localSheetId="19">#REF!</definedName>
    <definedName name="_C" localSheetId="20">#REF!</definedName>
    <definedName name="_C" localSheetId="43">#REF!</definedName>
    <definedName name="_C">#REF!</definedName>
    <definedName name="_col1" localSheetId="26">#REF!</definedName>
    <definedName name="_col1" localSheetId="33">#REF!</definedName>
    <definedName name="_col1" localSheetId="17">#REF!</definedName>
    <definedName name="_col1" localSheetId="48">#REF!</definedName>
    <definedName name="_col1" localSheetId="29">#REF!</definedName>
    <definedName name="_col1" localSheetId="3">#REF!</definedName>
    <definedName name="_col1" localSheetId="35">#REF!</definedName>
    <definedName name="_col1" localSheetId="16">#REF!</definedName>
    <definedName name="_col1" localSheetId="19">#REF!</definedName>
    <definedName name="_col1" localSheetId="20">#REF!</definedName>
    <definedName name="_col1" localSheetId="43">#REF!</definedName>
    <definedName name="_col1">#REF!</definedName>
    <definedName name="_col10" localSheetId="26">#REF!</definedName>
    <definedName name="_col10" localSheetId="33">#REF!</definedName>
    <definedName name="_col10" localSheetId="17">#REF!</definedName>
    <definedName name="_col10" localSheetId="48">#REF!</definedName>
    <definedName name="_col10" localSheetId="29">#REF!</definedName>
    <definedName name="_col10" localSheetId="3">#REF!</definedName>
    <definedName name="_col10" localSheetId="35">#REF!</definedName>
    <definedName name="_col10" localSheetId="16">#REF!</definedName>
    <definedName name="_col10" localSheetId="19">#REF!</definedName>
    <definedName name="_col10" localSheetId="20">#REF!</definedName>
    <definedName name="_col10" localSheetId="43">#REF!</definedName>
    <definedName name="_col10">#REF!</definedName>
    <definedName name="_col11" localSheetId="26">#REF!</definedName>
    <definedName name="_col11" localSheetId="33">#REF!</definedName>
    <definedName name="_col11" localSheetId="17">#REF!</definedName>
    <definedName name="_col11" localSheetId="48">#REF!</definedName>
    <definedName name="_col11" localSheetId="29">#REF!</definedName>
    <definedName name="_col11" localSheetId="3">#REF!</definedName>
    <definedName name="_col11" localSheetId="35">#REF!</definedName>
    <definedName name="_col11" localSheetId="16">#REF!</definedName>
    <definedName name="_col11" localSheetId="19">#REF!</definedName>
    <definedName name="_col11" localSheetId="20">#REF!</definedName>
    <definedName name="_col11" localSheetId="43">#REF!</definedName>
    <definedName name="_col11">#REF!</definedName>
    <definedName name="_col12" localSheetId="26">#REF!</definedName>
    <definedName name="_col12" localSheetId="33">#REF!</definedName>
    <definedName name="_col12" localSheetId="17">#REF!</definedName>
    <definedName name="_col12" localSheetId="29">#REF!</definedName>
    <definedName name="_col12" localSheetId="3">#REF!</definedName>
    <definedName name="_col12" localSheetId="16">#REF!</definedName>
    <definedName name="_col12" localSheetId="19">#REF!</definedName>
    <definedName name="_col12" localSheetId="20">#REF!</definedName>
    <definedName name="_col12" localSheetId="43">#REF!</definedName>
    <definedName name="_col12">#REF!</definedName>
    <definedName name="_col13" localSheetId="26">#REF!</definedName>
    <definedName name="_col13" localSheetId="33">#REF!</definedName>
    <definedName name="_col13" localSheetId="17">#REF!</definedName>
    <definedName name="_col13" localSheetId="29">#REF!</definedName>
    <definedName name="_col13" localSheetId="3">#REF!</definedName>
    <definedName name="_col13" localSheetId="16">#REF!</definedName>
    <definedName name="_col13" localSheetId="19">#REF!</definedName>
    <definedName name="_col13" localSheetId="20">#REF!</definedName>
    <definedName name="_col13" localSheetId="43">#REF!</definedName>
    <definedName name="_col13">#REF!</definedName>
    <definedName name="_col2" localSheetId="26">#REF!</definedName>
    <definedName name="_col2" localSheetId="33">#REF!</definedName>
    <definedName name="_col2" localSheetId="17">#REF!</definedName>
    <definedName name="_col2" localSheetId="29">#REF!</definedName>
    <definedName name="_col2" localSheetId="3">#REF!</definedName>
    <definedName name="_col2" localSheetId="16">#REF!</definedName>
    <definedName name="_col2" localSheetId="19">#REF!</definedName>
    <definedName name="_col2" localSheetId="20">#REF!</definedName>
    <definedName name="_col2" localSheetId="43">#REF!</definedName>
    <definedName name="_col2">#REF!</definedName>
    <definedName name="_col3" localSheetId="26">#REF!</definedName>
    <definedName name="_col3" localSheetId="33">#REF!</definedName>
    <definedName name="_col3" localSheetId="17">#REF!</definedName>
    <definedName name="_col3" localSheetId="29">#REF!</definedName>
    <definedName name="_col3" localSheetId="3">#REF!</definedName>
    <definedName name="_col3" localSheetId="16">#REF!</definedName>
    <definedName name="_col3" localSheetId="19">#REF!</definedName>
    <definedName name="_col3" localSheetId="20">#REF!</definedName>
    <definedName name="_col3" localSheetId="43">#REF!</definedName>
    <definedName name="_col3">#REF!</definedName>
    <definedName name="_col4" localSheetId="26">#REF!</definedName>
    <definedName name="_col4" localSheetId="33">#REF!</definedName>
    <definedName name="_col4" localSheetId="17">#REF!</definedName>
    <definedName name="_col4" localSheetId="29">#REF!</definedName>
    <definedName name="_col4" localSheetId="3">#REF!</definedName>
    <definedName name="_col4" localSheetId="16">#REF!</definedName>
    <definedName name="_col4" localSheetId="19">#REF!</definedName>
    <definedName name="_col4" localSheetId="20">#REF!</definedName>
    <definedName name="_col4" localSheetId="43">#REF!</definedName>
    <definedName name="_col4">#REF!</definedName>
    <definedName name="_col5" localSheetId="26">#REF!</definedName>
    <definedName name="_col5" localSheetId="33">#REF!</definedName>
    <definedName name="_col5" localSheetId="17">#REF!</definedName>
    <definedName name="_col5" localSheetId="29">#REF!</definedName>
    <definedName name="_col5" localSheetId="3">#REF!</definedName>
    <definedName name="_col5" localSheetId="16">#REF!</definedName>
    <definedName name="_col5" localSheetId="19">#REF!</definedName>
    <definedName name="_col5" localSheetId="20">#REF!</definedName>
    <definedName name="_col5" localSheetId="43">#REF!</definedName>
    <definedName name="_col5">#REF!</definedName>
    <definedName name="_col6" localSheetId="26">#REF!</definedName>
    <definedName name="_col6" localSheetId="33">#REF!</definedName>
    <definedName name="_col6" localSheetId="17">#REF!</definedName>
    <definedName name="_col6" localSheetId="29">#REF!</definedName>
    <definedName name="_col6" localSheetId="3">#REF!</definedName>
    <definedName name="_col6" localSheetId="16">#REF!</definedName>
    <definedName name="_col6" localSheetId="19">#REF!</definedName>
    <definedName name="_col6" localSheetId="20">#REF!</definedName>
    <definedName name="_col6" localSheetId="43">#REF!</definedName>
    <definedName name="_col6">#REF!</definedName>
    <definedName name="_col7" localSheetId="26">#REF!</definedName>
    <definedName name="_col7" localSheetId="33">#REF!</definedName>
    <definedName name="_col7" localSheetId="17">#REF!</definedName>
    <definedName name="_col7" localSheetId="29">#REF!</definedName>
    <definedName name="_col7" localSheetId="3">#REF!</definedName>
    <definedName name="_col7" localSheetId="16">#REF!</definedName>
    <definedName name="_col7" localSheetId="19">#REF!</definedName>
    <definedName name="_col7" localSheetId="20">#REF!</definedName>
    <definedName name="_col7" localSheetId="43">#REF!</definedName>
    <definedName name="_col7">#REF!</definedName>
    <definedName name="_col8" localSheetId="26">#REF!</definedName>
    <definedName name="_col8" localSheetId="33">#REF!</definedName>
    <definedName name="_col8" localSheetId="17">#REF!</definedName>
    <definedName name="_col8" localSheetId="29">#REF!</definedName>
    <definedName name="_col8" localSheetId="3">#REF!</definedName>
    <definedName name="_col8" localSheetId="16">#REF!</definedName>
    <definedName name="_col8" localSheetId="19">#REF!</definedName>
    <definedName name="_col8" localSheetId="20">#REF!</definedName>
    <definedName name="_col8" localSheetId="43">#REF!</definedName>
    <definedName name="_col8">#REF!</definedName>
    <definedName name="_col9" localSheetId="26">#REF!</definedName>
    <definedName name="_col9" localSheetId="33">#REF!</definedName>
    <definedName name="_col9" localSheetId="17">#REF!</definedName>
    <definedName name="_col9" localSheetId="29">#REF!</definedName>
    <definedName name="_col9" localSheetId="3">#REF!</definedName>
    <definedName name="_col9" localSheetId="16">#REF!</definedName>
    <definedName name="_col9" localSheetId="19">#REF!</definedName>
    <definedName name="_col9" localSheetId="20">#REF!</definedName>
    <definedName name="_col9" localSheetId="43">#REF!</definedName>
    <definedName name="_col9">#REF!</definedName>
    <definedName name="_DAT1" localSheetId="18">'[4]PO for Assets 2004'!#REF!</definedName>
    <definedName name="_DAT1" localSheetId="29">'[4]PO for Assets 2004'!#REF!</definedName>
    <definedName name="_DAT1" localSheetId="16">'[4]PO for Assets 2004'!#REF!</definedName>
    <definedName name="_DAT1" localSheetId="20">'[4]PO for Assets 2004'!#REF!</definedName>
    <definedName name="_DAT1" localSheetId="43">'[4]PO for Assets 2004'!#REF!</definedName>
    <definedName name="_DAT1">'[4]PO for Assets 2004'!#REF!</definedName>
    <definedName name="_DAT10" localSheetId="26">#REF!</definedName>
    <definedName name="_DAT10" localSheetId="18">#REF!</definedName>
    <definedName name="_DAT10" localSheetId="29">#REF!</definedName>
    <definedName name="_DAT10" localSheetId="16">#REF!</definedName>
    <definedName name="_DAT10" localSheetId="20">#REF!</definedName>
    <definedName name="_DAT10" localSheetId="43">#REF!</definedName>
    <definedName name="_DAT10">#REF!</definedName>
    <definedName name="_DAT100">'[10]#REF'!$CV$2:$CV$11188</definedName>
    <definedName name="_DAT101">'[10]#REF'!$CW$2:$CW$11188</definedName>
    <definedName name="_DAT102">'[10]#REF'!$CX$2:$CX$11188</definedName>
    <definedName name="_DAT103">'[10]#REF'!$CY$2:$CY$11188</definedName>
    <definedName name="_DAT104">'[10]#REF'!$CZ$2:$CZ$11188</definedName>
    <definedName name="_DAT105">'[10]#REF'!$DA$2:$DA$11188</definedName>
    <definedName name="_DAT106">'[10]#REF'!$DB$2:$DB$11188</definedName>
    <definedName name="_DAT107">'[10]#REF'!$DC$2:$DC$11188</definedName>
    <definedName name="_DAT108">'[10]#REF'!$DD$2:$DD$11188</definedName>
    <definedName name="_DAT11" localSheetId="23">'[4]PO for Assets 2004'!#REF!</definedName>
    <definedName name="_DAT11" localSheetId="18">'[4]PO for Assets 2004'!#REF!</definedName>
    <definedName name="_DAT11" localSheetId="29">'[4]PO for Assets 2004'!#REF!</definedName>
    <definedName name="_DAT11" localSheetId="16">'[4]PO for Assets 2004'!#REF!</definedName>
    <definedName name="_DAT11" localSheetId="20">'[4]PO for Assets 2004'!#REF!</definedName>
    <definedName name="_DAT11" localSheetId="43">'[4]PO for Assets 2004'!#REF!</definedName>
    <definedName name="_DAT11">'[4]PO for Assets 2004'!#REF!</definedName>
    <definedName name="_DAT111">[11]Sheet1!$D$2:$D$29</definedName>
    <definedName name="_DAT12" localSheetId="23">'[4]PO for Assets 2004'!#REF!</definedName>
    <definedName name="_DAT12" localSheetId="18">'[4]PO for Assets 2004'!#REF!</definedName>
    <definedName name="_DAT12" localSheetId="29">'[4]PO for Assets 2004'!#REF!</definedName>
    <definedName name="_DAT12" localSheetId="16">'[4]PO for Assets 2004'!#REF!</definedName>
    <definedName name="_DAT12" localSheetId="20">'[4]PO for Assets 2004'!#REF!</definedName>
    <definedName name="_DAT12" localSheetId="43">'[4]PO for Assets 2004'!#REF!</definedName>
    <definedName name="_DAT12">'[4]PO for Assets 2004'!#REF!</definedName>
    <definedName name="_DAT13" localSheetId="23">'[4]PO for Assets 2004'!#REF!</definedName>
    <definedName name="_DAT13" localSheetId="18">'[4]PO for Assets 2004'!#REF!</definedName>
    <definedName name="_DAT13" localSheetId="29">'[4]PO for Assets 2004'!#REF!</definedName>
    <definedName name="_DAT13" localSheetId="16">'[4]PO for Assets 2004'!#REF!</definedName>
    <definedName name="_DAT13" localSheetId="20">'[4]PO for Assets 2004'!#REF!</definedName>
    <definedName name="_DAT13" localSheetId="43">'[4]PO for Assets 2004'!#REF!</definedName>
    <definedName name="_DAT13">'[4]PO for Assets 2004'!#REF!</definedName>
    <definedName name="_DAT14" localSheetId="26">#REF!</definedName>
    <definedName name="_DAT14" localSheetId="18">#REF!</definedName>
    <definedName name="_DAT14" localSheetId="29">#REF!</definedName>
    <definedName name="_DAT14" localSheetId="16">#REF!</definedName>
    <definedName name="_DAT14" localSheetId="20">#REF!</definedName>
    <definedName name="_DAT14" localSheetId="43">#REF!</definedName>
    <definedName name="_DAT14">#REF!</definedName>
    <definedName name="_DAT15" localSheetId="26">#REF!</definedName>
    <definedName name="_DAT15" localSheetId="29">#REF!</definedName>
    <definedName name="_DAT15" localSheetId="16">#REF!</definedName>
    <definedName name="_DAT15" localSheetId="20">#REF!</definedName>
    <definedName name="_DAT15" localSheetId="43">#REF!</definedName>
    <definedName name="_DAT15">#REF!</definedName>
    <definedName name="_DAT16" localSheetId="26">#REF!</definedName>
    <definedName name="_DAT16" localSheetId="29">#REF!</definedName>
    <definedName name="_DAT16" localSheetId="16">#REF!</definedName>
    <definedName name="_DAT16" localSheetId="20">#REF!</definedName>
    <definedName name="_DAT16" localSheetId="43">#REF!</definedName>
    <definedName name="_DAT16">#REF!</definedName>
    <definedName name="_DAT17" localSheetId="26">#REF!</definedName>
    <definedName name="_DAT17" localSheetId="29">#REF!</definedName>
    <definedName name="_DAT17" localSheetId="16">#REF!</definedName>
    <definedName name="_DAT17" localSheetId="20">#REF!</definedName>
    <definedName name="_DAT17" localSheetId="43">#REF!</definedName>
    <definedName name="_DAT17">#REF!</definedName>
    <definedName name="_DAT18" localSheetId="18">'[4]PO for Assets 2004'!#REF!</definedName>
    <definedName name="_DAT18" localSheetId="29">'[4]PO for Assets 2004'!#REF!</definedName>
    <definedName name="_DAT18" localSheetId="16">'[4]PO for Assets 2004'!#REF!</definedName>
    <definedName name="_DAT18" localSheetId="20">'[4]PO for Assets 2004'!#REF!</definedName>
    <definedName name="_DAT18" localSheetId="43">'[4]PO for Assets 2004'!#REF!</definedName>
    <definedName name="_DAT18">'[4]PO for Assets 2004'!#REF!</definedName>
    <definedName name="_DAT19" localSheetId="18">'[4]PO for Assets 2004'!#REF!</definedName>
    <definedName name="_DAT19" localSheetId="29">'[4]PO for Assets 2004'!#REF!</definedName>
    <definedName name="_DAT19" localSheetId="16">'[4]PO for Assets 2004'!#REF!</definedName>
    <definedName name="_DAT19" localSheetId="20">'[4]PO for Assets 2004'!#REF!</definedName>
    <definedName name="_DAT19" localSheetId="43">'[4]PO for Assets 2004'!#REF!</definedName>
    <definedName name="_DAT19">'[4]PO for Assets 2004'!#REF!</definedName>
    <definedName name="_DAT2" localSheetId="29">'[4]PO for Assets 2004'!#REF!</definedName>
    <definedName name="_DAT2" localSheetId="16">'[4]PO for Assets 2004'!#REF!</definedName>
    <definedName name="_DAT2" localSheetId="20">'[4]PO for Assets 2004'!#REF!</definedName>
    <definedName name="_DAT2" localSheetId="43">'[4]PO for Assets 2004'!#REF!</definedName>
    <definedName name="_DAT2">'[4]PO for Assets 2004'!#REF!</definedName>
    <definedName name="_DAT20" localSheetId="29">'[4]PO for Assets 2004'!#REF!</definedName>
    <definedName name="_DAT20" localSheetId="16">'[4]PO for Assets 2004'!#REF!</definedName>
    <definedName name="_DAT20" localSheetId="20">'[4]PO for Assets 2004'!#REF!</definedName>
    <definedName name="_DAT20" localSheetId="43">'[4]PO for Assets 2004'!#REF!</definedName>
    <definedName name="_DAT20">'[4]PO for Assets 2004'!#REF!</definedName>
    <definedName name="_DAT21" localSheetId="29">'[4]PO for Assets 2004'!#REF!</definedName>
    <definedName name="_DAT21" localSheetId="16">'[4]PO for Assets 2004'!#REF!</definedName>
    <definedName name="_DAT21" localSheetId="20">'[4]PO for Assets 2004'!#REF!</definedName>
    <definedName name="_DAT21" localSheetId="43">'[4]PO for Assets 2004'!#REF!</definedName>
    <definedName name="_DAT21">'[4]PO for Assets 2004'!#REF!</definedName>
    <definedName name="_DAT22" localSheetId="29">'[4]PO for Assets 2004'!#REF!</definedName>
    <definedName name="_DAT22" localSheetId="16">'[4]PO for Assets 2004'!#REF!</definedName>
    <definedName name="_DAT22" localSheetId="20">'[4]PO for Assets 2004'!#REF!</definedName>
    <definedName name="_DAT22" localSheetId="43">'[4]PO for Assets 2004'!#REF!</definedName>
    <definedName name="_DAT22">'[4]PO for Assets 2004'!#REF!</definedName>
    <definedName name="_DAT23" localSheetId="29">'[12]IVL INV'!#REF!</definedName>
    <definedName name="_DAT23" localSheetId="16">'[12]IVL INV'!#REF!</definedName>
    <definedName name="_DAT23" localSheetId="20">'[12]IVL INV'!#REF!</definedName>
    <definedName name="_DAT23" localSheetId="43">'[12]IVL INV'!#REF!</definedName>
    <definedName name="_DAT23">'[12]IVL INV'!#REF!</definedName>
    <definedName name="_DAT24" localSheetId="26">#REF!</definedName>
    <definedName name="_DAT24" localSheetId="18">#REF!</definedName>
    <definedName name="_DAT24" localSheetId="29">#REF!</definedName>
    <definedName name="_DAT24" localSheetId="16">#REF!</definedName>
    <definedName name="_DAT24" localSheetId="20">#REF!</definedName>
    <definedName name="_DAT24" localSheetId="43">#REF!</definedName>
    <definedName name="_DAT24">#REF!</definedName>
    <definedName name="_DAT25" localSheetId="26">#REF!</definedName>
    <definedName name="_DAT25" localSheetId="29">#REF!</definedName>
    <definedName name="_DAT25" localSheetId="16">#REF!</definedName>
    <definedName name="_DAT25" localSheetId="20">#REF!</definedName>
    <definedName name="_DAT25" localSheetId="43">#REF!</definedName>
    <definedName name="_DAT25">#REF!</definedName>
    <definedName name="_DAT26" localSheetId="26">#REF!</definedName>
    <definedName name="_DAT26" localSheetId="29">#REF!</definedName>
    <definedName name="_DAT26" localSheetId="16">#REF!</definedName>
    <definedName name="_DAT26" localSheetId="20">#REF!</definedName>
    <definedName name="_DAT26" localSheetId="43">#REF!</definedName>
    <definedName name="_DAT26">#REF!</definedName>
    <definedName name="_DAT27" localSheetId="26">#REF!</definedName>
    <definedName name="_DAT27" localSheetId="29">#REF!</definedName>
    <definedName name="_DAT27" localSheetId="16">#REF!</definedName>
    <definedName name="_DAT27" localSheetId="20">#REF!</definedName>
    <definedName name="_DAT27" localSheetId="43">#REF!</definedName>
    <definedName name="_DAT27">#REF!</definedName>
    <definedName name="_DAT28" localSheetId="26">#REF!</definedName>
    <definedName name="_DAT28" localSheetId="29">#REF!</definedName>
    <definedName name="_DAT28" localSheetId="16">#REF!</definedName>
    <definedName name="_DAT28" localSheetId="20">#REF!</definedName>
    <definedName name="_DAT28" localSheetId="43">#REF!</definedName>
    <definedName name="_DAT28">#REF!</definedName>
    <definedName name="_DAT29" localSheetId="26">#REF!</definedName>
    <definedName name="_DAT29" localSheetId="29">#REF!</definedName>
    <definedName name="_DAT29" localSheetId="16">#REF!</definedName>
    <definedName name="_DAT29" localSheetId="20">#REF!</definedName>
    <definedName name="_DAT29" localSheetId="43">#REF!</definedName>
    <definedName name="_DAT29">#REF!</definedName>
    <definedName name="_DAT3" localSheetId="18">'[4]PO for Assets 2004'!#REF!</definedName>
    <definedName name="_DAT3" localSheetId="29">'[4]PO for Assets 2004'!#REF!</definedName>
    <definedName name="_DAT3" localSheetId="16">'[4]PO for Assets 2004'!#REF!</definedName>
    <definedName name="_DAT3" localSheetId="20">'[4]PO for Assets 2004'!#REF!</definedName>
    <definedName name="_DAT3" localSheetId="43">'[4]PO for Assets 2004'!#REF!</definedName>
    <definedName name="_DAT3">'[4]PO for Assets 2004'!#REF!</definedName>
    <definedName name="_DAT30" localSheetId="26">#REF!</definedName>
    <definedName name="_DAT30" localSheetId="18">#REF!</definedName>
    <definedName name="_DAT30" localSheetId="29">#REF!</definedName>
    <definedName name="_DAT30" localSheetId="16">#REF!</definedName>
    <definedName name="_DAT30" localSheetId="20">#REF!</definedName>
    <definedName name="_DAT30" localSheetId="43">#REF!</definedName>
    <definedName name="_DAT30">#REF!</definedName>
    <definedName name="_DAT31" localSheetId="26">#REF!</definedName>
    <definedName name="_DAT31" localSheetId="29">#REF!</definedName>
    <definedName name="_DAT31" localSheetId="16">#REF!</definedName>
    <definedName name="_DAT31" localSheetId="20">#REF!</definedName>
    <definedName name="_DAT31" localSheetId="43">#REF!</definedName>
    <definedName name="_DAT31">#REF!</definedName>
    <definedName name="_DAT32" localSheetId="26">#REF!</definedName>
    <definedName name="_DAT32" localSheetId="29">#REF!</definedName>
    <definedName name="_DAT32" localSheetId="16">#REF!</definedName>
    <definedName name="_DAT32" localSheetId="20">#REF!</definedName>
    <definedName name="_DAT32" localSheetId="43">#REF!</definedName>
    <definedName name="_DAT32">#REF!</definedName>
    <definedName name="_DAT33" localSheetId="26">#REF!</definedName>
    <definedName name="_DAT33" localSheetId="29">#REF!</definedName>
    <definedName name="_DAT33" localSheetId="16">#REF!</definedName>
    <definedName name="_DAT33" localSheetId="20">#REF!</definedName>
    <definedName name="_DAT33" localSheetId="43">#REF!</definedName>
    <definedName name="_DAT33">#REF!</definedName>
    <definedName name="_DAT34" localSheetId="26">#REF!</definedName>
    <definedName name="_DAT34" localSheetId="29">#REF!</definedName>
    <definedName name="_DAT34" localSheetId="16">#REF!</definedName>
    <definedName name="_DAT34" localSheetId="20">#REF!</definedName>
    <definedName name="_DAT34" localSheetId="43">#REF!</definedName>
    <definedName name="_DAT34">#REF!</definedName>
    <definedName name="_DAT35" localSheetId="26">#REF!</definedName>
    <definedName name="_DAT35" localSheetId="29">#REF!</definedName>
    <definedName name="_DAT35" localSheetId="16">#REF!</definedName>
    <definedName name="_DAT35" localSheetId="20">#REF!</definedName>
    <definedName name="_DAT35" localSheetId="43">#REF!</definedName>
    <definedName name="_DAT35">#REF!</definedName>
    <definedName name="_DAT36" localSheetId="26">#REF!</definedName>
    <definedName name="_DAT36" localSheetId="29">#REF!</definedName>
    <definedName name="_DAT36" localSheetId="16">#REF!</definedName>
    <definedName name="_DAT36" localSheetId="20">#REF!</definedName>
    <definedName name="_DAT36" localSheetId="43">#REF!</definedName>
    <definedName name="_DAT36">#REF!</definedName>
    <definedName name="_DAT37" localSheetId="26">#REF!</definedName>
    <definedName name="_DAT37" localSheetId="29">#REF!</definedName>
    <definedName name="_DAT37" localSheetId="16">#REF!</definedName>
    <definedName name="_DAT37" localSheetId="20">#REF!</definedName>
    <definedName name="_DAT37" localSheetId="43">#REF!</definedName>
    <definedName name="_DAT37">#REF!</definedName>
    <definedName name="_DAT38" localSheetId="26">#REF!</definedName>
    <definedName name="_DAT38" localSheetId="29">#REF!</definedName>
    <definedName name="_DAT38" localSheetId="16">#REF!</definedName>
    <definedName name="_DAT38" localSheetId="20">#REF!</definedName>
    <definedName name="_DAT38" localSheetId="43">#REF!</definedName>
    <definedName name="_DAT38">#REF!</definedName>
    <definedName name="_DAT39" localSheetId="26">#REF!</definedName>
    <definedName name="_DAT39" localSheetId="29">#REF!</definedName>
    <definedName name="_DAT39" localSheetId="16">#REF!</definedName>
    <definedName name="_DAT39" localSheetId="20">#REF!</definedName>
    <definedName name="_DAT39" localSheetId="43">#REF!</definedName>
    <definedName name="_DAT39">#REF!</definedName>
    <definedName name="_DAT4" localSheetId="26">#REF!</definedName>
    <definedName name="_DAT4" localSheetId="29">#REF!</definedName>
    <definedName name="_DAT4" localSheetId="16">#REF!</definedName>
    <definedName name="_DAT4" localSheetId="20">#REF!</definedName>
    <definedName name="_DAT4" localSheetId="43">#REF!</definedName>
    <definedName name="_DAT4">#REF!</definedName>
    <definedName name="_DAT40" localSheetId="26">#REF!</definedName>
    <definedName name="_DAT40" localSheetId="29">#REF!</definedName>
    <definedName name="_DAT40" localSheetId="16">#REF!</definedName>
    <definedName name="_DAT40" localSheetId="20">#REF!</definedName>
    <definedName name="_DAT40" localSheetId="43">#REF!</definedName>
    <definedName name="_DAT40">#REF!</definedName>
    <definedName name="_DAT41" localSheetId="26">#REF!</definedName>
    <definedName name="_DAT41" localSheetId="29">#REF!</definedName>
    <definedName name="_DAT41" localSheetId="16">#REF!</definedName>
    <definedName name="_DAT41" localSheetId="20">#REF!</definedName>
    <definedName name="_DAT41" localSheetId="43">#REF!</definedName>
    <definedName name="_DAT41">#REF!</definedName>
    <definedName name="_DAT42" localSheetId="26">#REF!</definedName>
    <definedName name="_DAT42" localSheetId="29">#REF!</definedName>
    <definedName name="_DAT42" localSheetId="16">#REF!</definedName>
    <definedName name="_DAT42" localSheetId="20">#REF!</definedName>
    <definedName name="_DAT42" localSheetId="43">#REF!</definedName>
    <definedName name="_DAT42">#REF!</definedName>
    <definedName name="_DAT43" localSheetId="26">#REF!</definedName>
    <definedName name="_DAT43" localSheetId="29">#REF!</definedName>
    <definedName name="_DAT43" localSheetId="16">#REF!</definedName>
    <definedName name="_DAT43" localSheetId="20">#REF!</definedName>
    <definedName name="_DAT43" localSheetId="43">#REF!</definedName>
    <definedName name="_DAT43">#REF!</definedName>
    <definedName name="_DAT44" localSheetId="26">#REF!</definedName>
    <definedName name="_DAT44" localSheetId="29">#REF!</definedName>
    <definedName name="_DAT44" localSheetId="16">#REF!</definedName>
    <definedName name="_DAT44" localSheetId="20">#REF!</definedName>
    <definedName name="_DAT44" localSheetId="43">#REF!</definedName>
    <definedName name="_DAT44">#REF!</definedName>
    <definedName name="_DAT45" localSheetId="26">#REF!</definedName>
    <definedName name="_DAT45" localSheetId="29">#REF!</definedName>
    <definedName name="_DAT45" localSheetId="16">#REF!</definedName>
    <definedName name="_DAT45" localSheetId="20">#REF!</definedName>
    <definedName name="_DAT45" localSheetId="43">#REF!</definedName>
    <definedName name="_DAT45">#REF!</definedName>
    <definedName name="_DAT46" localSheetId="26">#REF!</definedName>
    <definedName name="_DAT46" localSheetId="29">#REF!</definedName>
    <definedName name="_DAT46" localSheetId="16">#REF!</definedName>
    <definedName name="_DAT46" localSheetId="20">#REF!</definedName>
    <definedName name="_DAT46" localSheetId="43">#REF!</definedName>
    <definedName name="_DAT46">#REF!</definedName>
    <definedName name="_DAT47" localSheetId="26">#REF!</definedName>
    <definedName name="_DAT47" localSheetId="29">#REF!</definedName>
    <definedName name="_DAT47" localSheetId="16">#REF!</definedName>
    <definedName name="_DAT47" localSheetId="20">#REF!</definedName>
    <definedName name="_DAT47" localSheetId="43">#REF!</definedName>
    <definedName name="_DAT47">#REF!</definedName>
    <definedName name="_DAT48" localSheetId="26">#REF!</definedName>
    <definedName name="_DAT48" localSheetId="29">#REF!</definedName>
    <definedName name="_DAT48" localSheetId="16">#REF!</definedName>
    <definedName name="_DAT48" localSheetId="20">#REF!</definedName>
    <definedName name="_DAT48" localSheetId="43">#REF!</definedName>
    <definedName name="_DAT48">#REF!</definedName>
    <definedName name="_DAT49" localSheetId="26">#REF!</definedName>
    <definedName name="_DAT49" localSheetId="29">#REF!</definedName>
    <definedName name="_DAT49" localSheetId="16">#REF!</definedName>
    <definedName name="_DAT49" localSheetId="20">#REF!</definedName>
    <definedName name="_DAT49" localSheetId="43">#REF!</definedName>
    <definedName name="_DAT49">#REF!</definedName>
    <definedName name="_DAT5" localSheetId="26">#REF!</definedName>
    <definedName name="_DAT5" localSheetId="29">#REF!</definedName>
    <definedName name="_DAT5" localSheetId="16">#REF!</definedName>
    <definedName name="_DAT5" localSheetId="20">#REF!</definedName>
    <definedName name="_DAT5" localSheetId="43">#REF!</definedName>
    <definedName name="_DAT5">#REF!</definedName>
    <definedName name="_DAT50" localSheetId="26">#REF!</definedName>
    <definedName name="_DAT50" localSheetId="29">#REF!</definedName>
    <definedName name="_DAT50" localSheetId="16">#REF!</definedName>
    <definedName name="_DAT50" localSheetId="20">#REF!</definedName>
    <definedName name="_DAT50" localSheetId="43">#REF!</definedName>
    <definedName name="_DAT50">#REF!</definedName>
    <definedName name="_DAT51" localSheetId="26">#REF!</definedName>
    <definedName name="_DAT51" localSheetId="29">#REF!</definedName>
    <definedName name="_DAT51" localSheetId="16">#REF!</definedName>
    <definedName name="_DAT51" localSheetId="20">#REF!</definedName>
    <definedName name="_DAT51" localSheetId="43">#REF!</definedName>
    <definedName name="_DAT51">#REF!</definedName>
    <definedName name="_DAT52" localSheetId="26">#REF!</definedName>
    <definedName name="_DAT52" localSheetId="29">#REF!</definedName>
    <definedName name="_DAT52" localSheetId="16">#REF!</definedName>
    <definedName name="_DAT52" localSheetId="20">#REF!</definedName>
    <definedName name="_DAT52" localSheetId="43">#REF!</definedName>
    <definedName name="_DAT52">#REF!</definedName>
    <definedName name="_DAT53" localSheetId="26">#REF!</definedName>
    <definedName name="_DAT53" localSheetId="29">#REF!</definedName>
    <definedName name="_DAT53" localSheetId="16">#REF!</definedName>
    <definedName name="_DAT53" localSheetId="20">#REF!</definedName>
    <definedName name="_DAT53" localSheetId="43">#REF!</definedName>
    <definedName name="_DAT53">#REF!</definedName>
    <definedName name="_DAT54" localSheetId="26">#REF!</definedName>
    <definedName name="_DAT54" localSheetId="29">#REF!</definedName>
    <definedName name="_DAT54" localSheetId="16">#REF!</definedName>
    <definedName name="_DAT54" localSheetId="20">#REF!</definedName>
    <definedName name="_DAT54" localSheetId="43">#REF!</definedName>
    <definedName name="_DAT54">#REF!</definedName>
    <definedName name="_DAT55">[11]Sheet1!$P$2:$P$29</definedName>
    <definedName name="_DAT56" localSheetId="26">#REF!</definedName>
    <definedName name="_DAT56" localSheetId="18">#REF!</definedName>
    <definedName name="_DAT56" localSheetId="29">#REF!</definedName>
    <definedName name="_DAT56" localSheetId="16">#REF!</definedName>
    <definedName name="_DAT56" localSheetId="20">#REF!</definedName>
    <definedName name="_DAT56" localSheetId="43">#REF!</definedName>
    <definedName name="_DAT56">#REF!</definedName>
    <definedName name="_DAT561" localSheetId="26">[11]Sheet1!#REF!</definedName>
    <definedName name="_DAT561" localSheetId="23">[11]Sheet1!#REF!</definedName>
    <definedName name="_DAT561" localSheetId="18">[11]Sheet1!#REF!</definedName>
    <definedName name="_DAT561" localSheetId="29">[11]Sheet1!#REF!</definedName>
    <definedName name="_DAT561" localSheetId="16">[11]Sheet1!#REF!</definedName>
    <definedName name="_DAT561" localSheetId="20">[11]Sheet1!#REF!</definedName>
    <definedName name="_DAT561" localSheetId="43">[11]Sheet1!#REF!</definedName>
    <definedName name="_DAT561">[11]Sheet1!#REF!</definedName>
    <definedName name="_DAT57" localSheetId="26">#REF!</definedName>
    <definedName name="_DAT57" localSheetId="18">#REF!</definedName>
    <definedName name="_DAT57" localSheetId="29">#REF!</definedName>
    <definedName name="_DAT57" localSheetId="16">#REF!</definedName>
    <definedName name="_DAT57" localSheetId="20">#REF!</definedName>
    <definedName name="_DAT57" localSheetId="43">#REF!</definedName>
    <definedName name="_DAT57">#REF!</definedName>
    <definedName name="_DAT58" localSheetId="26">#REF!</definedName>
    <definedName name="_DAT58" localSheetId="29">#REF!</definedName>
    <definedName name="_DAT58" localSheetId="16">#REF!</definedName>
    <definedName name="_DAT58" localSheetId="20">#REF!</definedName>
    <definedName name="_DAT58" localSheetId="43">#REF!</definedName>
    <definedName name="_DAT58">#REF!</definedName>
    <definedName name="_DAT59" localSheetId="26">#REF!</definedName>
    <definedName name="_DAT59" localSheetId="29">#REF!</definedName>
    <definedName name="_DAT59" localSheetId="16">#REF!</definedName>
    <definedName name="_DAT59" localSheetId="20">#REF!</definedName>
    <definedName name="_DAT59" localSheetId="43">#REF!</definedName>
    <definedName name="_DAT59">#REF!</definedName>
    <definedName name="_DAT6" localSheetId="26">#REF!</definedName>
    <definedName name="_DAT6" localSheetId="29">#REF!</definedName>
    <definedName name="_DAT6" localSheetId="16">#REF!</definedName>
    <definedName name="_DAT6" localSheetId="20">#REF!</definedName>
    <definedName name="_DAT6" localSheetId="43">#REF!</definedName>
    <definedName name="_DAT6">#REF!</definedName>
    <definedName name="_DAt60">[11]Sheet1!$B$2:$B$29</definedName>
    <definedName name="_DAT61" localSheetId="26">#REF!</definedName>
    <definedName name="_DAT61" localSheetId="18">#REF!</definedName>
    <definedName name="_DAT61" localSheetId="29">#REF!</definedName>
    <definedName name="_DAT61" localSheetId="16">#REF!</definedName>
    <definedName name="_DAT61" localSheetId="20">#REF!</definedName>
    <definedName name="_DAT61" localSheetId="43">#REF!</definedName>
    <definedName name="_DAT61">#REF!</definedName>
    <definedName name="_DAT62" localSheetId="26">#REF!</definedName>
    <definedName name="_DAT62" localSheetId="29">#REF!</definedName>
    <definedName name="_DAT62" localSheetId="16">#REF!</definedName>
    <definedName name="_DAT62" localSheetId="20">#REF!</definedName>
    <definedName name="_DAT62" localSheetId="43">#REF!</definedName>
    <definedName name="_DAT62">#REF!</definedName>
    <definedName name="_DAT63" localSheetId="26">#REF!</definedName>
    <definedName name="_DAT63" localSheetId="29">#REF!</definedName>
    <definedName name="_DAT63" localSheetId="16">#REF!</definedName>
    <definedName name="_DAT63" localSheetId="20">#REF!</definedName>
    <definedName name="_DAT63" localSheetId="43">#REF!</definedName>
    <definedName name="_DAT63">#REF!</definedName>
    <definedName name="_DAT64" localSheetId="26">#REF!</definedName>
    <definedName name="_DAT64" localSheetId="29">#REF!</definedName>
    <definedName name="_DAT64" localSheetId="16">#REF!</definedName>
    <definedName name="_DAT64" localSheetId="20">#REF!</definedName>
    <definedName name="_DAT64" localSheetId="43">#REF!</definedName>
    <definedName name="_DAT64">#REF!</definedName>
    <definedName name="_DAT65" localSheetId="26">#REF!</definedName>
    <definedName name="_DAT65" localSheetId="29">#REF!</definedName>
    <definedName name="_DAT65" localSheetId="16">#REF!</definedName>
    <definedName name="_DAT65" localSheetId="20">#REF!</definedName>
    <definedName name="_DAT65" localSheetId="43">#REF!</definedName>
    <definedName name="_DAT65">#REF!</definedName>
    <definedName name="_DAT66" localSheetId="26">#REF!</definedName>
    <definedName name="_DAT66" localSheetId="29">#REF!</definedName>
    <definedName name="_DAT66" localSheetId="16">#REF!</definedName>
    <definedName name="_DAT66" localSheetId="20">#REF!</definedName>
    <definedName name="_DAT66" localSheetId="43">#REF!</definedName>
    <definedName name="_DAT66">#REF!</definedName>
    <definedName name="_DAT67" localSheetId="26">#REF!</definedName>
    <definedName name="_DAT67" localSheetId="29">#REF!</definedName>
    <definedName name="_DAT67" localSheetId="16">#REF!</definedName>
    <definedName name="_DAT67" localSheetId="20">#REF!</definedName>
    <definedName name="_DAT67" localSheetId="43">#REF!</definedName>
    <definedName name="_DAT67">#REF!</definedName>
    <definedName name="_DAT68" localSheetId="26">#REF!</definedName>
    <definedName name="_DAT68" localSheetId="29">#REF!</definedName>
    <definedName name="_DAT68" localSheetId="16">#REF!</definedName>
    <definedName name="_DAT68" localSheetId="20">#REF!</definedName>
    <definedName name="_DAT68" localSheetId="43">#REF!</definedName>
    <definedName name="_DAT68">#REF!</definedName>
    <definedName name="_DAT69" localSheetId="26">#REF!</definedName>
    <definedName name="_DAT69" localSheetId="29">#REF!</definedName>
    <definedName name="_DAT69" localSheetId="16">#REF!</definedName>
    <definedName name="_DAT69" localSheetId="20">#REF!</definedName>
    <definedName name="_DAT69" localSheetId="43">#REF!</definedName>
    <definedName name="_DAT69">#REF!</definedName>
    <definedName name="_DAT7" localSheetId="26">#REF!</definedName>
    <definedName name="_DAT7" localSheetId="29">#REF!</definedName>
    <definedName name="_DAT7" localSheetId="16">#REF!</definedName>
    <definedName name="_DAT7" localSheetId="20">#REF!</definedName>
    <definedName name="_DAT7" localSheetId="43">#REF!</definedName>
    <definedName name="_DAT7">#REF!</definedName>
    <definedName name="_DAT70" localSheetId="26">#REF!</definedName>
    <definedName name="_DAT70" localSheetId="29">#REF!</definedName>
    <definedName name="_DAT70" localSheetId="16">#REF!</definedName>
    <definedName name="_DAT70" localSheetId="20">#REF!</definedName>
    <definedName name="_DAT70" localSheetId="43">#REF!</definedName>
    <definedName name="_DAT70">#REF!</definedName>
    <definedName name="_DAT71" localSheetId="26">#REF!</definedName>
    <definedName name="_DAT71" localSheetId="29">#REF!</definedName>
    <definedName name="_DAT71" localSheetId="16">#REF!</definedName>
    <definedName name="_DAT71" localSheetId="20">#REF!</definedName>
    <definedName name="_DAT71" localSheetId="43">#REF!</definedName>
    <definedName name="_DAT71">#REF!</definedName>
    <definedName name="_DAT72" localSheetId="26">#REF!</definedName>
    <definedName name="_DAT72" localSheetId="29">#REF!</definedName>
    <definedName name="_DAT72" localSheetId="16">#REF!</definedName>
    <definedName name="_DAT72" localSheetId="20">#REF!</definedName>
    <definedName name="_DAT72" localSheetId="43">#REF!</definedName>
    <definedName name="_DAT72">#REF!</definedName>
    <definedName name="_DAT73" localSheetId="26">#REF!</definedName>
    <definedName name="_DAT73" localSheetId="29">#REF!</definedName>
    <definedName name="_DAT73" localSheetId="16">#REF!</definedName>
    <definedName name="_DAT73" localSheetId="20">#REF!</definedName>
    <definedName name="_DAT73" localSheetId="43">#REF!</definedName>
    <definedName name="_DAT73">#REF!</definedName>
    <definedName name="_DAT74" localSheetId="26">#REF!</definedName>
    <definedName name="_DAT74" localSheetId="29">#REF!</definedName>
    <definedName name="_DAT74" localSheetId="16">#REF!</definedName>
    <definedName name="_DAT74" localSheetId="20">#REF!</definedName>
    <definedName name="_DAT74" localSheetId="43">#REF!</definedName>
    <definedName name="_DAT74">#REF!</definedName>
    <definedName name="_DAT75" localSheetId="26">#REF!</definedName>
    <definedName name="_DAT75" localSheetId="29">#REF!</definedName>
    <definedName name="_DAT75" localSheetId="16">#REF!</definedName>
    <definedName name="_DAT75" localSheetId="20">#REF!</definedName>
    <definedName name="_DAT75" localSheetId="43">#REF!</definedName>
    <definedName name="_DAT75">#REF!</definedName>
    <definedName name="_DAT76" localSheetId="26">#REF!</definedName>
    <definedName name="_DAT76" localSheetId="29">#REF!</definedName>
    <definedName name="_DAT76" localSheetId="16">#REF!</definedName>
    <definedName name="_DAT76" localSheetId="20">#REF!</definedName>
    <definedName name="_DAT76" localSheetId="43">#REF!</definedName>
    <definedName name="_DAT76">#REF!</definedName>
    <definedName name="_DAT77" localSheetId="26">#REF!</definedName>
    <definedName name="_DAT77" localSheetId="29">#REF!</definedName>
    <definedName name="_DAT77" localSheetId="16">#REF!</definedName>
    <definedName name="_DAT77" localSheetId="20">#REF!</definedName>
    <definedName name="_DAT77" localSheetId="43">#REF!</definedName>
    <definedName name="_DAT77">#REF!</definedName>
    <definedName name="_DAT78" localSheetId="26">#REF!</definedName>
    <definedName name="_DAT78" localSheetId="29">#REF!</definedName>
    <definedName name="_DAT78" localSheetId="16">#REF!</definedName>
    <definedName name="_DAT78" localSheetId="20">#REF!</definedName>
    <definedName name="_DAT78" localSheetId="43">#REF!</definedName>
    <definedName name="_DAT78">#REF!</definedName>
    <definedName name="_DAT79" localSheetId="26">#REF!</definedName>
    <definedName name="_DAT79" localSheetId="29">#REF!</definedName>
    <definedName name="_DAT79" localSheetId="16">#REF!</definedName>
    <definedName name="_DAT79" localSheetId="20">#REF!</definedName>
    <definedName name="_DAT79" localSheetId="43">#REF!</definedName>
    <definedName name="_DAT79">#REF!</definedName>
    <definedName name="_DAT8" localSheetId="26">#REF!</definedName>
    <definedName name="_DAT8" localSheetId="29">#REF!</definedName>
    <definedName name="_DAT8" localSheetId="16">#REF!</definedName>
    <definedName name="_DAT8" localSheetId="20">#REF!</definedName>
    <definedName name="_DAT8" localSheetId="43">#REF!</definedName>
    <definedName name="_DAT8">#REF!</definedName>
    <definedName name="_DAT80" localSheetId="26">#REF!</definedName>
    <definedName name="_DAT80" localSheetId="29">#REF!</definedName>
    <definedName name="_DAT80" localSheetId="16">#REF!</definedName>
    <definedName name="_DAT80" localSheetId="20">#REF!</definedName>
    <definedName name="_DAT80" localSheetId="43">#REF!</definedName>
    <definedName name="_DAT80">#REF!</definedName>
    <definedName name="_DAT81" localSheetId="26">#REF!</definedName>
    <definedName name="_DAT81" localSheetId="29">#REF!</definedName>
    <definedName name="_DAT81" localSheetId="16">#REF!</definedName>
    <definedName name="_DAT81" localSheetId="20">#REF!</definedName>
    <definedName name="_DAT81" localSheetId="43">#REF!</definedName>
    <definedName name="_DAT81">#REF!</definedName>
    <definedName name="_DAT82" localSheetId="26">#REF!</definedName>
    <definedName name="_DAT82" localSheetId="29">#REF!</definedName>
    <definedName name="_DAT82" localSheetId="16">#REF!</definedName>
    <definedName name="_DAT82" localSheetId="20">#REF!</definedName>
    <definedName name="_DAT82" localSheetId="43">#REF!</definedName>
    <definedName name="_DAT82">#REF!</definedName>
    <definedName name="_DAT83" localSheetId="26">#REF!</definedName>
    <definedName name="_DAT83" localSheetId="29">#REF!</definedName>
    <definedName name="_DAT83" localSheetId="16">#REF!</definedName>
    <definedName name="_DAT83" localSheetId="20">#REF!</definedName>
    <definedName name="_DAT83" localSheetId="43">#REF!</definedName>
    <definedName name="_DAT83">#REF!</definedName>
    <definedName name="_DAT84" localSheetId="26">#REF!</definedName>
    <definedName name="_DAT84" localSheetId="29">#REF!</definedName>
    <definedName name="_DAT84" localSheetId="16">#REF!</definedName>
    <definedName name="_DAT84" localSheetId="20">#REF!</definedName>
    <definedName name="_DAT84" localSheetId="43">#REF!</definedName>
    <definedName name="_DAT84">#REF!</definedName>
    <definedName name="_DAT85" localSheetId="26">#REF!</definedName>
    <definedName name="_DAT85" localSheetId="29">#REF!</definedName>
    <definedName name="_DAT85" localSheetId="16">#REF!</definedName>
    <definedName name="_DAT85" localSheetId="20">#REF!</definedName>
    <definedName name="_DAT85" localSheetId="43">#REF!</definedName>
    <definedName name="_DAT85">#REF!</definedName>
    <definedName name="_DAT86" localSheetId="26">#REF!</definedName>
    <definedName name="_DAT86" localSheetId="29">#REF!</definedName>
    <definedName name="_DAT86" localSheetId="16">#REF!</definedName>
    <definedName name="_DAT86" localSheetId="20">#REF!</definedName>
    <definedName name="_DAT86" localSheetId="43">#REF!</definedName>
    <definedName name="_DAT86">#REF!</definedName>
    <definedName name="_DAT87" localSheetId="26">#REF!</definedName>
    <definedName name="_DAT87" localSheetId="29">#REF!</definedName>
    <definedName name="_DAT87" localSheetId="16">#REF!</definedName>
    <definedName name="_DAT87" localSheetId="20">#REF!</definedName>
    <definedName name="_DAT87" localSheetId="43">#REF!</definedName>
    <definedName name="_DAT87">#REF!</definedName>
    <definedName name="_DAT88">'[10]#REF'!$CJ$2:$CJ$11188</definedName>
    <definedName name="_DAT89">'[10]#REF'!$CK$2:$CK$11188</definedName>
    <definedName name="_DAT9" localSheetId="23">'[4]PO for Assets 2004'!#REF!</definedName>
    <definedName name="_DAT9" localSheetId="18">'[4]PO for Assets 2004'!#REF!</definedName>
    <definedName name="_DAT9" localSheetId="29">'[4]PO for Assets 2004'!#REF!</definedName>
    <definedName name="_DAT9" localSheetId="16">'[4]PO for Assets 2004'!#REF!</definedName>
    <definedName name="_DAT9" localSheetId="20">'[4]PO for Assets 2004'!#REF!</definedName>
    <definedName name="_DAT9" localSheetId="43">'[4]PO for Assets 2004'!#REF!</definedName>
    <definedName name="_DAT9">'[4]PO for Assets 2004'!#REF!</definedName>
    <definedName name="_DAT90">'[10]#REF'!$CL$2:$CL$11188</definedName>
    <definedName name="_DAT91">'[10]#REF'!$CM$2:$CM$11188</definedName>
    <definedName name="_DAT92">'[10]#REF'!$CN$2:$CN$11188</definedName>
    <definedName name="_DAT93">'[10]#REF'!$CO$2:$CO$11188</definedName>
    <definedName name="_DAT94">'[10]#REF'!$CP$2:$CP$11188</definedName>
    <definedName name="_DAT95">'[10]#REF'!$CQ$2:$CQ$11188</definedName>
    <definedName name="_DAT96">'[10]#REF'!$CR$2:$CR$11188</definedName>
    <definedName name="_DAT97">'[10]#REF'!$CS$2:$CS$11188</definedName>
    <definedName name="_DAT98">'[10]#REF'!$CT$2:$CT$11188</definedName>
    <definedName name="_DAT99">'[10]#REF'!$CU$2:$CU$11188</definedName>
    <definedName name="_DET1" localSheetId="26">[6]FOIL!#REF!</definedName>
    <definedName name="_DET1" localSheetId="33">[6]FOIL!#REF!</definedName>
    <definedName name="_DET1" localSheetId="17">[6]FOIL!#REF!</definedName>
    <definedName name="_DET1" localSheetId="18">[6]FOIL!#REF!</definedName>
    <definedName name="_DET1" localSheetId="29">[6]FOIL!#REF!</definedName>
    <definedName name="_DET1" localSheetId="3">[6]FOIL!#REF!</definedName>
    <definedName name="_DET1" localSheetId="16">[6]FOIL!#REF!</definedName>
    <definedName name="_DET1" localSheetId="5">[6]FOIL!#REF!</definedName>
    <definedName name="_DET1" localSheetId="19">[6]FOIL!#REF!</definedName>
    <definedName name="_DET1" localSheetId="20">[6]FOIL!#REF!</definedName>
    <definedName name="_DET1" localSheetId="43">[6]FOIL!#REF!</definedName>
    <definedName name="_DET1">[6]FOIL!#REF!</definedName>
    <definedName name="_Fill" localSheetId="26" hidden="1">#REF!</definedName>
    <definedName name="_Fill" localSheetId="33" hidden="1">#REF!</definedName>
    <definedName name="_Fill" localSheetId="17" hidden="1">#REF!</definedName>
    <definedName name="_Fill" localSheetId="48" hidden="1">[19]A!#REF!</definedName>
    <definedName name="_Fill" localSheetId="29" hidden="1">#REF!</definedName>
    <definedName name="_Fill" localSheetId="3" hidden="1">#REF!</definedName>
    <definedName name="_Fill" localSheetId="35" hidden="1">[19]A!#REF!</definedName>
    <definedName name="_Fill" localSheetId="16" hidden="1">#REF!</definedName>
    <definedName name="_Fill" localSheetId="5" hidden="1">#REF!</definedName>
    <definedName name="_Fill" localSheetId="19" hidden="1">#REF!</definedName>
    <definedName name="_Fill" localSheetId="20" hidden="1">#REF!</definedName>
    <definedName name="_Fill" localSheetId="43" hidden="1">#REF!</definedName>
    <definedName name="_Fill" hidden="1">#REF!</definedName>
    <definedName name="_xlnm._FilterDatabase" localSheetId="21" hidden="1">'TB - F.Y. 2022-23 (Half Yearly)'!$A$13:$F$379</definedName>
    <definedName name="_xlnm._FilterDatabase" localSheetId="20" hidden="1">'TB-30-09-2021'!$B$4:$G$308</definedName>
    <definedName name="_GRP1" localSheetId="26">OFFSET(#REF!,0,0,COUNTA(#REF!),1)</definedName>
    <definedName name="_GRP1" localSheetId="33">OFFSET(#REF!,0,0,COUNTA(#REF!),1)</definedName>
    <definedName name="_GRP1" localSheetId="17">OFFSET(#REF!,0,0,COUNTA(#REF!),1)</definedName>
    <definedName name="_GRP1" localSheetId="48">OFFSET(#REF!,0,0,COUNTA(#REF!),1)</definedName>
    <definedName name="_GRP1" localSheetId="29">OFFSET(#REF!,0,0,COUNTA(#REF!),1)</definedName>
    <definedName name="_GRP1" localSheetId="3">OFFSET(#REF!,0,0,COUNTA(#REF!),1)</definedName>
    <definedName name="_GRP1" localSheetId="35">OFFSET(#REF!,0,0,COUNTA(#REF!),1)</definedName>
    <definedName name="_GRP1" localSheetId="16">OFFSET(#REF!,0,0,COUNTA(#REF!),1)</definedName>
    <definedName name="_GRP1" localSheetId="5">OFFSET(#REF!,0,0,COUNTA(#REF!),1)</definedName>
    <definedName name="_GRP1" localSheetId="19">OFFSET(#REF!,0,0,COUNTA(#REF!),1)</definedName>
    <definedName name="_GRP1" localSheetId="20">OFFSET(#REF!,0,0,COUNTA(#REF!),1)</definedName>
    <definedName name="_GRP1" localSheetId="43">OFFSET(#REF!,0,0,COUNTA(#REF!),1)</definedName>
    <definedName name="_GRP1">OFFSET(#REF!,0,0,COUNTA(#REF!),1)</definedName>
    <definedName name="_Grp12" localSheetId="26">#REF!</definedName>
    <definedName name="_Grp12" localSheetId="33">#REF!</definedName>
    <definedName name="_Grp12" localSheetId="17">#REF!</definedName>
    <definedName name="_Grp12" localSheetId="48">#REF!</definedName>
    <definedName name="_Grp12" localSheetId="29">#REF!</definedName>
    <definedName name="_Grp12" localSheetId="3">#REF!</definedName>
    <definedName name="_Grp12" localSheetId="35">#REF!</definedName>
    <definedName name="_Grp12" localSheetId="16">#REF!</definedName>
    <definedName name="_Grp12" localSheetId="5">#REF!</definedName>
    <definedName name="_Grp12" localSheetId="19">#REF!</definedName>
    <definedName name="_Grp12" localSheetId="20">#REF!</definedName>
    <definedName name="_Grp12" localSheetId="43">#REF!</definedName>
    <definedName name="_Grp12">#REF!</definedName>
    <definedName name="_Grp13" localSheetId="26">#REF!</definedName>
    <definedName name="_Grp13" localSheetId="33">#REF!</definedName>
    <definedName name="_Grp13" localSheetId="17">#REF!</definedName>
    <definedName name="_Grp13" localSheetId="48">#REF!</definedName>
    <definedName name="_Grp13" localSheetId="29">#REF!</definedName>
    <definedName name="_Grp13" localSheetId="3">#REF!</definedName>
    <definedName name="_Grp13" localSheetId="35">#REF!</definedName>
    <definedName name="_Grp13" localSheetId="16">#REF!</definedName>
    <definedName name="_Grp13" localSheetId="5">#REF!</definedName>
    <definedName name="_Grp13" localSheetId="19">#REF!</definedName>
    <definedName name="_Grp13" localSheetId="20">#REF!</definedName>
    <definedName name="_Grp13" localSheetId="43">#REF!</definedName>
    <definedName name="_Grp13">#REF!</definedName>
    <definedName name="_Grp14" localSheetId="26">#REF!</definedName>
    <definedName name="_Grp14" localSheetId="33">#REF!</definedName>
    <definedName name="_Grp14" localSheetId="17">#REF!</definedName>
    <definedName name="_Grp14" localSheetId="48">#REF!</definedName>
    <definedName name="_Grp14" localSheetId="29">#REF!</definedName>
    <definedName name="_Grp14" localSheetId="3">#REF!</definedName>
    <definedName name="_Grp14" localSheetId="35">#REF!</definedName>
    <definedName name="_Grp14" localSheetId="16">#REF!</definedName>
    <definedName name="_Grp14" localSheetId="5">#REF!</definedName>
    <definedName name="_Grp14" localSheetId="19">#REF!</definedName>
    <definedName name="_Grp14" localSheetId="20">#REF!</definedName>
    <definedName name="_Grp14" localSheetId="43">#REF!</definedName>
    <definedName name="_Grp14">#REF!</definedName>
    <definedName name="_Grp15" localSheetId="26">#REF!</definedName>
    <definedName name="_Grp15" localSheetId="33">#REF!</definedName>
    <definedName name="_Grp15" localSheetId="17">#REF!</definedName>
    <definedName name="_Grp15" localSheetId="29">#REF!</definedName>
    <definedName name="_Grp15" localSheetId="3">#REF!</definedName>
    <definedName name="_Grp15" localSheetId="16">#REF!</definedName>
    <definedName name="_Grp15" localSheetId="5">#REF!</definedName>
    <definedName name="_Grp15" localSheetId="19">#REF!</definedName>
    <definedName name="_Grp15" localSheetId="20">#REF!</definedName>
    <definedName name="_Grp15" localSheetId="43">#REF!</definedName>
    <definedName name="_Grp15">#REF!</definedName>
    <definedName name="_GRP2" localSheetId="26">OFFSET(#REF!,0,0,COUNTA(#REF!),1)</definedName>
    <definedName name="_GRP2" localSheetId="33">OFFSET(#REF!,0,0,COUNTA(#REF!),1)</definedName>
    <definedName name="_GRP2" localSheetId="17">OFFSET(#REF!,0,0,COUNTA(#REF!),1)</definedName>
    <definedName name="_Grp2" localSheetId="48">#REF!</definedName>
    <definedName name="_GRP2" localSheetId="29">OFFSET(#REF!,0,0,COUNTA(#REF!),1)</definedName>
    <definedName name="_GRP2" localSheetId="3">OFFSET(#REF!,0,0,COUNTA(#REF!),1)</definedName>
    <definedName name="_Grp2" localSheetId="35">#REF!</definedName>
    <definedName name="_GRP2" localSheetId="16">OFFSET(#REF!,0,0,COUNTA(#REF!),1)</definedName>
    <definedName name="_GRP2" localSheetId="5">OFFSET(#REF!,0,0,COUNTA(#REF!),1)</definedName>
    <definedName name="_GRP2" localSheetId="19">OFFSET(#REF!,0,0,COUNTA(#REF!),1)</definedName>
    <definedName name="_GRP2" localSheetId="20">OFFSET(#REF!,0,0,COUNTA(#REF!),1)</definedName>
    <definedName name="_GRP2" localSheetId="43">OFFSET(#REF!,0,0,COUNTA(#REF!),1)</definedName>
    <definedName name="_GRP2">OFFSET(#REF!,0,0,COUNTA(#REF!),1)</definedName>
    <definedName name="_IMP1" localSheetId="26">#REF!</definedName>
    <definedName name="_IMP1" localSheetId="18">#REF!</definedName>
    <definedName name="_IMP1" localSheetId="29">#REF!</definedName>
    <definedName name="_IMP1" localSheetId="16">#REF!</definedName>
    <definedName name="_IMP1" localSheetId="20">#REF!</definedName>
    <definedName name="_IMP1" localSheetId="43">#REF!</definedName>
    <definedName name="_IMP1">#REF!</definedName>
    <definedName name="_Key1" localSheetId="26" hidden="1">#REF!</definedName>
    <definedName name="_Key1" localSheetId="33" hidden="1">#REF!</definedName>
    <definedName name="_Key1" localSheetId="17" hidden="1">#REF!</definedName>
    <definedName name="_Key1" localSheetId="48" hidden="1">#REF!</definedName>
    <definedName name="_Key1" localSheetId="29" hidden="1">#REF!</definedName>
    <definedName name="_Key1" localSheetId="3" hidden="1">#REF!</definedName>
    <definedName name="_Key1" localSheetId="35" hidden="1">#REF!</definedName>
    <definedName name="_Key1" localSheetId="16" hidden="1">#REF!</definedName>
    <definedName name="_Key1" localSheetId="5" hidden="1">#REF!</definedName>
    <definedName name="_Key1" localSheetId="19" hidden="1">#REF!</definedName>
    <definedName name="_Key1" localSheetId="20" hidden="1">#REF!</definedName>
    <definedName name="_Key1" localSheetId="43" hidden="1">#REF!</definedName>
    <definedName name="_Key1" hidden="1">#REF!</definedName>
    <definedName name="_Key2" localSheetId="26" hidden="1">[20]Sheet1!#REF!</definedName>
    <definedName name="_Key2" localSheetId="23" hidden="1">[20]Sheet1!#REF!</definedName>
    <definedName name="_Key2" localSheetId="18" hidden="1">[20]Sheet1!#REF!</definedName>
    <definedName name="_Key2" localSheetId="29" hidden="1">[20]Sheet1!#REF!</definedName>
    <definedName name="_Key2" localSheetId="16" hidden="1">[20]Sheet1!#REF!</definedName>
    <definedName name="_Key2" localSheetId="20" hidden="1">[20]Sheet1!#REF!</definedName>
    <definedName name="_Key2" localSheetId="43" hidden="1">[20]Sheet1!#REF!</definedName>
    <definedName name="_Key2" hidden="1">[20]Sheet1!#REF!</definedName>
    <definedName name="_ksm14" localSheetId="26">#REF!</definedName>
    <definedName name="_ksm14" localSheetId="18">#REF!</definedName>
    <definedName name="_ksm14" localSheetId="29">#REF!</definedName>
    <definedName name="_ksm14" localSheetId="16">#REF!</definedName>
    <definedName name="_ksm14" localSheetId="20">#REF!</definedName>
    <definedName name="_ksm14" localSheetId="43">#REF!</definedName>
    <definedName name="_ksm14">#REF!</definedName>
    <definedName name="_ksm6" localSheetId="26">#REF!</definedName>
    <definedName name="_ksm6" localSheetId="29">#REF!</definedName>
    <definedName name="_ksm6" localSheetId="16">#REF!</definedName>
    <definedName name="_ksm6" localSheetId="20">#REF!</definedName>
    <definedName name="_ksm6" localSheetId="43">#REF!</definedName>
    <definedName name="_ksm6">#REF!</definedName>
    <definedName name="_LF1" localSheetId="26">#REF!</definedName>
    <definedName name="_LF1" localSheetId="33">#REF!</definedName>
    <definedName name="_LF1" localSheetId="17">#REF!</definedName>
    <definedName name="_LF1" localSheetId="29">#REF!</definedName>
    <definedName name="_LF1" localSheetId="3">#REF!</definedName>
    <definedName name="_LF1" localSheetId="16">#REF!</definedName>
    <definedName name="_LF1" localSheetId="5">#REF!</definedName>
    <definedName name="_LF1" localSheetId="19">#REF!</definedName>
    <definedName name="_LF1" localSheetId="20">#REF!</definedName>
    <definedName name="_LF1" localSheetId="43">#REF!</definedName>
    <definedName name="_LF1">#REF!</definedName>
    <definedName name="_LI136" localSheetId="26">#REF!</definedName>
    <definedName name="_LI136" localSheetId="33">#REF!</definedName>
    <definedName name="_LI136" localSheetId="17">#REF!</definedName>
    <definedName name="_LI136" localSheetId="29">#REF!</definedName>
    <definedName name="_LI136" localSheetId="3">#REF!</definedName>
    <definedName name="_LI136" localSheetId="16">#REF!</definedName>
    <definedName name="_LI136" localSheetId="19">#REF!</definedName>
    <definedName name="_LI136" localSheetId="20">#REF!</definedName>
    <definedName name="_LI136" localSheetId="43">#REF!</definedName>
    <definedName name="_LI136">#REF!</definedName>
    <definedName name="_lia1" localSheetId="26">#REF!</definedName>
    <definedName name="_lia1" localSheetId="33">#REF!</definedName>
    <definedName name="_lia1" localSheetId="17">#REF!</definedName>
    <definedName name="_lia1" localSheetId="29">#REF!</definedName>
    <definedName name="_lia1" localSheetId="3">#REF!</definedName>
    <definedName name="_lia1" localSheetId="16">#REF!</definedName>
    <definedName name="_lia1" localSheetId="19">#REF!</definedName>
    <definedName name="_lia1" localSheetId="20">#REF!</definedName>
    <definedName name="_lia1" localSheetId="43">#REF!</definedName>
    <definedName name="_lia1">#REF!</definedName>
    <definedName name="_LOB1">[21]Summary!$C$89:$C$103</definedName>
    <definedName name="_MAR9091" localSheetId="26">'[22]TRIAL BALANCE'!#REF!</definedName>
    <definedName name="_MAR9091" localSheetId="33">'[22]TRIAL BALANCE'!#REF!</definedName>
    <definedName name="_MAR9091" localSheetId="17">'[22]TRIAL BALANCE'!#REF!</definedName>
    <definedName name="_MAR9091" localSheetId="48">'[23]TRIAL BALANCE'!#REF!</definedName>
    <definedName name="_MAR9091" localSheetId="23">'[22]TRIAL BALANCE'!#REF!</definedName>
    <definedName name="_MAR9091" localSheetId="18">'[22]TRIAL BALANCE'!#REF!</definedName>
    <definedName name="_MAR9091" localSheetId="29">'[22]TRIAL BALANCE'!#REF!</definedName>
    <definedName name="_MAR9091" localSheetId="3">'[22]TRIAL BALANCE'!#REF!</definedName>
    <definedName name="_MAR9091" localSheetId="35">'[23]TRIAL BALANCE'!#REF!</definedName>
    <definedName name="_MAR9091" localSheetId="16">'[22]TRIAL BALANCE'!#REF!</definedName>
    <definedName name="_MAR9091" localSheetId="19">'[22]TRIAL BALANCE'!#REF!</definedName>
    <definedName name="_MAR9091" localSheetId="20">'[22]TRIAL BALANCE'!#REF!</definedName>
    <definedName name="_MAR9091" localSheetId="43">'[22]TRIAL BALANCE'!#REF!</definedName>
    <definedName name="_MAR9091">'[22]TRIAL BALANCE'!#REF!</definedName>
    <definedName name="_MI136" localSheetId="26">#REF!</definedName>
    <definedName name="_MI136" localSheetId="33">#REF!</definedName>
    <definedName name="_MI136" localSheetId="17">#REF!</definedName>
    <definedName name="_MI136" localSheetId="29">#REF!</definedName>
    <definedName name="_MI136" localSheetId="3">#REF!</definedName>
    <definedName name="_MI136" localSheetId="16">#REF!</definedName>
    <definedName name="_MI136" localSheetId="19">#REF!</definedName>
    <definedName name="_MI136" localSheetId="20">#REF!</definedName>
    <definedName name="_MI136" localSheetId="43">#REF!</definedName>
    <definedName name="_MI136">#REF!</definedName>
    <definedName name="_Order1" hidden="1">255</definedName>
    <definedName name="_Order2" hidden="1">255</definedName>
    <definedName name="_P999999" localSheetId="26">[13]Sales!#REF!</definedName>
    <definedName name="_P999999" localSheetId="23">[13]Sales!#REF!</definedName>
    <definedName name="_P999999" localSheetId="18">[13]Sales!#REF!</definedName>
    <definedName name="_P999999" localSheetId="29">[13]Sales!#REF!</definedName>
    <definedName name="_P999999" localSheetId="16">[13]Sales!#REF!</definedName>
    <definedName name="_P999999" localSheetId="20">[13]Sales!#REF!</definedName>
    <definedName name="_P999999" localSheetId="43">[13]Sales!#REF!</definedName>
    <definedName name="_P999999">[13]Sales!#REF!</definedName>
    <definedName name="_Parse_In" localSheetId="26" hidden="1">#REF!</definedName>
    <definedName name="_Parse_In" localSheetId="33" hidden="1">#REF!</definedName>
    <definedName name="_Parse_In" localSheetId="17" hidden="1">#REF!</definedName>
    <definedName name="_Parse_In" localSheetId="29" hidden="1">#REF!</definedName>
    <definedName name="_Parse_In" localSheetId="3" hidden="1">#REF!</definedName>
    <definedName name="_Parse_In" localSheetId="16" hidden="1">#REF!</definedName>
    <definedName name="_Parse_In" localSheetId="19" hidden="1">#REF!</definedName>
    <definedName name="_Parse_In" localSheetId="20" hidden="1">#REF!</definedName>
    <definedName name="_Parse_In" localSheetId="43" hidden="1">#REF!</definedName>
    <definedName name="_Parse_In" hidden="1">#REF!</definedName>
    <definedName name="_PKG1" localSheetId="26">#REF!</definedName>
    <definedName name="_PKG1" localSheetId="29">#REF!</definedName>
    <definedName name="_PKG1" localSheetId="16">#REF!</definedName>
    <definedName name="_PKG1" localSheetId="20">#REF!</definedName>
    <definedName name="_PKG1" localSheetId="43">#REF!</definedName>
    <definedName name="_PKG1">#REF!</definedName>
    <definedName name="_PKG2" localSheetId="26">#REF!</definedName>
    <definedName name="_PKG2" localSheetId="29">#REF!</definedName>
    <definedName name="_PKG2" localSheetId="16">#REF!</definedName>
    <definedName name="_PKG2" localSheetId="20">#REF!</definedName>
    <definedName name="_PKG2" localSheetId="43">#REF!</definedName>
    <definedName name="_PKG2">#REF!</definedName>
    <definedName name="_pp2" localSheetId="26">#REF!</definedName>
    <definedName name="_pp2" localSheetId="29">#REF!</definedName>
    <definedName name="_pp2" localSheetId="16">#REF!</definedName>
    <definedName name="_pp2" localSheetId="20">#REF!</definedName>
    <definedName name="_pp2" localSheetId="43">#REF!</definedName>
    <definedName name="_pp2">#REF!</definedName>
    <definedName name="_QST30" localSheetId="26">#REF!</definedName>
    <definedName name="_QST30" localSheetId="29">#REF!</definedName>
    <definedName name="_QST30" localSheetId="16">#REF!</definedName>
    <definedName name="_QST30" localSheetId="20">#REF!</definedName>
    <definedName name="_QST30" localSheetId="43">#REF!</definedName>
    <definedName name="_QST30">#REF!</definedName>
    <definedName name="_rdd1" localSheetId="26">#REF!</definedName>
    <definedName name="_rdd1" localSheetId="33">#REF!</definedName>
    <definedName name="_rdd1" localSheetId="17">#REF!</definedName>
    <definedName name="_rdd1" localSheetId="29">#REF!</definedName>
    <definedName name="_rdd1" localSheetId="3">#REF!</definedName>
    <definedName name="_rdd1" localSheetId="16">#REF!</definedName>
    <definedName name="_rdd1" localSheetId="19">#REF!</definedName>
    <definedName name="_rdd1" localSheetId="20">#REF!</definedName>
    <definedName name="_rdd1" localSheetId="43">#REF!</definedName>
    <definedName name="_rdd1">#REF!</definedName>
    <definedName name="_SCB1" localSheetId="26">#REF!</definedName>
    <definedName name="_SCB1" localSheetId="33">#REF!</definedName>
    <definedName name="_SCB1" localSheetId="17">#REF!</definedName>
    <definedName name="_SCB1" localSheetId="48">#REF!</definedName>
    <definedName name="_SCB1" localSheetId="29">#REF!</definedName>
    <definedName name="_SCB1" localSheetId="3">#REF!</definedName>
    <definedName name="_SCB1" localSheetId="35">#REF!</definedName>
    <definedName name="_SCB1" localSheetId="16">#REF!</definedName>
    <definedName name="_SCB1" localSheetId="5">#REF!</definedName>
    <definedName name="_SCB1" localSheetId="19">#REF!</definedName>
    <definedName name="_SCB1" localSheetId="20">#REF!</definedName>
    <definedName name="_SCB1" localSheetId="43">#REF!</definedName>
    <definedName name="_SCB1">#REF!</definedName>
    <definedName name="_SCB2" localSheetId="26">#REF!</definedName>
    <definedName name="_SCB2" localSheetId="33">#REF!</definedName>
    <definedName name="_SCB2" localSheetId="17">#REF!</definedName>
    <definedName name="_SCB2" localSheetId="48">#REF!</definedName>
    <definedName name="_SCB2" localSheetId="29">#REF!</definedName>
    <definedName name="_SCB2" localSheetId="3">#REF!</definedName>
    <definedName name="_SCB2" localSheetId="35">#REF!</definedName>
    <definedName name="_SCB2" localSheetId="16">#REF!</definedName>
    <definedName name="_SCB2" localSheetId="5">#REF!</definedName>
    <definedName name="_SCB2" localSheetId="19">#REF!</definedName>
    <definedName name="_SCB2" localSheetId="20">#REF!</definedName>
    <definedName name="_SCB2" localSheetId="43">#REF!</definedName>
    <definedName name="_SCB2">#REF!</definedName>
    <definedName name="_Sch10" localSheetId="26">'[7]Schedules PL'!#REF!</definedName>
    <definedName name="_Sch10" localSheetId="33">'[7]Schedules PL'!#REF!</definedName>
    <definedName name="_Sch10" localSheetId="48">'[7]Schedules PL'!#REF!</definedName>
    <definedName name="_Sch10" localSheetId="18">'[7]Schedules PL'!#REF!</definedName>
    <definedName name="_Sch10" localSheetId="29">'[7]Schedules PL'!#REF!</definedName>
    <definedName name="_Sch10" localSheetId="35">'[7]Schedules PL'!#REF!</definedName>
    <definedName name="_Sch10" localSheetId="16">'[7]Schedules PL'!#REF!</definedName>
    <definedName name="_Sch10" localSheetId="5">'[7]Schedules PL'!#REF!</definedName>
    <definedName name="_Sch10" localSheetId="20">'[7]Schedules PL'!#REF!</definedName>
    <definedName name="_Sch10" localSheetId="43">'[7]Schedules PL'!#REF!</definedName>
    <definedName name="_Sch10">'[7]Schedules PL'!#REF!</definedName>
    <definedName name="_Sch11" localSheetId="26">'[7]Schedules PL'!#REF!</definedName>
    <definedName name="_Sch11" localSheetId="33">'[7]Schedules PL'!#REF!</definedName>
    <definedName name="_Sch11" localSheetId="48">'[7]Schedules PL'!#REF!</definedName>
    <definedName name="_Sch11" localSheetId="29">'[7]Schedules PL'!#REF!</definedName>
    <definedName name="_Sch11" localSheetId="35">'[7]Schedules PL'!#REF!</definedName>
    <definedName name="_Sch11" localSheetId="16">'[7]Schedules PL'!#REF!</definedName>
    <definedName name="_Sch11" localSheetId="5">'[7]Schedules PL'!#REF!</definedName>
    <definedName name="_Sch11" localSheetId="20">'[7]Schedules PL'!#REF!</definedName>
    <definedName name="_Sch11" localSheetId="43">'[7]Schedules PL'!#REF!</definedName>
    <definedName name="_Sch11">'[7]Schedules PL'!#REF!</definedName>
    <definedName name="_Sch12" localSheetId="26">'[7]Schedules PL'!#REF!</definedName>
    <definedName name="_Sch12" localSheetId="33">'[7]Schedules PL'!#REF!</definedName>
    <definedName name="_Sch12" localSheetId="29">'[7]Schedules PL'!#REF!</definedName>
    <definedName name="_Sch12" localSheetId="16">'[7]Schedules PL'!#REF!</definedName>
    <definedName name="_Sch12" localSheetId="5">'[7]Schedules PL'!#REF!</definedName>
    <definedName name="_Sch12" localSheetId="20">'[7]Schedules PL'!#REF!</definedName>
    <definedName name="_Sch12" localSheetId="43">'[7]Schedules PL'!#REF!</definedName>
    <definedName name="_Sch12">'[7]Schedules PL'!#REF!</definedName>
    <definedName name="_Sch13" localSheetId="26">'[7]Schedules PL'!#REF!</definedName>
    <definedName name="_Sch13" localSheetId="33">'[7]Schedules PL'!#REF!</definedName>
    <definedName name="_Sch13" localSheetId="29">'[7]Schedules PL'!#REF!</definedName>
    <definedName name="_Sch13" localSheetId="16">'[7]Schedules PL'!#REF!</definedName>
    <definedName name="_Sch13" localSheetId="5">'[7]Schedules PL'!#REF!</definedName>
    <definedName name="_Sch13" localSheetId="20">'[7]Schedules PL'!#REF!</definedName>
    <definedName name="_Sch13" localSheetId="43">'[7]Schedules PL'!#REF!</definedName>
    <definedName name="_Sch13">'[7]Schedules PL'!#REF!</definedName>
    <definedName name="_Sch14" localSheetId="33">'[7]Schedules PL'!#REF!</definedName>
    <definedName name="_Sch14" localSheetId="29">'[7]Schedules PL'!#REF!</definedName>
    <definedName name="_Sch14" localSheetId="16">'[7]Schedules PL'!#REF!</definedName>
    <definedName name="_Sch14" localSheetId="5">'[7]Schedules PL'!#REF!</definedName>
    <definedName name="_Sch14" localSheetId="20">'[7]Schedules PL'!#REF!</definedName>
    <definedName name="_Sch14" localSheetId="43">'[7]Schedules PL'!#REF!</definedName>
    <definedName name="_Sch14">'[7]Schedules PL'!#REF!</definedName>
    <definedName name="_Sch15" localSheetId="33">'[7]Schedules PL'!#REF!</definedName>
    <definedName name="_Sch15" localSheetId="29">'[7]Schedules PL'!#REF!</definedName>
    <definedName name="_Sch15" localSheetId="16">'[7]Schedules PL'!#REF!</definedName>
    <definedName name="_Sch15" localSheetId="5">'[7]Schedules PL'!#REF!</definedName>
    <definedName name="_Sch15" localSheetId="20">'[7]Schedules PL'!#REF!</definedName>
    <definedName name="_Sch15" localSheetId="43">'[7]Schedules PL'!#REF!</definedName>
    <definedName name="_Sch15">'[7]Schedules PL'!#REF!</definedName>
    <definedName name="_Sch2" localSheetId="33">'[7]Schedules PL'!#REF!</definedName>
    <definedName name="_Sch2" localSheetId="29">'[7]Schedules PL'!#REF!</definedName>
    <definedName name="_Sch2" localSheetId="16">'[7]Schedules PL'!#REF!</definedName>
    <definedName name="_Sch2" localSheetId="5">'[7]Schedules PL'!#REF!</definedName>
    <definedName name="_Sch2" localSheetId="20">'[7]Schedules PL'!#REF!</definedName>
    <definedName name="_Sch2" localSheetId="43">'[7]Schedules PL'!#REF!</definedName>
    <definedName name="_Sch2">'[7]Schedules PL'!#REF!</definedName>
    <definedName name="_Sch4" localSheetId="33">'[7]Schedules PL'!#REF!</definedName>
    <definedName name="_Sch4" localSheetId="29">'[7]Schedules PL'!#REF!</definedName>
    <definedName name="_Sch4" localSheetId="16">'[7]Schedules PL'!#REF!</definedName>
    <definedName name="_Sch4" localSheetId="5">'[7]Schedules PL'!#REF!</definedName>
    <definedName name="_Sch4" localSheetId="20">'[7]Schedules PL'!#REF!</definedName>
    <definedName name="_Sch4" localSheetId="43">'[7]Schedules PL'!#REF!</definedName>
    <definedName name="_Sch4">'[7]Schedules PL'!#REF!</definedName>
    <definedName name="_Sch5" localSheetId="33">'[7]Schedules PL'!#REF!</definedName>
    <definedName name="_Sch5" localSheetId="29">'[7]Schedules PL'!#REF!</definedName>
    <definedName name="_Sch5" localSheetId="16">'[7]Schedules PL'!#REF!</definedName>
    <definedName name="_Sch5" localSheetId="5">'[7]Schedules PL'!#REF!</definedName>
    <definedName name="_Sch5" localSheetId="20">'[7]Schedules PL'!#REF!</definedName>
    <definedName name="_Sch5" localSheetId="43">'[7]Schedules PL'!#REF!</definedName>
    <definedName name="_Sch5">'[7]Schedules PL'!#REF!</definedName>
    <definedName name="_Sch6" localSheetId="33">'[7]Schedules PL'!#REF!</definedName>
    <definedName name="_Sch6" localSheetId="29">'[7]Schedules PL'!#REF!</definedName>
    <definedName name="_Sch6" localSheetId="16">'[7]Schedules PL'!#REF!</definedName>
    <definedName name="_Sch6" localSheetId="5">'[7]Schedules PL'!#REF!</definedName>
    <definedName name="_Sch6" localSheetId="20">'[7]Schedules PL'!#REF!</definedName>
    <definedName name="_Sch6" localSheetId="43">'[7]Schedules PL'!#REF!</definedName>
    <definedName name="_Sch6">'[7]Schedules PL'!#REF!</definedName>
    <definedName name="_Sch7" localSheetId="33">'[7]Schedules PL'!#REF!</definedName>
    <definedName name="_Sch7" localSheetId="29">'[7]Schedules PL'!#REF!</definedName>
    <definedName name="_Sch7" localSheetId="16">'[7]Schedules PL'!#REF!</definedName>
    <definedName name="_Sch7" localSheetId="5">'[7]Schedules PL'!#REF!</definedName>
    <definedName name="_Sch7" localSheetId="20">'[7]Schedules PL'!#REF!</definedName>
    <definedName name="_Sch7" localSheetId="43">'[7]Schedules PL'!#REF!</definedName>
    <definedName name="_Sch7">'[7]Schedules PL'!#REF!</definedName>
    <definedName name="_Sch8" localSheetId="33">'[7]Schedules PL'!#REF!</definedName>
    <definedName name="_Sch8" localSheetId="29">'[7]Schedules PL'!#REF!</definedName>
    <definedName name="_Sch8" localSheetId="16">'[7]Schedules PL'!#REF!</definedName>
    <definedName name="_Sch8" localSheetId="5">'[7]Schedules PL'!#REF!</definedName>
    <definedName name="_Sch8" localSheetId="20">'[7]Schedules PL'!#REF!</definedName>
    <definedName name="_Sch8" localSheetId="43">'[7]Schedules PL'!#REF!</definedName>
    <definedName name="_Sch8">'[7]Schedules PL'!#REF!</definedName>
    <definedName name="_Sch9" localSheetId="33">'[7]Schedules BS'!#REF!</definedName>
    <definedName name="_Sch9" localSheetId="29">'[7]Schedules BS'!#REF!</definedName>
    <definedName name="_Sch9" localSheetId="16">'[7]Schedules BS'!#REF!</definedName>
    <definedName name="_Sch9" localSheetId="5">'[7]Schedules BS'!#REF!</definedName>
    <definedName name="_Sch9" localSheetId="20">'[7]Schedules BS'!#REF!</definedName>
    <definedName name="_Sch9" localSheetId="43">'[7]Schedules BS'!#REF!</definedName>
    <definedName name="_Sch9">'[7]Schedules BS'!#REF!</definedName>
    <definedName name="_Sort" localSheetId="26" hidden="1">#REF!</definedName>
    <definedName name="_Sort" localSheetId="33" hidden="1">#REF!</definedName>
    <definedName name="_Sort" localSheetId="17" hidden="1">#REF!</definedName>
    <definedName name="_Sort" localSheetId="48" hidden="1">#REF!</definedName>
    <definedName name="_Sort" localSheetId="29" hidden="1">#REF!</definedName>
    <definedName name="_Sort" localSheetId="3" hidden="1">#REF!</definedName>
    <definedName name="_Sort" localSheetId="35" hidden="1">#REF!</definedName>
    <definedName name="_Sort" localSheetId="16" hidden="1">#REF!</definedName>
    <definedName name="_Sort" localSheetId="5" hidden="1">#REF!</definedName>
    <definedName name="_Sort" localSheetId="19" hidden="1">#REF!</definedName>
    <definedName name="_Sort" localSheetId="20" hidden="1">#REF!</definedName>
    <definedName name="_Sort" localSheetId="43" hidden="1">#REF!</definedName>
    <definedName name="_Sort" hidden="1">#REF!</definedName>
    <definedName name="_TB1" localSheetId="26">[14]COMICRO!#REF!</definedName>
    <definedName name="_TB1" localSheetId="33">[14]COMICRO!#REF!</definedName>
    <definedName name="_TB1" localSheetId="48">[14]COMICRO!#REF!</definedName>
    <definedName name="_TB1" localSheetId="18">[14]COMICRO!#REF!</definedName>
    <definedName name="_TB1" localSheetId="29">[14]COMICRO!#REF!</definedName>
    <definedName name="_TB1" localSheetId="35">[14]COMICRO!#REF!</definedName>
    <definedName name="_TB1" localSheetId="16">[14]COMICRO!#REF!</definedName>
    <definedName name="_TB1" localSheetId="5">[14]COMICRO!#REF!</definedName>
    <definedName name="_TB1" localSheetId="20">[14]COMICRO!#REF!</definedName>
    <definedName name="_TB1" localSheetId="43">[14]COMICRO!#REF!</definedName>
    <definedName name="_TB1">[14]COMICRO!#REF!</definedName>
    <definedName name="_TB2" localSheetId="26">[14]COMICRO!#REF!</definedName>
    <definedName name="_TB2" localSheetId="33">[14]COMICRO!#REF!</definedName>
    <definedName name="_TB2" localSheetId="29">[14]COMICRO!#REF!</definedName>
    <definedName name="_TB2" localSheetId="16">[14]COMICRO!#REF!</definedName>
    <definedName name="_TB2" localSheetId="5">[14]COMICRO!#REF!</definedName>
    <definedName name="_TB2" localSheetId="20">[14]COMICRO!#REF!</definedName>
    <definedName name="_TB2" localSheetId="43">[14]COMICRO!#REF!</definedName>
    <definedName name="_TB2">[14]COMICRO!#REF!</definedName>
    <definedName name="_TB3" localSheetId="33">[14]COMICRO!#REF!</definedName>
    <definedName name="_TB3" localSheetId="29">[14]COMICRO!#REF!</definedName>
    <definedName name="_TB3" localSheetId="16">[14]COMICRO!#REF!</definedName>
    <definedName name="_TB3" localSheetId="5">[14]COMICRO!#REF!</definedName>
    <definedName name="_TB3" localSheetId="20">[14]COMICRO!#REF!</definedName>
    <definedName name="_TB3" localSheetId="43">[14]COMICRO!#REF!</definedName>
    <definedName name="_TB3">[14]COMICRO!#REF!</definedName>
    <definedName name="_TB4" localSheetId="33">[14]COMICRO!#REF!</definedName>
    <definedName name="_TB4" localSheetId="29">[14]COMICRO!#REF!</definedName>
    <definedName name="_TB4" localSheetId="16">[14]COMICRO!#REF!</definedName>
    <definedName name="_TB4" localSheetId="5">[14]COMICRO!#REF!</definedName>
    <definedName name="_TB4" localSheetId="20">[14]COMICRO!#REF!</definedName>
    <definedName name="_TB4" localSheetId="43">[14]COMICRO!#REF!</definedName>
    <definedName name="_TB4">[14]COMICRO!#REF!</definedName>
    <definedName name="_TB5" localSheetId="33">[14]COMICRO!#REF!</definedName>
    <definedName name="_TB5" localSheetId="29">[14]COMICRO!#REF!</definedName>
    <definedName name="_TB5" localSheetId="16">[14]COMICRO!#REF!</definedName>
    <definedName name="_TB5" localSheetId="5">[14]COMICRO!#REF!</definedName>
    <definedName name="_TB5" localSheetId="20">[14]COMICRO!#REF!</definedName>
    <definedName name="_TB5" localSheetId="43">[14]COMICRO!#REF!</definedName>
    <definedName name="_TB5">[14]COMICRO!#REF!</definedName>
    <definedName name="_TB6" localSheetId="33">[14]COMICRO!#REF!</definedName>
    <definedName name="_TB6" localSheetId="29">[14]COMICRO!#REF!</definedName>
    <definedName name="_TB6" localSheetId="16">[14]COMICRO!#REF!</definedName>
    <definedName name="_TB6" localSheetId="5">[14]COMICRO!#REF!</definedName>
    <definedName name="_TB6" localSheetId="20">[14]COMICRO!#REF!</definedName>
    <definedName name="_TB6" localSheetId="43">[14]COMICRO!#REF!</definedName>
    <definedName name="_TB6">[14]COMICRO!#REF!</definedName>
    <definedName name="_TB7" localSheetId="33">[14]COMICRO!#REF!</definedName>
    <definedName name="_TB7" localSheetId="29">[14]COMICRO!#REF!</definedName>
    <definedName name="_TB7" localSheetId="16">[14]COMICRO!#REF!</definedName>
    <definedName name="_TB7" localSheetId="5">[14]COMICRO!#REF!</definedName>
    <definedName name="_TB7" localSheetId="20">[14]COMICRO!#REF!</definedName>
    <definedName name="_TB7" localSheetId="43">[14]COMICRO!#REF!</definedName>
    <definedName name="_TB7">[14]COMICRO!#REF!</definedName>
    <definedName name="_tot1" localSheetId="26">#REF!</definedName>
    <definedName name="_tot1" localSheetId="18">#REF!</definedName>
    <definedName name="_tot1" localSheetId="29">#REF!</definedName>
    <definedName name="_tot1" localSheetId="16">#REF!</definedName>
    <definedName name="_tot1" localSheetId="20">#REF!</definedName>
    <definedName name="_tot1" localSheetId="43">#REF!</definedName>
    <definedName name="_tot1">#REF!</definedName>
    <definedName name="_tot2" localSheetId="26">#REF!</definedName>
    <definedName name="_tot2" localSheetId="29">#REF!</definedName>
    <definedName name="_tot2" localSheetId="16">#REF!</definedName>
    <definedName name="_tot2" localSheetId="20">#REF!</definedName>
    <definedName name="_tot2" localSheetId="43">#REF!</definedName>
    <definedName name="_tot2">#REF!</definedName>
    <definedName name="A" localSheetId="26">[6]FOIL!#REF!</definedName>
    <definedName name="A" localSheetId="33">[6]FOIL!#REF!</definedName>
    <definedName name="A" localSheetId="48">[6]FOIL!#REF!</definedName>
    <definedName name="A" localSheetId="18">[6]FOIL!#REF!</definedName>
    <definedName name="A" localSheetId="29">[6]FOIL!#REF!</definedName>
    <definedName name="A" localSheetId="3">[6]FOIL!#REF!</definedName>
    <definedName name="A" localSheetId="35">[6]FOIL!#REF!</definedName>
    <definedName name="A" localSheetId="16">[6]FOIL!#REF!</definedName>
    <definedName name="A" localSheetId="5">[6]FOIL!#REF!</definedName>
    <definedName name="A" localSheetId="20">[6]FOIL!#REF!</definedName>
    <definedName name="A" localSheetId="43">[6]FOIL!#REF!</definedName>
    <definedName name="A">[6]FOIL!#REF!</definedName>
    <definedName name="A_impresión_IM">[24]C!$A$1:$E$24</definedName>
    <definedName name="A_S_I_A_N___H_O_T_E_L_S___L_I_M_I_T_E_D" localSheetId="26">#REF!</definedName>
    <definedName name="A_S_I_A_N___H_O_T_E_L_S___L_I_M_I_T_E_D" localSheetId="33">#REF!</definedName>
    <definedName name="A_S_I_A_N___H_O_T_E_L_S___L_I_M_I_T_E_D" localSheetId="17">#REF!</definedName>
    <definedName name="A_S_I_A_N___H_O_T_E_L_S___L_I_M_I_T_E_D" localSheetId="48">#REF!</definedName>
    <definedName name="A_S_I_A_N___H_O_T_E_L_S___L_I_M_I_T_E_D" localSheetId="29">#REF!</definedName>
    <definedName name="A_S_I_A_N___H_O_T_E_L_S___L_I_M_I_T_E_D" localSheetId="3">#REF!</definedName>
    <definedName name="A_S_I_A_N___H_O_T_E_L_S___L_I_M_I_T_E_D" localSheetId="35">#REF!</definedName>
    <definedName name="A_S_I_A_N___H_O_T_E_L_S___L_I_M_I_T_E_D" localSheetId="16">#REF!</definedName>
    <definedName name="A_S_I_A_N___H_O_T_E_L_S___L_I_M_I_T_E_D" localSheetId="5">#REF!</definedName>
    <definedName name="A_S_I_A_N___H_O_T_E_L_S___L_I_M_I_T_E_D" localSheetId="19">#REF!</definedName>
    <definedName name="A_S_I_A_N___H_O_T_E_L_S___L_I_M_I_T_E_D" localSheetId="20">#REF!</definedName>
    <definedName name="A_S_I_A_N___H_O_T_E_L_S___L_I_M_I_T_E_D" localSheetId="43">#REF!</definedName>
    <definedName name="A_S_I_A_N___H_O_T_E_L_S___L_I_M_I_T_E_D">#REF!</definedName>
    <definedName name="A1_" localSheetId="26">#REF!</definedName>
    <definedName name="A1_" localSheetId="29">#REF!</definedName>
    <definedName name="A1_" localSheetId="16">#REF!</definedName>
    <definedName name="A1_" localSheetId="20">#REF!</definedName>
    <definedName name="A1_" localSheetId="43">#REF!</definedName>
    <definedName name="A1_">#REF!</definedName>
    <definedName name="A10_" localSheetId="26">#REF!</definedName>
    <definedName name="A10_" localSheetId="29">#REF!</definedName>
    <definedName name="A10_" localSheetId="16">#REF!</definedName>
    <definedName name="A10_" localSheetId="20">#REF!</definedName>
    <definedName name="A10_" localSheetId="43">#REF!</definedName>
    <definedName name="A10_">#REF!</definedName>
    <definedName name="A13_" localSheetId="26">#REF!</definedName>
    <definedName name="A13_" localSheetId="29">#REF!</definedName>
    <definedName name="A13_" localSheetId="16">#REF!</definedName>
    <definedName name="A13_" localSheetId="20">#REF!</definedName>
    <definedName name="A13_" localSheetId="43">#REF!</definedName>
    <definedName name="A13_">#REF!</definedName>
    <definedName name="A2_" localSheetId="26">#REF!</definedName>
    <definedName name="A2_" localSheetId="29">#REF!</definedName>
    <definedName name="A2_" localSheetId="16">#REF!</definedName>
    <definedName name="A2_" localSheetId="20">#REF!</definedName>
    <definedName name="A2_" localSheetId="43">#REF!</definedName>
    <definedName name="A2_">#REF!</definedName>
    <definedName name="A3_" localSheetId="26">#REF!</definedName>
    <definedName name="A3_" localSheetId="29">#REF!</definedName>
    <definedName name="A3_" localSheetId="16">#REF!</definedName>
    <definedName name="A3_" localSheetId="20">#REF!</definedName>
    <definedName name="A3_" localSheetId="43">#REF!</definedName>
    <definedName name="A3_">#REF!</definedName>
    <definedName name="A4_" localSheetId="26">#REF!</definedName>
    <definedName name="A4_" localSheetId="29">#REF!</definedName>
    <definedName name="A4_" localSheetId="16">#REF!</definedName>
    <definedName name="A4_" localSheetId="20">#REF!</definedName>
    <definedName name="A4_" localSheetId="43">#REF!</definedName>
    <definedName name="A4_">#REF!</definedName>
    <definedName name="A5_" localSheetId="26">#REF!</definedName>
    <definedName name="A5_" localSheetId="29">#REF!</definedName>
    <definedName name="A5_" localSheetId="16">#REF!</definedName>
    <definedName name="A5_" localSheetId="20">#REF!</definedName>
    <definedName name="A5_" localSheetId="43">#REF!</definedName>
    <definedName name="A5_">#REF!</definedName>
    <definedName name="A6_" localSheetId="26">#REF!</definedName>
    <definedName name="A6_" localSheetId="29">#REF!</definedName>
    <definedName name="A6_" localSheetId="16">#REF!</definedName>
    <definedName name="A6_" localSheetId="20">#REF!</definedName>
    <definedName name="A6_" localSheetId="43">#REF!</definedName>
    <definedName name="A6_">#REF!</definedName>
    <definedName name="A7_" localSheetId="26">#REF!</definedName>
    <definedName name="A7_" localSheetId="29">#REF!</definedName>
    <definedName name="A7_" localSheetId="16">#REF!</definedName>
    <definedName name="A7_" localSheetId="20">#REF!</definedName>
    <definedName name="A7_" localSheetId="43">#REF!</definedName>
    <definedName name="A7_">#REF!</definedName>
    <definedName name="A77..K82_">#N/A</definedName>
    <definedName name="A8_" localSheetId="26">#REF!</definedName>
    <definedName name="A8_" localSheetId="18">#REF!</definedName>
    <definedName name="A8_" localSheetId="29">#REF!</definedName>
    <definedName name="A8_" localSheetId="16">#REF!</definedName>
    <definedName name="A8_" localSheetId="20">#REF!</definedName>
    <definedName name="A8_" localSheetId="43">#REF!</definedName>
    <definedName name="A8_">#REF!</definedName>
    <definedName name="A9_" localSheetId="26">#REF!</definedName>
    <definedName name="A9_" localSheetId="29">#REF!</definedName>
    <definedName name="A9_" localSheetId="16">#REF!</definedName>
    <definedName name="A9_" localSheetId="20">#REF!</definedName>
    <definedName name="A9_" localSheetId="43">#REF!</definedName>
    <definedName name="A9_">#REF!</definedName>
    <definedName name="aa" localSheetId="26">#REF!</definedName>
    <definedName name="aa" localSheetId="33">#REF!</definedName>
    <definedName name="aa" localSheetId="17">#REF!</definedName>
    <definedName name="AA" localSheetId="48">[25]DEPAIMS!#REF!</definedName>
    <definedName name="aa" localSheetId="29">#REF!</definedName>
    <definedName name="aa" localSheetId="3">#REF!</definedName>
    <definedName name="AA" localSheetId="35">[25]DEPAIMS!#REF!</definedName>
    <definedName name="aa" localSheetId="16">#REF!</definedName>
    <definedName name="aa" localSheetId="19">#REF!</definedName>
    <definedName name="aa" localSheetId="20">#REF!</definedName>
    <definedName name="aa" localSheetId="43">#REF!</definedName>
    <definedName name="aa">#REF!</definedName>
    <definedName name="aaa" localSheetId="26">#REF!</definedName>
    <definedName name="aaa" localSheetId="33">#REF!</definedName>
    <definedName name="aaa" localSheetId="17">#REF!</definedName>
    <definedName name="aaa" localSheetId="29">#REF!</definedName>
    <definedName name="aaa" localSheetId="3">#REF!</definedName>
    <definedName name="aaa" localSheetId="16">#REF!</definedName>
    <definedName name="aaa" localSheetId="19">#REF!</definedName>
    <definedName name="aaa" localSheetId="20">#REF!</definedName>
    <definedName name="aaa" localSheetId="43">#REF!</definedName>
    <definedName name="aaa">#REF!</definedName>
    <definedName name="aaaa">#N/A</definedName>
    <definedName name="aab" localSheetId="23">'[26]0904'!#REF!</definedName>
    <definedName name="aab" localSheetId="18">'[26]0904'!#REF!</definedName>
    <definedName name="aab" localSheetId="29">'[26]0904'!#REF!</definedName>
    <definedName name="aab" localSheetId="16">'[26]0904'!#REF!</definedName>
    <definedName name="aab" localSheetId="20">'[26]0904'!#REF!</definedName>
    <definedName name="aab" localSheetId="43">'[26]0904'!#REF!</definedName>
    <definedName name="aab">'[26]0904'!#REF!</definedName>
    <definedName name="aav" localSheetId="26">#REF!</definedName>
    <definedName name="aav" localSheetId="33">#REF!</definedName>
    <definedName name="aav" localSheetId="17">#REF!</definedName>
    <definedName name="aav" localSheetId="29">#REF!</definedName>
    <definedName name="aav" localSheetId="3">#REF!</definedName>
    <definedName name="aav" localSheetId="16">#REF!</definedName>
    <definedName name="aav" localSheetId="19">#REF!</definedName>
    <definedName name="aav" localSheetId="20">#REF!</definedName>
    <definedName name="aav" localSheetId="43">#REF!</definedName>
    <definedName name="aav">#REF!</definedName>
    <definedName name="ab" localSheetId="26" hidden="1">#REF!</definedName>
    <definedName name="ab" localSheetId="29" hidden="1">#REF!</definedName>
    <definedName name="ab" localSheetId="16" hidden="1">#REF!</definedName>
    <definedName name="ab" localSheetId="20" hidden="1">#REF!</definedName>
    <definedName name="ab" localSheetId="43" hidden="1">#REF!</definedName>
    <definedName name="ab" hidden="1">#REF!</definedName>
    <definedName name="abc" localSheetId="26">#REF!</definedName>
    <definedName name="abc" localSheetId="33">#REF!</definedName>
    <definedName name="abc" localSheetId="17">#REF!</definedName>
    <definedName name="abc" localSheetId="29">#REF!</definedName>
    <definedName name="abc" localSheetId="3">#REF!</definedName>
    <definedName name="abc" localSheetId="16">#REF!</definedName>
    <definedName name="abc" localSheetId="19">#REF!</definedName>
    <definedName name="abc" localSheetId="20">#REF!</definedName>
    <definedName name="abc" localSheetId="43">#REF!</definedName>
    <definedName name="abc">#REF!</definedName>
    <definedName name="ABHI" localSheetId="26">#REF!</definedName>
    <definedName name="ABHI" localSheetId="33">#REF!</definedName>
    <definedName name="ABHI" localSheetId="17">#REF!</definedName>
    <definedName name="ABHI" localSheetId="48">#REF!</definedName>
    <definedName name="ABHI" localSheetId="29">#REF!</definedName>
    <definedName name="ABHI" localSheetId="3">#REF!</definedName>
    <definedName name="ABHI" localSheetId="35">#REF!</definedName>
    <definedName name="ABHI" localSheetId="16">#REF!</definedName>
    <definedName name="ABHI" localSheetId="5">#REF!</definedName>
    <definedName name="ABHI" localSheetId="19">#REF!</definedName>
    <definedName name="ABHI" localSheetId="20">#REF!</definedName>
    <definedName name="ABHI" localSheetId="43">#REF!</definedName>
    <definedName name="ABHI">#REF!</definedName>
    <definedName name="ABS" localSheetId="26">[17]BE!#REF!</definedName>
    <definedName name="ABS" localSheetId="33">[17]BE!#REF!</definedName>
    <definedName name="ABS" localSheetId="48">[18]BE!#REF!</definedName>
    <definedName name="ABS" localSheetId="18">[17]BE!#REF!</definedName>
    <definedName name="ABS" localSheetId="29">[17]BE!#REF!</definedName>
    <definedName name="ABS" localSheetId="35">[18]BE!#REF!</definedName>
    <definedName name="ABS" localSheetId="16">[17]BE!#REF!</definedName>
    <definedName name="ABS" localSheetId="5">[17]BE!#REF!</definedName>
    <definedName name="ABS" localSheetId="20">[17]BE!#REF!</definedName>
    <definedName name="ABS" localSheetId="43">[17]BE!#REF!</definedName>
    <definedName name="ABS">[17]BE!#REF!</definedName>
    <definedName name="AC" localSheetId="26">#REF!</definedName>
    <definedName name="AC" localSheetId="33">#REF!</definedName>
    <definedName name="AC" localSheetId="17">#REF!</definedName>
    <definedName name="AC" localSheetId="29">#REF!</definedName>
    <definedName name="AC" localSheetId="3">#REF!</definedName>
    <definedName name="AC" localSheetId="16">#REF!</definedName>
    <definedName name="AC" localSheetId="19">#REF!</definedName>
    <definedName name="AC" localSheetId="20">#REF!</definedName>
    <definedName name="AC" localSheetId="43">#REF!</definedName>
    <definedName name="AC">#REF!</definedName>
    <definedName name="accccccccccc">[27]PNL!$A$86:$Z$125</definedName>
    <definedName name="AccessDatabase" hidden="1">"C:\N.H. VYAS\EXPERIENCE.mdb"</definedName>
    <definedName name="Account_Balance" localSheetId="26">#REF!</definedName>
    <definedName name="Account_Balance" localSheetId="33">#REF!</definedName>
    <definedName name="Account_Balance" localSheetId="17">#REF!</definedName>
    <definedName name="Account_Balance" localSheetId="48">#REF!</definedName>
    <definedName name="Account_Balance" localSheetId="29">#REF!</definedName>
    <definedName name="Account_Balance" localSheetId="3">#REF!</definedName>
    <definedName name="Account_Balance" localSheetId="35">#REF!</definedName>
    <definedName name="Account_Balance" localSheetId="16">#REF!</definedName>
    <definedName name="Account_Balance" localSheetId="5">#REF!</definedName>
    <definedName name="Account_Balance" localSheetId="19">#REF!</definedName>
    <definedName name="Account_Balance" localSheetId="20">#REF!</definedName>
    <definedName name="Account_Balance" localSheetId="43">#REF!</definedName>
    <definedName name="Account_Balance">#REF!</definedName>
    <definedName name="acog" localSheetId="26">#REF!</definedName>
    <definedName name="acog" localSheetId="29">#REF!</definedName>
    <definedName name="acog" localSheetId="16">#REF!</definedName>
    <definedName name="acog" localSheetId="20">#REF!</definedName>
    <definedName name="acog" localSheetId="43">#REF!</definedName>
    <definedName name="acog">#REF!</definedName>
    <definedName name="ACP" localSheetId="26">#REF!</definedName>
    <definedName name="ACP" localSheetId="33">#REF!</definedName>
    <definedName name="ACP" localSheetId="17">#REF!</definedName>
    <definedName name="ACP" localSheetId="29">#REF!</definedName>
    <definedName name="ACP" localSheetId="3">#REF!</definedName>
    <definedName name="ACP" localSheetId="16">#REF!</definedName>
    <definedName name="ACP" localSheetId="19">#REF!</definedName>
    <definedName name="ACP" localSheetId="20">#REF!</definedName>
    <definedName name="ACP" localSheetId="43">#REF!</definedName>
    <definedName name="ACP">#REF!</definedName>
    <definedName name="act" localSheetId="26">#REF!</definedName>
    <definedName name="act" localSheetId="29">#REF!</definedName>
    <definedName name="act" localSheetId="16">#REF!</definedName>
    <definedName name="act" localSheetId="20">#REF!</definedName>
    <definedName name="act" localSheetId="43">#REF!</definedName>
    <definedName name="act">#REF!</definedName>
    <definedName name="Act_ActiLife" localSheetId="26">'[28]Brand (2)'!$D$268:$AF$285</definedName>
    <definedName name="Act_ActiLife" localSheetId="23">'[29]Brand (2)'!$D$268:$AF$285</definedName>
    <definedName name="Act_ActiLife" localSheetId="43">'[28]Brand (2)'!$D$268:$AF$285</definedName>
    <definedName name="Act_ActiLife">'[30]Brand (2)'!$D$268:$AF$285</definedName>
    <definedName name="Act_EY" localSheetId="26">'[28]Brand (2)'!$D$228:$AF$245</definedName>
    <definedName name="Act_EY" localSheetId="23">'[29]Brand (2)'!$D$228:$AF$245</definedName>
    <definedName name="Act_EY" localSheetId="43">'[28]Brand (2)'!$D$228:$AF$245</definedName>
    <definedName name="Act_EY">'[30]Brand (2)'!$D$228:$AF$245</definedName>
    <definedName name="Act_EY_Menz" localSheetId="26">'[28]Brand (2)'!$D$248:$AF$265</definedName>
    <definedName name="Act_EY_Menz" localSheetId="23">'[29]Brand (2)'!$D$248:$AF$265</definedName>
    <definedName name="Act_EY_Menz" localSheetId="43">'[28]Brand (2)'!$D$248:$AF$265</definedName>
    <definedName name="Act_EY_Menz">'[30]Brand (2)'!$D$248:$AF$265</definedName>
    <definedName name="Act_HS" localSheetId="26">'[28]Brand (2)'!$D$288:$AF$305</definedName>
    <definedName name="Act_HS" localSheetId="23">'[29]Brand (2)'!$D$288:$AF$305</definedName>
    <definedName name="Act_HS" localSheetId="43">'[28]Brand (2)'!$D$288:$AF$305</definedName>
    <definedName name="Act_HS">'[30]Brand (2)'!$D$288:$AF$305</definedName>
    <definedName name="Act_Liquid" localSheetId="26">'[28]Brand (2)'!$D$208:$AF$225</definedName>
    <definedName name="Act_Liquid" localSheetId="23">'[29]Brand (2)'!$D$208:$AF$225</definedName>
    <definedName name="Act_Liquid" localSheetId="43">'[28]Brand (2)'!$D$208:$AF$225</definedName>
    <definedName name="Act_Liquid">'[30]Brand (2)'!$D$208:$AF$225</definedName>
    <definedName name="Act_PL_Export" localSheetId="26">[28]budget!$D$257:$AB$282</definedName>
    <definedName name="Act_PL_Export" localSheetId="23">[29]budget!$D$257:$AB$282</definedName>
    <definedName name="Act_PL_Export" localSheetId="43">[28]budget!$D$257:$AB$282</definedName>
    <definedName name="Act_PL_Export">[30]budget!$D$257:$AB$282</definedName>
    <definedName name="Act_SFE" localSheetId="26">'[28]Brand (2)'!$D$168:$AF$185</definedName>
    <definedName name="Act_SFE" localSheetId="23">'[29]Brand (2)'!$D$168:$AF$185</definedName>
    <definedName name="Act_SFE" localSheetId="43">'[28]Brand (2)'!$D$168:$AF$185</definedName>
    <definedName name="Act_SFE">'[30]Brand (2)'!$D$168:$AF$185</definedName>
    <definedName name="Act_SFN" localSheetId="26">'[28]Brand (2)'!$D$188:$AF$205</definedName>
    <definedName name="Act_SFN" localSheetId="23">'[29]Brand (2)'!$D$188:$AF$205</definedName>
    <definedName name="Act_SFN" localSheetId="43">'[28]Brand (2)'!$D$188:$AF$205</definedName>
    <definedName name="Act_SFN">'[30]Brand (2)'!$D$188:$AF$205</definedName>
    <definedName name="ACTIVO">[31]REPOMO!$A$72:$Q$86</definedName>
    <definedName name="ACTL_AEC" localSheetId="26">#REF!</definedName>
    <definedName name="ACTL_AEC" localSheetId="33">#REF!</definedName>
    <definedName name="ACTL_AEC" localSheetId="17">#REF!</definedName>
    <definedName name="ACTL_AEC" localSheetId="29">#REF!</definedName>
    <definedName name="ACTL_AEC" localSheetId="3">#REF!</definedName>
    <definedName name="ACTL_AEC" localSheetId="16">#REF!</definedName>
    <definedName name="ACTL_AEC" localSheetId="19">#REF!</definedName>
    <definedName name="ACTL_AEC" localSheetId="20">#REF!</definedName>
    <definedName name="ACTL_AEC" localSheetId="43">#REF!</definedName>
    <definedName name="ACTL_AEC">#REF!</definedName>
    <definedName name="ACTL_AEC_DEV" localSheetId="26">#REF!</definedName>
    <definedName name="ACTL_AEC_DEV" localSheetId="33">#REF!</definedName>
    <definedName name="ACTL_AEC_DEV" localSheetId="17">#REF!</definedName>
    <definedName name="ACTL_AEC_DEV" localSheetId="29">#REF!</definedName>
    <definedName name="ACTL_AEC_DEV" localSheetId="3">#REF!</definedName>
    <definedName name="ACTL_AEC_DEV" localSheetId="16">#REF!</definedName>
    <definedName name="ACTL_AEC_DEV" localSheetId="19">#REF!</definedName>
    <definedName name="ACTL_AEC_DEV" localSheetId="20">#REF!</definedName>
    <definedName name="ACTL_AEC_DEV" localSheetId="43">#REF!</definedName>
    <definedName name="ACTL_AEC_DEV">#REF!</definedName>
    <definedName name="ACTL_AMD" localSheetId="26">#REF!</definedName>
    <definedName name="ACTL_AMD" localSheetId="33">#REF!</definedName>
    <definedName name="ACTL_AMD" localSheetId="17">#REF!</definedName>
    <definedName name="ACTL_AMD" localSheetId="29">#REF!</definedName>
    <definedName name="ACTL_AMD" localSheetId="3">#REF!</definedName>
    <definedName name="ACTL_AMD" localSheetId="16">#REF!</definedName>
    <definedName name="ACTL_AMD" localSheetId="19">#REF!</definedName>
    <definedName name="ACTL_AMD" localSheetId="20">#REF!</definedName>
    <definedName name="ACTL_AMD" localSheetId="43">#REF!</definedName>
    <definedName name="ACTL_AMD">#REF!</definedName>
    <definedName name="ACTL_CCD_CNEXT" localSheetId="26">#REF!</definedName>
    <definedName name="ACTL_CCD_CNEXT" localSheetId="33">#REF!</definedName>
    <definedName name="ACTL_CCD_CNEXT" localSheetId="17">#REF!</definedName>
    <definedName name="ACTL_CCD_CNEXT" localSheetId="29">#REF!</definedName>
    <definedName name="ACTL_CCD_CNEXT" localSheetId="3">#REF!</definedName>
    <definedName name="ACTL_CCD_CNEXT" localSheetId="16">#REF!</definedName>
    <definedName name="ACTL_CCD_CNEXT" localSheetId="19">#REF!</definedName>
    <definedName name="ACTL_CCD_CNEXT" localSheetId="20">#REF!</definedName>
    <definedName name="ACTL_CCD_CNEXT" localSheetId="43">#REF!</definedName>
    <definedName name="ACTL_CCD_CNEXT">#REF!</definedName>
    <definedName name="ACTL_DSA" localSheetId="26">#REF!</definedName>
    <definedName name="ACTL_DSA" localSheetId="33">#REF!</definedName>
    <definedName name="ACTL_DSA" localSheetId="17">#REF!</definedName>
    <definedName name="ACTL_DSA" localSheetId="29">#REF!</definedName>
    <definedName name="ACTL_DSA" localSheetId="3">#REF!</definedName>
    <definedName name="ACTL_DSA" localSheetId="16">#REF!</definedName>
    <definedName name="ACTL_DSA" localSheetId="19">#REF!</definedName>
    <definedName name="ACTL_DSA" localSheetId="20">#REF!</definedName>
    <definedName name="ACTL_DSA" localSheetId="43">#REF!</definedName>
    <definedName name="ACTL_DSA">#REF!</definedName>
    <definedName name="ACTL_ELIM" localSheetId="26">#REF!</definedName>
    <definedName name="ACTL_ELIM" localSheetId="33">#REF!</definedName>
    <definedName name="ACTL_ELIM" localSheetId="17">#REF!</definedName>
    <definedName name="ACTL_ELIM" localSheetId="29">#REF!</definedName>
    <definedName name="ACTL_ELIM" localSheetId="3">#REF!</definedName>
    <definedName name="ACTL_ELIM" localSheetId="16">#REF!</definedName>
    <definedName name="ACTL_ELIM" localSheetId="19">#REF!</definedName>
    <definedName name="ACTL_ELIM" localSheetId="20">#REF!</definedName>
    <definedName name="ACTL_ELIM" localSheetId="43">#REF!</definedName>
    <definedName name="ACTL_ELIM">#REF!</definedName>
    <definedName name="ACTL_GA_MIS" localSheetId="26">#REF!</definedName>
    <definedName name="ACTL_GA_MIS" localSheetId="33">#REF!</definedName>
    <definedName name="ACTL_GA_MIS" localSheetId="17">#REF!</definedName>
    <definedName name="ACTL_GA_MIS" localSheetId="29">#REF!</definedName>
    <definedName name="ACTL_GA_MIS" localSheetId="3">#REF!</definedName>
    <definedName name="ACTL_GA_MIS" localSheetId="16">#REF!</definedName>
    <definedName name="ACTL_GA_MIS" localSheetId="19">#REF!</definedName>
    <definedName name="ACTL_GA_MIS" localSheetId="20">#REF!</definedName>
    <definedName name="ACTL_GA_MIS" localSheetId="43">#REF!</definedName>
    <definedName name="ACTL_GA_MIS">#REF!</definedName>
    <definedName name="ACTL_GRF">'[32]IS Mo'!$AH$10:$AS$62</definedName>
    <definedName name="ACTL_INN">'[32]IS Mo'!$BL$10:$BW$62</definedName>
    <definedName name="ACTL_LAT_AM" localSheetId="26">#REF!</definedName>
    <definedName name="ACTL_LAT_AM" localSheetId="33">#REF!</definedName>
    <definedName name="ACTL_LAT_AM" localSheetId="17">#REF!</definedName>
    <definedName name="ACTL_LAT_AM" localSheetId="29">#REF!</definedName>
    <definedName name="ACTL_LAT_AM" localSheetId="3">#REF!</definedName>
    <definedName name="ACTL_LAT_AM" localSheetId="16">#REF!</definedName>
    <definedName name="ACTL_LAT_AM" localSheetId="19">#REF!</definedName>
    <definedName name="ACTL_LAT_AM" localSheetId="20">#REF!</definedName>
    <definedName name="ACTL_LAT_AM" localSheetId="43">#REF!</definedName>
    <definedName name="ACTL_LAT_AM">#REF!</definedName>
    <definedName name="ACTL_MKT_COMM" localSheetId="26">#REF!</definedName>
    <definedName name="ACTL_MKT_COMM" localSheetId="33">#REF!</definedName>
    <definedName name="ACTL_MKT_COMM" localSheetId="17">#REF!</definedName>
    <definedName name="ACTL_MKT_COMM" localSheetId="29">#REF!</definedName>
    <definedName name="ACTL_MKT_COMM" localSheetId="3">#REF!</definedName>
    <definedName name="ACTL_MKT_COMM" localSheetId="16">#REF!</definedName>
    <definedName name="ACTL_MKT_COMM" localSheetId="19">#REF!</definedName>
    <definedName name="ACTL_MKT_COMM" localSheetId="20">#REF!</definedName>
    <definedName name="ACTL_MKT_COMM" localSheetId="43">#REF!</definedName>
    <definedName name="ACTL_MKT_COMM">#REF!</definedName>
    <definedName name="ACTL_NAS_AEC" localSheetId="26">#REF!</definedName>
    <definedName name="ACTL_NAS_AEC" localSheetId="33">#REF!</definedName>
    <definedName name="ACTL_NAS_AEC" localSheetId="17">#REF!</definedName>
    <definedName name="ACTL_NAS_AEC" localSheetId="29">#REF!</definedName>
    <definedName name="ACTL_NAS_AEC" localSheetId="3">#REF!</definedName>
    <definedName name="ACTL_NAS_AEC" localSheetId="16">#REF!</definedName>
    <definedName name="ACTL_NAS_AEC" localSheetId="19">#REF!</definedName>
    <definedName name="ACTL_NAS_AEC" localSheetId="20">#REF!</definedName>
    <definedName name="ACTL_NAS_AEC" localSheetId="43">#REF!</definedName>
    <definedName name="ACTL_NAS_AEC">#REF!</definedName>
    <definedName name="ACTL_NAS_MECH" localSheetId="26">#REF!</definedName>
    <definedName name="ACTL_NAS_MECH" localSheetId="33">#REF!</definedName>
    <definedName name="ACTL_NAS_MECH" localSheetId="17">#REF!</definedName>
    <definedName name="ACTL_NAS_MECH" localSheetId="29">#REF!</definedName>
    <definedName name="ACTL_NAS_MECH" localSheetId="3">#REF!</definedName>
    <definedName name="ACTL_NAS_MECH" localSheetId="16">#REF!</definedName>
    <definedName name="ACTL_NAS_MECH" localSheetId="19">#REF!</definedName>
    <definedName name="ACTL_NAS_MECH" localSheetId="20">#REF!</definedName>
    <definedName name="ACTL_NAS_MECH" localSheetId="43">#REF!</definedName>
    <definedName name="ACTL_NAS_MECH">#REF!</definedName>
    <definedName name="ACTL_NEWCO" localSheetId="26">#REF!</definedName>
    <definedName name="ACTL_NEWCO" localSheetId="33">#REF!</definedName>
    <definedName name="ACTL_NEWCO" localSheetId="17">#REF!</definedName>
    <definedName name="ACTL_NEWCO" localSheetId="29">#REF!</definedName>
    <definedName name="ACTL_NEWCO" localSheetId="3">#REF!</definedName>
    <definedName name="ACTL_NEWCO" localSheetId="16">#REF!</definedName>
    <definedName name="ACTL_NEWCO" localSheetId="19">#REF!</definedName>
    <definedName name="ACTL_NEWCO" localSheetId="20">#REF!</definedName>
    <definedName name="ACTL_NEWCO" localSheetId="43">#REF!</definedName>
    <definedName name="ACTL_NEWCO">#REF!</definedName>
    <definedName name="ACTL_NEWCO_MO" localSheetId="26">#REF!</definedName>
    <definedName name="ACTL_NEWCO_MO" localSheetId="33">#REF!</definedName>
    <definedName name="ACTL_NEWCO_MO" localSheetId="17">#REF!</definedName>
    <definedName name="ACTL_NEWCO_MO" localSheetId="29">#REF!</definedName>
    <definedName name="ACTL_NEWCO_MO" localSheetId="3">#REF!</definedName>
    <definedName name="ACTL_NEWCO_MO" localSheetId="16">#REF!</definedName>
    <definedName name="ACTL_NEWCO_MO" localSheetId="19">#REF!</definedName>
    <definedName name="ACTL_NEWCO_MO" localSheetId="20">#REF!</definedName>
    <definedName name="ACTL_NEWCO_MO" localSheetId="43">#REF!</definedName>
    <definedName name="ACTL_NEWCO_MO">#REF!</definedName>
    <definedName name="ACTL_PSD" localSheetId="26">#REF!</definedName>
    <definedName name="ACTL_PSD" localSheetId="33">#REF!</definedName>
    <definedName name="ACTL_PSD" localSheetId="17">#REF!</definedName>
    <definedName name="ACTL_PSD" localSheetId="29">#REF!</definedName>
    <definedName name="ACTL_PSD" localSheetId="3">#REF!</definedName>
    <definedName name="ACTL_PSD" localSheetId="16">#REF!</definedName>
    <definedName name="ACTL_PSD" localSheetId="19">#REF!</definedName>
    <definedName name="ACTL_PSD" localSheetId="20">#REF!</definedName>
    <definedName name="ACTL_PSD" localSheetId="43">#REF!</definedName>
    <definedName name="ACTL_PSD">#REF!</definedName>
    <definedName name="ACTL_PUB">'[32]IS Mo'!$AW$10:$BH$62</definedName>
    <definedName name="ACTL_VPM" localSheetId="26">#REF!</definedName>
    <definedName name="ACTL_VPM" localSheetId="33">#REF!</definedName>
    <definedName name="ACTL_VPM" localSheetId="17">#REF!</definedName>
    <definedName name="ACTL_VPM" localSheetId="29">#REF!</definedName>
    <definedName name="ACTL_VPM" localSheetId="3">#REF!</definedName>
    <definedName name="ACTL_VPM" localSheetId="16">#REF!</definedName>
    <definedName name="ACTL_VPM" localSheetId="19">#REF!</definedName>
    <definedName name="ACTL_VPM" localSheetId="20">#REF!</definedName>
    <definedName name="ACTL_VPM" localSheetId="43">#REF!</definedName>
    <definedName name="ACTL_VPM">#REF!</definedName>
    <definedName name="actp" localSheetId="26">#REF!</definedName>
    <definedName name="actp" localSheetId="29">#REF!</definedName>
    <definedName name="actp" localSheetId="16">#REF!</definedName>
    <definedName name="actp" localSheetId="20">#REF!</definedName>
    <definedName name="actp" localSheetId="43">#REF!</definedName>
    <definedName name="actp">#REF!</definedName>
    <definedName name="Actual_Forecast" localSheetId="26">#REF!</definedName>
    <definedName name="Actual_Forecast" localSheetId="33">#REF!</definedName>
    <definedName name="Actual_Forecast" localSheetId="17">#REF!</definedName>
    <definedName name="Actual_Forecast" localSheetId="29">#REF!</definedName>
    <definedName name="Actual_Forecast" localSheetId="3">#REF!</definedName>
    <definedName name="Actual_Forecast" localSheetId="16">#REF!</definedName>
    <definedName name="Actual_Forecast" localSheetId="19">#REF!</definedName>
    <definedName name="Actual_Forecast" localSheetId="20">#REF!</definedName>
    <definedName name="Actual_Forecast" localSheetId="43">#REF!</definedName>
    <definedName name="Actual_Forecast">#REF!</definedName>
    <definedName name="Actual_vs_Fcst" localSheetId="26">#REF!</definedName>
    <definedName name="Actual_vs_Fcst" localSheetId="33">#REF!</definedName>
    <definedName name="Actual_vs_Fcst" localSheetId="17">#REF!</definedName>
    <definedName name="Actual_vs_Fcst" localSheetId="29">#REF!</definedName>
    <definedName name="Actual_vs_Fcst" localSheetId="3">#REF!</definedName>
    <definedName name="Actual_vs_Fcst" localSheetId="16">#REF!</definedName>
    <definedName name="Actual_vs_Fcst" localSheetId="19">#REF!</definedName>
    <definedName name="Actual_vs_Fcst" localSheetId="20">#REF!</definedName>
    <definedName name="Actual_vs_Fcst" localSheetId="43">#REF!</definedName>
    <definedName name="Actual_vs_Fcst">#REF!</definedName>
    <definedName name="adaex" localSheetId="26">#REF!</definedName>
    <definedName name="adaex" localSheetId="29">#REF!</definedName>
    <definedName name="adaex" localSheetId="16">#REF!</definedName>
    <definedName name="adaex" localSheetId="20">#REF!</definedName>
    <definedName name="adaex" localSheetId="43">#REF!</definedName>
    <definedName name="adaex">#REF!</definedName>
    <definedName name="adbex" localSheetId="26">#REF!</definedName>
    <definedName name="adbex" localSheetId="29">#REF!</definedName>
    <definedName name="adbex" localSheetId="16">#REF!</definedName>
    <definedName name="adbex" localSheetId="20">#REF!</definedName>
    <definedName name="adbex" localSheetId="43">#REF!</definedName>
    <definedName name="adbex">#REF!</definedName>
    <definedName name="Additions" localSheetId="26">#REF!</definedName>
    <definedName name="Additions" localSheetId="33">#REF!</definedName>
    <definedName name="Additions" localSheetId="17">#REF!</definedName>
    <definedName name="Additions" localSheetId="29">#REF!</definedName>
    <definedName name="Additions" localSheetId="3">#REF!</definedName>
    <definedName name="Additions" localSheetId="16">#REF!</definedName>
    <definedName name="Additions" localSheetId="19">#REF!</definedName>
    <definedName name="Additions" localSheetId="20">#REF!</definedName>
    <definedName name="Additions" localSheetId="43">#REF!</definedName>
    <definedName name="Additions">#REF!</definedName>
    <definedName name="Additions_Acc" localSheetId="26">#REF!</definedName>
    <definedName name="Additions_Acc" localSheetId="33">#REF!</definedName>
    <definedName name="Additions_Acc" localSheetId="17">#REF!</definedName>
    <definedName name="Additions_Acc" localSheetId="48">#REF!</definedName>
    <definedName name="Additions_Acc" localSheetId="29">#REF!</definedName>
    <definedName name="Additions_Acc" localSheetId="3">#REF!</definedName>
    <definedName name="Additions_Acc" localSheetId="35">#REF!</definedName>
    <definedName name="Additions_Acc" localSheetId="16">#REF!</definedName>
    <definedName name="Additions_Acc" localSheetId="5">#REF!</definedName>
    <definedName name="Additions_Acc" localSheetId="19">#REF!</definedName>
    <definedName name="Additions_Acc" localSheetId="20">#REF!</definedName>
    <definedName name="Additions_Acc" localSheetId="43">#REF!</definedName>
    <definedName name="Additions_Acc">#REF!</definedName>
    <definedName name="Additions_Building" localSheetId="26">#REF!</definedName>
    <definedName name="Additions_Building" localSheetId="33">#REF!</definedName>
    <definedName name="Additions_Building" localSheetId="17">#REF!</definedName>
    <definedName name="Additions_Building" localSheetId="48">#REF!</definedName>
    <definedName name="Additions_Building" localSheetId="29">#REF!</definedName>
    <definedName name="Additions_Building" localSheetId="3">#REF!</definedName>
    <definedName name="Additions_Building" localSheetId="35">#REF!</definedName>
    <definedName name="Additions_Building" localSheetId="16">#REF!</definedName>
    <definedName name="Additions_Building" localSheetId="5">#REF!</definedName>
    <definedName name="Additions_Building" localSheetId="19">#REF!</definedName>
    <definedName name="Additions_Building" localSheetId="20">#REF!</definedName>
    <definedName name="Additions_Building" localSheetId="43">#REF!</definedName>
    <definedName name="Additions_Building">#REF!</definedName>
    <definedName name="Additions_Computers" localSheetId="26">#REF!</definedName>
    <definedName name="Additions_Computers" localSheetId="33">#REF!</definedName>
    <definedName name="Additions_Computers" localSheetId="17">#REF!</definedName>
    <definedName name="Additions_Computers" localSheetId="29">#REF!</definedName>
    <definedName name="Additions_Computers" localSheetId="3">#REF!</definedName>
    <definedName name="Additions_Computers" localSheetId="16">#REF!</definedName>
    <definedName name="Additions_Computers" localSheetId="5">#REF!</definedName>
    <definedName name="Additions_Computers" localSheetId="19">#REF!</definedName>
    <definedName name="Additions_Computers" localSheetId="20">#REF!</definedName>
    <definedName name="Additions_Computers" localSheetId="43">#REF!</definedName>
    <definedName name="Additions_Computers">#REF!</definedName>
    <definedName name="ADDITIONS_fURNITURE" localSheetId="26">#REF!</definedName>
    <definedName name="ADDITIONS_fURNITURE" localSheetId="33">#REF!</definedName>
    <definedName name="ADDITIONS_fURNITURE" localSheetId="17">#REF!</definedName>
    <definedName name="ADDITIONS_fURNITURE" localSheetId="29">#REF!</definedName>
    <definedName name="ADDITIONS_fURNITURE" localSheetId="3">#REF!</definedName>
    <definedName name="ADDITIONS_fURNITURE" localSheetId="16">#REF!</definedName>
    <definedName name="ADDITIONS_fURNITURE" localSheetId="5">#REF!</definedName>
    <definedName name="ADDITIONS_fURNITURE" localSheetId="19">#REF!</definedName>
    <definedName name="ADDITIONS_fURNITURE" localSheetId="20">#REF!</definedName>
    <definedName name="ADDITIONS_fURNITURE" localSheetId="43">#REF!</definedName>
    <definedName name="ADDITIONS_fURNITURE">#REF!</definedName>
    <definedName name="Additions_Office" localSheetId="26">#REF!</definedName>
    <definedName name="Additions_Office" localSheetId="33">#REF!</definedName>
    <definedName name="Additions_Office" localSheetId="17">#REF!</definedName>
    <definedName name="Additions_Office" localSheetId="29">#REF!</definedName>
    <definedName name="Additions_Office" localSheetId="3">#REF!</definedName>
    <definedName name="Additions_Office" localSheetId="16">#REF!</definedName>
    <definedName name="Additions_Office" localSheetId="5">#REF!</definedName>
    <definedName name="Additions_Office" localSheetId="19">#REF!</definedName>
    <definedName name="Additions_Office" localSheetId="20">#REF!</definedName>
    <definedName name="Additions_Office" localSheetId="43">#REF!</definedName>
    <definedName name="Additions_Office">#REF!</definedName>
    <definedName name="Addre" localSheetId="26">#REF!</definedName>
    <definedName name="Addre" localSheetId="29">#REF!</definedName>
    <definedName name="Addre" localSheetId="16">#REF!</definedName>
    <definedName name="Addre" localSheetId="20">#REF!</definedName>
    <definedName name="Addre" localSheetId="43">#REF!</definedName>
    <definedName name="Addre">#REF!</definedName>
    <definedName name="addre." localSheetId="26">#REF!</definedName>
    <definedName name="addre." localSheetId="29">#REF!</definedName>
    <definedName name="addre." localSheetId="16">#REF!</definedName>
    <definedName name="addre." localSheetId="20">#REF!</definedName>
    <definedName name="addre." localSheetId="43">#REF!</definedName>
    <definedName name="addre.">#REF!</definedName>
    <definedName name="ADMN" localSheetId="26">#REF!</definedName>
    <definedName name="ADMN" localSheetId="29">#REF!</definedName>
    <definedName name="ADMN" localSheetId="16">#REF!</definedName>
    <definedName name="ADMN" localSheetId="20">#REF!</definedName>
    <definedName name="ADMN" localSheetId="43">#REF!</definedName>
    <definedName name="ADMN">#REF!</definedName>
    <definedName name="adpex" localSheetId="26">#REF!</definedName>
    <definedName name="adpex" localSheetId="29">#REF!</definedName>
    <definedName name="adpex" localSheetId="16">#REF!</definedName>
    <definedName name="adpex" localSheetId="20">#REF!</definedName>
    <definedName name="adpex" localSheetId="43">#REF!</definedName>
    <definedName name="adpex">#REF!</definedName>
    <definedName name="ADTL">[7]BS!$A$1</definedName>
    <definedName name="advances" localSheetId="26">#REF!</definedName>
    <definedName name="advances" localSheetId="33">#REF!</definedName>
    <definedName name="advances" localSheetId="17">#REF!</definedName>
    <definedName name="advances" localSheetId="29">#REF!</definedName>
    <definedName name="advances" localSheetId="3">#REF!</definedName>
    <definedName name="advances" localSheetId="16">#REF!</definedName>
    <definedName name="advances" localSheetId="19">#REF!</definedName>
    <definedName name="advances" localSheetId="20">#REF!</definedName>
    <definedName name="advances" localSheetId="43">#REF!</definedName>
    <definedName name="advances">#REF!</definedName>
    <definedName name="ADVLIC" localSheetId="26">#REF!</definedName>
    <definedName name="ADVLIC" localSheetId="29">#REF!</definedName>
    <definedName name="ADVLIC" localSheetId="16">#REF!</definedName>
    <definedName name="ADVLIC" localSheetId="20">#REF!</definedName>
    <definedName name="ADVLIC" localSheetId="43">#REF!</definedName>
    <definedName name="ADVLIC">#REF!</definedName>
    <definedName name="akaslsdf0" localSheetId="26">#REF!</definedName>
    <definedName name="akaslsdf0" localSheetId="29">#REF!</definedName>
    <definedName name="akaslsdf0" localSheetId="16">#REF!</definedName>
    <definedName name="akaslsdf0" localSheetId="20">#REF!</definedName>
    <definedName name="akaslsdf0" localSheetId="43">#REF!</definedName>
    <definedName name="akaslsdf0">#REF!</definedName>
    <definedName name="Amalgamation" localSheetId="26">#REF!</definedName>
    <definedName name="Amalgamation" localSheetId="29">#REF!</definedName>
    <definedName name="Amalgamation" localSheetId="16">#REF!</definedName>
    <definedName name="Amalgamation" localSheetId="20">#REF!</definedName>
    <definedName name="Amalgamation" localSheetId="43">#REF!</definedName>
    <definedName name="Amalgamation">#REF!</definedName>
    <definedName name="AMOUNT" localSheetId="26">OFFSET(#REF!,0,0,COUNTA(#REF!),COUNTA(#REF!))</definedName>
    <definedName name="AMOUNT" localSheetId="33">OFFSET(#REF!,0,0,COUNTA(#REF!),COUNTA(#REF!))</definedName>
    <definedName name="AMOUNT" localSheetId="17">OFFSET(#REF!,0,0,COUNTA(#REF!),COUNTA(#REF!))</definedName>
    <definedName name="AMOUNT" localSheetId="48">OFFSET(#REF!,0,0,COUNTA(#REF!),COUNTA(#REF!))</definedName>
    <definedName name="AMOUNT" localSheetId="29">OFFSET(#REF!,0,0,COUNTA(#REF!),COUNTA(#REF!))</definedName>
    <definedName name="AMOUNT" localSheetId="3">OFFSET(#REF!,0,0,COUNTA(#REF!),COUNTA(#REF!))</definedName>
    <definedName name="AMOUNT" localSheetId="35">OFFSET(#REF!,0,0,COUNTA(#REF!),COUNTA(#REF!))</definedName>
    <definedName name="AMOUNT" localSheetId="16">OFFSET(#REF!,0,0,COUNTA(#REF!),COUNTA(#REF!))</definedName>
    <definedName name="AMOUNT" localSheetId="5">OFFSET(#REF!,0,0,COUNTA(#REF!),COUNTA(#REF!))</definedName>
    <definedName name="AMOUNT" localSheetId="19">OFFSET(#REF!,0,0,COUNTA(#REF!),COUNTA(#REF!))</definedName>
    <definedName name="AMOUNT" localSheetId="20">OFFSET(#REF!,0,0,COUNTA(#REF!),COUNTA(#REF!))</definedName>
    <definedName name="AMOUNT" localSheetId="43">OFFSET(#REF!,0,0,COUNTA(#REF!),COUNTA(#REF!))</definedName>
    <definedName name="AMOUNT">OFFSET(#REF!,0,0,COUNTA(#REF!),COUNTA(#REF!))</definedName>
    <definedName name="Animal" localSheetId="26">#REF!</definedName>
    <definedName name="Animal" localSheetId="18">#REF!</definedName>
    <definedName name="Animal" localSheetId="29">#REF!</definedName>
    <definedName name="Animal" localSheetId="16">#REF!</definedName>
    <definedName name="Animal" localSheetId="20">#REF!</definedName>
    <definedName name="Animal" localSheetId="43">#REF!</definedName>
    <definedName name="Animal">#REF!</definedName>
    <definedName name="anscount" hidden="1">2</definedName>
    <definedName name="ANX_III" localSheetId="26">[17]BE!#REF!</definedName>
    <definedName name="ANX_III" localSheetId="33">[17]BE!#REF!</definedName>
    <definedName name="ANX_III" localSheetId="17">[17]BE!#REF!</definedName>
    <definedName name="ANX_III" localSheetId="48">[18]BE!#REF!</definedName>
    <definedName name="ANX_III" localSheetId="29">[17]BE!#REF!</definedName>
    <definedName name="ANX_III" localSheetId="3">[17]BE!#REF!</definedName>
    <definedName name="ANX_III" localSheetId="35">[18]BE!#REF!</definedName>
    <definedName name="ANX_III" localSheetId="16">[17]BE!#REF!</definedName>
    <definedName name="ANX_III" localSheetId="5">[17]BE!#REF!</definedName>
    <definedName name="ANX_III" localSheetId="19">[17]BE!#REF!</definedName>
    <definedName name="ANX_III" localSheetId="20">[17]BE!#REF!</definedName>
    <definedName name="ANX_III" localSheetId="43">[17]BE!#REF!</definedName>
    <definedName name="ANX_III">[17]BE!#REF!</definedName>
    <definedName name="ANYKEY" localSheetId="26">#REF!</definedName>
    <definedName name="ANYKEY" localSheetId="33">#REF!</definedName>
    <definedName name="ANYKEY" localSheetId="17">#REF!</definedName>
    <definedName name="ANYKEY" localSheetId="48">#REF!</definedName>
    <definedName name="ANYKEY" localSheetId="29">#REF!</definedName>
    <definedName name="ANYKEY" localSheetId="3">#REF!</definedName>
    <definedName name="ANYKEY" localSheetId="35">#REF!</definedName>
    <definedName name="ANYKEY" localSheetId="16">#REF!</definedName>
    <definedName name="ANYKEY" localSheetId="5">#REF!</definedName>
    <definedName name="ANYKEY" localSheetId="19">#REF!</definedName>
    <definedName name="ANYKEY" localSheetId="20">#REF!</definedName>
    <definedName name="ANYKEY" localSheetId="43">#REF!</definedName>
    <definedName name="ANYKEY">#REF!</definedName>
    <definedName name="API" localSheetId="26">#REF!</definedName>
    <definedName name="API" localSheetId="29">#REF!</definedName>
    <definedName name="API" localSheetId="16">#REF!</definedName>
    <definedName name="API" localSheetId="20">#REF!</definedName>
    <definedName name="API" localSheetId="43">#REF!</definedName>
    <definedName name="API">#REF!</definedName>
    <definedName name="APORT.FUT.AUM." localSheetId="26">#REF!</definedName>
    <definedName name="APORT.FUT.AUM." localSheetId="33">#REF!</definedName>
    <definedName name="APORT.FUT.AUM." localSheetId="17">#REF!</definedName>
    <definedName name="APORT.FUT.AUM." localSheetId="29">#REF!</definedName>
    <definedName name="APORT.FUT.AUM." localSheetId="3">#REF!</definedName>
    <definedName name="APORT.FUT.AUM." localSheetId="16">#REF!</definedName>
    <definedName name="APORT.FUT.AUM." localSheetId="19">#REF!</definedName>
    <definedName name="APORT.FUT.AUM." localSheetId="20">#REF!</definedName>
    <definedName name="APORT.FUT.AUM." localSheetId="43">#REF!</definedName>
    <definedName name="APORT.FUT.AUM.">#REF!</definedName>
    <definedName name="ARB" localSheetId="26">#REF!</definedName>
    <definedName name="ARB" localSheetId="29">#REF!</definedName>
    <definedName name="ARB" localSheetId="16">#REF!</definedName>
    <definedName name="ARB" localSheetId="20">#REF!</definedName>
    <definedName name="ARB" localSheetId="43">#REF!</definedName>
    <definedName name="ARB">#REF!</definedName>
    <definedName name="ARMRATES" localSheetId="26">#REF!</definedName>
    <definedName name="ARMRATES" localSheetId="29">#REF!</definedName>
    <definedName name="ARMRATES" localSheetId="16">#REF!</definedName>
    <definedName name="ARMRATES" localSheetId="20">#REF!</definedName>
    <definedName name="ARMRATES" localSheetId="43">#REF!</definedName>
    <definedName name="ARMRATES">#REF!</definedName>
    <definedName name="ARReclass" localSheetId="26">#REF!</definedName>
    <definedName name="ARReclass" localSheetId="33">#REF!</definedName>
    <definedName name="ARReclass" localSheetId="17">#REF!</definedName>
    <definedName name="ARReclass" localSheetId="29">#REF!</definedName>
    <definedName name="ARReclass" localSheetId="3">#REF!</definedName>
    <definedName name="ARReclass" localSheetId="16">#REF!</definedName>
    <definedName name="ARReclass" localSheetId="19">#REF!</definedName>
    <definedName name="ARReclass" localSheetId="20">#REF!</definedName>
    <definedName name="ARReclass" localSheetId="43">#REF!</definedName>
    <definedName name="ARReclass">#REF!</definedName>
    <definedName name="as" localSheetId="26">OFFSET('Adjustment Working F.Y. 2021-22'!Full_Print,0,0,'Adjustment Working F.Y. 2021-22'!Last_Row)</definedName>
    <definedName name="as" localSheetId="23">OFFSET([0]!Full_Print,0,0,'DTA-DTL LMIL Q2 2022-23'!Last_Row)</definedName>
    <definedName name="as" localSheetId="43">OFFSET('Trial Balance LS'!Full_Print,0,0,'Trial Balance LS'!Last_Row)</definedName>
    <definedName name="as">#N/A</definedName>
    <definedName name="AS2DocOpenMode" hidden="1">"AS2DocumentEdit"</definedName>
    <definedName name="asa" localSheetId="23">'[4]PO for Assets 2004'!#REF!</definedName>
    <definedName name="asa" localSheetId="18">'[4]PO for Assets 2004'!#REF!</definedName>
    <definedName name="asa" localSheetId="29">'[4]PO for Assets 2004'!#REF!</definedName>
    <definedName name="asa" localSheetId="16">'[4]PO for Assets 2004'!#REF!</definedName>
    <definedName name="asa" localSheetId="20">'[4]PO for Assets 2004'!#REF!</definedName>
    <definedName name="asa" localSheetId="43">'[4]PO for Assets 2004'!#REF!</definedName>
    <definedName name="asa">'[4]PO for Assets 2004'!#REF!</definedName>
    <definedName name="asdf" localSheetId="23">'[5]0904'!#REF!</definedName>
    <definedName name="asdf" localSheetId="18">'[5]0904'!#REF!</definedName>
    <definedName name="asdf" localSheetId="29">'[5]0904'!#REF!</definedName>
    <definedName name="asdf" localSheetId="16">'[5]0904'!#REF!</definedName>
    <definedName name="asdf" localSheetId="20">'[5]0904'!#REF!</definedName>
    <definedName name="asdf" localSheetId="43">'[5]0904'!#REF!</definedName>
    <definedName name="asdf">'[5]0904'!#REF!</definedName>
    <definedName name="ASIA_PLASTIC_in_KUSD" localSheetId="26">#REF!</definedName>
    <definedName name="ASIA_PLASTIC_in_KUSD" localSheetId="33">#REF!</definedName>
    <definedName name="ASIA_PLASTIC_in_KUSD" localSheetId="17">#REF!</definedName>
    <definedName name="ASIA_PLASTIC_in_KUSD" localSheetId="29">#REF!</definedName>
    <definedName name="ASIA_PLASTIC_in_KUSD" localSheetId="3">#REF!</definedName>
    <definedName name="ASIA_PLASTIC_in_KUSD" localSheetId="16">#REF!</definedName>
    <definedName name="ASIA_PLASTIC_in_KUSD" localSheetId="19">#REF!</definedName>
    <definedName name="ASIA_PLASTIC_in_KUSD" localSheetId="20">#REF!</definedName>
    <definedName name="ASIA_PLASTIC_in_KUSD" localSheetId="43">#REF!</definedName>
    <definedName name="ASIA_PLASTIC_in_KUSD">#REF!</definedName>
    <definedName name="asset" localSheetId="26">#REF!</definedName>
    <definedName name="asset" localSheetId="33">#REF!</definedName>
    <definedName name="asset" localSheetId="17">#REF!</definedName>
    <definedName name="asset" localSheetId="29">#REF!</definedName>
    <definedName name="asset" localSheetId="3">#REF!</definedName>
    <definedName name="asset" localSheetId="16">#REF!</definedName>
    <definedName name="asset" localSheetId="19">#REF!</definedName>
    <definedName name="asset" localSheetId="20">#REF!</definedName>
    <definedName name="asset" localSheetId="43">#REF!</definedName>
    <definedName name="asset">#REF!</definedName>
    <definedName name="asset1" localSheetId="26">#REF!</definedName>
    <definedName name="asset1" localSheetId="33">#REF!</definedName>
    <definedName name="asset1" localSheetId="17">#REF!</definedName>
    <definedName name="asset1" localSheetId="29">#REF!</definedName>
    <definedName name="asset1" localSheetId="3">#REF!</definedName>
    <definedName name="asset1" localSheetId="16">#REF!</definedName>
    <definedName name="asset1" localSheetId="19">#REF!</definedName>
    <definedName name="asset1" localSheetId="20">#REF!</definedName>
    <definedName name="asset1" localSheetId="43">#REF!</definedName>
    <definedName name="asset1">#REF!</definedName>
    <definedName name="AsstYr">[33]Masters!$C$34</definedName>
    <definedName name="Average_Beg_End" localSheetId="26">#REF!</definedName>
    <definedName name="Average_Beg_End" localSheetId="33">#REF!</definedName>
    <definedName name="Average_Beg_End" localSheetId="17">#REF!</definedName>
    <definedName name="Average_Beg_End" localSheetId="29">#REF!</definedName>
    <definedName name="Average_Beg_End" localSheetId="3">#REF!</definedName>
    <definedName name="Average_Beg_End" localSheetId="16">#REF!</definedName>
    <definedName name="Average_Beg_End" localSheetId="19">#REF!</definedName>
    <definedName name="Average_Beg_End" localSheetId="20">#REF!</definedName>
    <definedName name="Average_Beg_End" localSheetId="43">#REF!</definedName>
    <definedName name="Average_Beg_End">#REF!</definedName>
    <definedName name="axedoc" localSheetId="26">#REF!</definedName>
    <definedName name="axedoc" localSheetId="33">#REF!</definedName>
    <definedName name="axedoc" localSheetId="17">#REF!</definedName>
    <definedName name="axedoc" localSheetId="48">#REF!</definedName>
    <definedName name="axedoc" localSheetId="29">#REF!</definedName>
    <definedName name="axedoc" localSheetId="3">#REF!</definedName>
    <definedName name="axedoc" localSheetId="35">#REF!</definedName>
    <definedName name="axedoc" localSheetId="16">#REF!</definedName>
    <definedName name="axedoc" localSheetId="19">#REF!</definedName>
    <definedName name="axedoc" localSheetId="20">#REF!</definedName>
    <definedName name="axedoc" localSheetId="43">#REF!</definedName>
    <definedName name="axedoc">#REF!</definedName>
    <definedName name="b" localSheetId="26">#REF!</definedName>
    <definedName name="b" localSheetId="33">#REF!</definedName>
    <definedName name="b" localSheetId="17">#REF!</definedName>
    <definedName name="b" localSheetId="48">'[34]001-2'!#REF!</definedName>
    <definedName name="b" localSheetId="29">#REF!</definedName>
    <definedName name="b" localSheetId="3">#REF!</definedName>
    <definedName name="b" localSheetId="35">'[34]001-2'!#REF!</definedName>
    <definedName name="b" localSheetId="16">#REF!</definedName>
    <definedName name="b" localSheetId="19">#REF!</definedName>
    <definedName name="b" localSheetId="20">#REF!</definedName>
    <definedName name="b" localSheetId="43">#REF!</definedName>
    <definedName name="b">#REF!</definedName>
    <definedName name="B_PL_ACT">[35]budget!$D$208:$AB$237</definedName>
    <definedName name="B_PL_BUD">[35]budget!$D$88:$AB$120</definedName>
    <definedName name="B_PL_Export" localSheetId="26">[28]budget!$D$90:$AB$115</definedName>
    <definedName name="B_PL_Export" localSheetId="23">[29]budget!$D$90:$AB$115</definedName>
    <definedName name="B_PL_Export" localSheetId="43">[28]budget!$D$90:$AB$115</definedName>
    <definedName name="B_PL_Export">[30]budget!$D$90:$AB$115</definedName>
    <definedName name="BABL" localSheetId="26">[36]TB!#REF!</definedName>
    <definedName name="BABL" localSheetId="33">[36]TB!#REF!</definedName>
    <definedName name="BABL" localSheetId="17">[36]TB!#REF!</definedName>
    <definedName name="BABL" localSheetId="48">[36]TB!#REF!</definedName>
    <definedName name="BABL" localSheetId="18">[36]TB!#REF!</definedName>
    <definedName name="BABL" localSheetId="29">[36]TB!#REF!</definedName>
    <definedName name="BABL" localSheetId="35">[36]TB!#REF!</definedName>
    <definedName name="BABL" localSheetId="16">[36]TB!#REF!</definedName>
    <definedName name="BABL" localSheetId="5">[36]TB!#REF!</definedName>
    <definedName name="BABL" localSheetId="19">[36]TB!#REF!</definedName>
    <definedName name="BABL" localSheetId="20">[36]TB!#REF!</definedName>
    <definedName name="BABL" localSheetId="43">[36]TB!#REF!</definedName>
    <definedName name="BABL">[36]TB!#REF!</definedName>
    <definedName name="BAF" localSheetId="26">#REF!</definedName>
    <definedName name="BAF" localSheetId="18">#REF!</definedName>
    <definedName name="BAF" localSheetId="29">#REF!</definedName>
    <definedName name="BAF" localSheetId="16">#REF!</definedName>
    <definedName name="BAF" localSheetId="20">#REF!</definedName>
    <definedName name="BAF" localSheetId="43">#REF!</definedName>
    <definedName name="BAF">#REF!</definedName>
    <definedName name="BALANCE_SHEET" localSheetId="26">#REF!</definedName>
    <definedName name="BALANCE_SHEET" localSheetId="33">#REF!</definedName>
    <definedName name="BALANCE_SHEET" localSheetId="17">#REF!</definedName>
    <definedName name="BALANCE_SHEET" localSheetId="48">#REF!</definedName>
    <definedName name="BALANCE_SHEET" localSheetId="29">#REF!</definedName>
    <definedName name="BALANCE_SHEET" localSheetId="3">#REF!</definedName>
    <definedName name="BALANCE_SHEET" localSheetId="35">#REF!</definedName>
    <definedName name="BALANCE_SHEET" localSheetId="16">#REF!</definedName>
    <definedName name="BALANCE_SHEET" localSheetId="5">#REF!</definedName>
    <definedName name="BALANCE_SHEET" localSheetId="19">#REF!</definedName>
    <definedName name="BALANCE_SHEET" localSheetId="20">#REF!</definedName>
    <definedName name="BALANCE_SHEET" localSheetId="43">#REF!</definedName>
    <definedName name="BALANCE_SHEET">#REF!</definedName>
    <definedName name="BalanceSheet" localSheetId="26">#REF!</definedName>
    <definedName name="BalanceSheet" localSheetId="33">#REF!</definedName>
    <definedName name="BalanceSheet" localSheetId="17">#REF!</definedName>
    <definedName name="BalanceSheet" localSheetId="29">#REF!</definedName>
    <definedName name="BalanceSheet" localSheetId="3">#REF!</definedName>
    <definedName name="BalanceSheet" localSheetId="16">#REF!</definedName>
    <definedName name="BalanceSheet" localSheetId="19">#REF!</definedName>
    <definedName name="BalanceSheet" localSheetId="20">#REF!</definedName>
    <definedName name="BalanceSheet" localSheetId="43">#REF!</definedName>
    <definedName name="BalanceSheet">#REF!</definedName>
    <definedName name="BALANCESHEETGROUPING" localSheetId="26">#REF!</definedName>
    <definedName name="BALANCESHEETGROUPING" localSheetId="33">#REF!</definedName>
    <definedName name="BALANCESHEETGROUPING" localSheetId="17">#REF!</definedName>
    <definedName name="BALANCESHEETGROUPING" localSheetId="48">#REF!</definedName>
    <definedName name="BALANCESHEETGROUPING" localSheetId="29">#REF!</definedName>
    <definedName name="BALANCESHEETGROUPING" localSheetId="3">#REF!</definedName>
    <definedName name="BALANCESHEETGROUPING" localSheetId="35">#REF!</definedName>
    <definedName name="BALANCESHEETGROUPING" localSheetId="16">#REF!</definedName>
    <definedName name="BALANCESHEETGROUPING" localSheetId="5">#REF!</definedName>
    <definedName name="BALANCESHEETGROUPING" localSheetId="19">#REF!</definedName>
    <definedName name="BALANCESHEETGROUPING" localSheetId="20">#REF!</definedName>
    <definedName name="BALANCESHEETGROUPING" localSheetId="43">#REF!</definedName>
    <definedName name="BALANCESHEETGROUPING">#REF!</definedName>
    <definedName name="Bang1" localSheetId="26">#REF!</definedName>
    <definedName name="Bang1" localSheetId="33">#REF!</definedName>
    <definedName name="Bang1" localSheetId="17">#REF!</definedName>
    <definedName name="Bang1" localSheetId="48">#REF!</definedName>
    <definedName name="Bang1" localSheetId="29">#REF!</definedName>
    <definedName name="Bang1" localSheetId="3">#REF!</definedName>
    <definedName name="Bang1" localSheetId="35">#REF!</definedName>
    <definedName name="Bang1" localSheetId="16">#REF!</definedName>
    <definedName name="Bang1" localSheetId="5">#REF!</definedName>
    <definedName name="Bang1" localSheetId="19">#REF!</definedName>
    <definedName name="Bang1" localSheetId="20">#REF!</definedName>
    <definedName name="Bang1" localSheetId="43">#REF!</definedName>
    <definedName name="Bang1">#REF!</definedName>
    <definedName name="Bang2" localSheetId="26">#REF!</definedName>
    <definedName name="Bang2" localSheetId="33">#REF!</definedName>
    <definedName name="Bang2" localSheetId="17">#REF!</definedName>
    <definedName name="Bang2" localSheetId="29">#REF!</definedName>
    <definedName name="Bang2" localSheetId="3">#REF!</definedName>
    <definedName name="Bang2" localSheetId="16">#REF!</definedName>
    <definedName name="Bang2" localSheetId="5">#REF!</definedName>
    <definedName name="Bang2" localSheetId="19">#REF!</definedName>
    <definedName name="Bang2" localSheetId="20">#REF!</definedName>
    <definedName name="Bang2" localSheetId="43">#REF!</definedName>
    <definedName name="Bang2">#REF!</definedName>
    <definedName name="bank">[11]Sheet1!$H$2:$H$29</definedName>
    <definedName name="bbb" localSheetId="26">#REF!</definedName>
    <definedName name="bbb" localSheetId="33">#REF!</definedName>
    <definedName name="bbb" localSheetId="17">#REF!</definedName>
    <definedName name="bbb" localSheetId="29">#REF!</definedName>
    <definedName name="bbb" localSheetId="3">#REF!</definedName>
    <definedName name="bbb" localSheetId="16">#REF!</definedName>
    <definedName name="bbb" localSheetId="19">#REF!</definedName>
    <definedName name="bbb" localSheetId="20">#REF!</definedName>
    <definedName name="bbb" localSheetId="43">#REF!</definedName>
    <definedName name="bbb">#REF!</definedName>
    <definedName name="bbbb" localSheetId="26">#REF!</definedName>
    <definedName name="bbbb" localSheetId="33">#REF!</definedName>
    <definedName name="bbbb" localSheetId="17">#REF!</definedName>
    <definedName name="bbbb" localSheetId="29">#REF!</definedName>
    <definedName name="bbbb" localSheetId="3">#REF!</definedName>
    <definedName name="bbbb" localSheetId="16">#REF!</definedName>
    <definedName name="bbbb" localSheetId="19">#REF!</definedName>
    <definedName name="bbbb" localSheetId="20">#REF!</definedName>
    <definedName name="bbbb" localSheetId="43">#REF!</definedName>
    <definedName name="bbbb">#REF!</definedName>
    <definedName name="Beg_Bal" localSheetId="26">#REF!</definedName>
    <definedName name="Beg_Bal" localSheetId="29">#REF!</definedName>
    <definedName name="Beg_Bal" localSheetId="16">#REF!</definedName>
    <definedName name="Beg_Bal" localSheetId="20">#REF!</definedName>
    <definedName name="Beg_Bal" localSheetId="43">#REF!</definedName>
    <definedName name="Beg_Bal">#REF!</definedName>
    <definedName name="Begining" localSheetId="26">#REF!</definedName>
    <definedName name="Begining" localSheetId="33">#REF!</definedName>
    <definedName name="Begining" localSheetId="17">#REF!</definedName>
    <definedName name="Begining" localSheetId="29">#REF!</definedName>
    <definedName name="Begining" localSheetId="3">#REF!</definedName>
    <definedName name="Begining" localSheetId="16">#REF!</definedName>
    <definedName name="Begining" localSheetId="19">#REF!</definedName>
    <definedName name="Begining" localSheetId="20">#REF!</definedName>
    <definedName name="Begining" localSheetId="43">#REF!</definedName>
    <definedName name="Begining">#REF!</definedName>
    <definedName name="berDescription" localSheetId="26">#REF!</definedName>
    <definedName name="berDescription" localSheetId="29">#REF!</definedName>
    <definedName name="berDescription" localSheetId="16">#REF!</definedName>
    <definedName name="berDescription" localSheetId="20">#REF!</definedName>
    <definedName name="berDescription" localSheetId="43">#REF!</definedName>
    <definedName name="berDescription">#REF!</definedName>
    <definedName name="BGT_GRF">'[32]IS Mo'!$AH$134:$AS$186</definedName>
    <definedName name="BGT_INN">'[32]IS Mo'!$BL$134:$BW$186</definedName>
    <definedName name="BGT_PUB">'[32]IS Mo'!$AW$134:$BH$186</definedName>
    <definedName name="BigTestSource" localSheetId="26">#REF!</definedName>
    <definedName name="BigTestSource" localSheetId="18">#REF!</definedName>
    <definedName name="BigTestSource" localSheetId="29">#REF!</definedName>
    <definedName name="BigTestSource" localSheetId="16">#REF!</definedName>
    <definedName name="BigTestSource" localSheetId="20">#REF!</definedName>
    <definedName name="BigTestSource" localSheetId="43">#REF!</definedName>
    <definedName name="BigTestSource">#REF!</definedName>
    <definedName name="BigTestTarget" localSheetId="26">#REF!</definedName>
    <definedName name="BigTestTarget" localSheetId="29">#REF!</definedName>
    <definedName name="BigTestTarget" localSheetId="16">#REF!</definedName>
    <definedName name="BigTestTarget" localSheetId="20">#REF!</definedName>
    <definedName name="BigTestTarget" localSheetId="43">#REF!</definedName>
    <definedName name="BigTestTarget">#REF!</definedName>
    <definedName name="Bonus" localSheetId="26">#REF!</definedName>
    <definedName name="Bonus" localSheetId="33">#REF!</definedName>
    <definedName name="Bonus" localSheetId="17">#REF!</definedName>
    <definedName name="Bonus" localSheetId="48">#REF!</definedName>
    <definedName name="Bonus" localSheetId="29">#REF!</definedName>
    <definedName name="Bonus" localSheetId="3">#REF!</definedName>
    <definedName name="Bonus" localSheetId="35">#REF!</definedName>
    <definedName name="Bonus" localSheetId="16">#REF!</definedName>
    <definedName name="Bonus" localSheetId="5">#REF!</definedName>
    <definedName name="Bonus" localSheetId="19">#REF!</definedName>
    <definedName name="Bonus" localSheetId="20">#REF!</definedName>
    <definedName name="Bonus" localSheetId="43">#REF!</definedName>
    <definedName name="Bonus">#REF!</definedName>
    <definedName name="BOQ_BDR" localSheetId="26">[17]BE!#REF!</definedName>
    <definedName name="BOQ_BDR" localSheetId="33">[17]BE!#REF!</definedName>
    <definedName name="BOQ_BDR" localSheetId="17">[17]BE!#REF!</definedName>
    <definedName name="BOQ_BDR" localSheetId="48">[18]BE!#REF!</definedName>
    <definedName name="BOQ_BDR" localSheetId="18">[17]BE!#REF!</definedName>
    <definedName name="BOQ_BDR" localSheetId="29">[17]BE!#REF!</definedName>
    <definedName name="BOQ_BDR" localSheetId="35">[18]BE!#REF!</definedName>
    <definedName name="BOQ_BDR" localSheetId="16">[17]BE!#REF!</definedName>
    <definedName name="BOQ_BDR" localSheetId="5">[17]BE!#REF!</definedName>
    <definedName name="BOQ_BDR" localSheetId="19">[17]BE!#REF!</definedName>
    <definedName name="BOQ_BDR" localSheetId="20">[17]BE!#REF!</definedName>
    <definedName name="BOQ_BDR" localSheetId="43">[17]BE!#REF!</definedName>
    <definedName name="BOQ_BDR">[17]BE!#REF!</definedName>
    <definedName name="bs" localSheetId="26">#REF!</definedName>
    <definedName name="bs" localSheetId="33">#REF!</definedName>
    <definedName name="bs" localSheetId="17">#REF!</definedName>
    <definedName name="bs" localSheetId="48">#REF!</definedName>
    <definedName name="bs" localSheetId="29">#REF!</definedName>
    <definedName name="bs" localSheetId="3">#REF!</definedName>
    <definedName name="bs" localSheetId="35">#REF!</definedName>
    <definedName name="bs" localSheetId="16">#REF!</definedName>
    <definedName name="bs" localSheetId="5">#REF!</definedName>
    <definedName name="bs" localSheetId="19">#REF!</definedName>
    <definedName name="bs" localSheetId="20">#REF!</definedName>
    <definedName name="bs" localSheetId="43">#REF!</definedName>
    <definedName name="bs">#REF!</definedName>
    <definedName name="BSDateLF">[37]Masters!$C$25</definedName>
    <definedName name="BSDateSF" localSheetId="48">[33]Masters!$C$28</definedName>
    <definedName name="BSDateSF" localSheetId="35">[33]Masters!$C$28</definedName>
    <definedName name="BSDateSF">[33]Masters!$C$28</definedName>
    <definedName name="bsgroup" localSheetId="26">#REF!</definedName>
    <definedName name="bsgroup" localSheetId="33">#REF!</definedName>
    <definedName name="bsgroup" localSheetId="17">#REF!</definedName>
    <definedName name="bsgroup" localSheetId="48">#REF!</definedName>
    <definedName name="bsgroup" localSheetId="29">#REF!</definedName>
    <definedName name="bsgroup" localSheetId="3">#REF!</definedName>
    <definedName name="bsgroup" localSheetId="35">#REF!</definedName>
    <definedName name="bsgroup" localSheetId="16">#REF!</definedName>
    <definedName name="bsgroup" localSheetId="5">#REF!</definedName>
    <definedName name="bsgroup" localSheetId="19">#REF!</definedName>
    <definedName name="bsgroup" localSheetId="20">#REF!</definedName>
    <definedName name="bsgroup" localSheetId="43">#REF!</definedName>
    <definedName name="bsgroup">#REF!</definedName>
    <definedName name="bsheet">'[38]BS before PMO'!$Z$1:$BC$49,'[38]BS before PMO'!$U$1:$X$35,'[38]BS before PMO'!$I$1:$N$49,'[38]BS before PMO'!$C$1:$G$52,'[38]BS before PMO'!$C$57:$G$99,'[38]BS before PMO'!$C$102:$G$158,'[38]BS before PMO'!$C$160:$G$204</definedName>
    <definedName name="BSLT">#N/A</definedName>
    <definedName name="bsp" localSheetId="26">#REF!</definedName>
    <definedName name="bsp" localSheetId="33">#REF!</definedName>
    <definedName name="bsp" localSheetId="17">#REF!</definedName>
    <definedName name="bsp" localSheetId="29">#REF!</definedName>
    <definedName name="bsp" localSheetId="3">#REF!</definedName>
    <definedName name="bsp" localSheetId="16">#REF!</definedName>
    <definedName name="bsp" localSheetId="19">#REF!</definedName>
    <definedName name="bsp" localSheetId="20">#REF!</definedName>
    <definedName name="bsp" localSheetId="43">#REF!</definedName>
    <definedName name="bsp">#REF!</definedName>
    <definedName name="BSTB" localSheetId="26">#REF!</definedName>
    <definedName name="BSTB" localSheetId="33">#REF!</definedName>
    <definedName name="BSTB" localSheetId="17">#REF!</definedName>
    <definedName name="BSTB" localSheetId="48">#REF!</definedName>
    <definedName name="BSTB" localSheetId="29">#REF!</definedName>
    <definedName name="BSTB" localSheetId="3">#REF!</definedName>
    <definedName name="BSTB" localSheetId="35">#REF!</definedName>
    <definedName name="BSTB" localSheetId="16">#REF!</definedName>
    <definedName name="BSTB" localSheetId="5">#REF!</definedName>
    <definedName name="BSTB" localSheetId="19">#REF!</definedName>
    <definedName name="BSTB" localSheetId="20">#REF!</definedName>
    <definedName name="BSTB" localSheetId="43">#REF!</definedName>
    <definedName name="BSTB">#REF!</definedName>
    <definedName name="bud" localSheetId="26">#REF!</definedName>
    <definedName name="bud" localSheetId="29">#REF!</definedName>
    <definedName name="bud" localSheetId="16">#REF!</definedName>
    <definedName name="bud" localSheetId="20">#REF!</definedName>
    <definedName name="bud" localSheetId="43">#REF!</definedName>
    <definedName name="bud">#REF!</definedName>
    <definedName name="Bud_ActiLife" localSheetId="26">'[28]Brand (2)'!$D$105:$AF$122</definedName>
    <definedName name="Bud_ActiLife" localSheetId="23">'[29]Brand (2)'!$D$105:$AF$122</definedName>
    <definedName name="Bud_ActiLife" localSheetId="43">'[28]Brand (2)'!$D$105:$AF$122</definedName>
    <definedName name="Bud_ActiLife">'[30]Brand (2)'!$D$105:$AF$122</definedName>
    <definedName name="Bud_EY" localSheetId="26">'[28]Brand (2)'!$D$65:$AF$82</definedName>
    <definedName name="Bud_EY" localSheetId="23">'[29]Brand (2)'!$D$65:$AF$82</definedName>
    <definedName name="Bud_EY" localSheetId="43">'[28]Brand (2)'!$D$65:$AF$82</definedName>
    <definedName name="Bud_EY">'[30]Brand (2)'!$D$65:$AF$82</definedName>
    <definedName name="Bud_EY_Menz" localSheetId="26">'[28]Brand (2)'!$D$85:$AF$102</definedName>
    <definedName name="Bud_EY_Menz" localSheetId="23">'[29]Brand (2)'!$D$85:$AF$102</definedName>
    <definedName name="Bud_EY_Menz" localSheetId="43">'[28]Brand (2)'!$D$85:$AF$102</definedName>
    <definedName name="Bud_EY_Menz">'[30]Brand (2)'!$D$85:$AF$102</definedName>
    <definedName name="Bud_HS" localSheetId="26">'[28]Brand (2)'!$D$125:$AF$142</definedName>
    <definedName name="Bud_HS" localSheetId="23">'[29]Brand (2)'!$D$125:$AF$142</definedName>
    <definedName name="Bud_HS" localSheetId="43">'[28]Brand (2)'!$D$125:$AF$142</definedName>
    <definedName name="Bud_HS">'[30]Brand (2)'!$D$125:$AF$142</definedName>
    <definedName name="Bud_Liquid" localSheetId="26">'[28]Brand (2)'!$D$45:$AF$62</definedName>
    <definedName name="Bud_Liquid" localSheetId="23">'[29]Brand (2)'!$D$45:$AF$62</definedName>
    <definedName name="Bud_Liquid" localSheetId="43">'[28]Brand (2)'!$D$45:$AF$62</definedName>
    <definedName name="Bud_Liquid">'[30]Brand (2)'!$D$45:$AF$62</definedName>
    <definedName name="bud_qty_req" localSheetId="26">#REF!</definedName>
    <definedName name="bud_qty_req" localSheetId="18">#REF!</definedName>
    <definedName name="bud_qty_req" localSheetId="29">#REF!</definedName>
    <definedName name="bud_qty_req" localSheetId="16">#REF!</definedName>
    <definedName name="bud_qty_req" localSheetId="20">#REF!</definedName>
    <definedName name="bud_qty_req" localSheetId="43">#REF!</definedName>
    <definedName name="bud_qty_req">#REF!</definedName>
    <definedName name="Bud_SFE" localSheetId="26">'[28]Brand (2)'!$D$5:$AF$22</definedName>
    <definedName name="Bud_SFE" localSheetId="23">'[29]Brand (2)'!$D$5:$AF$22</definedName>
    <definedName name="Bud_SFE" localSheetId="43">'[28]Brand (2)'!$D$5:$AF$22</definedName>
    <definedName name="Bud_SFE">'[30]Brand (2)'!$D$5:$AF$22</definedName>
    <definedName name="Bud_SFN" localSheetId="26">'[28]Brand (2)'!$D$25:$AF$42</definedName>
    <definedName name="Bud_SFN" localSheetId="23">'[29]Brand (2)'!$D$25:$AF$42</definedName>
    <definedName name="Bud_SFN" localSheetId="43">'[28]Brand (2)'!$D$25:$AF$42</definedName>
    <definedName name="Bud_SFN">'[30]Brand (2)'!$D$25:$AF$42</definedName>
    <definedName name="BuiltIn_Print_Area" localSheetId="26">#REF!</definedName>
    <definedName name="BuiltIn_Print_Area" localSheetId="33">#REF!</definedName>
    <definedName name="BuiltIn_Print_Area" localSheetId="17">#REF!</definedName>
    <definedName name="BuiltIn_Print_Area" localSheetId="29">#REF!</definedName>
    <definedName name="BuiltIn_Print_Area" localSheetId="3">#REF!</definedName>
    <definedName name="BuiltIn_Print_Area" localSheetId="16">#REF!</definedName>
    <definedName name="BuiltIn_Print_Area" localSheetId="19">#REF!</definedName>
    <definedName name="BuiltIn_Print_Area" localSheetId="20">#REF!</definedName>
    <definedName name="BuiltIn_Print_Area" localSheetId="43">#REF!</definedName>
    <definedName name="BuiltIn_Print_Area">#REF!</definedName>
    <definedName name="BuiltIn_Print_Area___0" localSheetId="26">#REF!</definedName>
    <definedName name="BuiltIn_Print_Area___0" localSheetId="33">#REF!</definedName>
    <definedName name="BuiltIn_Print_Area___0" localSheetId="17">#REF!</definedName>
    <definedName name="BuiltIn_Print_Area___0" localSheetId="29">#REF!</definedName>
    <definedName name="BuiltIn_Print_Area___0" localSheetId="3">#REF!</definedName>
    <definedName name="BuiltIn_Print_Area___0" localSheetId="16">#REF!</definedName>
    <definedName name="BuiltIn_Print_Area___0" localSheetId="19">#REF!</definedName>
    <definedName name="BuiltIn_Print_Area___0" localSheetId="20">#REF!</definedName>
    <definedName name="BuiltIn_Print_Area___0" localSheetId="43">#REF!</definedName>
    <definedName name="BuiltIn_Print_Area___0">#REF!</definedName>
    <definedName name="BuiltIn_Print_Area___0___0" localSheetId="26">#REF!</definedName>
    <definedName name="BuiltIn_Print_Area___0___0" localSheetId="33">#REF!</definedName>
    <definedName name="BuiltIn_Print_Area___0___0" localSheetId="17">#REF!</definedName>
    <definedName name="BuiltIn_Print_Area___0___0" localSheetId="29">#REF!</definedName>
    <definedName name="BuiltIn_Print_Area___0___0" localSheetId="3">#REF!</definedName>
    <definedName name="BuiltIn_Print_Area___0___0" localSheetId="16">#REF!</definedName>
    <definedName name="BuiltIn_Print_Area___0___0" localSheetId="19">#REF!</definedName>
    <definedName name="BuiltIn_Print_Area___0___0" localSheetId="20">#REF!</definedName>
    <definedName name="BuiltIn_Print_Area___0___0" localSheetId="43">#REF!</definedName>
    <definedName name="BuiltIn_Print_Area___0___0">#REF!</definedName>
    <definedName name="BuiltIn_Print_Area___0___0___0" localSheetId="26">#REF!</definedName>
    <definedName name="BuiltIn_Print_Area___0___0___0" localSheetId="33">#REF!</definedName>
    <definedName name="BuiltIn_Print_Area___0___0___0" localSheetId="17">#REF!</definedName>
    <definedName name="BuiltIn_Print_Area___0___0___0" localSheetId="29">#REF!</definedName>
    <definedName name="BuiltIn_Print_Area___0___0___0" localSheetId="3">#REF!</definedName>
    <definedName name="BuiltIn_Print_Area___0___0___0" localSheetId="16">#REF!</definedName>
    <definedName name="BuiltIn_Print_Area___0___0___0" localSheetId="19">#REF!</definedName>
    <definedName name="BuiltIn_Print_Area___0___0___0" localSheetId="20">#REF!</definedName>
    <definedName name="BuiltIn_Print_Area___0___0___0" localSheetId="43">#REF!</definedName>
    <definedName name="BuiltIn_Print_Area___0___0___0">#REF!</definedName>
    <definedName name="BuiltIn_Print_Titles" localSheetId="26">#REF!</definedName>
    <definedName name="BuiltIn_Print_Titles" localSheetId="33">#REF!</definedName>
    <definedName name="BuiltIn_Print_Titles" localSheetId="17">#REF!</definedName>
    <definedName name="BuiltIn_Print_Titles" localSheetId="29">#REF!</definedName>
    <definedName name="BuiltIn_Print_Titles" localSheetId="3">#REF!</definedName>
    <definedName name="BuiltIn_Print_Titles" localSheetId="16">#REF!</definedName>
    <definedName name="BuiltIn_Print_Titles" localSheetId="19">#REF!</definedName>
    <definedName name="BuiltIn_Print_Titles" localSheetId="20">#REF!</definedName>
    <definedName name="BuiltIn_Print_Titles" localSheetId="43">#REF!</definedName>
    <definedName name="BuiltIn_Print_Titles">#REF!</definedName>
    <definedName name="BuiltIn_Print_Titles___0" localSheetId="26">#REF!</definedName>
    <definedName name="BuiltIn_Print_Titles___0" localSheetId="29">#REF!</definedName>
    <definedName name="BuiltIn_Print_Titles___0" localSheetId="16">#REF!</definedName>
    <definedName name="BuiltIn_Print_Titles___0" localSheetId="20">#REF!</definedName>
    <definedName name="BuiltIn_Print_Titles___0" localSheetId="43">#REF!</definedName>
    <definedName name="BuiltIn_Print_Titles___0">#REF!</definedName>
    <definedName name="Button_36">"EXPERIENCE_STAFF_List"</definedName>
    <definedName name="Button_37">"EXPERIENCE_STAFF_List"</definedName>
    <definedName name="bVal1_AvgLOS_BedSurch" localSheetId="26">#REF!</definedName>
    <definedName name="bVal1_AvgLOS_BedSurch" localSheetId="23">#REF!</definedName>
    <definedName name="bVal1_AvgLOS_BedSurch" localSheetId="18">#REF!</definedName>
    <definedName name="bVal1_AvgLOS_BedSurch" localSheetId="29">#REF!</definedName>
    <definedName name="bVal1_AvgLOS_BedSurch" localSheetId="16">#REF!</definedName>
    <definedName name="bVal1_AvgLOS_BedSurch" localSheetId="20">#REF!</definedName>
    <definedName name="bVal1_AvgLOS_BedSurch" localSheetId="43">#REF!</definedName>
    <definedName name="bVal1_AvgLOS_BedSurch">#REF!</definedName>
    <definedName name="bVal1_AvgLOS_HospAllow" localSheetId="26">#REF!</definedName>
    <definedName name="bVal1_AvgLOS_HospAllow" localSheetId="29">#REF!</definedName>
    <definedName name="bVal1_AvgLOS_HospAllow" localSheetId="16">#REF!</definedName>
    <definedName name="bVal1_AvgLOS_HospAllow" localSheetId="20">#REF!</definedName>
    <definedName name="bVal1_AvgLOS_HospAllow" localSheetId="43">#REF!</definedName>
    <definedName name="bVal1_AvgLOS_HospAllow">#REF!</definedName>
    <definedName name="bVal1_AvgLOS_InpCare" localSheetId="26">#REF!</definedName>
    <definedName name="bVal1_AvgLOS_InpCare" localSheetId="29">#REF!</definedName>
    <definedName name="bVal1_AvgLOS_InpCare" localSheetId="16">#REF!</definedName>
    <definedName name="bVal1_AvgLOS_InpCare" localSheetId="20">#REF!</definedName>
    <definedName name="bVal1_AvgLOS_InpCare" localSheetId="43">#REF!</definedName>
    <definedName name="bVal1_AvgLOS_InpCare">#REF!</definedName>
    <definedName name="bVal1_BedSurcharge" localSheetId="26">#REF!</definedName>
    <definedName name="bVal1_BedSurcharge" localSheetId="29">#REF!</definedName>
    <definedName name="bVal1_BedSurcharge" localSheetId="16">#REF!</definedName>
    <definedName name="bVal1_BedSurcharge" localSheetId="20">#REF!</definedName>
    <definedName name="bVal1_BedSurcharge" localSheetId="43">#REF!</definedName>
    <definedName name="bVal1_BedSurcharge">#REF!</definedName>
    <definedName name="bVal1_BedSurcharge_day" localSheetId="26">#REF!</definedName>
    <definedName name="bVal1_BedSurcharge_day" localSheetId="29">#REF!</definedName>
    <definedName name="bVal1_BedSurcharge_day" localSheetId="16">#REF!</definedName>
    <definedName name="bVal1_BedSurcharge_day" localSheetId="20">#REF!</definedName>
    <definedName name="bVal1_BedSurcharge_day" localSheetId="43">#REF!</definedName>
    <definedName name="bVal1_BedSurcharge_day">#REF!</definedName>
    <definedName name="bVal1_Cases_BedSurch" localSheetId="26">#REF!</definedName>
    <definedName name="bVal1_Cases_BedSurch" localSheetId="29">#REF!</definedName>
    <definedName name="bVal1_Cases_BedSurch" localSheetId="16">#REF!</definedName>
    <definedName name="bVal1_Cases_BedSurch" localSheetId="20">#REF!</definedName>
    <definedName name="bVal1_Cases_BedSurch" localSheetId="43">#REF!</definedName>
    <definedName name="bVal1_Cases_BedSurch">#REF!</definedName>
    <definedName name="bVal1_Cases_HospAllow" localSheetId="26">#REF!</definedName>
    <definedName name="bVal1_Cases_HospAllow" localSheetId="29">#REF!</definedName>
    <definedName name="bVal1_Cases_HospAllow" localSheetId="16">#REF!</definedName>
    <definedName name="bVal1_Cases_HospAllow" localSheetId="20">#REF!</definedName>
    <definedName name="bVal1_Cases_HospAllow" localSheetId="43">#REF!</definedName>
    <definedName name="bVal1_Cases_HospAllow">#REF!</definedName>
    <definedName name="bVal1_Cases_InpatPhys" localSheetId="26">#REF!</definedName>
    <definedName name="bVal1_Cases_InpatPhys" localSheetId="29">#REF!</definedName>
    <definedName name="bVal1_Cases_InpatPhys" localSheetId="16">#REF!</definedName>
    <definedName name="bVal1_Cases_InpatPhys" localSheetId="20">#REF!</definedName>
    <definedName name="bVal1_Cases_InpatPhys" localSheetId="43">#REF!</definedName>
    <definedName name="bVal1_Cases_InpatPhys">#REF!</definedName>
    <definedName name="bVal1_Cases_InpCare" localSheetId="26">#REF!</definedName>
    <definedName name="bVal1_Cases_InpCare" localSheetId="29">#REF!</definedName>
    <definedName name="bVal1_Cases_InpCare" localSheetId="16">#REF!</definedName>
    <definedName name="bVal1_Cases_InpCare" localSheetId="20">#REF!</definedName>
    <definedName name="bVal1_Cases_InpCare" localSheetId="43">#REF!</definedName>
    <definedName name="bVal1_Cases_InpCare">#REF!</definedName>
    <definedName name="bVal1_ClDental" localSheetId="26">#REF!</definedName>
    <definedName name="bVal1_ClDental" localSheetId="29">#REF!</definedName>
    <definedName name="bVal1_ClDental" localSheetId="16">#REF!</definedName>
    <definedName name="bVal1_ClDental" localSheetId="20">#REF!</definedName>
    <definedName name="bVal1_ClDental" localSheetId="43">#REF!</definedName>
    <definedName name="bVal1_ClDental">#REF!</definedName>
    <definedName name="bVal1_ClHosp" localSheetId="26">#REF!</definedName>
    <definedName name="bVal1_ClHosp" localSheetId="29">#REF!</definedName>
    <definedName name="bVal1_ClHosp" localSheetId="16">#REF!</definedName>
    <definedName name="bVal1_ClHosp" localSheetId="20">#REF!</definedName>
    <definedName name="bVal1_ClHosp" localSheetId="43">#REF!</definedName>
    <definedName name="bVal1_ClHosp">#REF!</definedName>
    <definedName name="bVal1_ClHosp_Mio" localSheetId="26">#REF!</definedName>
    <definedName name="bVal1_ClHosp_Mio" localSheetId="29">#REF!</definedName>
    <definedName name="bVal1_ClHosp_Mio" localSheetId="16">#REF!</definedName>
    <definedName name="bVal1_ClHosp_Mio" localSheetId="20">#REF!</definedName>
    <definedName name="bVal1_ClHosp_Mio" localSheetId="43">#REF!</definedName>
    <definedName name="bVal1_ClHosp_Mio">#REF!</definedName>
    <definedName name="bVal1_ClIndem" localSheetId="26">#REF!</definedName>
    <definedName name="bVal1_ClIndem" localSheetId="29">#REF!</definedName>
    <definedName name="bVal1_ClIndem" localSheetId="16">#REF!</definedName>
    <definedName name="bVal1_ClIndem" localSheetId="20">#REF!</definedName>
    <definedName name="bVal1_ClIndem" localSheetId="43">#REF!</definedName>
    <definedName name="bVal1_ClIndem">#REF!</definedName>
    <definedName name="bVal1_ClMedAid" localSheetId="26">#REF!</definedName>
    <definedName name="bVal1_ClMedAid" localSheetId="29">#REF!</definedName>
    <definedName name="bVal1_ClMedAid" localSheetId="16">#REF!</definedName>
    <definedName name="bVal1_ClMedAid" localSheetId="20">#REF!</definedName>
    <definedName name="bVal1_ClMedAid" localSheetId="43">#REF!</definedName>
    <definedName name="bVal1_ClMedAid">#REF!</definedName>
    <definedName name="bVal1_ClOutpDoc" localSheetId="26">#REF!</definedName>
    <definedName name="bVal1_ClOutpDoc" localSheetId="29">#REF!</definedName>
    <definedName name="bVal1_ClOutpDoc" localSheetId="16">#REF!</definedName>
    <definedName name="bVal1_ClOutpDoc" localSheetId="20">#REF!</definedName>
    <definedName name="bVal1_ClOutpDoc" localSheetId="43">#REF!</definedName>
    <definedName name="bVal1_ClOutpDoc">#REF!</definedName>
    <definedName name="bVal1_ClPharma" localSheetId="26">#REF!</definedName>
    <definedName name="bVal1_ClPharma" localSheetId="29">#REF!</definedName>
    <definedName name="bVal1_ClPharma" localSheetId="16">#REF!</definedName>
    <definedName name="bVal1_ClPharma" localSheetId="20">#REF!</definedName>
    <definedName name="bVal1_ClPharma" localSheetId="43">#REF!</definedName>
    <definedName name="bVal1_ClPharma">#REF!</definedName>
    <definedName name="bVal1_ConvToMio" localSheetId="26">#REF!</definedName>
    <definedName name="bVal1_ConvToMio" localSheetId="29">#REF!</definedName>
    <definedName name="bVal1_ConvToMio" localSheetId="16">#REF!</definedName>
    <definedName name="bVal1_ConvToMio" localSheetId="20">#REF!</definedName>
    <definedName name="bVal1_ConvToMio" localSheetId="43">#REF!</definedName>
    <definedName name="bVal1_ConvToMio">#REF!</definedName>
    <definedName name="bVal1_ConvToMio_Alias01" localSheetId="26">#REF!</definedName>
    <definedName name="bVal1_ConvToMio_Alias01" localSheetId="29">#REF!</definedName>
    <definedName name="bVal1_ConvToMio_Alias01" localSheetId="16">#REF!</definedName>
    <definedName name="bVal1_ConvToMio_Alias01" localSheetId="20">#REF!</definedName>
    <definedName name="bVal1_ConvToMio_Alias01" localSheetId="43">#REF!</definedName>
    <definedName name="bVal1_ConvToMio_Alias01">#REF!</definedName>
    <definedName name="bVal1_DailyHospAllow" localSheetId="26">#REF!</definedName>
    <definedName name="bVal1_DailyHospAllow" localSheetId="29">#REF!</definedName>
    <definedName name="bVal1_DailyHospAllow" localSheetId="16">#REF!</definedName>
    <definedName name="bVal1_DailyHospAllow" localSheetId="20">#REF!</definedName>
    <definedName name="bVal1_DailyHospAllow" localSheetId="43">#REF!</definedName>
    <definedName name="bVal1_DailyHospAllow">#REF!</definedName>
    <definedName name="bVal1_DailyHospAllow_day" localSheetId="26">#REF!</definedName>
    <definedName name="bVal1_DailyHospAllow_day" localSheetId="29">#REF!</definedName>
    <definedName name="bVal1_DailyHospAllow_day" localSheetId="16">#REF!</definedName>
    <definedName name="bVal1_DailyHospAllow_day" localSheetId="20">#REF!</definedName>
    <definedName name="bVal1_DailyHospAllow_day" localSheetId="43">#REF!</definedName>
    <definedName name="bVal1_DailyHospAllow_day">#REF!</definedName>
    <definedName name="bVal1_FullCovPolNo" localSheetId="26">#REF!</definedName>
    <definedName name="bVal1_FullCovPolNo" localSheetId="29">#REF!</definedName>
    <definedName name="bVal1_FullCovPolNo" localSheetId="16">#REF!</definedName>
    <definedName name="bVal1_FullCovPolNo" localSheetId="20">#REF!</definedName>
    <definedName name="bVal1_FullCovPolNo" localSheetId="43">#REF!</definedName>
    <definedName name="bVal1_FullCovPolNo">#REF!</definedName>
    <definedName name="bVal1_FullCovPolPrem_Avg" localSheetId="26">#REF!</definedName>
    <definedName name="bVal1_FullCovPolPrem_Avg" localSheetId="29">#REF!</definedName>
    <definedName name="bVal1_FullCovPolPrem_Avg" localSheetId="16">#REF!</definedName>
    <definedName name="bVal1_FullCovPolPrem_Avg" localSheetId="20">#REF!</definedName>
    <definedName name="bVal1_FullCovPolPrem_Avg" localSheetId="43">#REF!</definedName>
    <definedName name="bVal1_FullCovPolPrem_Avg">#REF!</definedName>
    <definedName name="bVal1_InpatientCare" localSheetId="26">#REF!</definedName>
    <definedName name="bVal1_InpatientCare" localSheetId="29">#REF!</definedName>
    <definedName name="bVal1_InpatientCare" localSheetId="16">#REF!</definedName>
    <definedName name="bVal1_InpatientCare" localSheetId="20">#REF!</definedName>
    <definedName name="bVal1_InpatientCare" localSheetId="43">#REF!</definedName>
    <definedName name="bVal1_InpatientCare">#REF!</definedName>
    <definedName name="bVal1_InpatientCare_day" localSheetId="26">#REF!</definedName>
    <definedName name="bVal1_InpatientCare_day" localSheetId="29">#REF!</definedName>
    <definedName name="bVal1_InpatientCare_day" localSheetId="16">#REF!</definedName>
    <definedName name="bVal1_InpatientCare_day" localSheetId="20">#REF!</definedName>
    <definedName name="bVal1_InpatientCare_day" localSheetId="43">#REF!</definedName>
    <definedName name="bVal1_InpatientCare_day">#REF!</definedName>
    <definedName name="bVal1_InpatientPhys" localSheetId="26">#REF!</definedName>
    <definedName name="bVal1_InpatientPhys" localSheetId="29">#REF!</definedName>
    <definedName name="bVal1_InpatientPhys" localSheetId="16">#REF!</definedName>
    <definedName name="bVal1_InpatientPhys" localSheetId="20">#REF!</definedName>
    <definedName name="bVal1_InpatientPhys" localSheetId="43">#REF!</definedName>
    <definedName name="bVal1_InpatientPhys">#REF!</definedName>
    <definedName name="bVal1_InpatPhysUnits_Avg" localSheetId="26">#REF!</definedName>
    <definedName name="bVal1_InpatPhysUnits_Avg" localSheetId="29">#REF!</definedName>
    <definedName name="bVal1_InpatPhysUnits_Avg" localSheetId="16">#REF!</definedName>
    <definedName name="bVal1_InpatPhysUnits_Avg" localSheetId="20">#REF!</definedName>
    <definedName name="bVal1_InpatPhysUnits_Avg" localSheetId="43">#REF!</definedName>
    <definedName name="bVal1_InpatPhysUnits_Avg">#REF!</definedName>
    <definedName name="bVal1_OtherHospCosts" localSheetId="26">#REF!</definedName>
    <definedName name="bVal1_OtherHospCosts" localSheetId="29">#REF!</definedName>
    <definedName name="bVal1_OtherHospCosts" localSheetId="16">#REF!</definedName>
    <definedName name="bVal1_OtherHospCosts" localSheetId="20">#REF!</definedName>
    <definedName name="bVal1_OtherHospCosts" localSheetId="43">#REF!</definedName>
    <definedName name="bVal1_OtherHospCosts">#REF!</definedName>
    <definedName name="bVal1_PhysPriceUnit" localSheetId="26">#REF!</definedName>
    <definedName name="bVal1_PhysPriceUnit" localSheetId="29">#REF!</definedName>
    <definedName name="bVal1_PhysPriceUnit" localSheetId="16">#REF!</definedName>
    <definedName name="bVal1_PhysPriceUnit" localSheetId="20">#REF!</definedName>
    <definedName name="bVal1_PhysPriceUnit" localSheetId="43">#REF!</definedName>
    <definedName name="bVal1_PhysPriceUnit">#REF!</definedName>
    <definedName name="bVal1_PrFull" localSheetId="26">#REF!</definedName>
    <definedName name="bVal1_PrFull" localSheetId="29">#REF!</definedName>
    <definedName name="bVal1_PrFull" localSheetId="16">#REF!</definedName>
    <definedName name="bVal1_PrFull" localSheetId="20">#REF!</definedName>
    <definedName name="bVal1_PrFull" localSheetId="43">#REF!</definedName>
    <definedName name="bVal1_PrFull">#REF!</definedName>
    <definedName name="bVal1_PrFull_Mio" localSheetId="26">#REF!</definedName>
    <definedName name="bVal1_PrFull_Mio" localSheetId="29">#REF!</definedName>
    <definedName name="bVal1_PrFull_Mio" localSheetId="16">#REF!</definedName>
    <definedName name="bVal1_PrFull_Mio" localSheetId="20">#REF!</definedName>
    <definedName name="bVal1_PrFull_Mio" localSheetId="43">#REF!</definedName>
    <definedName name="bVal1_PrFull_Mio">#REF!</definedName>
    <definedName name="bVal1_PrSuppl" localSheetId="26">#REF!</definedName>
    <definedName name="bVal1_PrSuppl" localSheetId="29">#REF!</definedName>
    <definedName name="bVal1_PrSuppl" localSheetId="16">#REF!</definedName>
    <definedName name="bVal1_PrSuppl" localSheetId="20">#REF!</definedName>
    <definedName name="bVal1_PrSuppl" localSheetId="43">#REF!</definedName>
    <definedName name="bVal1_PrSuppl">#REF!</definedName>
    <definedName name="bVal1_TotClaimsPaid" localSheetId="26">#REF!</definedName>
    <definedName name="bVal1_TotClaimsPaid" localSheetId="29">#REF!</definedName>
    <definedName name="bVal1_TotClaimsPaid" localSheetId="16">#REF!</definedName>
    <definedName name="bVal1_TotClaimsPaid" localSheetId="20">#REF!</definedName>
    <definedName name="bVal1_TotClaimsPaid" localSheetId="43">#REF!</definedName>
    <definedName name="bVal1_TotClaimsPaid">#REF!</definedName>
    <definedName name="bVal1_TotPremWritten" localSheetId="26">#REF!</definedName>
    <definedName name="bVal1_TotPremWritten" localSheetId="29">#REF!</definedName>
    <definedName name="bVal1_TotPremWritten" localSheetId="16">#REF!</definedName>
    <definedName name="bVal1_TotPremWritten" localSheetId="20">#REF!</definedName>
    <definedName name="bVal1_TotPremWritten" localSheetId="43">#REF!</definedName>
    <definedName name="bVal1_TotPremWritten">#REF!</definedName>
    <definedName name="bVal2_AvgLOS_BedSurch" localSheetId="26">#REF!</definedName>
    <definedName name="bVal2_AvgLOS_BedSurch" localSheetId="29">#REF!</definedName>
    <definedName name="bVal2_AvgLOS_BedSurch" localSheetId="16">#REF!</definedName>
    <definedName name="bVal2_AvgLOS_BedSurch" localSheetId="20">#REF!</definedName>
    <definedName name="bVal2_AvgLOS_BedSurch" localSheetId="43">#REF!</definedName>
    <definedName name="bVal2_AvgLOS_BedSurch">#REF!</definedName>
    <definedName name="bVal2_AvgLOS_HospAllow" localSheetId="26">#REF!</definedName>
    <definedName name="bVal2_AvgLOS_HospAllow" localSheetId="29">#REF!</definedName>
    <definedName name="bVal2_AvgLOS_HospAllow" localSheetId="16">#REF!</definedName>
    <definedName name="bVal2_AvgLOS_HospAllow" localSheetId="20">#REF!</definedName>
    <definedName name="bVal2_AvgLOS_HospAllow" localSheetId="43">#REF!</definedName>
    <definedName name="bVal2_AvgLOS_HospAllow">#REF!</definedName>
    <definedName name="bVal2_AvgLOS_InpCare" localSheetId="26">#REF!</definedName>
    <definedName name="bVal2_AvgLOS_InpCare" localSheetId="29">#REF!</definedName>
    <definedName name="bVal2_AvgLOS_InpCare" localSheetId="16">#REF!</definedName>
    <definedName name="bVal2_AvgLOS_InpCare" localSheetId="20">#REF!</definedName>
    <definedName name="bVal2_AvgLOS_InpCare" localSheetId="43">#REF!</definedName>
    <definedName name="bVal2_AvgLOS_InpCare">#REF!</definedName>
    <definedName name="bVal2_BedSurcharge" localSheetId="26">#REF!</definedName>
    <definedName name="bVal2_BedSurcharge" localSheetId="29">#REF!</definedName>
    <definedName name="bVal2_BedSurcharge" localSheetId="16">#REF!</definedName>
    <definedName name="bVal2_BedSurcharge" localSheetId="20">#REF!</definedName>
    <definedName name="bVal2_BedSurcharge" localSheetId="43">#REF!</definedName>
    <definedName name="bVal2_BedSurcharge">#REF!</definedName>
    <definedName name="bVal2_BedSurcharge_day" localSheetId="26">#REF!</definedName>
    <definedName name="bVal2_BedSurcharge_day" localSheetId="29">#REF!</definedName>
    <definedName name="bVal2_BedSurcharge_day" localSheetId="16">#REF!</definedName>
    <definedName name="bVal2_BedSurcharge_day" localSheetId="20">#REF!</definedName>
    <definedName name="bVal2_BedSurcharge_day" localSheetId="43">#REF!</definedName>
    <definedName name="bVal2_BedSurcharge_day">#REF!</definedName>
    <definedName name="bVal2_Cases_BedSurch" localSheetId="26">#REF!</definedName>
    <definedName name="bVal2_Cases_BedSurch" localSheetId="29">#REF!</definedName>
    <definedName name="bVal2_Cases_BedSurch" localSheetId="16">#REF!</definedName>
    <definedName name="bVal2_Cases_BedSurch" localSheetId="20">#REF!</definedName>
    <definedName name="bVal2_Cases_BedSurch" localSheetId="43">#REF!</definedName>
    <definedName name="bVal2_Cases_BedSurch">#REF!</definedName>
    <definedName name="bVal2_Cases_HospAllow" localSheetId="26">#REF!</definedName>
    <definedName name="bVal2_Cases_HospAllow" localSheetId="29">#REF!</definedName>
    <definedName name="bVal2_Cases_HospAllow" localSheetId="16">#REF!</definedName>
    <definedName name="bVal2_Cases_HospAllow" localSheetId="20">#REF!</definedName>
    <definedName name="bVal2_Cases_HospAllow" localSheetId="43">#REF!</definedName>
    <definedName name="bVal2_Cases_HospAllow">#REF!</definedName>
    <definedName name="bVal2_Cases_InpatPhys" localSheetId="26">#REF!</definedName>
    <definedName name="bVal2_Cases_InpatPhys" localSheetId="29">#REF!</definedName>
    <definedName name="bVal2_Cases_InpatPhys" localSheetId="16">#REF!</definedName>
    <definedName name="bVal2_Cases_InpatPhys" localSheetId="20">#REF!</definedName>
    <definedName name="bVal2_Cases_InpatPhys" localSheetId="43">#REF!</definedName>
    <definedName name="bVal2_Cases_InpatPhys">#REF!</definedName>
    <definedName name="bVal2_Cases_InpCare" localSheetId="26">#REF!</definedName>
    <definedName name="bVal2_Cases_InpCare" localSheetId="29">#REF!</definedName>
    <definedName name="bVal2_Cases_InpCare" localSheetId="16">#REF!</definedName>
    <definedName name="bVal2_Cases_InpCare" localSheetId="20">#REF!</definedName>
    <definedName name="bVal2_Cases_InpCare" localSheetId="43">#REF!</definedName>
    <definedName name="bVal2_Cases_InpCare">#REF!</definedName>
    <definedName name="bVal2_ClDental" localSheetId="26">#REF!</definedName>
    <definedName name="bVal2_ClDental" localSheetId="29">#REF!</definedName>
    <definedName name="bVal2_ClDental" localSheetId="16">#REF!</definedName>
    <definedName name="bVal2_ClDental" localSheetId="20">#REF!</definedName>
    <definedName name="bVal2_ClDental" localSheetId="43">#REF!</definedName>
    <definedName name="bVal2_ClDental">#REF!</definedName>
    <definedName name="bVal2_ClHosp" localSheetId="26">#REF!</definedName>
    <definedName name="bVal2_ClHosp" localSheetId="29">#REF!</definedName>
    <definedName name="bVal2_ClHosp" localSheetId="16">#REF!</definedName>
    <definedName name="bVal2_ClHosp" localSheetId="20">#REF!</definedName>
    <definedName name="bVal2_ClHosp" localSheetId="43">#REF!</definedName>
    <definedName name="bVal2_ClHosp">#REF!</definedName>
    <definedName name="bVal2_ClHosp_Mio" localSheetId="26">#REF!</definedName>
    <definedName name="bVal2_ClHosp_Mio" localSheetId="29">#REF!</definedName>
    <definedName name="bVal2_ClHosp_Mio" localSheetId="16">#REF!</definedName>
    <definedName name="bVal2_ClHosp_Mio" localSheetId="20">#REF!</definedName>
    <definedName name="bVal2_ClHosp_Mio" localSheetId="43">#REF!</definedName>
    <definedName name="bVal2_ClHosp_Mio">#REF!</definedName>
    <definedName name="bVal2_ClIndem" localSheetId="26">#REF!</definedName>
    <definedName name="bVal2_ClIndem" localSheetId="29">#REF!</definedName>
    <definedName name="bVal2_ClIndem" localSheetId="16">#REF!</definedName>
    <definedName name="bVal2_ClIndem" localSheetId="20">#REF!</definedName>
    <definedName name="bVal2_ClIndem" localSheetId="43">#REF!</definedName>
    <definedName name="bVal2_ClIndem">#REF!</definedName>
    <definedName name="bVal2_ClMedAid" localSheetId="26">#REF!</definedName>
    <definedName name="bVal2_ClMedAid" localSheetId="29">#REF!</definedName>
    <definedName name="bVal2_ClMedAid" localSheetId="16">#REF!</definedName>
    <definedName name="bVal2_ClMedAid" localSheetId="20">#REF!</definedName>
    <definedName name="bVal2_ClMedAid" localSheetId="43">#REF!</definedName>
    <definedName name="bVal2_ClMedAid">#REF!</definedName>
    <definedName name="bVal2_ClOutpDoc" localSheetId="26">#REF!</definedName>
    <definedName name="bVal2_ClOutpDoc" localSheetId="29">#REF!</definedName>
    <definedName name="bVal2_ClOutpDoc" localSheetId="16">#REF!</definedName>
    <definedName name="bVal2_ClOutpDoc" localSheetId="20">#REF!</definedName>
    <definedName name="bVal2_ClOutpDoc" localSheetId="43">#REF!</definedName>
    <definedName name="bVal2_ClOutpDoc">#REF!</definedName>
    <definedName name="bVal2_ClPharma" localSheetId="26">#REF!</definedName>
    <definedName name="bVal2_ClPharma" localSheetId="29">#REF!</definedName>
    <definedName name="bVal2_ClPharma" localSheetId="16">#REF!</definedName>
    <definedName name="bVal2_ClPharma" localSheetId="20">#REF!</definedName>
    <definedName name="bVal2_ClPharma" localSheetId="43">#REF!</definedName>
    <definedName name="bVal2_ClPharma">#REF!</definedName>
    <definedName name="bVal2_ConvToMio" localSheetId="26">#REF!</definedName>
    <definedName name="bVal2_ConvToMio" localSheetId="29">#REF!</definedName>
    <definedName name="bVal2_ConvToMio" localSheetId="16">#REF!</definedName>
    <definedName name="bVal2_ConvToMio" localSheetId="20">#REF!</definedName>
    <definedName name="bVal2_ConvToMio" localSheetId="43">#REF!</definedName>
    <definedName name="bVal2_ConvToMio">#REF!</definedName>
    <definedName name="bVal2_ConvToMio_Alias01" localSheetId="26">#REF!</definedName>
    <definedName name="bVal2_ConvToMio_Alias01" localSheetId="29">#REF!</definedName>
    <definedName name="bVal2_ConvToMio_Alias01" localSheetId="16">#REF!</definedName>
    <definedName name="bVal2_ConvToMio_Alias01" localSheetId="20">#REF!</definedName>
    <definedName name="bVal2_ConvToMio_Alias01" localSheetId="43">#REF!</definedName>
    <definedName name="bVal2_ConvToMio_Alias01">#REF!</definedName>
    <definedName name="bVal2_DailyHospAllow" localSheetId="26">#REF!</definedName>
    <definedName name="bVal2_DailyHospAllow" localSheetId="29">#REF!</definedName>
    <definedName name="bVal2_DailyHospAllow" localSheetId="16">#REF!</definedName>
    <definedName name="bVal2_DailyHospAllow" localSheetId="20">#REF!</definedName>
    <definedName name="bVal2_DailyHospAllow" localSheetId="43">#REF!</definedName>
    <definedName name="bVal2_DailyHospAllow">#REF!</definedName>
    <definedName name="bVal2_DailyHospAllow_day" localSheetId="26">#REF!</definedName>
    <definedName name="bVal2_DailyHospAllow_day" localSheetId="29">#REF!</definedName>
    <definedName name="bVal2_DailyHospAllow_day" localSheetId="16">#REF!</definedName>
    <definedName name="bVal2_DailyHospAllow_day" localSheetId="20">#REF!</definedName>
    <definedName name="bVal2_DailyHospAllow_day" localSheetId="43">#REF!</definedName>
    <definedName name="bVal2_DailyHospAllow_day">#REF!</definedName>
    <definedName name="bVal2_FullCovPolNo" localSheetId="26">#REF!</definedName>
    <definedName name="bVal2_FullCovPolNo" localSheetId="29">#REF!</definedName>
    <definedName name="bVal2_FullCovPolNo" localSheetId="16">#REF!</definedName>
    <definedName name="bVal2_FullCovPolNo" localSheetId="20">#REF!</definedName>
    <definedName name="bVal2_FullCovPolNo" localSheetId="43">#REF!</definedName>
    <definedName name="bVal2_FullCovPolNo">#REF!</definedName>
    <definedName name="bVal2_FullCovPolPrem_Avg" localSheetId="26">#REF!</definedName>
    <definedName name="bVal2_FullCovPolPrem_Avg" localSheetId="29">#REF!</definedName>
    <definedName name="bVal2_FullCovPolPrem_Avg" localSheetId="16">#REF!</definedName>
    <definedName name="bVal2_FullCovPolPrem_Avg" localSheetId="20">#REF!</definedName>
    <definedName name="bVal2_FullCovPolPrem_Avg" localSheetId="43">#REF!</definedName>
    <definedName name="bVal2_FullCovPolPrem_Avg">#REF!</definedName>
    <definedName name="bVal2_InpatientCare" localSheetId="26">#REF!</definedName>
    <definedName name="bVal2_InpatientCare" localSheetId="29">#REF!</definedName>
    <definedName name="bVal2_InpatientCare" localSheetId="16">#REF!</definedName>
    <definedName name="bVal2_InpatientCare" localSheetId="20">#REF!</definedName>
    <definedName name="bVal2_InpatientCare" localSheetId="43">#REF!</definedName>
    <definedName name="bVal2_InpatientCare">#REF!</definedName>
    <definedName name="bVal2_InpatientCare_day" localSheetId="26">#REF!</definedName>
    <definedName name="bVal2_InpatientCare_day" localSheetId="29">#REF!</definedName>
    <definedName name="bVal2_InpatientCare_day" localSheetId="16">#REF!</definedName>
    <definedName name="bVal2_InpatientCare_day" localSheetId="20">#REF!</definedName>
    <definedName name="bVal2_InpatientCare_day" localSheetId="43">#REF!</definedName>
    <definedName name="bVal2_InpatientCare_day">#REF!</definedName>
    <definedName name="bVal2_InpatientPhys" localSheetId="26">#REF!</definedName>
    <definedName name="bVal2_InpatientPhys" localSheetId="29">#REF!</definedName>
    <definedName name="bVal2_InpatientPhys" localSheetId="16">#REF!</definedName>
    <definedName name="bVal2_InpatientPhys" localSheetId="20">#REF!</definedName>
    <definedName name="bVal2_InpatientPhys" localSheetId="43">#REF!</definedName>
    <definedName name="bVal2_InpatientPhys">#REF!</definedName>
    <definedName name="bVal2_InpatPhysUnits_Avg" localSheetId="26">#REF!</definedName>
    <definedName name="bVal2_InpatPhysUnits_Avg" localSheetId="29">#REF!</definedName>
    <definedName name="bVal2_InpatPhysUnits_Avg" localSheetId="16">#REF!</definedName>
    <definedName name="bVal2_InpatPhysUnits_Avg" localSheetId="20">#REF!</definedName>
    <definedName name="bVal2_InpatPhysUnits_Avg" localSheetId="43">#REF!</definedName>
    <definedName name="bVal2_InpatPhysUnits_Avg">#REF!</definedName>
    <definedName name="bVal2_OtherHospCosts" localSheetId="26">#REF!</definedName>
    <definedName name="bVal2_OtherHospCosts" localSheetId="29">#REF!</definedName>
    <definedName name="bVal2_OtherHospCosts" localSheetId="16">#REF!</definedName>
    <definedName name="bVal2_OtherHospCosts" localSheetId="20">#REF!</definedName>
    <definedName name="bVal2_OtherHospCosts" localSheetId="43">#REF!</definedName>
    <definedName name="bVal2_OtherHospCosts">#REF!</definedName>
    <definedName name="bVal2_PhysPriceUnit" localSheetId="26">#REF!</definedName>
    <definedName name="bVal2_PhysPriceUnit" localSheetId="29">#REF!</definedName>
    <definedName name="bVal2_PhysPriceUnit" localSheetId="16">#REF!</definedName>
    <definedName name="bVal2_PhysPriceUnit" localSheetId="20">#REF!</definedName>
    <definedName name="bVal2_PhysPriceUnit" localSheetId="43">#REF!</definedName>
    <definedName name="bVal2_PhysPriceUnit">#REF!</definedName>
    <definedName name="bVal2_PrFull" localSheetId="26">#REF!</definedName>
    <definedName name="bVal2_PrFull" localSheetId="29">#REF!</definedName>
    <definedName name="bVal2_PrFull" localSheetId="16">#REF!</definedName>
    <definedName name="bVal2_PrFull" localSheetId="20">#REF!</definedName>
    <definedName name="bVal2_PrFull" localSheetId="43">#REF!</definedName>
    <definedName name="bVal2_PrFull">#REF!</definedName>
    <definedName name="bVal2_PrFull_Mio" localSheetId="26">#REF!</definedName>
    <definedName name="bVal2_PrFull_Mio" localSheetId="29">#REF!</definedName>
    <definedName name="bVal2_PrFull_Mio" localSheetId="16">#REF!</definedName>
    <definedName name="bVal2_PrFull_Mio" localSheetId="20">#REF!</definedName>
    <definedName name="bVal2_PrFull_Mio" localSheetId="43">#REF!</definedName>
    <definedName name="bVal2_PrFull_Mio">#REF!</definedName>
    <definedName name="bVal2_PrSuppl" localSheetId="26">#REF!</definedName>
    <definedName name="bVal2_PrSuppl" localSheetId="29">#REF!</definedName>
    <definedName name="bVal2_PrSuppl" localSheetId="16">#REF!</definedName>
    <definedName name="bVal2_PrSuppl" localSheetId="20">#REF!</definedName>
    <definedName name="bVal2_PrSuppl" localSheetId="43">#REF!</definedName>
    <definedName name="bVal2_PrSuppl">#REF!</definedName>
    <definedName name="bVal2_TotClaimsPaid" localSheetId="26">#REF!</definedName>
    <definedName name="bVal2_TotClaimsPaid" localSheetId="29">#REF!</definedName>
    <definedName name="bVal2_TotClaimsPaid" localSheetId="16">#REF!</definedName>
    <definedName name="bVal2_TotClaimsPaid" localSheetId="20">#REF!</definedName>
    <definedName name="bVal2_TotClaimsPaid" localSheetId="43">#REF!</definedName>
    <definedName name="bVal2_TotClaimsPaid">#REF!</definedName>
    <definedName name="bVal2_TotPremWritten" localSheetId="26">#REF!</definedName>
    <definedName name="bVal2_TotPremWritten" localSheetId="29">#REF!</definedName>
    <definedName name="bVal2_TotPremWritten" localSheetId="16">#REF!</definedName>
    <definedName name="bVal2_TotPremWritten" localSheetId="20">#REF!</definedName>
    <definedName name="bVal2_TotPremWritten" localSheetId="43">#REF!</definedName>
    <definedName name="bVal2_TotPremWritten">#REF!</definedName>
    <definedName name="C_">NA()</definedName>
    <definedName name="C_EM_ACT" localSheetId="26">[28]exp!$AM$304:$BK$313</definedName>
    <definedName name="C_EM_ACT" localSheetId="23">[29]exp!$AM$304:$BK$313</definedName>
    <definedName name="C_EM_ACT" localSheetId="43">[28]exp!$AM$304:$BK$313</definedName>
    <definedName name="C_EM_ACT">[30]exp!$AM$304:$BK$313</definedName>
    <definedName name="C_EM_BUD" localSheetId="26">[28]exp!$N$304:$AL$313</definedName>
    <definedName name="C_EM_BUD" localSheetId="23">[29]exp!$N$304:$AL$313</definedName>
    <definedName name="C_EM_BUD" localSheetId="43">[28]exp!$N$304:$AL$313</definedName>
    <definedName name="C_EM_BUD">[30]exp!$N$304:$AL$313</definedName>
    <definedName name="C_Export_ACT" localSheetId="26">[28]exp!$AM$295:$BK$300</definedName>
    <definedName name="C_Export_ACT" localSheetId="23">[29]exp!$AM$295:$BK$300</definedName>
    <definedName name="C_Export_ACT" localSheetId="43">[28]exp!$AM$295:$BK$300</definedName>
    <definedName name="C_Export_ACT">[30]exp!$AM$295:$BK$300</definedName>
    <definedName name="C_Export_BUD" localSheetId="26">[28]exp!$N$295:$AL$300</definedName>
    <definedName name="C_Export_BUD" localSheetId="23">[29]exp!$N$295:$AL$300</definedName>
    <definedName name="C_Export_BUD" localSheetId="43">[28]exp!$N$295:$AL$300</definedName>
    <definedName name="C_Export_BUD">[30]exp!$N$295:$AL$300</definedName>
    <definedName name="C_PRD_ACT" localSheetId="26">#REF!</definedName>
    <definedName name="C_PRD_ACT" localSheetId="18">#REF!</definedName>
    <definedName name="C_PRD_ACT" localSheetId="29">#REF!</definedName>
    <definedName name="C_PRD_ACT" localSheetId="16">#REF!</definedName>
    <definedName name="C_PRD_ACT" localSheetId="20">#REF!</definedName>
    <definedName name="C_PRD_ACT" localSheetId="43">#REF!</definedName>
    <definedName name="C_PRD_ACT">#REF!</definedName>
    <definedName name="C_PRD_BUD" localSheetId="26">#REF!</definedName>
    <definedName name="C_PRD_BUD" localSheetId="29">#REF!</definedName>
    <definedName name="C_PRD_BUD" localSheetId="16">#REF!</definedName>
    <definedName name="C_PRD_BUD" localSheetId="20">#REF!</definedName>
    <definedName name="C_PRD_BUD" localSheetId="43">#REF!</definedName>
    <definedName name="C_PRD_BUD">#REF!</definedName>
    <definedName name="C_RD_ACT" localSheetId="26">#REF!</definedName>
    <definedName name="C_RD_ACT" localSheetId="29">#REF!</definedName>
    <definedName name="C_RD_ACT" localSheetId="16">#REF!</definedName>
    <definedName name="C_RD_ACT" localSheetId="20">#REF!</definedName>
    <definedName name="C_RD_ACT" localSheetId="43">#REF!</definedName>
    <definedName name="C_RD_ACT">#REF!</definedName>
    <definedName name="C_RD_BUD" localSheetId="26">#REF!</definedName>
    <definedName name="C_RD_BUD" localSheetId="29">#REF!</definedName>
    <definedName name="C_RD_BUD" localSheetId="16">#REF!</definedName>
    <definedName name="C_RD_BUD" localSheetId="20">#REF!</definedName>
    <definedName name="C_RD_BUD" localSheetId="43">#REF!</definedName>
    <definedName name="C_RD_BUD">#REF!</definedName>
    <definedName name="cact">[39]Sheet2!$A$2:$Z$48</definedName>
    <definedName name="CADAM_Roys" localSheetId="26">#REF!</definedName>
    <definedName name="CADAM_Roys" localSheetId="33">#REF!</definedName>
    <definedName name="CADAM_Roys" localSheetId="17">#REF!</definedName>
    <definedName name="CADAM_Roys" localSheetId="29">#REF!</definedName>
    <definedName name="CADAM_Roys" localSheetId="3">#REF!</definedName>
    <definedName name="CADAM_Roys" localSheetId="16">#REF!</definedName>
    <definedName name="CADAM_Roys" localSheetId="19">#REF!</definedName>
    <definedName name="CADAM_Roys" localSheetId="20">#REF!</definedName>
    <definedName name="CADAM_Roys" localSheetId="43">#REF!</definedName>
    <definedName name="CADAM_Roys">#REF!</definedName>
    <definedName name="CAP.SOCIAL" localSheetId="26">#REF!</definedName>
    <definedName name="CAP.SOCIAL" localSheetId="33">#REF!</definedName>
    <definedName name="CAP.SOCIAL" localSheetId="17">#REF!</definedName>
    <definedName name="CAP.SOCIAL" localSheetId="29">#REF!</definedName>
    <definedName name="CAP.SOCIAL" localSheetId="3">#REF!</definedName>
    <definedName name="CAP.SOCIAL" localSheetId="16">#REF!</definedName>
    <definedName name="CAP.SOCIAL" localSheetId="19">#REF!</definedName>
    <definedName name="CAP.SOCIAL" localSheetId="20">#REF!</definedName>
    <definedName name="CAP.SOCIAL" localSheetId="43">#REF!</definedName>
    <definedName name="CAP.SOCIAL">#REF!</definedName>
    <definedName name="cap\loan" localSheetId="26">#REF!</definedName>
    <definedName name="cap\loan" localSheetId="33">#REF!</definedName>
    <definedName name="cap\loan" localSheetId="17">#REF!</definedName>
    <definedName name="cap\loan" localSheetId="29">#REF!</definedName>
    <definedName name="cap\loan" localSheetId="3">#REF!</definedName>
    <definedName name="cap\loan" localSheetId="16">#REF!</definedName>
    <definedName name="cap\loan" localSheetId="19">#REF!</definedName>
    <definedName name="cap\loan" localSheetId="20">#REF!</definedName>
    <definedName name="cap\loan" localSheetId="43">#REF!</definedName>
    <definedName name="cap\loan">#REF!</definedName>
    <definedName name="CASH" localSheetId="26" hidden="1">{"bs",#N/A,FALSE,"BS";"pl",#N/A,FALSE,"PL"}</definedName>
    <definedName name="CASH" localSheetId="33" hidden="1">{"bs",#N/A,FALSE,"BS";"pl",#N/A,FALSE,"PL"}</definedName>
    <definedName name="CASH" localSheetId="17" hidden="1">{"bs",#N/A,FALSE,"BS";"pl",#N/A,FALSE,"PL"}</definedName>
    <definedName name="CASH" localSheetId="48" hidden="1">{"bs",#N/A,FALSE,"BS";"pl",#N/A,FALSE,"PL"}</definedName>
    <definedName name="CASH" localSheetId="23" hidden="1">{"bs",#N/A,FALSE,"BS";"pl",#N/A,FALSE,"PL"}</definedName>
    <definedName name="CASH" localSheetId="18" hidden="1">{"bs",#N/A,FALSE,"BS";"pl",#N/A,FALSE,"PL"}</definedName>
    <definedName name="CASH" localSheetId="10" hidden="1">{"bs",#N/A,FALSE,"BS";"pl",#N/A,FALSE,"PL"}</definedName>
    <definedName name="CASH" localSheetId="29" hidden="1">{"bs",#N/A,FALSE,"BS";"pl",#N/A,FALSE,"PL"}</definedName>
    <definedName name="CASH" localSheetId="3" hidden="1">{"bs",#N/A,FALSE,"BS";"pl",#N/A,FALSE,"PL"}</definedName>
    <definedName name="CASH" localSheetId="35" hidden="1">{"bs",#N/A,FALSE,"BS";"pl",#N/A,FALSE,"PL"}</definedName>
    <definedName name="CASH" localSheetId="16" hidden="1">{"bs",#N/A,FALSE,"BS";"pl",#N/A,FALSE,"PL"}</definedName>
    <definedName name="CASH" localSheetId="5" hidden="1">{"bs",#N/A,FALSE,"BS";"pl",#N/A,FALSE,"PL"}</definedName>
    <definedName name="CASH" localSheetId="19" hidden="1">{"bs",#N/A,FALSE,"BS";"pl",#N/A,FALSE,"PL"}</definedName>
    <definedName name="CASH" localSheetId="20" hidden="1">{"bs",#N/A,FALSE,"BS";"pl",#N/A,FALSE,"PL"}</definedName>
    <definedName name="CASH" localSheetId="43" hidden="1">{"bs",#N/A,FALSE,"BS";"pl",#N/A,FALSE,"PL"}</definedName>
    <definedName name="CASH" hidden="1">{"bs",#N/A,FALSE,"BS";"pl",#N/A,FALSE,"PL"}</definedName>
    <definedName name="cashflow" localSheetId="26">#REF!</definedName>
    <definedName name="cashflow" localSheetId="23">#REF!</definedName>
    <definedName name="cashflow" localSheetId="18">#REF!</definedName>
    <definedName name="cashflow" localSheetId="29">#REF!</definedName>
    <definedName name="cashflow" localSheetId="16">#REF!</definedName>
    <definedName name="cashflow" localSheetId="20">#REF!</definedName>
    <definedName name="cashflow" localSheetId="43">#REF!</definedName>
    <definedName name="cashflow">#REF!</definedName>
    <definedName name="CATIA_Roys" localSheetId="26">#REF!</definedName>
    <definedName name="CATIA_Roys" localSheetId="33">#REF!</definedName>
    <definedName name="CATIA_Roys" localSheetId="17">#REF!</definedName>
    <definedName name="CATIA_Roys" localSheetId="29">#REF!</definedName>
    <definedName name="CATIA_Roys" localSheetId="3">#REF!</definedName>
    <definedName name="CATIA_Roys" localSheetId="16">#REF!</definedName>
    <definedName name="CATIA_Roys" localSheetId="19">#REF!</definedName>
    <definedName name="CATIA_Roys" localSheetId="20">#REF!</definedName>
    <definedName name="CATIA_Roys" localSheetId="43">#REF!</definedName>
    <definedName name="CATIA_Roys">#REF!</definedName>
    <definedName name="CC" localSheetId="26">#REF!</definedName>
    <definedName name="CC" localSheetId="29">#REF!</definedName>
    <definedName name="CC" localSheetId="16">#REF!</definedName>
    <definedName name="CC" localSheetId="20">#REF!</definedName>
    <definedName name="CC" localSheetId="43">#REF!</definedName>
    <definedName name="CC">#REF!</definedName>
    <definedName name="ccc" localSheetId="26">#REF!</definedName>
    <definedName name="ccc" localSheetId="33">#REF!</definedName>
    <definedName name="ccc" localSheetId="17">#REF!</definedName>
    <definedName name="ccc" localSheetId="29">#REF!</definedName>
    <definedName name="ccc" localSheetId="3">#REF!</definedName>
    <definedName name="ccc" localSheetId="16">#REF!</definedName>
    <definedName name="ccc" localSheetId="19">#REF!</definedName>
    <definedName name="ccc" localSheetId="20">#REF!</definedName>
    <definedName name="ccc" localSheetId="43">#REF!</definedName>
    <definedName name="ccc">#REF!</definedName>
    <definedName name="CDY" localSheetId="26">#REF!</definedName>
    <definedName name="CDY" localSheetId="29">#REF!</definedName>
    <definedName name="CDY" localSheetId="16">#REF!</definedName>
    <definedName name="CDY" localSheetId="20">#REF!</definedName>
    <definedName name="CDY" localSheetId="43">#REF!</definedName>
    <definedName name="CDY">#REF!</definedName>
    <definedName name="CE" localSheetId="26">#REF!</definedName>
    <definedName name="CE" localSheetId="33">#REF!</definedName>
    <definedName name="CE" localSheetId="17">#REF!</definedName>
    <definedName name="CE" localSheetId="29">#REF!</definedName>
    <definedName name="CE" localSheetId="3">#REF!</definedName>
    <definedName name="CE" localSheetId="16">#REF!</definedName>
    <definedName name="CE" localSheetId="19">#REF!</definedName>
    <definedName name="CE" localSheetId="20">#REF!</definedName>
    <definedName name="CE" localSheetId="43">#REF!</definedName>
    <definedName name="CE">#REF!</definedName>
    <definedName name="cement" localSheetId="26">#REF!</definedName>
    <definedName name="cement" localSheetId="33">#REF!</definedName>
    <definedName name="cement" localSheetId="17">#REF!</definedName>
    <definedName name="cement" localSheetId="48">#REF!</definedName>
    <definedName name="cement" localSheetId="29">#REF!</definedName>
    <definedName name="cement" localSheetId="3">#REF!</definedName>
    <definedName name="cement" localSheetId="35">#REF!</definedName>
    <definedName name="cement" localSheetId="16">#REF!</definedName>
    <definedName name="cement" localSheetId="5">#REF!</definedName>
    <definedName name="cement" localSheetId="19">#REF!</definedName>
    <definedName name="cement" localSheetId="20">#REF!</definedName>
    <definedName name="cement" localSheetId="43">#REF!</definedName>
    <definedName name="cement">#REF!</definedName>
    <definedName name="cerberus" localSheetId="26" hidden="1">{#N/A,#N/A,TRUE,"Couverture";#N/A,#N/A,TRUE,"Sommaire.1";#N/A,#N/A,TRUE,"Sommaire.2";#N/A,#N/A,TRUE,"Sommaire.3"}</definedName>
    <definedName name="cerberus" localSheetId="17" hidden="1">{#N/A,#N/A,TRUE,"Couverture";#N/A,#N/A,TRUE,"Sommaire.1";#N/A,#N/A,TRUE,"Sommaire.2";#N/A,#N/A,TRUE,"Sommaire.3"}</definedName>
    <definedName name="cerberus" localSheetId="23" hidden="1">{#N/A,#N/A,TRUE,"Couverture";#N/A,#N/A,TRUE,"Sommaire.1";#N/A,#N/A,TRUE,"Sommaire.2";#N/A,#N/A,TRUE,"Sommaire.3"}</definedName>
    <definedName name="cerberus" localSheetId="18" hidden="1">{#N/A,#N/A,TRUE,"Couverture";#N/A,#N/A,TRUE,"Sommaire.1";#N/A,#N/A,TRUE,"Sommaire.2";#N/A,#N/A,TRUE,"Sommaire.3"}</definedName>
    <definedName name="cerberus" localSheetId="10" hidden="1">{#N/A,#N/A,TRUE,"Couverture";#N/A,#N/A,TRUE,"Sommaire.1";#N/A,#N/A,TRUE,"Sommaire.2";#N/A,#N/A,TRUE,"Sommaire.3"}</definedName>
    <definedName name="cerberus" localSheetId="29" hidden="1">{#N/A,#N/A,TRUE,"Couverture";#N/A,#N/A,TRUE,"Sommaire.1";#N/A,#N/A,TRUE,"Sommaire.2";#N/A,#N/A,TRUE,"Sommaire.3"}</definedName>
    <definedName name="cerberus" localSheetId="3" hidden="1">{#N/A,#N/A,TRUE,"Couverture";#N/A,#N/A,TRUE,"Sommaire.1";#N/A,#N/A,TRUE,"Sommaire.2";#N/A,#N/A,TRUE,"Sommaire.3"}</definedName>
    <definedName name="cerberus" localSheetId="16" hidden="1">{#N/A,#N/A,TRUE,"Couverture";#N/A,#N/A,TRUE,"Sommaire.1";#N/A,#N/A,TRUE,"Sommaire.2";#N/A,#N/A,TRUE,"Sommaire.3"}</definedName>
    <definedName name="cerberus" localSheetId="19" hidden="1">{#N/A,#N/A,TRUE,"Couverture";#N/A,#N/A,TRUE,"Sommaire.1";#N/A,#N/A,TRUE,"Sommaire.2";#N/A,#N/A,TRUE,"Sommaire.3"}</definedName>
    <definedName name="cerberus" localSheetId="20" hidden="1">{#N/A,#N/A,TRUE,"Couverture";#N/A,#N/A,TRUE,"Sommaire.1";#N/A,#N/A,TRUE,"Sommaire.2";#N/A,#N/A,TRUE,"Sommaire.3"}</definedName>
    <definedName name="cerberus" localSheetId="43" hidden="1">{#N/A,#N/A,TRUE,"Couverture";#N/A,#N/A,TRUE,"Sommaire.1";#N/A,#N/A,TRUE,"Sommaire.2";#N/A,#N/A,TRUE,"Sommaire.3"}</definedName>
    <definedName name="cerberus" hidden="1">{#N/A,#N/A,TRUE,"Couverture";#N/A,#N/A,TRUE,"Sommaire.1";#N/A,#N/A,TRUE,"Sommaire.2";#N/A,#N/A,TRUE,"Sommaire.3"}</definedName>
    <definedName name="cf_1" localSheetId="26">#REF!</definedName>
    <definedName name="cf_1" localSheetId="23">#REF!</definedName>
    <definedName name="cf_1" localSheetId="18">#REF!</definedName>
    <definedName name="cf_1" localSheetId="29">#REF!</definedName>
    <definedName name="cf_1" localSheetId="16">#REF!</definedName>
    <definedName name="cf_1" localSheetId="20">#REF!</definedName>
    <definedName name="cf_1" localSheetId="43">#REF!</definedName>
    <definedName name="cf_1">#REF!</definedName>
    <definedName name="CHA" localSheetId="26">#REF!</definedName>
    <definedName name="CHA" localSheetId="29">#REF!</definedName>
    <definedName name="CHA" localSheetId="16">#REF!</definedName>
    <definedName name="CHA" localSheetId="20">#REF!</definedName>
    <definedName name="CHA" localSheetId="43">#REF!</definedName>
    <definedName name="CHA">#REF!</definedName>
    <definedName name="CHA_BAL___F215" localSheetId="26">#REF!</definedName>
    <definedName name="CHA_BAL___F215" localSheetId="29">#REF!</definedName>
    <definedName name="CHA_BAL___F215" localSheetId="16">#REF!</definedName>
    <definedName name="CHA_BAL___F215" localSheetId="20">#REF!</definedName>
    <definedName name="CHA_BAL___F215" localSheetId="43">#REF!</definedName>
    <definedName name="CHA_BAL___F215">#REF!</definedName>
    <definedName name="CHA_BOOKED" localSheetId="26">#REF!</definedName>
    <definedName name="CHA_BOOKED" localSheetId="29">#REF!</definedName>
    <definedName name="CHA_BOOKED" localSheetId="16">#REF!</definedName>
    <definedName name="CHA_BOOKED" localSheetId="20">#REF!</definedName>
    <definedName name="CHA_BOOKED" localSheetId="43">#REF!</definedName>
    <definedName name="CHA_BOOKED">#REF!</definedName>
    <definedName name="CHINA_PLASTIC_in_KUSD" localSheetId="26">#REF!</definedName>
    <definedName name="CHINA_PLASTIC_in_KUSD" localSheetId="33">#REF!</definedName>
    <definedName name="CHINA_PLASTIC_in_KUSD" localSheetId="17">#REF!</definedName>
    <definedName name="CHINA_PLASTIC_in_KUSD" localSheetId="48">#REF!</definedName>
    <definedName name="CHINA_PLASTIC_in_KUSD" localSheetId="29">#REF!</definedName>
    <definedName name="CHINA_PLASTIC_in_KUSD" localSheetId="3">#REF!</definedName>
    <definedName name="CHINA_PLASTIC_in_KUSD" localSheetId="35">#REF!</definedName>
    <definedName name="CHINA_PLASTIC_in_KUSD" localSheetId="16">#REF!</definedName>
    <definedName name="CHINA_PLASTIC_in_KUSD" localSheetId="19">#REF!</definedName>
    <definedName name="CHINA_PLASTIC_in_KUSD" localSheetId="20">#REF!</definedName>
    <definedName name="CHINA_PLASTIC_in_KUSD" localSheetId="43">#REF!</definedName>
    <definedName name="CHINA_PLASTIC_in_KUSD">#REF!</definedName>
    <definedName name="Civil" localSheetId="26">#REF!</definedName>
    <definedName name="Civil" localSheetId="29">#REF!</definedName>
    <definedName name="Civil" localSheetId="16">#REF!</definedName>
    <definedName name="Civil" localSheetId="20">#REF!</definedName>
    <definedName name="Civil" localSheetId="43">#REF!</definedName>
    <definedName name="Civil">#REF!</definedName>
    <definedName name="CLIENT_NAME" localSheetId="26">#REF!</definedName>
    <definedName name="CLIENT_NAME" localSheetId="33">#REF!</definedName>
    <definedName name="CLIENT_NAME" localSheetId="17">#REF!</definedName>
    <definedName name="CLIENT_NAME" localSheetId="29">#REF!</definedName>
    <definedName name="CLIENT_NAME" localSheetId="3">#REF!</definedName>
    <definedName name="CLIENT_NAME" localSheetId="16">#REF!</definedName>
    <definedName name="CLIENT_NAME" localSheetId="19">#REF!</definedName>
    <definedName name="CLIENT_NAME" localSheetId="20">#REF!</definedName>
    <definedName name="CLIENT_NAME" localSheetId="43">#REF!</definedName>
    <definedName name="CLIENT_NAME">#REF!</definedName>
    <definedName name="CM" localSheetId="26">#REF!</definedName>
    <definedName name="CM" localSheetId="33">#REF!</definedName>
    <definedName name="CM" localSheetId="17">#REF!</definedName>
    <definedName name="CM" localSheetId="29">#REF!</definedName>
    <definedName name="CM" localSheetId="3">#REF!</definedName>
    <definedName name="CM" localSheetId="16">#REF!</definedName>
    <definedName name="CM" localSheetId="19">#REF!</definedName>
    <definedName name="CM" localSheetId="20">#REF!</definedName>
    <definedName name="CM" localSheetId="43">#REF!</definedName>
    <definedName name="CM">#REF!</definedName>
    <definedName name="CMH" localSheetId="48"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localSheetId="18"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localSheetId="1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localSheetId="2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localSheetId="16"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localSheetId="2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OA" localSheetId="26">#REF!</definedName>
    <definedName name="COA" localSheetId="33">#REF!</definedName>
    <definedName name="COA" localSheetId="17">#REF!</definedName>
    <definedName name="COA" localSheetId="29">#REF!</definedName>
    <definedName name="COA" localSheetId="3">#REF!</definedName>
    <definedName name="COA" localSheetId="16">#REF!</definedName>
    <definedName name="COA" localSheetId="19">#REF!</definedName>
    <definedName name="COA" localSheetId="20">#REF!</definedName>
    <definedName name="COA" localSheetId="43">#REF!</definedName>
    <definedName name="COA">#REF!</definedName>
    <definedName name="CoAdd">[33]Masters!$C$4</definedName>
    <definedName name="COGS_Jan04" localSheetId="26">#REF!</definedName>
    <definedName name="COGS_Jan04" localSheetId="18">#REF!</definedName>
    <definedName name="COGS_Jan04" localSheetId="29">#REF!</definedName>
    <definedName name="COGS_Jan04" localSheetId="16">#REF!</definedName>
    <definedName name="COGS_Jan04" localSheetId="20">#REF!</definedName>
    <definedName name="COGS_Jan04" localSheetId="43">#REF!</definedName>
    <definedName name="COGS_Jan04">#REF!</definedName>
    <definedName name="ColumnAttributes1" localSheetId="26">#REF!</definedName>
    <definedName name="ColumnAttributes1" localSheetId="33">#REF!</definedName>
    <definedName name="ColumnAttributes1" localSheetId="17">#REF!</definedName>
    <definedName name="ColumnAttributes1" localSheetId="29">#REF!</definedName>
    <definedName name="ColumnAttributes1" localSheetId="3">#REF!</definedName>
    <definedName name="ColumnAttributes1" localSheetId="16">#REF!</definedName>
    <definedName name="ColumnAttributes1" localSheetId="19">#REF!</definedName>
    <definedName name="ColumnAttributes1" localSheetId="20">#REF!</definedName>
    <definedName name="ColumnAttributes1" localSheetId="43">#REF!</definedName>
    <definedName name="ColumnAttributes1">#REF!</definedName>
    <definedName name="ColumnHeadings1" localSheetId="26">#REF!</definedName>
    <definedName name="ColumnHeadings1" localSheetId="33">#REF!</definedName>
    <definedName name="ColumnHeadings1" localSheetId="17">#REF!</definedName>
    <definedName name="ColumnHeadings1" localSheetId="29">#REF!</definedName>
    <definedName name="ColumnHeadings1" localSheetId="3">#REF!</definedName>
    <definedName name="ColumnHeadings1" localSheetId="16">#REF!</definedName>
    <definedName name="ColumnHeadings1" localSheetId="19">#REF!</definedName>
    <definedName name="ColumnHeadings1" localSheetId="20">#REF!</definedName>
    <definedName name="ColumnHeadings1" localSheetId="43">#REF!</definedName>
    <definedName name="ColumnHeadings1">#REF!</definedName>
    <definedName name="Commission" localSheetId="26">#REF!</definedName>
    <definedName name="Commission" localSheetId="33">#REF!</definedName>
    <definedName name="Commission" localSheetId="17">#REF!</definedName>
    <definedName name="Commission" localSheetId="29">#REF!</definedName>
    <definedName name="Commission" localSheetId="3">#REF!</definedName>
    <definedName name="Commission" localSheetId="16">#REF!</definedName>
    <definedName name="Commission" localSheetId="19">#REF!</definedName>
    <definedName name="Commission" localSheetId="20">#REF!</definedName>
    <definedName name="Commission" localSheetId="43">#REF!</definedName>
    <definedName name="Commission">#REF!</definedName>
    <definedName name="COMPRAS" localSheetId="26">#REF!,#REF!,#REF!,#REF!,#REF!,#REF!</definedName>
    <definedName name="COMPRAS" localSheetId="33">#REF!,#REF!,#REF!,#REF!,#REF!,#REF!</definedName>
    <definedName name="COMPRAS" localSheetId="17">#REF!,#REF!,#REF!,#REF!,#REF!,#REF!</definedName>
    <definedName name="COMPRAS" localSheetId="29">#REF!,#REF!,#REF!,#REF!,#REF!,#REF!</definedName>
    <definedName name="COMPRAS" localSheetId="3">#REF!,#REF!,#REF!,#REF!,#REF!,#REF!</definedName>
    <definedName name="COMPRAS" localSheetId="16">#REF!,#REF!,#REF!,#REF!,#REF!,#REF!</definedName>
    <definedName name="COMPRAS" localSheetId="19">#REF!,#REF!,#REF!,#REF!,#REF!,#REF!</definedName>
    <definedName name="COMPRAS" localSheetId="20">#REF!,#REF!,#REF!,#REF!,#REF!,#REF!</definedName>
    <definedName name="COMPRAS" localSheetId="43">#REF!,#REF!,#REF!,#REF!,#REF!,#REF!</definedName>
    <definedName name="COMPRAS">#REF!,#REF!,#REF!,#REF!,#REF!,#REF!</definedName>
    <definedName name="CoName" localSheetId="48">[33]Masters!$C$3</definedName>
    <definedName name="CoName" localSheetId="35">[33]Masters!$C$3</definedName>
    <definedName name="CoName">[33]Masters!$C$3</definedName>
    <definedName name="CONS1" localSheetId="26">#REF!</definedName>
    <definedName name="CONS1" localSheetId="18">#REF!</definedName>
    <definedName name="CONS1" localSheetId="29">#REF!</definedName>
    <definedName name="CONS1" localSheetId="16">#REF!</definedName>
    <definedName name="CONS1" localSheetId="20">#REF!</definedName>
    <definedName name="CONS1" localSheetId="43">#REF!</definedName>
    <definedName name="CONS1">#REF!</definedName>
    <definedName name="CONS2" localSheetId="26">#REF!</definedName>
    <definedName name="CONS2" localSheetId="29">#REF!</definedName>
    <definedName name="CONS2" localSheetId="16">#REF!</definedName>
    <definedName name="CONS2" localSheetId="20">#REF!</definedName>
    <definedName name="CONS2" localSheetId="43">#REF!</definedName>
    <definedName name="CONS2">#REF!</definedName>
    <definedName name="CONS3">#N/A</definedName>
    <definedName name="CONS4" localSheetId="26">#REF!</definedName>
    <definedName name="CONS4" localSheetId="18">#REF!</definedName>
    <definedName name="CONS4" localSheetId="29">#REF!</definedName>
    <definedName name="CONS4" localSheetId="16">#REF!</definedName>
    <definedName name="CONS4" localSheetId="20">#REF!</definedName>
    <definedName name="CONS4" localSheetId="43">#REF!</definedName>
    <definedName name="CONS4">#REF!</definedName>
    <definedName name="CONTABLE" localSheetId="26">#REF!</definedName>
    <definedName name="CONTABLE" localSheetId="33">#REF!</definedName>
    <definedName name="CONTABLE" localSheetId="17">#REF!</definedName>
    <definedName name="CONTABLE" localSheetId="29">#REF!</definedName>
    <definedName name="CONTABLE" localSheetId="3">#REF!</definedName>
    <definedName name="CONTABLE" localSheetId="16">#REF!</definedName>
    <definedName name="CONTABLE" localSheetId="19">#REF!</definedName>
    <definedName name="CONTABLE" localSheetId="20">#REF!</definedName>
    <definedName name="CONTABLE" localSheetId="43">#REF!</definedName>
    <definedName name="CONTABLE">#REF!</definedName>
    <definedName name="contlac" localSheetId="26">[14]COMICRO!#REF!</definedName>
    <definedName name="contlac" localSheetId="33">[14]COMICRO!#REF!</definedName>
    <definedName name="contlac" localSheetId="17">[14]COMICRO!#REF!</definedName>
    <definedName name="contlac" localSheetId="48">[14]COMICRO!#REF!</definedName>
    <definedName name="contlac" localSheetId="18">[14]COMICRO!#REF!</definedName>
    <definedName name="contlac" localSheetId="29">[14]COMICRO!#REF!</definedName>
    <definedName name="contlac" localSheetId="35">[14]COMICRO!#REF!</definedName>
    <definedName name="contlac" localSheetId="16">[14]COMICRO!#REF!</definedName>
    <definedName name="contlac" localSheetId="5">[14]COMICRO!#REF!</definedName>
    <definedName name="contlac" localSheetId="19">[14]COMICRO!#REF!</definedName>
    <definedName name="contlac" localSheetId="20">[14]COMICRO!#REF!</definedName>
    <definedName name="contlac" localSheetId="43">[14]COMICRO!#REF!</definedName>
    <definedName name="contlac">[14]COMICRO!#REF!</definedName>
    <definedName name="contractor" localSheetId="26">#REF!</definedName>
    <definedName name="contractor" localSheetId="33">#REF!</definedName>
    <definedName name="contractor" localSheetId="17">#REF!</definedName>
    <definedName name="contractor" localSheetId="48">#REF!</definedName>
    <definedName name="contractor" localSheetId="29">#REF!</definedName>
    <definedName name="contractor" localSheetId="3">#REF!</definedName>
    <definedName name="contractor" localSheetId="35">#REF!</definedName>
    <definedName name="contractor" localSheetId="16">#REF!</definedName>
    <definedName name="contractor" localSheetId="5">#REF!</definedName>
    <definedName name="contractor" localSheetId="19">#REF!</definedName>
    <definedName name="contractor" localSheetId="20">#REF!</definedName>
    <definedName name="contractor" localSheetId="43">#REF!</definedName>
    <definedName name="contractor">#REF!</definedName>
    <definedName name="Conveyance" localSheetId="26">#REF!</definedName>
    <definedName name="Conveyance" localSheetId="33">#REF!</definedName>
    <definedName name="Conveyance" localSheetId="17">#REF!</definedName>
    <definedName name="Conveyance" localSheetId="48">#REF!</definedName>
    <definedName name="Conveyance" localSheetId="29">#REF!</definedName>
    <definedName name="Conveyance" localSheetId="3">#REF!</definedName>
    <definedName name="Conveyance" localSheetId="35">#REF!</definedName>
    <definedName name="Conveyance" localSheetId="16">#REF!</definedName>
    <definedName name="Conveyance" localSheetId="5">#REF!</definedName>
    <definedName name="Conveyance" localSheetId="19">#REF!</definedName>
    <definedName name="Conveyance" localSheetId="20">#REF!</definedName>
    <definedName name="Conveyance" localSheetId="43">#REF!</definedName>
    <definedName name="Conveyance">#REF!</definedName>
    <definedName name="COST" localSheetId="26">#REF!</definedName>
    <definedName name="COST" localSheetId="33">#REF!</definedName>
    <definedName name="COST" localSheetId="17">#REF!</definedName>
    <definedName name="COST" localSheetId="48">#REF!</definedName>
    <definedName name="COST" localSheetId="29">#REF!</definedName>
    <definedName name="COST" localSheetId="3">#REF!</definedName>
    <definedName name="COST" localSheetId="35">#REF!</definedName>
    <definedName name="COST" localSheetId="16">#REF!</definedName>
    <definedName name="COST" localSheetId="19">#REF!</definedName>
    <definedName name="COST" localSheetId="20">#REF!</definedName>
    <definedName name="COST" localSheetId="43">#REF!</definedName>
    <definedName name="COST">#REF!</definedName>
    <definedName name="Cost_Budget_01" localSheetId="26">#REF!</definedName>
    <definedName name="Cost_Budget_01" localSheetId="29">#REF!</definedName>
    <definedName name="Cost_Budget_01" localSheetId="16">#REF!</definedName>
    <definedName name="Cost_Budget_01" localSheetId="20">#REF!</definedName>
    <definedName name="Cost_Budget_01" localSheetId="43">#REF!</definedName>
    <definedName name="Cost_Budget_01">#REF!</definedName>
    <definedName name="cost_calcn" localSheetId="26">#REF!</definedName>
    <definedName name="cost_calcn" localSheetId="33">#REF!</definedName>
    <definedName name="cost_calcn" localSheetId="17">#REF!</definedName>
    <definedName name="cost_calcn" localSheetId="29">#REF!</definedName>
    <definedName name="cost_calcn" localSheetId="3">#REF!</definedName>
    <definedName name="cost_calcn" localSheetId="16">#REF!</definedName>
    <definedName name="cost_calcn" localSheetId="19">#REF!</definedName>
    <definedName name="cost_calcn" localSheetId="20">#REF!</definedName>
    <definedName name="cost_calcn" localSheetId="43">#REF!</definedName>
    <definedName name="cost_calcn">#REF!</definedName>
    <definedName name="Cost_Center" localSheetId="26">#REF!</definedName>
    <definedName name="Cost_Center" localSheetId="33">#REF!</definedName>
    <definedName name="Cost_Center" localSheetId="17">#REF!</definedName>
    <definedName name="Cost_Center" localSheetId="29">#REF!</definedName>
    <definedName name="Cost_Center" localSheetId="3">#REF!</definedName>
    <definedName name="Cost_Center" localSheetId="16">#REF!</definedName>
    <definedName name="Cost_Center" localSheetId="19">#REF!</definedName>
    <definedName name="Cost_Center" localSheetId="20">#REF!</definedName>
    <definedName name="Cost_Center" localSheetId="43">#REF!</definedName>
    <definedName name="Cost_Center">#REF!</definedName>
    <definedName name="cost_sept" localSheetId="26">#REF!</definedName>
    <definedName name="cost_sept" localSheetId="29">#REF!</definedName>
    <definedName name="cost_sept" localSheetId="16">#REF!</definedName>
    <definedName name="cost_sept" localSheetId="20">#REF!</definedName>
    <definedName name="cost_sept" localSheetId="43">#REF!</definedName>
    <definedName name="cost_sept">#REF!</definedName>
    <definedName name="CoStatus">[33]Masters!$C$7</definedName>
    <definedName name="CostCentre">'[40]06-07 Detail'!$BK$2:$BK$17</definedName>
    <definedName name="COUNTER" localSheetId="26">#REF!</definedName>
    <definedName name="COUNTER" localSheetId="33">#REF!</definedName>
    <definedName name="COUNTER" localSheetId="17">#REF!</definedName>
    <definedName name="COUNTER" localSheetId="48">#REF!</definedName>
    <definedName name="COUNTER" localSheetId="29">#REF!</definedName>
    <definedName name="COUNTER" localSheetId="3">#REF!</definedName>
    <definedName name="COUNTER" localSheetId="35">#REF!</definedName>
    <definedName name="COUNTER" localSheetId="16">#REF!</definedName>
    <definedName name="COUNTER" localSheetId="5">#REF!</definedName>
    <definedName name="COUNTER" localSheetId="19">#REF!</definedName>
    <definedName name="COUNTER" localSheetId="20">#REF!</definedName>
    <definedName name="COUNTER" localSheetId="43">#REF!</definedName>
    <definedName name="COUNTER">#REF!</definedName>
    <definedName name="COUNTRY" localSheetId="26">#REF!</definedName>
    <definedName name="COUNTRY" localSheetId="33">#REF!</definedName>
    <definedName name="COUNTRY" localSheetId="17">#REF!</definedName>
    <definedName name="COUNTRY" localSheetId="29">#REF!</definedName>
    <definedName name="COUNTRY" localSheetId="3">#REF!</definedName>
    <definedName name="COUNTRY" localSheetId="16">#REF!</definedName>
    <definedName name="COUNTRY" localSheetId="19">#REF!</definedName>
    <definedName name="COUNTRY" localSheetId="20">#REF!</definedName>
    <definedName name="COUNTRY" localSheetId="43">#REF!</definedName>
    <definedName name="COUNTRY">#REF!</definedName>
    <definedName name="CPD_LY_Admn_ACT" localSheetId="26">[28]exp!$BM$136:$CK$148</definedName>
    <definedName name="CPD_LY_Admn_ACT" localSheetId="23">[29]exp!$BM$136:$CK$148</definedName>
    <definedName name="CPD_LY_Admn_ACT" localSheetId="43">[28]exp!$BM$136:$CK$148</definedName>
    <definedName name="CPD_LY_Admn_ACT">[30]exp!$BM$136:$CK$148</definedName>
    <definedName name="CPD_LY_Dist_Act" localSheetId="26">[28]exp!$BM$162:$CK$181</definedName>
    <definedName name="CPD_LY_Dist_Act" localSheetId="23">[29]exp!$BM$162:$CK$181</definedName>
    <definedName name="CPD_LY_Dist_Act" localSheetId="43">[28]exp!$BM$162:$CK$181</definedName>
    <definedName name="CPD_LY_Dist_Act">[30]exp!$BM$162:$CK$181</definedName>
    <definedName name="CPD_LY_EM_Act" localSheetId="26">[28]exp!$BM$304:$CK$313</definedName>
    <definedName name="CPD_LY_EM_Act" localSheetId="23">[29]exp!$BM$304:$CK$313</definedName>
    <definedName name="CPD_LY_EM_Act" localSheetId="43">[28]exp!$BM$304:$CK$313</definedName>
    <definedName name="CPD_LY_EM_Act">[30]exp!$BM$304:$CK$313</definedName>
    <definedName name="CPD_LY_Export_Act" localSheetId="26">[28]exp!$BM$295:$CK$300</definedName>
    <definedName name="CPD_LY_Export_Act" localSheetId="23">[29]exp!$BM$295:$CK$300</definedName>
    <definedName name="CPD_LY_Export_Act" localSheetId="43">[28]exp!$BM$295:$CK$300</definedName>
    <definedName name="CPD_LY_Export_Act">[30]exp!$BM$295:$CK$300</definedName>
    <definedName name="CPD_LY_MKT_ACT" localSheetId="26">[28]exp!$BM$97:$CK$125</definedName>
    <definedName name="CPD_LY_MKT_ACT" localSheetId="23">[29]exp!$BM$97:$CK$125</definedName>
    <definedName name="CPD_LY_MKT_ACT" localSheetId="43">[28]exp!$BM$97:$CK$125</definedName>
    <definedName name="CPD_LY_MKT_ACT">[30]exp!$BM$97:$CK$125</definedName>
    <definedName name="CPD_LY_Prod_Act" localSheetId="26">[28]exp!$BM$186:$CK$272</definedName>
    <definedName name="CPD_LY_Prod_Act" localSheetId="23">[29]exp!$BM$186:$CK$272</definedName>
    <definedName name="CPD_LY_Prod_Act" localSheetId="43">[28]exp!$BM$186:$CK$272</definedName>
    <definedName name="CPD_LY_Prod_Act">[30]exp!$BM$186:$CK$272</definedName>
    <definedName name="CPL" localSheetId="26">#REF!</definedName>
    <definedName name="CPL" localSheetId="18">#REF!</definedName>
    <definedName name="CPL" localSheetId="29">#REF!</definedName>
    <definedName name="CPL" localSheetId="16">#REF!</definedName>
    <definedName name="CPL" localSheetId="20">#REF!</definedName>
    <definedName name="CPL" localSheetId="43">#REF!</definedName>
    <definedName name="CPL">#REF!</definedName>
    <definedName name="cpp" hidden="1">[41]Exports!$S$190:$S$192</definedName>
    <definedName name="CR" localSheetId="26">#REF!</definedName>
    <definedName name="CR" localSheetId="18">#REF!</definedName>
    <definedName name="CR" localSheetId="29">#REF!</definedName>
    <definedName name="CR" localSheetId="16">#REF!</definedName>
    <definedName name="CR" localSheetId="20">#REF!</definedName>
    <definedName name="CR" localSheetId="43">#REF!</definedName>
    <definedName name="CR">#REF!</definedName>
    <definedName name="Cr_Acct" localSheetId="26">#REF!</definedName>
    <definedName name="Cr_Acct" localSheetId="29">#REF!</definedName>
    <definedName name="Cr_Acct" localSheetId="16">#REF!</definedName>
    <definedName name="Cr_Acct" localSheetId="20">#REF!</definedName>
    <definedName name="Cr_Acct" localSheetId="43">#REF!</definedName>
    <definedName name="Cr_Acct">#REF!</definedName>
    <definedName name="craex" localSheetId="26">#REF!</definedName>
    <definedName name="craex" localSheetId="29">#REF!</definedName>
    <definedName name="craex" localSheetId="16">#REF!</definedName>
    <definedName name="craex" localSheetId="20">#REF!</definedName>
    <definedName name="craex" localSheetId="43">#REF!</definedName>
    <definedName name="craex">#REF!</definedName>
    <definedName name="crbex" localSheetId="26">#REF!</definedName>
    <definedName name="crbex" localSheetId="29">#REF!</definedName>
    <definedName name="crbex" localSheetId="16">#REF!</definedName>
    <definedName name="crbex" localSheetId="20">#REF!</definedName>
    <definedName name="crbex" localSheetId="43">#REF!</definedName>
    <definedName name="crbex">#REF!</definedName>
    <definedName name="CRESAL">[42]Enero!$T$12:$V$23</definedName>
    <definedName name="CRM" localSheetId="26">#REF!</definedName>
    <definedName name="CRM" localSheetId="18">#REF!</definedName>
    <definedName name="CRM" localSheetId="29">#REF!</definedName>
    <definedName name="CRM" localSheetId="16">#REF!</definedName>
    <definedName name="CRM" localSheetId="20">#REF!</definedName>
    <definedName name="CRM" localSheetId="43">#REF!</definedName>
    <definedName name="CRM">#REF!</definedName>
    <definedName name="crpex" localSheetId="26">#REF!</definedName>
    <definedName name="crpex" localSheetId="29">#REF!</definedName>
    <definedName name="crpex" localSheetId="16">#REF!</definedName>
    <definedName name="crpex" localSheetId="20">#REF!</definedName>
    <definedName name="crpex" localSheetId="43">#REF!</definedName>
    <definedName name="crpex">#REF!</definedName>
    <definedName name="CRS" localSheetId="26">#REF!</definedName>
    <definedName name="CRS" localSheetId="29">#REF!</definedName>
    <definedName name="CRS" localSheetId="16">#REF!</definedName>
    <definedName name="CRS" localSheetId="20">#REF!</definedName>
    <definedName name="CRS" localSheetId="43">#REF!</definedName>
    <definedName name="CRS">#REF!</definedName>
    <definedName name="csDesignMode">1</definedName>
    <definedName name="CTL" localSheetId="26">#REF!</definedName>
    <definedName name="CTL" localSheetId="29">#REF!</definedName>
    <definedName name="CTL" localSheetId="16">#REF!</definedName>
    <definedName name="CTL" localSheetId="20">#REF!</definedName>
    <definedName name="CTL" localSheetId="43">#REF!</definedName>
    <definedName name="CTL">#REF!</definedName>
    <definedName name="Cum_1995" localSheetId="26">#REF!</definedName>
    <definedName name="Cum_1995" localSheetId="33">#REF!</definedName>
    <definedName name="Cum_1995" localSheetId="17">#REF!</definedName>
    <definedName name="Cum_1995" localSheetId="29">#REF!</definedName>
    <definedName name="Cum_1995" localSheetId="3">#REF!</definedName>
    <definedName name="Cum_1995" localSheetId="16">#REF!</definedName>
    <definedName name="Cum_1995" localSheetId="19">#REF!</definedName>
    <definedName name="Cum_1995" localSheetId="20">#REF!</definedName>
    <definedName name="Cum_1995" localSheetId="43">#REF!</definedName>
    <definedName name="Cum_1995">#REF!</definedName>
    <definedName name="Cum_Actl" localSheetId="26">#REF!</definedName>
    <definedName name="Cum_Actl" localSheetId="33">#REF!</definedName>
    <definedName name="Cum_Actl" localSheetId="17">#REF!</definedName>
    <definedName name="Cum_Actl" localSheetId="29">#REF!</definedName>
    <definedName name="Cum_Actl" localSheetId="3">#REF!</definedName>
    <definedName name="Cum_Actl" localSheetId="16">#REF!</definedName>
    <definedName name="Cum_Actl" localSheetId="19">#REF!</definedName>
    <definedName name="Cum_Actl" localSheetId="20">#REF!</definedName>
    <definedName name="Cum_Actl" localSheetId="43">#REF!</definedName>
    <definedName name="Cum_Actl">#REF!</definedName>
    <definedName name="Cum_Plan" localSheetId="26">#REF!</definedName>
    <definedName name="Cum_Plan" localSheetId="33">#REF!</definedName>
    <definedName name="Cum_Plan" localSheetId="17">#REF!</definedName>
    <definedName name="Cum_Plan" localSheetId="29">#REF!</definedName>
    <definedName name="Cum_Plan" localSheetId="3">#REF!</definedName>
    <definedName name="Cum_Plan" localSheetId="16">#REF!</definedName>
    <definedName name="Cum_Plan" localSheetId="19">#REF!</definedName>
    <definedName name="Cum_Plan" localSheetId="20">#REF!</definedName>
    <definedName name="Cum_Plan" localSheetId="43">#REF!</definedName>
    <definedName name="Cum_Plan">#REF!</definedName>
    <definedName name="Current_Month" localSheetId="26">[43]Staffing!#REF!</definedName>
    <definedName name="Current_Month" localSheetId="33">[43]Staffing!#REF!</definedName>
    <definedName name="Current_Month" localSheetId="17">[43]Staffing!#REF!</definedName>
    <definedName name="Current_Month" localSheetId="18">[43]Staffing!#REF!</definedName>
    <definedName name="Current_Month" localSheetId="29">[43]Staffing!#REF!</definedName>
    <definedName name="Current_Month" localSheetId="3">[43]Staffing!#REF!</definedName>
    <definedName name="Current_Month" localSheetId="16">[43]Staffing!#REF!</definedName>
    <definedName name="Current_Month" localSheetId="19">[43]Staffing!#REF!</definedName>
    <definedName name="Current_Month" localSheetId="20">[43]Staffing!#REF!</definedName>
    <definedName name="Current_Month" localSheetId="43">[43]Staffing!#REF!</definedName>
    <definedName name="Current_Month">[43]Staffing!#REF!</definedName>
    <definedName name="Current_Sal" localSheetId="26">#REF!</definedName>
    <definedName name="Current_Sal" localSheetId="33">#REF!</definedName>
    <definedName name="Current_Sal" localSheetId="17">#REF!</definedName>
    <definedName name="Current_Sal" localSheetId="48">#REF!</definedName>
    <definedName name="Current_Sal" localSheetId="29">#REF!</definedName>
    <definedName name="Current_Sal" localSheetId="3">#REF!</definedName>
    <definedName name="Current_Sal" localSheetId="35">#REF!</definedName>
    <definedName name="Current_Sal" localSheetId="16">#REF!</definedName>
    <definedName name="Current_Sal" localSheetId="5">#REF!</definedName>
    <definedName name="Current_Sal" localSheetId="19">#REF!</definedName>
    <definedName name="Current_Sal" localSheetId="20">#REF!</definedName>
    <definedName name="Current_Sal" localSheetId="43">#REF!</definedName>
    <definedName name="Current_Sal">#REF!</definedName>
    <definedName name="Current_YTD" localSheetId="26">[43]Staffing!#REF!</definedName>
    <definedName name="Current_YTD" localSheetId="33">[43]Staffing!#REF!</definedName>
    <definedName name="Current_YTD" localSheetId="17">[43]Staffing!#REF!</definedName>
    <definedName name="Current_YTD" localSheetId="18">[43]Staffing!#REF!</definedName>
    <definedName name="Current_YTD" localSheetId="29">[43]Staffing!#REF!</definedName>
    <definedName name="Current_YTD" localSheetId="3">[43]Staffing!#REF!</definedName>
    <definedName name="Current_YTD" localSheetId="16">[43]Staffing!#REF!</definedName>
    <definedName name="Current_YTD" localSheetId="19">[43]Staffing!#REF!</definedName>
    <definedName name="Current_YTD" localSheetId="20">[43]Staffing!#REF!</definedName>
    <definedName name="Current_YTD" localSheetId="43">[43]Staffing!#REF!</definedName>
    <definedName name="Current_YTD">[43]Staffing!#REF!</definedName>
    <definedName name="CY_Variance" localSheetId="26">#REF!</definedName>
    <definedName name="CY_Variance" localSheetId="33">#REF!</definedName>
    <definedName name="CY_Variance" localSheetId="17">#REF!</definedName>
    <definedName name="CY_Variance" localSheetId="29">#REF!</definedName>
    <definedName name="CY_Variance" localSheetId="3">#REF!</definedName>
    <definedName name="CY_Variance" localSheetId="16">#REF!</definedName>
    <definedName name="CY_Variance" localSheetId="19">#REF!</definedName>
    <definedName name="CY_Variance" localSheetId="20">#REF!</definedName>
    <definedName name="CY_Variance" localSheetId="43">#REF!</definedName>
    <definedName name="CY_Variance">#REF!</definedName>
    <definedName name="D" localSheetId="26">#REF!</definedName>
    <definedName name="D" localSheetId="33">#REF!</definedName>
    <definedName name="D" localSheetId="17">#REF!</definedName>
    <definedName name="D" localSheetId="48">#REF!</definedName>
    <definedName name="D" localSheetId="29">#REF!</definedName>
    <definedName name="D" localSheetId="3">#REF!</definedName>
    <definedName name="D" localSheetId="35">#REF!</definedName>
    <definedName name="D" localSheetId="16">#REF!</definedName>
    <definedName name="D" localSheetId="19">#REF!</definedName>
    <definedName name="D" localSheetId="20">#REF!</definedName>
    <definedName name="D" localSheetId="43">#REF!</definedName>
    <definedName name="D">#REF!</definedName>
    <definedName name="D_TRL" localSheetId="26">#REF!</definedName>
    <definedName name="D_TRL" localSheetId="33">#REF!</definedName>
    <definedName name="D_TRL" localSheetId="17">#REF!</definedName>
    <definedName name="D_TRL" localSheetId="29">#REF!</definedName>
    <definedName name="D_TRL" localSheetId="3">#REF!</definedName>
    <definedName name="D_TRL" localSheetId="16">#REF!</definedName>
    <definedName name="D_TRL" localSheetId="5">#REF!</definedName>
    <definedName name="D_TRL" localSheetId="19">#REF!</definedName>
    <definedName name="D_TRL" localSheetId="20">#REF!</definedName>
    <definedName name="D_TRL" localSheetId="43">#REF!</definedName>
    <definedName name="D_TRL">#REF!</definedName>
    <definedName name="DAT">[11]Sheet1!$N$2:$N$29</definedName>
    <definedName name="Data" localSheetId="26">#REF!</definedName>
    <definedName name="Data" localSheetId="18">#REF!</definedName>
    <definedName name="Data" localSheetId="29">#REF!</definedName>
    <definedName name="Data" localSheetId="16">#REF!</definedName>
    <definedName name="Data" localSheetId="20">#REF!</definedName>
    <definedName name="Data" localSheetId="43">#REF!</definedName>
    <definedName name="Data">#REF!</definedName>
    <definedName name="data_1" localSheetId="26">#REF!</definedName>
    <definedName name="data_1" localSheetId="29">#REF!</definedName>
    <definedName name="data_1" localSheetId="16">#REF!</definedName>
    <definedName name="data_1" localSheetId="20">#REF!</definedName>
    <definedName name="data_1" localSheetId="43">#REF!</definedName>
    <definedName name="data_1">#REF!</definedName>
    <definedName name="DATA1" localSheetId="26">#REF!</definedName>
    <definedName name="DATA1" localSheetId="29">#REF!</definedName>
    <definedName name="DATA1" localSheetId="16">#REF!</definedName>
    <definedName name="DATA1" localSheetId="20">#REF!</definedName>
    <definedName name="DATA1" localSheetId="43">#REF!</definedName>
    <definedName name="DATA1">#REF!</definedName>
    <definedName name="DATA10" localSheetId="26">#REF!</definedName>
    <definedName name="DATA10" localSheetId="29">#REF!</definedName>
    <definedName name="DATA10" localSheetId="16">#REF!</definedName>
    <definedName name="DATA10" localSheetId="20">#REF!</definedName>
    <definedName name="DATA10" localSheetId="43">#REF!</definedName>
    <definedName name="DATA10">#REF!</definedName>
    <definedName name="DATA11" localSheetId="26">#REF!</definedName>
    <definedName name="DATA11" localSheetId="29">#REF!</definedName>
    <definedName name="DATA11" localSheetId="16">#REF!</definedName>
    <definedName name="DATA11" localSheetId="20">#REF!</definedName>
    <definedName name="DATA11" localSheetId="43">#REF!</definedName>
    <definedName name="DATA11">#REF!</definedName>
    <definedName name="DATA12" localSheetId="26">#REF!</definedName>
    <definedName name="DATA12" localSheetId="29">#REF!</definedName>
    <definedName name="DATA12" localSheetId="16">#REF!</definedName>
    <definedName name="DATA12" localSheetId="20">#REF!</definedName>
    <definedName name="DATA12" localSheetId="43">#REF!</definedName>
    <definedName name="DATA12">#REF!</definedName>
    <definedName name="DATA13" localSheetId="26">#REF!</definedName>
    <definedName name="DATA13" localSheetId="29">#REF!</definedName>
    <definedName name="DATA13" localSheetId="16">#REF!</definedName>
    <definedName name="DATA13" localSheetId="20">#REF!</definedName>
    <definedName name="DATA13" localSheetId="43">#REF!</definedName>
    <definedName name="DATA13">#REF!</definedName>
    <definedName name="DATA14" localSheetId="26">#REF!</definedName>
    <definedName name="DATA14" localSheetId="29">#REF!</definedName>
    <definedName name="DATA14" localSheetId="16">#REF!</definedName>
    <definedName name="DATA14" localSheetId="20">#REF!</definedName>
    <definedName name="DATA14" localSheetId="43">#REF!</definedName>
    <definedName name="DATA14">#REF!</definedName>
    <definedName name="DATA15" localSheetId="26">#REF!</definedName>
    <definedName name="DATA15" localSheetId="29">#REF!</definedName>
    <definedName name="DATA15" localSheetId="16">#REF!</definedName>
    <definedName name="DATA15" localSheetId="20">#REF!</definedName>
    <definedName name="DATA15" localSheetId="43">#REF!</definedName>
    <definedName name="DATA15">#REF!</definedName>
    <definedName name="DATA16" localSheetId="26">#REF!</definedName>
    <definedName name="DATA16" localSheetId="29">#REF!</definedName>
    <definedName name="DATA16" localSheetId="16">#REF!</definedName>
    <definedName name="DATA16" localSheetId="20">#REF!</definedName>
    <definedName name="DATA16" localSheetId="43">#REF!</definedName>
    <definedName name="DATA16">#REF!</definedName>
    <definedName name="DATA17" localSheetId="26">#REF!</definedName>
    <definedName name="DATA17" localSheetId="29">#REF!</definedName>
    <definedName name="DATA17" localSheetId="16">#REF!</definedName>
    <definedName name="DATA17" localSheetId="20">#REF!</definedName>
    <definedName name="DATA17" localSheetId="43">#REF!</definedName>
    <definedName name="DATA17">#REF!</definedName>
    <definedName name="DATA18" localSheetId="26">#REF!</definedName>
    <definedName name="DATA18" localSheetId="29">#REF!</definedName>
    <definedName name="DATA18" localSheetId="16">#REF!</definedName>
    <definedName name="DATA18" localSheetId="20">#REF!</definedName>
    <definedName name="DATA18" localSheetId="43">#REF!</definedName>
    <definedName name="DATA18">#REF!</definedName>
    <definedName name="DATA19" localSheetId="26">#REF!</definedName>
    <definedName name="DATA19" localSheetId="29">#REF!</definedName>
    <definedName name="DATA19" localSheetId="16">#REF!</definedName>
    <definedName name="DATA19" localSheetId="20">#REF!</definedName>
    <definedName name="DATA19" localSheetId="43">#REF!</definedName>
    <definedName name="DATA19">#REF!</definedName>
    <definedName name="DATA2" localSheetId="26">#REF!</definedName>
    <definedName name="DATA2" localSheetId="29">#REF!</definedName>
    <definedName name="DATA2" localSheetId="16">#REF!</definedName>
    <definedName name="DATA2" localSheetId="20">#REF!</definedName>
    <definedName name="DATA2" localSheetId="43">#REF!</definedName>
    <definedName name="DATA2">#REF!</definedName>
    <definedName name="DATA20" localSheetId="26">#REF!</definedName>
    <definedName name="DATA20" localSheetId="29">#REF!</definedName>
    <definedName name="DATA20" localSheetId="16">#REF!</definedName>
    <definedName name="DATA20" localSheetId="20">#REF!</definedName>
    <definedName name="DATA20" localSheetId="43">#REF!</definedName>
    <definedName name="DATA20">#REF!</definedName>
    <definedName name="DATA21" localSheetId="26">#REF!</definedName>
    <definedName name="DATA21" localSheetId="29">#REF!</definedName>
    <definedName name="DATA21" localSheetId="16">#REF!</definedName>
    <definedName name="DATA21" localSheetId="20">#REF!</definedName>
    <definedName name="DATA21" localSheetId="43">#REF!</definedName>
    <definedName name="DATA21">#REF!</definedName>
    <definedName name="DATA22" localSheetId="26">#REF!</definedName>
    <definedName name="DATA22" localSheetId="29">#REF!</definedName>
    <definedName name="DATA22" localSheetId="16">#REF!</definedName>
    <definedName name="DATA22" localSheetId="20">#REF!</definedName>
    <definedName name="DATA22" localSheetId="43">#REF!</definedName>
    <definedName name="DATA22">#REF!</definedName>
    <definedName name="DATA23" localSheetId="26">#REF!</definedName>
    <definedName name="DATA23" localSheetId="29">#REF!</definedName>
    <definedName name="DATA23" localSheetId="16">#REF!</definedName>
    <definedName name="DATA23" localSheetId="20">#REF!</definedName>
    <definedName name="DATA23" localSheetId="43">#REF!</definedName>
    <definedName name="DATA23">#REF!</definedName>
    <definedName name="DATA24" localSheetId="26">#REF!</definedName>
    <definedName name="DATA24" localSheetId="29">#REF!</definedName>
    <definedName name="DATA24" localSheetId="16">#REF!</definedName>
    <definedName name="DATA24" localSheetId="20">#REF!</definedName>
    <definedName name="DATA24" localSheetId="43">#REF!</definedName>
    <definedName name="DATA24">#REF!</definedName>
    <definedName name="DATA25" localSheetId="26">#REF!</definedName>
    <definedName name="DATA25" localSheetId="29">#REF!</definedName>
    <definedName name="DATA25" localSheetId="16">#REF!</definedName>
    <definedName name="DATA25" localSheetId="20">#REF!</definedName>
    <definedName name="DATA25" localSheetId="43">#REF!</definedName>
    <definedName name="DATA25">#REF!</definedName>
    <definedName name="DATA26" localSheetId="26">#REF!</definedName>
    <definedName name="DATA26" localSheetId="29">#REF!</definedName>
    <definedName name="DATA26" localSheetId="16">#REF!</definedName>
    <definedName name="DATA26" localSheetId="20">#REF!</definedName>
    <definedName name="DATA26" localSheetId="43">#REF!</definedName>
    <definedName name="DATA26">#REF!</definedName>
    <definedName name="DATA3" localSheetId="26">#REF!</definedName>
    <definedName name="DATA3" localSheetId="29">#REF!</definedName>
    <definedName name="DATA3" localSheetId="16">#REF!</definedName>
    <definedName name="DATA3" localSheetId="20">#REF!</definedName>
    <definedName name="DATA3" localSheetId="43">#REF!</definedName>
    <definedName name="DATA3">#REF!</definedName>
    <definedName name="DATA4" localSheetId="26">#REF!</definedName>
    <definedName name="DATA4" localSheetId="29">#REF!</definedName>
    <definedName name="DATA4" localSheetId="16">#REF!</definedName>
    <definedName name="DATA4" localSheetId="20">#REF!</definedName>
    <definedName name="DATA4" localSheetId="43">#REF!</definedName>
    <definedName name="DATA4">#REF!</definedName>
    <definedName name="DATA5" localSheetId="26">#REF!</definedName>
    <definedName name="DATA5" localSheetId="29">#REF!</definedName>
    <definedName name="DATA5" localSheetId="16">#REF!</definedName>
    <definedName name="DATA5" localSheetId="20">#REF!</definedName>
    <definedName name="DATA5" localSheetId="43">#REF!</definedName>
    <definedName name="DATA5">#REF!</definedName>
    <definedName name="DATA6" localSheetId="26">#REF!</definedName>
    <definedName name="DATA6" localSheetId="29">#REF!</definedName>
    <definedName name="DATA6" localSheetId="16">#REF!</definedName>
    <definedName name="DATA6" localSheetId="20">#REF!</definedName>
    <definedName name="DATA6" localSheetId="43">#REF!</definedName>
    <definedName name="DATA6">#REF!</definedName>
    <definedName name="DATA7" localSheetId="26">#REF!</definedName>
    <definedName name="DATA7" localSheetId="29">#REF!</definedName>
    <definedName name="DATA7" localSheetId="16">#REF!</definedName>
    <definedName name="DATA7" localSheetId="20">#REF!</definedName>
    <definedName name="DATA7" localSheetId="43">#REF!</definedName>
    <definedName name="DATA7">#REF!</definedName>
    <definedName name="DATA8" localSheetId="26">#REF!</definedName>
    <definedName name="DATA8" localSheetId="29">#REF!</definedName>
    <definedName name="DATA8" localSheetId="16">#REF!</definedName>
    <definedName name="DATA8" localSheetId="20">#REF!</definedName>
    <definedName name="DATA8" localSheetId="43">#REF!</definedName>
    <definedName name="DATA8">#REF!</definedName>
    <definedName name="DATA9" localSheetId="26">#REF!</definedName>
    <definedName name="DATA9" localSheetId="29">#REF!</definedName>
    <definedName name="DATA9" localSheetId="16">#REF!</definedName>
    <definedName name="DATA9" localSheetId="20">#REF!</definedName>
    <definedName name="DATA9" localSheetId="43">#REF!</definedName>
    <definedName name="DATA9">#REF!</definedName>
    <definedName name="_xlnm.Database" localSheetId="26">OFFSET(#REF!,0,0,COUNTA(#REF!),14)</definedName>
    <definedName name="_xlnm.Database" localSheetId="33">OFFSET(#REF!,0,0,COUNTA(#REF!),14)</definedName>
    <definedName name="_xlnm.Database" localSheetId="17">OFFSET(#REF!,0,0,COUNTA(#REF!),14)</definedName>
    <definedName name="_xlnm.Database" localSheetId="48">OFFSET(#REF!,0,0,COUNTA(#REF!),14)</definedName>
    <definedName name="_xlnm.Database" localSheetId="29">OFFSET(#REF!,0,0,COUNTA(#REF!),14)</definedName>
    <definedName name="_xlnm.Database" localSheetId="3">OFFSET(#REF!,0,0,COUNTA(#REF!),14)</definedName>
    <definedName name="_xlnm.Database" localSheetId="35">OFFSET(#REF!,0,0,COUNTA(#REF!),14)</definedName>
    <definedName name="_xlnm.Database" localSheetId="16">OFFSET(#REF!,0,0,COUNTA(#REF!),14)</definedName>
    <definedName name="_xlnm.Database" localSheetId="5">OFFSET(#REF!,0,0,COUNTA(#REF!),14)</definedName>
    <definedName name="_xlnm.Database" localSheetId="19">OFFSET(#REF!,0,0,COUNTA(#REF!),14)</definedName>
    <definedName name="_xlnm.Database" localSheetId="20">OFFSET(#REF!,0,0,COUNTA(#REF!),14)</definedName>
    <definedName name="_xlnm.Database" localSheetId="43">OFFSET(#REF!,0,0,COUNTA(#REF!),14)</definedName>
    <definedName name="_xlnm.Database">OFFSET(#REF!,0,0,COUNTA(#REF!),14)</definedName>
    <definedName name="Date">[7]BS!$C$1</definedName>
    <definedName name="dcog" localSheetId="26">#REF!</definedName>
    <definedName name="dcog" localSheetId="18">#REF!</definedName>
    <definedName name="dcog" localSheetId="29">#REF!</definedName>
    <definedName name="dcog" localSheetId="16">#REF!</definedName>
    <definedName name="dcog" localSheetId="20">#REF!</definedName>
    <definedName name="dcog" localSheetId="43">#REF!</definedName>
    <definedName name="dcog">#REF!</definedName>
    <definedName name="debp2">[44]Sales_Eur!$DG$2:$DV$23</definedName>
    <definedName name="def" localSheetId="18">#REF!</definedName>
    <definedName name="def" localSheetId="29">#REF!</definedName>
    <definedName name="def" localSheetId="16">#REF!</definedName>
    <definedName name="def" localSheetId="20">#REF!</definedName>
    <definedName name="def">#REF!</definedName>
    <definedName name="Delhi_Graphs" localSheetId="26">#REF!</definedName>
    <definedName name="Delhi_Graphs" localSheetId="33">#REF!</definedName>
    <definedName name="Delhi_Graphs" localSheetId="17">#REF!</definedName>
    <definedName name="Delhi_Graphs" localSheetId="29">#REF!</definedName>
    <definedName name="Delhi_Graphs" localSheetId="3">#REF!</definedName>
    <definedName name="Delhi_Graphs" localSheetId="16">#REF!</definedName>
    <definedName name="Delhi_Graphs" localSheetId="19">#REF!</definedName>
    <definedName name="Delhi_Graphs" localSheetId="20">#REF!</definedName>
    <definedName name="Delhi_Graphs" localSheetId="43">#REF!</definedName>
    <definedName name="Delhi_Graphs">#REF!</definedName>
    <definedName name="DEMAND_LOANS" localSheetId="26">#REF!</definedName>
    <definedName name="DEMAND_LOANS" localSheetId="33">#REF!</definedName>
    <definedName name="DEMAND_LOANS" localSheetId="17">#REF!</definedName>
    <definedName name="DEMAND_LOANS" localSheetId="29">#REF!</definedName>
    <definedName name="DEMAND_LOANS" localSheetId="3">#REF!</definedName>
    <definedName name="DEMAND_LOANS" localSheetId="16">#REF!</definedName>
    <definedName name="DEMAND_LOANS" localSheetId="19">#REF!</definedName>
    <definedName name="DEMAND_LOANS" localSheetId="20">#REF!</definedName>
    <definedName name="DEMAND_LOANS" localSheetId="43">#REF!</definedName>
    <definedName name="DEMAND_LOANS">#REF!</definedName>
    <definedName name="Dep" localSheetId="26">OFFSET('Adjustment Working F.Y. 2021-22'!Full_Print,0,0,'Adjustment Working F.Y. 2021-22'!Last_Row)</definedName>
    <definedName name="Dep" localSheetId="23">OFFSET([0]!Full_Print,0,0,'DTA-DTL LMIL Q2 2022-23'!Last_Row)</definedName>
    <definedName name="Dep" localSheetId="43">OFFSET('Trial Balance LS'!Full_Print,0,0,'Trial Balance LS'!Last_Row)</definedName>
    <definedName name="Dep">#N/A</definedName>
    <definedName name="DEPB" localSheetId="26">#REF!</definedName>
    <definedName name="DEPB" localSheetId="18">#REF!</definedName>
    <definedName name="DEPB" localSheetId="29">#REF!</definedName>
    <definedName name="DEPB" localSheetId="16">#REF!</definedName>
    <definedName name="DEPB" localSheetId="20">#REF!</definedName>
    <definedName name="DEPB" localSheetId="43">#REF!</definedName>
    <definedName name="DEPB">#REF!</definedName>
    <definedName name="DEPB_aug" localSheetId="26">Scheduled_Payment+Extra_Payment</definedName>
    <definedName name="DEPB_aug" localSheetId="17">Scheduled_Payment+Extra_Payment</definedName>
    <definedName name="DEPB_aug" localSheetId="23">Scheduled_Payment+Extra_Payment</definedName>
    <definedName name="DEPB_aug" localSheetId="18">Scheduled_Payment+Extra_Payment</definedName>
    <definedName name="DEPB_aug" localSheetId="10">Scheduled_Payment+Extra_Payment</definedName>
    <definedName name="DEPB_aug" localSheetId="29">Scheduled_Payment+Extra_Payment</definedName>
    <definedName name="DEPB_aug" localSheetId="16">Scheduled_Payment+Extra_Payment</definedName>
    <definedName name="DEPB_aug" localSheetId="20">Scheduled_Payment+Extra_Payment</definedName>
    <definedName name="DEPB_aug" localSheetId="43">Scheduled_Payment+Extra_Payment</definedName>
    <definedName name="DEPB_aug">Scheduled_Payment+Extra_Payment</definedName>
    <definedName name="depb1">[44]Sales_Eur!$DG$2:$DV$23</definedName>
    <definedName name="depn" localSheetId="26">#REF!</definedName>
    <definedName name="depn" localSheetId="33">#REF!</definedName>
    <definedName name="depn" localSheetId="17">#REF!</definedName>
    <definedName name="depn" localSheetId="29">#REF!</definedName>
    <definedName name="depn" localSheetId="3">#REF!</definedName>
    <definedName name="depn" localSheetId="16">#REF!</definedName>
    <definedName name="depn" localSheetId="19">#REF!</definedName>
    <definedName name="depn" localSheetId="20">#REF!</definedName>
    <definedName name="depn" localSheetId="43">#REF!</definedName>
    <definedName name="depn">#REF!</definedName>
    <definedName name="DepnITax" localSheetId="26">'[45]Annexure 3A'!#REF!</definedName>
    <definedName name="DepnITax" localSheetId="23">'[45]Annexure 3A'!#REF!</definedName>
    <definedName name="DepnITax" localSheetId="18">'[45]Annexure 3A'!#REF!</definedName>
    <definedName name="DepnITax" localSheetId="29">'[45]Annexure 3A'!#REF!</definedName>
    <definedName name="DepnITax" localSheetId="16">'[45]Annexure 3A'!#REF!</definedName>
    <definedName name="DepnITax" localSheetId="20">'[45]Annexure 3A'!#REF!</definedName>
    <definedName name="DepnITax" localSheetId="43">'[45]Annexure 3A'!#REF!</definedName>
    <definedName name="DepnITax">'[45]Annexure 3A'!#REF!</definedName>
    <definedName name="Depr_Method" localSheetId="26">#REF!</definedName>
    <definedName name="Depr_Method" localSheetId="33">#REF!</definedName>
    <definedName name="Depr_Method" localSheetId="17">#REF!</definedName>
    <definedName name="Depr_Method" localSheetId="29">#REF!</definedName>
    <definedName name="Depr_Method" localSheetId="3">#REF!</definedName>
    <definedName name="Depr_Method" localSheetId="16">#REF!</definedName>
    <definedName name="Depr_Method" localSheetId="19">#REF!</definedName>
    <definedName name="Depr_Method" localSheetId="20">#REF!</definedName>
    <definedName name="Depr_Method" localSheetId="43">#REF!</definedName>
    <definedName name="Depr_Method">#REF!</definedName>
    <definedName name="Dept" localSheetId="26">#REF!</definedName>
    <definedName name="Dept" localSheetId="33">#REF!</definedName>
    <definedName name="Dept" localSheetId="17">#REF!</definedName>
    <definedName name="Dept" localSheetId="48">#REF!</definedName>
    <definedName name="Dept" localSheetId="29">#REF!</definedName>
    <definedName name="Dept" localSheetId="3">#REF!</definedName>
    <definedName name="Dept" localSheetId="35">#REF!</definedName>
    <definedName name="Dept" localSheetId="16">#REF!</definedName>
    <definedName name="Dept" localSheetId="5">#REF!</definedName>
    <definedName name="Dept" localSheetId="19">#REF!</definedName>
    <definedName name="Dept" localSheetId="20">#REF!</definedName>
    <definedName name="Dept" localSheetId="43">#REF!</definedName>
    <definedName name="Dept">#REF!</definedName>
    <definedName name="DET" localSheetId="26">[17]BE!#REF!</definedName>
    <definedName name="DET" localSheetId="33">[17]BE!#REF!</definedName>
    <definedName name="DET" localSheetId="48">[6]FOIL!#REF!</definedName>
    <definedName name="DET" localSheetId="18">[17]BE!#REF!</definedName>
    <definedName name="DET" localSheetId="29">[17]BE!#REF!</definedName>
    <definedName name="DET" localSheetId="35">[6]FOIL!#REF!</definedName>
    <definedName name="DET" localSheetId="16">[17]BE!#REF!</definedName>
    <definedName name="DET" localSheetId="5">[17]BE!#REF!</definedName>
    <definedName name="DET" localSheetId="20">[17]BE!#REF!</definedName>
    <definedName name="DET" localSheetId="43">[17]BE!#REF!</definedName>
    <definedName name="DET">[17]BE!#REF!</definedName>
    <definedName name="dfa" localSheetId="26">#REF!</definedName>
    <definedName name="dfa" localSheetId="18">#REF!</definedName>
    <definedName name="dfa" localSheetId="29">#REF!</definedName>
    <definedName name="dfa" localSheetId="16">#REF!</definedName>
    <definedName name="dfa" localSheetId="20">#REF!</definedName>
    <definedName name="dfa" localSheetId="43">#REF!</definedName>
    <definedName name="dfa">#REF!</definedName>
    <definedName name="diaex" localSheetId="26">#REF!</definedName>
    <definedName name="diaex" localSheetId="29">#REF!</definedName>
    <definedName name="diaex" localSheetId="16">#REF!</definedName>
    <definedName name="diaex" localSheetId="20">#REF!</definedName>
    <definedName name="diaex" localSheetId="43">#REF!</definedName>
    <definedName name="diaex">#REF!</definedName>
    <definedName name="dibex" localSheetId="26">#REF!</definedName>
    <definedName name="dibex" localSheetId="29">#REF!</definedName>
    <definedName name="dibex" localSheetId="16">#REF!</definedName>
    <definedName name="dibex" localSheetId="20">#REF!</definedName>
    <definedName name="dibex" localSheetId="43">#REF!</definedName>
    <definedName name="dibex">#REF!</definedName>
    <definedName name="DIESEL" localSheetId="26">#REF!</definedName>
    <definedName name="DIESEL" localSheetId="29">#REF!</definedName>
    <definedName name="DIESEL" localSheetId="16">#REF!</definedName>
    <definedName name="DIESEL" localSheetId="20">#REF!</definedName>
    <definedName name="DIESEL" localSheetId="43">#REF!</definedName>
    <definedName name="DIESEL">#REF!</definedName>
    <definedName name="diff" localSheetId="26">#REF!</definedName>
    <definedName name="diff" localSheetId="33">#REF!</definedName>
    <definedName name="diff" localSheetId="17">#REF!</definedName>
    <definedName name="diff" localSheetId="48">#REF!</definedName>
    <definedName name="diff" localSheetId="29">#REF!</definedName>
    <definedName name="diff" localSheetId="3">#REF!</definedName>
    <definedName name="diff" localSheetId="35">#REF!</definedName>
    <definedName name="diff" localSheetId="16">#REF!</definedName>
    <definedName name="diff" localSheetId="5">#REF!</definedName>
    <definedName name="diff" localSheetId="19">#REF!</definedName>
    <definedName name="diff" localSheetId="20">#REF!</definedName>
    <definedName name="diff" localSheetId="43">#REF!</definedName>
    <definedName name="diff">#REF!</definedName>
    <definedName name="Difference" localSheetId="26">#REF!</definedName>
    <definedName name="Difference" localSheetId="33">#REF!</definedName>
    <definedName name="Difference" localSheetId="17">#REF!</definedName>
    <definedName name="Difference" localSheetId="48">#REF!</definedName>
    <definedName name="Difference" localSheetId="29">#REF!</definedName>
    <definedName name="Difference" localSheetId="3">#REF!</definedName>
    <definedName name="Difference" localSheetId="35">#REF!</definedName>
    <definedName name="Difference" localSheetId="16">#REF!</definedName>
    <definedName name="Difference" localSheetId="5">#REF!</definedName>
    <definedName name="Difference" localSheetId="19">#REF!</definedName>
    <definedName name="Difference" localSheetId="20">#REF!</definedName>
    <definedName name="Difference" localSheetId="43">#REF!</definedName>
    <definedName name="Difference">#REF!</definedName>
    <definedName name="dipex" localSheetId="26">#REF!</definedName>
    <definedName name="dipex" localSheetId="29">#REF!</definedName>
    <definedName name="dipex" localSheetId="16">#REF!</definedName>
    <definedName name="dipex" localSheetId="20">#REF!</definedName>
    <definedName name="dipex" localSheetId="43">#REF!</definedName>
    <definedName name="dipex">#REF!</definedName>
    <definedName name="DiviForApproval">OFFSET('[46]Project Approval'!$P$3,1,0,COUNTA('[46]Project Approval'!$P$4:$P$21))</definedName>
    <definedName name="DOC" localSheetId="26">#REF!</definedName>
    <definedName name="DOC" localSheetId="33">#REF!</definedName>
    <definedName name="DOC" localSheetId="17">#REF!</definedName>
    <definedName name="DOC" localSheetId="29">#REF!</definedName>
    <definedName name="DOC" localSheetId="3">#REF!</definedName>
    <definedName name="DOC" localSheetId="16">#REF!</definedName>
    <definedName name="DOC" localSheetId="19">#REF!</definedName>
    <definedName name="DOC" localSheetId="20">#REF!</definedName>
    <definedName name="DOC" localSheetId="43">#REF!</definedName>
    <definedName name="DOC">#REF!</definedName>
    <definedName name="DOCKET_NO" localSheetId="26">#REF!</definedName>
    <definedName name="DOCKET_NO" localSheetId="29">#REF!</definedName>
    <definedName name="DOCKET_NO" localSheetId="16">#REF!</definedName>
    <definedName name="DOCKET_NO" localSheetId="20">#REF!</definedName>
    <definedName name="DOCKET_NO" localSheetId="43">#REF!</definedName>
    <definedName name="DOCKET_NO">#REF!</definedName>
    <definedName name="DOM" localSheetId="26">#REF!</definedName>
    <definedName name="DOM" localSheetId="29">#REF!</definedName>
    <definedName name="DOM" localSheetId="16">#REF!</definedName>
    <definedName name="DOM" localSheetId="20">#REF!</definedName>
    <definedName name="DOM" localSheetId="43">#REF!</definedName>
    <definedName name="DOM">#REF!</definedName>
    <definedName name="Dr_Acc" localSheetId="26">#REF!</definedName>
    <definedName name="Dr_Acc" localSheetId="29">#REF!</definedName>
    <definedName name="Dr_Acc" localSheetId="16">#REF!</definedName>
    <definedName name="Dr_Acc" localSheetId="20">#REF!</definedName>
    <definedName name="Dr_Acc" localSheetId="43">#REF!</definedName>
    <definedName name="Dr_Acc">#REF!</definedName>
    <definedName name="DRUCKBEREI03" localSheetId="26">#REF!</definedName>
    <definedName name="DRUCKBEREI03" localSheetId="33">#REF!</definedName>
    <definedName name="DRUCKBEREI03" localSheetId="17">#REF!</definedName>
    <definedName name="DRUCKBEREI03" localSheetId="48">#REF!</definedName>
    <definedName name="DRUCKBEREI03" localSheetId="29">#REF!</definedName>
    <definedName name="DRUCKBEREI03" localSheetId="3">#REF!</definedName>
    <definedName name="DRUCKBEREI03" localSheetId="35">#REF!</definedName>
    <definedName name="DRUCKBEREI03" localSheetId="16">#REF!</definedName>
    <definedName name="DRUCKBEREI03" localSheetId="5">#REF!</definedName>
    <definedName name="DRUCKBEREI03" localSheetId="19">#REF!</definedName>
    <definedName name="DRUCKBEREI03" localSheetId="20">#REF!</definedName>
    <definedName name="DRUCKBEREI03" localSheetId="43">#REF!</definedName>
    <definedName name="DRUCKBEREI03">#REF!</definedName>
    <definedName name="dsfsdfsdfsf" localSheetId="26">[47]QTY!#REF!</definedName>
    <definedName name="dsfsdfsdfsf" localSheetId="33">[47]QTY!#REF!</definedName>
    <definedName name="dsfsdfsdfsf" localSheetId="17">[47]QTY!#REF!</definedName>
    <definedName name="dsfsdfsdfsf" localSheetId="18">[47]QTY!#REF!</definedName>
    <definedName name="dsfsdfsdfsf" localSheetId="29">[47]QTY!#REF!</definedName>
    <definedName name="dsfsdfsdfsf" localSheetId="3">[47]QTY!#REF!</definedName>
    <definedName name="dsfsdfsdfsf" localSheetId="16">[47]QTY!#REF!</definedName>
    <definedName name="dsfsdfsdfsf" localSheetId="19">[47]QTY!#REF!</definedName>
    <definedName name="dsfsdfsdfsf" localSheetId="20">[47]QTY!#REF!</definedName>
    <definedName name="dsfsdfsdfsf" localSheetId="43">[47]QTY!#REF!</definedName>
    <definedName name="dsfsdfsdfsf">[47]QTY!#REF!</definedName>
    <definedName name="E" localSheetId="26">#REF!</definedName>
    <definedName name="E" localSheetId="33">#REF!</definedName>
    <definedName name="E" localSheetId="17">#REF!</definedName>
    <definedName name="E" localSheetId="48">#REF!</definedName>
    <definedName name="E" localSheetId="29">#REF!</definedName>
    <definedName name="E" localSheetId="3">#REF!</definedName>
    <definedName name="E" localSheetId="35">#REF!</definedName>
    <definedName name="E" localSheetId="16">#REF!</definedName>
    <definedName name="E" localSheetId="19">#REF!</definedName>
    <definedName name="E" localSheetId="20">#REF!</definedName>
    <definedName name="E" localSheetId="43">#REF!</definedName>
    <definedName name="E">#REF!</definedName>
    <definedName name="ECL" localSheetId="26">#REF!</definedName>
    <definedName name="ECL" localSheetId="29">#REF!</definedName>
    <definedName name="ECL" localSheetId="16">#REF!</definedName>
    <definedName name="ECL" localSheetId="20">#REF!</definedName>
    <definedName name="ECL" localSheetId="43">#REF!</definedName>
    <definedName name="ECL">#REF!</definedName>
    <definedName name="ED" localSheetId="26">#REF!</definedName>
    <definedName name="ED" localSheetId="29">#REF!</definedName>
    <definedName name="ED" localSheetId="16">#REF!</definedName>
    <definedName name="ED" localSheetId="20">#REF!</definedName>
    <definedName name="ED" localSheetId="43">#REF!</definedName>
    <definedName name="ED">#REF!</definedName>
    <definedName name="Ed._Cess_2___Non_Recoverable" localSheetId="26">#REF!</definedName>
    <definedName name="Ed._Cess_2___Non_Recoverable" localSheetId="29">#REF!</definedName>
    <definedName name="Ed._Cess_2___Non_Recoverable" localSheetId="16">#REF!</definedName>
    <definedName name="Ed._Cess_2___Non_Recoverable" localSheetId="20">#REF!</definedName>
    <definedName name="Ed._Cess_2___Non_Recoverable" localSheetId="43">#REF!</definedName>
    <definedName name="Ed._Cess_2___Non_Recoverable">#REF!</definedName>
    <definedName name="Ed._Cess_2__Recoverable" localSheetId="26">#REF!</definedName>
    <definedName name="Ed._Cess_2__Recoverable" localSheetId="29">#REF!</definedName>
    <definedName name="Ed._Cess_2__Recoverable" localSheetId="16">#REF!</definedName>
    <definedName name="Ed._Cess_2__Recoverable" localSheetId="20">#REF!</definedName>
    <definedName name="Ed._Cess_2__Recoverable" localSheetId="43">#REF!</definedName>
    <definedName name="Ed._Cess_2__Recoverable">#REF!</definedName>
    <definedName name="ED1_" localSheetId="26">#REF!</definedName>
    <definedName name="ED1_" localSheetId="29">#REF!</definedName>
    <definedName name="ED1_" localSheetId="16">#REF!</definedName>
    <definedName name="ED1_" localSheetId="20">#REF!</definedName>
    <definedName name="ED1_" localSheetId="43">#REF!</definedName>
    <definedName name="ED1_">#REF!</definedName>
    <definedName name="EDIMP" localSheetId="26">#REF!</definedName>
    <definedName name="EDIMP" localSheetId="29">#REF!</definedName>
    <definedName name="EDIMP" localSheetId="16">#REF!</definedName>
    <definedName name="EDIMP" localSheetId="20">#REF!</definedName>
    <definedName name="EDIMP" localSheetId="43">#REF!</definedName>
    <definedName name="EDIMP">#REF!</definedName>
    <definedName name="EFECTO" localSheetId="26">#REF!</definedName>
    <definedName name="EFECTO" localSheetId="33">#REF!</definedName>
    <definedName name="EFECTO" localSheetId="17">#REF!</definedName>
    <definedName name="EFECTO" localSheetId="29">#REF!</definedName>
    <definedName name="EFECTO" localSheetId="3">#REF!</definedName>
    <definedName name="EFECTO" localSheetId="16">#REF!</definedName>
    <definedName name="EFECTO" localSheetId="19">#REF!</definedName>
    <definedName name="EFECTO" localSheetId="20">#REF!</definedName>
    <definedName name="EFECTO" localSheetId="43">#REF!</definedName>
    <definedName name="EFECTO">#REF!</definedName>
    <definedName name="Elim" localSheetId="26">#REF!</definedName>
    <definedName name="Elim" localSheetId="33">#REF!</definedName>
    <definedName name="Elim" localSheetId="17">#REF!</definedName>
    <definedName name="Elim" localSheetId="48">#REF!</definedName>
    <definedName name="Elim" localSheetId="29">#REF!</definedName>
    <definedName name="Elim" localSheetId="3">#REF!</definedName>
    <definedName name="Elim" localSheetId="35">#REF!</definedName>
    <definedName name="Elim" localSheetId="16">#REF!</definedName>
    <definedName name="Elim" localSheetId="5">#REF!</definedName>
    <definedName name="Elim" localSheetId="19">#REF!</definedName>
    <definedName name="Elim" localSheetId="20">#REF!</definedName>
    <definedName name="Elim" localSheetId="43">#REF!</definedName>
    <definedName name="Elim">#REF!</definedName>
    <definedName name="em_Num" localSheetId="26">#REF!</definedName>
    <definedName name="em_Num" localSheetId="29">#REF!</definedName>
    <definedName name="em_Num" localSheetId="16">#REF!</definedName>
    <definedName name="em_Num" localSheetId="20">#REF!</definedName>
    <definedName name="em_Num" localSheetId="43">#REF!</definedName>
    <definedName name="em_Num">#REF!</definedName>
    <definedName name="End_Bal" localSheetId="26">#REF!</definedName>
    <definedName name="End_Bal" localSheetId="29">#REF!</definedName>
    <definedName name="End_Bal" localSheetId="16">#REF!</definedName>
    <definedName name="End_Bal" localSheetId="20">#REF!</definedName>
    <definedName name="End_Bal" localSheetId="43">#REF!</definedName>
    <definedName name="End_Bal">#REF!</definedName>
    <definedName name="ENDMKT" localSheetId="26">#REF!</definedName>
    <definedName name="ENDMKT" localSheetId="33">#REF!</definedName>
    <definedName name="ENDMKT" localSheetId="17">#REF!</definedName>
    <definedName name="ENDMKT" localSheetId="29">#REF!</definedName>
    <definedName name="ENDMKT" localSheetId="3">#REF!</definedName>
    <definedName name="ENDMKT" localSheetId="16">#REF!</definedName>
    <definedName name="ENDMKT" localSheetId="19">#REF!</definedName>
    <definedName name="ENDMKT" localSheetId="20">#REF!</definedName>
    <definedName name="ENDMKT" localSheetId="43">#REF!</definedName>
    <definedName name="ENDMKT">#REF!</definedName>
    <definedName name="ENDUSER" localSheetId="26">#REF!</definedName>
    <definedName name="ENDUSER" localSheetId="33">#REF!</definedName>
    <definedName name="ENDUSER" localSheetId="17">#REF!</definedName>
    <definedName name="ENDUSER" localSheetId="29">#REF!</definedName>
    <definedName name="ENDUSER" localSheetId="3">#REF!</definedName>
    <definedName name="ENDUSER" localSheetId="16">#REF!</definedName>
    <definedName name="ENDUSER" localSheetId="19">#REF!</definedName>
    <definedName name="ENDUSER" localSheetId="20">#REF!</definedName>
    <definedName name="ENDUSER" localSheetId="43">#REF!</definedName>
    <definedName name="ENDUSER">#REF!</definedName>
    <definedName name="Engg." localSheetId="26">#REF!</definedName>
    <definedName name="Engg." localSheetId="29">#REF!</definedName>
    <definedName name="Engg." localSheetId="16">#REF!</definedName>
    <definedName name="Engg." localSheetId="20">#REF!</definedName>
    <definedName name="Engg." localSheetId="43">#REF!</definedName>
    <definedName name="Engg.">#REF!</definedName>
    <definedName name="Entertain" localSheetId="26">#REF!</definedName>
    <definedName name="Entertain" localSheetId="33">#REF!</definedName>
    <definedName name="Entertain" localSheetId="17">#REF!</definedName>
    <definedName name="Entertain" localSheetId="48">#REF!</definedName>
    <definedName name="Entertain" localSheetId="29">#REF!</definedName>
    <definedName name="Entertain" localSheetId="3">#REF!</definedName>
    <definedName name="Entertain" localSheetId="35">#REF!</definedName>
    <definedName name="Entertain" localSheetId="16">#REF!</definedName>
    <definedName name="Entertain" localSheetId="5">#REF!</definedName>
    <definedName name="Entertain" localSheetId="19">#REF!</definedName>
    <definedName name="Entertain" localSheetId="20">#REF!</definedName>
    <definedName name="Entertain" localSheetId="43">#REF!</definedName>
    <definedName name="Entertain">#REF!</definedName>
    <definedName name="ENTRY">#N/A</definedName>
    <definedName name="EPG_Graphs" localSheetId="26">#REF!</definedName>
    <definedName name="EPG_Graphs" localSheetId="33">#REF!</definedName>
    <definedName name="EPG_Graphs" localSheetId="17">#REF!</definedName>
    <definedName name="EPG_Graphs" localSheetId="29">#REF!</definedName>
    <definedName name="EPG_Graphs" localSheetId="3">#REF!</definedName>
    <definedName name="EPG_Graphs" localSheetId="16">#REF!</definedName>
    <definedName name="EPG_Graphs" localSheetId="19">#REF!</definedName>
    <definedName name="EPG_Graphs" localSheetId="20">#REF!</definedName>
    <definedName name="EPG_Graphs" localSheetId="43">#REF!</definedName>
    <definedName name="EPG_Graphs">#REF!</definedName>
    <definedName name="EPO.COMPUTO" localSheetId="26">#REF!</definedName>
    <definedName name="EPO.COMPUTO" localSheetId="33">#REF!</definedName>
    <definedName name="EPO.COMPUTO" localSheetId="17">#REF!</definedName>
    <definedName name="EPO.COMPUTO" localSheetId="29">#REF!</definedName>
    <definedName name="EPO.COMPUTO" localSheetId="3">#REF!</definedName>
    <definedName name="EPO.COMPUTO" localSheetId="16">#REF!</definedName>
    <definedName name="EPO.COMPUTO" localSheetId="19">#REF!</definedName>
    <definedName name="EPO.COMPUTO" localSheetId="20">#REF!</definedName>
    <definedName name="EPO.COMPUTO" localSheetId="43">#REF!</definedName>
    <definedName name="EPO.COMPUTO">#REF!</definedName>
    <definedName name="EPO.TRANSPORTE" localSheetId="26">#REF!</definedName>
    <definedName name="EPO.TRANSPORTE" localSheetId="33">#REF!</definedName>
    <definedName name="EPO.TRANSPORTE" localSheetId="17">#REF!</definedName>
    <definedName name="EPO.TRANSPORTE" localSheetId="29">#REF!</definedName>
    <definedName name="EPO.TRANSPORTE" localSheetId="3">#REF!</definedName>
    <definedName name="EPO.TRANSPORTE" localSheetId="16">#REF!</definedName>
    <definedName name="EPO.TRANSPORTE" localSheetId="19">#REF!</definedName>
    <definedName name="EPO.TRANSPORTE" localSheetId="20">#REF!</definedName>
    <definedName name="EPO.TRANSPORTE" localSheetId="43">#REF!</definedName>
    <definedName name="EPO.TRANSPORTE">#REF!</definedName>
    <definedName name="ePor_Date" localSheetId="26">#REF!</definedName>
    <definedName name="ePor_Date" localSheetId="29">#REF!</definedName>
    <definedName name="ePor_Date" localSheetId="16">#REF!</definedName>
    <definedName name="ePor_Date" localSheetId="20">#REF!</definedName>
    <definedName name="ePor_Date" localSheetId="43">#REF!</definedName>
    <definedName name="ePor_Date">#REF!</definedName>
    <definedName name="EXCESO" localSheetId="26">#REF!</definedName>
    <definedName name="EXCESO" localSheetId="33">#REF!</definedName>
    <definedName name="EXCESO" localSheetId="17">#REF!</definedName>
    <definedName name="EXCESO" localSheetId="29">#REF!</definedName>
    <definedName name="EXCESO" localSheetId="3">#REF!</definedName>
    <definedName name="EXCESO" localSheetId="16">#REF!</definedName>
    <definedName name="EXCESO" localSheetId="19">#REF!</definedName>
    <definedName name="EXCESO" localSheetId="20">#REF!</definedName>
    <definedName name="EXCESO" localSheetId="43">#REF!</definedName>
    <definedName name="EXCESO">#REF!</definedName>
    <definedName name="EXEC1" localSheetId="26">#REF!</definedName>
    <definedName name="EXEC1" localSheetId="33">#REF!</definedName>
    <definedName name="EXEC1" localSheetId="17">#REF!</definedName>
    <definedName name="EXEC1" localSheetId="48">#REF!</definedName>
    <definedName name="EXEC1" localSheetId="29">#REF!</definedName>
    <definedName name="EXEC1" localSheetId="3">#REF!</definedName>
    <definedName name="EXEC1" localSheetId="35">#REF!</definedName>
    <definedName name="EXEC1" localSheetId="16">#REF!</definedName>
    <definedName name="EXEC1" localSheetId="5">#REF!</definedName>
    <definedName name="EXEC1" localSheetId="19">#REF!</definedName>
    <definedName name="EXEC1" localSheetId="20">#REF!</definedName>
    <definedName name="EXEC1" localSheetId="43">#REF!</definedName>
    <definedName name="EXEC1">#REF!</definedName>
    <definedName name="EXEC2" localSheetId="26">#REF!</definedName>
    <definedName name="EXEC2" localSheetId="33">#REF!</definedName>
    <definedName name="EXEC2" localSheetId="17">#REF!</definedName>
    <definedName name="EXEC2" localSheetId="48">#REF!</definedName>
    <definedName name="EXEC2" localSheetId="29">#REF!</definedName>
    <definedName name="EXEC2" localSheetId="3">#REF!</definedName>
    <definedName name="EXEC2" localSheetId="35">#REF!</definedName>
    <definedName name="EXEC2" localSheetId="16">#REF!</definedName>
    <definedName name="EXEC2" localSheetId="5">#REF!</definedName>
    <definedName name="EXEC2" localSheetId="19">#REF!</definedName>
    <definedName name="EXEC2" localSheetId="20">#REF!</definedName>
    <definedName name="EXEC2" localSheetId="43">#REF!</definedName>
    <definedName name="EXEC2">#REF!</definedName>
    <definedName name="ExecLegalPR2" localSheetId="26">#REF!</definedName>
    <definedName name="ExecLegalPR2" localSheetId="33">#REF!</definedName>
    <definedName name="ExecLegalPR2" localSheetId="17">#REF!</definedName>
    <definedName name="ExecLegalPR2" localSheetId="48">#REF!</definedName>
    <definedName name="ExecLegalPR2" localSheetId="29">#REF!</definedName>
    <definedName name="ExecLegalPR2" localSheetId="3">#REF!</definedName>
    <definedName name="ExecLegalPR2" localSheetId="35">#REF!</definedName>
    <definedName name="ExecLegalPR2" localSheetId="16">#REF!</definedName>
    <definedName name="ExecLegalPR2" localSheetId="5">#REF!</definedName>
    <definedName name="ExecLegalPR2" localSheetId="19">#REF!</definedName>
    <definedName name="ExecLegalPR2" localSheetId="20">#REF!</definedName>
    <definedName name="ExecLegalPR2" localSheetId="43">#REF!</definedName>
    <definedName name="ExecLegalPR2">#REF!</definedName>
    <definedName name="exp" localSheetId="26">#REF!</definedName>
    <definedName name="exp" localSheetId="33">#REF!</definedName>
    <definedName name="exp" localSheetId="17">#REF!</definedName>
    <definedName name="exp" localSheetId="29">#REF!</definedName>
    <definedName name="exp" localSheetId="3">#REF!</definedName>
    <definedName name="exp" localSheetId="16">#REF!</definedName>
    <definedName name="exp" localSheetId="19">#REF!</definedName>
    <definedName name="exp" localSheetId="20">#REF!</definedName>
    <definedName name="exp" localSheetId="43">#REF!</definedName>
    <definedName name="exp">#REF!</definedName>
    <definedName name="expadma" localSheetId="18">[48]Exp!#REF!</definedName>
    <definedName name="expadma" localSheetId="29">[48]Exp!#REF!</definedName>
    <definedName name="expadma" localSheetId="16">[48]Exp!#REF!</definedName>
    <definedName name="expadma" localSheetId="20">[48]Exp!#REF!</definedName>
    <definedName name="expadma" localSheetId="43">[48]Exp!#REF!</definedName>
    <definedName name="expadma">[48]Exp!#REF!</definedName>
    <definedName name="expadmb" localSheetId="18">[48]Exp!#REF!</definedName>
    <definedName name="expadmb" localSheetId="29">[48]Exp!#REF!</definedName>
    <definedName name="expadmb" localSheetId="16">[48]Exp!#REF!</definedName>
    <definedName name="expadmb" localSheetId="20">[48]Exp!#REF!</definedName>
    <definedName name="expadmb" localSheetId="43">[48]Exp!#REF!</definedName>
    <definedName name="expadmb">[48]Exp!#REF!</definedName>
    <definedName name="Expected_balance" localSheetId="26">#REF!</definedName>
    <definedName name="Expected_balance" localSheetId="33">#REF!</definedName>
    <definedName name="Expected_balance" localSheetId="17">#REF!</definedName>
    <definedName name="Expected_balance" localSheetId="29">#REF!</definedName>
    <definedName name="Expected_balance" localSheetId="3">#REF!</definedName>
    <definedName name="Expected_balance" localSheetId="16">#REF!</definedName>
    <definedName name="Expected_balance" localSheetId="5">#REF!</definedName>
    <definedName name="Expected_balance" localSheetId="19">#REF!</definedName>
    <definedName name="Expected_balance" localSheetId="20">#REF!</definedName>
    <definedName name="Expected_balance" localSheetId="43">#REF!</definedName>
    <definedName name="Expected_balance">#REF!</definedName>
    <definedName name="EXPERIENCE_STAFF_List" localSheetId="26">#REF!</definedName>
    <definedName name="EXPERIENCE_STAFF_List" localSheetId="29">#REF!</definedName>
    <definedName name="EXPERIENCE_STAFF_List" localSheetId="16">#REF!</definedName>
    <definedName name="EXPERIENCE_STAFF_List" localSheetId="20">#REF!</definedName>
    <definedName name="EXPERIENCE_STAFF_List" localSheetId="43">#REF!</definedName>
    <definedName name="EXPERIENCE_STAFF_List">#REF!</definedName>
    <definedName name="expiry" localSheetId="26">#REF!</definedName>
    <definedName name="expiry" localSheetId="29">#REF!</definedName>
    <definedName name="expiry" localSheetId="16">#REF!</definedName>
    <definedName name="expiry" localSheetId="20">#REF!</definedName>
    <definedName name="expiry" localSheetId="43">#REF!</definedName>
    <definedName name="expiry">#REF!</definedName>
    <definedName name="EXPORT_LOAN">'[49]QTY-DATA'!$D$815:$L$846</definedName>
    <definedName name="EXPORT_QTY">'[49]QTY-DATA'!$D$463:$L$809</definedName>
    <definedName name="Exports" localSheetId="26">#REF!</definedName>
    <definedName name="Exports" localSheetId="18">#REF!</definedName>
    <definedName name="Exports" localSheetId="29">#REF!</definedName>
    <definedName name="Exports" localSheetId="16">#REF!</definedName>
    <definedName name="Exports" localSheetId="20">#REF!</definedName>
    <definedName name="Exports" localSheetId="43">#REF!</definedName>
    <definedName name="Exports">#REF!</definedName>
    <definedName name="Extra_Pay" localSheetId="26">#REF!</definedName>
    <definedName name="Extra_Pay" localSheetId="29">#REF!</definedName>
    <definedName name="Extra_Pay" localSheetId="16">#REF!</definedName>
    <definedName name="Extra_Pay" localSheetId="20">#REF!</definedName>
    <definedName name="Extra_Pay" localSheetId="43">#REF!</definedName>
    <definedName name="Extra_Pay">#REF!</definedName>
    <definedName name="f" localSheetId="26">#REF!</definedName>
    <definedName name="f" localSheetId="33">#REF!</definedName>
    <definedName name="f" localSheetId="17">#REF!</definedName>
    <definedName name="f" localSheetId="29">#REF!</definedName>
    <definedName name="f" localSheetId="3">#REF!</definedName>
    <definedName name="f" localSheetId="16">#REF!</definedName>
    <definedName name="f" localSheetId="5">#REF!</definedName>
    <definedName name="f" localSheetId="19">#REF!</definedName>
    <definedName name="f" localSheetId="20">#REF!</definedName>
    <definedName name="f" localSheetId="43">#REF!</definedName>
    <definedName name="f">#REF!</definedName>
    <definedName name="F_MENU" localSheetId="26">#REF!</definedName>
    <definedName name="F_MENU" localSheetId="33">#REF!</definedName>
    <definedName name="F_MENU" localSheetId="17">#REF!</definedName>
    <definedName name="F_MENU" localSheetId="29">#REF!</definedName>
    <definedName name="F_MENU" localSheetId="3">#REF!</definedName>
    <definedName name="F_MENU" localSheetId="16">#REF!</definedName>
    <definedName name="F_MENU" localSheetId="5">#REF!</definedName>
    <definedName name="F_MENU" localSheetId="19">#REF!</definedName>
    <definedName name="F_MENU" localSheetId="20">#REF!</definedName>
    <definedName name="F_MENU" localSheetId="43">#REF!</definedName>
    <definedName name="F_MENU">#REF!</definedName>
    <definedName name="FA" localSheetId="26">#REF!</definedName>
    <definedName name="FA" localSheetId="33">#REF!</definedName>
    <definedName name="FA" localSheetId="17">#REF!</definedName>
    <definedName name="FA" localSheetId="29">#REF!</definedName>
    <definedName name="FA" localSheetId="3">#REF!</definedName>
    <definedName name="FA" localSheetId="16">#REF!</definedName>
    <definedName name="FA" localSheetId="5">#REF!</definedName>
    <definedName name="FA" localSheetId="19">#REF!</definedName>
    <definedName name="FA" localSheetId="20">#REF!</definedName>
    <definedName name="FA" localSheetId="43">#REF!</definedName>
    <definedName name="FA">#REF!</definedName>
    <definedName name="Facilities" localSheetId="26">#REF!</definedName>
    <definedName name="Facilities" localSheetId="33">#REF!</definedName>
    <definedName name="Facilities" localSheetId="17">#REF!</definedName>
    <definedName name="Facilities" localSheetId="29">#REF!</definedName>
    <definedName name="Facilities" localSheetId="3">#REF!</definedName>
    <definedName name="Facilities" localSheetId="16">#REF!</definedName>
    <definedName name="Facilities" localSheetId="19">#REF!</definedName>
    <definedName name="Facilities" localSheetId="20">#REF!</definedName>
    <definedName name="Facilities" localSheetId="43">#REF!</definedName>
    <definedName name="Facilities">#REF!</definedName>
    <definedName name="factory" localSheetId="26">#REF!</definedName>
    <definedName name="factory" localSheetId="29">#REF!</definedName>
    <definedName name="factory" localSheetId="16">#REF!</definedName>
    <definedName name="factory" localSheetId="20">#REF!</definedName>
    <definedName name="factory" localSheetId="43">#REF!</definedName>
    <definedName name="factory">#REF!</definedName>
    <definedName name="FCST_GRF">'[32]IS Mo'!$CP$10:$DA$62</definedName>
    <definedName name="FCST_INN">'[32]IS Mo'!$DT$10:$EE$62</definedName>
    <definedName name="Fcst_Pg_1" localSheetId="26">#REF!</definedName>
    <definedName name="Fcst_Pg_1" localSheetId="33">#REF!</definedName>
    <definedName name="Fcst_Pg_1" localSheetId="17">#REF!</definedName>
    <definedName name="Fcst_Pg_1" localSheetId="29">#REF!</definedName>
    <definedName name="Fcst_Pg_1" localSheetId="3">#REF!</definedName>
    <definedName name="Fcst_Pg_1" localSheetId="16">#REF!</definedName>
    <definedName name="Fcst_Pg_1" localSheetId="19">#REF!</definedName>
    <definedName name="Fcst_Pg_1" localSheetId="20">#REF!</definedName>
    <definedName name="Fcst_Pg_1" localSheetId="43">#REF!</definedName>
    <definedName name="Fcst_Pg_1">#REF!</definedName>
    <definedName name="Fcst_Pg_2" localSheetId="26">#REF!</definedName>
    <definedName name="Fcst_Pg_2" localSheetId="33">#REF!</definedName>
    <definedName name="Fcst_Pg_2" localSheetId="17">#REF!</definedName>
    <definedName name="Fcst_Pg_2" localSheetId="29">#REF!</definedName>
    <definedName name="Fcst_Pg_2" localSheetId="3">#REF!</definedName>
    <definedName name="Fcst_Pg_2" localSheetId="16">#REF!</definedName>
    <definedName name="Fcst_Pg_2" localSheetId="19">#REF!</definedName>
    <definedName name="Fcst_Pg_2" localSheetId="20">#REF!</definedName>
    <definedName name="Fcst_Pg_2" localSheetId="43">#REF!</definedName>
    <definedName name="Fcst_Pg_2">#REF!</definedName>
    <definedName name="Fcst_Pg_3" localSheetId="26">#REF!</definedName>
    <definedName name="Fcst_Pg_3" localSheetId="33">#REF!</definedName>
    <definedName name="Fcst_Pg_3" localSheetId="17">#REF!</definedName>
    <definedName name="Fcst_Pg_3" localSheetId="29">#REF!</definedName>
    <definedName name="Fcst_Pg_3" localSheetId="3">#REF!</definedName>
    <definedName name="Fcst_Pg_3" localSheetId="16">#REF!</definedName>
    <definedName name="Fcst_Pg_3" localSheetId="19">#REF!</definedName>
    <definedName name="Fcst_Pg_3" localSheetId="20">#REF!</definedName>
    <definedName name="Fcst_Pg_3" localSheetId="43">#REF!</definedName>
    <definedName name="Fcst_Pg_3">#REF!</definedName>
    <definedName name="FCST_PUB">'[32]IS Mo'!$DE$10:$DP$62</definedName>
    <definedName name="FD" localSheetId="26">#REF!</definedName>
    <definedName name="FD" localSheetId="33">#REF!</definedName>
    <definedName name="FD" localSheetId="17">#REF!</definedName>
    <definedName name="FD" localSheetId="29">#REF!</definedName>
    <definedName name="FD" localSheetId="3">#REF!</definedName>
    <definedName name="FD" localSheetId="16">#REF!</definedName>
    <definedName name="FD" localSheetId="19">#REF!</definedName>
    <definedName name="FD" localSheetId="20">#REF!</definedName>
    <definedName name="FD" localSheetId="43">#REF!</definedName>
    <definedName name="FD">#REF!</definedName>
    <definedName name="fdfd" localSheetId="26">[50]FOIL!#REF!</definedName>
    <definedName name="fdfd" localSheetId="33">[50]FOIL!#REF!</definedName>
    <definedName name="fdfd" localSheetId="17">[50]FOIL!#REF!</definedName>
    <definedName name="fdfd" localSheetId="18">[50]FOIL!#REF!</definedName>
    <definedName name="fdfd" localSheetId="29">[50]FOIL!#REF!</definedName>
    <definedName name="fdfd" localSheetId="3">[50]FOIL!#REF!</definedName>
    <definedName name="fdfd" localSheetId="16">[50]FOIL!#REF!</definedName>
    <definedName name="fdfd" localSheetId="19">[50]FOIL!#REF!</definedName>
    <definedName name="fdfd" localSheetId="20">[50]FOIL!#REF!</definedName>
    <definedName name="fdfd" localSheetId="43">[50]FOIL!#REF!</definedName>
    <definedName name="fdfd">[50]FOIL!#REF!</definedName>
    <definedName name="feb_ea" localSheetId="26">#REF!</definedName>
    <definedName name="feb_ea" localSheetId="33">#REF!</definedName>
    <definedName name="feb_ea" localSheetId="17">#REF!</definedName>
    <definedName name="feb_ea" localSheetId="29">#REF!</definedName>
    <definedName name="feb_ea" localSheetId="3">#REF!</definedName>
    <definedName name="feb_ea" localSheetId="16">#REF!</definedName>
    <definedName name="feb_ea" localSheetId="19">#REF!</definedName>
    <definedName name="feb_ea" localSheetId="20">#REF!</definedName>
    <definedName name="feb_ea" localSheetId="43">#REF!</definedName>
    <definedName name="feb_ea">#REF!</definedName>
    <definedName name="feb_ps" localSheetId="26">#REF!</definedName>
    <definedName name="feb_ps" localSheetId="33">#REF!</definedName>
    <definedName name="feb_ps" localSheetId="17">#REF!</definedName>
    <definedName name="feb_ps" localSheetId="29">#REF!</definedName>
    <definedName name="feb_ps" localSheetId="3">#REF!</definedName>
    <definedName name="feb_ps" localSheetId="16">#REF!</definedName>
    <definedName name="feb_ps" localSheetId="19">#REF!</definedName>
    <definedName name="feb_ps" localSheetId="20">#REF!</definedName>
    <definedName name="feb_ps" localSheetId="43">#REF!</definedName>
    <definedName name="feb_ps">#REF!</definedName>
    <definedName name="feb_rm" localSheetId="26">#REF!</definedName>
    <definedName name="feb_rm" localSheetId="33">#REF!</definedName>
    <definedName name="feb_rm" localSheetId="17">#REF!</definedName>
    <definedName name="feb_rm" localSheetId="29">#REF!</definedName>
    <definedName name="feb_rm" localSheetId="3">#REF!</definedName>
    <definedName name="feb_rm" localSheetId="16">#REF!</definedName>
    <definedName name="feb_rm" localSheetId="19">#REF!</definedName>
    <definedName name="feb_rm" localSheetId="20">#REF!</definedName>
    <definedName name="feb_rm" localSheetId="43">#REF!</definedName>
    <definedName name="feb_rm">#REF!</definedName>
    <definedName name="fff" localSheetId="26" hidden="1">{#N/A,#N/A,TRUE,"Couverture";#N/A,#N/A,TRUE,"Sommaire.1";#N/A,#N/A,TRUE,"Sommaire.2";#N/A,#N/A,TRUE,"Sommaire.3"}</definedName>
    <definedName name="fff" localSheetId="17" hidden="1">{#N/A,#N/A,TRUE,"Couverture";#N/A,#N/A,TRUE,"Sommaire.1";#N/A,#N/A,TRUE,"Sommaire.2";#N/A,#N/A,TRUE,"Sommaire.3"}</definedName>
    <definedName name="fff" localSheetId="23" hidden="1">{#N/A,#N/A,TRUE,"Couverture";#N/A,#N/A,TRUE,"Sommaire.1";#N/A,#N/A,TRUE,"Sommaire.2";#N/A,#N/A,TRUE,"Sommaire.3"}</definedName>
    <definedName name="fff" localSheetId="18" hidden="1">{#N/A,#N/A,TRUE,"Couverture";#N/A,#N/A,TRUE,"Sommaire.1";#N/A,#N/A,TRUE,"Sommaire.2";#N/A,#N/A,TRUE,"Sommaire.3"}</definedName>
    <definedName name="fff" localSheetId="10" hidden="1">{#N/A,#N/A,TRUE,"Couverture";#N/A,#N/A,TRUE,"Sommaire.1";#N/A,#N/A,TRUE,"Sommaire.2";#N/A,#N/A,TRUE,"Sommaire.3"}</definedName>
    <definedName name="fff" localSheetId="29" hidden="1">{#N/A,#N/A,TRUE,"Couverture";#N/A,#N/A,TRUE,"Sommaire.1";#N/A,#N/A,TRUE,"Sommaire.2";#N/A,#N/A,TRUE,"Sommaire.3"}</definedName>
    <definedName name="fff" localSheetId="3" hidden="1">{#N/A,#N/A,TRUE,"Couverture";#N/A,#N/A,TRUE,"Sommaire.1";#N/A,#N/A,TRUE,"Sommaire.2";#N/A,#N/A,TRUE,"Sommaire.3"}</definedName>
    <definedName name="fff" localSheetId="16" hidden="1">{#N/A,#N/A,TRUE,"Couverture";#N/A,#N/A,TRUE,"Sommaire.1";#N/A,#N/A,TRUE,"Sommaire.2";#N/A,#N/A,TRUE,"Sommaire.3"}</definedName>
    <definedName name="fff" localSheetId="19" hidden="1">{#N/A,#N/A,TRUE,"Couverture";#N/A,#N/A,TRUE,"Sommaire.1";#N/A,#N/A,TRUE,"Sommaire.2";#N/A,#N/A,TRUE,"Sommaire.3"}</definedName>
    <definedName name="fff" localSheetId="20" hidden="1">{#N/A,#N/A,TRUE,"Couverture";#N/A,#N/A,TRUE,"Sommaire.1";#N/A,#N/A,TRUE,"Sommaire.2";#N/A,#N/A,TRUE,"Sommaire.3"}</definedName>
    <definedName name="fff" localSheetId="43" hidden="1">{#N/A,#N/A,TRUE,"Couverture";#N/A,#N/A,TRUE,"Sommaire.1";#N/A,#N/A,TRUE,"Sommaire.2";#N/A,#N/A,TRUE,"Sommaire.3"}</definedName>
    <definedName name="fff" hidden="1">{#N/A,#N/A,TRUE,"Couverture";#N/A,#N/A,TRUE,"Sommaire.1";#N/A,#N/A,TRUE,"Sommaire.2";#N/A,#N/A,TRUE,"Sommaire.3"}</definedName>
    <definedName name="ffff" localSheetId="26" hidden="1">{#N/A,#N/A,FALSE,"Couverture";#N/A,#N/A,FALSE,"Sommaire.3"}</definedName>
    <definedName name="ffff" localSheetId="17" hidden="1">{#N/A,#N/A,FALSE,"Couverture";#N/A,#N/A,FALSE,"Sommaire.3"}</definedName>
    <definedName name="ffff" localSheetId="23" hidden="1">{#N/A,#N/A,FALSE,"Couverture";#N/A,#N/A,FALSE,"Sommaire.3"}</definedName>
    <definedName name="ffff" localSheetId="18" hidden="1">{#N/A,#N/A,FALSE,"Couverture";#N/A,#N/A,FALSE,"Sommaire.3"}</definedName>
    <definedName name="ffff" localSheetId="10" hidden="1">{#N/A,#N/A,FALSE,"Couverture";#N/A,#N/A,FALSE,"Sommaire.3"}</definedName>
    <definedName name="ffff" localSheetId="29" hidden="1">{#N/A,#N/A,FALSE,"Couverture";#N/A,#N/A,FALSE,"Sommaire.3"}</definedName>
    <definedName name="ffff" localSheetId="3" hidden="1">{#N/A,#N/A,FALSE,"Couverture";#N/A,#N/A,FALSE,"Sommaire.3"}</definedName>
    <definedName name="ffff" localSheetId="16" hidden="1">{#N/A,#N/A,FALSE,"Couverture";#N/A,#N/A,FALSE,"Sommaire.3"}</definedName>
    <definedName name="ffff" localSheetId="19" hidden="1">{#N/A,#N/A,FALSE,"Couverture";#N/A,#N/A,FALSE,"Sommaire.3"}</definedName>
    <definedName name="ffff" localSheetId="20" hidden="1">{#N/A,#N/A,FALSE,"Couverture";#N/A,#N/A,FALSE,"Sommaire.3"}</definedName>
    <definedName name="ffff" localSheetId="43" hidden="1">{#N/A,#N/A,FALSE,"Couverture";#N/A,#N/A,FALSE,"Sommaire.3"}</definedName>
    <definedName name="ffff" hidden="1">{#N/A,#N/A,FALSE,"Couverture";#N/A,#N/A,FALSE,"Sommaire.3"}</definedName>
    <definedName name="fffffffffffffffffffffffffffffff" localSheetId="26" hidden="1">{#N/A,#N/A,FALSE,"Couverture";#N/A,#N/A,FALSE,"Sommaire.2"}</definedName>
    <definedName name="fffffffffffffffffffffffffffffff" localSheetId="17" hidden="1">{#N/A,#N/A,FALSE,"Couverture";#N/A,#N/A,FALSE,"Sommaire.2"}</definedName>
    <definedName name="fffffffffffffffffffffffffffffff" localSheetId="23" hidden="1">{#N/A,#N/A,FALSE,"Couverture";#N/A,#N/A,FALSE,"Sommaire.2"}</definedName>
    <definedName name="fffffffffffffffffffffffffffffff" localSheetId="18" hidden="1">{#N/A,#N/A,FALSE,"Couverture";#N/A,#N/A,FALSE,"Sommaire.2"}</definedName>
    <definedName name="fffffffffffffffffffffffffffffff" localSheetId="10" hidden="1">{#N/A,#N/A,FALSE,"Couverture";#N/A,#N/A,FALSE,"Sommaire.2"}</definedName>
    <definedName name="fffffffffffffffffffffffffffffff" localSheetId="29" hidden="1">{#N/A,#N/A,FALSE,"Couverture";#N/A,#N/A,FALSE,"Sommaire.2"}</definedName>
    <definedName name="fffffffffffffffffffffffffffffff" localSheetId="3" hidden="1">{#N/A,#N/A,FALSE,"Couverture";#N/A,#N/A,FALSE,"Sommaire.2"}</definedName>
    <definedName name="fffffffffffffffffffffffffffffff" localSheetId="16" hidden="1">{#N/A,#N/A,FALSE,"Couverture";#N/A,#N/A,FALSE,"Sommaire.2"}</definedName>
    <definedName name="fffffffffffffffffffffffffffffff" localSheetId="19" hidden="1">{#N/A,#N/A,FALSE,"Couverture";#N/A,#N/A,FALSE,"Sommaire.2"}</definedName>
    <definedName name="fffffffffffffffffffffffffffffff" localSheetId="20" hidden="1">{#N/A,#N/A,FALSE,"Couverture";#N/A,#N/A,FALSE,"Sommaire.2"}</definedName>
    <definedName name="fffffffffffffffffffffffffffffff" localSheetId="43" hidden="1">{#N/A,#N/A,FALSE,"Couverture";#N/A,#N/A,FALSE,"Sommaire.2"}</definedName>
    <definedName name="fffffffffffffffffffffffffffffff" hidden="1">{#N/A,#N/A,FALSE,"Couverture";#N/A,#N/A,FALSE,"Sommaire.2"}</definedName>
    <definedName name="FG" localSheetId="26">#REF!</definedName>
    <definedName name="FG" localSheetId="23">#REF!</definedName>
    <definedName name="FG" localSheetId="18">#REF!</definedName>
    <definedName name="FG" localSheetId="29">#REF!</definedName>
    <definedName name="FG" localSheetId="16">#REF!</definedName>
    <definedName name="FG" localSheetId="20">#REF!</definedName>
    <definedName name="FG" localSheetId="43">#REF!</definedName>
    <definedName name="FG">#REF!</definedName>
    <definedName name="Fifteen" localSheetId="26">'[51]Financials -Jan 03-Mar04'!#REF!</definedName>
    <definedName name="Fifteen" localSheetId="33">'[51]Financials -Jan 03-Mar04'!#REF!</definedName>
    <definedName name="Fifteen" localSheetId="23">'[51]Financials -Jan 03-Mar04'!#REF!</definedName>
    <definedName name="Fifteen" localSheetId="18">'[51]Financials -Jan 03-Mar04'!#REF!</definedName>
    <definedName name="Fifteen" localSheetId="29">'[51]Financials -Jan 03-Mar04'!#REF!</definedName>
    <definedName name="Fifteen" localSheetId="3">'[51]Financials -Jan 03-Mar04'!#REF!</definedName>
    <definedName name="Fifteen" localSheetId="16">'[51]Financials -Jan 03-Mar04'!#REF!</definedName>
    <definedName name="Fifteen" localSheetId="20">'[51]Financials -Jan 03-Mar04'!#REF!</definedName>
    <definedName name="Fifteen" localSheetId="43">'[51]Financials -Jan 03-Mar04'!#REF!</definedName>
    <definedName name="Fifteen">'[51]Financials -Jan 03-Mar04'!#REF!</definedName>
    <definedName name="FifteenMonthsData" localSheetId="26">'[51]Financials -Jan 03-Mar04'!#REF!</definedName>
    <definedName name="FifteenMonthsData" localSheetId="33">'[51]Financials -Jan 03-Mar04'!#REF!</definedName>
    <definedName name="FifteenMonthsData" localSheetId="29">'[51]Financials -Jan 03-Mar04'!#REF!</definedName>
    <definedName name="FifteenMonthsData" localSheetId="3">'[51]Financials -Jan 03-Mar04'!#REF!</definedName>
    <definedName name="FifteenMonthsData" localSheetId="16">'[51]Financials -Jan 03-Mar04'!#REF!</definedName>
    <definedName name="FifteenMonthsData" localSheetId="20">'[51]Financials -Jan 03-Mar04'!#REF!</definedName>
    <definedName name="FifteenMonthsData" localSheetId="43">'[51]Financials -Jan 03-Mar04'!#REF!</definedName>
    <definedName name="FifteenMonthsData">'[51]Financials -Jan 03-Mar04'!#REF!</definedName>
    <definedName name="fin" localSheetId="26">#REF!,#REF!,#REF!,#REF!,#REF!,#REF!,#REF!,#REF!,#REF!</definedName>
    <definedName name="fin" localSheetId="33">#REF!,#REF!,#REF!,#REF!,#REF!,#REF!,#REF!,#REF!,#REF!</definedName>
    <definedName name="fin" localSheetId="17">#REF!,#REF!,#REF!,#REF!,#REF!,#REF!,#REF!,#REF!,#REF!</definedName>
    <definedName name="fin" localSheetId="29">#REF!,#REF!,#REF!,#REF!,#REF!,#REF!,#REF!,#REF!,#REF!</definedName>
    <definedName name="fin" localSheetId="3">#REF!,#REF!,#REF!,#REF!,#REF!,#REF!,#REF!,#REF!,#REF!</definedName>
    <definedName name="fin" localSheetId="16">#REF!,#REF!,#REF!,#REF!,#REF!,#REF!,#REF!,#REF!,#REF!</definedName>
    <definedName name="fin" localSheetId="19">#REF!,#REF!,#REF!,#REF!,#REF!,#REF!,#REF!,#REF!,#REF!</definedName>
    <definedName name="fin" localSheetId="20">#REF!,#REF!,#REF!,#REF!,#REF!,#REF!,#REF!,#REF!,#REF!</definedName>
    <definedName name="fin" localSheetId="43">#REF!,#REF!,#REF!,#REF!,#REF!,#REF!,#REF!,#REF!,#REF!</definedName>
    <definedName name="fin">#REF!,#REF!,#REF!,#REF!,#REF!,#REF!,#REF!,#REF!,#REF!</definedName>
    <definedName name="Finance2" localSheetId="26">#REF!</definedName>
    <definedName name="Finance2" localSheetId="33">#REF!</definedName>
    <definedName name="Finance2" localSheetId="17">#REF!</definedName>
    <definedName name="Finance2" localSheetId="48">#REF!</definedName>
    <definedName name="Finance2" localSheetId="29">#REF!</definedName>
    <definedName name="Finance2" localSheetId="3">#REF!</definedName>
    <definedName name="Finance2" localSheetId="35">#REF!</definedName>
    <definedName name="Finance2" localSheetId="16">#REF!</definedName>
    <definedName name="Finance2" localSheetId="5">#REF!</definedName>
    <definedName name="Finance2" localSheetId="19">#REF!</definedName>
    <definedName name="Finance2" localSheetId="20">#REF!</definedName>
    <definedName name="Finance2" localSheetId="43">#REF!</definedName>
    <definedName name="Finance2">#REF!</definedName>
    <definedName name="FINLAND" localSheetId="26">#REF!</definedName>
    <definedName name="FINLAND" localSheetId="29">#REF!</definedName>
    <definedName name="FINLAND" localSheetId="16">#REF!</definedName>
    <definedName name="FINLAND" localSheetId="20">#REF!</definedName>
    <definedName name="FINLAND" localSheetId="43">#REF!</definedName>
    <definedName name="FINLAND">#REF!</definedName>
    <definedName name="fixe" localSheetId="26">MATCH(0.01,'Adjustment Working F.Y. 2021-22'!End_Bal,-1)+1</definedName>
    <definedName name="fixe" localSheetId="23">MATCH(0.01,End_Bal,-1)+1</definedName>
    <definedName name="fixe" localSheetId="18">MATCH(0.01,End_Bal,-1)+1</definedName>
    <definedName name="fixe" localSheetId="10">MATCH(0.01,End_Bal,-1)+1</definedName>
    <definedName name="fixe" localSheetId="29">MATCH(0.01,'LMIL - BS SUMIF Formula'!End_Bal,-1)+1</definedName>
    <definedName name="fixe" localSheetId="16">MATCH(0.01,'Regulation 33 - Balance Sheet'!End_Bal,-1)+1</definedName>
    <definedName name="fixe" localSheetId="20">MATCH(0.01,'TB-30-09-2021'!End_Bal,-1)+1</definedName>
    <definedName name="fixe" localSheetId="43">MATCH(0.01,'Trial Balance LS'!End_Bal,-1)+1</definedName>
    <definedName name="fixe">MATCH(0.01,End_Bal,-1)+1</definedName>
    <definedName name="ForecastDetail" localSheetId="26">#REF!</definedName>
    <definedName name="ForecastDetail" localSheetId="33">#REF!</definedName>
    <definedName name="ForecastDetail" localSheetId="17">#REF!</definedName>
    <definedName name="ForecastDetail" localSheetId="29">#REF!</definedName>
    <definedName name="ForecastDetail" localSheetId="3">#REF!</definedName>
    <definedName name="ForecastDetail" localSheetId="16">#REF!</definedName>
    <definedName name="ForecastDetail" localSheetId="19">#REF!</definedName>
    <definedName name="ForecastDetail" localSheetId="20">#REF!</definedName>
    <definedName name="ForecastDetail" localSheetId="43">#REF!</definedName>
    <definedName name="ForecastDetail">#REF!</definedName>
    <definedName name="Format" localSheetId="26">#REF!</definedName>
    <definedName name="Format" localSheetId="29">#REF!</definedName>
    <definedName name="Format" localSheetId="16">#REF!</definedName>
    <definedName name="Format" localSheetId="20">#REF!</definedName>
    <definedName name="Format" localSheetId="43">#REF!</definedName>
    <definedName name="Format">#REF!</definedName>
    <definedName name="Four_O_1_K" localSheetId="26">#REF!</definedName>
    <definedName name="Four_O_1_K" localSheetId="33">#REF!</definedName>
    <definedName name="Four_O_1_K" localSheetId="17">#REF!</definedName>
    <definedName name="Four_O_1_K" localSheetId="29">#REF!</definedName>
    <definedName name="Four_O_1_K" localSheetId="3">#REF!</definedName>
    <definedName name="Four_O_1_K" localSheetId="16">#REF!</definedName>
    <definedName name="Four_O_1_K" localSheetId="19">#REF!</definedName>
    <definedName name="Four_O_1_K" localSheetId="20">#REF!</definedName>
    <definedName name="Four_O_1_K" localSheetId="43">#REF!</definedName>
    <definedName name="Four_O_1_K">#REF!</definedName>
    <definedName name="FPLACE" localSheetId="26">#REF!</definedName>
    <definedName name="FPLACE" localSheetId="29">#REF!</definedName>
    <definedName name="FPLACE" localSheetId="16">#REF!</definedName>
    <definedName name="FPLACE" localSheetId="20">#REF!</definedName>
    <definedName name="FPLACE" localSheetId="43">#REF!</definedName>
    <definedName name="FPLACE">#REF!</definedName>
    <definedName name="FPORT" localSheetId="26">#REF!</definedName>
    <definedName name="FPORT" localSheetId="29">#REF!</definedName>
    <definedName name="FPORT" localSheetId="16">#REF!</definedName>
    <definedName name="FPORT" localSheetId="20">#REF!</definedName>
    <definedName name="FPORT" localSheetId="43">#REF!</definedName>
    <definedName name="FPORT">#REF!</definedName>
    <definedName name="FREIGHT_TRNASFERED_FROM_D101" localSheetId="26">#REF!</definedName>
    <definedName name="FREIGHT_TRNASFERED_FROM_D101" localSheetId="29">#REF!</definedName>
    <definedName name="FREIGHT_TRNASFERED_FROM_D101" localSheetId="16">#REF!</definedName>
    <definedName name="FREIGHT_TRNASFERED_FROM_D101" localSheetId="20">#REF!</definedName>
    <definedName name="FREIGHT_TRNASFERED_FROM_D101" localSheetId="43">#REF!</definedName>
    <definedName name="FREIGHT_TRNASFERED_FROM_D101">#REF!</definedName>
    <definedName name="FRT" localSheetId="26">#REF!</definedName>
    <definedName name="FRT" localSheetId="29">#REF!</definedName>
    <definedName name="FRT" localSheetId="16">#REF!</definedName>
    <definedName name="FRT" localSheetId="20">#REF!</definedName>
    <definedName name="FRT" localSheetId="43">#REF!</definedName>
    <definedName name="FRT">#REF!</definedName>
    <definedName name="fsaew" localSheetId="26">#REF!</definedName>
    <definedName name="fsaew" localSheetId="29">#REF!</definedName>
    <definedName name="fsaew" localSheetId="16">#REF!</definedName>
    <definedName name="fsaew" localSheetId="20">#REF!</definedName>
    <definedName name="fsaew" localSheetId="43">#REF!</definedName>
    <definedName name="fsaew">#REF!</definedName>
    <definedName name="FTEs" localSheetId="26">#REF!</definedName>
    <definedName name="FTEs" localSheetId="33">#REF!</definedName>
    <definedName name="FTEs" localSheetId="17">#REF!</definedName>
    <definedName name="FTEs" localSheetId="29">#REF!</definedName>
    <definedName name="FTEs" localSheetId="3">#REF!</definedName>
    <definedName name="FTEs" localSheetId="16">#REF!</definedName>
    <definedName name="FTEs" localSheetId="19">#REF!</definedName>
    <definedName name="FTEs" localSheetId="20">#REF!</definedName>
    <definedName name="FTEs" localSheetId="43">#REF!</definedName>
    <definedName name="FTEs">#REF!</definedName>
    <definedName name="Full_Print" localSheetId="26">#REF!</definedName>
    <definedName name="Full_Print" localSheetId="29">#REF!</definedName>
    <definedName name="Full_Print" localSheetId="16">#REF!</definedName>
    <definedName name="Full_Print" localSheetId="20">#REF!</definedName>
    <definedName name="Full_Print" localSheetId="43">#REF!</definedName>
    <definedName name="Full_Print">#REF!</definedName>
    <definedName name="fur" localSheetId="26">#REF!</definedName>
    <definedName name="fur" localSheetId="29">#REF!</definedName>
    <definedName name="fur" localSheetId="16">#REF!</definedName>
    <definedName name="fur" localSheetId="20">#REF!</definedName>
    <definedName name="fur" localSheetId="43">#REF!</definedName>
    <definedName name="fur">#REF!</definedName>
    <definedName name="g" localSheetId="26">[2]PBCLIST!#REF!</definedName>
    <definedName name="g" localSheetId="33">[2]PBCLIST!#REF!</definedName>
    <definedName name="g" localSheetId="17">[2]PBCLIST!#REF!</definedName>
    <definedName name="g" localSheetId="18">[2]PBCLIST!#REF!</definedName>
    <definedName name="g" localSheetId="29">[2]PBCLIST!#REF!</definedName>
    <definedName name="g" localSheetId="3">[2]PBCLIST!#REF!</definedName>
    <definedName name="g" localSheetId="16">[2]PBCLIST!#REF!</definedName>
    <definedName name="g" localSheetId="19">[2]PBCLIST!#REF!</definedName>
    <definedName name="g" localSheetId="20">[2]PBCLIST!#REF!</definedName>
    <definedName name="g" localSheetId="43">[2]PBCLIST!#REF!</definedName>
    <definedName name="g">[2]PBCLIST!#REF!</definedName>
    <definedName name="GANINF">#N/A</definedName>
    <definedName name="GAPq403">'[52]LINK GAP'!$CJ$1:$CM$65536</definedName>
    <definedName name="gb" localSheetId="26">#REF!</definedName>
    <definedName name="gb" localSheetId="33">#REF!</definedName>
    <definedName name="gb" localSheetId="17">#REF!</definedName>
    <definedName name="gb" localSheetId="29">#REF!</definedName>
    <definedName name="gb" localSheetId="3">#REF!</definedName>
    <definedName name="gb" localSheetId="16">#REF!</definedName>
    <definedName name="gb" localSheetId="19">#REF!</definedName>
    <definedName name="gb" localSheetId="20">#REF!</definedName>
    <definedName name="gb" localSheetId="43">#REF!</definedName>
    <definedName name="gb">#REF!</definedName>
    <definedName name="ge" localSheetId="26">#REF!</definedName>
    <definedName name="ge" localSheetId="33">#REF!</definedName>
    <definedName name="ge" localSheetId="17">#REF!</definedName>
    <definedName name="ge" localSheetId="29">#REF!</definedName>
    <definedName name="ge" localSheetId="3">#REF!</definedName>
    <definedName name="ge" localSheetId="16">#REF!</definedName>
    <definedName name="ge" localSheetId="19">#REF!</definedName>
    <definedName name="ge" localSheetId="20">#REF!</definedName>
    <definedName name="ge" localSheetId="43">#REF!</definedName>
    <definedName name="ge">#REF!</definedName>
    <definedName name="ger" localSheetId="26">#REF!</definedName>
    <definedName name="ger" localSheetId="29">#REF!</definedName>
    <definedName name="ger" localSheetId="16">#REF!</definedName>
    <definedName name="ger" localSheetId="20">#REF!</definedName>
    <definedName name="ger" localSheetId="43">#REF!</definedName>
    <definedName name="ger">#REF!</definedName>
    <definedName name="gerg" localSheetId="26">#REF!</definedName>
    <definedName name="gerg" localSheetId="29">#REF!</definedName>
    <definedName name="gerg" localSheetId="16">#REF!</definedName>
    <definedName name="gerg" localSheetId="20">#REF!</definedName>
    <definedName name="gerg" localSheetId="43">#REF!</definedName>
    <definedName name="gerg">#REF!</definedName>
    <definedName name="ggsawe" localSheetId="26">#REF!</definedName>
    <definedName name="ggsawe" localSheetId="29">#REF!</definedName>
    <definedName name="ggsawe" localSheetId="16">#REF!</definedName>
    <definedName name="ggsawe" localSheetId="20">#REF!</definedName>
    <definedName name="ggsawe" localSheetId="43">#REF!</definedName>
    <definedName name="ggsawe">#REF!</definedName>
    <definedName name="ghse" localSheetId="26">#REF!</definedName>
    <definedName name="ghse" localSheetId="29">#REF!</definedName>
    <definedName name="ghse" localSheetId="16">#REF!</definedName>
    <definedName name="ghse" localSheetId="20">#REF!</definedName>
    <definedName name="ghse" localSheetId="43">#REF!</definedName>
    <definedName name="ghse">#REF!</definedName>
    <definedName name="gita" localSheetId="26">#REF!</definedName>
    <definedName name="gita" localSheetId="29">#REF!</definedName>
    <definedName name="gita" localSheetId="16">#REF!</definedName>
    <definedName name="gita" localSheetId="20">#REF!</definedName>
    <definedName name="gita" localSheetId="43">#REF!</definedName>
    <definedName name="gita">#REF!</definedName>
    <definedName name="GLcodes" localSheetId="23">[53]Masters1!#REF!</definedName>
    <definedName name="GLcodes" localSheetId="18">[53]Masters1!#REF!</definedName>
    <definedName name="GLcodes" localSheetId="29">[53]Masters1!#REF!</definedName>
    <definedName name="GLcodes" localSheetId="16">[53]Masters1!#REF!</definedName>
    <definedName name="GLcodes" localSheetId="20">[53]Masters1!#REF!</definedName>
    <definedName name="GLcodes" localSheetId="43">[53]Masters1!#REF!</definedName>
    <definedName name="GLcodes">[53]Masters1!#REF!</definedName>
    <definedName name="goatrial" localSheetId="26">#REF!</definedName>
    <definedName name="goatrial" localSheetId="33">#REF!</definedName>
    <definedName name="goatrial" localSheetId="17">#REF!</definedName>
    <definedName name="goatrial" localSheetId="29">#REF!</definedName>
    <definedName name="goatrial" localSheetId="3">#REF!</definedName>
    <definedName name="goatrial" localSheetId="16">#REF!</definedName>
    <definedName name="goatrial" localSheetId="19">#REF!</definedName>
    <definedName name="goatrial" localSheetId="20">#REF!</definedName>
    <definedName name="goatrial" localSheetId="43">#REF!</definedName>
    <definedName name="goatrial">#REF!</definedName>
    <definedName name="gp" localSheetId="26">#REF!</definedName>
    <definedName name="gp" localSheetId="33">#REF!</definedName>
    <definedName name="gp" localSheetId="17">#REF!</definedName>
    <definedName name="gp" localSheetId="29">#REF!</definedName>
    <definedName name="gp" localSheetId="3">#REF!</definedName>
    <definedName name="gp" localSheetId="16">#REF!</definedName>
    <definedName name="gp" localSheetId="19">#REF!</definedName>
    <definedName name="gp" localSheetId="20">#REF!</definedName>
    <definedName name="gp" localSheetId="43">#REF!</definedName>
    <definedName name="gp">#REF!</definedName>
    <definedName name="GRF_Graphs" localSheetId="26">#REF!</definedName>
    <definedName name="GRF_Graphs" localSheetId="33">#REF!</definedName>
    <definedName name="GRF_Graphs" localSheetId="17">#REF!</definedName>
    <definedName name="GRF_Graphs" localSheetId="29">#REF!</definedName>
    <definedName name="GRF_Graphs" localSheetId="3">#REF!</definedName>
    <definedName name="GRF_Graphs" localSheetId="16">#REF!</definedName>
    <definedName name="GRF_Graphs" localSheetId="19">#REF!</definedName>
    <definedName name="GRF_Graphs" localSheetId="20">#REF!</definedName>
    <definedName name="GRF_Graphs" localSheetId="43">#REF!</definedName>
    <definedName name="GRF_Graphs">#REF!</definedName>
    <definedName name="GROSS_CHA" localSheetId="26">#REF!</definedName>
    <definedName name="GROSS_CHA" localSheetId="29">#REF!</definedName>
    <definedName name="GROSS_CHA" localSheetId="16">#REF!</definedName>
    <definedName name="GROSS_CHA" localSheetId="20">#REF!</definedName>
    <definedName name="GROSS_CHA" localSheetId="43">#REF!</definedName>
    <definedName name="GROSS_CHA">#REF!</definedName>
    <definedName name="GROSS_F216" localSheetId="26">#REF!</definedName>
    <definedName name="GROSS_F216" localSheetId="29">#REF!</definedName>
    <definedName name="GROSS_F216" localSheetId="16">#REF!</definedName>
    <definedName name="GROSS_F216" localSheetId="20">#REF!</definedName>
    <definedName name="GROSS_F216" localSheetId="43">#REF!</definedName>
    <definedName name="GROSS_F216">#REF!</definedName>
    <definedName name="Gross_Margin___Rs_M" localSheetId="26">#REF!</definedName>
    <definedName name="Gross_Margin___Rs_M" localSheetId="33">#REF!</definedName>
    <definedName name="Gross_Margin___Rs_M" localSheetId="17">#REF!</definedName>
    <definedName name="Gross_Margin___Rs_M" localSheetId="29">#REF!</definedName>
    <definedName name="Gross_Margin___Rs_M" localSheetId="3">#REF!</definedName>
    <definedName name="Gross_Margin___Rs_M" localSheetId="16">#REF!</definedName>
    <definedName name="Gross_Margin___Rs_M" localSheetId="19">#REF!</definedName>
    <definedName name="Gross_Margin___Rs_M" localSheetId="20">#REF!</definedName>
    <definedName name="Gross_Margin___Rs_M" localSheetId="43">#REF!</definedName>
    <definedName name="Gross_Margin___Rs_M">#REF!</definedName>
    <definedName name="GROSSPFT" localSheetId="26">#REF!</definedName>
    <definedName name="GROSSPFT" localSheetId="33">#REF!</definedName>
    <definedName name="GROSSPFT" localSheetId="17">#REF!</definedName>
    <definedName name="GROSSPFT" localSheetId="29">#REF!</definedName>
    <definedName name="GROSSPFT" localSheetId="3">#REF!</definedName>
    <definedName name="GROSSPFT" localSheetId="16">#REF!</definedName>
    <definedName name="GROSSPFT" localSheetId="19">#REF!</definedName>
    <definedName name="GROSSPFT" localSheetId="20">#REF!</definedName>
    <definedName name="GROSSPFT" localSheetId="43">#REF!</definedName>
    <definedName name="GROSSPFT">#REF!</definedName>
    <definedName name="Group1" localSheetId="26">#REF!</definedName>
    <definedName name="Group1" localSheetId="33">#REF!</definedName>
    <definedName name="Group1" localSheetId="17">#REF!</definedName>
    <definedName name="Group1" localSheetId="29">#REF!</definedName>
    <definedName name="Group1" localSheetId="3">#REF!</definedName>
    <definedName name="Group1" localSheetId="16">#REF!</definedName>
    <definedName name="Group1" localSheetId="5">#REF!</definedName>
    <definedName name="Group1" localSheetId="19">#REF!</definedName>
    <definedName name="Group1" localSheetId="20">#REF!</definedName>
    <definedName name="Group1" localSheetId="43">#REF!</definedName>
    <definedName name="Group1">#REF!</definedName>
    <definedName name="Group2" localSheetId="26">#REF!</definedName>
    <definedName name="Group2" localSheetId="33">#REF!</definedName>
    <definedName name="Group2" localSheetId="17">#REF!</definedName>
    <definedName name="Group2" localSheetId="29">#REF!</definedName>
    <definedName name="Group2" localSheetId="3">#REF!</definedName>
    <definedName name="Group2" localSheetId="16">#REF!</definedName>
    <definedName name="Group2" localSheetId="5">#REF!</definedName>
    <definedName name="Group2" localSheetId="19">#REF!</definedName>
    <definedName name="Group2" localSheetId="20">#REF!</definedName>
    <definedName name="Group2" localSheetId="43">#REF!</definedName>
    <definedName name="Group2">#REF!</definedName>
    <definedName name="groupings" localSheetId="26">#REF!</definedName>
    <definedName name="groupings" localSheetId="29">#REF!</definedName>
    <definedName name="groupings" localSheetId="16">#REF!</definedName>
    <definedName name="groupings" localSheetId="20">#REF!</definedName>
    <definedName name="groupings" localSheetId="43">#REF!</definedName>
    <definedName name="groupings">#REF!</definedName>
    <definedName name="Gsoh" localSheetId="26">#REF!</definedName>
    <definedName name="Gsoh" localSheetId="33">#REF!</definedName>
    <definedName name="Gsoh" localSheetId="17">#REF!</definedName>
    <definedName name="Gsoh" localSheetId="29">#REF!</definedName>
    <definedName name="Gsoh" localSheetId="3">#REF!</definedName>
    <definedName name="Gsoh" localSheetId="16">#REF!</definedName>
    <definedName name="Gsoh" localSheetId="19">#REF!</definedName>
    <definedName name="Gsoh" localSheetId="20">#REF!</definedName>
    <definedName name="Gsoh" localSheetId="43">#REF!</definedName>
    <definedName name="Gsoh">#REF!</definedName>
    <definedName name="gsoh1" localSheetId="26">#REF!</definedName>
    <definedName name="gsoh1" localSheetId="33">#REF!</definedName>
    <definedName name="gsoh1" localSheetId="17">#REF!</definedName>
    <definedName name="gsoh1" localSheetId="29">#REF!</definedName>
    <definedName name="gsoh1" localSheetId="3">#REF!</definedName>
    <definedName name="gsoh1" localSheetId="16">#REF!</definedName>
    <definedName name="gsoh1" localSheetId="19">#REF!</definedName>
    <definedName name="gsoh1" localSheetId="20">#REF!</definedName>
    <definedName name="gsoh1" localSheetId="43">#REF!</definedName>
    <definedName name="gsoh1">#REF!</definedName>
    <definedName name="GTOS.INSTAL." localSheetId="26">#REF!</definedName>
    <definedName name="GTOS.INSTAL." localSheetId="33">#REF!</definedName>
    <definedName name="GTOS.INSTAL." localSheetId="17">#REF!</definedName>
    <definedName name="GTOS.INSTAL." localSheetId="29">#REF!</definedName>
    <definedName name="GTOS.INSTAL." localSheetId="3">#REF!</definedName>
    <definedName name="GTOS.INSTAL." localSheetId="16">#REF!</definedName>
    <definedName name="GTOS.INSTAL." localSheetId="19">#REF!</definedName>
    <definedName name="GTOS.INSTAL." localSheetId="20">#REF!</definedName>
    <definedName name="GTOS.INSTAL." localSheetId="43">#REF!</definedName>
    <definedName name="GTOS.INSTAL.">#REF!</definedName>
    <definedName name="h" localSheetId="26">#REF!</definedName>
    <definedName name="h" localSheetId="33">#REF!</definedName>
    <definedName name="h" localSheetId="17">#REF!</definedName>
    <definedName name="h" localSheetId="29">#REF!</definedName>
    <definedName name="h" localSheetId="3">#REF!</definedName>
    <definedName name="h" localSheetId="16">#REF!</definedName>
    <definedName name="h" localSheetId="19">#REF!</definedName>
    <definedName name="h" localSheetId="20">#REF!</definedName>
    <definedName name="h" localSheetId="43">#REF!</definedName>
    <definedName name="h">#REF!</definedName>
    <definedName name="H1_Projections">"h1printarea"</definedName>
    <definedName name="Head_office" localSheetId="26">'[54]C-21(b)'!#REF!</definedName>
    <definedName name="Head_office" localSheetId="33">'[54]C-21(b)'!#REF!</definedName>
    <definedName name="Head_office" localSheetId="23">'[54]C-21(b)'!#REF!</definedName>
    <definedName name="Head_office" localSheetId="18">'[54]C-21(b)'!#REF!</definedName>
    <definedName name="Head_office" localSheetId="29">'[54]C-21(b)'!#REF!</definedName>
    <definedName name="Head_office" localSheetId="16">'[54]C-21(b)'!#REF!</definedName>
    <definedName name="Head_office" localSheetId="20">'[54]C-21(b)'!#REF!</definedName>
    <definedName name="Head_office" localSheetId="43">'[54]C-21(b)'!#REF!</definedName>
    <definedName name="Head_office">'[54]C-21(b)'!#REF!</definedName>
    <definedName name="HEADER" localSheetId="26">#REF!</definedName>
    <definedName name="HEADER" localSheetId="33">#REF!</definedName>
    <definedName name="HEADER" localSheetId="17">#REF!</definedName>
    <definedName name="HEADER" localSheetId="29">#REF!</definedName>
    <definedName name="HEADER" localSheetId="3">#REF!</definedName>
    <definedName name="HEADER" localSheetId="16">#REF!</definedName>
    <definedName name="HEADER" localSheetId="19">#REF!</definedName>
    <definedName name="HEADER" localSheetId="20">#REF!</definedName>
    <definedName name="HEADER" localSheetId="43">#REF!</definedName>
    <definedName name="HEADER">#REF!</definedName>
    <definedName name="Header_Row" localSheetId="26">ROW(#REF!)</definedName>
    <definedName name="Header_Row">ROW(#REF!)</definedName>
    <definedName name="Health" localSheetId="26">#REF!</definedName>
    <definedName name="Health" localSheetId="33">#REF!</definedName>
    <definedName name="Health" localSheetId="17">#REF!</definedName>
    <definedName name="Health" localSheetId="29">#REF!</definedName>
    <definedName name="Health" localSheetId="3">#REF!</definedName>
    <definedName name="Health" localSheetId="16">#REF!</definedName>
    <definedName name="Health" localSheetId="19">#REF!</definedName>
    <definedName name="Health" localSheetId="20">#REF!</definedName>
    <definedName name="Health" localSheetId="43">#REF!</definedName>
    <definedName name="Health">#REF!</definedName>
    <definedName name="HRCD" localSheetId="26">#REF!</definedName>
    <definedName name="HRCD" localSheetId="29">#REF!</definedName>
    <definedName name="HRCD" localSheetId="16">#REF!</definedName>
    <definedName name="HRCD" localSheetId="20">#REF!</definedName>
    <definedName name="HRCD" localSheetId="43">#REF!</definedName>
    <definedName name="HRCD">#REF!</definedName>
    <definedName name="HRCE" localSheetId="26">#REF!</definedName>
    <definedName name="HRCE" localSheetId="29">#REF!</definedName>
    <definedName name="HRCE" localSheetId="16">#REF!</definedName>
    <definedName name="HRCE" localSheetId="20">#REF!</definedName>
    <definedName name="HRCE" localSheetId="43">#REF!</definedName>
    <definedName name="HRCE">#REF!</definedName>
    <definedName name="HRCI" localSheetId="26">#REF!</definedName>
    <definedName name="HRCI" localSheetId="29">#REF!</definedName>
    <definedName name="HRCI" localSheetId="16">#REF!</definedName>
    <definedName name="HRCI" localSheetId="20">#REF!</definedName>
    <definedName name="HRCI" localSheetId="43">#REF!</definedName>
    <definedName name="HRCI">#REF!</definedName>
    <definedName name="HRS" localSheetId="26">#REF!</definedName>
    <definedName name="HRS" localSheetId="29">#REF!</definedName>
    <definedName name="HRS" localSheetId="16">#REF!</definedName>
    <definedName name="HRS" localSheetId="20">#REF!</definedName>
    <definedName name="HRS" localSheetId="43">#REF!</definedName>
    <definedName name="HRS">#REF!</definedName>
    <definedName name="HTML_CodePage" hidden="1">1252</definedName>
    <definedName name="HTML_Control" localSheetId="26" hidden="1">{"'Sheet1'!$A$4386:$N$4591"}</definedName>
    <definedName name="HTML_Control" localSheetId="23" hidden="1">{"'Sheet1'!$A$4386:$N$4591"}</definedName>
    <definedName name="HTML_Control" localSheetId="18" hidden="1">{"'Sheet1'!$A$4386:$N$4591"}</definedName>
    <definedName name="HTML_Control" localSheetId="10" hidden="1">{"'Sheet1'!$A$4386:$N$4591"}</definedName>
    <definedName name="HTML_Control" localSheetId="29" hidden="1">{"'Sheet1'!$A$4386:$N$4591"}</definedName>
    <definedName name="HTML_Control" localSheetId="16" hidden="1">{"'Sheet1'!$A$4386:$N$4591"}</definedName>
    <definedName name="HTML_Control" localSheetId="20" hidden="1">{"'Sheet1'!$A$4386:$N$4591"}</definedName>
    <definedName name="HTML_Control" localSheetId="43" hidden="1">{"'Sheet1'!$A$4386:$N$4591"}</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uman2" localSheetId="26">#REF!</definedName>
    <definedName name="Human2" localSheetId="33">#REF!</definedName>
    <definedName name="Human2" localSheetId="17">#REF!</definedName>
    <definedName name="Human2" localSheetId="48">#REF!</definedName>
    <definedName name="Human2" localSheetId="29">#REF!</definedName>
    <definedName name="Human2" localSheetId="3">#REF!</definedName>
    <definedName name="Human2" localSheetId="35">#REF!</definedName>
    <definedName name="Human2" localSheetId="16">#REF!</definedName>
    <definedName name="Human2" localSheetId="5">#REF!</definedName>
    <definedName name="Human2" localSheetId="19">#REF!</definedName>
    <definedName name="Human2" localSheetId="20">#REF!</definedName>
    <definedName name="Human2" localSheetId="43">#REF!</definedName>
    <definedName name="Human2">#REF!</definedName>
    <definedName name="HYPERLINK" localSheetId="26">#REF!</definedName>
    <definedName name="HYPERLINK" localSheetId="29">#REF!</definedName>
    <definedName name="HYPERLINK" localSheetId="16">#REF!</definedName>
    <definedName name="HYPERLINK" localSheetId="20">#REF!</definedName>
    <definedName name="HYPERLINK" localSheetId="43">#REF!</definedName>
    <definedName name="HYPERLINK">#REF!</definedName>
    <definedName name="HYPERLINL" localSheetId="26">#REF!</definedName>
    <definedName name="HYPERLINL" localSheetId="29">#REF!</definedName>
    <definedName name="HYPERLINL" localSheetId="16">#REF!</definedName>
    <definedName name="HYPERLINL" localSheetId="20">#REF!</definedName>
    <definedName name="HYPERLINL" localSheetId="43">#REF!</definedName>
    <definedName name="HYPERLINL">#REF!</definedName>
    <definedName name="i" localSheetId="26">#REF!</definedName>
    <definedName name="i" localSheetId="33">#REF!</definedName>
    <definedName name="i" localSheetId="17">#REF!</definedName>
    <definedName name="i" localSheetId="29">#REF!</definedName>
    <definedName name="i" localSheetId="3">#REF!</definedName>
    <definedName name="i" localSheetId="16">#REF!</definedName>
    <definedName name="i" localSheetId="19">#REF!</definedName>
    <definedName name="i" localSheetId="20">#REF!</definedName>
    <definedName name="i" localSheetId="43">#REF!</definedName>
    <definedName name="i">#REF!</definedName>
    <definedName name="I.Furniture_and_Fixtures" localSheetId="26">#REF!</definedName>
    <definedName name="I.Furniture_and_Fixtures" localSheetId="33">#REF!</definedName>
    <definedName name="I.Furniture_and_Fixtures" localSheetId="17">#REF!</definedName>
    <definedName name="I.Furniture_and_Fixtures" localSheetId="29">#REF!</definedName>
    <definedName name="I.Furniture_and_Fixtures" localSheetId="3">#REF!</definedName>
    <definedName name="I.Furniture_and_Fixtures" localSheetId="16">#REF!</definedName>
    <definedName name="I.Furniture_and_Fixtures" localSheetId="19">#REF!</definedName>
    <definedName name="I.Furniture_and_Fixtures" localSheetId="20">#REF!</definedName>
    <definedName name="I.Furniture_and_Fixtures" localSheetId="43">#REF!</definedName>
    <definedName name="I.Furniture_and_Fixtures">#REF!</definedName>
    <definedName name="iAli1_ConvToMio_Alias01">[55]Input!$L$21</definedName>
    <definedName name="iAli2_ConvToMio_Alias01">[55]Input!$M$21</definedName>
    <definedName name="icog" localSheetId="26">#REF!</definedName>
    <definedName name="icog" localSheetId="18">#REF!</definedName>
    <definedName name="icog" localSheetId="29">#REF!</definedName>
    <definedName name="icog" localSheetId="16">#REF!</definedName>
    <definedName name="icog" localSheetId="20">#REF!</definedName>
    <definedName name="icog" localSheetId="43">#REF!</definedName>
    <definedName name="icog">#REF!</definedName>
    <definedName name="ID" localSheetId="26">#REF!</definedName>
    <definedName name="ID" localSheetId="29">#REF!</definedName>
    <definedName name="ID" localSheetId="16">#REF!</definedName>
    <definedName name="ID" localSheetId="20">#REF!</definedName>
    <definedName name="ID" localSheetId="43">#REF!</definedName>
    <definedName name="ID">#REF!</definedName>
    <definedName name="iDefTx1">[55]Input!$L$1</definedName>
    <definedName name="iDefTx2">[55]Input!$M$1</definedName>
    <definedName name="II.Computer" localSheetId="26">#REF!</definedName>
    <definedName name="II.Computer" localSheetId="33">#REF!</definedName>
    <definedName name="II.Computer" localSheetId="17">#REF!</definedName>
    <definedName name="II.Computer" localSheetId="29">#REF!</definedName>
    <definedName name="II.Computer" localSheetId="3">#REF!</definedName>
    <definedName name="II.Computer" localSheetId="16">#REF!</definedName>
    <definedName name="II.Computer" localSheetId="19">#REF!</definedName>
    <definedName name="II.Computer" localSheetId="20">#REF!</definedName>
    <definedName name="II.Computer" localSheetId="43">#REF!</definedName>
    <definedName name="II.Computer">#REF!</definedName>
    <definedName name="III._Office_Equipment" localSheetId="26">#REF!</definedName>
    <definedName name="III._Office_Equipment" localSheetId="33">#REF!</definedName>
    <definedName name="III._Office_Equipment" localSheetId="17">#REF!</definedName>
    <definedName name="III._Office_Equipment" localSheetId="29">#REF!</definedName>
    <definedName name="III._Office_Equipment" localSheetId="3">#REF!</definedName>
    <definedName name="III._Office_Equipment" localSheetId="16">#REF!</definedName>
    <definedName name="III._Office_Equipment" localSheetId="19">#REF!</definedName>
    <definedName name="III._Office_Equipment" localSheetId="20">#REF!</definedName>
    <definedName name="III._Office_Equipment" localSheetId="43">#REF!</definedName>
    <definedName name="III._Office_Equipment">#REF!</definedName>
    <definedName name="Inc_Stmt" localSheetId="26">#REF!</definedName>
    <definedName name="Inc_Stmt" localSheetId="33">#REF!</definedName>
    <definedName name="Inc_Stmt" localSheetId="17">#REF!</definedName>
    <definedName name="Inc_Stmt" localSheetId="29">#REF!</definedName>
    <definedName name="Inc_Stmt" localSheetId="3">#REF!</definedName>
    <definedName name="Inc_Stmt" localSheetId="16">#REF!</definedName>
    <definedName name="Inc_Stmt" localSheetId="19">#REF!</definedName>
    <definedName name="Inc_Stmt" localSheetId="20">#REF!</definedName>
    <definedName name="Inc_Stmt" localSheetId="43">#REF!</definedName>
    <definedName name="Inc_Stmt">#REF!</definedName>
    <definedName name="IncomeStatement" localSheetId="26">#REF!</definedName>
    <definedName name="IncomeStatement" localSheetId="33">#REF!</definedName>
    <definedName name="IncomeStatement" localSheetId="17">#REF!</definedName>
    <definedName name="IncomeStatement" localSheetId="29">#REF!</definedName>
    <definedName name="IncomeStatement" localSheetId="3">#REF!</definedName>
    <definedName name="IncomeStatement" localSheetId="16">#REF!</definedName>
    <definedName name="IncomeStatement" localSheetId="19">#REF!</definedName>
    <definedName name="IncomeStatement" localSheetId="20">#REF!</definedName>
    <definedName name="IncomeStatement" localSheetId="43">#REF!</definedName>
    <definedName name="IncomeStatement">#REF!</definedName>
    <definedName name="Incr_Sal" localSheetId="26">#REF!</definedName>
    <definedName name="Incr_Sal" localSheetId="33">#REF!</definedName>
    <definedName name="Incr_Sal" localSheetId="17">#REF!</definedName>
    <definedName name="Incr_Sal" localSheetId="48">#REF!</definedName>
    <definedName name="Incr_Sal" localSheetId="29">#REF!</definedName>
    <definedName name="Incr_Sal" localSheetId="3">#REF!</definedName>
    <definedName name="Incr_Sal" localSheetId="35">#REF!</definedName>
    <definedName name="Incr_Sal" localSheetId="16">#REF!</definedName>
    <definedName name="Incr_Sal" localSheetId="5">#REF!</definedName>
    <definedName name="Incr_Sal" localSheetId="19">#REF!</definedName>
    <definedName name="Incr_Sal" localSheetId="20">#REF!</definedName>
    <definedName name="Incr_Sal" localSheetId="43">#REF!</definedName>
    <definedName name="Incr_Sal">#REF!</definedName>
    <definedName name="IND" localSheetId="26">#REF!</definedName>
    <definedName name="IND" localSheetId="29">#REF!</definedName>
    <definedName name="IND" localSheetId="16">#REF!</definedName>
    <definedName name="IND" localSheetId="20">#REF!</definedName>
    <definedName name="IND" localSheetId="43">#REF!</definedName>
    <definedName name="IND">#REF!</definedName>
    <definedName name="INDIA_PLASTIC_in_KUSD" localSheetId="26">#REF!</definedName>
    <definedName name="INDIA_PLASTIC_in_KUSD" localSheetId="33">#REF!</definedName>
    <definedName name="INDIA_PLASTIC_in_KUSD" localSheetId="17">#REF!</definedName>
    <definedName name="INDIA_PLASTIC_in_KUSD" localSheetId="48">#REF!</definedName>
    <definedName name="INDIA_PLASTIC_in_KUSD" localSheetId="29">#REF!</definedName>
    <definedName name="INDIA_PLASTIC_in_KUSD" localSheetId="3">#REF!</definedName>
    <definedName name="INDIA_PLASTIC_in_KUSD" localSheetId="35">#REF!</definedName>
    <definedName name="INDIA_PLASTIC_in_KUSD" localSheetId="16">#REF!</definedName>
    <definedName name="INDIA_PLASTIC_in_KUSD" localSheetId="19">#REF!</definedName>
    <definedName name="INDIA_PLASTIC_in_KUSD" localSheetId="20">#REF!</definedName>
    <definedName name="INDIA_PLASTIC_in_KUSD" localSheetId="43">#REF!</definedName>
    <definedName name="INDIA_PLASTIC_in_KUSD">#REF!</definedName>
    <definedName name="InfoTech2" localSheetId="26">#REF!</definedName>
    <definedName name="InfoTech2" localSheetId="33">#REF!</definedName>
    <definedName name="InfoTech2" localSheetId="17">#REF!</definedName>
    <definedName name="InfoTech2" localSheetId="29">#REF!</definedName>
    <definedName name="InfoTech2" localSheetId="3">#REF!</definedName>
    <definedName name="InfoTech2" localSheetId="16">#REF!</definedName>
    <definedName name="InfoTech2" localSheetId="5">#REF!</definedName>
    <definedName name="InfoTech2" localSheetId="19">#REF!</definedName>
    <definedName name="InfoTech2" localSheetId="20">#REF!</definedName>
    <definedName name="InfoTech2" localSheetId="43">#REF!</definedName>
    <definedName name="InfoTech2">#REF!</definedName>
    <definedName name="INS" localSheetId="26">#REF!</definedName>
    <definedName name="INS" localSheetId="29">#REF!</definedName>
    <definedName name="INS" localSheetId="16">#REF!</definedName>
    <definedName name="INS" localSheetId="20">#REF!</definedName>
    <definedName name="INS" localSheetId="43">#REF!</definedName>
    <definedName name="INS">#REF!</definedName>
    <definedName name="Int" localSheetId="26">#REF!</definedName>
    <definedName name="Int" localSheetId="29">#REF!</definedName>
    <definedName name="Int" localSheetId="16">#REF!</definedName>
    <definedName name="Int" localSheetId="20">#REF!</definedName>
    <definedName name="Int" localSheetId="43">#REF!</definedName>
    <definedName name="Int">#REF!</definedName>
    <definedName name="Interest" localSheetId="26">#REF!</definedName>
    <definedName name="Interest" localSheetId="29">#REF!</definedName>
    <definedName name="Interest" localSheetId="16">#REF!</definedName>
    <definedName name="Interest" localSheetId="20">#REF!</definedName>
    <definedName name="Interest" localSheetId="43">#REF!</definedName>
    <definedName name="Interest">#REF!</definedName>
    <definedName name="Interest_Rate" localSheetId="26">#REF!</definedName>
    <definedName name="Interest_Rate" localSheetId="29">#REF!</definedName>
    <definedName name="Interest_Rate" localSheetId="16">#REF!</definedName>
    <definedName name="Interest_Rate" localSheetId="20">#REF!</definedName>
    <definedName name="Interest_Rate" localSheetId="43">#REF!</definedName>
    <definedName name="Interest_Rate">#REF!</definedName>
    <definedName name="INV" localSheetId="26">#REF!</definedName>
    <definedName name="INV" localSheetId="33">#REF!</definedName>
    <definedName name="INV" localSheetId="17">#REF!</definedName>
    <definedName name="INV" localSheetId="29">#REF!</definedName>
    <definedName name="INV" localSheetId="3">#REF!</definedName>
    <definedName name="INV" localSheetId="16">#REF!</definedName>
    <definedName name="INV" localSheetId="5">#REF!</definedName>
    <definedName name="INV" localSheetId="19">#REF!</definedName>
    <definedName name="INV" localSheetId="20">#REF!</definedName>
    <definedName name="INV" localSheetId="43">#REF!</definedName>
    <definedName name="INV">#REF!</definedName>
    <definedName name="Inv_No." localSheetId="26">#REF!</definedName>
    <definedName name="Inv_No." localSheetId="29">#REF!</definedName>
    <definedName name="Inv_No." localSheetId="16">#REF!</definedName>
    <definedName name="Inv_No." localSheetId="20">#REF!</definedName>
    <definedName name="Inv_No." localSheetId="43">#REF!</definedName>
    <definedName name="Inv_No.">#REF!</definedName>
    <definedName name="InvDate" localSheetId="26">#REF!</definedName>
    <definedName name="InvDate" localSheetId="29">#REF!</definedName>
    <definedName name="InvDate" localSheetId="16">#REF!</definedName>
    <definedName name="InvDate" localSheetId="20">#REF!</definedName>
    <definedName name="InvDate" localSheetId="43">#REF!</definedName>
    <definedName name="InvDate">#REF!</definedName>
    <definedName name="Inventory" localSheetId="26">#REF!</definedName>
    <definedName name="Inventory" localSheetId="29">#REF!</definedName>
    <definedName name="Inventory" localSheetId="16">#REF!</definedName>
    <definedName name="Inventory" localSheetId="20">#REF!</definedName>
    <definedName name="Inventory" localSheetId="43">#REF!</definedName>
    <definedName name="Inventory">#REF!</definedName>
    <definedName name="IRI" localSheetId="26">#REF!</definedName>
    <definedName name="IRI" localSheetId="29">#REF!</definedName>
    <definedName name="IRI" localSheetId="16">#REF!</definedName>
    <definedName name="IRI" localSheetId="20">#REF!</definedName>
    <definedName name="IRI" localSheetId="43">#REF!</definedName>
    <definedName name="IRI">#REF!</definedName>
    <definedName name="ISR">[42]Enero!$O$12:$R$19</definedName>
    <definedName name="It" localSheetId="26">#REF!</definedName>
    <definedName name="It" localSheetId="18">#REF!</definedName>
    <definedName name="It" localSheetId="29">#REF!</definedName>
    <definedName name="It" localSheetId="16">#REF!</definedName>
    <definedName name="It" localSheetId="20">#REF!</definedName>
    <definedName name="It" localSheetId="43">#REF!</definedName>
    <definedName name="It">#REF!</definedName>
    <definedName name="itdepmlpl" localSheetId="26">#REF!</definedName>
    <definedName name="itdepmlpl" localSheetId="33">#REF!</definedName>
    <definedName name="itdepmlpl" localSheetId="17">#REF!</definedName>
    <definedName name="itdepmlpl" localSheetId="29">#REF!</definedName>
    <definedName name="itdepmlpl" localSheetId="3">#REF!</definedName>
    <definedName name="itdepmlpl" localSheetId="16">#REF!</definedName>
    <definedName name="itdepmlpl" localSheetId="19">#REF!</definedName>
    <definedName name="itdepmlpl" localSheetId="20">#REF!</definedName>
    <definedName name="itdepmlpl" localSheetId="43">#REF!</definedName>
    <definedName name="itdepmlpl">#REF!</definedName>
    <definedName name="iTx1_AvgLOS_BedSurch">[55]Input!$J$34</definedName>
    <definedName name="iTx1_AvgLOS_HospAllow">[55]Input!$J$35</definedName>
    <definedName name="iTx1_AvgLOS_InpCare">[55]Input!$J$32</definedName>
    <definedName name="iTx1_BedSurcharge">[55]Input!$J$17</definedName>
    <definedName name="iTx1_BedSurcharge_day">[55]Input!$J$30</definedName>
    <definedName name="iTx1_Cases_BedSurch">[55]Input!$J$26</definedName>
    <definedName name="iTx1_Cases_HospAllow">[55]Input!$J$27</definedName>
    <definedName name="iTx1_Cases_InpatPhys">[55]Input!$J$25</definedName>
    <definedName name="iTx1_Cases_InpCare">[55]Input!$J$24</definedName>
    <definedName name="iTx1_ClaimsRatio">[55]Input!$J$2</definedName>
    <definedName name="iTx1_ClDental">[55]Input!$J$9</definedName>
    <definedName name="iTx1_ClHosp">[55]Input!$J$6</definedName>
    <definedName name="iTx1_ClHosp_Mio">[55]Input!$J$5</definedName>
    <definedName name="iTx1_ClIndem">[55]Input!$J$12</definedName>
    <definedName name="iTx1_ClMedAid">[55]Input!$J$11</definedName>
    <definedName name="iTx1_ClOutpDoc">[55]Input!$J$8</definedName>
    <definedName name="iTx1_ClPharma">[55]Input!$J$10</definedName>
    <definedName name="iTx1_ConvToMio">[55]Input!$J$7</definedName>
    <definedName name="iTx1_ConvToMio_Alias01">[55]Input!$J$21</definedName>
    <definedName name="iTx1_DailyHospAllow">[55]Input!$J$18</definedName>
    <definedName name="iTx1_DailyHospAllow_day">[55]Input!$J$31</definedName>
    <definedName name="iTx1_FullCovPolNo">[55]Input!$J$22</definedName>
    <definedName name="iTx1_FullCovPolPrem_Avg">[55]Input!$J$23</definedName>
    <definedName name="iTx1_InpatientCare">[55]Input!$J$15</definedName>
    <definedName name="iTx1_InpatientCare_day">[55]Input!$J$28</definedName>
    <definedName name="iTx1_InpatientPhys">[55]Input!$J$16</definedName>
    <definedName name="iTx1_InpatPhysUnits_Avg">[55]Input!$J$33</definedName>
    <definedName name="iTx1_OtherHospCosts">[55]Input!$J$19</definedName>
    <definedName name="iTx1_PhysPriceUnit">[55]Input!$J$29</definedName>
    <definedName name="iTx1_PrFull">[55]Input!$J$20</definedName>
    <definedName name="iTx1_PrFull_Mio">[55]Input!$J$13</definedName>
    <definedName name="iTx1_PrSuppl">[55]Input!$J$14</definedName>
    <definedName name="iTx1_TotClaimsPaid">[55]Input!$J$3</definedName>
    <definedName name="iTx1_TotPremWritten">[55]Input!$J$4</definedName>
    <definedName name="iTx2_AvgLOS_BedSurch">[55]Input!$K$34</definedName>
    <definedName name="iTx2_AvgLOS_HospAllow">[55]Input!$K$35</definedName>
    <definedName name="iTx2_AvgLOS_InpCare">[55]Input!$K$32</definedName>
    <definedName name="iTx2_BedSurcharge">[55]Input!$K$17</definedName>
    <definedName name="iTx2_BedSurcharge_day">[55]Input!$K$30</definedName>
    <definedName name="iTx2_Cases_BedSurch">[55]Input!$K$26</definedName>
    <definedName name="iTx2_Cases_HospAllow">[55]Input!$K$27</definedName>
    <definedName name="iTx2_Cases_InpatPhys">[55]Input!$K$25</definedName>
    <definedName name="iTx2_Cases_InpCare">[55]Input!$K$24</definedName>
    <definedName name="iTx2_ClaimsRatio">[55]Input!$K$2</definedName>
    <definedName name="iTx2_ClDental">[55]Input!$K$9</definedName>
    <definedName name="iTx2_ClHosp">[55]Input!$K$6</definedName>
    <definedName name="iTx2_ClHosp_Mio">[55]Input!$K$5</definedName>
    <definedName name="iTx2_ClIndem">[55]Input!$K$12</definedName>
    <definedName name="iTx2_ClMedAid">[55]Input!$K$11</definedName>
    <definedName name="iTx2_ClOutpDoc">[55]Input!$K$8</definedName>
    <definedName name="iTx2_ClPharma">[55]Input!$K$10</definedName>
    <definedName name="iTx2_ConvToMio">[55]Input!$K$7</definedName>
    <definedName name="iTx2_ConvToMio_Alias01">[55]Input!$K$21</definedName>
    <definedName name="iTx2_DailyHospAllow">[55]Input!$K$18</definedName>
    <definedName name="iTx2_DailyHospAllow_day">[55]Input!$K$31</definedName>
    <definedName name="iTx2_FullCovPolNo">[55]Input!$K$22</definedName>
    <definedName name="iTx2_FullCovPolPrem_Avg">[55]Input!$K$23</definedName>
    <definedName name="iTx2_InpatientCare">[55]Input!$K$15</definedName>
    <definedName name="iTx2_InpatientCare_day">[55]Input!$K$28</definedName>
    <definedName name="iTx2_InpatientPhys">[55]Input!$K$16</definedName>
    <definedName name="iTx2_InpatPhysUnits_Avg">[55]Input!$K$33</definedName>
    <definedName name="iTx2_OtherHospCosts">[55]Input!$K$19</definedName>
    <definedName name="iTx2_PhysPriceUnit">[55]Input!$K$29</definedName>
    <definedName name="iTx2_PrFull">[55]Input!$K$20</definedName>
    <definedName name="iTx2_PrFull_Mio">[55]Input!$K$13</definedName>
    <definedName name="iTx2_PrSuppl">[55]Input!$K$14</definedName>
    <definedName name="iTx2_TotClaimsPaid">[55]Input!$K$3</definedName>
    <definedName name="iTx2_TotPremWritten">[55]Input!$K$4</definedName>
    <definedName name="iVal1_AvgLOS_BedSurch">[55]Input!$L$34</definedName>
    <definedName name="iVal1_AvgLOS_HospAllow">[55]Input!$L$35</definedName>
    <definedName name="iVal1_AvgLOS_InpCare">[55]Input!$L$32</definedName>
    <definedName name="iVal1_BedSurcharge_day">[55]Input!$L$30</definedName>
    <definedName name="iVal1_Cases_BedSurch">[55]Input!$L$26</definedName>
    <definedName name="iVal1_Cases_HospAllow">[55]Input!$L$27</definedName>
    <definedName name="iVal1_Cases_InpatPhys">[55]Input!$L$25</definedName>
    <definedName name="iVal1_Cases_InpCare">[55]Input!$L$24</definedName>
    <definedName name="iVal1_ClDental">[55]Input!$L$9</definedName>
    <definedName name="iVal1_ClIndem">[55]Input!$L$12</definedName>
    <definedName name="iVal1_ClMedAid">[55]Input!$L$11</definedName>
    <definedName name="iVal1_ClOutpDoc">[55]Input!$L$8</definedName>
    <definedName name="iVal1_ClPharma">[55]Input!$L$10</definedName>
    <definedName name="iVal1_ConvToMio">[55]Input!$L$7</definedName>
    <definedName name="iVal1_DailyHospAllow_day">[55]Input!$L$31</definedName>
    <definedName name="iVal1_FullCovPolNo">[55]Input!$L$22</definedName>
    <definedName name="iVal1_FullCovPolPrem_Avg">[55]Input!$L$23</definedName>
    <definedName name="iVal1_InpatientCare_day">[55]Input!$L$28</definedName>
    <definedName name="iVal1_InpatPhysUnits_Avg">[55]Input!$L$33</definedName>
    <definedName name="iVal1_OtherHospCosts">[55]Input!$L$19</definedName>
    <definedName name="iVal1_PhysPriceUnit">[55]Input!$L$29</definedName>
    <definedName name="iVal1_PrSuppl">[55]Input!$L$14</definedName>
    <definedName name="iVal2_AvgLOS_BedSurch">[55]Input!$M$34</definedName>
    <definedName name="iVal2_AvgLOS_HospAllow">[55]Input!$M$35</definedName>
    <definedName name="iVal2_AvgLOS_InpCare">[55]Input!$M$32</definedName>
    <definedName name="iVal2_BedSurcharge_day">[55]Input!$M$30</definedName>
    <definedName name="iVal2_Cases_BedSurch">[55]Input!$M$26</definedName>
    <definedName name="iVal2_Cases_HospAllow">[55]Input!$M$27</definedName>
    <definedName name="iVal2_Cases_InpatPhys">[55]Input!$M$25</definedName>
    <definedName name="iVal2_Cases_InpCare">[55]Input!$M$24</definedName>
    <definedName name="iVal2_ClDental">[55]Input!$M$9</definedName>
    <definedName name="iVal2_ClIndem">[55]Input!$M$12</definedName>
    <definedName name="iVal2_ClMedAid">[55]Input!$M$11</definedName>
    <definedName name="iVal2_ClOutpDoc">[55]Input!$M$8</definedName>
    <definedName name="iVal2_ClPharma">[55]Input!$M$10</definedName>
    <definedName name="iVal2_ConvToMio">[55]Input!$M$7</definedName>
    <definedName name="iVal2_DailyHospAllow_day">[55]Input!$M$31</definedName>
    <definedName name="iVal2_FullCovPolNo">[55]Input!$M$22</definedName>
    <definedName name="iVal2_FullCovPolPrem_Avg">[55]Input!$M$23</definedName>
    <definedName name="iVal2_InpatientCare_day">[55]Input!$M$28</definedName>
    <definedName name="iVal2_InpatPhysUnits_Avg">[55]Input!$M$33</definedName>
    <definedName name="iVal2_OtherHospCosts">[55]Input!$M$19</definedName>
    <definedName name="iVal2_PhysPriceUnit">[55]Input!$M$29</definedName>
    <definedName name="iVal2_PrSuppl">[55]Input!$M$14</definedName>
    <definedName name="IVD">'[56]Invoice details'!$AV$1:$AV$65536</definedName>
    <definedName name="J" localSheetId="26">#REF!</definedName>
    <definedName name="J" localSheetId="33">#REF!</definedName>
    <definedName name="J" localSheetId="17">#REF!</definedName>
    <definedName name="J" localSheetId="29">#REF!</definedName>
    <definedName name="J" localSheetId="3">#REF!</definedName>
    <definedName name="J" localSheetId="16">#REF!</definedName>
    <definedName name="J" localSheetId="19">#REF!</definedName>
    <definedName name="J" localSheetId="20">#REF!</definedName>
    <definedName name="J" localSheetId="43">#REF!</definedName>
    <definedName name="J">#REF!</definedName>
    <definedName name="JA" localSheetId="26">#REF!</definedName>
    <definedName name="JA" localSheetId="33">#REF!</definedName>
    <definedName name="JA" localSheetId="17">#REF!</definedName>
    <definedName name="JA" localSheetId="29">#REF!</definedName>
    <definedName name="JA" localSheetId="3">#REF!</definedName>
    <definedName name="JA" localSheetId="16">#REF!</definedName>
    <definedName name="JA" localSheetId="5">#REF!</definedName>
    <definedName name="JA" localSheetId="19">#REF!</definedName>
    <definedName name="JA" localSheetId="20">#REF!</definedName>
    <definedName name="JA" localSheetId="43">#REF!</definedName>
    <definedName name="JA">#REF!</definedName>
    <definedName name="Jan_04" localSheetId="26">'[57]2002'!#REF!</definedName>
    <definedName name="Jan_04" localSheetId="23">'[57]2002'!#REF!</definedName>
    <definedName name="Jan_04" localSheetId="18">'[57]2002'!#REF!</definedName>
    <definedName name="Jan_04" localSheetId="29">'[57]2002'!#REF!</definedName>
    <definedName name="Jan_04" localSheetId="16">'[57]2002'!#REF!</definedName>
    <definedName name="Jan_04" localSheetId="20">'[57]2002'!#REF!</definedName>
    <definedName name="Jan_04" localSheetId="43">'[57]2002'!#REF!</definedName>
    <definedName name="Jan_04">'[57]2002'!#REF!</definedName>
    <definedName name="jbg">'[58]SBU ACCOUNTS '!$O$49</definedName>
    <definedName name="JOBLIST" localSheetId="26">[59]Sheet1!$A$2:$A$65536</definedName>
    <definedName name="JOBLIST" localSheetId="17">[59]Sheet1!$A$2:$A$65536</definedName>
    <definedName name="JOBLIST" localSheetId="23">[59]Sheet1!$A$2:$A$65536</definedName>
    <definedName name="JOBLIST" localSheetId="3">[59]Sheet1!$A$2:$A$65536</definedName>
    <definedName name="JOBLIST" localSheetId="19">[59]Sheet1!$A$2:$A$65536</definedName>
    <definedName name="JOBLIST" localSheetId="43">[59]Sheet1!$A$2:$A$65536</definedName>
    <definedName name="JOBLIST">[60]Sheet1!$A$2:$A$65536</definedName>
    <definedName name="K" localSheetId="26">#REF!</definedName>
    <definedName name="K" localSheetId="18">#REF!</definedName>
    <definedName name="K" localSheetId="29">#REF!</definedName>
    <definedName name="K" localSheetId="16">#REF!</definedName>
    <definedName name="K" localSheetId="20">#REF!</definedName>
    <definedName name="K" localSheetId="43">#REF!</definedName>
    <definedName name="K">#REF!</definedName>
    <definedName name="KA" localSheetId="26">#REF!</definedName>
    <definedName name="KA" localSheetId="33">#REF!</definedName>
    <definedName name="KA" localSheetId="17">#REF!</definedName>
    <definedName name="KA" localSheetId="29">#REF!</definedName>
    <definedName name="KA" localSheetId="3">#REF!</definedName>
    <definedName name="KA" localSheetId="16">#REF!</definedName>
    <definedName name="KA" localSheetId="19">#REF!</definedName>
    <definedName name="KA" localSheetId="20">#REF!</definedName>
    <definedName name="KA" localSheetId="43">#REF!</definedName>
    <definedName name="KA">#REF!</definedName>
    <definedName name="KBM_Hotel" localSheetId="26">#REF!</definedName>
    <definedName name="KBM_Hotel" localSheetId="29">#REF!</definedName>
    <definedName name="KBM_Hotel" localSheetId="16">#REF!</definedName>
    <definedName name="KBM_Hotel" localSheetId="20">#REF!</definedName>
    <definedName name="KBM_Hotel" localSheetId="43">#REF!</definedName>
    <definedName name="KBM_Hotel">#REF!</definedName>
    <definedName name="KOREA_PLASTIC_in_KUSD" localSheetId="26">#REF!</definedName>
    <definedName name="KOREA_PLASTIC_in_KUSD" localSheetId="33">#REF!</definedName>
    <definedName name="KOREA_PLASTIC_in_KUSD" localSheetId="17">#REF!</definedName>
    <definedName name="KOREA_PLASTIC_in_KUSD" localSheetId="48">#REF!</definedName>
    <definedName name="KOREA_PLASTIC_in_KUSD" localSheetId="29">#REF!</definedName>
    <definedName name="KOREA_PLASTIC_in_KUSD" localSheetId="3">#REF!</definedName>
    <definedName name="KOREA_PLASTIC_in_KUSD" localSheetId="35">#REF!</definedName>
    <definedName name="KOREA_PLASTIC_in_KUSD" localSheetId="16">#REF!</definedName>
    <definedName name="KOREA_PLASTIC_in_KUSD" localSheetId="19">#REF!</definedName>
    <definedName name="KOREA_PLASTIC_in_KUSD" localSheetId="20">#REF!</definedName>
    <definedName name="KOREA_PLASTIC_in_KUSD" localSheetId="43">#REF!</definedName>
    <definedName name="KOREA_PLASTIC_in_KUSD">#REF!</definedName>
    <definedName name="KP_INV_FREIGHT_F216" localSheetId="26">#REF!</definedName>
    <definedName name="KP_INV_FREIGHT_F216" localSheetId="29">#REF!</definedName>
    <definedName name="KP_INV_FREIGHT_F216" localSheetId="16">#REF!</definedName>
    <definedName name="KP_INV_FREIGHT_F216" localSheetId="20">#REF!</definedName>
    <definedName name="KP_INV_FREIGHT_F216" localSheetId="43">#REF!</definedName>
    <definedName name="KP_INV_FREIGHT_F216">#REF!</definedName>
    <definedName name="l" localSheetId="26">#REF!</definedName>
    <definedName name="l" localSheetId="29">#REF!</definedName>
    <definedName name="l" localSheetId="16">#REF!</definedName>
    <definedName name="l" localSheetId="20">#REF!</definedName>
    <definedName name="l" localSheetId="43">#REF!</definedName>
    <definedName name="l">#REF!</definedName>
    <definedName name="L_ADM_ACT" localSheetId="26">#REF!</definedName>
    <definedName name="L_ADM_ACT" localSheetId="29">#REF!</definedName>
    <definedName name="L_ADM_ACT" localSheetId="16">#REF!</definedName>
    <definedName name="L_ADM_ACT" localSheetId="20">#REF!</definedName>
    <definedName name="L_ADM_ACT" localSheetId="43">#REF!</definedName>
    <definedName name="L_ADM_ACT">#REF!</definedName>
    <definedName name="L_ADM_BUD" localSheetId="26">#REF!</definedName>
    <definedName name="L_ADM_BUD" localSheetId="29">#REF!</definedName>
    <definedName name="L_ADM_BUD" localSheetId="16">#REF!</definedName>
    <definedName name="L_ADM_BUD" localSheetId="20">#REF!</definedName>
    <definedName name="L_ADM_BUD" localSheetId="43">#REF!</definedName>
    <definedName name="L_ADM_BUD">#REF!</definedName>
    <definedName name="L_DIST_ACT" localSheetId="26">#REF!</definedName>
    <definedName name="L_DIST_ACT" localSheetId="29">#REF!</definedName>
    <definedName name="L_DIST_ACT" localSheetId="16">#REF!</definedName>
    <definedName name="L_DIST_ACT" localSheetId="20">#REF!</definedName>
    <definedName name="L_DIST_ACT" localSheetId="43">#REF!</definedName>
    <definedName name="L_DIST_ACT">#REF!</definedName>
    <definedName name="L_DIST_BUD" localSheetId="26">#REF!</definedName>
    <definedName name="L_DIST_BUD" localSheetId="29">#REF!</definedName>
    <definedName name="L_DIST_BUD" localSheetId="16">#REF!</definedName>
    <definedName name="L_DIST_BUD" localSheetId="20">#REF!</definedName>
    <definedName name="L_DIST_BUD" localSheetId="43">#REF!</definedName>
    <definedName name="L_DIST_BUD">#REF!</definedName>
    <definedName name="L_MKT_ACT" localSheetId="26">#REF!</definedName>
    <definedName name="L_MKT_ACT" localSheetId="29">#REF!</definedName>
    <definedName name="L_MKT_ACT" localSheetId="16">#REF!</definedName>
    <definedName name="L_MKT_ACT" localSheetId="20">#REF!</definedName>
    <definedName name="L_MKT_ACT" localSheetId="43">#REF!</definedName>
    <definedName name="L_MKT_ACT">#REF!</definedName>
    <definedName name="L_MKT_BUD" localSheetId="26">#REF!</definedName>
    <definedName name="L_MKT_BUD" localSheetId="29">#REF!</definedName>
    <definedName name="L_MKT_BUD" localSheetId="16">#REF!</definedName>
    <definedName name="L_MKT_BUD" localSheetId="20">#REF!</definedName>
    <definedName name="L_MKT_BUD" localSheetId="43">#REF!</definedName>
    <definedName name="L_MKT_BUD">#REF!</definedName>
    <definedName name="L_OS_JUN07" localSheetId="18">[35]Outstanding!#REF!</definedName>
    <definedName name="L_OS_JUN07" localSheetId="29">[35]Outstanding!#REF!</definedName>
    <definedName name="L_OS_JUN07" localSheetId="16">[35]Outstanding!#REF!</definedName>
    <definedName name="L_OS_JUN07" localSheetId="20">[35]Outstanding!#REF!</definedName>
    <definedName name="L_OS_JUN07" localSheetId="43">[35]Outstanding!#REF!</definedName>
    <definedName name="L_OS_JUN07">[35]Outstanding!#REF!</definedName>
    <definedName name="L_OS_MAY07" localSheetId="18">[35]Outstanding!#REF!</definedName>
    <definedName name="L_OS_MAY07" localSheetId="29">[35]Outstanding!#REF!</definedName>
    <definedName name="L_OS_MAY07" localSheetId="16">[35]Outstanding!#REF!</definedName>
    <definedName name="L_OS_MAY07" localSheetId="20">[35]Outstanding!#REF!</definedName>
    <definedName name="L_OS_MAY07" localSheetId="43">[35]Outstanding!#REF!</definedName>
    <definedName name="L_OS_MAY07">[35]Outstanding!#REF!</definedName>
    <definedName name="L_PL_ACT">[35]budget!$D$128:$AB$157</definedName>
    <definedName name="L_PL_BUD">[35]budget!$D$7:$AB$37</definedName>
    <definedName name="L_PRD_ACT" localSheetId="26">#REF!</definedName>
    <definedName name="L_PRD_ACT" localSheetId="18">#REF!</definedName>
    <definedName name="L_PRD_ACT" localSheetId="29">#REF!</definedName>
    <definedName name="L_PRD_ACT" localSheetId="16">#REF!</definedName>
    <definedName name="L_PRD_ACT" localSheetId="20">#REF!</definedName>
    <definedName name="L_PRD_ACT" localSheetId="43">#REF!</definedName>
    <definedName name="L_PRD_ACT">#REF!</definedName>
    <definedName name="L_PRD_BUD" localSheetId="26">#REF!</definedName>
    <definedName name="L_PRD_BUD" localSheetId="29">#REF!</definedName>
    <definedName name="L_PRD_BUD" localSheetId="16">#REF!</definedName>
    <definedName name="L_PRD_BUD" localSheetId="20">#REF!</definedName>
    <definedName name="L_PRD_BUD" localSheetId="43">#REF!</definedName>
    <definedName name="L_PRD_BUD">#REF!</definedName>
    <definedName name="LAB" localSheetId="26">#REF!</definedName>
    <definedName name="LAB" localSheetId="29">#REF!</definedName>
    <definedName name="LAB" localSheetId="16">#REF!</definedName>
    <definedName name="LAB" localSheetId="20">#REF!</definedName>
    <definedName name="LAB" localSheetId="43">#REF!</definedName>
    <definedName name="LAB">#REF!</definedName>
    <definedName name="lac" localSheetId="26">#REF!</definedName>
    <definedName name="lac" localSheetId="33">#REF!</definedName>
    <definedName name="lac" localSheetId="17">#REF!</definedName>
    <definedName name="LAC" localSheetId="48">#REF!</definedName>
    <definedName name="lac" localSheetId="29">#REF!</definedName>
    <definedName name="lac" localSheetId="3">#REF!</definedName>
    <definedName name="LAC" localSheetId="35">#REF!</definedName>
    <definedName name="lac" localSheetId="16">#REF!</definedName>
    <definedName name="lac" localSheetId="19">#REF!</definedName>
    <definedName name="lac" localSheetId="20">#REF!</definedName>
    <definedName name="lac" localSheetId="43">#REF!</definedName>
    <definedName name="lac">#REF!</definedName>
    <definedName name="lakda" localSheetId="26">#REF!</definedName>
    <definedName name="lakda" localSheetId="29">#REF!</definedName>
    <definedName name="lakda" localSheetId="16">#REF!</definedName>
    <definedName name="lakda" localSheetId="20">#REF!</definedName>
    <definedName name="lakda" localSheetId="43">#REF!</definedName>
    <definedName name="lakda">#REF!</definedName>
    <definedName name="LAN" localSheetId="26">#REF!</definedName>
    <definedName name="LAN" localSheetId="29">#REF!</definedName>
    <definedName name="LAN" localSheetId="16">#REF!</definedName>
    <definedName name="LAN" localSheetId="20">#REF!</definedName>
    <definedName name="LAN" localSheetId="43">#REF!</definedName>
    <definedName name="LAN">#REF!</definedName>
    <definedName name="LANprod1" localSheetId="26">#REF!</definedName>
    <definedName name="LANprod1" localSheetId="33">#REF!</definedName>
    <definedName name="LANprod1" localSheetId="17">#REF!</definedName>
    <definedName name="LANprod1" localSheetId="29">#REF!</definedName>
    <definedName name="LANprod1" localSheetId="3">#REF!</definedName>
    <definedName name="LANprod1" localSheetId="16">#REF!</definedName>
    <definedName name="LANprod1" localSheetId="5">#REF!</definedName>
    <definedName name="LANprod1" localSheetId="19">#REF!</definedName>
    <definedName name="LANprod1" localSheetId="20">#REF!</definedName>
    <definedName name="LANprod1" localSheetId="43">#REF!</definedName>
    <definedName name="LANprod1">#REF!</definedName>
    <definedName name="LANprod2" localSheetId="26">#REF!</definedName>
    <definedName name="LANprod2" localSheetId="33">#REF!</definedName>
    <definedName name="LANprod2" localSheetId="17">#REF!</definedName>
    <definedName name="LANprod2" localSheetId="29">#REF!</definedName>
    <definedName name="LANprod2" localSheetId="3">#REF!</definedName>
    <definedName name="LANprod2" localSheetId="16">#REF!</definedName>
    <definedName name="LANprod2" localSheetId="5">#REF!</definedName>
    <definedName name="LANprod2" localSheetId="19">#REF!</definedName>
    <definedName name="LANprod2" localSheetId="20">#REF!</definedName>
    <definedName name="LANprod2" localSheetId="43">#REF!</definedName>
    <definedName name="LANprod2">#REF!</definedName>
    <definedName name="LAST" localSheetId="26">#REF!</definedName>
    <definedName name="LAST" localSheetId="33">#REF!</definedName>
    <definedName name="LAST" localSheetId="17">#REF!</definedName>
    <definedName name="LAST" localSheetId="29">#REF!</definedName>
    <definedName name="LAST" localSheetId="3">#REF!</definedName>
    <definedName name="LAST" localSheetId="16">#REF!</definedName>
    <definedName name="LAST" localSheetId="5">#REF!</definedName>
    <definedName name="LAST" localSheetId="19">#REF!</definedName>
    <definedName name="LAST" localSheetId="20">#REF!</definedName>
    <definedName name="LAST" localSheetId="43">#REF!</definedName>
    <definedName name="LAST">#REF!</definedName>
    <definedName name="Last_Row" localSheetId="26">IF('Adjustment Working F.Y. 2021-22'!Values_Entered,'Adjustment Working F.Y. 2021-22'!Header_Row+'Adjustment Working F.Y. 2021-22'!Number_of_Payments,'Adjustment Working F.Y. 2021-22'!Header_Row)</definedName>
    <definedName name="Last_Row" localSheetId="23">IF('DTA-DTL LMIL Q2 2022-23'!Values_Entered,Header_Row+'DTA-DTL LMIL Q2 2022-23'!Number_of_Payments,Header_Row)</definedName>
    <definedName name="Last_Row" localSheetId="43">IF('Trial Balance LS'!Values_Entered,Header_Row+'Trial Balance LS'!Number_of_Payments,Header_Row)</definedName>
    <definedName name="Last_Row">#N/A</definedName>
    <definedName name="LastBSDateSF">[37]Masters!$C$27</definedName>
    <definedName name="liab" localSheetId="26">#REF!</definedName>
    <definedName name="liab" localSheetId="33">#REF!</definedName>
    <definedName name="liab" localSheetId="17">#REF!</definedName>
    <definedName name="liab" localSheetId="29">#REF!</definedName>
    <definedName name="liab" localSheetId="3">#REF!</definedName>
    <definedName name="liab" localSheetId="16">#REF!</definedName>
    <definedName name="liab" localSheetId="19">#REF!</definedName>
    <definedName name="liab" localSheetId="20">#REF!</definedName>
    <definedName name="liab" localSheetId="43">#REF!</definedName>
    <definedName name="liab">#REF!</definedName>
    <definedName name="liab\inc\intt" localSheetId="26">#REF!</definedName>
    <definedName name="liab\inc\intt" localSheetId="33">#REF!</definedName>
    <definedName name="liab\inc\intt" localSheetId="17">#REF!</definedName>
    <definedName name="liab\inc\intt" localSheetId="29">#REF!</definedName>
    <definedName name="liab\inc\intt" localSheetId="3">#REF!</definedName>
    <definedName name="liab\inc\intt" localSheetId="16">#REF!</definedName>
    <definedName name="liab\inc\intt" localSheetId="19">#REF!</definedName>
    <definedName name="liab\inc\intt" localSheetId="20">#REF!</definedName>
    <definedName name="liab\inc\intt" localSheetId="43">#REF!</definedName>
    <definedName name="liab\inc\intt">#REF!</definedName>
    <definedName name="Library" localSheetId="26">#REF!</definedName>
    <definedName name="Library" localSheetId="29">#REF!</definedName>
    <definedName name="Library" localSheetId="16">#REF!</definedName>
    <definedName name="Library" localSheetId="20">#REF!</definedName>
    <definedName name="Library" localSheetId="43">#REF!</definedName>
    <definedName name="Library">#REF!</definedName>
    <definedName name="limcount" hidden="1">1</definedName>
    <definedName name="Line" localSheetId="26">#REF!</definedName>
    <definedName name="Line" localSheetId="29">#REF!</definedName>
    <definedName name="Line" localSheetId="16">#REF!</definedName>
    <definedName name="Line" localSheetId="20">#REF!</definedName>
    <definedName name="Line" localSheetId="43">#REF!</definedName>
    <definedName name="Line">#REF!</definedName>
    <definedName name="lll">[61]Sales!$A$2:$A$23</definedName>
    <definedName name="lnkschbs" localSheetId="26">[14]COMICRO!#REF!</definedName>
    <definedName name="lnkschbs" localSheetId="33">[14]COMICRO!#REF!</definedName>
    <definedName name="lnkschbs" localSheetId="48">[14]COMICRO!#REF!</definedName>
    <definedName name="lnkschbs" localSheetId="18">[14]COMICRO!#REF!</definedName>
    <definedName name="lnkschbs" localSheetId="29">[14]COMICRO!#REF!</definedName>
    <definedName name="lnkschbs" localSheetId="3">[14]COMICRO!#REF!</definedName>
    <definedName name="lnkschbs" localSheetId="35">[14]COMICRO!#REF!</definedName>
    <definedName name="lnkschbs" localSheetId="16">[14]COMICRO!#REF!</definedName>
    <definedName name="lnkschbs" localSheetId="5">[14]COMICRO!#REF!</definedName>
    <definedName name="lnkschbs" localSheetId="20">[14]COMICRO!#REF!</definedName>
    <definedName name="lnkschbs" localSheetId="43">[14]COMICRO!#REF!</definedName>
    <definedName name="lnkschbs">[14]COMICRO!#REF!</definedName>
    <definedName name="LNKSCHPL" localSheetId="26">[14]COMICRO!#REF!</definedName>
    <definedName name="LNKSCHPL" localSheetId="33">[14]COMICRO!#REF!</definedName>
    <definedName name="LNKSCHPL" localSheetId="48">[14]COMICRO!#REF!</definedName>
    <definedName name="LNKSCHPL" localSheetId="29">[14]COMICRO!#REF!</definedName>
    <definedName name="LNKSCHPL" localSheetId="35">[14]COMICRO!#REF!</definedName>
    <definedName name="LNKSCHPL" localSheetId="16">[14]COMICRO!#REF!</definedName>
    <definedName name="LNKSCHPL" localSheetId="5">[14]COMICRO!#REF!</definedName>
    <definedName name="LNKSCHPL" localSheetId="20">[14]COMICRO!#REF!</definedName>
    <definedName name="LNKSCHPL" localSheetId="43">[14]COMICRO!#REF!</definedName>
    <definedName name="LNKSCHPL">[14]COMICRO!#REF!</definedName>
    <definedName name="Loan_Amount" localSheetId="26">#REF!</definedName>
    <definedName name="Loan_Amount" localSheetId="18">#REF!</definedName>
    <definedName name="Loan_Amount" localSheetId="29">#REF!</definedName>
    <definedName name="Loan_Amount" localSheetId="16">#REF!</definedName>
    <definedName name="Loan_Amount" localSheetId="20">#REF!</definedName>
    <definedName name="Loan_Amount" localSheetId="43">#REF!</definedName>
    <definedName name="Loan_Amount">#REF!</definedName>
    <definedName name="Loan_Start" localSheetId="26">#REF!</definedName>
    <definedName name="Loan_Start" localSheetId="29">#REF!</definedName>
    <definedName name="Loan_Start" localSheetId="16">#REF!</definedName>
    <definedName name="Loan_Start" localSheetId="20">#REF!</definedName>
    <definedName name="Loan_Start" localSheetId="43">#REF!</definedName>
    <definedName name="Loan_Start">#REF!</definedName>
    <definedName name="Loan_Years" localSheetId="26">#REF!</definedName>
    <definedName name="Loan_Years" localSheetId="29">#REF!</definedName>
    <definedName name="Loan_Years" localSheetId="16">#REF!</definedName>
    <definedName name="Loan_Years" localSheetId="20">#REF!</definedName>
    <definedName name="Loan_Years" localSheetId="43">#REF!</definedName>
    <definedName name="Loan_Years">#REF!</definedName>
    <definedName name="Local" localSheetId="26">#REF!</definedName>
    <definedName name="Local" localSheetId="29">#REF!</definedName>
    <definedName name="Local" localSheetId="16">#REF!</definedName>
    <definedName name="Local" localSheetId="20">#REF!</definedName>
    <definedName name="Local" localSheetId="43">#REF!</definedName>
    <definedName name="Local">#REF!</definedName>
    <definedName name="Local_Freight" localSheetId="26">#REF!</definedName>
    <definedName name="Local_Freight" localSheetId="29">#REF!</definedName>
    <definedName name="Local_Freight" localSheetId="16">#REF!</definedName>
    <definedName name="Local_Freight" localSheetId="20">#REF!</definedName>
    <definedName name="Local_Freight" localSheetId="43">#REF!</definedName>
    <definedName name="Local_Freight">#REF!</definedName>
    <definedName name="Location" localSheetId="26">#REF!</definedName>
    <definedName name="Location" localSheetId="33">#REF!</definedName>
    <definedName name="Location" localSheetId="17">#REF!</definedName>
    <definedName name="Location" localSheetId="48">#REF!</definedName>
    <definedName name="Location" localSheetId="29">#REF!</definedName>
    <definedName name="Location" localSheetId="3">#REF!</definedName>
    <definedName name="Location" localSheetId="35">#REF!</definedName>
    <definedName name="Location" localSheetId="16">#REF!</definedName>
    <definedName name="Location" localSheetId="5">#REF!</definedName>
    <definedName name="Location" localSheetId="19">#REF!</definedName>
    <definedName name="Location" localSheetId="20">#REF!</definedName>
    <definedName name="Location" localSheetId="43">#REF!</definedName>
    <definedName name="Location">#REF!</definedName>
    <definedName name="LRI" localSheetId="23">[39]Nslcog!#REF!</definedName>
    <definedName name="LRI" localSheetId="18">[39]Nslcog!#REF!</definedName>
    <definedName name="LRI" localSheetId="29">[39]Nslcog!#REF!</definedName>
    <definedName name="LRI" localSheetId="16">[39]Nslcog!#REF!</definedName>
    <definedName name="LRI" localSheetId="20">[39]Nslcog!#REF!</definedName>
    <definedName name="LRI" localSheetId="43">[39]Nslcog!#REF!</definedName>
    <definedName name="LRI">[39]Nslcog!#REF!</definedName>
    <definedName name="LS_OS_APR08" localSheetId="18">[35]Outstanding!#REF!</definedName>
    <definedName name="LS_OS_APR08" localSheetId="29">[35]Outstanding!#REF!</definedName>
    <definedName name="LS_OS_APR08" localSheetId="16">[35]Outstanding!#REF!</definedName>
    <definedName name="LS_OS_APR08" localSheetId="20">[35]Outstanding!#REF!</definedName>
    <definedName name="LS_OS_APR08" localSheetId="43">[35]Outstanding!#REF!</definedName>
    <definedName name="LS_OS_APR08">[35]Outstanding!#REF!</definedName>
    <definedName name="LS_OS_AUG08" localSheetId="29">[35]Outstanding!#REF!</definedName>
    <definedName name="LS_OS_AUG08" localSheetId="16">[35]Outstanding!#REF!</definedName>
    <definedName name="LS_OS_AUG08" localSheetId="20">[35]Outstanding!#REF!</definedName>
    <definedName name="LS_OS_AUG08" localSheetId="43">[35]Outstanding!#REF!</definedName>
    <definedName name="LS_OS_AUG08">[35]Outstanding!#REF!</definedName>
    <definedName name="LS_OS_DEC08" localSheetId="29">[35]Outstanding!#REF!</definedName>
    <definedName name="LS_OS_DEC08" localSheetId="16">[35]Outstanding!#REF!</definedName>
    <definedName name="LS_OS_DEC08" localSheetId="20">[35]Outstanding!#REF!</definedName>
    <definedName name="LS_OS_DEC08" localSheetId="43">[35]Outstanding!#REF!</definedName>
    <definedName name="LS_OS_DEC08">[35]Outstanding!#REF!</definedName>
    <definedName name="LS_OS_FEB09" localSheetId="29">[35]Outstanding!#REF!</definedName>
    <definedName name="LS_OS_FEB09" localSheetId="16">[35]Outstanding!#REF!</definedName>
    <definedName name="LS_OS_FEB09" localSheetId="20">[35]Outstanding!#REF!</definedName>
    <definedName name="LS_OS_FEB09" localSheetId="43">[35]Outstanding!#REF!</definedName>
    <definedName name="LS_OS_FEB09">[35]Outstanding!#REF!</definedName>
    <definedName name="LS_OS_JAN09" localSheetId="29">[35]Outstanding!#REF!</definedName>
    <definedName name="LS_OS_JAN09" localSheetId="16">[35]Outstanding!#REF!</definedName>
    <definedName name="LS_OS_JAN09" localSheetId="20">[35]Outstanding!#REF!</definedName>
    <definedName name="LS_OS_JAN09" localSheetId="43">[35]Outstanding!#REF!</definedName>
    <definedName name="LS_OS_JAN09">[35]Outstanding!#REF!</definedName>
    <definedName name="LS_OS_JULY08" localSheetId="29">[35]Outstanding!#REF!</definedName>
    <definedName name="LS_OS_JULY08" localSheetId="16">[35]Outstanding!#REF!</definedName>
    <definedName name="LS_OS_JULY08" localSheetId="20">[35]Outstanding!#REF!</definedName>
    <definedName name="LS_OS_JULY08" localSheetId="43">[35]Outstanding!#REF!</definedName>
    <definedName name="LS_OS_JULY08">[35]Outstanding!#REF!</definedName>
    <definedName name="LS_OS_JUNE08" localSheetId="29">[35]Outstanding!#REF!</definedName>
    <definedName name="LS_OS_JUNE08" localSheetId="16">[35]Outstanding!#REF!</definedName>
    <definedName name="LS_OS_JUNE08" localSheetId="20">[35]Outstanding!#REF!</definedName>
    <definedName name="LS_OS_JUNE08" localSheetId="43">[35]Outstanding!#REF!</definedName>
    <definedName name="LS_OS_JUNE08">[35]Outstanding!#REF!</definedName>
    <definedName name="LS_OS_MAR09" localSheetId="26">#REF!</definedName>
    <definedName name="LS_OS_MAR09" localSheetId="18">#REF!</definedName>
    <definedName name="LS_OS_MAR09" localSheetId="29">#REF!</definedName>
    <definedName name="LS_OS_MAR09" localSheetId="16">#REF!</definedName>
    <definedName name="LS_OS_MAR09" localSheetId="20">#REF!</definedName>
    <definedName name="LS_OS_MAR09" localSheetId="43">#REF!</definedName>
    <definedName name="LS_OS_MAR09">#REF!</definedName>
    <definedName name="LS_OS_MAY08" localSheetId="26">[35]Outstanding!#REF!</definedName>
    <definedName name="LS_OS_MAY08" localSheetId="23">[35]Outstanding!#REF!</definedName>
    <definedName name="LS_OS_MAY08" localSheetId="18">[35]Outstanding!#REF!</definedName>
    <definedName name="LS_OS_MAY08" localSheetId="29">[35]Outstanding!#REF!</definedName>
    <definedName name="LS_OS_MAY08" localSheetId="16">[35]Outstanding!#REF!</definedName>
    <definedName name="LS_OS_MAY08" localSheetId="20">[35]Outstanding!#REF!</definedName>
    <definedName name="LS_OS_MAY08" localSheetId="43">[35]Outstanding!#REF!</definedName>
    <definedName name="LS_OS_MAY08">[35]Outstanding!#REF!</definedName>
    <definedName name="LS_OS_NOV08" localSheetId="26">[35]Outstanding!#REF!</definedName>
    <definedName name="LS_OS_NOV08" localSheetId="23">[35]Outstanding!#REF!</definedName>
    <definedName name="LS_OS_NOV08" localSheetId="29">[35]Outstanding!#REF!</definedName>
    <definedName name="LS_OS_NOV08" localSheetId="16">[35]Outstanding!#REF!</definedName>
    <definedName name="LS_OS_NOV08" localSheetId="20">[35]Outstanding!#REF!</definedName>
    <definedName name="LS_OS_NOV08" localSheetId="43">[35]Outstanding!#REF!</definedName>
    <definedName name="LS_OS_NOV08">[35]Outstanding!#REF!</definedName>
    <definedName name="LS_OS_OCT08" localSheetId="23">[35]Outstanding!#REF!</definedName>
    <definedName name="LS_OS_OCT08" localSheetId="29">[35]Outstanding!#REF!</definedName>
    <definedName name="LS_OS_OCT08" localSheetId="16">[35]Outstanding!#REF!</definedName>
    <definedName name="LS_OS_OCT08" localSheetId="20">[35]Outstanding!#REF!</definedName>
    <definedName name="LS_OS_OCT08" localSheetId="43">[35]Outstanding!#REF!</definedName>
    <definedName name="LS_OS_OCT08">[35]Outstanding!#REF!</definedName>
    <definedName name="LS_OS_SEPT08" localSheetId="23">[35]Outstanding!#REF!</definedName>
    <definedName name="LS_OS_SEPT08" localSheetId="29">[35]Outstanding!#REF!</definedName>
    <definedName name="LS_OS_SEPT08" localSheetId="16">[35]Outstanding!#REF!</definedName>
    <definedName name="LS_OS_SEPT08" localSheetId="20">[35]Outstanding!#REF!</definedName>
    <definedName name="LS_OS_SEPT08" localSheetId="43">[35]Outstanding!#REF!</definedName>
    <definedName name="LS_OS_SEPT08">[35]Outstanding!#REF!</definedName>
    <definedName name="LS_PO_JULY08" localSheetId="29">[35]Outstanding!#REF!</definedName>
    <definedName name="LS_PO_JULY08" localSheetId="16">[35]Outstanding!#REF!</definedName>
    <definedName name="LS_PO_JULY08" localSheetId="20">[35]Outstanding!#REF!</definedName>
    <definedName name="LS_PO_JULY08" localSheetId="43">[35]Outstanding!#REF!</definedName>
    <definedName name="LS_PO_JULY08">[35]Outstanding!#REF!</definedName>
    <definedName name="LTA" localSheetId="26">#REF!</definedName>
    <definedName name="LTA" localSheetId="33">#REF!</definedName>
    <definedName name="LTA" localSheetId="17">#REF!</definedName>
    <definedName name="LTA" localSheetId="48">#REF!</definedName>
    <definedName name="LTA" localSheetId="29">#REF!</definedName>
    <definedName name="LTA" localSheetId="3">#REF!</definedName>
    <definedName name="LTA" localSheetId="35">#REF!</definedName>
    <definedName name="LTA" localSheetId="16">#REF!</definedName>
    <definedName name="LTA" localSheetId="5">#REF!</definedName>
    <definedName name="LTA" localSheetId="19">#REF!</definedName>
    <definedName name="LTA" localSheetId="20">#REF!</definedName>
    <definedName name="LTA" localSheetId="43">#REF!</definedName>
    <definedName name="LTA">#REF!</definedName>
    <definedName name="LY" localSheetId="26">'[51]Financials -Jan 03-Mar04'!#REF!</definedName>
    <definedName name="LY" localSheetId="33">'[51]Financials -Jan 03-Mar04'!#REF!</definedName>
    <definedName name="LY" localSheetId="17">'[51]Financials -Jan 03-Mar04'!#REF!</definedName>
    <definedName name="LY" localSheetId="18">'[51]Financials -Jan 03-Mar04'!#REF!</definedName>
    <definedName name="LY" localSheetId="29">'[51]Financials -Jan 03-Mar04'!#REF!</definedName>
    <definedName name="LY" localSheetId="3">'[51]Financials -Jan 03-Mar04'!#REF!</definedName>
    <definedName name="LY" localSheetId="16">'[51]Financials -Jan 03-Mar04'!#REF!</definedName>
    <definedName name="LY" localSheetId="19">'[51]Financials -Jan 03-Mar04'!#REF!</definedName>
    <definedName name="LY" localSheetId="20">'[51]Financials -Jan 03-Mar04'!#REF!</definedName>
    <definedName name="LY" localSheetId="43">'[51]Financials -Jan 03-Mar04'!#REF!</definedName>
    <definedName name="LY">'[51]Financials -Jan 03-Mar04'!#REF!</definedName>
    <definedName name="LY_CAR">[35]budget!$D$305:$AB$335</definedName>
    <definedName name="LY_LIV" localSheetId="26">#REF!</definedName>
    <definedName name="LY_LIV" localSheetId="18">#REF!</definedName>
    <definedName name="LY_LIV" localSheetId="29">#REF!</definedName>
    <definedName name="LY_LIV" localSheetId="16">#REF!</definedName>
    <definedName name="LY_LIV" localSheetId="20">#REF!</definedName>
    <definedName name="LY_LIV" localSheetId="43">#REF!</definedName>
    <definedName name="LY_LIV">#REF!</definedName>
    <definedName name="LY_PL_Export" localSheetId="26">[28]budget!$D$462:$AB$487</definedName>
    <definedName name="LY_PL_Export" localSheetId="23">[29]budget!$D$462:$AB$487</definedName>
    <definedName name="LY_PL_Export" localSheetId="43">[28]budget!$D$462:$AB$487</definedName>
    <definedName name="LY_PL_Export">[30]budget!$D$462:$AB$487</definedName>
    <definedName name="LY_PO">[35]budget!$D$342:$AB$376</definedName>
    <definedName name="M" localSheetId="26">#REF!</definedName>
    <definedName name="M" localSheetId="33">#REF!</definedName>
    <definedName name="M" localSheetId="17">#REF!</definedName>
    <definedName name="M" localSheetId="48">[15]Accounts!#REF!</definedName>
    <definedName name="M" localSheetId="29">#REF!</definedName>
    <definedName name="M" localSheetId="3">#REF!</definedName>
    <definedName name="M" localSheetId="35">[15]Accounts!#REF!</definedName>
    <definedName name="M" localSheetId="16">#REF!</definedName>
    <definedName name="M" localSheetId="19">#REF!</definedName>
    <definedName name="M" localSheetId="20">#REF!</definedName>
    <definedName name="M" localSheetId="43">#REF!</definedName>
    <definedName name="M">#REF!</definedName>
    <definedName name="MAS" localSheetId="26">[17]BE!#REF!</definedName>
    <definedName name="MAS" localSheetId="33">[17]BE!#REF!</definedName>
    <definedName name="MAS" localSheetId="17">[17]BE!#REF!</definedName>
    <definedName name="MAS" localSheetId="48">[18]BE!#REF!</definedName>
    <definedName name="MAS" localSheetId="18">[17]BE!#REF!</definedName>
    <definedName name="MAS" localSheetId="29">[17]BE!#REF!</definedName>
    <definedName name="MAS" localSheetId="35">[18]BE!#REF!</definedName>
    <definedName name="MAS" localSheetId="16">[17]BE!#REF!</definedName>
    <definedName name="MAS" localSheetId="5">[17]BE!#REF!</definedName>
    <definedName name="MAS" localSheetId="19">[17]BE!#REF!</definedName>
    <definedName name="MAS" localSheetId="20">[17]BE!#REF!</definedName>
    <definedName name="MAS" localSheetId="43">[17]BE!#REF!</definedName>
    <definedName name="MAS">[17]BE!#REF!</definedName>
    <definedName name="MAS_BDR" localSheetId="26">[17]BE!#REF!</definedName>
    <definedName name="MAS_BDR" localSheetId="33">[17]BE!#REF!</definedName>
    <definedName name="MAS_BDR" localSheetId="17">[17]BE!#REF!</definedName>
    <definedName name="MAS_BDR" localSheetId="48">[18]BE!#REF!</definedName>
    <definedName name="MAS_BDR" localSheetId="29">[17]BE!#REF!</definedName>
    <definedName name="MAS_BDR" localSheetId="35">[18]BE!#REF!</definedName>
    <definedName name="MAS_BDR" localSheetId="16">[17]BE!#REF!</definedName>
    <definedName name="MAS_BDR" localSheetId="5">[17]BE!#REF!</definedName>
    <definedName name="MAS_BDR" localSheetId="19">[17]BE!#REF!</definedName>
    <definedName name="MAS_BDR" localSheetId="20">[17]BE!#REF!</definedName>
    <definedName name="MAS_BDR" localSheetId="43">[17]BE!#REF!</definedName>
    <definedName name="MAS_BDR">[17]BE!#REF!</definedName>
    <definedName name="Material" localSheetId="26">#REF!</definedName>
    <definedName name="Material" localSheetId="18">#REF!</definedName>
    <definedName name="Material" localSheetId="29">#REF!</definedName>
    <definedName name="Material" localSheetId="16">#REF!</definedName>
    <definedName name="Material" localSheetId="20">#REF!</definedName>
    <definedName name="Material" localSheetId="43">#REF!</definedName>
    <definedName name="Material">#REF!</definedName>
    <definedName name="material1">[44]Sales_Eur!$AX$2:$BE$24</definedName>
    <definedName name="mcog" localSheetId="26">#REF!</definedName>
    <definedName name="mcog" localSheetId="18">#REF!</definedName>
    <definedName name="mcog" localSheetId="29">#REF!</definedName>
    <definedName name="mcog" localSheetId="16">#REF!</definedName>
    <definedName name="mcog" localSheetId="20">#REF!</definedName>
    <definedName name="mcog" localSheetId="43">#REF!</definedName>
    <definedName name="mcog">#REF!</definedName>
    <definedName name="MDEVISES" localSheetId="26">#REF!,#REF!,#REF!</definedName>
    <definedName name="MDEVISES" localSheetId="33">#REF!,#REF!,#REF!</definedName>
    <definedName name="MDEVISES" localSheetId="17">#REF!,#REF!,#REF!</definedName>
    <definedName name="MDEVISES" localSheetId="48">#REF!,#REF!,#REF!</definedName>
    <definedName name="MDEVISES" localSheetId="29">#REF!,#REF!,#REF!</definedName>
    <definedName name="MDEVISES" localSheetId="3">#REF!,#REF!,#REF!</definedName>
    <definedName name="MDEVISES" localSheetId="35">#REF!,#REF!,#REF!</definedName>
    <definedName name="MDEVISES" localSheetId="16">#REF!,#REF!,#REF!</definedName>
    <definedName name="MDEVISES" localSheetId="19">#REF!,#REF!,#REF!</definedName>
    <definedName name="MDEVISES" localSheetId="20">#REF!,#REF!,#REF!</definedName>
    <definedName name="MDEVISES" localSheetId="43">#REF!,#REF!,#REF!</definedName>
    <definedName name="MDEVISES">#REF!,#REF!,#REF!</definedName>
    <definedName name="Medchem" localSheetId="26">#REF!</definedName>
    <definedName name="Medchem" localSheetId="18">#REF!</definedName>
    <definedName name="Medchem" localSheetId="29">#REF!</definedName>
    <definedName name="Medchem" localSheetId="16">#REF!</definedName>
    <definedName name="Medchem" localSheetId="20">#REF!</definedName>
    <definedName name="Medchem" localSheetId="43">#REF!</definedName>
    <definedName name="Medchem">#REF!</definedName>
    <definedName name="Medical" localSheetId="26">#REF!</definedName>
    <definedName name="Medical" localSheetId="33">#REF!</definedName>
    <definedName name="Medical" localSheetId="17">#REF!</definedName>
    <definedName name="Medical" localSheetId="48">#REF!</definedName>
    <definedName name="Medical" localSheetId="29">#REF!</definedName>
    <definedName name="Medical" localSheetId="3">#REF!</definedName>
    <definedName name="Medical" localSheetId="35">#REF!</definedName>
    <definedName name="Medical" localSheetId="16">#REF!</definedName>
    <definedName name="Medical" localSheetId="5">#REF!</definedName>
    <definedName name="Medical" localSheetId="19">#REF!</definedName>
    <definedName name="Medical" localSheetId="20">#REF!</definedName>
    <definedName name="Medical" localSheetId="43">#REF!</definedName>
    <definedName name="Medical">#REF!</definedName>
    <definedName name="Method_abbrev" localSheetId="26">#REF!</definedName>
    <definedName name="Method_abbrev" localSheetId="33">#REF!</definedName>
    <definedName name="Method_abbrev" localSheetId="17">#REF!</definedName>
    <definedName name="Method_abbrev" localSheetId="29">#REF!</definedName>
    <definedName name="Method_abbrev" localSheetId="3">#REF!</definedName>
    <definedName name="Method_abbrev" localSheetId="16">#REF!</definedName>
    <definedName name="Method_abbrev" localSheetId="19">#REF!</definedName>
    <definedName name="Method_abbrev" localSheetId="20">#REF!</definedName>
    <definedName name="Method_abbrev" localSheetId="43">#REF!</definedName>
    <definedName name="Method_abbrev">#REF!</definedName>
    <definedName name="MethodAcc">[33]Masters!$C$46</definedName>
    <definedName name="MFRF" localSheetId="26">#REF!,#REF!,#REF!,#REF!,#REF!</definedName>
    <definedName name="MFRF" localSheetId="33">#REF!,#REF!,#REF!,#REF!,#REF!</definedName>
    <definedName name="MFRF" localSheetId="17">#REF!,#REF!,#REF!,#REF!,#REF!</definedName>
    <definedName name="MFRF" localSheetId="48">#REF!,#REF!,#REF!,#REF!,#REF!</definedName>
    <definedName name="MFRF" localSheetId="29">#REF!,#REF!,#REF!,#REF!,#REF!</definedName>
    <definedName name="MFRF" localSheetId="3">#REF!,#REF!,#REF!,#REF!,#REF!</definedName>
    <definedName name="MFRF" localSheetId="35">#REF!,#REF!,#REF!,#REF!,#REF!</definedName>
    <definedName name="MFRF" localSheetId="16">#REF!,#REF!,#REF!,#REF!,#REF!</definedName>
    <definedName name="MFRF" localSheetId="19">#REF!,#REF!,#REF!,#REF!,#REF!</definedName>
    <definedName name="MFRF" localSheetId="20">#REF!,#REF!,#REF!,#REF!,#REF!</definedName>
    <definedName name="MFRF" localSheetId="43">#REF!,#REF!,#REF!,#REF!,#REF!</definedName>
    <definedName name="MFRF">#REF!,#REF!,#REF!,#REF!,#REF!</definedName>
    <definedName name="MIS" localSheetId="26">#REF!</definedName>
    <definedName name="MIS" localSheetId="33">#REF!</definedName>
    <definedName name="MIS" localSheetId="17">#REF!</definedName>
    <definedName name="MIS" localSheetId="29">#REF!</definedName>
    <definedName name="MIS" localSheetId="3">#REF!</definedName>
    <definedName name="MIS" localSheetId="16">#REF!</definedName>
    <definedName name="MIS" localSheetId="19">#REF!</definedName>
    <definedName name="MIS" localSheetId="20">#REF!</definedName>
    <definedName name="MIS" localSheetId="43">#REF!</definedName>
    <definedName name="MIS">#REF!</definedName>
    <definedName name="MisInterne">[62]Feuil1!$A$2:$B$39</definedName>
    <definedName name="MOB">#N/A</definedName>
    <definedName name="Mon_1995" localSheetId="26">#REF!</definedName>
    <definedName name="Mon_1995" localSheetId="33">#REF!</definedName>
    <definedName name="Mon_1995" localSheetId="17">#REF!</definedName>
    <definedName name="Mon_1995" localSheetId="29">#REF!</definedName>
    <definedName name="Mon_1995" localSheetId="3">#REF!</definedName>
    <definedName name="Mon_1995" localSheetId="16">#REF!</definedName>
    <definedName name="Mon_1995" localSheetId="19">#REF!</definedName>
    <definedName name="Mon_1995" localSheetId="20">#REF!</definedName>
    <definedName name="Mon_1995" localSheetId="43">#REF!</definedName>
    <definedName name="Mon_1995">#REF!</definedName>
    <definedName name="Mon_Actl" localSheetId="26">#REF!</definedName>
    <definedName name="Mon_Actl" localSheetId="33">#REF!</definedName>
    <definedName name="Mon_Actl" localSheetId="17">#REF!</definedName>
    <definedName name="Mon_Actl" localSheetId="29">#REF!</definedName>
    <definedName name="Mon_Actl" localSheetId="3">#REF!</definedName>
    <definedName name="Mon_Actl" localSheetId="16">#REF!</definedName>
    <definedName name="Mon_Actl" localSheetId="19">#REF!</definedName>
    <definedName name="Mon_Actl" localSheetId="20">#REF!</definedName>
    <definedName name="Mon_Actl" localSheetId="43">#REF!</definedName>
    <definedName name="Mon_Actl">#REF!</definedName>
    <definedName name="Mon_Plan" localSheetId="26">#REF!</definedName>
    <definedName name="Mon_Plan" localSheetId="33">#REF!</definedName>
    <definedName name="Mon_Plan" localSheetId="17">#REF!</definedName>
    <definedName name="Mon_Plan" localSheetId="29">#REF!</definedName>
    <definedName name="Mon_Plan" localSheetId="3">#REF!</definedName>
    <definedName name="Mon_Plan" localSheetId="16">#REF!</definedName>
    <definedName name="Mon_Plan" localSheetId="19">#REF!</definedName>
    <definedName name="Mon_Plan" localSheetId="20">#REF!</definedName>
    <definedName name="Mon_Plan" localSheetId="43">#REF!</definedName>
    <definedName name="Mon_Plan">#REF!</definedName>
    <definedName name="month" localSheetId="26">#REF!</definedName>
    <definedName name="month" localSheetId="29">#REF!</definedName>
    <definedName name="month" localSheetId="16">#REF!</definedName>
    <definedName name="month" localSheetId="20">#REF!</definedName>
    <definedName name="month" localSheetId="43">#REF!</definedName>
    <definedName name="month">#REF!</definedName>
    <definedName name="Monthly_Variance" localSheetId="26">#REF!</definedName>
    <definedName name="Monthly_Variance" localSheetId="33">#REF!</definedName>
    <definedName name="Monthly_Variance" localSheetId="17">#REF!</definedName>
    <definedName name="Monthly_Variance" localSheetId="29">#REF!</definedName>
    <definedName name="Monthly_Variance" localSheetId="3">#REF!</definedName>
    <definedName name="Monthly_Variance" localSheetId="16">#REF!</definedName>
    <definedName name="Monthly_Variance" localSheetId="19">#REF!</definedName>
    <definedName name="Monthly_Variance" localSheetId="20">#REF!</definedName>
    <definedName name="Monthly_Variance" localSheetId="43">#REF!</definedName>
    <definedName name="Monthly_Variance">#REF!</definedName>
    <definedName name="MStVal">[33]Masters!$C$47</definedName>
    <definedName name="n" localSheetId="26">[15]Accounts!#REF!</definedName>
    <definedName name="n" localSheetId="33">[63]Accounts!#REF!</definedName>
    <definedName name="n" localSheetId="23">[15]Accounts!#REF!</definedName>
    <definedName name="n" localSheetId="18">[63]Accounts!#REF!</definedName>
    <definedName name="n" localSheetId="29">[63]Accounts!#REF!</definedName>
    <definedName name="n" localSheetId="16">[63]Accounts!#REF!</definedName>
    <definedName name="n" localSheetId="20">[63]Accounts!#REF!</definedName>
    <definedName name="n" localSheetId="43">[15]Accounts!#REF!</definedName>
    <definedName name="n">[63]Accounts!#REF!</definedName>
    <definedName name="NAME" localSheetId="26">#REF!</definedName>
    <definedName name="NAME" localSheetId="33">#REF!</definedName>
    <definedName name="NAME" localSheetId="17">#REF!</definedName>
    <definedName name="NAME" localSheetId="48">#REF!</definedName>
    <definedName name="NAME" localSheetId="29">#REF!</definedName>
    <definedName name="NAME" localSheetId="3">#REF!</definedName>
    <definedName name="NAME" localSheetId="35">#REF!</definedName>
    <definedName name="NAME" localSheetId="16">#REF!</definedName>
    <definedName name="NAME" localSheetId="5">#REF!</definedName>
    <definedName name="NAME" localSheetId="19">#REF!</definedName>
    <definedName name="NAME" localSheetId="20">#REF!</definedName>
    <definedName name="NAME" localSheetId="43">#REF!</definedName>
    <definedName name="NAME">#REF!</definedName>
    <definedName name="NAME_OF_THE_COMPANY" localSheetId="26">#REF!</definedName>
    <definedName name="NAME_OF_THE_COMPANY" localSheetId="29">#REF!</definedName>
    <definedName name="NAME_OF_THE_COMPANY" localSheetId="16">#REF!</definedName>
    <definedName name="NAME_OF_THE_COMPANY" localSheetId="20">#REF!</definedName>
    <definedName name="NAME_OF_THE_COMPANY" localSheetId="43">#REF!</definedName>
    <definedName name="NAME_OF_THE_COMPANY">#REF!</definedName>
    <definedName name="NatureBusiness">[33]Masters!$C$45</definedName>
    <definedName name="NDDS" localSheetId="26">#REF!</definedName>
    <definedName name="NDDS" localSheetId="18">#REF!</definedName>
    <definedName name="NDDS" localSheetId="29">#REF!</definedName>
    <definedName name="NDDS" localSheetId="16">#REF!</definedName>
    <definedName name="NDDS" localSheetId="20">#REF!</definedName>
    <definedName name="NDDS" localSheetId="43">#REF!</definedName>
    <definedName name="NDDS">#REF!</definedName>
    <definedName name="new" localSheetId="26">#REF!</definedName>
    <definedName name="new" localSheetId="33">#REF!</definedName>
    <definedName name="new" localSheetId="17">#REF!</definedName>
    <definedName name="new" localSheetId="29">#REF!</definedName>
    <definedName name="new" localSheetId="3">#REF!</definedName>
    <definedName name="new" localSheetId="16">#REF!</definedName>
    <definedName name="new" localSheetId="19">#REF!</definedName>
    <definedName name="new" localSheetId="20">#REF!</definedName>
    <definedName name="new" localSheetId="43">#REF!</definedName>
    <definedName name="new">#REF!</definedName>
    <definedName name="Ninety_Day_Balances">'[64]AR Graphs'!$A$65:$I$122</definedName>
    <definedName name="NIPD" localSheetId="26">#REF!</definedName>
    <definedName name="NIPD" localSheetId="18">#REF!</definedName>
    <definedName name="NIPD" localSheetId="29">#REF!</definedName>
    <definedName name="NIPD" localSheetId="16">#REF!</definedName>
    <definedName name="NIPD" localSheetId="20">#REF!</definedName>
    <definedName name="NIPD" localSheetId="43">#REF!</definedName>
    <definedName name="NIPD">#REF!</definedName>
    <definedName name="NL_LY_Admn_ACT" localSheetId="26">[28]exp!$BM$40:$CK$52</definedName>
    <definedName name="NL_LY_Admn_ACT" localSheetId="23">[29]exp!$BM$40:$CK$52</definedName>
    <definedName name="NL_LY_Admn_ACT" localSheetId="43">[28]exp!$BM$40:$CK$52</definedName>
    <definedName name="NL_LY_Admn_ACT">[30]exp!$BM$40:$CK$52</definedName>
    <definedName name="NL_LY_Dist_Act" localSheetId="26">[28]exp!$BM$58:$CK$67</definedName>
    <definedName name="NL_LY_Dist_Act" localSheetId="23">[29]exp!$BM$58:$CK$67</definedName>
    <definedName name="NL_LY_Dist_Act" localSheetId="43">[28]exp!$BM$58:$CK$67</definedName>
    <definedName name="NL_LY_Dist_Act">[30]exp!$BM$58:$CK$67</definedName>
    <definedName name="NL_LY_MKT_ACT" localSheetId="26">[28]exp!$BM$6:$CK$31</definedName>
    <definedName name="NL_LY_MKT_ACT" localSheetId="23">[29]exp!$BM$6:$CK$31</definedName>
    <definedName name="NL_LY_MKT_ACT" localSheetId="43">[28]exp!$BM$6:$CK$31</definedName>
    <definedName name="NL_LY_MKT_ACT">[30]exp!$BM$6:$CK$31</definedName>
    <definedName name="NL_LY_Prod_ACT" localSheetId="26">[28]exp!$BM$70:$CK$92</definedName>
    <definedName name="NL_LY_Prod_ACT" localSheetId="23">[29]exp!$BM$70:$CK$92</definedName>
    <definedName name="NL_LY_Prod_ACT" localSheetId="43">[28]exp!$BM$70:$CK$92</definedName>
    <definedName name="NL_LY_Prod_ACT">[30]exp!$BM$70:$CK$92</definedName>
    <definedName name="nonfact" localSheetId="26">#REF!</definedName>
    <definedName name="nonfact" localSheetId="18">#REF!</definedName>
    <definedName name="nonfact" localSheetId="29">#REF!</definedName>
    <definedName name="nonfact" localSheetId="16">#REF!</definedName>
    <definedName name="nonfact" localSheetId="20">#REF!</definedName>
    <definedName name="nonfact" localSheetId="43">#REF!</definedName>
    <definedName name="nonfact">#REF!</definedName>
    <definedName name="North_zone" localSheetId="26">'[65]C-21(b)'!#REF!</definedName>
    <definedName name="North_zone" localSheetId="33">'[65]C-21(b)'!#REF!</definedName>
    <definedName name="North_zone" localSheetId="17">'[65]C-21(b)'!#REF!</definedName>
    <definedName name="North_zone" localSheetId="48">'[54]C-21(b)'!#REF!</definedName>
    <definedName name="North_zone" localSheetId="18">'[65]C-21(b)'!#REF!</definedName>
    <definedName name="North_zone" localSheetId="29">'[65]C-21(b)'!#REF!</definedName>
    <definedName name="North_zone" localSheetId="3">'[65]C-21(b)'!#REF!</definedName>
    <definedName name="North_zone" localSheetId="35">'[54]C-21(b)'!#REF!</definedName>
    <definedName name="North_zone" localSheetId="16">'[65]C-21(b)'!#REF!</definedName>
    <definedName name="North_zone" localSheetId="19">'[65]C-21(b)'!#REF!</definedName>
    <definedName name="North_zone" localSheetId="20">'[65]C-21(b)'!#REF!</definedName>
    <definedName name="North_zone" localSheetId="43">'[65]C-21(b)'!#REF!</definedName>
    <definedName name="North_zone">'[65]C-21(b)'!#REF!</definedName>
    <definedName name="notes" localSheetId="26">#REF!</definedName>
    <definedName name="notes" localSheetId="33">#REF!</definedName>
    <definedName name="notes" localSheetId="17">#REF!</definedName>
    <definedName name="notes" localSheetId="48">#REF!</definedName>
    <definedName name="notes" localSheetId="29">#REF!</definedName>
    <definedName name="notes" localSheetId="3">#REF!</definedName>
    <definedName name="notes" localSheetId="35">#REF!</definedName>
    <definedName name="notes" localSheetId="16">#REF!</definedName>
    <definedName name="notes" localSheetId="5">#REF!</definedName>
    <definedName name="notes" localSheetId="19">#REF!</definedName>
    <definedName name="notes" localSheetId="20">#REF!</definedName>
    <definedName name="notes" localSheetId="43">#REF!</definedName>
    <definedName name="notes">#REF!</definedName>
    <definedName name="Notes_of_account" localSheetId="26">#REF!</definedName>
    <definedName name="Notes_of_account" localSheetId="29">#REF!</definedName>
    <definedName name="Notes_of_account" localSheetId="16">#REF!</definedName>
    <definedName name="Notes_of_account" localSheetId="20">#REF!</definedName>
    <definedName name="Notes_of_account" localSheetId="43">#REF!</definedName>
    <definedName name="Notes_of_account">#REF!</definedName>
    <definedName name="notes1" localSheetId="48" hidden="1">{"bs",#N/A,FALSE,"BS";"pl",#N/A,FALSE,"PL"}</definedName>
    <definedName name="notes1" localSheetId="18" hidden="1">{"bs",#N/A,FALSE,"BS";"pl",#N/A,FALSE,"PL"}</definedName>
    <definedName name="notes1" localSheetId="10" hidden="1">{"bs",#N/A,FALSE,"BS";"pl",#N/A,FALSE,"PL"}</definedName>
    <definedName name="notes1" localSheetId="29" hidden="1">{"bs",#N/A,FALSE,"BS";"pl",#N/A,FALSE,"PL"}</definedName>
    <definedName name="notes1" localSheetId="16" hidden="1">{"bs",#N/A,FALSE,"BS";"pl",#N/A,FALSE,"PL"}</definedName>
    <definedName name="notes1" localSheetId="20" hidden="1">{"bs",#N/A,FALSE,"BS";"pl",#N/A,FALSE,"PL"}</definedName>
    <definedName name="notes1" hidden="1">{"bs",#N/A,FALSE,"BS";"pl",#N/A,FALSE,"PL"}</definedName>
    <definedName name="NUM" localSheetId="26">#REF!</definedName>
    <definedName name="NUM" localSheetId="33">#REF!</definedName>
    <definedName name="NUM" localSheetId="17">#REF!</definedName>
    <definedName name="NUM" localSheetId="48">#REF!</definedName>
    <definedName name="NUM" localSheetId="29">#REF!</definedName>
    <definedName name="NUM" localSheetId="3">#REF!</definedName>
    <definedName name="NUM" localSheetId="35">#REF!</definedName>
    <definedName name="NUM" localSheetId="16">#REF!</definedName>
    <definedName name="NUM" localSheetId="5">#REF!</definedName>
    <definedName name="NUM" localSheetId="19">#REF!</definedName>
    <definedName name="NUM" localSheetId="20">#REF!</definedName>
    <definedName name="NUM" localSheetId="43">#REF!</definedName>
    <definedName name="NUM">#REF!</definedName>
    <definedName name="Num_Pmt_Per_Year" localSheetId="26">#REF!</definedName>
    <definedName name="Num_Pmt_Per_Year" localSheetId="29">#REF!</definedName>
    <definedName name="Num_Pmt_Per_Year" localSheetId="16">#REF!</definedName>
    <definedName name="Num_Pmt_Per_Year" localSheetId="20">#REF!</definedName>
    <definedName name="Num_Pmt_Per_Year" localSheetId="43">#REF!</definedName>
    <definedName name="Num_Pmt_Per_Year">#REF!</definedName>
    <definedName name="Number_of_Payments" localSheetId="26">MATCH(0.01,'Adjustment Working F.Y. 2021-22'!End_Bal,-1)+1</definedName>
    <definedName name="Number_of_Payments" localSheetId="23">MATCH(0.01,End_Bal,-1)+1</definedName>
    <definedName name="Number_of_Payments" localSheetId="18">MATCH(0.01,End_Bal,-1)+1</definedName>
    <definedName name="Number_of_Payments" localSheetId="10">MATCH(0.01,End_Bal,-1)+1</definedName>
    <definedName name="Number_of_Payments" localSheetId="29">MATCH(0.01,'LMIL - BS SUMIF Formula'!End_Bal,-1)+1</definedName>
    <definedName name="Number_of_Payments" localSheetId="16">MATCH(0.01,'Regulation 33 - Balance Sheet'!End_Bal,-1)+1</definedName>
    <definedName name="Number_of_Payments" localSheetId="20">MATCH(0.01,'TB-30-09-2021'!End_Bal,-1)+1</definedName>
    <definedName name="Number_of_Payments" localSheetId="43">MATCH(0.01,'Trial Balance LS'!End_Bal,-1)+1</definedName>
    <definedName name="Number_of_Payments">MATCH(0.01,End_Bal,-1)+1</definedName>
    <definedName name="NvsASD">"V2007-12-31"</definedName>
    <definedName name="NvsAutoDrillOk">"VN"</definedName>
    <definedName name="NvsElapsedTime">0.0000347222230629995</definedName>
    <definedName name="NvsEndTime">39479.2449189815</definedName>
    <definedName name="NvsInstLang">"VENG"</definedName>
    <definedName name="NvsInstSpec">"%,FBUSINESS_UNIT,V24000"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"V2006-12-16"</definedName>
    <definedName name="NvsPanelSetid">"VSHARE"</definedName>
    <definedName name="NvsReqBU">"V21000"</definedName>
    <definedName name="NvsReqBUOnly">"VN"</definedName>
    <definedName name="NvsTransLed">"VN"</definedName>
    <definedName name="NvsTreeASD">"V2007-12-31"</definedName>
    <definedName name="NvsValTbl.BOOK_CODE">"BOOK_CODE_TBL"</definedName>
    <definedName name="NvsValTbl.BUSINESS_UNIT">"BUS_UNIT_TBL_GL"</definedName>
    <definedName name="NvsValTbl.CURRENCY_CD">"CURRENCY_CD_TBL"</definedName>
    <definedName name="NvsValTbl.OPERATING_UNIT">"OPER_UNIT_TBL"</definedName>
    <definedName name="OB" localSheetId="26">#REF!</definedName>
    <definedName name="OB" localSheetId="33">#REF!</definedName>
    <definedName name="OB" localSheetId="17">#REF!</definedName>
    <definedName name="OB" localSheetId="29">#REF!</definedName>
    <definedName name="OB" localSheetId="3">#REF!</definedName>
    <definedName name="OB" localSheetId="16">#REF!</definedName>
    <definedName name="OB" localSheetId="19">#REF!</definedName>
    <definedName name="OB" localSheetId="20">#REF!</definedName>
    <definedName name="OB" localSheetId="43">#REF!</definedName>
    <definedName name="OB">#REF!</definedName>
    <definedName name="OLD_BUD_COM" localSheetId="26">[35]budget!#REF!</definedName>
    <definedName name="OLD_BUD_COM" localSheetId="23">[35]budget!#REF!</definedName>
    <definedName name="OLD_BUD_COM" localSheetId="18">[35]budget!#REF!</definedName>
    <definedName name="OLD_BUD_COM" localSheetId="29">[35]budget!#REF!</definedName>
    <definedName name="OLD_BUD_COM" localSheetId="16">[35]budget!#REF!</definedName>
    <definedName name="OLD_BUD_COM" localSheetId="20">[35]budget!#REF!</definedName>
    <definedName name="OLD_BUD_COM" localSheetId="43">[35]budget!#REF!</definedName>
    <definedName name="OLD_BUD_COM">[35]budget!#REF!</definedName>
    <definedName name="OLD_BUD_POL" localSheetId="26">#REF!</definedName>
    <definedName name="OLD_BUD_POL" localSheetId="18">#REF!</definedName>
    <definedName name="OLD_BUD_POL" localSheetId="29">#REF!</definedName>
    <definedName name="OLD_BUD_POL" localSheetId="16">#REF!</definedName>
    <definedName name="OLD_BUD_POL" localSheetId="20">#REF!</definedName>
    <definedName name="OLD_BUD_POL" localSheetId="43">#REF!</definedName>
    <definedName name="OLD_BUD_POL">#REF!</definedName>
    <definedName name="operations" localSheetId="26">#REF!</definedName>
    <definedName name="operations" localSheetId="33">#REF!</definedName>
    <definedName name="operations" localSheetId="17">#REF!</definedName>
    <definedName name="operations" localSheetId="48">#REF!</definedName>
    <definedName name="operations" localSheetId="29">#REF!</definedName>
    <definedName name="operations" localSheetId="3">#REF!</definedName>
    <definedName name="operations" localSheetId="35">#REF!</definedName>
    <definedName name="operations" localSheetId="16">#REF!</definedName>
    <definedName name="operations" localSheetId="19">#REF!</definedName>
    <definedName name="operations" localSheetId="20">#REF!</definedName>
    <definedName name="operations" localSheetId="43">#REF!</definedName>
    <definedName name="operations">#REF!</definedName>
    <definedName name="Option" localSheetId="26">#REF!</definedName>
    <definedName name="Option" localSheetId="33">#REF!</definedName>
    <definedName name="Option" localSheetId="17">#REF!</definedName>
    <definedName name="Option" localSheetId="29">#REF!</definedName>
    <definedName name="Option" localSheetId="3">#REF!</definedName>
    <definedName name="Option" localSheetId="16">#REF!</definedName>
    <definedName name="Option" localSheetId="19">#REF!</definedName>
    <definedName name="Option" localSheetId="20">#REF!</definedName>
    <definedName name="Option" localSheetId="43">#REF!</definedName>
    <definedName name="Option">#REF!</definedName>
    <definedName name="Order" localSheetId="26">#REF!</definedName>
    <definedName name="Order" localSheetId="29">#REF!</definedName>
    <definedName name="Order" localSheetId="16">#REF!</definedName>
    <definedName name="Order" localSheetId="20">#REF!</definedName>
    <definedName name="Order" localSheetId="43">#REF!</definedName>
    <definedName name="Order">#REF!</definedName>
    <definedName name="os_po_aug07" localSheetId="18">[35]Outstanding!#REF!</definedName>
    <definedName name="os_po_aug07" localSheetId="29">[35]Outstanding!#REF!</definedName>
    <definedName name="os_po_aug07" localSheetId="16">[35]Outstanding!#REF!</definedName>
    <definedName name="os_po_aug07" localSheetId="20">[35]Outstanding!#REF!</definedName>
    <definedName name="os_po_aug07" localSheetId="43">[35]Outstanding!#REF!</definedName>
    <definedName name="os_po_aug07">[35]Outstanding!#REF!</definedName>
    <definedName name="OS_Svcs" localSheetId="26">#REF!</definedName>
    <definedName name="OS_Svcs" localSheetId="33">#REF!</definedName>
    <definedName name="OS_Svcs" localSheetId="17">#REF!</definedName>
    <definedName name="OS_Svcs" localSheetId="29">#REF!</definedName>
    <definedName name="OS_Svcs" localSheetId="3">#REF!</definedName>
    <definedName name="OS_Svcs" localSheetId="16">#REF!</definedName>
    <definedName name="OS_Svcs" localSheetId="19">#REF!</definedName>
    <definedName name="OS_Svcs" localSheetId="20">#REF!</definedName>
    <definedName name="OS_Svcs" localSheetId="43">#REF!</definedName>
    <definedName name="OS_Svcs">#REF!</definedName>
    <definedName name="OTH" localSheetId="26">#REF!</definedName>
    <definedName name="OTH" localSheetId="29">#REF!</definedName>
    <definedName name="OTH" localSheetId="16">#REF!</definedName>
    <definedName name="OTH" localSheetId="20">#REF!</definedName>
    <definedName name="OTH" localSheetId="43">#REF!</definedName>
    <definedName name="OTH">#REF!</definedName>
    <definedName name="Other_Amort" localSheetId="26">#REF!</definedName>
    <definedName name="Other_Amort" localSheetId="33">#REF!</definedName>
    <definedName name="Other_Amort" localSheetId="17">#REF!</definedName>
    <definedName name="Other_Amort" localSheetId="29">#REF!</definedName>
    <definedName name="Other_Amort" localSheetId="3">#REF!</definedName>
    <definedName name="Other_Amort" localSheetId="16">#REF!</definedName>
    <definedName name="Other_Amort" localSheetId="19">#REF!</definedName>
    <definedName name="Other_Amort" localSheetId="20">#REF!</definedName>
    <definedName name="Other_Amort" localSheetId="43">#REF!</definedName>
    <definedName name="Other_Amort">#REF!</definedName>
    <definedName name="OtherComprehensive" localSheetId="26">#REF!</definedName>
    <definedName name="OtherComprehensive" localSheetId="33">#REF!</definedName>
    <definedName name="OtherComprehensive" localSheetId="17">#REF!</definedName>
    <definedName name="OtherComprehensive" localSheetId="29">#REF!</definedName>
    <definedName name="OtherComprehensive" localSheetId="3">#REF!</definedName>
    <definedName name="OtherComprehensive" localSheetId="16">#REF!</definedName>
    <definedName name="OtherComprehensive" localSheetId="19">#REF!</definedName>
    <definedName name="OtherComprehensive" localSheetId="20">#REF!</definedName>
    <definedName name="OtherComprehensive" localSheetId="43">#REF!</definedName>
    <definedName name="OtherComprehensive">#REF!</definedName>
    <definedName name="OUTPUT" localSheetId="26">#REF!</definedName>
    <definedName name="OUTPUT" localSheetId="33">#REF!</definedName>
    <definedName name="OUTPUT" localSheetId="17">#REF!</definedName>
    <definedName name="OUTPUT" localSheetId="29">#REF!</definedName>
    <definedName name="OUTPUT" localSheetId="3">#REF!</definedName>
    <definedName name="OUTPUT" localSheetId="16">#REF!</definedName>
    <definedName name="OUTPUT" localSheetId="19">#REF!</definedName>
    <definedName name="OUTPUT" localSheetId="20">#REF!</definedName>
    <definedName name="OUTPUT" localSheetId="43">#REF!</definedName>
    <definedName name="OUTPUT">#REF!</definedName>
    <definedName name="Overtime" localSheetId="26">#REF!</definedName>
    <definedName name="Overtime" localSheetId="33">#REF!</definedName>
    <definedName name="Overtime" localSheetId="17">#REF!</definedName>
    <definedName name="Overtime" localSheetId="29">#REF!</definedName>
    <definedName name="Overtime" localSheetId="3">#REF!</definedName>
    <definedName name="Overtime" localSheetId="16">#REF!</definedName>
    <definedName name="Overtime" localSheetId="19">#REF!</definedName>
    <definedName name="Overtime" localSheetId="20">#REF!</definedName>
    <definedName name="Overtime" localSheetId="43">#REF!</definedName>
    <definedName name="Overtime">#REF!</definedName>
    <definedName name="P" localSheetId="26">#REF!</definedName>
    <definedName name="P" localSheetId="33">#REF!</definedName>
    <definedName name="P" localSheetId="17">#REF!</definedName>
    <definedName name="P" localSheetId="29">#REF!</definedName>
    <definedName name="P" localSheetId="3">#REF!</definedName>
    <definedName name="P" localSheetId="16">#REF!</definedName>
    <definedName name="P" localSheetId="19">#REF!</definedName>
    <definedName name="P" localSheetId="20">#REF!</definedName>
    <definedName name="P" localSheetId="43">#REF!</definedName>
    <definedName name="P">#REF!</definedName>
    <definedName name="P___L___Statement" localSheetId="26">#REF!</definedName>
    <definedName name="P___L___Statement" localSheetId="33">#REF!</definedName>
    <definedName name="P___L___Statement" localSheetId="17">#REF!</definedName>
    <definedName name="P___L___Statement" localSheetId="48">#REF!</definedName>
    <definedName name="P___L___Statement" localSheetId="29">#REF!</definedName>
    <definedName name="P___L___Statement" localSheetId="3">#REF!</definedName>
    <definedName name="P___L___Statement" localSheetId="35">#REF!</definedName>
    <definedName name="P___L___Statement" localSheetId="16">#REF!</definedName>
    <definedName name="P___L___Statement" localSheetId="19">#REF!</definedName>
    <definedName name="P___L___Statement" localSheetId="20">#REF!</definedName>
    <definedName name="P___L___Statement" localSheetId="43">#REF!</definedName>
    <definedName name="P___L___Statement">#REF!</definedName>
    <definedName name="P_ADM_ACT" localSheetId="26">#REF!</definedName>
    <definedName name="P_ADM_ACT" localSheetId="29">#REF!</definedName>
    <definedName name="P_ADM_ACT" localSheetId="16">#REF!</definedName>
    <definedName name="P_ADM_ACT" localSheetId="20">#REF!</definedName>
    <definedName name="P_ADM_ACT" localSheetId="43">#REF!</definedName>
    <definedName name="P_ADM_ACT">#REF!</definedName>
    <definedName name="P_ADM_BUD" localSheetId="26">#REF!</definedName>
    <definedName name="P_ADM_BUD" localSheetId="29">#REF!</definedName>
    <definedName name="P_ADM_BUD" localSheetId="16">#REF!</definedName>
    <definedName name="P_ADM_BUD" localSheetId="20">#REF!</definedName>
    <definedName name="P_ADM_BUD" localSheetId="43">#REF!</definedName>
    <definedName name="P_ADM_BUD">#REF!</definedName>
    <definedName name="P_DIST_ACT" localSheetId="26">#REF!</definedName>
    <definedName name="P_DIST_ACT" localSheetId="29">#REF!</definedName>
    <definedName name="P_DIST_ACT" localSheetId="16">#REF!</definedName>
    <definedName name="P_DIST_ACT" localSheetId="20">#REF!</definedName>
    <definedName name="P_DIST_ACT" localSheetId="43">#REF!</definedName>
    <definedName name="P_DIST_ACT">#REF!</definedName>
    <definedName name="P_DIST_BUD" localSheetId="26">#REF!</definedName>
    <definedName name="P_DIST_BUD" localSheetId="29">#REF!</definedName>
    <definedName name="P_DIST_BUD" localSheetId="16">#REF!</definedName>
    <definedName name="P_DIST_BUD" localSheetId="20">#REF!</definedName>
    <definedName name="P_DIST_BUD" localSheetId="43">#REF!</definedName>
    <definedName name="P_DIST_BUD">#REF!</definedName>
    <definedName name="P_MENU" localSheetId="26">#REF!</definedName>
    <definedName name="P_MENU" localSheetId="33">#REF!</definedName>
    <definedName name="P_MENU" localSheetId="17">#REF!</definedName>
    <definedName name="P_MENU" localSheetId="29">#REF!</definedName>
    <definedName name="P_MENU" localSheetId="3">#REF!</definedName>
    <definedName name="P_MENU" localSheetId="16">#REF!</definedName>
    <definedName name="P_MENU" localSheetId="5">#REF!</definedName>
    <definedName name="P_MENU" localSheetId="19">#REF!</definedName>
    <definedName name="P_MENU" localSheetId="20">#REF!</definedName>
    <definedName name="P_MENU" localSheetId="43">#REF!</definedName>
    <definedName name="P_MENU">#REF!</definedName>
    <definedName name="P_MKT_ACT" localSheetId="26">#REF!</definedName>
    <definedName name="P_MKT_ACT" localSheetId="29">#REF!</definedName>
    <definedName name="P_MKT_ACT" localSheetId="16">#REF!</definedName>
    <definedName name="P_MKT_ACT" localSheetId="20">#REF!</definedName>
    <definedName name="P_MKT_ACT" localSheetId="43">#REF!</definedName>
    <definedName name="P_MKT_ACT">#REF!</definedName>
    <definedName name="P_MKT_BUD" localSheetId="26">#REF!</definedName>
    <definedName name="P_MKT_BUD" localSheetId="29">#REF!</definedName>
    <definedName name="P_MKT_BUD" localSheetId="16">#REF!</definedName>
    <definedName name="P_MKT_BUD" localSheetId="20">#REF!</definedName>
    <definedName name="P_MKT_BUD" localSheetId="43">#REF!</definedName>
    <definedName name="P_MKT_BUD">#REF!</definedName>
    <definedName name="P_OS_APR08" localSheetId="18">[35]Outstanding!#REF!</definedName>
    <definedName name="P_OS_APR08" localSheetId="29">[35]Outstanding!#REF!</definedName>
    <definedName name="P_OS_APR08" localSheetId="16">[35]Outstanding!#REF!</definedName>
    <definedName name="P_OS_APR08" localSheetId="20">[35]Outstanding!#REF!</definedName>
    <definedName name="P_OS_APR08" localSheetId="43">[35]Outstanding!#REF!</definedName>
    <definedName name="P_OS_APR08">[35]Outstanding!#REF!</definedName>
    <definedName name="P_OS_AUG08" localSheetId="18">[35]Outstanding!#REF!</definedName>
    <definedName name="P_OS_AUG08" localSheetId="29">[35]Outstanding!#REF!</definedName>
    <definedName name="P_OS_AUG08" localSheetId="16">[35]Outstanding!#REF!</definedName>
    <definedName name="P_OS_AUG08" localSheetId="20">[35]Outstanding!#REF!</definedName>
    <definedName name="P_OS_AUG08" localSheetId="43">[35]Outstanding!#REF!</definedName>
    <definedName name="P_OS_AUG08">[35]Outstanding!#REF!</definedName>
    <definedName name="P_OS_DEC08" localSheetId="29">[35]Outstanding!#REF!</definedName>
    <definedName name="P_OS_DEC08" localSheetId="16">[35]Outstanding!#REF!</definedName>
    <definedName name="P_OS_DEC08" localSheetId="20">[35]Outstanding!#REF!</definedName>
    <definedName name="P_OS_DEC08" localSheetId="43">[35]Outstanding!#REF!</definedName>
    <definedName name="P_OS_DEC08">[35]Outstanding!#REF!</definedName>
    <definedName name="P_OS_FEB09" localSheetId="29">[35]Outstanding!#REF!</definedName>
    <definedName name="P_OS_FEB09" localSheetId="16">[35]Outstanding!#REF!</definedName>
    <definedName name="P_OS_FEB09" localSheetId="20">[35]Outstanding!#REF!</definedName>
    <definedName name="P_OS_FEB09" localSheetId="43">[35]Outstanding!#REF!</definedName>
    <definedName name="P_OS_FEB09">[35]Outstanding!#REF!</definedName>
    <definedName name="P_OS_JAN09" localSheetId="29">[35]Outstanding!#REF!</definedName>
    <definedName name="P_OS_JAN09" localSheetId="16">[35]Outstanding!#REF!</definedName>
    <definedName name="P_OS_JAN09" localSheetId="20">[35]Outstanding!#REF!</definedName>
    <definedName name="P_OS_JAN09" localSheetId="43">[35]Outstanding!#REF!</definedName>
    <definedName name="P_OS_JAN09">[35]Outstanding!#REF!</definedName>
    <definedName name="P_OS_JULY08" localSheetId="29">[35]Outstanding!#REF!</definedName>
    <definedName name="P_OS_JULY08" localSheetId="16">[35]Outstanding!#REF!</definedName>
    <definedName name="P_OS_JULY08" localSheetId="20">[35]Outstanding!#REF!</definedName>
    <definedName name="P_OS_JULY08" localSheetId="43">[35]Outstanding!#REF!</definedName>
    <definedName name="P_OS_JULY08">[35]Outstanding!#REF!</definedName>
    <definedName name="P_OS_JUNE08" localSheetId="29">[35]Outstanding!#REF!</definedName>
    <definedName name="P_OS_JUNE08" localSheetId="16">[35]Outstanding!#REF!</definedName>
    <definedName name="P_OS_JUNE08" localSheetId="20">[35]Outstanding!#REF!</definedName>
    <definedName name="P_OS_JUNE08" localSheetId="43">[35]Outstanding!#REF!</definedName>
    <definedName name="P_OS_JUNE08">[35]Outstanding!#REF!</definedName>
    <definedName name="P_OS_MAR09" localSheetId="26">#REF!</definedName>
    <definedName name="P_OS_MAR09" localSheetId="18">#REF!</definedName>
    <definedName name="P_OS_MAR09" localSheetId="29">#REF!</definedName>
    <definedName name="P_OS_MAR09" localSheetId="16">#REF!</definedName>
    <definedName name="P_OS_MAR09" localSheetId="20">#REF!</definedName>
    <definedName name="P_OS_MAR09" localSheetId="43">#REF!</definedName>
    <definedName name="P_OS_MAR09">#REF!</definedName>
    <definedName name="P_OS_MAY08" localSheetId="26">[35]Outstanding!#REF!</definedName>
    <definedName name="P_OS_MAY08" localSheetId="23">[35]Outstanding!#REF!</definedName>
    <definedName name="P_OS_MAY08" localSheetId="18">[35]Outstanding!#REF!</definedName>
    <definedName name="P_OS_MAY08" localSheetId="29">[35]Outstanding!#REF!</definedName>
    <definedName name="P_OS_MAY08" localSheetId="16">[35]Outstanding!#REF!</definedName>
    <definedName name="P_OS_MAY08" localSheetId="20">[35]Outstanding!#REF!</definedName>
    <definedName name="P_OS_MAY08" localSheetId="43">[35]Outstanding!#REF!</definedName>
    <definedName name="P_OS_MAY08">[35]Outstanding!#REF!</definedName>
    <definedName name="P_OS_NOV08" localSheetId="26">[35]Outstanding!#REF!</definedName>
    <definedName name="P_OS_NOV08" localSheetId="23">[35]Outstanding!#REF!</definedName>
    <definedName name="P_OS_NOV08" localSheetId="29">[35]Outstanding!#REF!</definedName>
    <definedName name="P_OS_NOV08" localSheetId="16">[35]Outstanding!#REF!</definedName>
    <definedName name="P_OS_NOV08" localSheetId="20">[35]Outstanding!#REF!</definedName>
    <definedName name="P_OS_NOV08" localSheetId="43">[35]Outstanding!#REF!</definedName>
    <definedName name="P_OS_NOV08">[35]Outstanding!#REF!</definedName>
    <definedName name="P_OS_OCT08" localSheetId="26">[35]Outstanding!#REF!</definedName>
    <definedName name="P_OS_OCT08" localSheetId="23">[35]Outstanding!#REF!</definedName>
    <definedName name="P_OS_OCT08" localSheetId="29">[35]Outstanding!#REF!</definedName>
    <definedName name="P_OS_OCT08" localSheetId="16">[35]Outstanding!#REF!</definedName>
    <definedName name="P_OS_OCT08" localSheetId="20">[35]Outstanding!#REF!</definedName>
    <definedName name="P_OS_OCT08" localSheetId="43">[35]Outstanding!#REF!</definedName>
    <definedName name="P_OS_OCT08">[35]Outstanding!#REF!</definedName>
    <definedName name="P_OS_SEPT08" localSheetId="23">[35]Outstanding!#REF!</definedName>
    <definedName name="P_OS_SEPT08" localSheetId="29">[35]Outstanding!#REF!</definedName>
    <definedName name="P_OS_SEPT08" localSheetId="16">[35]Outstanding!#REF!</definedName>
    <definedName name="P_OS_SEPT08" localSheetId="20">[35]Outstanding!#REF!</definedName>
    <definedName name="P_OS_SEPT08" localSheetId="43">[35]Outstanding!#REF!</definedName>
    <definedName name="P_OS_SEPT08">[35]Outstanding!#REF!</definedName>
    <definedName name="P_PL_ACT">[35]budget!$D$164:$AB$202</definedName>
    <definedName name="P_PL_BUD">[35]budget!$D$43:$AB$81</definedName>
    <definedName name="PACKING" localSheetId="26">#REF!</definedName>
    <definedName name="PACKING" localSheetId="18">#REF!</definedName>
    <definedName name="PACKING" localSheetId="29">#REF!</definedName>
    <definedName name="PACKING" localSheetId="16">#REF!</definedName>
    <definedName name="PACKING" localSheetId="20">#REF!</definedName>
    <definedName name="PACKING" localSheetId="43">#REF!</definedName>
    <definedName name="PACKING">#REF!</definedName>
    <definedName name="Page_1" localSheetId="26">#REF!</definedName>
    <definedName name="Page_1" localSheetId="33">#REF!</definedName>
    <definedName name="Page_1" localSheetId="17">#REF!</definedName>
    <definedName name="Page_1" localSheetId="29">#REF!</definedName>
    <definedName name="Page_1" localSheetId="3">#REF!</definedName>
    <definedName name="Page_1" localSheetId="16">#REF!</definedName>
    <definedName name="Page_1" localSheetId="5">#REF!</definedName>
    <definedName name="Page_1" localSheetId="19">#REF!</definedName>
    <definedName name="Page_1" localSheetId="20">#REF!</definedName>
    <definedName name="Page_1" localSheetId="43">#REF!</definedName>
    <definedName name="Page_1">#REF!</definedName>
    <definedName name="Page_1_YTD" localSheetId="26">#REF!</definedName>
    <definedName name="Page_1_YTD" localSheetId="33">#REF!</definedName>
    <definedName name="Page_1_YTD" localSheetId="17">#REF!</definedName>
    <definedName name="Page_1_YTD" localSheetId="29">#REF!</definedName>
    <definedName name="Page_1_YTD" localSheetId="3">#REF!</definedName>
    <definedName name="Page_1_YTD" localSheetId="16">#REF!</definedName>
    <definedName name="Page_1_YTD" localSheetId="19">#REF!</definedName>
    <definedName name="Page_1_YTD" localSheetId="20">#REF!</definedName>
    <definedName name="Page_1_YTD" localSheetId="43">#REF!</definedName>
    <definedName name="Page_1_YTD">#REF!</definedName>
    <definedName name="Page_2" localSheetId="26">#REF!</definedName>
    <definedName name="Page_2" localSheetId="33">#REF!</definedName>
    <definedName name="Page_2" localSheetId="17">#REF!</definedName>
    <definedName name="Page_2" localSheetId="29">#REF!</definedName>
    <definedName name="Page_2" localSheetId="3">#REF!</definedName>
    <definedName name="Page_2" localSheetId="16">#REF!</definedName>
    <definedName name="Page_2" localSheetId="5">#REF!</definedName>
    <definedName name="Page_2" localSheetId="19">#REF!</definedName>
    <definedName name="Page_2" localSheetId="20">#REF!</definedName>
    <definedName name="Page_2" localSheetId="43">#REF!</definedName>
    <definedName name="Page_2">#REF!</definedName>
    <definedName name="Page_2_YTD" localSheetId="26">#REF!</definedName>
    <definedName name="Page_2_YTD" localSheetId="33">#REF!</definedName>
    <definedName name="Page_2_YTD" localSheetId="17">#REF!</definedName>
    <definedName name="Page_2_YTD" localSheetId="29">#REF!</definedName>
    <definedName name="Page_2_YTD" localSheetId="3">#REF!</definedName>
    <definedName name="Page_2_YTD" localSheetId="16">#REF!</definedName>
    <definedName name="Page_2_YTD" localSheetId="19">#REF!</definedName>
    <definedName name="Page_2_YTD" localSheetId="20">#REF!</definedName>
    <definedName name="Page_2_YTD" localSheetId="43">#REF!</definedName>
    <definedName name="Page_2_YTD">#REF!</definedName>
    <definedName name="Page_3" localSheetId="26">#REF!</definedName>
    <definedName name="Page_3" localSheetId="33">#REF!</definedName>
    <definedName name="Page_3" localSheetId="17">#REF!</definedName>
    <definedName name="Page_3" localSheetId="29">#REF!</definedName>
    <definedName name="Page_3" localSheetId="3">#REF!</definedName>
    <definedName name="Page_3" localSheetId="16">#REF!</definedName>
    <definedName name="Page_3" localSheetId="5">#REF!</definedName>
    <definedName name="Page_3" localSheetId="19">#REF!</definedName>
    <definedName name="Page_3" localSheetId="20">#REF!</definedName>
    <definedName name="Page_3" localSheetId="43">#REF!</definedName>
    <definedName name="Page_3">#REF!</definedName>
    <definedName name="Page_4" localSheetId="26">#REF!</definedName>
    <definedName name="Page_4" localSheetId="33">#REF!</definedName>
    <definedName name="Page_4" localSheetId="17">#REF!</definedName>
    <definedName name="Page_4" localSheetId="29">#REF!</definedName>
    <definedName name="Page_4" localSheetId="3">#REF!</definedName>
    <definedName name="Page_4" localSheetId="16">#REF!</definedName>
    <definedName name="Page_4" localSheetId="5">#REF!</definedName>
    <definedName name="Page_4" localSheetId="19">#REF!</definedName>
    <definedName name="Page_4" localSheetId="20">#REF!</definedName>
    <definedName name="Page_4" localSheetId="43">#REF!</definedName>
    <definedName name="Page_4">#REF!</definedName>
    <definedName name="Page_5" localSheetId="26">#REF!</definedName>
    <definedName name="Page_5" localSheetId="33">#REF!</definedName>
    <definedName name="Page_5" localSheetId="17">#REF!</definedName>
    <definedName name="Page_5" localSheetId="29">#REF!</definedName>
    <definedName name="Page_5" localSheetId="3">#REF!</definedName>
    <definedName name="Page_5" localSheetId="16">#REF!</definedName>
    <definedName name="Page_5" localSheetId="5">#REF!</definedName>
    <definedName name="Page_5" localSheetId="19">#REF!</definedName>
    <definedName name="Page_5" localSheetId="20">#REF!</definedName>
    <definedName name="Page_5" localSheetId="43">#REF!</definedName>
    <definedName name="Page_5">#REF!</definedName>
    <definedName name="Page_6" localSheetId="26">#REF!</definedName>
    <definedName name="Page_6" localSheetId="33">#REF!</definedName>
    <definedName name="Page_6" localSheetId="17">#REF!</definedName>
    <definedName name="Page_6" localSheetId="29">#REF!</definedName>
    <definedName name="Page_6" localSheetId="3">#REF!</definedName>
    <definedName name="Page_6" localSheetId="16">#REF!</definedName>
    <definedName name="Page_6" localSheetId="5">#REF!</definedName>
    <definedName name="Page_6" localSheetId="19">#REF!</definedName>
    <definedName name="Page_6" localSheetId="20">#REF!</definedName>
    <definedName name="Page_6" localSheetId="43">#REF!</definedName>
    <definedName name="Page_6">#REF!</definedName>
    <definedName name="PAGE1" localSheetId="26">#REF!</definedName>
    <definedName name="PAGE1" localSheetId="29">#REF!</definedName>
    <definedName name="PAGE1" localSheetId="16">#REF!</definedName>
    <definedName name="PAGE1" localSheetId="20">#REF!</definedName>
    <definedName name="PAGE1" localSheetId="43">#REF!</definedName>
    <definedName name="PAGE1">#REF!</definedName>
    <definedName name="PAGE10" localSheetId="26">#REF!</definedName>
    <definedName name="PAGE10" localSheetId="29">#REF!</definedName>
    <definedName name="PAGE10" localSheetId="16">#REF!</definedName>
    <definedName name="PAGE10" localSheetId="20">#REF!</definedName>
    <definedName name="PAGE10" localSheetId="43">#REF!</definedName>
    <definedName name="PAGE10">#REF!</definedName>
    <definedName name="PAGE11" localSheetId="26">#REF!</definedName>
    <definedName name="PAGE11" localSheetId="29">#REF!</definedName>
    <definedName name="PAGE11" localSheetId="16">#REF!</definedName>
    <definedName name="PAGE11" localSheetId="20">#REF!</definedName>
    <definedName name="PAGE11" localSheetId="43">#REF!</definedName>
    <definedName name="PAGE11">#REF!</definedName>
    <definedName name="PAGE12" localSheetId="26">#REF!</definedName>
    <definedName name="PAGE12" localSheetId="29">#REF!</definedName>
    <definedName name="PAGE12" localSheetId="16">#REF!</definedName>
    <definedName name="PAGE12" localSheetId="20">#REF!</definedName>
    <definedName name="PAGE12" localSheetId="43">#REF!</definedName>
    <definedName name="PAGE12">#REF!</definedName>
    <definedName name="PAGE13" localSheetId="26">#REF!</definedName>
    <definedName name="PAGE13" localSheetId="29">#REF!</definedName>
    <definedName name="PAGE13" localSheetId="16">#REF!</definedName>
    <definedName name="PAGE13" localSheetId="20">#REF!</definedName>
    <definedName name="PAGE13" localSheetId="43">#REF!</definedName>
    <definedName name="PAGE13">#REF!</definedName>
    <definedName name="PAGE14" localSheetId="26">#REF!</definedName>
    <definedName name="PAGE14" localSheetId="29">#REF!</definedName>
    <definedName name="PAGE14" localSheetId="16">#REF!</definedName>
    <definedName name="PAGE14" localSheetId="20">#REF!</definedName>
    <definedName name="PAGE14" localSheetId="43">#REF!</definedName>
    <definedName name="PAGE14">#REF!</definedName>
    <definedName name="PAGE15" localSheetId="26">#REF!</definedName>
    <definedName name="PAGE15" localSheetId="29">#REF!</definedName>
    <definedName name="PAGE15" localSheetId="16">#REF!</definedName>
    <definedName name="PAGE15" localSheetId="20">#REF!</definedName>
    <definedName name="PAGE15" localSheetId="43">#REF!</definedName>
    <definedName name="PAGE15">#REF!</definedName>
    <definedName name="PAGE2" localSheetId="26">#REF!</definedName>
    <definedName name="PAGE2" localSheetId="29">#REF!</definedName>
    <definedName name="PAGE2" localSheetId="16">#REF!</definedName>
    <definedName name="PAGE2" localSheetId="20">#REF!</definedName>
    <definedName name="PAGE2" localSheetId="43">#REF!</definedName>
    <definedName name="PAGE2">#REF!</definedName>
    <definedName name="PAGE3" localSheetId="26">#REF!</definedName>
    <definedName name="PAGE3" localSheetId="29">#REF!</definedName>
    <definedName name="PAGE3" localSheetId="16">#REF!</definedName>
    <definedName name="PAGE3" localSheetId="20">#REF!</definedName>
    <definedName name="PAGE3" localSheetId="43">#REF!</definedName>
    <definedName name="PAGE3">#REF!</definedName>
    <definedName name="PAGE4" localSheetId="26">#REF!</definedName>
    <definedName name="PAGE4" localSheetId="29">#REF!</definedName>
    <definedName name="PAGE4" localSheetId="16">#REF!</definedName>
    <definedName name="PAGE4" localSheetId="20">#REF!</definedName>
    <definedName name="PAGE4" localSheetId="43">#REF!</definedName>
    <definedName name="PAGE4">#REF!</definedName>
    <definedName name="PAGE5" localSheetId="26">#REF!</definedName>
    <definedName name="PAGE5" localSheetId="29">#REF!</definedName>
    <definedName name="PAGE5" localSheetId="16">#REF!</definedName>
    <definedName name="PAGE5" localSheetId="20">#REF!</definedName>
    <definedName name="PAGE5" localSheetId="43">#REF!</definedName>
    <definedName name="PAGE5">#REF!</definedName>
    <definedName name="PAGE6" localSheetId="26">#REF!</definedName>
    <definedName name="PAGE6" localSheetId="29">#REF!</definedName>
    <definedName name="PAGE6" localSheetId="16">#REF!</definedName>
    <definedName name="PAGE6" localSheetId="20">#REF!</definedName>
    <definedName name="PAGE6" localSheetId="43">#REF!</definedName>
    <definedName name="PAGE6">#REF!</definedName>
    <definedName name="PAGE7" localSheetId="26">#REF!</definedName>
    <definedName name="PAGE7" localSheetId="29">#REF!</definedName>
    <definedName name="PAGE7" localSheetId="16">#REF!</definedName>
    <definedName name="PAGE7" localSheetId="20">#REF!</definedName>
    <definedName name="PAGE7" localSheetId="43">#REF!</definedName>
    <definedName name="PAGE7">#REF!</definedName>
    <definedName name="PAGE8" localSheetId="26">#REF!</definedName>
    <definedName name="PAGE8" localSheetId="29">#REF!</definedName>
    <definedName name="PAGE8" localSheetId="16">#REF!</definedName>
    <definedName name="PAGE8" localSheetId="20">#REF!</definedName>
    <definedName name="PAGE8" localSheetId="43">#REF!</definedName>
    <definedName name="PAGE8">#REF!</definedName>
    <definedName name="PAGE9" localSheetId="26">#REF!</definedName>
    <definedName name="PAGE9" localSheetId="29">#REF!</definedName>
    <definedName name="PAGE9" localSheetId="16">#REF!</definedName>
    <definedName name="PAGE9" localSheetId="20">#REF!</definedName>
    <definedName name="PAGE9" localSheetId="43">#REF!</definedName>
    <definedName name="PAGE9">#REF!</definedName>
    <definedName name="PAN" localSheetId="26">#REF!</definedName>
    <definedName name="PAN" localSheetId="33">#REF!</definedName>
    <definedName name="PAN" localSheetId="17">#REF!</definedName>
    <definedName name="PAN" localSheetId="29">#REF!</definedName>
    <definedName name="PAN" localSheetId="3">#REF!</definedName>
    <definedName name="PAN" localSheetId="16">#REF!</definedName>
    <definedName name="PAN" localSheetId="5">#REF!</definedName>
    <definedName name="PAN" localSheetId="19">#REF!</definedName>
    <definedName name="PAN" localSheetId="20">#REF!</definedName>
    <definedName name="PAN" localSheetId="43">#REF!</definedName>
    <definedName name="PAN">#REF!</definedName>
    <definedName name="PARCIAL" localSheetId="26">#REF!</definedName>
    <definedName name="PARCIAL" localSheetId="33">#REF!</definedName>
    <definedName name="PARCIAL" localSheetId="17">#REF!</definedName>
    <definedName name="PARCIAL" localSheetId="29">#REF!</definedName>
    <definedName name="PARCIAL" localSheetId="3">#REF!</definedName>
    <definedName name="PARCIAL" localSheetId="16">#REF!</definedName>
    <definedName name="PARCIAL" localSheetId="19">#REF!</definedName>
    <definedName name="PARCIAL" localSheetId="20">#REF!</definedName>
    <definedName name="PARCIAL" localSheetId="43">#REF!</definedName>
    <definedName name="PARCIAL">#REF!</definedName>
    <definedName name="PARCIAL1" localSheetId="26">#REF!</definedName>
    <definedName name="PARCIAL1" localSheetId="33">#REF!</definedName>
    <definedName name="PARCIAL1" localSheetId="17">#REF!</definedName>
    <definedName name="PARCIAL1" localSheetId="29">#REF!</definedName>
    <definedName name="PARCIAL1" localSheetId="3">#REF!</definedName>
    <definedName name="PARCIAL1" localSheetId="16">#REF!</definedName>
    <definedName name="PARCIAL1" localSheetId="19">#REF!</definedName>
    <definedName name="PARCIAL1" localSheetId="20">#REF!</definedName>
    <definedName name="PARCIAL1" localSheetId="43">#REF!</definedName>
    <definedName name="PARCIAL1">#REF!</definedName>
    <definedName name="PARCIAL2" localSheetId="26">#REF!</definedName>
    <definedName name="PARCIAL2" localSheetId="33">#REF!</definedName>
    <definedName name="PARCIAL2" localSheetId="17">#REF!</definedName>
    <definedName name="PARCIAL2" localSheetId="29">#REF!</definedName>
    <definedName name="PARCIAL2" localSheetId="3">#REF!</definedName>
    <definedName name="PARCIAL2" localSheetId="16">#REF!</definedName>
    <definedName name="PARCIAL2" localSheetId="19">#REF!</definedName>
    <definedName name="PARCIAL2" localSheetId="20">#REF!</definedName>
    <definedName name="PARCIAL2" localSheetId="43">#REF!</definedName>
    <definedName name="PARCIAL2">#REF!</definedName>
    <definedName name="PARCIAL4" localSheetId="26">#REF!</definedName>
    <definedName name="PARCIAL4" localSheetId="33">#REF!</definedName>
    <definedName name="PARCIAL4" localSheetId="17">#REF!</definedName>
    <definedName name="PARCIAL4" localSheetId="29">#REF!</definedName>
    <definedName name="PARCIAL4" localSheetId="3">#REF!</definedName>
    <definedName name="PARCIAL4" localSheetId="16">#REF!</definedName>
    <definedName name="PARCIAL4" localSheetId="19">#REF!</definedName>
    <definedName name="PARCIAL4" localSheetId="20">#REF!</definedName>
    <definedName name="PARCIAL4" localSheetId="43">#REF!</definedName>
    <definedName name="PARCIAL4">#REF!</definedName>
    <definedName name="PARCIAL5" localSheetId="26">#REF!</definedName>
    <definedName name="PARCIAL5" localSheetId="33">#REF!</definedName>
    <definedName name="PARCIAL5" localSheetId="17">#REF!</definedName>
    <definedName name="PARCIAL5" localSheetId="29">#REF!</definedName>
    <definedName name="PARCIAL5" localSheetId="3">#REF!</definedName>
    <definedName name="PARCIAL5" localSheetId="16">#REF!</definedName>
    <definedName name="PARCIAL5" localSheetId="19">#REF!</definedName>
    <definedName name="PARCIAL5" localSheetId="20">#REF!</definedName>
    <definedName name="PARCIAL5" localSheetId="43">#REF!</definedName>
    <definedName name="PARCIAL5">#REF!</definedName>
    <definedName name="PARCIAL6" localSheetId="26">#REF!</definedName>
    <definedName name="PARCIAL6" localSheetId="33">#REF!</definedName>
    <definedName name="PARCIAL6" localSheetId="17">#REF!</definedName>
    <definedName name="PARCIAL6" localSheetId="29">#REF!</definedName>
    <definedName name="PARCIAL6" localSheetId="3">#REF!</definedName>
    <definedName name="PARCIAL6" localSheetId="16">#REF!</definedName>
    <definedName name="PARCIAL6" localSheetId="19">#REF!</definedName>
    <definedName name="PARCIAL6" localSheetId="20">#REF!</definedName>
    <definedName name="PARCIAL6" localSheetId="43">#REF!</definedName>
    <definedName name="PARCIAL6">#REF!</definedName>
    <definedName name="PartDesignation">[33]Masters!$C$16</definedName>
    <definedName name="Particulars" localSheetId="26">#REF!</definedName>
    <definedName name="Particulars" localSheetId="18">#REF!</definedName>
    <definedName name="Particulars" localSheetId="29">#REF!</definedName>
    <definedName name="Particulars" localSheetId="16">#REF!</definedName>
    <definedName name="Particulars" localSheetId="20">#REF!</definedName>
    <definedName name="Particulars" localSheetId="43">#REF!</definedName>
    <definedName name="Particulars">#REF!</definedName>
    <definedName name="Patent" localSheetId="26">#REF!</definedName>
    <definedName name="Patent" localSheetId="29">#REF!</definedName>
    <definedName name="Patent" localSheetId="16">#REF!</definedName>
    <definedName name="Patent" localSheetId="20">#REF!</definedName>
    <definedName name="Patent" localSheetId="43">#REF!</definedName>
    <definedName name="Patent">#REF!</definedName>
    <definedName name="Pay_Date" localSheetId="26">#REF!</definedName>
    <definedName name="Pay_Date" localSheetId="29">#REF!</definedName>
    <definedName name="Pay_Date" localSheetId="16">#REF!</definedName>
    <definedName name="Pay_Date" localSheetId="20">#REF!</definedName>
    <definedName name="Pay_Date" localSheetId="43">#REF!</definedName>
    <definedName name="Pay_Date">#REF!</definedName>
    <definedName name="Pay_Num" localSheetId="26">#REF!</definedName>
    <definedName name="Pay_Num" localSheetId="29">#REF!</definedName>
    <definedName name="Pay_Num" localSheetId="16">#REF!</definedName>
    <definedName name="Pay_Num" localSheetId="20">#REF!</definedName>
    <definedName name="Pay_Num" localSheetId="43">#REF!</definedName>
    <definedName name="Pay_Num">#REF!</definedName>
    <definedName name="payment" localSheetId="26">DATE(YEAR('Adjustment Working F.Y. 2021-22'!Loan_Start),MONTH('Adjustment Working F.Y. 2021-22'!Loan_Start)+Payment_Number,DAY('Adjustment Working F.Y. 2021-22'!Loan_Start))</definedName>
    <definedName name="payment" localSheetId="17">DATE(YEAR([0]!Loan_Start),MONTH([0]!Loan_Start)+Payment_Number,DAY([0]!Loan_Start))</definedName>
    <definedName name="payment" localSheetId="23">DATE(YEAR(Loan_Start),MONTH(Loan_Start)+Payment_Number,DAY(Loan_Start))</definedName>
    <definedName name="payment" localSheetId="18">DATE(YEAR(Loan_Start),MONTH(Loan_Start)+Payment_Number,DAY(Loan_Start))</definedName>
    <definedName name="payment" localSheetId="10">DATE(YEAR(Loan_Start),MONTH(Loan_Start)+Payment_Number,DAY(Loan_Start))</definedName>
    <definedName name="payment" localSheetId="29">DATE(YEAR('LMIL - BS SUMIF Formula'!Loan_Start),MONTH('LMIL - BS SUMIF Formula'!Loan_Start)+Payment_Number,DAY('LMIL - BS SUMIF Formula'!Loan_Start))</definedName>
    <definedName name="payment" localSheetId="16">DATE(YEAR('Regulation 33 - Balance Sheet'!Loan_Start),MONTH('Regulation 33 - Balance Sheet'!Loan_Start)+Payment_Number,DAY('Regulation 33 - Balance Sheet'!Loan_Start))</definedName>
    <definedName name="payment" localSheetId="20">DATE(YEAR('TB-30-09-2021'!Loan_Start),MONTH('TB-30-09-2021'!Loan_Start)+Payment_Number,DAY('TB-30-09-2021'!Loan_Start))</definedName>
    <definedName name="payment" localSheetId="43">DATE(YEAR('Trial Balance LS'!Loan_Start),MONTH('Trial Balance LS'!Loan_Start)+Payment_Number,DAY('Trial Balance LS'!Loan_Start))</definedName>
    <definedName name="payment">DATE(YEAR(Loan_Start),MONTH(Loan_Start)+Payment_Number,DAY(Loan_Start))</definedName>
    <definedName name="Payment_Date" localSheetId="26">DATE(YEAR('Adjustment Working F.Y. 2021-22'!Loan_Start),MONTH('Adjustment Working F.Y. 2021-22'!Loan_Start)+Payment_Number,DAY('Adjustment Working F.Y. 2021-22'!Loan_Start))</definedName>
    <definedName name="Payment_Date" localSheetId="17">DATE(YEAR([0]!Loan_Start),MONTH([0]!Loan_Start)+Payment_Number,DAY([0]!Loan_Start))</definedName>
    <definedName name="Payment_Date" localSheetId="23">DATE(YEAR(Loan_Start),MONTH(Loan_Start)+Payment_Number,DAY(Loan_Start))</definedName>
    <definedName name="Payment_Date" localSheetId="18">DATE(YEAR(Loan_Start),MONTH(Loan_Start)+Payment_Number,DAY(Loan_Start))</definedName>
    <definedName name="Payment_Date" localSheetId="10">DATE(YEAR(Loan_Start),MONTH(Loan_Start)+Payment_Number,DAY(Loan_Start))</definedName>
    <definedName name="Payment_Date" localSheetId="29">DATE(YEAR('LMIL - BS SUMIF Formula'!Loan_Start),MONTH('LMIL - BS SUMIF Formula'!Loan_Start)+Payment_Number,DAY('LMIL - BS SUMIF Formula'!Loan_Start))</definedName>
    <definedName name="Payment_Date" localSheetId="16">DATE(YEAR('Regulation 33 - Balance Sheet'!Loan_Start),MONTH('Regulation 33 - Balance Sheet'!Loan_Start)+Payment_Number,DAY('Regulation 33 - Balance Sheet'!Loan_Start))</definedName>
    <definedName name="Payment_Date" localSheetId="20">DATE(YEAR('TB-30-09-2021'!Loan_Start),MONTH('TB-30-09-2021'!Loan_Start)+Payment_Number,DAY('TB-30-09-2021'!Loan_Start))</definedName>
    <definedName name="Payment_Date" localSheetId="43">DATE(YEAR('Trial Balance LS'!Loan_Start),MONTH('Trial Balance LS'!Loan_Start)+Payment_Number,DAY('Trial Balance LS'!Loan_Start))</definedName>
    <definedName name="Payment_Date">DATE(YEAR(Loan_Start),MONTH(Loan_Start)+Payment_Number,DAY(Loan_Start))</definedName>
    <definedName name="Period">'[40]06-07 Detail'!$BE$2:$BE$25</definedName>
    <definedName name="PERIOD_END" localSheetId="26">#REF!</definedName>
    <definedName name="PERIOD_END" localSheetId="33">#REF!</definedName>
    <definedName name="PERIOD_END" localSheetId="17">#REF!</definedName>
    <definedName name="PERIOD_END" localSheetId="29">#REF!</definedName>
    <definedName name="PERIOD_END" localSheetId="3">#REF!</definedName>
    <definedName name="PERIOD_END" localSheetId="16">#REF!</definedName>
    <definedName name="PERIOD_END" localSheetId="19">#REF!</definedName>
    <definedName name="PERIOD_END" localSheetId="20">#REF!</definedName>
    <definedName name="PERIOD_END" localSheetId="43">#REF!</definedName>
    <definedName name="PERIOD_END">#REF!</definedName>
    <definedName name="PERK" localSheetId="26">#REF!</definedName>
    <definedName name="PERK" localSheetId="29">#REF!</definedName>
    <definedName name="PERK" localSheetId="16">#REF!</definedName>
    <definedName name="PERK" localSheetId="20">#REF!</definedName>
    <definedName name="PERK" localSheetId="43">#REF!</definedName>
    <definedName name="PERK">#REF!</definedName>
    <definedName name="PERSONAL" localSheetId="26">#REF!</definedName>
    <definedName name="PERSONAL" localSheetId="33">#REF!</definedName>
    <definedName name="PERSONAL" localSheetId="17">#REF!</definedName>
    <definedName name="PERSONAL" localSheetId="29">#REF!</definedName>
    <definedName name="PERSONAL" localSheetId="3">#REF!</definedName>
    <definedName name="PERSONAL" localSheetId="16">#REF!</definedName>
    <definedName name="PERSONAL" localSheetId="19">#REF!</definedName>
    <definedName name="PERSONAL" localSheetId="20">#REF!</definedName>
    <definedName name="PERSONAL" localSheetId="43">#REF!</definedName>
    <definedName name="PERSONAL">#REF!</definedName>
    <definedName name="phoaex" localSheetId="26">#REF!</definedName>
    <definedName name="phoaex" localSheetId="29">#REF!</definedName>
    <definedName name="phoaex" localSheetId="16">#REF!</definedName>
    <definedName name="phoaex" localSheetId="20">#REF!</definedName>
    <definedName name="phoaex" localSheetId="43">#REF!</definedName>
    <definedName name="phoaex">#REF!</definedName>
    <definedName name="phobex" localSheetId="26">#REF!</definedName>
    <definedName name="phobex" localSheetId="29">#REF!</definedName>
    <definedName name="phobex" localSheetId="16">#REF!</definedName>
    <definedName name="phobex" localSheetId="20">#REF!</definedName>
    <definedName name="phobex" localSheetId="43">#REF!</definedName>
    <definedName name="phobex">#REF!</definedName>
    <definedName name="phopex" localSheetId="26">#REF!</definedName>
    <definedName name="phopex" localSheetId="29">#REF!</definedName>
    <definedName name="phopex" localSheetId="16">#REF!</definedName>
    <definedName name="phopex" localSheetId="20">#REF!</definedName>
    <definedName name="phopex" localSheetId="43">#REF!</definedName>
    <definedName name="phopex">#REF!</definedName>
    <definedName name="pil" localSheetId="26">#REF!</definedName>
    <definedName name="pil" localSheetId="33">#REF!</definedName>
    <definedName name="pil" localSheetId="17">#REF!</definedName>
    <definedName name="pil" localSheetId="29">#REF!</definedName>
    <definedName name="pil" localSheetId="3">#REF!</definedName>
    <definedName name="pil" localSheetId="16">#REF!</definedName>
    <definedName name="pil" localSheetId="19">#REF!</definedName>
    <definedName name="pil" localSheetId="20">#REF!</definedName>
    <definedName name="pil" localSheetId="43">#REF!</definedName>
    <definedName name="pil">#REF!</definedName>
    <definedName name="PivotStart" localSheetId="26">#REF!</definedName>
    <definedName name="PivotStart" localSheetId="33">#REF!</definedName>
    <definedName name="PivotStart" localSheetId="17">#REF!</definedName>
    <definedName name="PivotStart" localSheetId="29">#REF!</definedName>
    <definedName name="PivotStart" localSheetId="3">#REF!</definedName>
    <definedName name="PivotStart" localSheetId="16">#REF!</definedName>
    <definedName name="PivotStart" localSheetId="19">#REF!</definedName>
    <definedName name="PivotStart" localSheetId="20">#REF!</definedName>
    <definedName name="PivotStart" localSheetId="43">#REF!</definedName>
    <definedName name="PivotStart">#REF!</definedName>
    <definedName name="pl" localSheetId="26">#REF!</definedName>
    <definedName name="pl" localSheetId="33">#REF!</definedName>
    <definedName name="pl" localSheetId="17">#REF!</definedName>
    <definedName name="pl" localSheetId="48">#REF!</definedName>
    <definedName name="pl" localSheetId="29">#REF!</definedName>
    <definedName name="pl" localSheetId="3">#REF!</definedName>
    <definedName name="pl" localSheetId="35">#REF!</definedName>
    <definedName name="pl" localSheetId="16">#REF!</definedName>
    <definedName name="pl" localSheetId="5">#REF!</definedName>
    <definedName name="pl" localSheetId="19">#REF!</definedName>
    <definedName name="pl" localSheetId="20">#REF!</definedName>
    <definedName name="pl" localSheetId="43">#REF!</definedName>
    <definedName name="pl">#REF!</definedName>
    <definedName name="PLAN_AEC_DEV" localSheetId="26">#REF!</definedName>
    <definedName name="PLAN_AEC_DEV" localSheetId="33">#REF!</definedName>
    <definedName name="PLAN_AEC_DEV" localSheetId="17">#REF!</definedName>
    <definedName name="PLAN_AEC_DEV" localSheetId="29">#REF!</definedName>
    <definedName name="PLAN_AEC_DEV" localSheetId="3">#REF!</definedName>
    <definedName name="PLAN_AEC_DEV" localSheetId="16">#REF!</definedName>
    <definedName name="PLAN_AEC_DEV" localSheetId="19">#REF!</definedName>
    <definedName name="PLAN_AEC_DEV" localSheetId="20">#REF!</definedName>
    <definedName name="PLAN_AEC_DEV" localSheetId="43">#REF!</definedName>
    <definedName name="PLAN_AEC_DEV">#REF!</definedName>
    <definedName name="PLAN_AMD" localSheetId="26">#REF!</definedName>
    <definedName name="PLAN_AMD" localSheetId="33">#REF!</definedName>
    <definedName name="PLAN_AMD" localSheetId="17">#REF!</definedName>
    <definedName name="PLAN_AMD" localSheetId="29">#REF!</definedName>
    <definedName name="PLAN_AMD" localSheetId="3">#REF!</definedName>
    <definedName name="PLAN_AMD" localSheetId="16">#REF!</definedName>
    <definedName name="PLAN_AMD" localSheetId="19">#REF!</definedName>
    <definedName name="PLAN_AMD" localSheetId="20">#REF!</definedName>
    <definedName name="PLAN_AMD" localSheetId="43">#REF!</definedName>
    <definedName name="PLAN_AMD">#REF!</definedName>
    <definedName name="PLAN_CCD_CNEXT" localSheetId="26">#REF!</definedName>
    <definedName name="PLAN_CCD_CNEXT" localSheetId="33">#REF!</definedName>
    <definedName name="PLAN_CCD_CNEXT" localSheetId="17">#REF!</definedName>
    <definedName name="PLAN_CCD_CNEXT" localSheetId="29">#REF!</definedName>
    <definedName name="PLAN_CCD_CNEXT" localSheetId="3">#REF!</definedName>
    <definedName name="PLAN_CCD_CNEXT" localSheetId="16">#REF!</definedName>
    <definedName name="PLAN_CCD_CNEXT" localSheetId="19">#REF!</definedName>
    <definedName name="PLAN_CCD_CNEXT" localSheetId="20">#REF!</definedName>
    <definedName name="PLAN_CCD_CNEXT" localSheetId="43">#REF!</definedName>
    <definedName name="PLAN_CCD_CNEXT">#REF!</definedName>
    <definedName name="PLAN_DSA" localSheetId="26">#REF!</definedName>
    <definedName name="PLAN_DSA" localSheetId="33">#REF!</definedName>
    <definedName name="PLAN_DSA" localSheetId="17">#REF!</definedName>
    <definedName name="PLAN_DSA" localSheetId="29">#REF!</definedName>
    <definedName name="PLAN_DSA" localSheetId="3">#REF!</definedName>
    <definedName name="PLAN_DSA" localSheetId="16">#REF!</definedName>
    <definedName name="PLAN_DSA" localSheetId="19">#REF!</definedName>
    <definedName name="PLAN_DSA" localSheetId="20">#REF!</definedName>
    <definedName name="PLAN_DSA" localSheetId="43">#REF!</definedName>
    <definedName name="PLAN_DSA">#REF!</definedName>
    <definedName name="PLAN_ELIM" localSheetId="26">#REF!</definedName>
    <definedName name="PLAN_ELIM" localSheetId="33">#REF!</definedName>
    <definedName name="PLAN_ELIM" localSheetId="17">#REF!</definedName>
    <definedName name="PLAN_ELIM" localSheetId="29">#REF!</definedName>
    <definedName name="PLAN_ELIM" localSheetId="3">#REF!</definedName>
    <definedName name="PLAN_ELIM" localSheetId="16">#REF!</definedName>
    <definedName name="PLAN_ELIM" localSheetId="19">#REF!</definedName>
    <definedName name="PLAN_ELIM" localSheetId="20">#REF!</definedName>
    <definedName name="PLAN_ELIM" localSheetId="43">#REF!</definedName>
    <definedName name="PLAN_ELIM">#REF!</definedName>
    <definedName name="PLAN_GA_MIS" localSheetId="26">#REF!</definedName>
    <definedName name="PLAN_GA_MIS" localSheetId="33">#REF!</definedName>
    <definedName name="PLAN_GA_MIS" localSheetId="17">#REF!</definedName>
    <definedName name="PLAN_GA_MIS" localSheetId="29">#REF!</definedName>
    <definedName name="PLAN_GA_MIS" localSheetId="3">#REF!</definedName>
    <definedName name="PLAN_GA_MIS" localSheetId="16">#REF!</definedName>
    <definedName name="PLAN_GA_MIS" localSheetId="19">#REF!</definedName>
    <definedName name="PLAN_GA_MIS" localSheetId="20">#REF!</definedName>
    <definedName name="PLAN_GA_MIS" localSheetId="43">#REF!</definedName>
    <definedName name="PLAN_GA_MIS">#REF!</definedName>
    <definedName name="PLAN_LAT_AM" localSheetId="26">#REF!</definedName>
    <definedName name="PLAN_LAT_AM" localSheetId="33">#REF!</definedName>
    <definedName name="PLAN_LAT_AM" localSheetId="17">#REF!</definedName>
    <definedName name="PLAN_LAT_AM" localSheetId="29">#REF!</definedName>
    <definedName name="PLAN_LAT_AM" localSheetId="3">#REF!</definedName>
    <definedName name="PLAN_LAT_AM" localSheetId="16">#REF!</definedName>
    <definedName name="PLAN_LAT_AM" localSheetId="19">#REF!</definedName>
    <definedName name="PLAN_LAT_AM" localSheetId="20">#REF!</definedName>
    <definedName name="PLAN_LAT_AM" localSheetId="43">#REF!</definedName>
    <definedName name="PLAN_LAT_AM">#REF!</definedName>
    <definedName name="PLAN_MKT_COMM" localSheetId="26">#REF!</definedName>
    <definedName name="PLAN_MKT_COMM" localSheetId="33">#REF!</definedName>
    <definedName name="PLAN_MKT_COMM" localSheetId="17">#REF!</definedName>
    <definedName name="PLAN_MKT_COMM" localSheetId="29">#REF!</definedName>
    <definedName name="PLAN_MKT_COMM" localSheetId="3">#REF!</definedName>
    <definedName name="PLAN_MKT_COMM" localSheetId="16">#REF!</definedName>
    <definedName name="PLAN_MKT_COMM" localSheetId="19">#REF!</definedName>
    <definedName name="PLAN_MKT_COMM" localSheetId="20">#REF!</definedName>
    <definedName name="PLAN_MKT_COMM" localSheetId="43">#REF!</definedName>
    <definedName name="PLAN_MKT_COMM">#REF!</definedName>
    <definedName name="PLAN_MKTG" localSheetId="26">#REF!</definedName>
    <definedName name="PLAN_MKTG" localSheetId="33">#REF!</definedName>
    <definedName name="PLAN_MKTG" localSheetId="17">#REF!</definedName>
    <definedName name="PLAN_MKTG" localSheetId="29">#REF!</definedName>
    <definedName name="PLAN_MKTG" localSheetId="3">#REF!</definedName>
    <definedName name="PLAN_MKTG" localSheetId="16">#REF!</definedName>
    <definedName name="PLAN_MKTG" localSheetId="19">#REF!</definedName>
    <definedName name="PLAN_MKTG" localSheetId="20">#REF!</definedName>
    <definedName name="PLAN_MKTG" localSheetId="43">#REF!</definedName>
    <definedName name="PLAN_MKTG">#REF!</definedName>
    <definedName name="PLAN_NAS_AEC" localSheetId="26">#REF!</definedName>
    <definedName name="PLAN_NAS_AEC" localSheetId="33">#REF!</definedName>
    <definedName name="PLAN_NAS_AEC" localSheetId="17">#REF!</definedName>
    <definedName name="PLAN_NAS_AEC" localSheetId="29">#REF!</definedName>
    <definedName name="PLAN_NAS_AEC" localSheetId="3">#REF!</definedName>
    <definedName name="PLAN_NAS_AEC" localSheetId="16">#REF!</definedName>
    <definedName name="PLAN_NAS_AEC" localSheetId="19">#REF!</definedName>
    <definedName name="PLAN_NAS_AEC" localSheetId="20">#REF!</definedName>
    <definedName name="PLAN_NAS_AEC" localSheetId="43">#REF!</definedName>
    <definedName name="PLAN_NAS_AEC">#REF!</definedName>
    <definedName name="PLAN_NAS_MECH" localSheetId="26">#REF!</definedName>
    <definedName name="PLAN_NAS_MECH" localSheetId="33">#REF!</definedName>
    <definedName name="PLAN_NAS_MECH" localSheetId="17">#REF!</definedName>
    <definedName name="PLAN_NAS_MECH" localSheetId="29">#REF!</definedName>
    <definedName name="PLAN_NAS_MECH" localSheetId="3">#REF!</definedName>
    <definedName name="PLAN_NAS_MECH" localSheetId="16">#REF!</definedName>
    <definedName name="PLAN_NAS_MECH" localSheetId="19">#REF!</definedName>
    <definedName name="PLAN_NAS_MECH" localSheetId="20">#REF!</definedName>
    <definedName name="PLAN_NAS_MECH" localSheetId="43">#REF!</definedName>
    <definedName name="PLAN_NAS_MECH">#REF!</definedName>
    <definedName name="PLAN_NEWCO" localSheetId="26">#REF!</definedName>
    <definedName name="PLAN_NEWCO" localSheetId="33">#REF!</definedName>
    <definedName name="PLAN_NEWCO" localSheetId="17">#REF!</definedName>
    <definedName name="PLAN_NEWCO" localSheetId="29">#REF!</definedName>
    <definedName name="PLAN_NEWCO" localSheetId="3">#REF!</definedName>
    <definedName name="PLAN_NEWCO" localSheetId="16">#REF!</definedName>
    <definedName name="PLAN_NEWCO" localSheetId="19">#REF!</definedName>
    <definedName name="PLAN_NEWCO" localSheetId="20">#REF!</definedName>
    <definedName name="PLAN_NEWCO" localSheetId="43">#REF!</definedName>
    <definedName name="PLAN_NEWCO">#REF!</definedName>
    <definedName name="PLAN_NEWCO_MO" localSheetId="26">#REF!</definedName>
    <definedName name="PLAN_NEWCO_MO" localSheetId="33">#REF!</definedName>
    <definedName name="PLAN_NEWCO_MO" localSheetId="17">#REF!</definedName>
    <definedName name="PLAN_NEWCO_MO" localSheetId="29">#REF!</definedName>
    <definedName name="PLAN_NEWCO_MO" localSheetId="3">#REF!</definedName>
    <definedName name="PLAN_NEWCO_MO" localSheetId="16">#REF!</definedName>
    <definedName name="PLAN_NEWCO_MO" localSheetId="19">#REF!</definedName>
    <definedName name="PLAN_NEWCO_MO" localSheetId="20">#REF!</definedName>
    <definedName name="PLAN_NEWCO_MO" localSheetId="43">#REF!</definedName>
    <definedName name="PLAN_NEWCO_MO">#REF!</definedName>
    <definedName name="PLAN_PSD" localSheetId="26">#REF!</definedName>
    <definedName name="PLAN_PSD" localSheetId="33">#REF!</definedName>
    <definedName name="PLAN_PSD" localSheetId="17">#REF!</definedName>
    <definedName name="PLAN_PSD" localSheetId="29">#REF!</definedName>
    <definedName name="PLAN_PSD" localSheetId="3">#REF!</definedName>
    <definedName name="PLAN_PSD" localSheetId="16">#REF!</definedName>
    <definedName name="PLAN_PSD" localSheetId="19">#REF!</definedName>
    <definedName name="PLAN_PSD" localSheetId="20">#REF!</definedName>
    <definedName name="PLAN_PSD" localSheetId="43">#REF!</definedName>
    <definedName name="PLAN_PSD">#REF!</definedName>
    <definedName name="PLAN_VPM" localSheetId="26">#REF!</definedName>
    <definedName name="PLAN_VPM" localSheetId="33">#REF!</definedName>
    <definedName name="PLAN_VPM" localSheetId="17">#REF!</definedName>
    <definedName name="PLAN_VPM" localSheetId="29">#REF!</definedName>
    <definedName name="PLAN_VPM" localSheetId="3">#REF!</definedName>
    <definedName name="PLAN_VPM" localSheetId="16">#REF!</definedName>
    <definedName name="PLAN_VPM" localSheetId="19">#REF!</definedName>
    <definedName name="PLAN_VPM" localSheetId="20">#REF!</definedName>
    <definedName name="PLAN_VPM" localSheetId="43">#REF!</definedName>
    <definedName name="PLAN_VPM">#REF!</definedName>
    <definedName name="plgroup" localSheetId="26">#REF!</definedName>
    <definedName name="plgroup" localSheetId="33">#REF!</definedName>
    <definedName name="plgroup" localSheetId="17">#REF!</definedName>
    <definedName name="plgroup" localSheetId="48">#REF!</definedName>
    <definedName name="plgroup" localSheetId="29">#REF!</definedName>
    <definedName name="plgroup" localSheetId="3">#REF!</definedName>
    <definedName name="plgroup" localSheetId="35">#REF!</definedName>
    <definedName name="plgroup" localSheetId="16">#REF!</definedName>
    <definedName name="plgroup" localSheetId="5">#REF!</definedName>
    <definedName name="plgroup" localSheetId="19">#REF!</definedName>
    <definedName name="plgroup" localSheetId="20">#REF!</definedName>
    <definedName name="plgroup" localSheetId="43">#REF!</definedName>
    <definedName name="plgroup">#REF!</definedName>
    <definedName name="PLTB" localSheetId="26">#REF!</definedName>
    <definedName name="PLTB" localSheetId="33">#REF!</definedName>
    <definedName name="PLTB" localSheetId="17">#REF!</definedName>
    <definedName name="PLTB" localSheetId="48">#REF!</definedName>
    <definedName name="PLTB" localSheetId="29">#REF!</definedName>
    <definedName name="PLTB" localSheetId="3">#REF!</definedName>
    <definedName name="PLTB" localSheetId="35">#REF!</definedName>
    <definedName name="PLTB" localSheetId="16">#REF!</definedName>
    <definedName name="PLTB" localSheetId="5">#REF!</definedName>
    <definedName name="PLTB" localSheetId="19">#REF!</definedName>
    <definedName name="PLTB" localSheetId="20">#REF!</definedName>
    <definedName name="PLTB" localSheetId="43">#REF!</definedName>
    <definedName name="PLTB">#REF!</definedName>
    <definedName name="PM" localSheetId="26">#REF!</definedName>
    <definedName name="PM" localSheetId="33">#REF!</definedName>
    <definedName name="PM" localSheetId="17">#REF!</definedName>
    <definedName name="PM" localSheetId="29">#REF!</definedName>
    <definedName name="PM" localSheetId="3">#REF!</definedName>
    <definedName name="PM" localSheetId="16">#REF!</definedName>
    <definedName name="PM" localSheetId="19">#REF!</definedName>
    <definedName name="PM" localSheetId="20">#REF!</definedName>
    <definedName name="PM" localSheetId="43">#REF!</definedName>
    <definedName name="PM">#REF!</definedName>
    <definedName name="PND" localSheetId="26">#REF!</definedName>
    <definedName name="PND" localSheetId="29">#REF!</definedName>
    <definedName name="PND" localSheetId="16">#REF!</definedName>
    <definedName name="PND" localSheetId="20">#REF!</definedName>
    <definedName name="PND" localSheetId="43">#REF!</definedName>
    <definedName name="PND">#REF!</definedName>
    <definedName name="pnt" localSheetId="26">#REF!</definedName>
    <definedName name="pnt" localSheetId="29">#REF!</definedName>
    <definedName name="pnt" localSheetId="16">#REF!</definedName>
    <definedName name="pnt" localSheetId="20">#REF!</definedName>
    <definedName name="pnt" localSheetId="43">#REF!</definedName>
    <definedName name="pnt">#REF!</definedName>
    <definedName name="PO_OS_OCT08" localSheetId="18">[35]Outstanding!#REF!</definedName>
    <definedName name="PO_OS_OCT08" localSheetId="29">[35]Outstanding!#REF!</definedName>
    <definedName name="PO_OS_OCT08" localSheetId="16">[35]Outstanding!#REF!</definedName>
    <definedName name="PO_OS_OCT08" localSheetId="20">[35]Outstanding!#REF!</definedName>
    <definedName name="PO_OS_OCT08" localSheetId="43">[35]Outstanding!#REF!</definedName>
    <definedName name="PO_OS_OCT08">[35]Outstanding!#REF!</definedName>
    <definedName name="POWER" localSheetId="26">#REF!</definedName>
    <definedName name="POWER" localSheetId="18">#REF!</definedName>
    <definedName name="POWER" localSheetId="29">#REF!</definedName>
    <definedName name="POWER" localSheetId="16">#REF!</definedName>
    <definedName name="POWER" localSheetId="20">#REF!</definedName>
    <definedName name="POWER" localSheetId="43">#REF!</definedName>
    <definedName name="POWER">#REF!</definedName>
    <definedName name="PP" localSheetId="26">#REF!</definedName>
    <definedName name="PP" localSheetId="29">#REF!</definedName>
    <definedName name="PP" localSheetId="16">#REF!</definedName>
    <definedName name="PP" localSheetId="20">#REF!</definedName>
    <definedName name="PP" localSheetId="43">#REF!</definedName>
    <definedName name="PP">#REF!</definedName>
    <definedName name="ppp" localSheetId="26">#REF!</definedName>
    <definedName name="ppp" localSheetId="29">#REF!</definedName>
    <definedName name="ppp" localSheetId="16">#REF!</definedName>
    <definedName name="ppp" localSheetId="20">#REF!</definedName>
    <definedName name="ppp" localSheetId="43">#REF!</definedName>
    <definedName name="ppp">#REF!</definedName>
    <definedName name="praex" localSheetId="26">#REF!</definedName>
    <definedName name="praex" localSheetId="29">#REF!</definedName>
    <definedName name="praex" localSheetId="16">#REF!</definedName>
    <definedName name="praex" localSheetId="20">#REF!</definedName>
    <definedName name="praex" localSheetId="43">#REF!</definedName>
    <definedName name="praex">#REF!</definedName>
    <definedName name="prbex" localSheetId="26">#REF!</definedName>
    <definedName name="prbex" localSheetId="29">#REF!</definedName>
    <definedName name="prbex" localSheetId="16">#REF!</definedName>
    <definedName name="prbex" localSheetId="20">#REF!</definedName>
    <definedName name="prbex" localSheetId="43">#REF!</definedName>
    <definedName name="prbex">#REF!</definedName>
    <definedName name="PRCIAL3" localSheetId="26">#REF!</definedName>
    <definedName name="PRCIAL3" localSheetId="33">#REF!</definedName>
    <definedName name="PRCIAL3" localSheetId="17">#REF!</definedName>
    <definedName name="PRCIAL3" localSheetId="29">#REF!</definedName>
    <definedName name="PRCIAL3" localSheetId="3">#REF!</definedName>
    <definedName name="PRCIAL3" localSheetId="16">#REF!</definedName>
    <definedName name="PRCIAL3" localSheetId="19">#REF!</definedName>
    <definedName name="PRCIAL3" localSheetId="20">#REF!</definedName>
    <definedName name="PRCIAL3" localSheetId="43">#REF!</definedName>
    <definedName name="PRCIAL3">#REF!</definedName>
    <definedName name="PREPAID_OTHER" localSheetId="26">#REF!</definedName>
    <definedName name="PREPAID_OTHER" localSheetId="33">#REF!</definedName>
    <definedName name="PREPAID_OTHER" localSheetId="17">#REF!</definedName>
    <definedName name="PREPAID_OTHER" localSheetId="29">#REF!</definedName>
    <definedName name="PREPAID_OTHER" localSheetId="3">#REF!</definedName>
    <definedName name="PREPAID_OTHER" localSheetId="16">#REF!</definedName>
    <definedName name="PREPAID_OTHER" localSheetId="19">#REF!</definedName>
    <definedName name="PREPAID_OTHER" localSheetId="20">#REF!</definedName>
    <definedName name="PREPAID_OTHER" localSheetId="43">#REF!</definedName>
    <definedName name="PREPAID_OTHER">#REF!</definedName>
    <definedName name="PREPARED_BY" localSheetId="26">#REF!</definedName>
    <definedName name="PREPARED_BY" localSheetId="33">#REF!</definedName>
    <definedName name="PREPARED_BY" localSheetId="17">#REF!</definedName>
    <definedName name="PREPARED_BY" localSheetId="29">#REF!</definedName>
    <definedName name="PREPARED_BY" localSheetId="3">#REF!</definedName>
    <definedName name="PREPARED_BY" localSheetId="16">#REF!</definedName>
    <definedName name="PREPARED_BY" localSheetId="19">#REF!</definedName>
    <definedName name="PREPARED_BY" localSheetId="20">#REF!</definedName>
    <definedName name="PREPARED_BY" localSheetId="43">#REF!</definedName>
    <definedName name="PREPARED_BY">#REF!</definedName>
    <definedName name="PREPARED_DATE" localSheetId="26">#REF!</definedName>
    <definedName name="PREPARED_DATE" localSheetId="33">#REF!</definedName>
    <definedName name="PREPARED_DATE" localSheetId="17">#REF!</definedName>
    <definedName name="PREPARED_DATE" localSheetId="29">#REF!</definedName>
    <definedName name="PREPARED_DATE" localSheetId="3">#REF!</definedName>
    <definedName name="PREPARED_DATE" localSheetId="16">#REF!</definedName>
    <definedName name="PREPARED_DATE" localSheetId="19">#REF!</definedName>
    <definedName name="PREPARED_DATE" localSheetId="20">#REF!</definedName>
    <definedName name="PREPARED_DATE" localSheetId="43">#REF!</definedName>
    <definedName name="PREPARED_DATE">#REF!</definedName>
    <definedName name="Presi" localSheetId="26">#REF!</definedName>
    <definedName name="Presi" localSheetId="29">#REF!</definedName>
    <definedName name="Presi" localSheetId="16">#REF!</definedName>
    <definedName name="Presi" localSheetId="20">#REF!</definedName>
    <definedName name="Presi" localSheetId="43">#REF!</definedName>
    <definedName name="Presi">#REF!</definedName>
    <definedName name="Prev_ActiLife" localSheetId="26">'[28]Brand (2)'!$D$428:$AF$445</definedName>
    <definedName name="Prev_ActiLife" localSheetId="23">'[29]Brand (2)'!$D$428:$AF$445</definedName>
    <definedName name="Prev_ActiLife" localSheetId="43">'[28]Brand (2)'!$D$428:$AF$445</definedName>
    <definedName name="Prev_ActiLife">'[30]Brand (2)'!$D$428:$AF$445</definedName>
    <definedName name="Prev_Brand" localSheetId="26">'[28]Brand (2)'!$D$328:$AF$346</definedName>
    <definedName name="Prev_Brand" localSheetId="23">'[29]Brand (2)'!$D$328:$AF$346</definedName>
    <definedName name="Prev_Brand" localSheetId="43">'[28]Brand (2)'!$D$328:$AF$346</definedName>
    <definedName name="Prev_Brand">'[30]Brand (2)'!$D$328:$AF$346</definedName>
    <definedName name="Prev_EY" localSheetId="26">'[28]Brand (2)'!$D$388:$AF$405</definedName>
    <definedName name="Prev_EY" localSheetId="23">'[29]Brand (2)'!$D$388:$AF$405</definedName>
    <definedName name="Prev_EY" localSheetId="43">'[28]Brand (2)'!$D$388:$AF$405</definedName>
    <definedName name="Prev_EY">'[30]Brand (2)'!$D$388:$AF$405</definedName>
    <definedName name="Prev_EY_Menz" localSheetId="26">'[28]Brand (2)'!$D$408:$AF$425</definedName>
    <definedName name="Prev_EY_Menz" localSheetId="23">'[29]Brand (2)'!$D$408:$AF$425</definedName>
    <definedName name="Prev_EY_Menz" localSheetId="43">'[28]Brand (2)'!$D$408:$AF$425</definedName>
    <definedName name="Prev_EY_Menz">'[30]Brand (2)'!$D$408:$AF$425</definedName>
    <definedName name="PREV_GRF">'[32]IS Mo'!$EX$10:$FI$62</definedName>
    <definedName name="Prev_HS" localSheetId="26">'[28]Brand (2)'!$D$448:$AF$465</definedName>
    <definedName name="Prev_HS" localSheetId="23">'[29]Brand (2)'!$D$448:$AF$465</definedName>
    <definedName name="Prev_HS" localSheetId="43">'[28]Brand (2)'!$D$448:$AF$465</definedName>
    <definedName name="Prev_HS">'[30]Brand (2)'!$D$448:$AF$465</definedName>
    <definedName name="PREV_INN">'[32]IS Mo'!$GB$10:$GM$62</definedName>
    <definedName name="prev_pl">[35]budget!$D$266:$AB$296</definedName>
    <definedName name="PREV_PUB">'[32]IS Mo'!$FM$10:$FX$62</definedName>
    <definedName name="Prev_SFN" localSheetId="26">'[28]Brand (2)'!$D$348:$AF$365</definedName>
    <definedName name="Prev_SFN" localSheetId="23">'[29]Brand (2)'!$D$348:$AF$365</definedName>
    <definedName name="Prev_SFN" localSheetId="43">'[28]Brand (2)'!$D$348:$AF$365</definedName>
    <definedName name="Prev_SFN">'[30]Brand (2)'!$D$348:$AF$365</definedName>
    <definedName name="PRIMA_NN" localSheetId="23">[13]Sales!#REF!</definedName>
    <definedName name="PRIMA_NN" localSheetId="18">[13]Sales!#REF!</definedName>
    <definedName name="PRIMA_NN" localSheetId="29">[13]Sales!#REF!</definedName>
    <definedName name="PRIMA_NN" localSheetId="16">[13]Sales!#REF!</definedName>
    <definedName name="PRIMA_NN" localSheetId="20">[13]Sales!#REF!</definedName>
    <definedName name="PRIMA_NN" localSheetId="43">[13]Sales!#REF!</definedName>
    <definedName name="PRIMA_NN">[13]Sales!#REF!</definedName>
    <definedName name="Princ" localSheetId="26">#REF!</definedName>
    <definedName name="Princ" localSheetId="18">#REF!</definedName>
    <definedName name="Princ" localSheetId="29">#REF!</definedName>
    <definedName name="Princ" localSheetId="16">#REF!</definedName>
    <definedName name="Princ" localSheetId="20">#REF!</definedName>
    <definedName name="Princ" localSheetId="43">#REF!</definedName>
    <definedName name="Princ">#REF!</definedName>
    <definedName name="Prince" localSheetId="26">#REF!</definedName>
    <definedName name="Prince" localSheetId="29">#REF!</definedName>
    <definedName name="Prince" localSheetId="16">#REF!</definedName>
    <definedName name="Prince" localSheetId="20">#REF!</definedName>
    <definedName name="Prince" localSheetId="43">#REF!</definedName>
    <definedName name="Prince">#REF!</definedName>
    <definedName name="_xlnm.Print_Area" localSheetId="26">#REF!</definedName>
    <definedName name="_xlnm.Print_Area" localSheetId="33">'Analytic review'!$A$1:$M$91</definedName>
    <definedName name="_xlnm.Print_Area" localSheetId="17">Cashflow!$A$1:$C$60</definedName>
    <definedName name="_xlnm.Print_Area" localSheetId="48">#REF!</definedName>
    <definedName name="_xlnm.Print_Area" localSheetId="23">#REF!</definedName>
    <definedName name="_xlnm.Print_Area" localSheetId="18">#REF!</definedName>
    <definedName name="_xlnm.Print_Area" localSheetId="29">'LMIL - BS SUMIF Formula'!$A$1:$H$67</definedName>
    <definedName name="_xlnm.Print_Area" localSheetId="35">#REF!</definedName>
    <definedName name="_xlnm.Print_Area" localSheetId="16">'Regulation 33 - Balance Sheet'!$A$1:$H$68</definedName>
    <definedName name="_xlnm.Print_Area" localSheetId="4">'Regulation 33 - Balance Sheet_'!$A$1:$H$64</definedName>
    <definedName name="_xlnm.Print_Area" localSheetId="5">'Regulation 33 - Results'!$A$1:$P$87</definedName>
    <definedName name="_xlnm.Print_Area" localSheetId="19">'Standalone - Cashflow- Before M'!$A$1:$C$54</definedName>
    <definedName name="_xlnm.Print_Area" localSheetId="20">#REF!</definedName>
    <definedName name="_xlnm.Print_Area" localSheetId="43">#REF!</definedName>
    <definedName name="_xlnm.Print_Area">#REF!</definedName>
    <definedName name="PRINT_AREA_MI" localSheetId="26">#REF!</definedName>
    <definedName name="PRINT_AREA_MI" localSheetId="33">#REF!</definedName>
    <definedName name="PRINT_AREA_MI" localSheetId="17">#REF!</definedName>
    <definedName name="Print_Area_MI" localSheetId="48">#REF!</definedName>
    <definedName name="PRINT_AREA_MI" localSheetId="29">#REF!</definedName>
    <definedName name="PRINT_AREA_MI" localSheetId="3">#REF!</definedName>
    <definedName name="Print_Area_MI" localSheetId="35">#REF!</definedName>
    <definedName name="PRINT_AREA_MI" localSheetId="16">#REF!</definedName>
    <definedName name="PRINT_AREA_MI" localSheetId="5">#REF!</definedName>
    <definedName name="PRINT_AREA_MI" localSheetId="19">#REF!</definedName>
    <definedName name="PRINT_AREA_MI" localSheetId="20">#REF!</definedName>
    <definedName name="PRINT_AREA_MI" localSheetId="43">#REF!</definedName>
    <definedName name="PRINT_AREA_MI">#REF!</definedName>
    <definedName name="Print_Area_Reset" localSheetId="26">OFFSET('Adjustment Working F.Y. 2021-22'!Full_Print,0,0,'Adjustment Working F.Y. 2021-22'!Last_Row)</definedName>
    <definedName name="Print_Area_Reset" localSheetId="23">OFFSET(Full_Print,0,0,'DTA-DTL LMIL Q2 2022-23'!Last_Row)</definedName>
    <definedName name="Print_Area_Reset" localSheetId="18">OFFSET(Full_Print,0,0,Last_Row)</definedName>
    <definedName name="Print_Area_Reset" localSheetId="10">OFFSET(Full_Print,0,0,Last_Row)</definedName>
    <definedName name="Print_Area_Reset" localSheetId="29">OFFSET('LMIL - BS SUMIF Formula'!Full_Print,0,0,[0]!Last_Row)</definedName>
    <definedName name="Print_Area_Reset" localSheetId="16">OFFSET('Regulation 33 - Balance Sheet'!Full_Print,0,0,Last_Row)</definedName>
    <definedName name="Print_Area_Reset" localSheetId="20">OFFSET('TB-30-09-2021'!Full_Print,0,0,Last_Row)</definedName>
    <definedName name="Print_Area_Reset" localSheetId="43">OFFSET('Trial Balance LS'!Full_Print,0,0,'Trial Balance LS'!Last_Row)</definedName>
    <definedName name="Print_Area_Reset">OFFSET(Full_Print,0,0,Last_Row)</definedName>
    <definedName name="Print_Month">'[32]IS Mo'!$A$1:$AE$64</definedName>
    <definedName name="Print_SM_GA">'[32]Fiscal View'!$A$46:$K$88</definedName>
    <definedName name="_xlnm.Print_Titles" localSheetId="26">'[66]STOCK-ORDER-BILLING'!#REF!</definedName>
    <definedName name="_xlnm.Print_Titles" localSheetId="33">'[66]STOCK-ORDER-BILLING'!#REF!</definedName>
    <definedName name="_xlnm.Print_Titles" localSheetId="17">'[66]STOCK-ORDER-BILLING'!#REF!</definedName>
    <definedName name="_xlnm.Print_Titles" localSheetId="18">'[66]STOCK-ORDER-BILLING'!#REF!</definedName>
    <definedName name="_xlnm.Print_Titles" localSheetId="29">'[66]STOCK-ORDER-BILLING'!#REF!</definedName>
    <definedName name="_xlnm.Print_Titles" localSheetId="16">'[66]STOCK-ORDER-BILLING'!#REF!</definedName>
    <definedName name="_xlnm.Print_Titles" localSheetId="19">'[66]STOCK-ORDER-BILLING'!#REF!</definedName>
    <definedName name="_xlnm.Print_Titles" localSheetId="20">'[66]STOCK-ORDER-BILLING'!#REF!</definedName>
    <definedName name="_xlnm.Print_Titles" localSheetId="43">'[66]STOCK-ORDER-BILLING'!#REF!</definedName>
    <definedName name="_xlnm.Print_Titles">'[66]STOCK-ORDER-BILLING'!#REF!</definedName>
    <definedName name="Print_Titles_MI" localSheetId="26">#REF!</definedName>
    <definedName name="Print_Titles_MI" localSheetId="33">#REF!</definedName>
    <definedName name="Print_Titles_MI" localSheetId="17">#REF!</definedName>
    <definedName name="Print_Titles_MI" localSheetId="48">#REF!</definedName>
    <definedName name="Print_Titles_MI" localSheetId="29">#REF!</definedName>
    <definedName name="Print_Titles_MI" localSheetId="3">#REF!</definedName>
    <definedName name="Print_Titles_MI" localSheetId="35">#REF!</definedName>
    <definedName name="Print_Titles_MI" localSheetId="16">#REF!</definedName>
    <definedName name="Print_Titles_MI" localSheetId="5">#REF!</definedName>
    <definedName name="Print_Titles_MI" localSheetId="19">#REF!</definedName>
    <definedName name="Print_Titles_MI" localSheetId="20">#REF!</definedName>
    <definedName name="Print_Titles_MI" localSheetId="43">#REF!</definedName>
    <definedName name="Print_Titles_MI">#REF!</definedName>
    <definedName name="Print_YTD">'[32]IS Mo'!$A$67:$AE$131</definedName>
    <definedName name="PRINT1" localSheetId="26">#REF!</definedName>
    <definedName name="PRINT1" localSheetId="33">#REF!</definedName>
    <definedName name="PRINT1" localSheetId="17">#REF!</definedName>
    <definedName name="PRINT1" localSheetId="29">#REF!</definedName>
    <definedName name="PRINT1" localSheetId="3">#REF!</definedName>
    <definedName name="PRINT1" localSheetId="16">#REF!</definedName>
    <definedName name="PRINT1" localSheetId="19">#REF!</definedName>
    <definedName name="PRINT1" localSheetId="20">#REF!</definedName>
    <definedName name="PRINT1" localSheetId="43">#REF!</definedName>
    <definedName name="PRINT1">#REF!</definedName>
    <definedName name="PRINT2" localSheetId="26">#REF!</definedName>
    <definedName name="PRINT2" localSheetId="33">#REF!</definedName>
    <definedName name="PRINT2" localSheetId="17">#REF!</definedName>
    <definedName name="PRINT2" localSheetId="29">#REF!</definedName>
    <definedName name="PRINT2" localSheetId="3">#REF!</definedName>
    <definedName name="PRINT2" localSheetId="16">#REF!</definedName>
    <definedName name="PRINT2" localSheetId="19">#REF!</definedName>
    <definedName name="PRINT2" localSheetId="20">#REF!</definedName>
    <definedName name="PRINT2" localSheetId="43">#REF!</definedName>
    <definedName name="PRINT2">#REF!</definedName>
    <definedName name="PRN" localSheetId="26">#REF!</definedName>
    <definedName name="PRN" localSheetId="33">#REF!</definedName>
    <definedName name="PRN" localSheetId="17">#REF!</definedName>
    <definedName name="PRN" localSheetId="48">#REF!</definedName>
    <definedName name="PRN" localSheetId="29">#REF!</definedName>
    <definedName name="PRN" localSheetId="3">#REF!</definedName>
    <definedName name="PRN" localSheetId="35">#REF!</definedName>
    <definedName name="PRN" localSheetId="16">#REF!</definedName>
    <definedName name="PRN" localSheetId="5">#REF!</definedName>
    <definedName name="PRN" localSheetId="19">#REF!</definedName>
    <definedName name="PRN" localSheetId="20">#REF!</definedName>
    <definedName name="PRN" localSheetId="43">#REF!</definedName>
    <definedName name="PRN">#REF!</definedName>
    <definedName name="Prod" localSheetId="26">#REF!</definedName>
    <definedName name="Prod" localSheetId="29">#REF!</definedName>
    <definedName name="Prod" localSheetId="16">#REF!</definedName>
    <definedName name="Prod" localSheetId="20">#REF!</definedName>
    <definedName name="Prod" localSheetId="43">#REF!</definedName>
    <definedName name="Prod">#REF!</definedName>
    <definedName name="ProdMarket2" localSheetId="26">#REF!</definedName>
    <definedName name="ProdMarket2" localSheetId="33">#REF!</definedName>
    <definedName name="ProdMarket2" localSheetId="17">#REF!</definedName>
    <definedName name="ProdMarket2" localSheetId="48">#REF!</definedName>
    <definedName name="ProdMarket2" localSheetId="29">#REF!</definedName>
    <definedName name="ProdMarket2" localSheetId="3">#REF!</definedName>
    <definedName name="ProdMarket2" localSheetId="35">#REF!</definedName>
    <definedName name="ProdMarket2" localSheetId="16">#REF!</definedName>
    <definedName name="ProdMarket2" localSheetId="5">#REF!</definedName>
    <definedName name="ProdMarket2" localSheetId="19">#REF!</definedName>
    <definedName name="ProdMarket2" localSheetId="20">#REF!</definedName>
    <definedName name="ProdMarket2" localSheetId="43">#REF!</definedName>
    <definedName name="ProdMarket2">#REF!</definedName>
    <definedName name="PRODN" localSheetId="26">#REF!</definedName>
    <definedName name="PRODN" localSheetId="29">#REF!</definedName>
    <definedName name="PRODN" localSheetId="16">#REF!</definedName>
    <definedName name="PRODN" localSheetId="20">#REF!</definedName>
    <definedName name="PRODN" localSheetId="43">#REF!</definedName>
    <definedName name="PRODN">#REF!</definedName>
    <definedName name="PRODSALES" localSheetId="26">#REF!</definedName>
    <definedName name="PRODSALES" localSheetId="33">#REF!</definedName>
    <definedName name="PRODSALES" localSheetId="17">#REF!</definedName>
    <definedName name="PRODSALES" localSheetId="29">#REF!</definedName>
    <definedName name="PRODSALES" localSheetId="3">#REF!</definedName>
    <definedName name="PRODSALES" localSheetId="16">#REF!</definedName>
    <definedName name="PRODSALES" localSheetId="19">#REF!</definedName>
    <definedName name="PRODSALES" localSheetId="20">#REF!</definedName>
    <definedName name="PRODSALES" localSheetId="43">#REF!</definedName>
    <definedName name="PRODSALES">#REF!</definedName>
    <definedName name="professional" localSheetId="26">#REF!</definedName>
    <definedName name="professional" localSheetId="33">#REF!</definedName>
    <definedName name="professional" localSheetId="17">#REF!</definedName>
    <definedName name="professional" localSheetId="29">#REF!</definedName>
    <definedName name="professional" localSheetId="3">#REF!</definedName>
    <definedName name="professional" localSheetId="16">#REF!</definedName>
    <definedName name="professional" localSheetId="5">#REF!</definedName>
    <definedName name="professional" localSheetId="19">#REF!</definedName>
    <definedName name="professional" localSheetId="20">#REF!</definedName>
    <definedName name="professional" localSheetId="43">#REF!</definedName>
    <definedName name="professional">#REF!</definedName>
    <definedName name="Profit\Loss" localSheetId="26">#REF!</definedName>
    <definedName name="Profit\Loss" localSheetId="33">#REF!</definedName>
    <definedName name="Profit\Loss" localSheetId="17">#REF!</definedName>
    <definedName name="Profit\Loss" localSheetId="29">#REF!</definedName>
    <definedName name="Profit\Loss" localSheetId="3">#REF!</definedName>
    <definedName name="Profit\Loss" localSheetId="16">#REF!</definedName>
    <definedName name="Profit\Loss" localSheetId="19">#REF!</definedName>
    <definedName name="Profit\Loss" localSheetId="20">#REF!</definedName>
    <definedName name="Profit\Loss" localSheetId="43">#REF!</definedName>
    <definedName name="Profit\Loss">#REF!</definedName>
    <definedName name="PROFIT_LOSS" localSheetId="26">#REF!</definedName>
    <definedName name="PROFIT_LOSS" localSheetId="33">#REF!</definedName>
    <definedName name="PROFIT_LOSS" localSheetId="17">#REF!</definedName>
    <definedName name="PROFIT_LOSS" localSheetId="29">#REF!</definedName>
    <definedName name="PROFIT_LOSS" localSheetId="3">#REF!</definedName>
    <definedName name="PROFIT_LOSS" localSheetId="16">#REF!</definedName>
    <definedName name="PROFIT_LOSS" localSheetId="5">#REF!</definedName>
    <definedName name="PROFIT_LOSS" localSheetId="19">#REF!</definedName>
    <definedName name="PROFIT_LOSS" localSheetId="20">#REF!</definedName>
    <definedName name="PROFIT_LOSS" localSheetId="43">#REF!</definedName>
    <definedName name="PROFIT_LOSS">#REF!</definedName>
    <definedName name="PROFITLOSSGROUPING" localSheetId="26">#REF!</definedName>
    <definedName name="PROFITLOSSGROUPING" localSheetId="33">#REF!</definedName>
    <definedName name="PROFITLOSSGROUPING" localSheetId="17">#REF!</definedName>
    <definedName name="PROFITLOSSGROUPING" localSheetId="29">#REF!</definedName>
    <definedName name="PROFITLOSSGROUPING" localSheetId="3">#REF!</definedName>
    <definedName name="PROFITLOSSGROUPING" localSheetId="16">#REF!</definedName>
    <definedName name="PROFITLOSSGROUPING" localSheetId="5">#REF!</definedName>
    <definedName name="PROFITLOSSGROUPING" localSheetId="19">#REF!</definedName>
    <definedName name="PROFITLOSSGROUPING" localSheetId="20">#REF!</definedName>
    <definedName name="PROFITLOSSGROUPING" localSheetId="43">#REF!</definedName>
    <definedName name="PROFITLOSSGROUPING">#REF!</definedName>
    <definedName name="Profservs1" localSheetId="26">#REF!</definedName>
    <definedName name="Profservs1" localSheetId="33">#REF!</definedName>
    <definedName name="Profservs1" localSheetId="17">#REF!</definedName>
    <definedName name="Profservs1" localSheetId="29">#REF!</definedName>
    <definedName name="Profservs1" localSheetId="3">#REF!</definedName>
    <definedName name="Profservs1" localSheetId="16">#REF!</definedName>
    <definedName name="Profservs1" localSheetId="5">#REF!</definedName>
    <definedName name="Profservs1" localSheetId="19">#REF!</definedName>
    <definedName name="Profservs1" localSheetId="20">#REF!</definedName>
    <definedName name="Profservs1" localSheetId="43">#REF!</definedName>
    <definedName name="Profservs1">#REF!</definedName>
    <definedName name="Profsvs2" localSheetId="26">#REF!</definedName>
    <definedName name="Profsvs2" localSheetId="33">#REF!</definedName>
    <definedName name="Profsvs2" localSheetId="17">#REF!</definedName>
    <definedName name="Profsvs2" localSheetId="29">#REF!</definedName>
    <definedName name="Profsvs2" localSheetId="3">#REF!</definedName>
    <definedName name="Profsvs2" localSheetId="16">#REF!</definedName>
    <definedName name="Profsvs2" localSheetId="5">#REF!</definedName>
    <definedName name="Profsvs2" localSheetId="19">#REF!</definedName>
    <definedName name="Profsvs2" localSheetId="20">#REF!</definedName>
    <definedName name="Profsvs2" localSheetId="43">#REF!</definedName>
    <definedName name="Profsvs2">#REF!</definedName>
    <definedName name="PROMEDIO_ACTIVOS" localSheetId="26">#REF!,#REF!,#REF!,#REF!,#REF!,#REF!</definedName>
    <definedName name="PROMEDIO_ACTIVOS" localSheetId="33">#REF!,#REF!,#REF!,#REF!,#REF!,#REF!</definedName>
    <definedName name="PROMEDIO_ACTIVOS" localSheetId="17">#REF!,#REF!,#REF!,#REF!,#REF!,#REF!</definedName>
    <definedName name="PROMEDIO_ACTIVOS" localSheetId="29">#REF!,#REF!,#REF!,#REF!,#REF!,#REF!</definedName>
    <definedName name="PROMEDIO_ACTIVOS" localSheetId="3">#REF!,#REF!,#REF!,#REF!,#REF!,#REF!</definedName>
    <definedName name="PROMEDIO_ACTIVOS" localSheetId="16">#REF!,#REF!,#REF!,#REF!,#REF!,#REF!</definedName>
    <definedName name="PROMEDIO_ACTIVOS" localSheetId="19">#REF!,#REF!,#REF!,#REF!,#REF!,#REF!</definedName>
    <definedName name="PROMEDIO_ACTIVOS" localSheetId="20">#REF!,#REF!,#REF!,#REF!,#REF!,#REF!</definedName>
    <definedName name="PROMEDIO_ACTIVOS" localSheetId="43">#REF!,#REF!,#REF!,#REF!,#REF!,#REF!</definedName>
    <definedName name="PROMEDIO_ACTIVOS">#REF!,#REF!,#REF!,#REF!,#REF!,#REF!</definedName>
    <definedName name="Prov1" localSheetId="26">#REF!</definedName>
    <definedName name="Prov1" localSheetId="33">#REF!</definedName>
    <definedName name="Prov1" localSheetId="17">#REF!</definedName>
    <definedName name="Prov1" localSheetId="48">#REF!</definedName>
    <definedName name="Prov1" localSheetId="29">#REF!</definedName>
    <definedName name="Prov1" localSheetId="3">#REF!</definedName>
    <definedName name="Prov1" localSheetId="35">#REF!</definedName>
    <definedName name="Prov1" localSheetId="16">#REF!</definedName>
    <definedName name="Prov1" localSheetId="5">#REF!</definedName>
    <definedName name="Prov1" localSheetId="19">#REF!</definedName>
    <definedName name="Prov1" localSheetId="20">#REF!</definedName>
    <definedName name="Prov1" localSheetId="43">#REF!</definedName>
    <definedName name="Prov1">#REF!</definedName>
    <definedName name="Prov2" localSheetId="26">#REF!</definedName>
    <definedName name="Prov2" localSheetId="33">#REF!</definedName>
    <definedName name="Prov2" localSheetId="17">#REF!</definedName>
    <definedName name="Prov2" localSheetId="29">#REF!</definedName>
    <definedName name="Prov2" localSheetId="3">#REF!</definedName>
    <definedName name="Prov2" localSheetId="16">#REF!</definedName>
    <definedName name="Prov2" localSheetId="5">#REF!</definedName>
    <definedName name="Prov2" localSheetId="19">#REF!</definedName>
    <definedName name="Prov2" localSheetId="20">#REF!</definedName>
    <definedName name="Prov2" localSheetId="43">#REF!</definedName>
    <definedName name="Prov2">#REF!</definedName>
    <definedName name="prpex" localSheetId="26">#REF!</definedName>
    <definedName name="prpex" localSheetId="29">#REF!</definedName>
    <definedName name="prpex" localSheetId="16">#REF!</definedName>
    <definedName name="prpex" localSheetId="20">#REF!</definedName>
    <definedName name="prpex" localSheetId="43">#REF!</definedName>
    <definedName name="prpex">#REF!</definedName>
    <definedName name="PRUEBA" localSheetId="26">#REF!</definedName>
    <definedName name="PRUEBA" localSheetId="33">#REF!</definedName>
    <definedName name="PRUEBA" localSheetId="17">#REF!</definedName>
    <definedName name="PRUEBA" localSheetId="29">#REF!</definedName>
    <definedName name="PRUEBA" localSheetId="3">#REF!</definedName>
    <definedName name="PRUEBA" localSheetId="16">#REF!</definedName>
    <definedName name="PRUEBA" localSheetId="19">#REF!</definedName>
    <definedName name="PRUEBA" localSheetId="20">#REF!</definedName>
    <definedName name="PRUEBA" localSheetId="43">#REF!</definedName>
    <definedName name="PRUEBA">#REF!</definedName>
    <definedName name="PSYCAN_CV_EE" localSheetId="26">#REF!</definedName>
    <definedName name="PSYCAN_CV_EE" localSheetId="29">#REF!</definedName>
    <definedName name="PSYCAN_CV_EE" localSheetId="16">#REF!</definedName>
    <definedName name="PSYCAN_CV_EE" localSheetId="20">#REF!</definedName>
    <definedName name="PSYCAN_CV_EE" localSheetId="43">#REF!</definedName>
    <definedName name="PSYCAN_CV_EE">#REF!</definedName>
    <definedName name="PUB_Graphs" localSheetId="26">#REF!</definedName>
    <definedName name="PUB_Graphs" localSheetId="33">#REF!</definedName>
    <definedName name="PUB_Graphs" localSheetId="17">#REF!</definedName>
    <definedName name="PUB_Graphs" localSheetId="29">#REF!</definedName>
    <definedName name="PUB_Graphs" localSheetId="3">#REF!</definedName>
    <definedName name="PUB_Graphs" localSheetId="16">#REF!</definedName>
    <definedName name="PUB_Graphs" localSheetId="19">#REF!</definedName>
    <definedName name="PUB_Graphs" localSheetId="20">#REF!</definedName>
    <definedName name="PUB_Graphs" localSheetId="43">#REF!</definedName>
    <definedName name="PUB_Graphs">#REF!</definedName>
    <definedName name="PVA" localSheetId="26">[17]BE!#REF!</definedName>
    <definedName name="PVA" localSheetId="33">[17]BE!#REF!</definedName>
    <definedName name="PVA" localSheetId="17">[17]BE!#REF!</definedName>
    <definedName name="PVA" localSheetId="48">[18]BE!#REF!</definedName>
    <definedName name="PVA" localSheetId="18">[17]BE!#REF!</definedName>
    <definedName name="PVA" localSheetId="29">[17]BE!#REF!</definedName>
    <definedName name="PVA" localSheetId="3">[17]BE!#REF!</definedName>
    <definedName name="PVA" localSheetId="35">[18]BE!#REF!</definedName>
    <definedName name="PVA" localSheetId="16">[17]BE!#REF!</definedName>
    <definedName name="PVA" localSheetId="5">[17]BE!#REF!</definedName>
    <definedName name="PVA" localSheetId="19">[17]BE!#REF!</definedName>
    <definedName name="PVA" localSheetId="20">[17]BE!#REF!</definedName>
    <definedName name="PVA" localSheetId="43">[17]BE!#REF!</definedName>
    <definedName name="PVA">[17]BE!#REF!</definedName>
    <definedName name="PYSAN_NP_EE" localSheetId="26">[13]Sales!#REF!</definedName>
    <definedName name="PYSAN_NP_EE" localSheetId="29">[13]Sales!#REF!</definedName>
    <definedName name="PYSAN_NP_EE" localSheetId="16">[13]Sales!#REF!</definedName>
    <definedName name="PYSAN_NP_EE" localSheetId="20">[13]Sales!#REF!</definedName>
    <definedName name="PYSAN_NP_EE" localSheetId="43">[13]Sales!#REF!</definedName>
    <definedName name="PYSAN_NP_EE">[13]Sales!#REF!</definedName>
    <definedName name="q" localSheetId="26">#REF!</definedName>
    <definedName name="q" localSheetId="33">#REF!</definedName>
    <definedName name="q" localSheetId="17">#REF!</definedName>
    <definedName name="q" localSheetId="29">#REF!</definedName>
    <definedName name="q" localSheetId="3">#REF!</definedName>
    <definedName name="q" localSheetId="16">#REF!</definedName>
    <definedName name="q" localSheetId="19">#REF!</definedName>
    <definedName name="q" localSheetId="20">#REF!</definedName>
    <definedName name="q" localSheetId="43">#REF!</definedName>
    <definedName name="q">#REF!</definedName>
    <definedName name="q1printarea" localSheetId="26">#REF!</definedName>
    <definedName name="q1printarea" localSheetId="29">#REF!</definedName>
    <definedName name="q1printarea" localSheetId="16">#REF!</definedName>
    <definedName name="q1printarea" localSheetId="20">#REF!</definedName>
    <definedName name="q1printarea" localSheetId="43">#REF!</definedName>
    <definedName name="q1printarea">#REF!</definedName>
    <definedName name="q2printarea" localSheetId="26">#REF!</definedName>
    <definedName name="q2printarea" localSheetId="29">#REF!</definedName>
    <definedName name="q2printarea" localSheetId="16">#REF!</definedName>
    <definedName name="q2printarea" localSheetId="20">#REF!</definedName>
    <definedName name="q2printarea" localSheetId="43">#REF!</definedName>
    <definedName name="q2printarea">#REF!</definedName>
    <definedName name="QQ">[67]Sheet1!$A$7:$A$89</definedName>
    <definedName name="R_MENU" localSheetId="26">#REF!</definedName>
    <definedName name="R_MENU" localSheetId="33">#REF!</definedName>
    <definedName name="R_MENU" localSheetId="17">#REF!</definedName>
    <definedName name="R_MENU" localSheetId="48">#REF!</definedName>
    <definedName name="R_MENU" localSheetId="29">#REF!</definedName>
    <definedName name="R_MENU" localSheetId="3">#REF!</definedName>
    <definedName name="R_MENU" localSheetId="35">#REF!</definedName>
    <definedName name="R_MENU" localSheetId="16">#REF!</definedName>
    <definedName name="R_MENU" localSheetId="5">#REF!</definedName>
    <definedName name="R_MENU" localSheetId="19">#REF!</definedName>
    <definedName name="R_MENU" localSheetId="20">#REF!</definedName>
    <definedName name="R_MENU" localSheetId="43">#REF!</definedName>
    <definedName name="R_MENU">#REF!</definedName>
    <definedName name="Rajan" localSheetId="26">#REF!</definedName>
    <definedName name="Rajan" localSheetId="29">#REF!</definedName>
    <definedName name="Rajan" localSheetId="16">#REF!</definedName>
    <definedName name="Rajan" localSheetId="20">#REF!</definedName>
    <definedName name="Rajan" localSheetId="43">#REF!</definedName>
    <definedName name="Rajan">#REF!</definedName>
    <definedName name="range">[68]Sheet1!$A$6:$E$102</definedName>
    <definedName name="ranish" localSheetId="23">'[45]Annexure 3A'!#REF!</definedName>
    <definedName name="ranish" localSheetId="18">'[45]Annexure 3A'!#REF!</definedName>
    <definedName name="ranish" localSheetId="29">'[45]Annexure 3A'!#REF!</definedName>
    <definedName name="ranish" localSheetId="16">'[45]Annexure 3A'!#REF!</definedName>
    <definedName name="ranish" localSheetId="20">'[45]Annexure 3A'!#REF!</definedName>
    <definedName name="ranish" localSheetId="43">'[45]Annexure 3A'!#REF!</definedName>
    <definedName name="ranish">'[45]Annexure 3A'!#REF!</definedName>
    <definedName name="rates" localSheetId="26">#REF!</definedName>
    <definedName name="rates" localSheetId="18">#REF!</definedName>
    <definedName name="rates" localSheetId="29">#REF!</definedName>
    <definedName name="rates" localSheetId="16">#REF!</definedName>
    <definedName name="rates" localSheetId="20">#REF!</definedName>
    <definedName name="rates" localSheetId="43">#REF!</definedName>
    <definedName name="rates">#REF!</definedName>
    <definedName name="RawData" localSheetId="26">#REF!</definedName>
    <definedName name="RawData" localSheetId="29">#REF!</definedName>
    <definedName name="RawData" localSheetId="16">#REF!</definedName>
    <definedName name="RawData" localSheetId="20">#REF!</definedName>
    <definedName name="RawData" localSheetId="43">#REF!</definedName>
    <definedName name="RawData">#REF!</definedName>
    <definedName name="RawHeader" localSheetId="26">#REF!</definedName>
    <definedName name="RawHeader" localSheetId="29">#REF!</definedName>
    <definedName name="RawHeader" localSheetId="16">#REF!</definedName>
    <definedName name="RawHeader" localSheetId="20">#REF!</definedName>
    <definedName name="RawHeader" localSheetId="43">#REF!</definedName>
    <definedName name="RawHeader">#REF!</definedName>
    <definedName name="RDD" localSheetId="26">#REF!</definedName>
    <definedName name="RDD" localSheetId="33">#REF!</definedName>
    <definedName name="RDD" localSheetId="17">#REF!</definedName>
    <definedName name="RDD" localSheetId="29">#REF!</definedName>
    <definedName name="RDD" localSheetId="3">#REF!</definedName>
    <definedName name="RDD" localSheetId="16">#REF!</definedName>
    <definedName name="RDD" localSheetId="19">#REF!</definedName>
    <definedName name="RDD" localSheetId="20">#REF!</definedName>
    <definedName name="RDD" localSheetId="43">#REF!</definedName>
    <definedName name="RDD">#REF!</definedName>
    <definedName name="Realisations_salevalue" localSheetId="26">#REF!</definedName>
    <definedName name="Realisations_salevalue" localSheetId="33">#REF!</definedName>
    <definedName name="Realisations_salevalue" localSheetId="17">#REF!</definedName>
    <definedName name="Realisations_salevalue" localSheetId="48">#REF!</definedName>
    <definedName name="Realisations_salevalue" localSheetId="29">#REF!</definedName>
    <definedName name="Realisations_salevalue" localSheetId="3">#REF!</definedName>
    <definedName name="Realisations_salevalue" localSheetId="35">#REF!</definedName>
    <definedName name="Realisations_salevalue" localSheetId="16">#REF!</definedName>
    <definedName name="Realisations_salevalue" localSheetId="19">#REF!</definedName>
    <definedName name="Realisations_salevalue" localSheetId="20">#REF!</definedName>
    <definedName name="Realisations_salevalue" localSheetId="43">#REF!</definedName>
    <definedName name="Realisations_salevalue">#REF!</definedName>
    <definedName name="REBATE">#N/A</definedName>
    <definedName name="REC">#N/A</definedName>
    <definedName name="rental" localSheetId="26">#REF!</definedName>
    <definedName name="rental" localSheetId="33">#REF!</definedName>
    <definedName name="rental" localSheetId="17">#REF!</definedName>
    <definedName name="rental" localSheetId="48">#REF!</definedName>
    <definedName name="rental" localSheetId="29">#REF!</definedName>
    <definedName name="rental" localSheetId="3">#REF!</definedName>
    <definedName name="rental" localSheetId="35">#REF!</definedName>
    <definedName name="rental" localSheetId="16">#REF!</definedName>
    <definedName name="rental" localSheetId="5">#REF!</definedName>
    <definedName name="rental" localSheetId="19">#REF!</definedName>
    <definedName name="rental" localSheetId="20">#REF!</definedName>
    <definedName name="rental" localSheetId="43">#REF!</definedName>
    <definedName name="rental">#REF!</definedName>
    <definedName name="REPOMO" localSheetId="26">#REF!</definedName>
    <definedName name="REPOMO" localSheetId="33">#REF!</definedName>
    <definedName name="REPOMO" localSheetId="17">#REF!</definedName>
    <definedName name="REPOMO" localSheetId="29">#REF!</definedName>
    <definedName name="REPOMO" localSheetId="3">#REF!</definedName>
    <definedName name="REPOMO" localSheetId="16">#REF!</definedName>
    <definedName name="REPOMO" localSheetId="19">#REF!</definedName>
    <definedName name="REPOMO" localSheetId="20">#REF!</definedName>
    <definedName name="REPOMO" localSheetId="43">#REF!</definedName>
    <definedName name="REPOMO">#REF!</definedName>
    <definedName name="ReportTitle1" localSheetId="26">#REF!</definedName>
    <definedName name="ReportTitle1" localSheetId="33">#REF!</definedName>
    <definedName name="ReportTitle1" localSheetId="17">#REF!</definedName>
    <definedName name="ReportTitle1" localSheetId="29">#REF!</definedName>
    <definedName name="ReportTitle1" localSheetId="3">#REF!</definedName>
    <definedName name="ReportTitle1" localSheetId="16">#REF!</definedName>
    <definedName name="ReportTitle1" localSheetId="19">#REF!</definedName>
    <definedName name="ReportTitle1" localSheetId="20">#REF!</definedName>
    <definedName name="ReportTitle1" localSheetId="43">#REF!</definedName>
    <definedName name="ReportTitle1">#REF!</definedName>
    <definedName name="req_qty" localSheetId="26">#REF!</definedName>
    <definedName name="req_qty" localSheetId="29">#REF!</definedName>
    <definedName name="req_qty" localSheetId="16">#REF!</definedName>
    <definedName name="req_qty" localSheetId="20">#REF!</definedName>
    <definedName name="req_qty" localSheetId="43">#REF!</definedName>
    <definedName name="req_qty">#REF!</definedName>
    <definedName name="RES" localSheetId="26">#REF!</definedName>
    <definedName name="RES" localSheetId="33">#REF!</definedName>
    <definedName name="RES" localSheetId="17">#REF!</definedName>
    <definedName name="RES" localSheetId="29">#REF!</definedName>
    <definedName name="RES" localSheetId="3">#REF!</definedName>
    <definedName name="RES" localSheetId="16">#REF!</definedName>
    <definedName name="RES" localSheetId="19">#REF!</definedName>
    <definedName name="RES" localSheetId="20">#REF!</definedName>
    <definedName name="RES" localSheetId="43">#REF!</definedName>
    <definedName name="RES">#REF!</definedName>
    <definedName name="Residual_difference" localSheetId="26">#REF!</definedName>
    <definedName name="Residual_difference" localSheetId="33">#REF!</definedName>
    <definedName name="Residual_difference" localSheetId="17">#REF!</definedName>
    <definedName name="Residual_difference" localSheetId="48">#REF!</definedName>
    <definedName name="Residual_difference" localSheetId="29">#REF!</definedName>
    <definedName name="Residual_difference" localSheetId="3">#REF!</definedName>
    <definedName name="Residual_difference" localSheetId="35">#REF!</definedName>
    <definedName name="Residual_difference" localSheetId="16">#REF!</definedName>
    <definedName name="Residual_difference" localSheetId="5">#REF!</definedName>
    <definedName name="Residual_difference" localSheetId="19">#REF!</definedName>
    <definedName name="Residual_difference" localSheetId="20">#REF!</definedName>
    <definedName name="Residual_difference" localSheetId="43">#REF!</definedName>
    <definedName name="Residual_difference">#REF!</definedName>
    <definedName name="RESUL.ACUM." localSheetId="26">#REF!</definedName>
    <definedName name="RESUL.ACUM." localSheetId="33">#REF!</definedName>
    <definedName name="RESUL.ACUM." localSheetId="17">#REF!</definedName>
    <definedName name="RESUL.ACUM." localSheetId="29">#REF!</definedName>
    <definedName name="RESUL.ACUM." localSheetId="3">#REF!</definedName>
    <definedName name="RESUL.ACUM." localSheetId="16">#REF!</definedName>
    <definedName name="RESUL.ACUM." localSheetId="19">#REF!</definedName>
    <definedName name="RESUL.ACUM." localSheetId="20">#REF!</definedName>
    <definedName name="RESUL.ACUM." localSheetId="43">#REF!</definedName>
    <definedName name="RESUL.ACUM.">#REF!</definedName>
    <definedName name="RESUL.EJER." localSheetId="26">#REF!</definedName>
    <definedName name="RESUL.EJER." localSheetId="33">#REF!</definedName>
    <definedName name="RESUL.EJER." localSheetId="17">#REF!</definedName>
    <definedName name="RESUL.EJER." localSheetId="29">#REF!</definedName>
    <definedName name="RESUL.EJER." localSheetId="3">#REF!</definedName>
    <definedName name="RESUL.EJER." localSheetId="16">#REF!</definedName>
    <definedName name="RESUL.EJER." localSheetId="19">#REF!</definedName>
    <definedName name="RESUL.EJER." localSheetId="20">#REF!</definedName>
    <definedName name="RESUL.EJER." localSheetId="43">#REF!</definedName>
    <definedName name="RESUL.EJER.">#REF!</definedName>
    <definedName name="RésulCond">[62]Feuil1!$C$2:$D$449</definedName>
    <definedName name="Résultat">[62]Feuil1!$A$2:$B$452</definedName>
    <definedName name="RESUMEN" localSheetId="26">#REF!</definedName>
    <definedName name="RESUMEN" localSheetId="33">#REF!</definedName>
    <definedName name="RESUMEN" localSheetId="17">#REF!</definedName>
    <definedName name="RESUMEN" localSheetId="29">#REF!</definedName>
    <definedName name="RESUMEN" localSheetId="3">#REF!</definedName>
    <definedName name="RESUMEN" localSheetId="16">#REF!</definedName>
    <definedName name="RESUMEN" localSheetId="19">#REF!</definedName>
    <definedName name="RESUMEN" localSheetId="20">#REF!</definedName>
    <definedName name="RESUMEN" localSheetId="43">#REF!</definedName>
    <definedName name="RESUMEN">#REF!</definedName>
    <definedName name="REVERSAL" localSheetId="26">#REF!</definedName>
    <definedName name="REVERSAL" localSheetId="29">#REF!</definedName>
    <definedName name="REVERSAL" localSheetId="16">#REF!</definedName>
    <definedName name="REVERSAL" localSheetId="20">#REF!</definedName>
    <definedName name="REVERSAL" localSheetId="43">#REF!</definedName>
    <definedName name="REVERSAL">#REF!</definedName>
    <definedName name="Revised___I" localSheetId="26">#REF!</definedName>
    <definedName name="Revised___I" localSheetId="29">#REF!</definedName>
    <definedName name="Revised___I" localSheetId="16">#REF!</definedName>
    <definedName name="Revised___I" localSheetId="20">#REF!</definedName>
    <definedName name="Revised___I" localSheetId="43">#REF!</definedName>
    <definedName name="Revised___I">#REF!</definedName>
    <definedName name="RMB" localSheetId="48">[69]Data!$D$10</definedName>
    <definedName name="RMB" localSheetId="23">[70]Data!$D$10</definedName>
    <definedName name="RMB" localSheetId="29">[71]Data!$D$10</definedName>
    <definedName name="RMB" localSheetId="35">[69]Data!$D$10</definedName>
    <definedName name="RMB" localSheetId="16">[71]Data!$D$10</definedName>
    <definedName name="RMB" localSheetId="20">[71]Data!$D$10</definedName>
    <definedName name="RMB">[71]Data!$D$10</definedName>
    <definedName name="Rmpm" localSheetId="26">#REF!</definedName>
    <definedName name="Rmpm" localSheetId="18">#REF!</definedName>
    <definedName name="Rmpm" localSheetId="29">#REF!</definedName>
    <definedName name="Rmpm" localSheetId="16">#REF!</definedName>
    <definedName name="Rmpm" localSheetId="20">#REF!</definedName>
    <definedName name="Rmpm" localSheetId="43">#REF!</definedName>
    <definedName name="Rmpm">#REF!</definedName>
    <definedName name="rmpmwip" localSheetId="26">#REF!</definedName>
    <definedName name="rmpmwip" localSheetId="29">#REF!</definedName>
    <definedName name="rmpmwip" localSheetId="16">#REF!</definedName>
    <definedName name="rmpmwip" localSheetId="20">#REF!</definedName>
    <definedName name="rmpmwip" localSheetId="43">#REF!</definedName>
    <definedName name="rmpmwip">#REF!</definedName>
    <definedName name="RowDetails1" localSheetId="26">#REF!</definedName>
    <definedName name="RowDetails1" localSheetId="33">#REF!</definedName>
    <definedName name="RowDetails1" localSheetId="17">#REF!</definedName>
    <definedName name="RowDetails1" localSheetId="29">#REF!</definedName>
    <definedName name="RowDetails1" localSheetId="3">#REF!</definedName>
    <definedName name="RowDetails1" localSheetId="16">#REF!</definedName>
    <definedName name="RowDetails1" localSheetId="19">#REF!</definedName>
    <definedName name="RowDetails1" localSheetId="20">#REF!</definedName>
    <definedName name="RowDetails1" localSheetId="43">#REF!</definedName>
    <definedName name="RowDetails1">#REF!</definedName>
    <definedName name="rrate" localSheetId="26">[35]COST_SCHE!#REF!</definedName>
    <definedName name="rrate" localSheetId="23">[35]COST_SCHE!#REF!</definedName>
    <definedName name="rrate" localSheetId="18">[35]COST_SCHE!#REF!</definedName>
    <definedName name="rrate" localSheetId="29">[35]COST_SCHE!#REF!</definedName>
    <definedName name="rrate" localSheetId="16">[35]COST_SCHE!#REF!</definedName>
    <definedName name="rrate" localSheetId="20">[35]COST_SCHE!#REF!</definedName>
    <definedName name="rrate" localSheetId="43">[35]COST_SCHE!#REF!</definedName>
    <definedName name="rrate">[35]COST_SCHE!#REF!</definedName>
    <definedName name="RRI" localSheetId="26">#REF!</definedName>
    <definedName name="RRI" localSheetId="18">#REF!</definedName>
    <definedName name="RRI" localSheetId="29">#REF!</definedName>
    <definedName name="RRI" localSheetId="16">#REF!</definedName>
    <definedName name="RRI" localSheetId="20">#REF!</definedName>
    <definedName name="RRI" localSheetId="43">#REF!</definedName>
    <definedName name="RRI">#REF!</definedName>
    <definedName name="RSprod1" localSheetId="26">#REF!</definedName>
    <definedName name="RSprod1" localSheetId="33">#REF!</definedName>
    <definedName name="RSprod1" localSheetId="17">#REF!</definedName>
    <definedName name="RSprod1" localSheetId="48">#REF!</definedName>
    <definedName name="RSprod1" localSheetId="29">#REF!</definedName>
    <definedName name="RSprod1" localSheetId="3">#REF!</definedName>
    <definedName name="RSprod1" localSheetId="35">#REF!</definedName>
    <definedName name="RSprod1" localSheetId="16">#REF!</definedName>
    <definedName name="RSprod1" localSheetId="5">#REF!</definedName>
    <definedName name="RSprod1" localSheetId="19">#REF!</definedName>
    <definedName name="RSprod1" localSheetId="20">#REF!</definedName>
    <definedName name="RSprod1" localSheetId="43">#REF!</definedName>
    <definedName name="RSprod1">#REF!</definedName>
    <definedName name="RSprod2" localSheetId="26">#REF!</definedName>
    <definedName name="RSprod2" localSheetId="33">#REF!</definedName>
    <definedName name="RSprod2" localSheetId="17">#REF!</definedName>
    <definedName name="RSprod2" localSheetId="48">#REF!</definedName>
    <definedName name="RSprod2" localSheetId="29">#REF!</definedName>
    <definedName name="RSprod2" localSheetId="3">#REF!</definedName>
    <definedName name="RSprod2" localSheetId="35">#REF!</definedName>
    <definedName name="RSprod2" localSheetId="16">#REF!</definedName>
    <definedName name="RSprod2" localSheetId="5">#REF!</definedName>
    <definedName name="RSprod2" localSheetId="19">#REF!</definedName>
    <definedName name="RSprod2" localSheetId="20">#REF!</definedName>
    <definedName name="RSprod2" localSheetId="43">#REF!</definedName>
    <definedName name="RSprod2">#REF!</definedName>
    <definedName name="RV" localSheetId="26">#REF!</definedName>
    <definedName name="RV" localSheetId="29">#REF!</definedName>
    <definedName name="RV" localSheetId="16">#REF!</definedName>
    <definedName name="RV" localSheetId="20">#REF!</definedName>
    <definedName name="RV" localSheetId="43">#REF!</definedName>
    <definedName name="RV">#REF!</definedName>
    <definedName name="s" localSheetId="26">#REF!</definedName>
    <definedName name="s" localSheetId="33">#REF!</definedName>
    <definedName name="s" localSheetId="17">#REF!</definedName>
    <definedName name="s" localSheetId="48">[68]Sheet1!$A$6:$E$102</definedName>
    <definedName name="s" localSheetId="29">#REF!</definedName>
    <definedName name="s" localSheetId="3">#REF!</definedName>
    <definedName name="s" localSheetId="35">[68]Sheet1!$A$6:$E$102</definedName>
    <definedName name="s" localSheetId="16">#REF!</definedName>
    <definedName name="s" localSheetId="19">#REF!</definedName>
    <definedName name="s" localSheetId="20">#REF!</definedName>
    <definedName name="s" localSheetId="43">#REF!</definedName>
    <definedName name="s">#REF!</definedName>
    <definedName name="salaries" localSheetId="26">#REF!</definedName>
    <definedName name="salaries" localSheetId="33">#REF!</definedName>
    <definedName name="salaries" localSheetId="17">#REF!</definedName>
    <definedName name="salaries" localSheetId="48">#REF!</definedName>
    <definedName name="salaries" localSheetId="29">#REF!</definedName>
    <definedName name="salaries" localSheetId="3">#REF!</definedName>
    <definedName name="salaries" localSheetId="35">#REF!</definedName>
    <definedName name="salaries" localSheetId="16">#REF!</definedName>
    <definedName name="salaries" localSheetId="5">#REF!</definedName>
    <definedName name="salaries" localSheetId="19">#REF!</definedName>
    <definedName name="salaries" localSheetId="20">#REF!</definedName>
    <definedName name="salaries" localSheetId="43">#REF!</definedName>
    <definedName name="salaries">#REF!</definedName>
    <definedName name="Salary" localSheetId="26">#REF!</definedName>
    <definedName name="Salary" localSheetId="33">#REF!</definedName>
    <definedName name="Salary" localSheetId="17">#REF!</definedName>
    <definedName name="Salary" localSheetId="29">#REF!</definedName>
    <definedName name="Salary" localSheetId="3">#REF!</definedName>
    <definedName name="Salary" localSheetId="16">#REF!</definedName>
    <definedName name="Salary" localSheetId="19">#REF!</definedName>
    <definedName name="Salary" localSheetId="20">#REF!</definedName>
    <definedName name="Salary" localSheetId="43">#REF!</definedName>
    <definedName name="Salary">#REF!</definedName>
    <definedName name="sale_income" localSheetId="26">#REF!</definedName>
    <definedName name="sale_income" localSheetId="29">#REF!</definedName>
    <definedName name="sale_income" localSheetId="16">#REF!</definedName>
    <definedName name="sale_income" localSheetId="20">#REF!</definedName>
    <definedName name="sale_income" localSheetId="43">#REF!</definedName>
    <definedName name="sale_income">#REF!</definedName>
    <definedName name="SALEQTY" localSheetId="26">#REF!</definedName>
    <definedName name="SALEQTY" localSheetId="29">#REF!</definedName>
    <definedName name="SALEQTY" localSheetId="16">#REF!</definedName>
    <definedName name="SALEQTY" localSheetId="20">#REF!</definedName>
    <definedName name="SALEQTY" localSheetId="43">#REF!</definedName>
    <definedName name="SALEQTY">#REF!</definedName>
    <definedName name="SALES" localSheetId="26">#REF!</definedName>
    <definedName name="SALES" localSheetId="33">#REF!</definedName>
    <definedName name="SALES" localSheetId="17">#REF!</definedName>
    <definedName name="SALES" localSheetId="48">#REF!</definedName>
    <definedName name="SALES" localSheetId="29">#REF!</definedName>
    <definedName name="SALES" localSheetId="3">#REF!</definedName>
    <definedName name="SALES" localSheetId="35">#REF!</definedName>
    <definedName name="SALES" localSheetId="16">#REF!</definedName>
    <definedName name="SALES" localSheetId="19">#REF!</definedName>
    <definedName name="SALES" localSheetId="20">#REF!</definedName>
    <definedName name="SALES" localSheetId="43">#REF!</definedName>
    <definedName name="SALES">#REF!</definedName>
    <definedName name="Sales_jan04" localSheetId="26">#REF!</definedName>
    <definedName name="Sales_jan04" localSheetId="29">#REF!</definedName>
    <definedName name="Sales_jan04" localSheetId="16">#REF!</definedName>
    <definedName name="Sales_jan04" localSheetId="20">#REF!</definedName>
    <definedName name="Sales_jan04" localSheetId="43">#REF!</definedName>
    <definedName name="Sales_jan04">#REF!</definedName>
    <definedName name="SALES_STOCK_APR08" localSheetId="26">#REF!</definedName>
    <definedName name="SALES_STOCK_APR08" localSheetId="29">#REF!</definedName>
    <definedName name="SALES_STOCK_APR08" localSheetId="16">#REF!</definedName>
    <definedName name="SALES_STOCK_APR08" localSheetId="20">#REF!</definedName>
    <definedName name="SALES_STOCK_APR08" localSheetId="43">#REF!</definedName>
    <definedName name="SALES_STOCK_APR08">#REF!</definedName>
    <definedName name="SALES_STOCK_APR09" localSheetId="26">#REF!</definedName>
    <definedName name="SALES_STOCK_APR09" localSheetId="29">#REF!</definedName>
    <definedName name="SALES_STOCK_APR09" localSheetId="16">#REF!</definedName>
    <definedName name="SALES_STOCK_APR09" localSheetId="20">#REF!</definedName>
    <definedName name="SALES_STOCK_APR09" localSheetId="43">#REF!</definedName>
    <definedName name="SALES_STOCK_APR09">#REF!</definedName>
    <definedName name="SALES_STOCK_AUG08" localSheetId="26">#REF!</definedName>
    <definedName name="SALES_STOCK_AUG08" localSheetId="29">#REF!</definedName>
    <definedName name="SALES_STOCK_AUG08" localSheetId="16">#REF!</definedName>
    <definedName name="SALES_STOCK_AUG08" localSheetId="20">#REF!</definedName>
    <definedName name="SALES_STOCK_AUG08" localSheetId="43">#REF!</definedName>
    <definedName name="SALES_STOCK_AUG08">#REF!</definedName>
    <definedName name="SALES_STOCK_DEC08" localSheetId="26">#REF!</definedName>
    <definedName name="SALES_STOCK_DEC08" localSheetId="29">#REF!</definedName>
    <definedName name="SALES_STOCK_DEC08" localSheetId="16">#REF!</definedName>
    <definedName name="SALES_STOCK_DEC08" localSheetId="20">#REF!</definedName>
    <definedName name="SALES_STOCK_DEC08" localSheetId="43">#REF!</definedName>
    <definedName name="SALES_STOCK_DEC08">#REF!</definedName>
    <definedName name="SALES_STOCK_FEB09" localSheetId="26">#REF!</definedName>
    <definedName name="SALES_STOCK_FEB09" localSheetId="29">#REF!</definedName>
    <definedName name="SALES_STOCK_FEB09" localSheetId="16">#REF!</definedName>
    <definedName name="SALES_STOCK_FEB09" localSheetId="20">#REF!</definedName>
    <definedName name="SALES_STOCK_FEB09" localSheetId="43">#REF!</definedName>
    <definedName name="SALES_STOCK_FEB09">#REF!</definedName>
    <definedName name="SALES_STOCK_JAN09" localSheetId="26">#REF!</definedName>
    <definedName name="SALES_STOCK_JAN09" localSheetId="29">#REF!</definedName>
    <definedName name="SALES_STOCK_JAN09" localSheetId="16">#REF!</definedName>
    <definedName name="SALES_STOCK_JAN09" localSheetId="20">#REF!</definedName>
    <definedName name="SALES_STOCK_JAN09" localSheetId="43">#REF!</definedName>
    <definedName name="SALES_STOCK_JAN09">#REF!</definedName>
    <definedName name="SALES_STOCK_JULY08" localSheetId="26">#REF!</definedName>
    <definedName name="SALES_STOCK_JULY08" localSheetId="29">#REF!</definedName>
    <definedName name="SALES_STOCK_JULY08" localSheetId="16">#REF!</definedName>
    <definedName name="SALES_STOCK_JULY08" localSheetId="20">#REF!</definedName>
    <definedName name="SALES_STOCK_JULY08" localSheetId="43">#REF!</definedName>
    <definedName name="SALES_STOCK_JULY08">#REF!</definedName>
    <definedName name="SALES_STOCK_JUNE08" localSheetId="26">#REF!</definedName>
    <definedName name="SALES_STOCK_JUNE08" localSheetId="29">#REF!</definedName>
    <definedName name="SALES_STOCK_JUNE08" localSheetId="16">#REF!</definedName>
    <definedName name="SALES_STOCK_JUNE08" localSheetId="20">#REF!</definedName>
    <definedName name="SALES_STOCK_JUNE08" localSheetId="43">#REF!</definedName>
    <definedName name="SALES_STOCK_JUNE08">#REF!</definedName>
    <definedName name="SALES_STOCK_MAR08" localSheetId="26">#REF!</definedName>
    <definedName name="SALES_STOCK_MAR08" localSheetId="29">#REF!</definedName>
    <definedName name="SALES_STOCK_MAR08" localSheetId="16">#REF!</definedName>
    <definedName name="SALES_STOCK_MAR08" localSheetId="20">#REF!</definedName>
    <definedName name="SALES_STOCK_MAR08" localSheetId="43">#REF!</definedName>
    <definedName name="SALES_STOCK_MAR08">#REF!</definedName>
    <definedName name="SALES_STOCK_MAR09" localSheetId="26">#REF!</definedName>
    <definedName name="SALES_STOCK_MAR09" localSheetId="29">#REF!</definedName>
    <definedName name="SALES_STOCK_MAR09" localSheetId="16">#REF!</definedName>
    <definedName name="SALES_STOCK_MAR09" localSheetId="20">#REF!</definedName>
    <definedName name="SALES_STOCK_MAR09" localSheetId="43">#REF!</definedName>
    <definedName name="SALES_STOCK_MAR09">#REF!</definedName>
    <definedName name="SALES_STOCK_MAY08" localSheetId="26">#REF!</definedName>
    <definedName name="SALES_STOCK_MAY08" localSheetId="29">#REF!</definedName>
    <definedName name="SALES_STOCK_MAY08" localSheetId="16">#REF!</definedName>
    <definedName name="SALES_STOCK_MAY08" localSheetId="20">#REF!</definedName>
    <definedName name="SALES_STOCK_MAY08" localSheetId="43">#REF!</definedName>
    <definedName name="SALES_STOCK_MAY08">#REF!</definedName>
    <definedName name="SALES_STOCK_NOV08" localSheetId="26">#REF!</definedName>
    <definedName name="SALES_STOCK_NOV08" localSheetId="29">#REF!</definedName>
    <definedName name="SALES_STOCK_NOV08" localSheetId="16">#REF!</definedName>
    <definedName name="SALES_STOCK_NOV08" localSheetId="20">#REF!</definedName>
    <definedName name="SALES_STOCK_NOV08" localSheetId="43">#REF!</definedName>
    <definedName name="SALES_STOCK_NOV08">#REF!</definedName>
    <definedName name="SALES_STOCK_OCT08" localSheetId="26">#REF!</definedName>
    <definedName name="SALES_STOCK_OCT08" localSheetId="29">#REF!</definedName>
    <definedName name="SALES_STOCK_OCT08" localSheetId="16">#REF!</definedName>
    <definedName name="SALES_STOCK_OCT08" localSheetId="20">#REF!</definedName>
    <definedName name="SALES_STOCK_OCT08" localSheetId="43">#REF!</definedName>
    <definedName name="SALES_STOCK_OCT08">#REF!</definedName>
    <definedName name="SALES_STOCK_SEPT08" localSheetId="26">#REF!</definedName>
    <definedName name="SALES_STOCK_SEPT08" localSheetId="29">#REF!</definedName>
    <definedName name="SALES_STOCK_SEPT08" localSheetId="16">#REF!</definedName>
    <definedName name="SALES_STOCK_SEPT08" localSheetId="20">#REF!</definedName>
    <definedName name="SALES_STOCK_SEPT08" localSheetId="43">#REF!</definedName>
    <definedName name="SALES_STOCK_SEPT08">#REF!</definedName>
    <definedName name="Sales1" localSheetId="26">#REF!</definedName>
    <definedName name="Sales1" localSheetId="33">#REF!</definedName>
    <definedName name="Sales1" localSheetId="17">#REF!</definedName>
    <definedName name="Sales1" localSheetId="48">#REF!</definedName>
    <definedName name="Sales1" localSheetId="29">#REF!</definedName>
    <definedName name="Sales1" localSheetId="3">#REF!</definedName>
    <definedName name="Sales1" localSheetId="35">#REF!</definedName>
    <definedName name="Sales1" localSheetId="16">#REF!</definedName>
    <definedName name="Sales1" localSheetId="5">#REF!</definedName>
    <definedName name="Sales1" localSheetId="19">#REF!</definedName>
    <definedName name="Sales1" localSheetId="20">#REF!</definedName>
    <definedName name="Sales1" localSheetId="43">#REF!</definedName>
    <definedName name="Sales1">#REF!</definedName>
    <definedName name="Sales2" localSheetId="26">#REF!</definedName>
    <definedName name="Sales2" localSheetId="33">#REF!</definedName>
    <definedName name="Sales2" localSheetId="17">#REF!</definedName>
    <definedName name="Sales2" localSheetId="29">#REF!</definedName>
    <definedName name="Sales2" localSheetId="3">#REF!</definedName>
    <definedName name="Sales2" localSheetId="16">#REF!</definedName>
    <definedName name="Sales2" localSheetId="5">#REF!</definedName>
    <definedName name="Sales2" localSheetId="19">#REF!</definedName>
    <definedName name="Sales2" localSheetId="20">#REF!</definedName>
    <definedName name="Sales2" localSheetId="43">#REF!</definedName>
    <definedName name="Sales2">#REF!</definedName>
    <definedName name="sche" localSheetId="26">#REF!</definedName>
    <definedName name="sche" localSheetId="33">#REF!</definedName>
    <definedName name="sche" localSheetId="17">#REF!</definedName>
    <definedName name="sche" localSheetId="29">#REF!</definedName>
    <definedName name="sche" localSheetId="3">#REF!</definedName>
    <definedName name="sche" localSheetId="16">#REF!</definedName>
    <definedName name="sche" localSheetId="19">#REF!</definedName>
    <definedName name="sche" localSheetId="20">#REF!</definedName>
    <definedName name="sche" localSheetId="43">#REF!</definedName>
    <definedName name="sche">#REF!</definedName>
    <definedName name="Sched_Pay" localSheetId="26">#REF!</definedName>
    <definedName name="Sched_Pay" localSheetId="29">#REF!</definedName>
    <definedName name="Sched_Pay" localSheetId="16">#REF!</definedName>
    <definedName name="Sched_Pay" localSheetId="20">#REF!</definedName>
    <definedName name="Sched_Pay" localSheetId="43">#REF!</definedName>
    <definedName name="Sched_Pay">#REF!</definedName>
    <definedName name="Schedule_1_to_4" localSheetId="26">#REF!</definedName>
    <definedName name="Schedule_1_to_4" localSheetId="29">#REF!</definedName>
    <definedName name="Schedule_1_to_4" localSheetId="16">#REF!</definedName>
    <definedName name="Schedule_1_to_4" localSheetId="20">#REF!</definedName>
    <definedName name="Schedule_1_to_4" localSheetId="43">#REF!</definedName>
    <definedName name="Schedule_1_to_4">#REF!</definedName>
    <definedName name="Schedule_5_to_10" localSheetId="26">#REF!</definedName>
    <definedName name="Schedule_5_to_10" localSheetId="29">#REF!</definedName>
    <definedName name="Schedule_5_to_10" localSheetId="16">#REF!</definedName>
    <definedName name="Schedule_5_to_10" localSheetId="20">#REF!</definedName>
    <definedName name="Schedule_5_to_10" localSheetId="43">#REF!</definedName>
    <definedName name="Schedule_5_to_10">#REF!</definedName>
    <definedName name="Scheduled_Extra_Payments" localSheetId="26">#REF!</definedName>
    <definedName name="Scheduled_Extra_Payments" localSheetId="29">#REF!</definedName>
    <definedName name="Scheduled_Extra_Payments" localSheetId="16">#REF!</definedName>
    <definedName name="Scheduled_Extra_Payments" localSheetId="20">#REF!</definedName>
    <definedName name="Scheduled_Extra_Payments" localSheetId="43">#REF!</definedName>
    <definedName name="Scheduled_Extra_Payments">#REF!</definedName>
    <definedName name="Scheduled_Interest_Rate" localSheetId="26">#REF!</definedName>
    <definedName name="Scheduled_Interest_Rate" localSheetId="29">#REF!</definedName>
    <definedName name="Scheduled_Interest_Rate" localSheetId="16">#REF!</definedName>
    <definedName name="Scheduled_Interest_Rate" localSheetId="20">#REF!</definedName>
    <definedName name="Scheduled_Interest_Rate" localSheetId="43">#REF!</definedName>
    <definedName name="Scheduled_Interest_Rate">#REF!</definedName>
    <definedName name="Scheduled_Monthly_Payment" localSheetId="26">#REF!</definedName>
    <definedName name="Scheduled_Monthly_Payment" localSheetId="29">#REF!</definedName>
    <definedName name="Scheduled_Monthly_Payment" localSheetId="16">#REF!</definedName>
    <definedName name="Scheduled_Monthly_Payment" localSheetId="20">#REF!</definedName>
    <definedName name="Scheduled_Monthly_Payment" localSheetId="43">#REF!</definedName>
    <definedName name="Scheduled_Monthly_Payment">#REF!</definedName>
    <definedName name="Schedules_BS">[72]Schedule!$B$2</definedName>
    <definedName name="SCRAP" localSheetId="26">#REF!</definedName>
    <definedName name="SCRAP" localSheetId="18">#REF!</definedName>
    <definedName name="SCRAP" localSheetId="29">#REF!</definedName>
    <definedName name="SCRAP" localSheetId="16">#REF!</definedName>
    <definedName name="SCRAP" localSheetId="20">#REF!</definedName>
    <definedName name="SCRAP" localSheetId="43">#REF!</definedName>
    <definedName name="SCRAP">#REF!</definedName>
    <definedName name="sdsd" localSheetId="26">Scheduled_Payment+Extra_Payment</definedName>
    <definedName name="sdsd" localSheetId="17">Scheduled_Payment+Extra_Payment</definedName>
    <definedName name="sdsd" localSheetId="23">Scheduled_Payment+Extra_Payment</definedName>
    <definedName name="sdsd" localSheetId="18">Scheduled_Payment+Extra_Payment</definedName>
    <definedName name="sdsd" localSheetId="10">Scheduled_Payment+Extra_Payment</definedName>
    <definedName name="sdsd" localSheetId="29">Scheduled_Payment+Extra_Payment</definedName>
    <definedName name="sdsd" localSheetId="16">Scheduled_Payment+Extra_Payment</definedName>
    <definedName name="sdsd" localSheetId="20">Scheduled_Payment+Extra_Payment</definedName>
    <definedName name="sdsd" localSheetId="43">Scheduled_Payment+Extra_Payment</definedName>
    <definedName name="sdsd">Scheduled_Payment+Extra_Payment</definedName>
    <definedName name="Section">'[40]06-07 Detail'!$BH$2:$BH$4</definedName>
    <definedName name="see" localSheetId="26">#REF!</definedName>
    <definedName name="see" localSheetId="18">#REF!</definedName>
    <definedName name="see" localSheetId="29">#REF!</definedName>
    <definedName name="see" localSheetId="16">#REF!</definedName>
    <definedName name="see" localSheetId="20">#REF!</definedName>
    <definedName name="see" localSheetId="43">#REF!</definedName>
    <definedName name="see">#REF!</definedName>
    <definedName name="sencount" hidden="1">1</definedName>
    <definedName name="sfasdfasfasd" localSheetId="26">OFFSET('Adjustment Working F.Y. 2021-22'!Full_Print,0,0,'Adjustment Working F.Y. 2021-22'!Last_Row)</definedName>
    <definedName name="sfasdfasfasd" localSheetId="23">OFFSET(Full_Print,0,0,'DTA-DTL LMIL Q2 2022-23'!Last_Row)</definedName>
    <definedName name="sfasdfasfasd" localSheetId="18">OFFSET(Full_Print,0,0,Last_Row)</definedName>
    <definedName name="sfasdfasfasd" localSheetId="10">OFFSET(Full_Print,0,0,Last_Row)</definedName>
    <definedName name="sfasdfasfasd" localSheetId="29">OFFSET('LMIL - BS SUMIF Formula'!Full_Print,0,0,[0]!Last_Row)</definedName>
    <definedName name="sfasdfasfasd" localSheetId="16">OFFSET('Regulation 33 - Balance Sheet'!Full_Print,0,0,Last_Row)</definedName>
    <definedName name="sfasdfasfasd" localSheetId="20">OFFSET('TB-30-09-2021'!Full_Print,0,0,Last_Row)</definedName>
    <definedName name="sfasdfasfasd" localSheetId="43">OFFSET('Trial Balance LS'!Full_Print,0,0,'Trial Balance LS'!Last_Row)</definedName>
    <definedName name="sfasdfasfasd">OFFSET(Full_Print,0,0,Last_Row)</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KP" localSheetId="26">#REF!</definedName>
    <definedName name="SKP" localSheetId="23">#REF!</definedName>
    <definedName name="SKP" localSheetId="18">#REF!</definedName>
    <definedName name="SKP" localSheetId="29">#REF!</definedName>
    <definedName name="SKP" localSheetId="16">#REF!</definedName>
    <definedName name="SKP" localSheetId="20">#REF!</definedName>
    <definedName name="SKP" localSheetId="43">#REF!</definedName>
    <definedName name="SKP">#REF!</definedName>
    <definedName name="smaex" localSheetId="26">#REF!</definedName>
    <definedName name="smaex" localSheetId="29">#REF!</definedName>
    <definedName name="smaex" localSheetId="16">#REF!</definedName>
    <definedName name="smaex" localSheetId="20">#REF!</definedName>
    <definedName name="smaex" localSheetId="43">#REF!</definedName>
    <definedName name="smaex">#REF!</definedName>
    <definedName name="smbex" localSheetId="26">#REF!</definedName>
    <definedName name="smbex" localSheetId="29">#REF!</definedName>
    <definedName name="smbex" localSheetId="16">#REF!</definedName>
    <definedName name="smbex" localSheetId="20">#REF!</definedName>
    <definedName name="smbex" localSheetId="43">#REF!</definedName>
    <definedName name="smbex">#REF!</definedName>
    <definedName name="smpex" localSheetId="26">#REF!</definedName>
    <definedName name="smpex" localSheetId="29">#REF!</definedName>
    <definedName name="smpex" localSheetId="16">#REF!</definedName>
    <definedName name="smpex" localSheetId="20">#REF!</definedName>
    <definedName name="smpex" localSheetId="43">#REF!</definedName>
    <definedName name="smpex">#REF!</definedName>
    <definedName name="so" localSheetId="26">#REF!</definedName>
    <definedName name="so" localSheetId="33">#REF!</definedName>
    <definedName name="so" localSheetId="17">#REF!</definedName>
    <definedName name="so" localSheetId="29">#REF!</definedName>
    <definedName name="so" localSheetId="3">#REF!</definedName>
    <definedName name="so" localSheetId="16">#REF!</definedName>
    <definedName name="so" localSheetId="19">#REF!</definedName>
    <definedName name="so" localSheetId="20">#REF!</definedName>
    <definedName name="so" localSheetId="43">#REF!</definedName>
    <definedName name="so">#REF!</definedName>
    <definedName name="Solde" localSheetId="48">[73]MIS!$A$3:$B$34</definedName>
    <definedName name="Solde" localSheetId="35">[73]MIS!$A$3:$B$34</definedName>
    <definedName name="Solde">[74]MIS!$A$3:$B$34</definedName>
    <definedName name="SoldeGene">[62]Feuil1!$C$2:$D$210</definedName>
    <definedName name="solver_adj" localSheetId="26" hidden="1">'[32]IS Mo'!#REF!</definedName>
    <definedName name="solver_adj" localSheetId="33" hidden="1">'[32]IS Mo'!#REF!</definedName>
    <definedName name="solver_adj" localSheetId="17" hidden="1">'[32]IS Mo'!#REF!</definedName>
    <definedName name="solver_adj" localSheetId="18" hidden="1">'[32]IS Mo'!#REF!</definedName>
    <definedName name="solver_adj" localSheetId="29" hidden="1">'[32]IS Mo'!#REF!</definedName>
    <definedName name="solver_adj" localSheetId="3" hidden="1">'[32]IS Mo'!#REF!</definedName>
    <definedName name="solver_adj" localSheetId="16" hidden="1">'[32]IS Mo'!#REF!</definedName>
    <definedName name="solver_adj" localSheetId="19" hidden="1">'[32]IS Mo'!#REF!</definedName>
    <definedName name="solver_adj" localSheetId="20" hidden="1">'[32]IS Mo'!#REF!</definedName>
    <definedName name="solver_adj" localSheetId="43" hidden="1">'[32]IS Mo'!#REF!</definedName>
    <definedName name="solver_adj" hidden="1">'[32]IS Mo'!#REF!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 localSheetId="26" hidden="1">'[32]IS Mo'!#REF!</definedName>
    <definedName name="solver_opt" localSheetId="33" hidden="1">'[32]IS Mo'!#REF!</definedName>
    <definedName name="solver_opt" localSheetId="17" hidden="1">'[32]IS Mo'!#REF!</definedName>
    <definedName name="solver_opt" localSheetId="18" hidden="1">'[32]IS Mo'!#REF!</definedName>
    <definedName name="solver_opt" localSheetId="29" hidden="1">'[32]IS Mo'!#REF!</definedName>
    <definedName name="solver_opt" localSheetId="3" hidden="1">'[32]IS Mo'!#REF!</definedName>
    <definedName name="solver_opt" localSheetId="16" hidden="1">'[32]IS Mo'!#REF!</definedName>
    <definedName name="solver_opt" localSheetId="19" hidden="1">'[32]IS Mo'!#REF!</definedName>
    <definedName name="solver_opt" localSheetId="20" hidden="1">'[32]IS Mo'!#REF!</definedName>
    <definedName name="solver_opt" localSheetId="43" hidden="1">'[32]IS Mo'!#REF!</definedName>
    <definedName name="solver_opt" hidden="1">'[32]IS Mo'!#REF!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outh_zone" localSheetId="26">'[65]C-21(b)'!#REF!</definedName>
    <definedName name="south_zone" localSheetId="33">'[65]C-21(b)'!#REF!</definedName>
    <definedName name="south_zone" localSheetId="17">'[65]C-21(b)'!#REF!</definedName>
    <definedName name="south_zone" localSheetId="48">'[54]C-21(b)'!#REF!</definedName>
    <definedName name="south_zone" localSheetId="23">'[65]C-21(b)'!#REF!</definedName>
    <definedName name="south_zone" localSheetId="18">'[65]C-21(b)'!#REF!</definedName>
    <definedName name="south_zone" localSheetId="29">'[65]C-21(b)'!#REF!</definedName>
    <definedName name="south_zone" localSheetId="3">'[65]C-21(b)'!#REF!</definedName>
    <definedName name="south_zone" localSheetId="35">'[54]C-21(b)'!#REF!</definedName>
    <definedName name="south_zone" localSheetId="16">'[65]C-21(b)'!#REF!</definedName>
    <definedName name="south_zone" localSheetId="19">'[65]C-21(b)'!#REF!</definedName>
    <definedName name="south_zone" localSheetId="20">'[65]C-21(b)'!#REF!</definedName>
    <definedName name="south_zone" localSheetId="43">'[65]C-21(b)'!#REF!</definedName>
    <definedName name="south_zone">'[65]C-21(b)'!#REF!</definedName>
    <definedName name="SPARES" localSheetId="26">#REF!</definedName>
    <definedName name="SPARES" localSheetId="18">#REF!</definedName>
    <definedName name="SPARES" localSheetId="29">#REF!</definedName>
    <definedName name="SPARES" localSheetId="16">#REF!</definedName>
    <definedName name="SPARES" localSheetId="20">#REF!</definedName>
    <definedName name="SPARES" localSheetId="43">#REF!</definedName>
    <definedName name="SPARES">#REF!</definedName>
    <definedName name="SPL" localSheetId="26">#REF!</definedName>
    <definedName name="SPL" localSheetId="29">#REF!</definedName>
    <definedName name="SPL" localSheetId="16">#REF!</definedName>
    <definedName name="SPL" localSheetId="20">#REF!</definedName>
    <definedName name="SPL" localSheetId="43">#REF!</definedName>
    <definedName name="SPL">#REF!</definedName>
    <definedName name="SQTYCMC">[75]CMCQTYP!$A$1:$IV$4</definedName>
    <definedName name="SS">#N/A</definedName>
    <definedName name="ss_Sort_Name" localSheetId="26">#REF!</definedName>
    <definedName name="ss_Sort_Name" localSheetId="23">#REF!</definedName>
    <definedName name="ss_Sort_Name" localSheetId="18">#REF!</definedName>
    <definedName name="ss_Sort_Name" localSheetId="29">#REF!</definedName>
    <definedName name="ss_Sort_Name" localSheetId="16">#REF!</definedName>
    <definedName name="ss_Sort_Name" localSheetId="20">#REF!</definedName>
    <definedName name="ss_Sort_Name" localSheetId="43">#REF!</definedName>
    <definedName name="ss_Sort_Name">#REF!</definedName>
    <definedName name="sss" localSheetId="26" hidden="1">#REF!</definedName>
    <definedName name="sss" localSheetId="33" hidden="1">#REF!</definedName>
    <definedName name="sss" localSheetId="29" hidden="1">#REF!</definedName>
    <definedName name="sss" localSheetId="16" hidden="1">#REF!</definedName>
    <definedName name="sss" localSheetId="20" hidden="1">#REF!</definedName>
    <definedName name="sss" localSheetId="43" hidden="1">#REF!</definedName>
    <definedName name="sss" hidden="1">#REF!</definedName>
    <definedName name="statemen" localSheetId="26">#REF!</definedName>
    <definedName name="statemen" localSheetId="33">#REF!</definedName>
    <definedName name="statemen" localSheetId="17">#REF!</definedName>
    <definedName name="statemen" localSheetId="29">#REF!</definedName>
    <definedName name="statemen" localSheetId="3">#REF!</definedName>
    <definedName name="statemen" localSheetId="16">#REF!</definedName>
    <definedName name="statemen" localSheetId="19">#REF!</definedName>
    <definedName name="statemen" localSheetId="20">#REF!</definedName>
    <definedName name="statemen" localSheetId="43">#REF!</definedName>
    <definedName name="statemen">#REF!</definedName>
    <definedName name="Statement" localSheetId="26">#REF!</definedName>
    <definedName name="Statement" localSheetId="33">#REF!</definedName>
    <definedName name="Statement" localSheetId="17">#REF!</definedName>
    <definedName name="Statement" localSheetId="29">#REF!</definedName>
    <definedName name="Statement" localSheetId="3">#REF!</definedName>
    <definedName name="Statement" localSheetId="16">#REF!</definedName>
    <definedName name="Statement" localSheetId="19">#REF!</definedName>
    <definedName name="Statement" localSheetId="20">#REF!</definedName>
    <definedName name="Statement" localSheetId="43">#REF!</definedName>
    <definedName name="Statement">#REF!</definedName>
    <definedName name="Statementofchangeinequity" localSheetId="26">#REF!</definedName>
    <definedName name="Statementofchangeinequity" localSheetId="33">#REF!</definedName>
    <definedName name="Statementofchangeinequity" localSheetId="17">#REF!</definedName>
    <definedName name="Statementofchangeinequity" localSheetId="29">#REF!</definedName>
    <definedName name="Statementofchangeinequity" localSheetId="3">#REF!</definedName>
    <definedName name="Statementofchangeinequity" localSheetId="16">#REF!</definedName>
    <definedName name="Statementofchangeinequity" localSheetId="19">#REF!</definedName>
    <definedName name="Statementofchangeinequity" localSheetId="20">#REF!</definedName>
    <definedName name="Statementofchangeinequity" localSheetId="43">#REF!</definedName>
    <definedName name="Statementofchangeinequity">#REF!</definedName>
    <definedName name="Statementofchangesinequity" localSheetId="26">#REF!</definedName>
    <definedName name="Statementofchangesinequity" localSheetId="33">#REF!</definedName>
    <definedName name="Statementofchangesinequity" localSheetId="17">#REF!</definedName>
    <definedName name="Statementofchangesinequity" localSheetId="29">#REF!</definedName>
    <definedName name="Statementofchangesinequity" localSheetId="3">#REF!</definedName>
    <definedName name="Statementofchangesinequity" localSheetId="16">#REF!</definedName>
    <definedName name="Statementofchangesinequity" localSheetId="19">#REF!</definedName>
    <definedName name="Statementofchangesinequity" localSheetId="20">#REF!</definedName>
    <definedName name="Statementofchangesinequity" localSheetId="43">#REF!</definedName>
    <definedName name="Statementofchangesinequity">#REF!</definedName>
    <definedName name="statements" localSheetId="26">#REF!</definedName>
    <definedName name="statements" localSheetId="33">#REF!</definedName>
    <definedName name="statements" localSheetId="17">#REF!</definedName>
    <definedName name="statements" localSheetId="29">#REF!</definedName>
    <definedName name="statements" localSheetId="3">#REF!</definedName>
    <definedName name="statements" localSheetId="16">#REF!</definedName>
    <definedName name="statements" localSheetId="19">#REF!</definedName>
    <definedName name="statements" localSheetId="20">#REF!</definedName>
    <definedName name="statements" localSheetId="43">#REF!</definedName>
    <definedName name="statements">#REF!</definedName>
    <definedName name="STK" localSheetId="26">'[76]wip FG'!#REF!</definedName>
    <definedName name="STK" localSheetId="33">'[76]wip FG'!#REF!</definedName>
    <definedName name="STK" localSheetId="48">'[76]wip FG'!#REF!</definedName>
    <definedName name="STK" localSheetId="18">'[76]wip FG'!#REF!</definedName>
    <definedName name="STK" localSheetId="29">'[76]wip FG'!#REF!</definedName>
    <definedName name="STK" localSheetId="35">'[76]wip FG'!#REF!</definedName>
    <definedName name="STK" localSheetId="16">'[76]wip FG'!#REF!</definedName>
    <definedName name="STK" localSheetId="5">'[76]wip FG'!#REF!</definedName>
    <definedName name="STK" localSheetId="20">'[76]wip FG'!#REF!</definedName>
    <definedName name="STK" localSheetId="43">'[76]wip FG'!#REF!</definedName>
    <definedName name="STK">'[76]wip FG'!#REF!</definedName>
    <definedName name="stock" localSheetId="26">#REF!</definedName>
    <definedName name="stock" localSheetId="18">#REF!</definedName>
    <definedName name="stock" localSheetId="29">#REF!</definedName>
    <definedName name="stock" localSheetId="16">#REF!</definedName>
    <definedName name="stock" localSheetId="20">#REF!</definedName>
    <definedName name="stock" localSheetId="43">#REF!</definedName>
    <definedName name="stock">#REF!</definedName>
    <definedName name="STOCK_FG_L_APR08" localSheetId="26">#REF!</definedName>
    <definedName name="STOCK_FG_L_APR08" localSheetId="29">#REF!</definedName>
    <definedName name="STOCK_FG_L_APR08" localSheetId="16">#REF!</definedName>
    <definedName name="STOCK_FG_L_APR08" localSheetId="20">#REF!</definedName>
    <definedName name="STOCK_FG_L_APR08" localSheetId="43">#REF!</definedName>
    <definedName name="STOCK_FG_L_APR08">#REF!</definedName>
    <definedName name="STOCK_FG_L_APR09" localSheetId="26">#REF!</definedName>
    <definedName name="STOCK_FG_L_APR09" localSheetId="29">#REF!</definedName>
    <definedName name="STOCK_FG_L_APR09" localSheetId="16">#REF!</definedName>
    <definedName name="STOCK_FG_L_APR09" localSheetId="20">#REF!</definedName>
    <definedName name="STOCK_FG_L_APR09" localSheetId="43">#REF!</definedName>
    <definedName name="STOCK_FG_L_APR09">#REF!</definedName>
    <definedName name="STOCK_FG_L_AUG08" localSheetId="26">#REF!</definedName>
    <definedName name="STOCK_FG_L_AUG08" localSheetId="29">#REF!</definedName>
    <definedName name="STOCK_FG_L_AUG08" localSheetId="16">#REF!</definedName>
    <definedName name="STOCK_FG_L_AUG08" localSheetId="20">#REF!</definedName>
    <definedName name="STOCK_FG_L_AUG08" localSheetId="43">#REF!</definedName>
    <definedName name="STOCK_FG_L_AUG08">#REF!</definedName>
    <definedName name="STOCK_FG_L_DEC08" localSheetId="26">#REF!</definedName>
    <definedName name="STOCK_FG_L_DEC08" localSheetId="29">#REF!</definedName>
    <definedName name="STOCK_FG_L_DEC08" localSheetId="16">#REF!</definedName>
    <definedName name="STOCK_FG_L_DEC08" localSheetId="20">#REF!</definedName>
    <definedName name="STOCK_FG_L_DEC08" localSheetId="43">#REF!</definedName>
    <definedName name="STOCK_FG_L_DEC08">#REF!</definedName>
    <definedName name="STOCK_FG_L_FEB09" localSheetId="26">#REF!</definedName>
    <definedName name="STOCK_FG_L_FEB09" localSheetId="29">#REF!</definedName>
    <definedName name="STOCK_FG_L_FEB09" localSheetId="16">#REF!</definedName>
    <definedName name="STOCK_FG_L_FEB09" localSheetId="20">#REF!</definedName>
    <definedName name="STOCK_FG_L_FEB09" localSheetId="43">#REF!</definedName>
    <definedName name="STOCK_FG_L_FEB09">#REF!</definedName>
    <definedName name="STOCK_FG_L_JAN09" localSheetId="26">#REF!</definedName>
    <definedName name="STOCK_FG_L_JAN09" localSheetId="29">#REF!</definedName>
    <definedName name="STOCK_FG_L_JAN09" localSheetId="16">#REF!</definedName>
    <definedName name="STOCK_FG_L_JAN09" localSheetId="20">#REF!</definedName>
    <definedName name="STOCK_FG_L_JAN09" localSheetId="43">#REF!</definedName>
    <definedName name="STOCK_FG_L_JAN09">#REF!</definedName>
    <definedName name="STOCK_FG_L_JULY08" localSheetId="26">#REF!</definedName>
    <definedName name="STOCK_FG_L_JULY08" localSheetId="29">#REF!</definedName>
    <definedName name="STOCK_FG_L_JULY08" localSheetId="16">#REF!</definedName>
    <definedName name="STOCK_FG_L_JULY08" localSheetId="20">#REF!</definedName>
    <definedName name="STOCK_FG_L_JULY08" localSheetId="43">#REF!</definedName>
    <definedName name="STOCK_FG_L_JULY08">#REF!</definedName>
    <definedName name="STOCK_FG_L_JUNE08" localSheetId="26">#REF!</definedName>
    <definedName name="STOCK_FG_L_JUNE08" localSheetId="29">#REF!</definedName>
    <definedName name="STOCK_FG_L_JUNE08" localSheetId="16">#REF!</definedName>
    <definedName name="STOCK_FG_L_JUNE08" localSheetId="20">#REF!</definedName>
    <definedName name="STOCK_FG_L_JUNE08" localSheetId="43">#REF!</definedName>
    <definedName name="STOCK_FG_L_JUNE08">#REF!</definedName>
    <definedName name="STOCK_FG_L_MAR09" localSheetId="26">#REF!</definedName>
    <definedName name="STOCK_FG_L_MAR09" localSheetId="29">#REF!</definedName>
    <definedName name="STOCK_FG_L_MAR09" localSheetId="16">#REF!</definedName>
    <definedName name="STOCK_FG_L_MAR09" localSheetId="20">#REF!</definedName>
    <definedName name="STOCK_FG_L_MAR09" localSheetId="43">#REF!</definedName>
    <definedName name="STOCK_FG_L_MAR09">#REF!</definedName>
    <definedName name="STOCK_FG_L_MAY08" localSheetId="26">#REF!</definedName>
    <definedName name="STOCK_FG_L_MAY08" localSheetId="29">#REF!</definedName>
    <definedName name="STOCK_FG_L_MAY08" localSheetId="16">#REF!</definedName>
    <definedName name="STOCK_FG_L_MAY08" localSheetId="20">#REF!</definedName>
    <definedName name="STOCK_FG_L_MAY08" localSheetId="43">#REF!</definedName>
    <definedName name="STOCK_FG_L_MAY08">#REF!</definedName>
    <definedName name="STOCK_FG_L_NOV08" localSheetId="26">#REF!</definedName>
    <definedName name="STOCK_FG_L_NOV08" localSheetId="29">#REF!</definedName>
    <definedName name="STOCK_FG_L_NOV08" localSheetId="16">#REF!</definedName>
    <definedName name="STOCK_FG_L_NOV08" localSheetId="20">#REF!</definedName>
    <definedName name="STOCK_FG_L_NOV08" localSheetId="43">#REF!</definedName>
    <definedName name="STOCK_FG_L_NOV08">#REF!</definedName>
    <definedName name="STOCK_FG_L_OCT08" localSheetId="26">#REF!</definedName>
    <definedName name="STOCK_FG_L_OCT08" localSheetId="29">#REF!</definedName>
    <definedName name="STOCK_FG_L_OCT08" localSheetId="16">#REF!</definedName>
    <definedName name="STOCK_FG_L_OCT08" localSheetId="20">#REF!</definedName>
    <definedName name="STOCK_FG_L_OCT08" localSheetId="43">#REF!</definedName>
    <definedName name="STOCK_FG_L_OCT08">#REF!</definedName>
    <definedName name="STOCK_FG_L_SEPT08" localSheetId="26">#REF!</definedName>
    <definedName name="STOCK_FG_L_SEPT08" localSheetId="29">#REF!</definedName>
    <definedName name="STOCK_FG_L_SEPT08" localSheetId="16">#REF!</definedName>
    <definedName name="STOCK_FG_L_SEPT08" localSheetId="20">#REF!</definedName>
    <definedName name="STOCK_FG_L_SEPT08" localSheetId="43">#REF!</definedName>
    <definedName name="STOCK_FG_L_SEPT08">#REF!</definedName>
    <definedName name="STOCK_FG_P_APR08" localSheetId="26">#REF!</definedName>
    <definedName name="STOCK_FG_P_APR08" localSheetId="29">#REF!</definedName>
    <definedName name="STOCK_FG_P_APR08" localSheetId="16">#REF!</definedName>
    <definedName name="STOCK_FG_P_APR08" localSheetId="20">#REF!</definedName>
    <definedName name="STOCK_FG_P_APR08" localSheetId="43">#REF!</definedName>
    <definedName name="STOCK_FG_P_APR08">#REF!</definedName>
    <definedName name="STOCK_FG_P_APR09" localSheetId="26">#REF!</definedName>
    <definedName name="STOCK_FG_P_APR09" localSheetId="29">#REF!</definedName>
    <definedName name="STOCK_FG_P_APR09" localSheetId="16">#REF!</definedName>
    <definedName name="STOCK_FG_P_APR09" localSheetId="20">#REF!</definedName>
    <definedName name="STOCK_FG_P_APR09" localSheetId="43">#REF!</definedName>
    <definedName name="STOCK_FG_P_APR09">#REF!</definedName>
    <definedName name="STOCK_FG_P_AUG08" localSheetId="26">#REF!</definedName>
    <definedName name="STOCK_FG_P_AUG08" localSheetId="29">#REF!</definedName>
    <definedName name="STOCK_FG_P_AUG08" localSheetId="16">#REF!</definedName>
    <definedName name="STOCK_FG_P_AUG08" localSheetId="20">#REF!</definedName>
    <definedName name="STOCK_FG_P_AUG08" localSheetId="43">#REF!</definedName>
    <definedName name="STOCK_FG_P_AUG08">#REF!</definedName>
    <definedName name="STOCK_FG_P_DEC08" localSheetId="26">#REF!</definedName>
    <definedName name="STOCK_FG_P_DEC08" localSheetId="29">#REF!</definedName>
    <definedName name="STOCK_FG_P_DEC08" localSheetId="16">#REF!</definedName>
    <definedName name="STOCK_FG_P_DEC08" localSheetId="20">#REF!</definedName>
    <definedName name="STOCK_FG_P_DEC08" localSheetId="43">#REF!</definedName>
    <definedName name="STOCK_FG_P_DEC08">#REF!</definedName>
    <definedName name="STOCK_FG_P_FEB09" localSheetId="26">#REF!</definedName>
    <definedName name="STOCK_FG_P_FEB09" localSheetId="29">#REF!</definedName>
    <definedName name="STOCK_FG_P_FEB09" localSheetId="16">#REF!</definedName>
    <definedName name="STOCK_FG_P_FEB09" localSheetId="20">#REF!</definedName>
    <definedName name="STOCK_FG_P_FEB09" localSheetId="43">#REF!</definedName>
    <definedName name="STOCK_FG_P_FEB09">#REF!</definedName>
    <definedName name="STOCK_FG_P_JAN09" localSheetId="26">#REF!</definedName>
    <definedName name="STOCK_FG_P_JAN09" localSheetId="29">#REF!</definedName>
    <definedName name="STOCK_FG_P_JAN09" localSheetId="16">#REF!</definedName>
    <definedName name="STOCK_FG_P_JAN09" localSheetId="20">#REF!</definedName>
    <definedName name="STOCK_FG_P_JAN09" localSheetId="43">#REF!</definedName>
    <definedName name="STOCK_FG_P_JAN09">#REF!</definedName>
    <definedName name="STOCK_FG_P_JULY08" localSheetId="26">#REF!</definedName>
    <definedName name="STOCK_FG_P_JULY08" localSheetId="29">#REF!</definedName>
    <definedName name="STOCK_FG_P_JULY08" localSheetId="16">#REF!</definedName>
    <definedName name="STOCK_FG_P_JULY08" localSheetId="20">#REF!</definedName>
    <definedName name="STOCK_FG_P_JULY08" localSheetId="43">#REF!</definedName>
    <definedName name="STOCK_FG_P_JULY08">#REF!</definedName>
    <definedName name="STOCK_FG_P_JUNE08" localSheetId="26">#REF!</definedName>
    <definedName name="STOCK_FG_P_JUNE08" localSheetId="29">#REF!</definedName>
    <definedName name="STOCK_FG_P_JUNE08" localSheetId="16">#REF!</definedName>
    <definedName name="STOCK_FG_P_JUNE08" localSheetId="20">#REF!</definedName>
    <definedName name="STOCK_FG_P_JUNE08" localSheetId="43">#REF!</definedName>
    <definedName name="STOCK_FG_P_JUNE08">#REF!</definedName>
    <definedName name="STOCK_FG_P_MAR09" localSheetId="26">#REF!</definedName>
    <definedName name="STOCK_FG_P_MAR09" localSheetId="29">#REF!</definedName>
    <definedName name="STOCK_FG_P_MAR09" localSheetId="16">#REF!</definedName>
    <definedName name="STOCK_FG_P_MAR09" localSheetId="20">#REF!</definedName>
    <definedName name="STOCK_FG_P_MAR09" localSheetId="43">#REF!</definedName>
    <definedName name="STOCK_FG_P_MAR09">#REF!</definedName>
    <definedName name="STOCK_FG_P_MAY08" localSheetId="26">#REF!</definedName>
    <definedName name="STOCK_FG_P_MAY08" localSheetId="29">#REF!</definedName>
    <definedName name="STOCK_FG_P_MAY08" localSheetId="16">#REF!</definedName>
    <definedName name="STOCK_FG_P_MAY08" localSheetId="20">#REF!</definedName>
    <definedName name="STOCK_FG_P_MAY08" localSheetId="43">#REF!</definedName>
    <definedName name="STOCK_FG_P_MAY08">#REF!</definedName>
    <definedName name="STOCK_FG_P_NOV08" localSheetId="26">#REF!</definedName>
    <definedName name="STOCK_FG_P_NOV08" localSheetId="29">#REF!</definedName>
    <definedName name="STOCK_FG_P_NOV08" localSheetId="16">#REF!</definedName>
    <definedName name="STOCK_FG_P_NOV08" localSheetId="20">#REF!</definedName>
    <definedName name="STOCK_FG_P_NOV08" localSheetId="43">#REF!</definedName>
    <definedName name="STOCK_FG_P_NOV08">#REF!</definedName>
    <definedName name="STOCK_FG_P_OCT08" localSheetId="26">#REF!</definedName>
    <definedName name="STOCK_FG_P_OCT08" localSheetId="29">#REF!</definedName>
    <definedName name="STOCK_FG_P_OCT08" localSheetId="16">#REF!</definedName>
    <definedName name="STOCK_FG_P_OCT08" localSheetId="20">#REF!</definedName>
    <definedName name="STOCK_FG_P_OCT08" localSheetId="43">#REF!</definedName>
    <definedName name="STOCK_FG_P_OCT08">#REF!</definedName>
    <definedName name="STOCK_FG_P_SEPT08" localSheetId="26">#REF!</definedName>
    <definedName name="STOCK_FG_P_SEPT08" localSheetId="29">#REF!</definedName>
    <definedName name="STOCK_FG_P_SEPT08" localSheetId="16">#REF!</definedName>
    <definedName name="STOCK_FG_P_SEPT08" localSheetId="20">#REF!</definedName>
    <definedName name="STOCK_FG_P_SEPT08" localSheetId="43">#REF!</definedName>
    <definedName name="STOCK_FG_P_SEPT08">#REF!</definedName>
    <definedName name="Stocks" localSheetId="26">#REF!</definedName>
    <definedName name="Stocks" localSheetId="33">#REF!</definedName>
    <definedName name="Stocks" localSheetId="17">#REF!</definedName>
    <definedName name="Stocks" localSheetId="48">#REF!</definedName>
    <definedName name="Stocks" localSheetId="29">#REF!</definedName>
    <definedName name="Stocks" localSheetId="3">#REF!</definedName>
    <definedName name="Stocks" localSheetId="35">#REF!</definedName>
    <definedName name="Stocks" localSheetId="16">#REF!</definedName>
    <definedName name="Stocks" localSheetId="19">#REF!</definedName>
    <definedName name="Stocks" localSheetId="20">#REF!</definedName>
    <definedName name="Stocks" localSheetId="43">#REF!</definedName>
    <definedName name="Stocks">#REF!</definedName>
    <definedName name="STX">[7]BS!$A$1</definedName>
    <definedName name="SUBS" localSheetId="26">#REF!</definedName>
    <definedName name="SUBS" localSheetId="33">#REF!</definedName>
    <definedName name="SUBS" localSheetId="17">#REF!</definedName>
    <definedName name="SUBS" localSheetId="29">#REF!</definedName>
    <definedName name="SUBS" localSheetId="3">#REF!</definedName>
    <definedName name="SUBS" localSheetId="16">#REF!</definedName>
    <definedName name="SUBS" localSheetId="19">#REF!</definedName>
    <definedName name="SUBS" localSheetId="20">#REF!</definedName>
    <definedName name="SUBS" localSheetId="43">#REF!</definedName>
    <definedName name="SUBS">#REF!</definedName>
    <definedName name="Subsidio" localSheetId="26">#REF!</definedName>
    <definedName name="Subsidio" localSheetId="33">#REF!</definedName>
    <definedName name="Subsidio" localSheetId="17">#REF!</definedName>
    <definedName name="Subsidio" localSheetId="29">#REF!</definedName>
    <definedName name="Subsidio" localSheetId="3">#REF!</definedName>
    <definedName name="Subsidio" localSheetId="16">#REF!</definedName>
    <definedName name="Subsidio" localSheetId="19">#REF!</definedName>
    <definedName name="Subsidio" localSheetId="20">#REF!</definedName>
    <definedName name="Subsidio" localSheetId="43">#REF!</definedName>
    <definedName name="Subsidio">#REF!</definedName>
    <definedName name="SUM" localSheetId="26">[17]BE!#REF!</definedName>
    <definedName name="SUM" localSheetId="33">[17]BE!#REF!</definedName>
    <definedName name="SUM" localSheetId="17">[17]BE!#REF!</definedName>
    <definedName name="SUM" localSheetId="48">[18]BE!#REF!</definedName>
    <definedName name="SUM" localSheetId="29">[17]BE!#REF!</definedName>
    <definedName name="SUM" localSheetId="3">[17]BE!#REF!</definedName>
    <definedName name="SUM" localSheetId="35">[18]BE!#REF!</definedName>
    <definedName name="SUM" localSheetId="16">[17]BE!#REF!</definedName>
    <definedName name="SUM" localSheetId="5">[17]BE!#REF!</definedName>
    <definedName name="SUM" localSheetId="19">[17]BE!#REF!</definedName>
    <definedName name="SUM" localSheetId="20">[17]BE!#REF!</definedName>
    <definedName name="SUM" localSheetId="43">[17]BE!#REF!</definedName>
    <definedName name="SUM">[17]BE!#REF!</definedName>
    <definedName name="SUMA1" localSheetId="26">#REF!</definedName>
    <definedName name="SUMA1" localSheetId="33">#REF!</definedName>
    <definedName name="SUMA1" localSheetId="17">#REF!</definedName>
    <definedName name="SUMA1" localSheetId="29">#REF!</definedName>
    <definedName name="SUMA1" localSheetId="3">#REF!</definedName>
    <definedName name="SUMA1" localSheetId="16">#REF!</definedName>
    <definedName name="SUMA1" localSheetId="19">#REF!</definedName>
    <definedName name="SUMA1" localSheetId="20">#REF!</definedName>
    <definedName name="SUMA1" localSheetId="43">#REF!</definedName>
    <definedName name="SUMA1">#REF!</definedName>
    <definedName name="SUMA2" localSheetId="26">#REF!</definedName>
    <definedName name="SUMA2" localSheetId="33">#REF!</definedName>
    <definedName name="SUMA2" localSheetId="17">#REF!</definedName>
    <definedName name="SUMA2" localSheetId="29">#REF!</definedName>
    <definedName name="SUMA2" localSheetId="3">#REF!</definedName>
    <definedName name="SUMA2" localSheetId="16">#REF!</definedName>
    <definedName name="SUMA2" localSheetId="19">#REF!</definedName>
    <definedName name="SUMA2" localSheetId="20">#REF!</definedName>
    <definedName name="SUMA2" localSheetId="43">#REF!</definedName>
    <definedName name="SUMA2">#REF!</definedName>
    <definedName name="SUMA3" localSheetId="26">#REF!</definedName>
    <definedName name="SUMA3" localSheetId="33">#REF!</definedName>
    <definedName name="SUMA3" localSheetId="17">#REF!</definedName>
    <definedName name="SUMA3" localSheetId="29">#REF!</definedName>
    <definedName name="SUMA3" localSheetId="3">#REF!</definedName>
    <definedName name="SUMA3" localSheetId="16">#REF!</definedName>
    <definedName name="SUMA3" localSheetId="19">#REF!</definedName>
    <definedName name="SUMA3" localSheetId="20">#REF!</definedName>
    <definedName name="SUMA3" localSheetId="43">#REF!</definedName>
    <definedName name="SUMA3">#REF!</definedName>
    <definedName name="SUMA4" localSheetId="26">#REF!</definedName>
    <definedName name="SUMA4" localSheetId="33">#REF!</definedName>
    <definedName name="SUMA4" localSheetId="17">#REF!</definedName>
    <definedName name="SUMA4" localSheetId="29">#REF!</definedName>
    <definedName name="SUMA4" localSheetId="3">#REF!</definedName>
    <definedName name="SUMA4" localSheetId="16">#REF!</definedName>
    <definedName name="SUMA4" localSheetId="19">#REF!</definedName>
    <definedName name="SUMA4" localSheetId="20">#REF!</definedName>
    <definedName name="SUMA4" localSheetId="43">#REF!</definedName>
    <definedName name="SUMA4">#REF!</definedName>
    <definedName name="SUMA5" localSheetId="26">#REF!</definedName>
    <definedName name="SUMA5" localSheetId="33">#REF!</definedName>
    <definedName name="SUMA5" localSheetId="17">#REF!</definedName>
    <definedName name="SUMA5" localSheetId="29">#REF!</definedName>
    <definedName name="SUMA5" localSheetId="3">#REF!</definedName>
    <definedName name="SUMA5" localSheetId="16">#REF!</definedName>
    <definedName name="SUMA5" localSheetId="19">#REF!</definedName>
    <definedName name="SUMA5" localSheetId="20">#REF!</definedName>
    <definedName name="SUMA5" localSheetId="43">#REF!</definedName>
    <definedName name="SUMA5">#REF!</definedName>
    <definedName name="SUMA6" localSheetId="26">#REF!</definedName>
    <definedName name="SUMA6" localSheetId="33">#REF!</definedName>
    <definedName name="SUMA6" localSheetId="17">#REF!</definedName>
    <definedName name="SUMA6" localSheetId="29">#REF!</definedName>
    <definedName name="SUMA6" localSheetId="3">#REF!</definedName>
    <definedName name="SUMA6" localSheetId="16">#REF!</definedName>
    <definedName name="SUMA6" localSheetId="19">#REF!</definedName>
    <definedName name="SUMA6" localSheetId="20">#REF!</definedName>
    <definedName name="SUMA6" localSheetId="43">#REF!</definedName>
    <definedName name="SUMA6">#REF!</definedName>
    <definedName name="sunil" localSheetId="26">#REF!</definedName>
    <definedName name="sunil" localSheetId="33">#REF!</definedName>
    <definedName name="sunil" localSheetId="17">#REF!</definedName>
    <definedName name="sunil" localSheetId="29">#REF!</definedName>
    <definedName name="sunil" localSheetId="3">#REF!</definedName>
    <definedName name="sunil" localSheetId="16">#REF!</definedName>
    <definedName name="sunil" localSheetId="19">#REF!</definedName>
    <definedName name="sunil" localSheetId="20">#REF!</definedName>
    <definedName name="sunil" localSheetId="43">#REF!</definedName>
    <definedName name="sunil">#REF!</definedName>
    <definedName name="T" localSheetId="26">#REF!</definedName>
    <definedName name="T" localSheetId="33">#REF!</definedName>
    <definedName name="T" localSheetId="17">#REF!</definedName>
    <definedName name="T" localSheetId="29">#REF!</definedName>
    <definedName name="T" localSheetId="3">#REF!</definedName>
    <definedName name="T" localSheetId="16">#REF!</definedName>
    <definedName name="T" localSheetId="19">#REF!</definedName>
    <definedName name="T" localSheetId="20">#REF!</definedName>
    <definedName name="T" localSheetId="43">#REF!</definedName>
    <definedName name="T">#REF!</definedName>
    <definedName name="t___CC" localSheetId="26">#REF!</definedName>
    <definedName name="t___CC" localSheetId="29">#REF!</definedName>
    <definedName name="t___CC" localSheetId="16">#REF!</definedName>
    <definedName name="t___CC" localSheetId="20">#REF!</definedName>
    <definedName name="t___CC" localSheetId="43">#REF!</definedName>
    <definedName name="t___CC">#REF!</definedName>
    <definedName name="Tabla" localSheetId="26">#REF!</definedName>
    <definedName name="Tabla" localSheetId="33">#REF!</definedName>
    <definedName name="Tabla" localSheetId="17">#REF!</definedName>
    <definedName name="Tabla" localSheetId="29">#REF!</definedName>
    <definedName name="Tabla" localSheetId="3">#REF!</definedName>
    <definedName name="Tabla" localSheetId="16">#REF!</definedName>
    <definedName name="Tabla" localSheetId="19">#REF!</definedName>
    <definedName name="Tabla" localSheetId="20">#REF!</definedName>
    <definedName name="Tabla" localSheetId="43">#REF!</definedName>
    <definedName name="Tabla">#REF!</definedName>
    <definedName name="TABLAS" localSheetId="26">#REF!</definedName>
    <definedName name="TABLAS" localSheetId="33">#REF!</definedName>
    <definedName name="TABLAS" localSheetId="17">#REF!</definedName>
    <definedName name="TABLAS" localSheetId="29">#REF!</definedName>
    <definedName name="TABLAS" localSheetId="3">#REF!</definedName>
    <definedName name="TABLAS" localSheetId="16">#REF!</definedName>
    <definedName name="TABLAS" localSheetId="19">#REF!</definedName>
    <definedName name="TABLAS" localSheetId="20">#REF!</definedName>
    <definedName name="TABLAS" localSheetId="43">#REF!</definedName>
    <definedName name="TABLAS">#REF!</definedName>
    <definedName name="TAFName">[33]Masters!$C$19</definedName>
    <definedName name="TAMNo">[33]Masters!$C$23</definedName>
    <definedName name="TAName">[33]Masters!$C$20</definedName>
    <definedName name="TAPlace">[33]Masters!$C$43</definedName>
    <definedName name="Tarifa" localSheetId="26">#REF!</definedName>
    <definedName name="Tarifa" localSheetId="33">#REF!</definedName>
    <definedName name="Tarifa" localSheetId="17">#REF!</definedName>
    <definedName name="Tarifa" localSheetId="29">#REF!</definedName>
    <definedName name="Tarifa" localSheetId="3">#REF!</definedName>
    <definedName name="Tarifa" localSheetId="16">#REF!</definedName>
    <definedName name="Tarifa" localSheetId="19">#REF!</definedName>
    <definedName name="Tarifa" localSheetId="20">#REF!</definedName>
    <definedName name="Tarifa" localSheetId="43">#REF!</definedName>
    <definedName name="Tarifa">#REF!</definedName>
    <definedName name="Taux" localSheetId="26" hidden="1">{#N/A,#N/A,TRUE,"Couverture";#N/A,#N/A,TRUE,"Sommaire.1";#N/A,#N/A,TRUE,"Sommaire.2";#N/A,#N/A,TRUE,"Sommaire.3"}</definedName>
    <definedName name="Taux" localSheetId="17" hidden="1">{#N/A,#N/A,TRUE,"Couverture";#N/A,#N/A,TRUE,"Sommaire.1";#N/A,#N/A,TRUE,"Sommaire.2";#N/A,#N/A,TRUE,"Sommaire.3"}</definedName>
    <definedName name="Taux" localSheetId="23" hidden="1">{#N/A,#N/A,TRUE,"Couverture";#N/A,#N/A,TRUE,"Sommaire.1";#N/A,#N/A,TRUE,"Sommaire.2";#N/A,#N/A,TRUE,"Sommaire.3"}</definedName>
    <definedName name="Taux" localSheetId="18" hidden="1">{#N/A,#N/A,TRUE,"Couverture";#N/A,#N/A,TRUE,"Sommaire.1";#N/A,#N/A,TRUE,"Sommaire.2";#N/A,#N/A,TRUE,"Sommaire.3"}</definedName>
    <definedName name="Taux" localSheetId="10" hidden="1">{#N/A,#N/A,TRUE,"Couverture";#N/A,#N/A,TRUE,"Sommaire.1";#N/A,#N/A,TRUE,"Sommaire.2";#N/A,#N/A,TRUE,"Sommaire.3"}</definedName>
    <definedName name="Taux" localSheetId="29" hidden="1">{#N/A,#N/A,TRUE,"Couverture";#N/A,#N/A,TRUE,"Sommaire.1";#N/A,#N/A,TRUE,"Sommaire.2";#N/A,#N/A,TRUE,"Sommaire.3"}</definedName>
    <definedName name="Taux" localSheetId="3" hidden="1">{#N/A,#N/A,TRUE,"Couverture";#N/A,#N/A,TRUE,"Sommaire.1";#N/A,#N/A,TRUE,"Sommaire.2";#N/A,#N/A,TRUE,"Sommaire.3"}</definedName>
    <definedName name="Taux" localSheetId="16" hidden="1">{#N/A,#N/A,TRUE,"Couverture";#N/A,#N/A,TRUE,"Sommaire.1";#N/A,#N/A,TRUE,"Sommaire.2";#N/A,#N/A,TRUE,"Sommaire.3"}</definedName>
    <definedName name="Taux" localSheetId="19" hidden="1">{#N/A,#N/A,TRUE,"Couverture";#N/A,#N/A,TRUE,"Sommaire.1";#N/A,#N/A,TRUE,"Sommaire.2";#N/A,#N/A,TRUE,"Sommaire.3"}</definedName>
    <definedName name="Taux" localSheetId="20" hidden="1">{#N/A,#N/A,TRUE,"Couverture";#N/A,#N/A,TRUE,"Sommaire.1";#N/A,#N/A,TRUE,"Sommaire.2";#N/A,#N/A,TRUE,"Sommaire.3"}</definedName>
    <definedName name="Taux" localSheetId="43" hidden="1">{#N/A,#N/A,TRUE,"Couverture";#N/A,#N/A,TRUE,"Sommaire.1";#N/A,#N/A,TRUE,"Sommaire.2";#N/A,#N/A,TRUE,"Sommaire.3"}</definedName>
    <definedName name="Taux" hidden="1">{#N/A,#N/A,TRUE,"Couverture";#N/A,#N/A,TRUE,"Sommaire.1";#N/A,#N/A,TRUE,"Sommaire.2";#N/A,#N/A,TRUE,"Sommaire.3"}</definedName>
    <definedName name="TaxAudAdd">[33]Masters!$C$24</definedName>
    <definedName name="TaxAuditDate">[33]Masters!$C$40</definedName>
    <definedName name="Taxes" localSheetId="26">#REF!</definedName>
    <definedName name="Taxes" localSheetId="33">#REF!</definedName>
    <definedName name="Taxes" localSheetId="17">#REF!</definedName>
    <definedName name="Taxes" localSheetId="29">#REF!</definedName>
    <definedName name="Taxes" localSheetId="3">#REF!</definedName>
    <definedName name="Taxes" localSheetId="16">#REF!</definedName>
    <definedName name="Taxes" localSheetId="19">#REF!</definedName>
    <definedName name="Taxes" localSheetId="20">#REF!</definedName>
    <definedName name="Taxes" localSheetId="43">#REF!</definedName>
    <definedName name="Taxes">#REF!</definedName>
    <definedName name="TaxTV">10%</definedName>
    <definedName name="TaxXL">5%</definedName>
    <definedName name="TB" localSheetId="26">#REF!</definedName>
    <definedName name="TB" localSheetId="18">#REF!</definedName>
    <definedName name="TB" localSheetId="29">#REF!</definedName>
    <definedName name="TB" localSheetId="16">#REF!</definedName>
    <definedName name="TB" localSheetId="20">#REF!</definedName>
    <definedName name="TB" localSheetId="43">#REF!</definedName>
    <definedName name="TB">#REF!</definedName>
    <definedName name="TBBS" localSheetId="26">#REF!</definedName>
    <definedName name="TBBS" localSheetId="33">#REF!</definedName>
    <definedName name="TBBS" localSheetId="17">#REF!</definedName>
    <definedName name="TBBS" localSheetId="48">#REF!</definedName>
    <definedName name="TBBS" localSheetId="29">#REF!</definedName>
    <definedName name="TBBS" localSheetId="3">#REF!</definedName>
    <definedName name="TBBS" localSheetId="35">#REF!</definedName>
    <definedName name="TBBS" localSheetId="16">#REF!</definedName>
    <definedName name="TBBS" localSheetId="5">#REF!</definedName>
    <definedName name="TBBS" localSheetId="19">#REF!</definedName>
    <definedName name="TBBS" localSheetId="20">#REF!</definedName>
    <definedName name="TBBS" localSheetId="43">#REF!</definedName>
    <definedName name="TBBS">#REF!</definedName>
    <definedName name="TBPL" localSheetId="26">#REF!</definedName>
    <definedName name="TBPL" localSheetId="33">#REF!</definedName>
    <definedName name="TBPL" localSheetId="17">#REF!</definedName>
    <definedName name="TBPL" localSheetId="48">#REF!</definedName>
    <definedName name="TBPL" localSheetId="29">#REF!</definedName>
    <definedName name="TBPL" localSheetId="3">#REF!</definedName>
    <definedName name="TBPL" localSheetId="35">#REF!</definedName>
    <definedName name="TBPL" localSheetId="16">#REF!</definedName>
    <definedName name="TBPL" localSheetId="5">#REF!</definedName>
    <definedName name="TBPL" localSheetId="19">#REF!</definedName>
    <definedName name="TBPL" localSheetId="20">#REF!</definedName>
    <definedName name="TBPL" localSheetId="43">#REF!</definedName>
    <definedName name="TBPL">#REF!</definedName>
    <definedName name="Telephone" localSheetId="26">#REF!</definedName>
    <definedName name="Telephone" localSheetId="33">#REF!</definedName>
    <definedName name="Telephone" localSheetId="17">#REF!</definedName>
    <definedName name="Telephone" localSheetId="48">#REF!</definedName>
    <definedName name="Telephone" localSheetId="29">#REF!</definedName>
    <definedName name="Telephone" localSheetId="3">#REF!</definedName>
    <definedName name="Telephone" localSheetId="35">#REF!</definedName>
    <definedName name="Telephone" localSheetId="16">#REF!</definedName>
    <definedName name="Telephone" localSheetId="5">#REF!</definedName>
    <definedName name="Telephone" localSheetId="19">#REF!</definedName>
    <definedName name="Telephone" localSheetId="20">#REF!</definedName>
    <definedName name="Telephone" localSheetId="43">#REF!</definedName>
    <definedName name="Telephone">#REF!</definedName>
    <definedName name="TEMO" localSheetId="26">#REF!</definedName>
    <definedName name="TEMO" localSheetId="33">#REF!</definedName>
    <definedName name="TEMO" localSheetId="17">#REF!</definedName>
    <definedName name="TEMO" localSheetId="29">#REF!</definedName>
    <definedName name="TEMO" localSheetId="3">#REF!</definedName>
    <definedName name="TEMO" localSheetId="16">#REF!</definedName>
    <definedName name="TEMO" localSheetId="19">#REF!</definedName>
    <definedName name="TEMO" localSheetId="20">#REF!</definedName>
    <definedName name="TEMO" localSheetId="43">#REF!</definedName>
    <definedName name="TEMO">#REF!</definedName>
    <definedName name="TEMP" localSheetId="26">'[76]wip FG'!#REF!</definedName>
    <definedName name="TEMP" localSheetId="33">'[76]wip FG'!#REF!</definedName>
    <definedName name="TEMP" localSheetId="48">'[76]wip FG'!#REF!</definedName>
    <definedName name="TEMP" localSheetId="18">'[76]wip FG'!#REF!</definedName>
    <definedName name="TEMP" localSheetId="29">'[76]wip FG'!#REF!</definedName>
    <definedName name="TEMP" localSheetId="35">'[76]wip FG'!#REF!</definedName>
    <definedName name="TEMP" localSheetId="16">'[76]wip FG'!#REF!</definedName>
    <definedName name="TEMP" localSheetId="5">'[76]wip FG'!#REF!</definedName>
    <definedName name="TEMP" localSheetId="20">'[76]wip FG'!#REF!</definedName>
    <definedName name="TEMP" localSheetId="43">'[76]wip FG'!#REF!</definedName>
    <definedName name="TEMP">'[76]wip FG'!#REF!</definedName>
    <definedName name="TemporyDifferences" localSheetId="48">[73]Feuil3!$C$3:$D$24</definedName>
    <definedName name="TemporyDifferences" localSheetId="35">[73]Feuil3!$C$3:$D$24</definedName>
    <definedName name="TemporyDifferences">[74]Feuil3!$C$3:$D$24</definedName>
    <definedName name="TEST" localSheetId="48">[77]Feuil1!$A$2:$F$477</definedName>
    <definedName name="TEST" localSheetId="35">[77]Feuil1!$A$2:$F$477</definedName>
    <definedName name="TEST">[74]Feuil1!$A$2:$F$477</definedName>
    <definedName name="TEST0" localSheetId="26">#REF!</definedName>
    <definedName name="TEST0" localSheetId="18">#REF!</definedName>
    <definedName name="TEST0" localSheetId="29">#REF!</definedName>
    <definedName name="TEST0" localSheetId="16">#REF!</definedName>
    <definedName name="TEST0" localSheetId="20">#REF!</definedName>
    <definedName name="TEST0" localSheetId="43">#REF!</definedName>
    <definedName name="TEST0">#REF!</definedName>
    <definedName name="test1" localSheetId="26" hidden="1">{#N/A,#N/A,FALSE,"Couverture";#N/A,#N/A,FALSE,"Sommaire.3"}</definedName>
    <definedName name="test1" localSheetId="17" hidden="1">{#N/A,#N/A,FALSE,"Couverture";#N/A,#N/A,FALSE,"Sommaire.3"}</definedName>
    <definedName name="test1" localSheetId="23" hidden="1">{#N/A,#N/A,FALSE,"Couverture";#N/A,#N/A,FALSE,"Sommaire.3"}</definedName>
    <definedName name="test1" localSheetId="18" hidden="1">{#N/A,#N/A,FALSE,"Couverture";#N/A,#N/A,FALSE,"Sommaire.3"}</definedName>
    <definedName name="test1" localSheetId="10" hidden="1">{#N/A,#N/A,FALSE,"Couverture";#N/A,#N/A,FALSE,"Sommaire.3"}</definedName>
    <definedName name="test1" localSheetId="29" hidden="1">{#N/A,#N/A,FALSE,"Couverture";#N/A,#N/A,FALSE,"Sommaire.3"}</definedName>
    <definedName name="test1" localSheetId="3" hidden="1">{#N/A,#N/A,FALSE,"Couverture";#N/A,#N/A,FALSE,"Sommaire.3"}</definedName>
    <definedName name="test1" localSheetId="16" hidden="1">{#N/A,#N/A,FALSE,"Couverture";#N/A,#N/A,FALSE,"Sommaire.3"}</definedName>
    <definedName name="test1" localSheetId="19" hidden="1">{#N/A,#N/A,FALSE,"Couverture";#N/A,#N/A,FALSE,"Sommaire.3"}</definedName>
    <definedName name="test1" localSheetId="20" hidden="1">{#N/A,#N/A,FALSE,"Couverture";#N/A,#N/A,FALSE,"Sommaire.3"}</definedName>
    <definedName name="test1" localSheetId="43" hidden="1">{#N/A,#N/A,FALSE,"Couverture";#N/A,#N/A,FALSE,"Sommaire.3"}</definedName>
    <definedName name="test1" hidden="1">{#N/A,#N/A,FALSE,"Couverture";#N/A,#N/A,FALSE,"Sommaire.3"}</definedName>
    <definedName name="TEST10" localSheetId="26">#REF!</definedName>
    <definedName name="TEST10" localSheetId="23">#REF!</definedName>
    <definedName name="TEST10" localSheetId="18">#REF!</definedName>
    <definedName name="TEST10" localSheetId="29">#REF!</definedName>
    <definedName name="TEST10" localSheetId="16">#REF!</definedName>
    <definedName name="TEST10" localSheetId="20">#REF!</definedName>
    <definedName name="TEST10" localSheetId="43">#REF!</definedName>
    <definedName name="TEST10">#REF!</definedName>
    <definedName name="test11" localSheetId="26" hidden="1">{#N/A,#N/A,FALSE,"Couverture";#N/A,#N/A,FALSE,"Sommaire.1"}</definedName>
    <definedName name="test11" localSheetId="17" hidden="1">{#N/A,#N/A,FALSE,"Couverture";#N/A,#N/A,FALSE,"Sommaire.1"}</definedName>
    <definedName name="test11" localSheetId="23" hidden="1">{#N/A,#N/A,FALSE,"Couverture";#N/A,#N/A,FALSE,"Sommaire.1"}</definedName>
    <definedName name="test11" localSheetId="18" hidden="1">{#N/A,#N/A,FALSE,"Couverture";#N/A,#N/A,FALSE,"Sommaire.1"}</definedName>
    <definedName name="test11" localSheetId="10" hidden="1">{#N/A,#N/A,FALSE,"Couverture";#N/A,#N/A,FALSE,"Sommaire.1"}</definedName>
    <definedName name="test11" localSheetId="29" hidden="1">{#N/A,#N/A,FALSE,"Couverture";#N/A,#N/A,FALSE,"Sommaire.1"}</definedName>
    <definedName name="test11" localSheetId="3" hidden="1">{#N/A,#N/A,FALSE,"Couverture";#N/A,#N/A,FALSE,"Sommaire.1"}</definedName>
    <definedName name="test11" localSheetId="16" hidden="1">{#N/A,#N/A,FALSE,"Couverture";#N/A,#N/A,FALSE,"Sommaire.1"}</definedName>
    <definedName name="test11" localSheetId="19" hidden="1">{#N/A,#N/A,FALSE,"Couverture";#N/A,#N/A,FALSE,"Sommaire.1"}</definedName>
    <definedName name="test11" localSheetId="20" hidden="1">{#N/A,#N/A,FALSE,"Couverture";#N/A,#N/A,FALSE,"Sommaire.1"}</definedName>
    <definedName name="test11" localSheetId="43" hidden="1">{#N/A,#N/A,FALSE,"Couverture";#N/A,#N/A,FALSE,"Sommaire.1"}</definedName>
    <definedName name="test11" hidden="1">{#N/A,#N/A,FALSE,"Couverture";#N/A,#N/A,FALSE,"Sommaire.1"}</definedName>
    <definedName name="TEST12" localSheetId="26">#REF!</definedName>
    <definedName name="TEST12" localSheetId="23">#REF!</definedName>
    <definedName name="TEST12" localSheetId="18">#REF!</definedName>
    <definedName name="TEST12" localSheetId="29">#REF!</definedName>
    <definedName name="TEST12" localSheetId="16">#REF!</definedName>
    <definedName name="TEST12" localSheetId="20">#REF!</definedName>
    <definedName name="TEST12" localSheetId="43">#REF!</definedName>
    <definedName name="TEST12">#REF!</definedName>
    <definedName name="TEST13" localSheetId="26">#REF!</definedName>
    <definedName name="TEST13" localSheetId="29">#REF!</definedName>
    <definedName name="TEST13" localSheetId="16">#REF!</definedName>
    <definedName name="TEST13" localSheetId="20">#REF!</definedName>
    <definedName name="TEST13" localSheetId="43">#REF!</definedName>
    <definedName name="TEST13">#REF!</definedName>
    <definedName name="TEST14" localSheetId="26">#REF!</definedName>
    <definedName name="TEST14" localSheetId="29">#REF!</definedName>
    <definedName name="TEST14" localSheetId="16">#REF!</definedName>
    <definedName name="TEST14" localSheetId="20">#REF!</definedName>
    <definedName name="TEST14" localSheetId="43">#REF!</definedName>
    <definedName name="TEST14">#REF!</definedName>
    <definedName name="TEST15" localSheetId="26">[78]Sheet1!#REF!</definedName>
    <definedName name="TEST15" localSheetId="23">[78]Sheet1!#REF!</definedName>
    <definedName name="TEST15" localSheetId="18">[78]Sheet1!#REF!</definedName>
    <definedName name="TEST15" localSheetId="29">[78]Sheet1!#REF!</definedName>
    <definedName name="TEST15" localSheetId="16">[78]Sheet1!#REF!</definedName>
    <definedName name="TEST15" localSheetId="20">[78]Sheet1!#REF!</definedName>
    <definedName name="TEST15" localSheetId="43">[78]Sheet1!#REF!</definedName>
    <definedName name="TEST15">[78]Sheet1!#REF!</definedName>
    <definedName name="TEST16" localSheetId="26">[78]Sheet1!#REF!</definedName>
    <definedName name="TEST16" localSheetId="18">[78]Sheet1!#REF!</definedName>
    <definedName name="TEST16" localSheetId="29">[78]Sheet1!#REF!</definedName>
    <definedName name="TEST16" localSheetId="16">[78]Sheet1!#REF!</definedName>
    <definedName name="TEST16" localSheetId="20">[78]Sheet1!#REF!</definedName>
    <definedName name="TEST16" localSheetId="43">[78]Sheet1!#REF!</definedName>
    <definedName name="TEST16">[78]Sheet1!#REF!</definedName>
    <definedName name="TEST17" localSheetId="26">[78]Sheet1!#REF!</definedName>
    <definedName name="TEST17" localSheetId="29">[78]Sheet1!#REF!</definedName>
    <definedName name="TEST17" localSheetId="16">[78]Sheet1!#REF!</definedName>
    <definedName name="TEST17" localSheetId="20">[78]Sheet1!#REF!</definedName>
    <definedName name="TEST17" localSheetId="43">[78]Sheet1!#REF!</definedName>
    <definedName name="TEST17">[78]Sheet1!#REF!</definedName>
    <definedName name="TEST18" localSheetId="26">[78]Sheet1!#REF!</definedName>
    <definedName name="TEST18" localSheetId="29">[78]Sheet1!#REF!</definedName>
    <definedName name="TEST18" localSheetId="16">[78]Sheet1!#REF!</definedName>
    <definedName name="TEST18" localSheetId="20">[78]Sheet1!#REF!</definedName>
    <definedName name="TEST18" localSheetId="43">[78]Sheet1!#REF!</definedName>
    <definedName name="TEST18">[78]Sheet1!#REF!</definedName>
    <definedName name="TEST19" localSheetId="29">[78]Sheet1!#REF!</definedName>
    <definedName name="TEST19" localSheetId="16">[78]Sheet1!#REF!</definedName>
    <definedName name="TEST19" localSheetId="20">[78]Sheet1!#REF!</definedName>
    <definedName name="TEST19" localSheetId="43">[78]Sheet1!#REF!</definedName>
    <definedName name="TEST19">[78]Sheet1!#REF!</definedName>
    <definedName name="TEST2" localSheetId="26">#REF!</definedName>
    <definedName name="TEST2" localSheetId="18">#REF!</definedName>
    <definedName name="TEST2" localSheetId="29">#REF!</definedName>
    <definedName name="TEST2" localSheetId="16">#REF!</definedName>
    <definedName name="TEST2" localSheetId="20">#REF!</definedName>
    <definedName name="TEST2" localSheetId="43">#REF!</definedName>
    <definedName name="TEST2">#REF!</definedName>
    <definedName name="TEST20" localSheetId="26">#REF!</definedName>
    <definedName name="TEST20" localSheetId="29">#REF!</definedName>
    <definedName name="TEST20" localSheetId="16">#REF!</definedName>
    <definedName name="TEST20" localSheetId="20">#REF!</definedName>
    <definedName name="TEST20" localSheetId="43">#REF!</definedName>
    <definedName name="TEST20">#REF!</definedName>
    <definedName name="TEST21" localSheetId="26">#REF!</definedName>
    <definedName name="TEST21" localSheetId="29">#REF!</definedName>
    <definedName name="TEST21" localSheetId="16">#REF!</definedName>
    <definedName name="TEST21" localSheetId="20">#REF!</definedName>
    <definedName name="TEST21" localSheetId="43">#REF!</definedName>
    <definedName name="TEST21">#REF!</definedName>
    <definedName name="TEST22" localSheetId="26">[78]Sheet1!#REF!</definedName>
    <definedName name="TEST22" localSheetId="18">[78]Sheet1!#REF!</definedName>
    <definedName name="TEST22" localSheetId="29">[78]Sheet1!#REF!</definedName>
    <definedName name="TEST22" localSheetId="16">[78]Sheet1!#REF!</definedName>
    <definedName name="TEST22" localSheetId="20">[78]Sheet1!#REF!</definedName>
    <definedName name="TEST22" localSheetId="43">[78]Sheet1!#REF!</definedName>
    <definedName name="TEST22">[78]Sheet1!#REF!</definedName>
    <definedName name="TEST23" localSheetId="26">[78]Sheet1!#REF!</definedName>
    <definedName name="TEST23" localSheetId="18">[78]Sheet1!#REF!</definedName>
    <definedName name="TEST23" localSheetId="29">[78]Sheet1!#REF!</definedName>
    <definedName name="TEST23" localSheetId="16">[78]Sheet1!#REF!</definedName>
    <definedName name="TEST23" localSheetId="20">[78]Sheet1!#REF!</definedName>
    <definedName name="TEST23" localSheetId="43">[78]Sheet1!#REF!</definedName>
    <definedName name="TEST23">[78]Sheet1!#REF!</definedName>
    <definedName name="TEST24" localSheetId="26">[78]Sheet1!#REF!</definedName>
    <definedName name="TEST24" localSheetId="29">[78]Sheet1!#REF!</definedName>
    <definedName name="TEST24" localSheetId="16">[78]Sheet1!#REF!</definedName>
    <definedName name="TEST24" localSheetId="20">[78]Sheet1!#REF!</definedName>
    <definedName name="TEST24" localSheetId="43">[78]Sheet1!#REF!</definedName>
    <definedName name="TEST24">[78]Sheet1!#REF!</definedName>
    <definedName name="TEST25" localSheetId="26">[78]Sheet1!#REF!</definedName>
    <definedName name="TEST25" localSheetId="29">[78]Sheet1!#REF!</definedName>
    <definedName name="TEST25" localSheetId="16">[78]Sheet1!#REF!</definedName>
    <definedName name="TEST25" localSheetId="20">[78]Sheet1!#REF!</definedName>
    <definedName name="TEST25" localSheetId="43">[78]Sheet1!#REF!</definedName>
    <definedName name="TEST25">[78]Sheet1!#REF!</definedName>
    <definedName name="TEST26" localSheetId="29">[79]wbs!#REF!</definedName>
    <definedName name="TEST26" localSheetId="16">[79]wbs!#REF!</definedName>
    <definedName name="TEST26" localSheetId="20">[79]wbs!#REF!</definedName>
    <definedName name="TEST26" localSheetId="43">[79]wbs!#REF!</definedName>
    <definedName name="TEST26">[79]wbs!#REF!</definedName>
    <definedName name="TEST27" localSheetId="29">[79]wbs!#REF!</definedName>
    <definedName name="TEST27" localSheetId="16">[79]wbs!#REF!</definedName>
    <definedName name="TEST27" localSheetId="20">[79]wbs!#REF!</definedName>
    <definedName name="TEST27" localSheetId="43">[79]wbs!#REF!</definedName>
    <definedName name="TEST27">[79]wbs!#REF!</definedName>
    <definedName name="TEST28" localSheetId="29">[79]wbs!#REF!</definedName>
    <definedName name="TEST28" localSheetId="16">[79]wbs!#REF!</definedName>
    <definedName name="TEST28" localSheetId="20">[79]wbs!#REF!</definedName>
    <definedName name="TEST28" localSheetId="43">[79]wbs!#REF!</definedName>
    <definedName name="TEST28">[79]wbs!#REF!</definedName>
    <definedName name="TEST29" localSheetId="29">[79]wbs!#REF!</definedName>
    <definedName name="TEST29" localSheetId="16">[79]wbs!#REF!</definedName>
    <definedName name="TEST29" localSheetId="20">[79]wbs!#REF!</definedName>
    <definedName name="TEST29" localSheetId="43">[79]wbs!#REF!</definedName>
    <definedName name="TEST29">[79]wbs!#REF!</definedName>
    <definedName name="TEST3" localSheetId="26">#REF!</definedName>
    <definedName name="TEST3" localSheetId="18">#REF!</definedName>
    <definedName name="TEST3" localSheetId="29">#REF!</definedName>
    <definedName name="TEST3" localSheetId="16">#REF!</definedName>
    <definedName name="TEST3" localSheetId="20">#REF!</definedName>
    <definedName name="TEST3" localSheetId="43">#REF!</definedName>
    <definedName name="TEST3">#REF!</definedName>
    <definedName name="TEST30" localSheetId="26">#REF!</definedName>
    <definedName name="TEST30" localSheetId="29">#REF!</definedName>
    <definedName name="TEST30" localSheetId="16">#REF!</definedName>
    <definedName name="TEST30" localSheetId="20">#REF!</definedName>
    <definedName name="TEST30" localSheetId="43">#REF!</definedName>
    <definedName name="TEST30">#REF!</definedName>
    <definedName name="TEST31" localSheetId="26">#REF!</definedName>
    <definedName name="TEST31" localSheetId="29">#REF!</definedName>
    <definedName name="TEST31" localSheetId="16">#REF!</definedName>
    <definedName name="TEST31" localSheetId="20">#REF!</definedName>
    <definedName name="TEST31" localSheetId="43">#REF!</definedName>
    <definedName name="TEST31">#REF!</definedName>
    <definedName name="TEST32" localSheetId="26">#REF!</definedName>
    <definedName name="TEST32" localSheetId="29">#REF!</definedName>
    <definedName name="TEST32" localSheetId="16">#REF!</definedName>
    <definedName name="TEST32" localSheetId="20">#REF!</definedName>
    <definedName name="TEST32" localSheetId="43">#REF!</definedName>
    <definedName name="TEST32">#REF!</definedName>
    <definedName name="TEST33" localSheetId="26">#REF!</definedName>
    <definedName name="TEST33" localSheetId="29">#REF!</definedName>
    <definedName name="TEST33" localSheetId="16">#REF!</definedName>
    <definedName name="TEST33" localSheetId="20">#REF!</definedName>
    <definedName name="TEST33" localSheetId="43">#REF!</definedName>
    <definedName name="TEST33">#REF!</definedName>
    <definedName name="TEST34" localSheetId="18">[79]wbs!#REF!</definedName>
    <definedName name="TEST34" localSheetId="29">[79]wbs!#REF!</definedName>
    <definedName name="TEST34" localSheetId="16">[79]wbs!#REF!</definedName>
    <definedName name="TEST34" localSheetId="20">[79]wbs!#REF!</definedName>
    <definedName name="TEST34" localSheetId="43">[79]wbs!#REF!</definedName>
    <definedName name="TEST34">[79]wbs!#REF!</definedName>
    <definedName name="TEST35" localSheetId="18">[79]wbs!#REF!</definedName>
    <definedName name="TEST35" localSheetId="29">[79]wbs!#REF!</definedName>
    <definedName name="TEST35" localSheetId="16">[79]wbs!#REF!</definedName>
    <definedName name="TEST35" localSheetId="20">[79]wbs!#REF!</definedName>
    <definedName name="TEST35" localSheetId="43">[79]wbs!#REF!</definedName>
    <definedName name="TEST35">[79]wbs!#REF!</definedName>
    <definedName name="TEST36" localSheetId="29">[79]wbs!#REF!</definedName>
    <definedName name="TEST36" localSheetId="16">[79]wbs!#REF!</definedName>
    <definedName name="TEST36" localSheetId="20">[79]wbs!#REF!</definedName>
    <definedName name="TEST36" localSheetId="43">[79]wbs!#REF!</definedName>
    <definedName name="TEST36">[79]wbs!#REF!</definedName>
    <definedName name="TEST37" localSheetId="29">[79]wbs!#REF!</definedName>
    <definedName name="TEST37" localSheetId="16">[79]wbs!#REF!</definedName>
    <definedName name="TEST37" localSheetId="20">[79]wbs!#REF!</definedName>
    <definedName name="TEST37" localSheetId="43">[79]wbs!#REF!</definedName>
    <definedName name="TEST37">[79]wbs!#REF!</definedName>
    <definedName name="TEST38" localSheetId="26">#REF!</definedName>
    <definedName name="TEST38" localSheetId="18">#REF!</definedName>
    <definedName name="TEST38" localSheetId="29">#REF!</definedName>
    <definedName name="TEST38" localSheetId="16">#REF!</definedName>
    <definedName name="TEST38" localSheetId="20">#REF!</definedName>
    <definedName name="TEST38" localSheetId="43">#REF!</definedName>
    <definedName name="TEST38">#REF!</definedName>
    <definedName name="TEST39" localSheetId="26">[79]wbs!#REF!</definedName>
    <definedName name="TEST39" localSheetId="23">[79]wbs!#REF!</definedName>
    <definedName name="TEST39" localSheetId="18">[79]wbs!#REF!</definedName>
    <definedName name="TEST39" localSheetId="29">[79]wbs!#REF!</definedName>
    <definedName name="TEST39" localSheetId="16">[79]wbs!#REF!</definedName>
    <definedName name="TEST39" localSheetId="20">[79]wbs!#REF!</definedName>
    <definedName name="TEST39" localSheetId="43">[79]wbs!#REF!</definedName>
    <definedName name="TEST39">[79]wbs!#REF!</definedName>
    <definedName name="TEST4" localSheetId="26">#REF!</definedName>
    <definedName name="TEST4" localSheetId="18">#REF!</definedName>
    <definedName name="TEST4" localSheetId="29">#REF!</definedName>
    <definedName name="TEST4" localSheetId="16">#REF!</definedName>
    <definedName name="TEST4" localSheetId="20">#REF!</definedName>
    <definedName name="TEST4" localSheetId="43">#REF!</definedName>
    <definedName name="TEST4">#REF!</definedName>
    <definedName name="TEST40" localSheetId="26">[79]wbs!#REF!</definedName>
    <definedName name="TEST40" localSheetId="23">[79]wbs!#REF!</definedName>
    <definedName name="TEST40" localSheetId="18">[79]wbs!#REF!</definedName>
    <definedName name="TEST40" localSheetId="29">[79]wbs!#REF!</definedName>
    <definedName name="TEST40" localSheetId="16">[79]wbs!#REF!</definedName>
    <definedName name="TEST40" localSheetId="20">[79]wbs!#REF!</definedName>
    <definedName name="TEST40" localSheetId="43">[79]wbs!#REF!</definedName>
    <definedName name="TEST40">[79]wbs!#REF!</definedName>
    <definedName name="TEST41" localSheetId="26">#REF!</definedName>
    <definedName name="TEST41" localSheetId="18">#REF!</definedName>
    <definedName name="TEST41" localSheetId="29">#REF!</definedName>
    <definedName name="TEST41" localSheetId="16">#REF!</definedName>
    <definedName name="TEST41" localSheetId="20">#REF!</definedName>
    <definedName name="TEST41" localSheetId="43">#REF!</definedName>
    <definedName name="TEST41">#REF!</definedName>
    <definedName name="TEST42" localSheetId="26">#REF!</definedName>
    <definedName name="TEST42" localSheetId="29">#REF!</definedName>
    <definedName name="TEST42" localSheetId="16">#REF!</definedName>
    <definedName name="TEST42" localSheetId="20">#REF!</definedName>
    <definedName name="TEST42" localSheetId="43">#REF!</definedName>
    <definedName name="TEST42">#REF!</definedName>
    <definedName name="TEST43" localSheetId="26">#REF!</definedName>
    <definedName name="TEST43" localSheetId="29">#REF!</definedName>
    <definedName name="TEST43" localSheetId="16">#REF!</definedName>
    <definedName name="TEST43" localSheetId="20">#REF!</definedName>
    <definedName name="TEST43" localSheetId="43">#REF!</definedName>
    <definedName name="TEST43">#REF!</definedName>
    <definedName name="TEST44" localSheetId="26">#REF!</definedName>
    <definedName name="TEST44" localSheetId="29">#REF!</definedName>
    <definedName name="TEST44" localSheetId="16">#REF!</definedName>
    <definedName name="TEST44" localSheetId="20">#REF!</definedName>
    <definedName name="TEST44" localSheetId="43">#REF!</definedName>
    <definedName name="TEST44">#REF!</definedName>
    <definedName name="TEST45" localSheetId="26">#REF!</definedName>
    <definedName name="TEST45" localSheetId="29">#REF!</definedName>
    <definedName name="TEST45" localSheetId="16">#REF!</definedName>
    <definedName name="TEST45" localSheetId="20">#REF!</definedName>
    <definedName name="TEST45" localSheetId="43">#REF!</definedName>
    <definedName name="TEST45">#REF!</definedName>
    <definedName name="TEST46" localSheetId="26">#REF!</definedName>
    <definedName name="TEST46" localSheetId="29">#REF!</definedName>
    <definedName name="TEST46" localSheetId="16">#REF!</definedName>
    <definedName name="TEST46" localSheetId="20">#REF!</definedName>
    <definedName name="TEST46" localSheetId="43">#REF!</definedName>
    <definedName name="TEST46">#REF!</definedName>
    <definedName name="TEST47" localSheetId="26">#REF!</definedName>
    <definedName name="TEST47" localSheetId="29">#REF!</definedName>
    <definedName name="TEST47" localSheetId="16">#REF!</definedName>
    <definedName name="TEST47" localSheetId="20">#REF!</definedName>
    <definedName name="TEST47" localSheetId="43">#REF!</definedName>
    <definedName name="TEST47">#REF!</definedName>
    <definedName name="TEST48" localSheetId="26">#REF!</definedName>
    <definedName name="TEST48" localSheetId="29">#REF!</definedName>
    <definedName name="TEST48" localSheetId="16">#REF!</definedName>
    <definedName name="TEST48" localSheetId="20">#REF!</definedName>
    <definedName name="TEST48" localSheetId="43">#REF!</definedName>
    <definedName name="TEST48">#REF!</definedName>
    <definedName name="TEST49" localSheetId="26">#REF!</definedName>
    <definedName name="TEST49" localSheetId="29">#REF!</definedName>
    <definedName name="TEST49" localSheetId="16">#REF!</definedName>
    <definedName name="TEST49" localSheetId="20">#REF!</definedName>
    <definedName name="TEST49" localSheetId="43">#REF!</definedName>
    <definedName name="TEST49">#REF!</definedName>
    <definedName name="TEST5" localSheetId="26">#REF!</definedName>
    <definedName name="TEST5" localSheetId="29">#REF!</definedName>
    <definedName name="TEST5" localSheetId="16">#REF!</definedName>
    <definedName name="TEST5" localSheetId="20">#REF!</definedName>
    <definedName name="TEST5" localSheetId="43">#REF!</definedName>
    <definedName name="TEST5">#REF!</definedName>
    <definedName name="TEST50" localSheetId="26">#REF!</definedName>
    <definedName name="TEST50" localSheetId="29">#REF!</definedName>
    <definedName name="TEST50" localSheetId="16">#REF!</definedName>
    <definedName name="TEST50" localSheetId="20">#REF!</definedName>
    <definedName name="TEST50" localSheetId="43">#REF!</definedName>
    <definedName name="TEST50">#REF!</definedName>
    <definedName name="TEST51" localSheetId="26">#REF!</definedName>
    <definedName name="TEST51" localSheetId="29">#REF!</definedName>
    <definedName name="TEST51" localSheetId="16">#REF!</definedName>
    <definedName name="TEST51" localSheetId="20">#REF!</definedName>
    <definedName name="TEST51" localSheetId="43">#REF!</definedName>
    <definedName name="TEST51">#REF!</definedName>
    <definedName name="TEST52" localSheetId="26">#REF!</definedName>
    <definedName name="TEST52" localSheetId="29">#REF!</definedName>
    <definedName name="TEST52" localSheetId="16">#REF!</definedName>
    <definedName name="TEST52" localSheetId="20">#REF!</definedName>
    <definedName name="TEST52" localSheetId="43">#REF!</definedName>
    <definedName name="TEST52">#REF!</definedName>
    <definedName name="TEST53" localSheetId="26">#REF!</definedName>
    <definedName name="TEST53" localSheetId="29">#REF!</definedName>
    <definedName name="TEST53" localSheetId="16">#REF!</definedName>
    <definedName name="TEST53" localSheetId="20">#REF!</definedName>
    <definedName name="TEST53" localSheetId="43">#REF!</definedName>
    <definedName name="TEST53">#REF!</definedName>
    <definedName name="TEST54" localSheetId="26">#REF!</definedName>
    <definedName name="TEST54" localSheetId="29">#REF!</definedName>
    <definedName name="TEST54" localSheetId="16">#REF!</definedName>
    <definedName name="TEST54" localSheetId="20">#REF!</definedName>
    <definedName name="TEST54" localSheetId="43">#REF!</definedName>
    <definedName name="TEST54">#REF!</definedName>
    <definedName name="TEST55" localSheetId="26">#REF!</definedName>
    <definedName name="TEST55" localSheetId="29">#REF!</definedName>
    <definedName name="TEST55" localSheetId="16">#REF!</definedName>
    <definedName name="TEST55" localSheetId="20">#REF!</definedName>
    <definedName name="TEST55" localSheetId="43">#REF!</definedName>
    <definedName name="TEST55">#REF!</definedName>
    <definedName name="TEST56" localSheetId="26">#REF!</definedName>
    <definedName name="TEST56" localSheetId="29">#REF!</definedName>
    <definedName name="TEST56" localSheetId="16">#REF!</definedName>
    <definedName name="TEST56" localSheetId="20">#REF!</definedName>
    <definedName name="TEST56" localSheetId="43">#REF!</definedName>
    <definedName name="TEST56">#REF!</definedName>
    <definedName name="TEST57" localSheetId="26">#REF!</definedName>
    <definedName name="TEST57" localSheetId="29">#REF!</definedName>
    <definedName name="TEST57" localSheetId="16">#REF!</definedName>
    <definedName name="TEST57" localSheetId="20">#REF!</definedName>
    <definedName name="TEST57" localSheetId="43">#REF!</definedName>
    <definedName name="TEST57">#REF!</definedName>
    <definedName name="TEST58" localSheetId="26">#REF!</definedName>
    <definedName name="TEST58" localSheetId="29">#REF!</definedName>
    <definedName name="TEST58" localSheetId="16">#REF!</definedName>
    <definedName name="TEST58" localSheetId="20">#REF!</definedName>
    <definedName name="TEST58" localSheetId="43">#REF!</definedName>
    <definedName name="TEST58">#REF!</definedName>
    <definedName name="TEST59" localSheetId="26">#REF!</definedName>
    <definedName name="TEST59" localSheetId="29">#REF!</definedName>
    <definedName name="TEST59" localSheetId="16">#REF!</definedName>
    <definedName name="TEST59" localSheetId="20">#REF!</definedName>
    <definedName name="TEST59" localSheetId="43">#REF!</definedName>
    <definedName name="TEST59">#REF!</definedName>
    <definedName name="TEST6" localSheetId="26">#REF!</definedName>
    <definedName name="TEST6" localSheetId="29">#REF!</definedName>
    <definedName name="TEST6" localSheetId="16">#REF!</definedName>
    <definedName name="TEST6" localSheetId="20">#REF!</definedName>
    <definedName name="TEST6" localSheetId="43">#REF!</definedName>
    <definedName name="TEST6">#REF!</definedName>
    <definedName name="TEST60" localSheetId="26">#REF!</definedName>
    <definedName name="TEST60" localSheetId="29">#REF!</definedName>
    <definedName name="TEST60" localSheetId="16">#REF!</definedName>
    <definedName name="TEST60" localSheetId="20">#REF!</definedName>
    <definedName name="TEST60" localSheetId="43">#REF!</definedName>
    <definedName name="TEST60">#REF!</definedName>
    <definedName name="TEST61" localSheetId="26">#REF!</definedName>
    <definedName name="TEST61" localSheetId="29">#REF!</definedName>
    <definedName name="TEST61" localSheetId="16">#REF!</definedName>
    <definedName name="TEST61" localSheetId="20">#REF!</definedName>
    <definedName name="TEST61" localSheetId="43">#REF!</definedName>
    <definedName name="TEST61">#REF!</definedName>
    <definedName name="TEST62" localSheetId="26">#REF!</definedName>
    <definedName name="TEST62" localSheetId="29">#REF!</definedName>
    <definedName name="TEST62" localSheetId="16">#REF!</definedName>
    <definedName name="TEST62" localSheetId="20">#REF!</definedName>
    <definedName name="TEST62" localSheetId="43">#REF!</definedName>
    <definedName name="TEST62">#REF!</definedName>
    <definedName name="TEST63" localSheetId="26">#REF!</definedName>
    <definedName name="TEST63" localSheetId="29">#REF!</definedName>
    <definedName name="TEST63" localSheetId="16">#REF!</definedName>
    <definedName name="TEST63" localSheetId="20">#REF!</definedName>
    <definedName name="TEST63" localSheetId="43">#REF!</definedName>
    <definedName name="TEST63">#REF!</definedName>
    <definedName name="TEST64">'[10]#REF'!$A$4105:$F$4169</definedName>
    <definedName name="TEST65">'[10]#REF'!$A$4170:$F$4253</definedName>
    <definedName name="TEST66">'[10]#REF'!$A$4254:$F$4371</definedName>
    <definedName name="TEST67">'[10]#REF'!$A$4558:$F$4573</definedName>
    <definedName name="TEST7" localSheetId="26">#REF!</definedName>
    <definedName name="TEST7" localSheetId="18">#REF!</definedName>
    <definedName name="TEST7" localSheetId="29">#REF!</definedName>
    <definedName name="TEST7" localSheetId="16">#REF!</definedName>
    <definedName name="TEST7" localSheetId="20">#REF!</definedName>
    <definedName name="TEST7" localSheetId="43">#REF!</definedName>
    <definedName name="TEST7">#REF!</definedName>
    <definedName name="TEST8" localSheetId="26">#REF!</definedName>
    <definedName name="TEST8" localSheetId="29">#REF!</definedName>
    <definedName name="TEST8" localSheetId="16">#REF!</definedName>
    <definedName name="TEST8" localSheetId="20">#REF!</definedName>
    <definedName name="TEST8" localSheetId="43">#REF!</definedName>
    <definedName name="TEST8">#REF!</definedName>
    <definedName name="TEST9" localSheetId="26">#REF!</definedName>
    <definedName name="TEST9" localSheetId="29">#REF!</definedName>
    <definedName name="TEST9" localSheetId="16">#REF!</definedName>
    <definedName name="TEST9" localSheetId="20">#REF!</definedName>
    <definedName name="TEST9" localSheetId="43">#REF!</definedName>
    <definedName name="TEST9">#REF!</definedName>
    <definedName name="TESTHKEY" localSheetId="26">#REF!</definedName>
    <definedName name="TESTHKEY" localSheetId="29">#REF!</definedName>
    <definedName name="TESTHKEY" localSheetId="16">#REF!</definedName>
    <definedName name="TESTHKEY" localSheetId="20">#REF!</definedName>
    <definedName name="TESTHKEY" localSheetId="43">#REF!</definedName>
    <definedName name="TESTHKEY">#REF!</definedName>
    <definedName name="TESTKEYS" localSheetId="26">#REF!</definedName>
    <definedName name="TESTKEYS" localSheetId="29">#REF!</definedName>
    <definedName name="TESTKEYS" localSheetId="16">#REF!</definedName>
    <definedName name="TESTKEYS" localSheetId="20">#REF!</definedName>
    <definedName name="TESTKEYS" localSheetId="43">#REF!</definedName>
    <definedName name="TESTKEYS">#REF!</definedName>
    <definedName name="TestRow" localSheetId="26">#REF!</definedName>
    <definedName name="TestRow" localSheetId="29">#REF!</definedName>
    <definedName name="TestRow" localSheetId="16">#REF!</definedName>
    <definedName name="TestRow" localSheetId="20">#REF!</definedName>
    <definedName name="TestRow" localSheetId="43">#REF!</definedName>
    <definedName name="TestRow">#REF!</definedName>
    <definedName name="TestSource" localSheetId="26">#REF!</definedName>
    <definedName name="TestSource" localSheetId="29">#REF!</definedName>
    <definedName name="TestSource" localSheetId="16">#REF!</definedName>
    <definedName name="TestSource" localSheetId="20">#REF!</definedName>
    <definedName name="TestSource" localSheetId="43">#REF!</definedName>
    <definedName name="TestSource">#REF!</definedName>
    <definedName name="TestTarget" localSheetId="26">#REF!</definedName>
    <definedName name="TestTarget" localSheetId="29">#REF!</definedName>
    <definedName name="TestTarget" localSheetId="16">#REF!</definedName>
    <definedName name="TestTarget" localSheetId="20">#REF!</definedName>
    <definedName name="TestTarget" localSheetId="43">#REF!</definedName>
    <definedName name="TestTarget">#REF!</definedName>
    <definedName name="TESTVKEY" localSheetId="26">#REF!</definedName>
    <definedName name="TESTVKEY" localSheetId="29">#REF!</definedName>
    <definedName name="TESTVKEY" localSheetId="16">#REF!</definedName>
    <definedName name="TESTVKEY" localSheetId="20">#REF!</definedName>
    <definedName name="TESTVKEY" localSheetId="43">#REF!</definedName>
    <definedName name="TESTVKEY">#REF!</definedName>
    <definedName name="TextRefCopyRangeCount" hidden="1">1</definedName>
    <definedName name="THAI_PLASTIC_in_KUSD" localSheetId="26">#REF!</definedName>
    <definedName name="THAI_PLASTIC_in_KUSD" localSheetId="33">#REF!</definedName>
    <definedName name="THAI_PLASTIC_in_KUSD" localSheetId="17">#REF!</definedName>
    <definedName name="THAI_PLASTIC_in_KUSD" localSheetId="48">#REF!</definedName>
    <definedName name="THAI_PLASTIC_in_KUSD" localSheetId="29">#REF!</definedName>
    <definedName name="THAI_PLASTIC_in_KUSD" localSheetId="3">#REF!</definedName>
    <definedName name="THAI_PLASTIC_in_KUSD" localSheetId="35">#REF!</definedName>
    <definedName name="THAI_PLASTIC_in_KUSD" localSheetId="16">#REF!</definedName>
    <definedName name="THAI_PLASTIC_in_KUSD" localSheetId="19">#REF!</definedName>
    <definedName name="THAI_PLASTIC_in_KUSD" localSheetId="20">#REF!</definedName>
    <definedName name="THAI_PLASTIC_in_KUSD" localSheetId="43">#REF!</definedName>
    <definedName name="THAI_PLASTIC_in_KUSD">#REF!</definedName>
    <definedName name="TheraArea">OFFSET('[46]Project Approval'!$Q$3,1,0,COUNTA('[46]Project Approval'!$Q$4:$Q$27))</definedName>
    <definedName name="TheraSegment">OFFSET('[46]Project Approval'!$R$3,1,0,COUNTA('[46]Project Approval'!$R$4:$R$73))</definedName>
    <definedName name="Threshold" localSheetId="26">#REF!</definedName>
    <definedName name="Threshold" localSheetId="33">#REF!</definedName>
    <definedName name="Threshold" localSheetId="17">#REF!</definedName>
    <definedName name="Threshold" localSheetId="48">#REF!</definedName>
    <definedName name="Threshold" localSheetId="29">#REF!</definedName>
    <definedName name="Threshold" localSheetId="3">#REF!</definedName>
    <definedName name="Threshold" localSheetId="35">#REF!</definedName>
    <definedName name="Threshold" localSheetId="16">#REF!</definedName>
    <definedName name="Threshold" localSheetId="5">#REF!</definedName>
    <definedName name="Threshold" localSheetId="19">#REF!</definedName>
    <definedName name="Threshold" localSheetId="20">#REF!</definedName>
    <definedName name="Threshold" localSheetId="43">#REF!</definedName>
    <definedName name="Threshold">#REF!</definedName>
    <definedName name="Títulos_a_imprimir_IM" localSheetId="26">#REF!</definedName>
    <definedName name="Títulos_a_imprimir_IM" localSheetId="33">#REF!</definedName>
    <definedName name="Títulos_a_imprimir_IM" localSheetId="17">#REF!</definedName>
    <definedName name="Títulos_a_imprimir_IM" localSheetId="29">#REF!</definedName>
    <definedName name="Títulos_a_imprimir_IM" localSheetId="3">#REF!</definedName>
    <definedName name="Títulos_a_imprimir_IM" localSheetId="16">#REF!</definedName>
    <definedName name="Títulos_a_imprimir_IM" localSheetId="19">#REF!</definedName>
    <definedName name="Títulos_a_imprimir_IM" localSheetId="20">#REF!</definedName>
    <definedName name="Títulos_a_imprimir_IM" localSheetId="43">#REF!</definedName>
    <definedName name="Títulos_a_imprimir_IM">#REF!</definedName>
    <definedName name="TMP" localSheetId="26">[80]AALDEC05!#REF!</definedName>
    <definedName name="TMP" localSheetId="33">[80]AALDEC05!#REF!</definedName>
    <definedName name="TMP" localSheetId="18">[80]AALDEC05!#REF!</definedName>
    <definedName name="TMP" localSheetId="29">[80]AALDEC05!#REF!</definedName>
    <definedName name="TMP" localSheetId="16">[80]AALDEC05!#REF!</definedName>
    <definedName name="TMP" localSheetId="20">[80]AALDEC05!#REF!</definedName>
    <definedName name="TMP" localSheetId="43">[80]AALDEC05!#REF!</definedName>
    <definedName name="TMP">[80]AALDEC05!#REF!</definedName>
    <definedName name="tnp" localSheetId="26">#REF!</definedName>
    <definedName name="tnp" localSheetId="18">#REF!</definedName>
    <definedName name="tnp" localSheetId="29">#REF!</definedName>
    <definedName name="tnp" localSheetId="16">#REF!</definedName>
    <definedName name="tnp" localSheetId="20">#REF!</definedName>
    <definedName name="tnp" localSheetId="43">#REF!</definedName>
    <definedName name="tnp">#REF!</definedName>
    <definedName name="tomg" localSheetId="26">#REF!</definedName>
    <definedName name="tomg" localSheetId="33">#REF!</definedName>
    <definedName name="tomg" localSheetId="17">#REF!</definedName>
    <definedName name="tomg" localSheetId="29">#REF!</definedName>
    <definedName name="tomg" localSheetId="3">#REF!</definedName>
    <definedName name="tomg" localSheetId="16">#REF!</definedName>
    <definedName name="tomg" localSheetId="19">#REF!</definedName>
    <definedName name="tomg" localSheetId="20">#REF!</definedName>
    <definedName name="tomg" localSheetId="43">#REF!</definedName>
    <definedName name="tomg">#REF!</definedName>
    <definedName name="TOT" localSheetId="26">#REF!</definedName>
    <definedName name="TOT" localSheetId="29">#REF!</definedName>
    <definedName name="TOT" localSheetId="16">#REF!</definedName>
    <definedName name="TOT" localSheetId="20">#REF!</definedName>
    <definedName name="TOT" localSheetId="43">#REF!</definedName>
    <definedName name="TOT">#REF!</definedName>
    <definedName name="tot_asset">[74]BS!$H$13</definedName>
    <definedName name="tot_lia">[74]BS!$H$38</definedName>
    <definedName name="Total" localSheetId="26">#REF!</definedName>
    <definedName name="Total" localSheetId="33">#REF!</definedName>
    <definedName name="Total" localSheetId="17">#REF!</definedName>
    <definedName name="Total" localSheetId="29">#REF!</definedName>
    <definedName name="Total" localSheetId="3">#REF!</definedName>
    <definedName name="Total" localSheetId="16">#REF!</definedName>
    <definedName name="Total" localSheetId="19">#REF!</definedName>
    <definedName name="Total" localSheetId="20">#REF!</definedName>
    <definedName name="Total" localSheetId="43">#REF!</definedName>
    <definedName name="Total">#REF!</definedName>
    <definedName name="Total_Acc" localSheetId="26">#REF!</definedName>
    <definedName name="Total_Acc" localSheetId="33">#REF!</definedName>
    <definedName name="Total_Acc" localSheetId="17">#REF!</definedName>
    <definedName name="Total_Acc" localSheetId="48">#REF!</definedName>
    <definedName name="Total_Acc" localSheetId="29">#REF!</definedName>
    <definedName name="Total_Acc" localSheetId="3">#REF!</definedName>
    <definedName name="Total_Acc" localSheetId="35">#REF!</definedName>
    <definedName name="Total_Acc" localSheetId="16">#REF!</definedName>
    <definedName name="Total_Acc" localSheetId="5">#REF!</definedName>
    <definedName name="Total_Acc" localSheetId="19">#REF!</definedName>
    <definedName name="Total_Acc" localSheetId="20">#REF!</definedName>
    <definedName name="Total_Acc" localSheetId="43">#REF!</definedName>
    <definedName name="Total_Acc">#REF!</definedName>
    <definedName name="Total_Balances">'[64]AR Graphs'!$A$2:$I$58</definedName>
    <definedName name="Total_Bermuda" localSheetId="26">#REF!</definedName>
    <definedName name="Total_Bermuda" localSheetId="33">#REF!</definedName>
    <definedName name="Total_Bermuda" localSheetId="17">#REF!</definedName>
    <definedName name="Total_Bermuda" localSheetId="29">#REF!</definedName>
    <definedName name="Total_Bermuda" localSheetId="3">#REF!</definedName>
    <definedName name="Total_Bermuda" localSheetId="16">#REF!</definedName>
    <definedName name="Total_Bermuda" localSheetId="19">#REF!</definedName>
    <definedName name="Total_Bermuda" localSheetId="20">#REF!</definedName>
    <definedName name="Total_Bermuda" localSheetId="43">#REF!</definedName>
    <definedName name="Total_Bermuda">#REF!</definedName>
    <definedName name="Total_Building" localSheetId="26">#REF!</definedName>
    <definedName name="Total_Building" localSheetId="33">#REF!</definedName>
    <definedName name="Total_Building" localSheetId="17">#REF!</definedName>
    <definedName name="Total_Building" localSheetId="48">#REF!</definedName>
    <definedName name="Total_Building" localSheetId="29">#REF!</definedName>
    <definedName name="Total_Building" localSheetId="3">#REF!</definedName>
    <definedName name="Total_Building" localSheetId="35">#REF!</definedName>
    <definedName name="Total_Building" localSheetId="16">#REF!</definedName>
    <definedName name="Total_Building" localSheetId="5">#REF!</definedName>
    <definedName name="Total_Building" localSheetId="19">#REF!</definedName>
    <definedName name="Total_Building" localSheetId="20">#REF!</definedName>
    <definedName name="Total_Building" localSheetId="43">#REF!</definedName>
    <definedName name="Total_Building">#REF!</definedName>
    <definedName name="Total_China" localSheetId="26">#REF!</definedName>
    <definedName name="Total_China" localSheetId="33">#REF!</definedName>
    <definedName name="Total_China" localSheetId="17">#REF!</definedName>
    <definedName name="Total_China" localSheetId="29">#REF!</definedName>
    <definedName name="Total_China" localSheetId="3">#REF!</definedName>
    <definedName name="Total_China" localSheetId="16">#REF!</definedName>
    <definedName name="Total_China" localSheetId="19">#REF!</definedName>
    <definedName name="Total_China" localSheetId="20">#REF!</definedName>
    <definedName name="Total_China" localSheetId="43">#REF!</definedName>
    <definedName name="Total_China">#REF!</definedName>
    <definedName name="Total_Comm" localSheetId="26">#REF!</definedName>
    <definedName name="Total_Comm" localSheetId="33">#REF!</definedName>
    <definedName name="Total_Comm" localSheetId="17">#REF!</definedName>
    <definedName name="Total_Comm" localSheetId="29">#REF!</definedName>
    <definedName name="Total_Comm" localSheetId="3">#REF!</definedName>
    <definedName name="Total_Comm" localSheetId="16">#REF!</definedName>
    <definedName name="Total_Comm" localSheetId="19">#REF!</definedName>
    <definedName name="Total_Comm" localSheetId="20">#REF!</definedName>
    <definedName name="Total_Comm" localSheetId="43">#REF!</definedName>
    <definedName name="Total_Comm">#REF!</definedName>
    <definedName name="Total_computer" localSheetId="26">#REF!</definedName>
    <definedName name="Total_computer" localSheetId="33">#REF!</definedName>
    <definedName name="Total_computer" localSheetId="17">#REF!</definedName>
    <definedName name="Total_computer" localSheetId="48">#REF!</definedName>
    <definedName name="Total_computer" localSheetId="29">#REF!</definedName>
    <definedName name="Total_computer" localSheetId="3">#REF!</definedName>
    <definedName name="Total_computer" localSheetId="35">#REF!</definedName>
    <definedName name="Total_computer" localSheetId="16">#REF!</definedName>
    <definedName name="Total_computer" localSheetId="5">#REF!</definedName>
    <definedName name="Total_computer" localSheetId="19">#REF!</definedName>
    <definedName name="Total_computer" localSheetId="20">#REF!</definedName>
    <definedName name="Total_computer" localSheetId="43">#REF!</definedName>
    <definedName name="Total_computer">#REF!</definedName>
    <definedName name="Total_Elec" localSheetId="26">#REF!</definedName>
    <definedName name="Total_Elec" localSheetId="33">#REF!</definedName>
    <definedName name="Total_Elec" localSheetId="17">#REF!</definedName>
    <definedName name="Total_Elec" localSheetId="29">#REF!</definedName>
    <definedName name="Total_Elec" localSheetId="3">#REF!</definedName>
    <definedName name="Total_Elec" localSheetId="16">#REF!</definedName>
    <definedName name="Total_Elec" localSheetId="5">#REF!</definedName>
    <definedName name="Total_Elec" localSheetId="19">#REF!</definedName>
    <definedName name="Total_Elec" localSheetId="20">#REF!</definedName>
    <definedName name="Total_Elec" localSheetId="43">#REF!</definedName>
    <definedName name="Total_Elec">#REF!</definedName>
    <definedName name="Total_Furniture" localSheetId="26">#REF!</definedName>
    <definedName name="Total_Furniture" localSheetId="33">#REF!</definedName>
    <definedName name="Total_Furniture" localSheetId="17">#REF!</definedName>
    <definedName name="Total_Furniture" localSheetId="29">#REF!</definedName>
    <definedName name="Total_Furniture" localSheetId="3">#REF!</definedName>
    <definedName name="Total_Furniture" localSheetId="16">#REF!</definedName>
    <definedName name="Total_Furniture" localSheetId="5">#REF!</definedName>
    <definedName name="Total_Furniture" localSheetId="19">#REF!</definedName>
    <definedName name="Total_Furniture" localSheetId="20">#REF!</definedName>
    <definedName name="Total_Furniture" localSheetId="43">#REF!</definedName>
    <definedName name="Total_Furniture">#REF!</definedName>
    <definedName name="Total_Inc" localSheetId="26">#REF!</definedName>
    <definedName name="Total_Inc" localSheetId="33">#REF!</definedName>
    <definedName name="Total_Inc" localSheetId="17">#REF!</definedName>
    <definedName name="Total_Inc" localSheetId="29">#REF!</definedName>
    <definedName name="Total_Inc" localSheetId="3">#REF!</definedName>
    <definedName name="Total_Inc" localSheetId="16">#REF!</definedName>
    <definedName name="Total_Inc" localSheetId="19">#REF!</definedName>
    <definedName name="Total_Inc" localSheetId="20">#REF!</definedName>
    <definedName name="Total_Inc" localSheetId="43">#REF!</definedName>
    <definedName name="Total_Inc">#REF!</definedName>
    <definedName name="Total_India" localSheetId="26">#REF!</definedName>
    <definedName name="Total_India" localSheetId="33">#REF!</definedName>
    <definedName name="Total_India" localSheetId="17">#REF!</definedName>
    <definedName name="Total_India" localSheetId="29">#REF!</definedName>
    <definedName name="Total_India" localSheetId="3">#REF!</definedName>
    <definedName name="Total_India" localSheetId="16">#REF!</definedName>
    <definedName name="Total_India" localSheetId="19">#REF!</definedName>
    <definedName name="Total_India" localSheetId="20">#REF!</definedName>
    <definedName name="Total_India" localSheetId="43">#REF!</definedName>
    <definedName name="Total_India">#REF!</definedName>
    <definedName name="Total_Interest" localSheetId="26">#REF!</definedName>
    <definedName name="Total_Interest" localSheetId="29">#REF!</definedName>
    <definedName name="Total_Interest" localSheetId="16">#REF!</definedName>
    <definedName name="Total_Interest" localSheetId="20">#REF!</definedName>
    <definedName name="Total_Interest" localSheetId="43">#REF!</definedName>
    <definedName name="Total_Interest">#REF!</definedName>
    <definedName name="Total_Office" localSheetId="26">#REF!</definedName>
    <definedName name="Total_Office" localSheetId="33">#REF!</definedName>
    <definedName name="Total_Office" localSheetId="17">#REF!</definedName>
    <definedName name="Total_Office" localSheetId="29">#REF!</definedName>
    <definedName name="Total_Office" localSheetId="3">#REF!</definedName>
    <definedName name="Total_Office" localSheetId="16">#REF!</definedName>
    <definedName name="Total_Office" localSheetId="5">#REF!</definedName>
    <definedName name="Total_Office" localSheetId="19">#REF!</definedName>
    <definedName name="Total_Office" localSheetId="20">#REF!</definedName>
    <definedName name="Total_Office" localSheetId="43">#REF!</definedName>
    <definedName name="Total_Office">#REF!</definedName>
    <definedName name="Total_Pay" localSheetId="26">#REF!</definedName>
    <definedName name="Total_Pay" localSheetId="29">#REF!</definedName>
    <definedName name="Total_Pay" localSheetId="16">#REF!</definedName>
    <definedName name="Total_Pay" localSheetId="20">#REF!</definedName>
    <definedName name="Total_Pay" localSheetId="43">#REF!</definedName>
    <definedName name="Total_Pay">#REF!</definedName>
    <definedName name="Total_Payment" localSheetId="26">Scheduled_Payment+Extra_Payment</definedName>
    <definedName name="Total_Payment" localSheetId="17">Scheduled_Payment+Extra_Payment</definedName>
    <definedName name="Total_Payment" localSheetId="23">Scheduled_Payment+Extra_Payment</definedName>
    <definedName name="Total_Payment" localSheetId="18">Scheduled_Payment+Extra_Payment</definedName>
    <definedName name="Total_Payment" localSheetId="10">Scheduled_Payment+Extra_Payment</definedName>
    <definedName name="Total_Payment" localSheetId="29">Scheduled_Payment+Extra_Payment</definedName>
    <definedName name="Total_Payment" localSheetId="16">Scheduled_Payment+Extra_Payment</definedName>
    <definedName name="Total_Payment" localSheetId="20">Scheduled_Payment+Extra_Payment</definedName>
    <definedName name="Total_Payment" localSheetId="43">Scheduled_Payment+Extra_Payment</definedName>
    <definedName name="Total_Payment">Scheduled_Payment+Extra_Payment</definedName>
    <definedName name="Total_Sing" localSheetId="26">#REF!</definedName>
    <definedName name="Total_Sing" localSheetId="33">#REF!</definedName>
    <definedName name="Total_Sing" localSheetId="17">#REF!</definedName>
    <definedName name="Total_Sing" localSheetId="29">#REF!</definedName>
    <definedName name="Total_Sing" localSheetId="3">#REF!</definedName>
    <definedName name="Total_Sing" localSheetId="16">#REF!</definedName>
    <definedName name="Total_Sing" localSheetId="19">#REF!</definedName>
    <definedName name="Total_Sing" localSheetId="20">#REF!</definedName>
    <definedName name="Total_Sing" localSheetId="43">#REF!</definedName>
    <definedName name="Total_Sing">#REF!</definedName>
    <definedName name="tpl" localSheetId="26">Scheduled_Payment+Extra_Payment</definedName>
    <definedName name="tpl" localSheetId="17">Scheduled_Payment+Extra_Payment</definedName>
    <definedName name="tpl" localSheetId="23">Scheduled_Payment+Extra_Payment</definedName>
    <definedName name="tpl" localSheetId="18">Scheduled_Payment+Extra_Payment</definedName>
    <definedName name="tpl" localSheetId="10">Scheduled_Payment+Extra_Payment</definedName>
    <definedName name="tpl" localSheetId="29">Scheduled_Payment+Extra_Payment</definedName>
    <definedName name="tpl" localSheetId="16">Scheduled_Payment+Extra_Payment</definedName>
    <definedName name="tpl" localSheetId="20">Scheduled_Payment+Extra_Payment</definedName>
    <definedName name="tpl" localSheetId="43">Scheduled_Payment+Extra_Payment</definedName>
    <definedName name="tpl">Scheduled_Payment+Extra_Payment</definedName>
    <definedName name="trial" localSheetId="26">#REF!</definedName>
    <definedName name="trial" localSheetId="33">#REF!</definedName>
    <definedName name="trial" localSheetId="17">#REF!</definedName>
    <definedName name="trial" localSheetId="29">#REF!</definedName>
    <definedName name="trial" localSheetId="3">#REF!</definedName>
    <definedName name="trial" localSheetId="16">#REF!</definedName>
    <definedName name="trial" localSheetId="19">#REF!</definedName>
    <definedName name="trial" localSheetId="20">#REF!</definedName>
    <definedName name="trial" localSheetId="43">#REF!</definedName>
    <definedName name="trial">#REF!</definedName>
    <definedName name="tsy56u5u" localSheetId="26">OFFSET('Adjustment Working F.Y. 2021-22'!Full_Print,0,0,'Adjustment Working F.Y. 2021-22'!Last_Row)</definedName>
    <definedName name="tsy56u5u" localSheetId="23">OFFSET(Full_Print,0,0,'DTA-DTL LMIL Q2 2022-23'!Last_Row)</definedName>
    <definedName name="tsy56u5u" localSheetId="18">OFFSET(Full_Print,0,0,Last_Row)</definedName>
    <definedName name="tsy56u5u" localSheetId="10">OFFSET(Full_Print,0,0,Last_Row)</definedName>
    <definedName name="tsy56u5u" localSheetId="29">OFFSET('LMIL - BS SUMIF Formula'!Full_Print,0,0,[0]!Last_Row)</definedName>
    <definedName name="tsy56u5u" localSheetId="16">OFFSET('Regulation 33 - Balance Sheet'!Full_Print,0,0,Last_Row)</definedName>
    <definedName name="tsy56u5u" localSheetId="20">OFFSET('TB-30-09-2021'!Full_Print,0,0,Last_Row)</definedName>
    <definedName name="tsy56u5u" localSheetId="43">OFFSET('Trial Balance LS'!Full_Print,0,0,'Trial Balance LS'!Last_Row)</definedName>
    <definedName name="tsy56u5u">OFFSET(Full_Print,0,0,Last_Row)</definedName>
    <definedName name="U" localSheetId="26">#REF!</definedName>
    <definedName name="U" localSheetId="33">#REF!</definedName>
    <definedName name="U" localSheetId="17">#REF!</definedName>
    <definedName name="U" localSheetId="29">#REF!</definedName>
    <definedName name="U" localSheetId="3">#REF!</definedName>
    <definedName name="U" localSheetId="16">#REF!</definedName>
    <definedName name="U" localSheetId="19">#REF!</definedName>
    <definedName name="U" localSheetId="20">#REF!</definedName>
    <definedName name="U" localSheetId="43">#REF!</definedName>
    <definedName name="U">#REF!</definedName>
    <definedName name="UFPrn20090103162043" localSheetId="26">#REF!</definedName>
    <definedName name="UFPrn20090103162043" localSheetId="33">#REF!</definedName>
    <definedName name="UFPrn20090103162043" localSheetId="17">#REF!</definedName>
    <definedName name="UFPrn20090103162043" localSheetId="29">#REF!</definedName>
    <definedName name="UFPrn20090103162043" localSheetId="3">#REF!</definedName>
    <definedName name="UFPrn20090103162043" localSheetId="16">#REF!</definedName>
    <definedName name="UFPrn20090103162043" localSheetId="19">#REF!</definedName>
    <definedName name="UFPrn20090103162043" localSheetId="20">#REF!</definedName>
    <definedName name="UFPrn20090103162043" localSheetId="43">#REF!</definedName>
    <definedName name="UFPrn20090103162043">#REF!</definedName>
    <definedName name="Uniform" localSheetId="26">#REF!</definedName>
    <definedName name="Uniform" localSheetId="33">#REF!</definedName>
    <definedName name="Uniform" localSheetId="17">#REF!</definedName>
    <definedName name="Uniform" localSheetId="29">#REF!</definedName>
    <definedName name="Uniform" localSheetId="3">#REF!</definedName>
    <definedName name="Uniform" localSheetId="16">#REF!</definedName>
    <definedName name="Uniform" localSheetId="5">#REF!</definedName>
    <definedName name="Uniform" localSheetId="19">#REF!</definedName>
    <definedName name="Uniform" localSheetId="20">#REF!</definedName>
    <definedName name="Uniform" localSheetId="43">#REF!</definedName>
    <definedName name="Uniform">#REF!</definedName>
    <definedName name="Units" localSheetId="26">'[81]Old IS'!#REF!</definedName>
    <definedName name="Units" localSheetId="33">'[81]Old IS'!#REF!</definedName>
    <definedName name="Units" localSheetId="17">'[81]Old IS'!#REF!</definedName>
    <definedName name="Units" localSheetId="18">'[81]Old IS'!#REF!</definedName>
    <definedName name="Units" localSheetId="29">'[81]Old IS'!#REF!</definedName>
    <definedName name="Units" localSheetId="3">'[81]Old IS'!#REF!</definedName>
    <definedName name="Units" localSheetId="16">'[81]Old IS'!#REF!</definedName>
    <definedName name="Units" localSheetId="19">'[81]Old IS'!#REF!</definedName>
    <definedName name="Units" localSheetId="20">'[81]Old IS'!#REF!</definedName>
    <definedName name="Units" localSheetId="43">'[81]Old IS'!#REF!</definedName>
    <definedName name="Units">'[81]Old IS'!#REF!</definedName>
    <definedName name="unnamed" localSheetId="26">#REF!</definedName>
    <definedName name="unnamed" localSheetId="18">#REF!</definedName>
    <definedName name="unnamed" localSheetId="29">#REF!</definedName>
    <definedName name="unnamed" localSheetId="16">#REF!</definedName>
    <definedName name="unnamed" localSheetId="20">#REF!</definedName>
    <definedName name="unnamed" localSheetId="43">#REF!</definedName>
    <definedName name="unnamed">#REF!</definedName>
    <definedName name="unnamed_0" localSheetId="26">#REF!</definedName>
    <definedName name="unnamed_0" localSheetId="29">#REF!</definedName>
    <definedName name="unnamed_0" localSheetId="16">#REF!</definedName>
    <definedName name="unnamed_0" localSheetId="20">#REF!</definedName>
    <definedName name="unnamed_0" localSheetId="43">#REF!</definedName>
    <definedName name="unnamed_0">#REF!</definedName>
    <definedName name="unnamed_1" localSheetId="26">'[82]COST CTR PLANNING FORMAT'!#REF!</definedName>
    <definedName name="unnamed_1" localSheetId="23">'[82]COST CTR PLANNING FORMAT'!#REF!</definedName>
    <definedName name="unnamed_1" localSheetId="18">'[82]COST CTR PLANNING FORMAT'!#REF!</definedName>
    <definedName name="unnamed_1" localSheetId="29">'[82]COST CTR PLANNING FORMAT'!#REF!</definedName>
    <definedName name="unnamed_1" localSheetId="16">'[82]COST CTR PLANNING FORMAT'!#REF!</definedName>
    <definedName name="unnamed_1" localSheetId="20">'[82]COST CTR PLANNING FORMAT'!#REF!</definedName>
    <definedName name="unnamed_1" localSheetId="43">'[82]COST CTR PLANNING FORMAT'!#REF!</definedName>
    <definedName name="unnamed_1">'[82]COST CTR PLANNING FORMAT'!#REF!</definedName>
    <definedName name="UNO">#N/A</definedName>
    <definedName name="US" localSheetId="26">#REF!</definedName>
    <definedName name="US" localSheetId="18">#REF!</definedName>
    <definedName name="US" localSheetId="29">#REF!</definedName>
    <definedName name="US" localSheetId="16">#REF!</definedName>
    <definedName name="US" localSheetId="20">#REF!</definedName>
    <definedName name="US" localSheetId="43">#REF!</definedName>
    <definedName name="US">#REF!</definedName>
    <definedName name="USD.A" localSheetId="26">#REF!</definedName>
    <definedName name="USD.A" localSheetId="33">#REF!</definedName>
    <definedName name="USD.A" localSheetId="17">#REF!</definedName>
    <definedName name="USD.A" localSheetId="48">#REF!</definedName>
    <definedName name="USD.A" localSheetId="29">#REF!</definedName>
    <definedName name="USD.A" localSheetId="3">#REF!</definedName>
    <definedName name="USD.A" localSheetId="35">#REF!</definedName>
    <definedName name="USD.A" localSheetId="16">#REF!</definedName>
    <definedName name="USD.A" localSheetId="19">#REF!</definedName>
    <definedName name="USD.A" localSheetId="20">#REF!</definedName>
    <definedName name="USD.A" localSheetId="43">#REF!</definedName>
    <definedName name="USD.A">#REF!</definedName>
    <definedName name="USD.E" localSheetId="26">#REF!</definedName>
    <definedName name="USD.E" localSheetId="33">#REF!</definedName>
    <definedName name="USD.E" localSheetId="17">#REF!</definedName>
    <definedName name="USD.E" localSheetId="48">#REF!</definedName>
    <definedName name="USD.E" localSheetId="29">#REF!</definedName>
    <definedName name="USD.E" localSheetId="3">#REF!</definedName>
    <definedName name="USD.E" localSheetId="35">#REF!</definedName>
    <definedName name="USD.E" localSheetId="16">#REF!</definedName>
    <definedName name="USD.E" localSheetId="19">#REF!</definedName>
    <definedName name="USD.E" localSheetId="20">#REF!</definedName>
    <definedName name="USD.E" localSheetId="43">#REF!</definedName>
    <definedName name="USD.E">#REF!</definedName>
    <definedName name="USD_B" localSheetId="26">#REF!</definedName>
    <definedName name="USD_B" localSheetId="33">#REF!</definedName>
    <definedName name="USD_B" localSheetId="17">#REF!</definedName>
    <definedName name="USD_B" localSheetId="48">#REF!</definedName>
    <definedName name="USD_B" localSheetId="29">#REF!</definedName>
    <definedName name="USD_B" localSheetId="3">#REF!</definedName>
    <definedName name="USD_B" localSheetId="35">#REF!</definedName>
    <definedName name="USD_B" localSheetId="16">#REF!</definedName>
    <definedName name="USD_B" localSheetId="19">#REF!</definedName>
    <definedName name="USD_B" localSheetId="20">#REF!</definedName>
    <definedName name="USD_B" localSheetId="43">#REF!</definedName>
    <definedName name="USD_B">#REF!</definedName>
    <definedName name="V" localSheetId="26">#REF!</definedName>
    <definedName name="V" localSheetId="33">#REF!</definedName>
    <definedName name="V" localSheetId="17">#REF!</definedName>
    <definedName name="V" localSheetId="29">#REF!</definedName>
    <definedName name="V" localSheetId="3">#REF!</definedName>
    <definedName name="V" localSheetId="16">#REF!</definedName>
    <definedName name="V" localSheetId="19">#REF!</definedName>
    <definedName name="V" localSheetId="20">#REF!</definedName>
    <definedName name="V" localSheetId="43">#REF!</definedName>
    <definedName name="V">#REF!</definedName>
    <definedName name="Values_Entered" localSheetId="26">IF('Adjustment Working F.Y. 2021-22'!Loan_Amount*'Adjustment Working F.Y. 2021-22'!Interest_Rate*'Adjustment Working F.Y. 2021-22'!Loan_Years*'Adjustment Working F.Y. 2021-22'!Loan_Start&gt;0,1,0)</definedName>
    <definedName name="Values_Entered" localSheetId="23">IF(Loan_Amount*Interest_Rate*Loan_Years*Loan_Start&gt;0,1,0)</definedName>
    <definedName name="Values_Entered" localSheetId="18">IF('EPS Working (2)'!Loan_Amount*Interest_Rate*Loan_Years*Loan_Start&gt;0,1,0)</definedName>
    <definedName name="Values_Entered" localSheetId="10">IF(Loan_Amount*Interest_Rate*Loan_Years*Loan_Start&gt;0,1,0)</definedName>
    <definedName name="Values_Entered" localSheetId="29">IF('LMIL - BS SUMIF Formula'!Loan_Amount*'LMIL - BS SUMIF Formula'!Interest_Rate*'LMIL - BS SUMIF Formula'!Loan_Years*'LMIL - BS SUMIF Formula'!Loan_Start&gt;0,1,0)</definedName>
    <definedName name="Values_Entered" localSheetId="16">IF('Regulation 33 - Balance Sheet'!Loan_Amount*'Regulation 33 - Balance Sheet'!Interest_Rate*'Regulation 33 - Balance Sheet'!Loan_Years*'Regulation 33 - Balance Sheet'!Loan_Start&gt;0,1,0)</definedName>
    <definedName name="Values_Entered" localSheetId="20">IF('TB-30-09-2021'!Loan_Amount*'TB-30-09-2021'!Interest_Rate*'TB-30-09-2021'!Loan_Years*'TB-30-09-2021'!Loan_Start&gt;0,1,0)</definedName>
    <definedName name="Values_Entered" localSheetId="43">IF('Trial Balance LS'!Loan_Amount*'Trial Balance LS'!Interest_Rate*'Trial Balance LS'!Loan_Years*'Trial Balance LS'!Loan_Start&gt;0,1,0)</definedName>
    <definedName name="Values_Entered">IF(Loan_Amount*Interest_Rate*Loan_Years*Loan_Start&gt;0,1,0)</definedName>
    <definedName name="VISTA_NN" localSheetId="26">'[83]Vista-EX'!#REF!</definedName>
    <definedName name="VISTA_NN" localSheetId="23">'[83]Vista-EX'!#REF!</definedName>
    <definedName name="VISTA_NN" localSheetId="18">'[83]Vista-EX'!#REF!</definedName>
    <definedName name="VISTA_NN" localSheetId="29">'[83]Vista-EX'!#REF!</definedName>
    <definedName name="VISTA_NN" localSheetId="16">'[83]Vista-EX'!#REF!</definedName>
    <definedName name="VISTA_NN" localSheetId="20">'[83]Vista-EX'!#REF!</definedName>
    <definedName name="VISTA_NN" localSheetId="43">'[83]Vista-EX'!#REF!</definedName>
    <definedName name="VISTA_NN">'[83]Vista-EX'!#REF!</definedName>
    <definedName name="VoEffdat" localSheetId="26">#REF!</definedName>
    <definedName name="VoEffdat" localSheetId="18">#REF!</definedName>
    <definedName name="VoEffdat" localSheetId="29">#REF!</definedName>
    <definedName name="VoEffdat" localSheetId="16">#REF!</definedName>
    <definedName name="VoEffdat" localSheetId="20">#REF!</definedName>
    <definedName name="VoEffdat" localSheetId="43">#REF!</definedName>
    <definedName name="VoEffdat">#REF!</definedName>
    <definedName name="Voucher" localSheetId="26">#REF!</definedName>
    <definedName name="Voucher" localSheetId="29">#REF!</definedName>
    <definedName name="Voucher" localSheetId="16">#REF!</definedName>
    <definedName name="Voucher" localSheetId="20">#REF!</definedName>
    <definedName name="Voucher" localSheetId="43">#REF!</definedName>
    <definedName name="Voucher">#REF!</definedName>
    <definedName name="W" localSheetId="26">#REF!</definedName>
    <definedName name="W" localSheetId="33">#REF!</definedName>
    <definedName name="W" localSheetId="17">#REF!</definedName>
    <definedName name="W" localSheetId="48">[68]Sheet1!$A$6:$E$102</definedName>
    <definedName name="W" localSheetId="29">#REF!</definedName>
    <definedName name="W" localSheetId="3">#REF!</definedName>
    <definedName name="W" localSheetId="35">[68]Sheet1!$A$6:$E$102</definedName>
    <definedName name="W" localSheetId="16">#REF!</definedName>
    <definedName name="W" localSheetId="19">#REF!</definedName>
    <definedName name="W" localSheetId="20">#REF!</definedName>
    <definedName name="W" localSheetId="43">#REF!</definedName>
    <definedName name="W">#REF!</definedName>
    <definedName name="Waiting">"Picture 1"</definedName>
    <definedName name="WDV" localSheetId="26">#REF!</definedName>
    <definedName name="WDV" localSheetId="23">#REF!</definedName>
    <definedName name="WDV" localSheetId="18">#REF!</definedName>
    <definedName name="WDV" localSheetId="29">#REF!</definedName>
    <definedName name="WDV" localSheetId="16">#REF!</definedName>
    <definedName name="WDV" localSheetId="20">#REF!</definedName>
    <definedName name="WDV" localSheetId="43">#REF!</definedName>
    <definedName name="WDV">#REF!</definedName>
    <definedName name="West_zone" localSheetId="26">'[65]C-21(b)'!#REF!</definedName>
    <definedName name="West_zone" localSheetId="33">'[65]C-21(b)'!#REF!</definedName>
    <definedName name="West_zone" localSheetId="17">'[65]C-21(b)'!#REF!</definedName>
    <definedName name="West_zone" localSheetId="48">'[54]C-21(b)'!#REF!</definedName>
    <definedName name="West_zone" localSheetId="18">'[65]C-21(b)'!#REF!</definedName>
    <definedName name="West_zone" localSheetId="29">'[65]C-21(b)'!#REF!</definedName>
    <definedName name="West_zone" localSheetId="3">'[65]C-21(b)'!#REF!</definedName>
    <definedName name="West_zone" localSheetId="35">'[54]C-21(b)'!#REF!</definedName>
    <definedName name="West_zone" localSheetId="16">'[65]C-21(b)'!#REF!</definedName>
    <definedName name="West_zone" localSheetId="19">'[65]C-21(b)'!#REF!</definedName>
    <definedName name="West_zone" localSheetId="20">'[65]C-21(b)'!#REF!</definedName>
    <definedName name="West_zone" localSheetId="43">'[65]C-21(b)'!#REF!</definedName>
    <definedName name="West_zone">'[65]C-21(b)'!#REF!</definedName>
    <definedName name="workshop" localSheetId="26">#REF!</definedName>
    <definedName name="workshop" localSheetId="18">#REF!</definedName>
    <definedName name="workshop" localSheetId="29">#REF!</definedName>
    <definedName name="workshop" localSheetId="16">#REF!</definedName>
    <definedName name="workshop" localSheetId="20">#REF!</definedName>
    <definedName name="workshop" localSheetId="43">#REF!</definedName>
    <definedName name="workshop">#REF!</definedName>
    <definedName name="wrn.Aging._.and._.Trend._.Analysis." localSheetId="26" hidden="1">{#N/A,#N/A,FALSE,"Aging Summary";#N/A,#N/A,FALSE,"Ratio Analysis";#N/A,#N/A,FALSE,"Test 120 Day Accts";#N/A,#N/A,FALSE,"Tickmarks"}</definedName>
    <definedName name="wrn.Aging._.and._.Trend._.Analysis." localSheetId="33"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29"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4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3._.months." localSheetId="26" hidden="1">{#N/A,#N/A,TRUE,"Couverture";#N/A,#N/A,TRUE,"Sommaire.1";#N/A,#N/A,TRUE,"Sommaire.2";#N/A,#N/A,TRUE,"Sommaire.3"}</definedName>
    <definedName name="wrn.All._.3._.months." localSheetId="17" hidden="1">{#N/A,#N/A,TRUE,"Couverture";#N/A,#N/A,TRUE,"Sommaire.1";#N/A,#N/A,TRUE,"Sommaire.2";#N/A,#N/A,TRUE,"Sommaire.3"}</definedName>
    <definedName name="wrn.All._.3._.months." localSheetId="23" hidden="1">{#N/A,#N/A,TRUE,"Couverture";#N/A,#N/A,TRUE,"Sommaire.1";#N/A,#N/A,TRUE,"Sommaire.2";#N/A,#N/A,TRUE,"Sommaire.3"}</definedName>
    <definedName name="wrn.All._.3._.months." localSheetId="18" hidden="1">{#N/A,#N/A,TRUE,"Couverture";#N/A,#N/A,TRUE,"Sommaire.1";#N/A,#N/A,TRUE,"Sommaire.2";#N/A,#N/A,TRUE,"Sommaire.3"}</definedName>
    <definedName name="wrn.All._.3._.months." localSheetId="10" hidden="1">{#N/A,#N/A,TRUE,"Couverture";#N/A,#N/A,TRUE,"Sommaire.1";#N/A,#N/A,TRUE,"Sommaire.2";#N/A,#N/A,TRUE,"Sommaire.3"}</definedName>
    <definedName name="wrn.All._.3._.months." localSheetId="29" hidden="1">{#N/A,#N/A,TRUE,"Couverture";#N/A,#N/A,TRUE,"Sommaire.1";#N/A,#N/A,TRUE,"Sommaire.2";#N/A,#N/A,TRUE,"Sommaire.3"}</definedName>
    <definedName name="wrn.All._.3._.months." localSheetId="3" hidden="1">{#N/A,#N/A,TRUE,"Couverture";#N/A,#N/A,TRUE,"Sommaire.1";#N/A,#N/A,TRUE,"Sommaire.2";#N/A,#N/A,TRUE,"Sommaire.3"}</definedName>
    <definedName name="wrn.All._.3._.months." localSheetId="16" hidden="1">{#N/A,#N/A,TRUE,"Couverture";#N/A,#N/A,TRUE,"Sommaire.1";#N/A,#N/A,TRUE,"Sommaire.2";#N/A,#N/A,TRUE,"Sommaire.3"}</definedName>
    <definedName name="wrn.All._.3._.months." localSheetId="19" hidden="1">{#N/A,#N/A,TRUE,"Couverture";#N/A,#N/A,TRUE,"Sommaire.1";#N/A,#N/A,TRUE,"Sommaire.2";#N/A,#N/A,TRUE,"Sommaire.3"}</definedName>
    <definedName name="wrn.All._.3._.months." localSheetId="20" hidden="1">{#N/A,#N/A,TRUE,"Couverture";#N/A,#N/A,TRUE,"Sommaire.1";#N/A,#N/A,TRUE,"Sommaire.2";#N/A,#N/A,TRUE,"Sommaire.3"}</definedName>
    <definedName name="wrn.All._.3._.months." localSheetId="43" hidden="1">{#N/A,#N/A,TRUE,"Couverture";#N/A,#N/A,TRUE,"Sommaire.1";#N/A,#N/A,TRUE,"Sommaire.2";#N/A,#N/A,TRUE,"Sommaire.3"}</definedName>
    <definedName name="wrn.All._.3._.months." hidden="1">{#N/A,#N/A,TRUE,"Couverture";#N/A,#N/A,TRUE,"Sommaire.1";#N/A,#N/A,TRUE,"Sommaire.2";#N/A,#N/A,TRUE,"Sommaire.3"}</definedName>
    <definedName name="wrn.All_.4._months" localSheetId="26" hidden="1">{#N/A,#N/A,TRUE,"Couverture";#N/A,#N/A,TRUE,"Sommaire.1";#N/A,#N/A,TRUE,"Sommaire.2";#N/A,#N/A,TRUE,"Sommaire.3"}</definedName>
    <definedName name="wrn.All_.4._months" localSheetId="17" hidden="1">{#N/A,#N/A,TRUE,"Couverture";#N/A,#N/A,TRUE,"Sommaire.1";#N/A,#N/A,TRUE,"Sommaire.2";#N/A,#N/A,TRUE,"Sommaire.3"}</definedName>
    <definedName name="wrn.All_.4._months" localSheetId="23" hidden="1">{#N/A,#N/A,TRUE,"Couverture";#N/A,#N/A,TRUE,"Sommaire.1";#N/A,#N/A,TRUE,"Sommaire.2";#N/A,#N/A,TRUE,"Sommaire.3"}</definedName>
    <definedName name="wrn.All_.4._months" localSheetId="18" hidden="1">{#N/A,#N/A,TRUE,"Couverture";#N/A,#N/A,TRUE,"Sommaire.1";#N/A,#N/A,TRUE,"Sommaire.2";#N/A,#N/A,TRUE,"Sommaire.3"}</definedName>
    <definedName name="wrn.All_.4._months" localSheetId="10" hidden="1">{#N/A,#N/A,TRUE,"Couverture";#N/A,#N/A,TRUE,"Sommaire.1";#N/A,#N/A,TRUE,"Sommaire.2";#N/A,#N/A,TRUE,"Sommaire.3"}</definedName>
    <definedName name="wrn.All_.4._months" localSheetId="29" hidden="1">{#N/A,#N/A,TRUE,"Couverture";#N/A,#N/A,TRUE,"Sommaire.1";#N/A,#N/A,TRUE,"Sommaire.2";#N/A,#N/A,TRUE,"Sommaire.3"}</definedName>
    <definedName name="wrn.All_.4._months" localSheetId="3" hidden="1">{#N/A,#N/A,TRUE,"Couverture";#N/A,#N/A,TRUE,"Sommaire.1";#N/A,#N/A,TRUE,"Sommaire.2";#N/A,#N/A,TRUE,"Sommaire.3"}</definedName>
    <definedName name="wrn.All_.4._months" localSheetId="16" hidden="1">{#N/A,#N/A,TRUE,"Couverture";#N/A,#N/A,TRUE,"Sommaire.1";#N/A,#N/A,TRUE,"Sommaire.2";#N/A,#N/A,TRUE,"Sommaire.3"}</definedName>
    <definedName name="wrn.All_.4._months" localSheetId="19" hidden="1">{#N/A,#N/A,TRUE,"Couverture";#N/A,#N/A,TRUE,"Sommaire.1";#N/A,#N/A,TRUE,"Sommaire.2";#N/A,#N/A,TRUE,"Sommaire.3"}</definedName>
    <definedName name="wrn.All_.4._months" localSheetId="20" hidden="1">{#N/A,#N/A,TRUE,"Couverture";#N/A,#N/A,TRUE,"Sommaire.1";#N/A,#N/A,TRUE,"Sommaire.2";#N/A,#N/A,TRUE,"Sommaire.3"}</definedName>
    <definedName name="wrn.All_.4._months" localSheetId="43" hidden="1">{#N/A,#N/A,TRUE,"Couverture";#N/A,#N/A,TRUE,"Sommaire.1";#N/A,#N/A,TRUE,"Sommaire.2";#N/A,#N/A,TRUE,"Sommaire.3"}</definedName>
    <definedName name="wrn.All_.4._months" hidden="1">{#N/A,#N/A,TRUE,"Couverture";#N/A,#N/A,TRUE,"Sommaire.1";#N/A,#N/A,TRUE,"Sommaire.2";#N/A,#N/A,TRUE,"Sommaire.3"}</definedName>
    <definedName name="wrn.bs1." localSheetId="26" hidden="1">{"bs",#N/A,FALSE,"BS";"pl",#N/A,FALSE,"PL"}</definedName>
    <definedName name="wrn.bs1." localSheetId="33" hidden="1">{"bs",#N/A,FALSE,"BS";"pl",#N/A,FALSE,"PL"}</definedName>
    <definedName name="wrn.bs1." localSheetId="17" hidden="1">{"bs",#N/A,FALSE,"BS";"pl",#N/A,FALSE,"PL"}</definedName>
    <definedName name="wrn.bs1." localSheetId="48" hidden="1">{"bs",#N/A,FALSE,"BS";"pl",#N/A,FALSE,"PL"}</definedName>
    <definedName name="wrn.bs1." localSheetId="23" hidden="1">{"bs",#N/A,FALSE,"BS";"pl",#N/A,FALSE,"PL"}</definedName>
    <definedName name="wrn.bs1." localSheetId="18" hidden="1">{"bs",#N/A,FALSE,"BS";"pl",#N/A,FALSE,"PL"}</definedName>
    <definedName name="wrn.bs1." localSheetId="10" hidden="1">{"bs",#N/A,FALSE,"BS";"pl",#N/A,FALSE,"PL"}</definedName>
    <definedName name="wrn.bs1." localSheetId="29" hidden="1">{"bs",#N/A,FALSE,"BS";"pl",#N/A,FALSE,"PL"}</definedName>
    <definedName name="wrn.bs1." localSheetId="3" hidden="1">{"bs",#N/A,FALSE,"BS";"pl",#N/A,FALSE,"PL"}</definedName>
    <definedName name="wrn.bs1." localSheetId="35" hidden="1">{"bs",#N/A,FALSE,"BS";"pl",#N/A,FALSE,"PL"}</definedName>
    <definedName name="wrn.bs1." localSheetId="16" hidden="1">{"bs",#N/A,FALSE,"BS";"pl",#N/A,FALSE,"PL"}</definedName>
    <definedName name="wrn.bs1." localSheetId="5" hidden="1">{"bs",#N/A,FALSE,"BS";"pl",#N/A,FALSE,"PL"}</definedName>
    <definedName name="wrn.bs1." localSheetId="19" hidden="1">{"bs",#N/A,FALSE,"BS";"pl",#N/A,FALSE,"PL"}</definedName>
    <definedName name="wrn.bs1." localSheetId="20" hidden="1">{"bs",#N/A,FALSE,"BS";"pl",#N/A,FALSE,"PL"}</definedName>
    <definedName name="wrn.bs1." localSheetId="43" hidden="1">{"bs",#N/A,FALSE,"BS";"pl",#N/A,FALSE,"PL"}</definedName>
    <definedName name="wrn.bs1." hidden="1">{"bs",#N/A,FALSE,"BS";"pl",#N/A,FALSE,"PL"}</definedName>
    <definedName name="wrn.bsall." localSheetId="26" hidden="1">{"bs",#N/A,FALSE,"BS";"pl",#N/A,FALSE,"PL";"res",#N/A,FALSE,"S.CAP,RES";"loans",#N/A,FALSE,"Loans";"inv",#N/A,FALSE,"C.Assets";"fa",#N/A,FALSE,"F.Assets";"ca",#N/A,FALSE,"C.Assets";"cl",#N/A,FALSE,"CL,Sales,Income";"ovh",#N/A,FALSE,"OVH"}</definedName>
    <definedName name="wrn.bsall." localSheetId="33" hidden="1">{"bs",#N/A,FALSE,"BS";"pl",#N/A,FALSE,"PL";"res",#N/A,FALSE,"S.CAP,RES";"loans",#N/A,FALSE,"Loans";"inv",#N/A,FALSE,"C.Assets";"fa",#N/A,FALSE,"F.Assets";"ca",#N/A,FALSE,"C.Assets";"cl",#N/A,FALSE,"CL,Sales,Income";"ovh",#N/A,FALSE,"OVH"}</definedName>
    <definedName name="wrn.bsall." localSheetId="17" hidden="1">{"bs",#N/A,FALSE,"BS";"pl",#N/A,FALSE,"PL";"res",#N/A,FALSE,"S.CAP,RES";"loans",#N/A,FALSE,"Loans";"inv",#N/A,FALSE,"C.Assets";"fa",#N/A,FALSE,"F.Assets";"ca",#N/A,FALSE,"C.Assets";"cl",#N/A,FALSE,"CL,Sales,Income";"ovh",#N/A,FALSE,"OVH"}</definedName>
    <definedName name="wrn.bsall." localSheetId="48" hidden="1">{"bs",#N/A,FALSE,"BS";"pl",#N/A,FALSE,"PL";"res",#N/A,FALSE,"S.CAP,RES";"loans",#N/A,FALSE,"Loans";"inv",#N/A,FALSE,"C.Assets";"fa",#N/A,FALSE,"F.Assets";"ca",#N/A,FALSE,"C.Assets";"cl",#N/A,FALSE,"CL,Sales,Income";"ovh",#N/A,FALSE,"OVH"}</definedName>
    <definedName name="wrn.bsall." localSheetId="23" hidden="1">{"bs",#N/A,FALSE,"BS";"pl",#N/A,FALSE,"PL";"res",#N/A,FALSE,"S.CAP,RES";"loans",#N/A,FALSE,"Loans";"inv",#N/A,FALSE,"C.Assets";"fa",#N/A,FALSE,"F.Assets";"ca",#N/A,FALSE,"C.Assets";"cl",#N/A,FALSE,"CL,Sales,Income";"ovh",#N/A,FALSE,"OVH"}</definedName>
    <definedName name="wrn.bsall." localSheetId="18" hidden="1">{"bs",#N/A,FALSE,"BS";"pl",#N/A,FALSE,"PL";"res",#N/A,FALSE,"S.CAP,RES";"loans",#N/A,FALSE,"Loans";"inv",#N/A,FALSE,"C.Assets";"fa",#N/A,FALSE,"F.Assets";"ca",#N/A,FALSE,"C.Assets";"cl",#N/A,FALSE,"CL,Sales,Income";"ovh",#N/A,FALSE,"OVH"}</definedName>
    <definedName name="wrn.bsall." localSheetId="10" hidden="1">{"bs",#N/A,FALSE,"BS";"pl",#N/A,FALSE,"PL";"res",#N/A,FALSE,"S.CAP,RES";"loans",#N/A,FALSE,"Loans";"inv",#N/A,FALSE,"C.Assets";"fa",#N/A,FALSE,"F.Assets";"ca",#N/A,FALSE,"C.Assets";"cl",#N/A,FALSE,"CL,Sales,Income";"ovh",#N/A,FALSE,"OVH"}</definedName>
    <definedName name="wrn.bsall." localSheetId="29" hidden="1">{"bs",#N/A,FALSE,"BS";"pl",#N/A,FALSE,"PL";"res",#N/A,FALSE,"S.CAP,RES";"loans",#N/A,FALSE,"Loans";"inv",#N/A,FALSE,"C.Assets";"fa",#N/A,FALSE,"F.Assets";"ca",#N/A,FALSE,"C.Assets";"cl",#N/A,FALSE,"CL,Sales,Income";"ovh",#N/A,FALSE,"OVH"}</definedName>
    <definedName name="wrn.bsall." localSheetId="3" hidden="1">{"bs",#N/A,FALSE,"BS";"pl",#N/A,FALSE,"PL";"res",#N/A,FALSE,"S.CAP,RES";"loans",#N/A,FALSE,"Loans";"inv",#N/A,FALSE,"C.Assets";"fa",#N/A,FALSE,"F.Assets";"ca",#N/A,FALSE,"C.Assets";"cl",#N/A,FALSE,"CL,Sales,Income";"ovh",#N/A,FALSE,"OVH"}</definedName>
    <definedName name="wrn.bsall." localSheetId="35" hidden="1">{"bs",#N/A,FALSE,"BS";"pl",#N/A,FALSE,"PL";"res",#N/A,FALSE,"S.CAP,RES";"loans",#N/A,FALSE,"Loans";"inv",#N/A,FALSE,"C.Assets";"fa",#N/A,FALSE,"F.Assets";"ca",#N/A,FALSE,"C.Assets";"cl",#N/A,FALSE,"CL,Sales,Income";"ovh",#N/A,FALSE,"OVH"}</definedName>
    <definedName name="wrn.bsall." localSheetId="16" hidden="1">{"bs",#N/A,FALSE,"BS";"pl",#N/A,FALSE,"PL";"res",#N/A,FALSE,"S.CAP,RES";"loans",#N/A,FALSE,"Loans";"inv",#N/A,FALSE,"C.Assets";"fa",#N/A,FALSE,"F.Assets";"ca",#N/A,FALSE,"C.Assets";"cl",#N/A,FALSE,"CL,Sales,Income";"ovh",#N/A,FALSE,"OVH"}</definedName>
    <definedName name="wrn.bsall." localSheetId="5" hidden="1">{"bs",#N/A,FALSE,"BS";"pl",#N/A,FALSE,"PL";"res",#N/A,FALSE,"S.CAP,RES";"loans",#N/A,FALSE,"Loans";"inv",#N/A,FALSE,"C.Assets";"fa",#N/A,FALSE,"F.Assets";"ca",#N/A,FALSE,"C.Assets";"cl",#N/A,FALSE,"CL,Sales,Income";"ovh",#N/A,FALSE,"OVH"}</definedName>
    <definedName name="wrn.bsall." localSheetId="19" hidden="1">{"bs",#N/A,FALSE,"BS";"pl",#N/A,FALSE,"PL";"res",#N/A,FALSE,"S.CAP,RES";"loans",#N/A,FALSE,"Loans";"inv",#N/A,FALSE,"C.Assets";"fa",#N/A,FALSE,"F.Assets";"ca",#N/A,FALSE,"C.Assets";"cl",#N/A,FALSE,"CL,Sales,Income";"ovh",#N/A,FALSE,"OVH"}</definedName>
    <definedName name="wrn.bsall." localSheetId="20" hidden="1">{"bs",#N/A,FALSE,"BS";"pl",#N/A,FALSE,"PL";"res",#N/A,FALSE,"S.CAP,RES";"loans",#N/A,FALSE,"Loans";"inv",#N/A,FALSE,"C.Assets";"fa",#N/A,FALSE,"F.Assets";"ca",#N/A,FALSE,"C.Assets";"cl",#N/A,FALSE,"CL,Sales,Income";"ovh",#N/A,FALSE,"OVH"}</definedName>
    <definedName name="wrn.bsall." localSheetId="43" hidden="1">{"bs",#N/A,FALSE,"BS";"pl",#N/A,FALSE,"PL";"res",#N/A,FALSE,"S.CAP,RES";"loans",#N/A,FALSE,"Loans";"inv",#N/A,FALSE,"C.Assets";"fa",#N/A,FALSE,"F.Assets";"ca",#N/A,FALSE,"C.Assets";"cl",#N/A,FALSE,"CL,Sales,Income";"ovh",#N/A,FALSE,"OVH"}</definedName>
    <definedName name="wrn.bsall." hidden="1">{"bs",#N/A,FALSE,"BS";"pl",#N/A,FALSE,"PL";"res",#N/A,FALSE,"S.CAP,RES";"loans",#N/A,FALSE,"Loans";"inv",#N/A,FALSE,"C.Assets";"fa",#N/A,FALSE,"F.Assets";"ca",#N/A,FALSE,"C.Assets";"cl",#N/A,FALSE,"CL,Sales,Income";"ovh",#N/A,FALSE,"OVH"}</definedName>
    <definedName name="wrn.imprim." localSheetId="48"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18"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1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2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16"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2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Month1." localSheetId="26" hidden="1">{#N/A,#N/A,FALSE,"Couverture";#N/A,#N/A,FALSE,"Sommaire.1"}</definedName>
    <definedName name="wrn.Month1." localSheetId="17" hidden="1">{#N/A,#N/A,FALSE,"Couverture";#N/A,#N/A,FALSE,"Sommaire.1"}</definedName>
    <definedName name="wrn.Month1." localSheetId="23" hidden="1">{#N/A,#N/A,FALSE,"Couverture";#N/A,#N/A,FALSE,"Sommaire.1"}</definedName>
    <definedName name="wrn.Month1." localSheetId="18" hidden="1">{#N/A,#N/A,FALSE,"Couverture";#N/A,#N/A,FALSE,"Sommaire.1"}</definedName>
    <definedName name="wrn.Month1." localSheetId="10" hidden="1">{#N/A,#N/A,FALSE,"Couverture";#N/A,#N/A,FALSE,"Sommaire.1"}</definedName>
    <definedName name="wrn.Month1." localSheetId="29" hidden="1">{#N/A,#N/A,FALSE,"Couverture";#N/A,#N/A,FALSE,"Sommaire.1"}</definedName>
    <definedName name="wrn.Month1." localSheetId="3" hidden="1">{#N/A,#N/A,FALSE,"Couverture";#N/A,#N/A,FALSE,"Sommaire.1"}</definedName>
    <definedName name="wrn.Month1." localSheetId="16" hidden="1">{#N/A,#N/A,FALSE,"Couverture";#N/A,#N/A,FALSE,"Sommaire.1"}</definedName>
    <definedName name="wrn.Month1." localSheetId="19" hidden="1">{#N/A,#N/A,FALSE,"Couverture";#N/A,#N/A,FALSE,"Sommaire.1"}</definedName>
    <definedName name="wrn.Month1." localSheetId="20" hidden="1">{#N/A,#N/A,FALSE,"Couverture";#N/A,#N/A,FALSE,"Sommaire.1"}</definedName>
    <definedName name="wrn.Month1." localSheetId="43" hidden="1">{#N/A,#N/A,FALSE,"Couverture";#N/A,#N/A,FALSE,"Sommaire.1"}</definedName>
    <definedName name="wrn.Month1." hidden="1">{#N/A,#N/A,FALSE,"Couverture";#N/A,#N/A,FALSE,"Sommaire.1"}</definedName>
    <definedName name="wrn.Month2." localSheetId="26" hidden="1">{#N/A,#N/A,FALSE,"Couverture";#N/A,#N/A,FALSE,"Sommaire.2"}</definedName>
    <definedName name="wrn.Month2." localSheetId="17" hidden="1">{#N/A,#N/A,FALSE,"Couverture";#N/A,#N/A,FALSE,"Sommaire.2"}</definedName>
    <definedName name="wrn.Month2." localSheetId="23" hidden="1">{#N/A,#N/A,FALSE,"Couverture";#N/A,#N/A,FALSE,"Sommaire.2"}</definedName>
    <definedName name="wrn.Month2." localSheetId="18" hidden="1">{#N/A,#N/A,FALSE,"Couverture";#N/A,#N/A,FALSE,"Sommaire.2"}</definedName>
    <definedName name="wrn.Month2." localSheetId="10" hidden="1">{#N/A,#N/A,FALSE,"Couverture";#N/A,#N/A,FALSE,"Sommaire.2"}</definedName>
    <definedName name="wrn.Month2." localSheetId="29" hidden="1">{#N/A,#N/A,FALSE,"Couverture";#N/A,#N/A,FALSE,"Sommaire.2"}</definedName>
    <definedName name="wrn.Month2." localSheetId="3" hidden="1">{#N/A,#N/A,FALSE,"Couverture";#N/A,#N/A,FALSE,"Sommaire.2"}</definedName>
    <definedName name="wrn.Month2." localSheetId="16" hidden="1">{#N/A,#N/A,FALSE,"Couverture";#N/A,#N/A,FALSE,"Sommaire.2"}</definedName>
    <definedName name="wrn.Month2." localSheetId="19" hidden="1">{#N/A,#N/A,FALSE,"Couverture";#N/A,#N/A,FALSE,"Sommaire.2"}</definedName>
    <definedName name="wrn.Month2." localSheetId="20" hidden="1">{#N/A,#N/A,FALSE,"Couverture";#N/A,#N/A,FALSE,"Sommaire.2"}</definedName>
    <definedName name="wrn.Month2." localSheetId="43" hidden="1">{#N/A,#N/A,FALSE,"Couverture";#N/A,#N/A,FALSE,"Sommaire.2"}</definedName>
    <definedName name="wrn.Month2." hidden="1">{#N/A,#N/A,FALSE,"Couverture";#N/A,#N/A,FALSE,"Sommaire.2"}</definedName>
    <definedName name="wrn.Month3." localSheetId="26" hidden="1">{#N/A,#N/A,FALSE,"Couverture";#N/A,#N/A,FALSE,"Sommaire.3"}</definedName>
    <definedName name="wrn.Month3." localSheetId="17" hidden="1">{#N/A,#N/A,FALSE,"Couverture";#N/A,#N/A,FALSE,"Sommaire.3"}</definedName>
    <definedName name="wrn.Month3." localSheetId="23" hidden="1">{#N/A,#N/A,FALSE,"Couverture";#N/A,#N/A,FALSE,"Sommaire.3"}</definedName>
    <definedName name="wrn.Month3." localSheetId="18" hidden="1">{#N/A,#N/A,FALSE,"Couverture";#N/A,#N/A,FALSE,"Sommaire.3"}</definedName>
    <definedName name="wrn.Month3." localSheetId="10" hidden="1">{#N/A,#N/A,FALSE,"Couverture";#N/A,#N/A,FALSE,"Sommaire.3"}</definedName>
    <definedName name="wrn.Month3." localSheetId="29" hidden="1">{#N/A,#N/A,FALSE,"Couverture";#N/A,#N/A,FALSE,"Sommaire.3"}</definedName>
    <definedName name="wrn.Month3." localSheetId="3" hidden="1">{#N/A,#N/A,FALSE,"Couverture";#N/A,#N/A,FALSE,"Sommaire.3"}</definedName>
    <definedName name="wrn.Month3." localSheetId="16" hidden="1">{#N/A,#N/A,FALSE,"Couverture";#N/A,#N/A,FALSE,"Sommaire.3"}</definedName>
    <definedName name="wrn.Month3." localSheetId="19" hidden="1">{#N/A,#N/A,FALSE,"Couverture";#N/A,#N/A,FALSE,"Sommaire.3"}</definedName>
    <definedName name="wrn.Month3." localSheetId="20" hidden="1">{#N/A,#N/A,FALSE,"Couverture";#N/A,#N/A,FALSE,"Sommaire.3"}</definedName>
    <definedName name="wrn.Month3." localSheetId="43" hidden="1">{#N/A,#N/A,FALSE,"Couverture";#N/A,#N/A,FALSE,"Sommaire.3"}</definedName>
    <definedName name="wrn.Month3." hidden="1">{#N/A,#N/A,FALSE,"Couverture";#N/A,#N/A,FALSE,"Sommaire.3"}</definedName>
    <definedName name="wrn.note._.on._.cif." localSheetId="26" hidden="1">{#N/A,#N/A,FALSE,"CIF APR'03-SEP'03 (2)"}</definedName>
    <definedName name="wrn.note._.on._.cif." localSheetId="23" hidden="1">{#N/A,#N/A,FALSE,"CIF APR'03-SEP'03 (2)"}</definedName>
    <definedName name="wrn.note._.on._.cif." localSheetId="18" hidden="1">{#N/A,#N/A,FALSE,"CIF APR'03-SEP'03 (2)"}</definedName>
    <definedName name="wrn.note._.on._.cif." localSheetId="10" hidden="1">{#N/A,#N/A,FALSE,"CIF APR'03-SEP'03 (2)"}</definedName>
    <definedName name="wrn.note._.on._.cif." localSheetId="29" hidden="1">{#N/A,#N/A,FALSE,"CIF APR'03-SEP'03 (2)"}</definedName>
    <definedName name="wrn.note._.on._.cif." localSheetId="16" hidden="1">{#N/A,#N/A,FALSE,"CIF APR'03-SEP'03 (2)"}</definedName>
    <definedName name="wrn.note._.on._.cif." localSheetId="20" hidden="1">{#N/A,#N/A,FALSE,"CIF APR'03-SEP'03 (2)"}</definedName>
    <definedName name="wrn.note._.on._.cif." localSheetId="43" hidden="1">{#N/A,#N/A,FALSE,"CIF APR'03-SEP'03 (2)"}</definedName>
    <definedName name="wrn.note._.on._.cif." hidden="1">{#N/A,#N/A,FALSE,"CIF APR'03-SEP'03 (2)"}</definedName>
    <definedName name="wrn.Sales." localSheetId="26" hidden="1">{#N/A,"BenoitM",FALSE,"Sales";#N/A,"FlemmingM",FALSE,"Sales";#N/A,"FosterD",FALSE,"Sales";#N/A,"GeorgantasV",FALSE,"Sales";#N/A,"JohnstoneL",FALSE,"Sales";#N/A,"KirkpatrickD",FALSE,"Sales";#N/A,"LevisD",FALSE,"Sales";#N/A,"LisacekS",FALSE,"Sales";#N/A,"MorazinE",FALSE,"Sales";#N/A,"SteeleJ",FALSE,"Sales"}</definedName>
    <definedName name="wrn.Sales." localSheetId="17" hidden="1">{#N/A,"BenoitM",FALSE,"Sales";#N/A,"FlemmingM",FALSE,"Sales";#N/A,"FosterD",FALSE,"Sales";#N/A,"GeorgantasV",FALSE,"Sales";#N/A,"JohnstoneL",FALSE,"Sales";#N/A,"KirkpatrickD",FALSE,"Sales";#N/A,"LevisD",FALSE,"Sales";#N/A,"LisacekS",FALSE,"Sales";#N/A,"MorazinE",FALSE,"Sales";#N/A,"SteeleJ",FALSE,"Sales"}</definedName>
    <definedName name="wrn.Sales." localSheetId="23" hidden="1">{#N/A,"BenoitM",FALSE,"Sales";#N/A,"FlemmingM",FALSE,"Sales";#N/A,"FosterD",FALSE,"Sales";#N/A,"GeorgantasV",FALSE,"Sales";#N/A,"JohnstoneL",FALSE,"Sales";#N/A,"KirkpatrickD",FALSE,"Sales";#N/A,"LevisD",FALSE,"Sales";#N/A,"LisacekS",FALSE,"Sales";#N/A,"MorazinE",FALSE,"Sales";#N/A,"SteeleJ",FALSE,"Sales"}</definedName>
    <definedName name="wrn.Sales." localSheetId="18" hidden="1">{#N/A,"BenoitM",FALSE,"Sales";#N/A,"FlemmingM",FALSE,"Sales";#N/A,"FosterD",FALSE,"Sales";#N/A,"GeorgantasV",FALSE,"Sales";#N/A,"JohnstoneL",FALSE,"Sales";#N/A,"KirkpatrickD",FALSE,"Sales";#N/A,"LevisD",FALSE,"Sales";#N/A,"LisacekS",FALSE,"Sales";#N/A,"MorazinE",FALSE,"Sales";#N/A,"SteeleJ",FALSE,"Sales"}</definedName>
    <definedName name="wrn.Sales." localSheetId="10" hidden="1">{#N/A,"BenoitM",FALSE,"Sales";#N/A,"FlemmingM",FALSE,"Sales";#N/A,"FosterD",FALSE,"Sales";#N/A,"GeorgantasV",FALSE,"Sales";#N/A,"JohnstoneL",FALSE,"Sales";#N/A,"KirkpatrickD",FALSE,"Sales";#N/A,"LevisD",FALSE,"Sales";#N/A,"LisacekS",FALSE,"Sales";#N/A,"MorazinE",FALSE,"Sales";#N/A,"SteeleJ",FALSE,"Sales"}</definedName>
    <definedName name="wrn.Sales." localSheetId="29" hidden="1">{#N/A,"BenoitM",FALSE,"Sales";#N/A,"FlemmingM",FALSE,"Sales";#N/A,"FosterD",FALSE,"Sales";#N/A,"GeorgantasV",FALSE,"Sales";#N/A,"JohnstoneL",FALSE,"Sales";#N/A,"KirkpatrickD",FALSE,"Sales";#N/A,"LevisD",FALSE,"Sales";#N/A,"LisacekS",FALSE,"Sales";#N/A,"MorazinE",FALSE,"Sales";#N/A,"SteeleJ",FALSE,"Sales"}</definedName>
    <definedName name="wrn.Sales." localSheetId="3" hidden="1">{#N/A,"BenoitM",FALSE,"Sales";#N/A,"FlemmingM",FALSE,"Sales";#N/A,"FosterD",FALSE,"Sales";#N/A,"GeorgantasV",FALSE,"Sales";#N/A,"JohnstoneL",FALSE,"Sales";#N/A,"KirkpatrickD",FALSE,"Sales";#N/A,"LevisD",FALSE,"Sales";#N/A,"LisacekS",FALSE,"Sales";#N/A,"MorazinE",FALSE,"Sales";#N/A,"SteeleJ",FALSE,"Sales"}</definedName>
    <definedName name="wrn.Sales." localSheetId="16" hidden="1">{#N/A,"BenoitM",FALSE,"Sales";#N/A,"FlemmingM",FALSE,"Sales";#N/A,"FosterD",FALSE,"Sales";#N/A,"GeorgantasV",FALSE,"Sales";#N/A,"JohnstoneL",FALSE,"Sales";#N/A,"KirkpatrickD",FALSE,"Sales";#N/A,"LevisD",FALSE,"Sales";#N/A,"LisacekS",FALSE,"Sales";#N/A,"MorazinE",FALSE,"Sales";#N/A,"SteeleJ",FALSE,"Sales"}</definedName>
    <definedName name="wrn.Sales." localSheetId="19" hidden="1">{#N/A,"BenoitM",FALSE,"Sales";#N/A,"FlemmingM",FALSE,"Sales";#N/A,"FosterD",FALSE,"Sales";#N/A,"GeorgantasV",FALSE,"Sales";#N/A,"JohnstoneL",FALSE,"Sales";#N/A,"KirkpatrickD",FALSE,"Sales";#N/A,"LevisD",FALSE,"Sales";#N/A,"LisacekS",FALSE,"Sales";#N/A,"MorazinE",FALSE,"Sales";#N/A,"SteeleJ",FALSE,"Sales"}</definedName>
    <definedName name="wrn.Sales." localSheetId="20" hidden="1">{#N/A,"BenoitM",FALSE,"Sales";#N/A,"FlemmingM",FALSE,"Sales";#N/A,"FosterD",FALSE,"Sales";#N/A,"GeorgantasV",FALSE,"Sales";#N/A,"JohnstoneL",FALSE,"Sales";#N/A,"KirkpatrickD",FALSE,"Sales";#N/A,"LevisD",FALSE,"Sales";#N/A,"LisacekS",FALSE,"Sales";#N/A,"MorazinE",FALSE,"Sales";#N/A,"SteeleJ",FALSE,"Sales"}</definedName>
    <definedName name="wrn.Sales." localSheetId="43" hidden="1">{#N/A,"BenoitM",FALSE,"Sales";#N/A,"FlemmingM",FALSE,"Sales";#N/A,"FosterD",FALSE,"Sales";#N/A,"GeorgantasV",FALSE,"Sales";#N/A,"JohnstoneL",FALSE,"Sales";#N/A,"KirkpatrickD",FALSE,"Sales";#N/A,"LevisD",FALSE,"Sales";#N/A,"LisacekS",FALSE,"Sales";#N/A,"MorazinE",FALSE,"Sales";#N/A,"SteeleJ",FALSE,"Sales"}</definedName>
    <definedName name="wrn.Sales." hidden="1">{#N/A,"BenoitM",FALSE,"Sales";#N/A,"FlemmingM",FALSE,"Sales";#N/A,"FosterD",FALSE,"Sales";#N/A,"GeorgantasV",FALSE,"Sales";#N/A,"JohnstoneL",FALSE,"Sales";#N/A,"KirkpatrickD",FALSE,"Sales";#N/A,"LevisD",FALSE,"Sales";#N/A,"LisacekS",FALSE,"Sales";#N/A,"MorazinE",FALSE,"Sales";#N/A,"SteeleJ",FALSE,"Sales"}</definedName>
    <definedName name="wrn.Support." localSheetId="26"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17"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23"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18"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10"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29"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3"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16"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19"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20"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localSheetId="43"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wrn.Support." hidden="1">{#N/A,"BerlinM",TRUE,"Support";#N/A,"BussyD",TRUE,"Support";#N/A,"CarraraE",TRUE,"Support";#N/A,"ChapdelaineT",TRUE,"Support";#N/A,"ClancyJ",TRUE,"Support";#N/A,"CournoyerY",TRUE,"Support";#N/A,"DeGuzmanC",TRUE,"Support";#N/A,"DeLucaD",TRUE,"Support";#N/A,"GibeauJ",TRUE,"Support";#N/A,"HardyF",TRUE,"Support";#N/A,"HipwellM",TRUE,"Support";#N/A,"HoudeL",TRUE,"Support";#N/A,"IngD",TRUE,"Support";#N/A,"JeeroburkhanK",TRUE,"Support";#N/A,"KupchankoA",TRUE,"Support";#N/A,"LarocheD",TRUE,"Support";#N/A,"LisacekL",TRUE,"Support";#N/A,"McKilliganM",TRUE,"Support";#N/A,"PappasL",TRUE,"Support";#N/A,"PronovostA",TRUE,"Support";#N/A,"RouleauG",TRUE,"Support";#N/A,"SaucierA",TRUE,"Support";#N/A,"WakefieldH",TRUE,"Support";#N/A,"WelchM",TRUE,"Support"}</definedName>
    <definedName name="X" localSheetId="26">#REF!</definedName>
    <definedName name="X" localSheetId="33">#REF!</definedName>
    <definedName name="X" localSheetId="17">#REF!</definedName>
    <definedName name="X" localSheetId="29">#REF!</definedName>
    <definedName name="X" localSheetId="3">#REF!</definedName>
    <definedName name="X" localSheetId="16">#REF!</definedName>
    <definedName name="X" localSheetId="19">#REF!</definedName>
    <definedName name="X" localSheetId="20">#REF!</definedName>
    <definedName name="X" localSheetId="43">#REF!</definedName>
    <definedName name="X">#REF!</definedName>
    <definedName name="xx" localSheetId="26">'[84]TRIAL BALANCE'!#REF!</definedName>
    <definedName name="xx" localSheetId="33">'[84]TRIAL BALANCE'!#REF!</definedName>
    <definedName name="xx" localSheetId="17">'[84]TRIAL BALANCE'!#REF!</definedName>
    <definedName name="xx" localSheetId="48">'[85]TRIAL BALANCE'!#REF!</definedName>
    <definedName name="xx" localSheetId="18">'[84]TRIAL BALANCE'!#REF!</definedName>
    <definedName name="xx" localSheetId="29">'[84]TRIAL BALANCE'!#REF!</definedName>
    <definedName name="xx" localSheetId="3">'[84]TRIAL BALANCE'!#REF!</definedName>
    <definedName name="xx" localSheetId="35">'[85]TRIAL BALANCE'!#REF!</definedName>
    <definedName name="xx" localSheetId="16">'[84]TRIAL BALANCE'!#REF!</definedName>
    <definedName name="xx" localSheetId="19">'[84]TRIAL BALANCE'!#REF!</definedName>
    <definedName name="xx" localSheetId="20">'[84]TRIAL BALANCE'!#REF!</definedName>
    <definedName name="xx" localSheetId="43">'[84]TRIAL BALANCE'!#REF!</definedName>
    <definedName name="xx">'[84]TRIAL BALANCE'!#REF!</definedName>
    <definedName name="xxxx" localSheetId="26">#REF!</definedName>
    <definedName name="xxxx" localSheetId="18">#REF!</definedName>
    <definedName name="xxxx" localSheetId="29">#REF!</definedName>
    <definedName name="xxxx" localSheetId="16">#REF!</definedName>
    <definedName name="xxxx" localSheetId="20">#REF!</definedName>
    <definedName name="xxxx" localSheetId="43">#REF!</definedName>
    <definedName name="xxxx">#REF!</definedName>
    <definedName name="XXXXX">[75]CMCQTYP!$A$1:$IV$4</definedName>
    <definedName name="Y" localSheetId="26">#REF!</definedName>
    <definedName name="Y" localSheetId="33">#REF!</definedName>
    <definedName name="Y" localSheetId="17">#REF!</definedName>
    <definedName name="Y" localSheetId="29">#REF!</definedName>
    <definedName name="Y" localSheetId="3">#REF!</definedName>
    <definedName name="Y" localSheetId="16">#REF!</definedName>
    <definedName name="Y" localSheetId="19">#REF!</definedName>
    <definedName name="Y" localSheetId="20">#REF!</definedName>
    <definedName name="Y" localSheetId="43">#REF!</definedName>
    <definedName name="Y">#REF!</definedName>
    <definedName name="York_Graphs" localSheetId="26">#REF!</definedName>
    <definedName name="York_Graphs" localSheetId="33">#REF!</definedName>
    <definedName name="York_Graphs" localSheetId="17">#REF!</definedName>
    <definedName name="York_Graphs" localSheetId="29">#REF!</definedName>
    <definedName name="York_Graphs" localSheetId="3">#REF!</definedName>
    <definedName name="York_Graphs" localSheetId="16">#REF!</definedName>
    <definedName name="York_Graphs" localSheetId="19">#REF!</definedName>
    <definedName name="York_Graphs" localSheetId="20">#REF!</definedName>
    <definedName name="York_Graphs" localSheetId="43">#REF!</definedName>
    <definedName name="York_Graphs">#REF!</definedName>
    <definedName name="YTD_ACTL_GRF">'[32]IS Mo'!$AH$77:$AS$129</definedName>
    <definedName name="YTD_ACTL_INN">'[32]IS Mo'!$BL$77:$BW$129</definedName>
    <definedName name="YTD_ACTL_PUB">'[32]IS Mo'!$AW$77:$BH$129</definedName>
    <definedName name="YTD_BGT_GRF">'[32]IS Mo'!$AH$200:$AS$252</definedName>
    <definedName name="YTD_BGT_INN">'[32]IS Mo'!$BL$200:$BW$252</definedName>
    <definedName name="YTD_BGT_PUB">'[32]IS Mo'!$AW$200:$BH$252</definedName>
    <definedName name="YTD_FCST_GRF">'[32]IS Mo'!$CP$77:$DA$129</definedName>
    <definedName name="YTD_FCST_INN">'[32]IS Mo'!$DT$77:$EE$129</definedName>
    <definedName name="YTD_FCST_PUB">'[32]IS Mo'!$DE$77:$DP$129</definedName>
    <definedName name="YTD_PREV_GRF">'[32]IS Mo'!$EX$77:$FI$129</definedName>
    <definedName name="YTD_PREV_INN">'[32]IS Mo'!$GB$77:$GM$129</definedName>
    <definedName name="YTD_PREV_PUB">'[32]IS Mo'!$FM$77:$FX$129</definedName>
    <definedName name="Z" localSheetId="26">#REF!</definedName>
    <definedName name="Z" localSheetId="33">#REF!</definedName>
    <definedName name="Z" localSheetId="17">#REF!</definedName>
    <definedName name="Z" localSheetId="29">#REF!</definedName>
    <definedName name="Z" localSheetId="3">#REF!</definedName>
    <definedName name="Z" localSheetId="16">#REF!</definedName>
    <definedName name="Z" localSheetId="19">#REF!</definedName>
    <definedName name="Z" localSheetId="20">#REF!</definedName>
    <definedName name="Z" localSheetId="43">#REF!</definedName>
    <definedName name="Z">#REF!</definedName>
    <definedName name="zcel" localSheetId="26">#REF!</definedName>
    <definedName name="zcel" localSheetId="29">#REF!</definedName>
    <definedName name="zcel" localSheetId="16">#REF!</definedName>
    <definedName name="zcel" localSheetId="20">#REF!</definedName>
    <definedName name="zcel" localSheetId="43">#REF!</definedName>
    <definedName name="zcel">#REF!</definedName>
    <definedName name="zcexpb" localSheetId="26">#REF!</definedName>
    <definedName name="zcexpb" localSheetId="29">#REF!</definedName>
    <definedName name="zcexpb" localSheetId="16">#REF!</definedName>
    <definedName name="zcexpb" localSheetId="20">#REF!</definedName>
    <definedName name="zcexpb" localSheetId="43">#REF!</definedName>
    <definedName name="zcexpb">#REF!</definedName>
    <definedName name="zcexpb1" localSheetId="26">#REF!</definedName>
    <definedName name="zcexpb1" localSheetId="29">#REF!</definedName>
    <definedName name="zcexpb1" localSheetId="16">#REF!</definedName>
    <definedName name="zcexpb1" localSheetId="20">#REF!</definedName>
    <definedName name="zcexpb1" localSheetId="43">#REF!</definedName>
    <definedName name="zcexpb1">#REF!</definedName>
    <definedName name="ZCEXPB3" localSheetId="26">#REF!</definedName>
    <definedName name="ZCEXPB3" localSheetId="29">#REF!</definedName>
    <definedName name="ZCEXPB3" localSheetId="16">#REF!</definedName>
    <definedName name="ZCEXPB3" localSheetId="20">#REF!</definedName>
    <definedName name="ZCEXPB3" localSheetId="43">#REF!</definedName>
    <definedName name="ZCEXPB3">#REF!</definedName>
    <definedName name="zcexpc" localSheetId="26">#REF!</definedName>
    <definedName name="zcexpc" localSheetId="29">#REF!</definedName>
    <definedName name="zcexpc" localSheetId="16">#REF!</definedName>
    <definedName name="zcexpc" localSheetId="20">#REF!</definedName>
    <definedName name="zcexpc" localSheetId="43">#REF!</definedName>
    <definedName name="zcexpc">#REF!</definedName>
    <definedName name="zcexpc2" localSheetId="26">#REF!</definedName>
    <definedName name="zcexpc2" localSheetId="29">#REF!</definedName>
    <definedName name="zcexpc2" localSheetId="16">#REF!</definedName>
    <definedName name="zcexpc2" localSheetId="20">#REF!</definedName>
    <definedName name="zcexpc2" localSheetId="43">#REF!</definedName>
    <definedName name="zcexpc2">#REF!</definedName>
    <definedName name="ZCEXPC3" localSheetId="26">#REF!</definedName>
    <definedName name="ZCEXPC3" localSheetId="29">#REF!</definedName>
    <definedName name="ZCEXPC3" localSheetId="16">#REF!</definedName>
    <definedName name="ZCEXPC3" localSheetId="20">#REF!</definedName>
    <definedName name="ZCEXPC3" localSheetId="43">#REF!</definedName>
    <definedName name="ZCEXPC3">#REF!</definedName>
    <definedName name="zdapnl">[39]CorExp!$A$2:$Z$136</definedName>
    <definedName name="zecpb">'[86]exp dabhasa'!$D$1:$V$40</definedName>
    <definedName name="zeexpb" localSheetId="26">#REF!</definedName>
    <definedName name="zeexpb" localSheetId="18">#REF!</definedName>
    <definedName name="zeexpb" localSheetId="29">#REF!</definedName>
    <definedName name="zeexpb" localSheetId="16">#REF!</definedName>
    <definedName name="zeexpb" localSheetId="20">#REF!</definedName>
    <definedName name="zeexpb" localSheetId="43">#REF!</definedName>
    <definedName name="zeexpb">#REF!</definedName>
    <definedName name="ziaex" localSheetId="26">#REF!</definedName>
    <definedName name="ziaex" localSheetId="29">#REF!</definedName>
    <definedName name="ziaex" localSheetId="16">#REF!</definedName>
    <definedName name="ziaex" localSheetId="20">#REF!</definedName>
    <definedName name="ziaex" localSheetId="43">#REF!</definedName>
    <definedName name="ziaex">#REF!</definedName>
    <definedName name="ziapnl" localSheetId="26">#REF!</definedName>
    <definedName name="ziapnl" localSheetId="29">#REF!</definedName>
    <definedName name="ziapnl" localSheetId="16">#REF!</definedName>
    <definedName name="ziapnl" localSheetId="20">#REF!</definedName>
    <definedName name="ziapnl" localSheetId="43">#REF!</definedName>
    <definedName name="ziapnl">#REF!</definedName>
    <definedName name="zibex" localSheetId="26">#REF!</definedName>
    <definedName name="zibex" localSheetId="29">#REF!</definedName>
    <definedName name="zibex" localSheetId="16">#REF!</definedName>
    <definedName name="zibex" localSheetId="20">#REF!</definedName>
    <definedName name="zibex" localSheetId="43">#REF!</definedName>
    <definedName name="zibex">#REF!</definedName>
    <definedName name="zibpnl" localSheetId="26">#REF!</definedName>
    <definedName name="zibpnl" localSheetId="29">#REF!</definedName>
    <definedName name="zibpnl" localSheetId="16">#REF!</definedName>
    <definedName name="zibpnl" localSheetId="20">#REF!</definedName>
    <definedName name="zibpnl" localSheetId="43">#REF!</definedName>
    <definedName name="zibpnl">#REF!</definedName>
    <definedName name="ziepnl" localSheetId="26">#REF!</definedName>
    <definedName name="ziepnl" localSheetId="29">#REF!</definedName>
    <definedName name="ziepnl" localSheetId="16">#REF!</definedName>
    <definedName name="ziepnl" localSheetId="20">#REF!</definedName>
    <definedName name="ziepnl" localSheetId="43">#REF!</definedName>
    <definedName name="ziepnl">#REF!</definedName>
    <definedName name="zipex" localSheetId="26">#REF!</definedName>
    <definedName name="zipex" localSheetId="29">#REF!</definedName>
    <definedName name="zipex" localSheetId="16">#REF!</definedName>
    <definedName name="zipex" localSheetId="20">#REF!</definedName>
    <definedName name="zipex" localSheetId="43">#REF!</definedName>
    <definedName name="zipex">#REF!</definedName>
    <definedName name="zippnl" localSheetId="26">#REF!</definedName>
    <definedName name="zippnl" localSheetId="29">#REF!</definedName>
    <definedName name="zippnl" localSheetId="16">#REF!</definedName>
    <definedName name="zippnl" localSheetId="20">#REF!</definedName>
    <definedName name="zippnl" localSheetId="43">#REF!</definedName>
    <definedName name="zippnl">#REF!</definedName>
    <definedName name="zlapnl">[39]Nslcog!$A$2:$Z$136</definedName>
    <definedName name="zlbpnl">[39]Nslcog!$A$139:$Z$269</definedName>
    <definedName name="zlepnl">[39]Nslcog!$A$319:$Z$363</definedName>
    <definedName name="zlppnl">[39]Nslcog!$A$272:$Z$316</definedName>
    <definedName name="zrapnl" localSheetId="26">#REF!</definedName>
    <definedName name="zrapnl" localSheetId="18">#REF!</definedName>
    <definedName name="zrapnl" localSheetId="29">#REF!</definedName>
    <definedName name="zrapnl" localSheetId="16">#REF!</definedName>
    <definedName name="zrapnl" localSheetId="20">#REF!</definedName>
    <definedName name="zrapnl" localSheetId="43">#REF!</definedName>
    <definedName name="zrapnl">#REF!</definedName>
    <definedName name="zrbpnl" localSheetId="26">#REF!</definedName>
    <definedName name="zrbpnl" localSheetId="29">#REF!</definedName>
    <definedName name="zrbpnl" localSheetId="16">#REF!</definedName>
    <definedName name="zrbpnl" localSheetId="20">#REF!</definedName>
    <definedName name="zrbpnl" localSheetId="43">#REF!</definedName>
    <definedName name="zrbpnl">#REF!</definedName>
    <definedName name="zrepnl" localSheetId="26">#REF!</definedName>
    <definedName name="zrepnl" localSheetId="29">#REF!</definedName>
    <definedName name="zrepnl" localSheetId="16">#REF!</definedName>
    <definedName name="zrepnl" localSheetId="20">#REF!</definedName>
    <definedName name="zrepnl" localSheetId="43">#REF!</definedName>
    <definedName name="zrepnl">#REF!</definedName>
    <definedName name="zrppnl" localSheetId="26">#REF!</definedName>
    <definedName name="zrppnl" localSheetId="29">#REF!</definedName>
    <definedName name="zrppnl" localSheetId="16">#REF!</definedName>
    <definedName name="zrppnl" localSheetId="20">#REF!</definedName>
    <definedName name="zrppnl" localSheetId="43">#REF!</definedName>
    <definedName name="zrppnl">#REF!</definedName>
    <definedName name="zvapnl" localSheetId="26">#REF!</definedName>
    <definedName name="zvapnl" localSheetId="29">#REF!</definedName>
    <definedName name="zvapnl" localSheetId="16">#REF!</definedName>
    <definedName name="zvapnl" localSheetId="20">#REF!</definedName>
    <definedName name="zvapnl" localSheetId="43">#REF!</definedName>
    <definedName name="zvapnl">#REF!</definedName>
    <definedName name="zvbpnl" localSheetId="26">#REF!</definedName>
    <definedName name="zvbpnl" localSheetId="29">#REF!</definedName>
    <definedName name="zvbpnl" localSheetId="16">#REF!</definedName>
    <definedName name="zvbpnl" localSheetId="20">#REF!</definedName>
    <definedName name="zvbpnl" localSheetId="43">#REF!</definedName>
    <definedName name="zvbpnl">#REF!</definedName>
    <definedName name="zvepnl" localSheetId="26">#REF!</definedName>
    <definedName name="zvepnl" localSheetId="29">#REF!</definedName>
    <definedName name="zvepnl" localSheetId="16">#REF!</definedName>
    <definedName name="zvepnl" localSheetId="20">#REF!</definedName>
    <definedName name="zvepnl" localSheetId="43">#REF!</definedName>
    <definedName name="zvepnl">#REF!</definedName>
    <definedName name="zvppnl" localSheetId="26">#REF!</definedName>
    <definedName name="zvppnl" localSheetId="29">#REF!</definedName>
    <definedName name="zvppnl" localSheetId="16">#REF!</definedName>
    <definedName name="zvppnl" localSheetId="20">#REF!</definedName>
    <definedName name="zvppnl" localSheetId="43">#REF!</definedName>
    <definedName name="zvppnl">#REF!</definedName>
    <definedName name="ZWL">'[87]H - S Bs'!$J$7</definedName>
    <definedName name="zxcv">'[86]exp dabhasa'!$D$1:$V$40</definedName>
    <definedName name="zz" localSheetId="26">#REF!</definedName>
    <definedName name="zz" localSheetId="18">#REF!</definedName>
    <definedName name="zz" localSheetId="29">#REF!</definedName>
    <definedName name="zz" localSheetId="16">#REF!</definedName>
    <definedName name="zz" localSheetId="20">#REF!</definedName>
    <definedName name="zz" localSheetId="43">#REF!</definedName>
    <definedName name="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 i="59" l="1"/>
  <c r="F37" i="59"/>
  <c r="K19" i="5"/>
  <c r="K14" i="5"/>
  <c r="K18" i="5"/>
  <c r="AE65" i="57"/>
  <c r="AE67" i="57" s="1"/>
  <c r="AE8" i="57"/>
  <c r="AL3" i="57" s="1"/>
  <c r="AE10" i="57" s="1"/>
  <c r="AE11" i="57" s="1"/>
  <c r="AD14" i="57" s="1"/>
  <c r="AD13" i="57"/>
  <c r="L15" i="57"/>
  <c r="J20" i="57"/>
  <c r="S23" i="57"/>
  <c r="AE26" i="57"/>
  <c r="AH26" i="57"/>
  <c r="D27" i="57"/>
  <c r="D28" i="57"/>
  <c r="AE33" i="57"/>
  <c r="C34" i="57"/>
  <c r="D34" i="57"/>
  <c r="F34" i="57" s="1"/>
  <c r="AE34" i="57"/>
  <c r="AJ34" i="57"/>
  <c r="AJ35" i="57" s="1"/>
  <c r="AE35" i="57"/>
  <c r="Z38" i="57"/>
  <c r="S39" i="57"/>
  <c r="Z39" i="57"/>
  <c r="D40" i="57"/>
  <c r="D48" i="57" s="1"/>
  <c r="X54" i="57" s="1"/>
  <c r="AE41" i="57"/>
  <c r="AE43" i="57" s="1"/>
  <c r="D43" i="57"/>
  <c r="AJ43" i="57"/>
  <c r="D44" i="57"/>
  <c r="X44" i="57"/>
  <c r="S47" i="57"/>
  <c r="AE49" i="57"/>
  <c r="AE51" i="57" s="1"/>
  <c r="D51" i="57"/>
  <c r="X51" i="57"/>
  <c r="AJ51" i="57"/>
  <c r="D52" i="57"/>
  <c r="X52" i="57"/>
  <c r="D53" i="57"/>
  <c r="X53" i="57"/>
  <c r="AE57" i="57"/>
  <c r="AE59" i="57" s="1"/>
  <c r="S64" i="57"/>
  <c r="D65" i="57"/>
  <c r="X70" i="57" s="1"/>
  <c r="AJ65" i="57"/>
  <c r="AJ67" i="57" s="1"/>
  <c r="D68" i="57"/>
  <c r="D69" i="57"/>
  <c r="S73" i="57"/>
  <c r="AE73" i="57"/>
  <c r="AE75" i="57" s="1"/>
  <c r="D74" i="57"/>
  <c r="X80" i="57" s="1"/>
  <c r="D77" i="57"/>
  <c r="X77" i="57"/>
  <c r="D78" i="57"/>
  <c r="X78" i="57"/>
  <c r="D79" i="57"/>
  <c r="X79" i="57"/>
  <c r="X45" i="57" l="1"/>
  <c r="AD15" i="57"/>
  <c r="AD17" i="57" s="1"/>
  <c r="AD19" i="57"/>
  <c r="AE28" i="57" s="1"/>
  <c r="AE27" i="57"/>
  <c r="AE29" i="57" s="1"/>
  <c r="D33" i="57"/>
  <c r="AN26" i="57"/>
  <c r="AQ26" i="57" s="1"/>
  <c r="N18" i="5"/>
  <c r="K34" i="5"/>
  <c r="N34" i="5" s="1"/>
  <c r="K32" i="5"/>
  <c r="N32" i="5" s="1"/>
  <c r="K24" i="5"/>
  <c r="N24" i="5" s="1"/>
  <c r="K23" i="5"/>
  <c r="N23" i="5" s="1"/>
  <c r="K22" i="5"/>
  <c r="N22" i="5" s="1"/>
  <c r="K21" i="5"/>
  <c r="N21" i="5" s="1"/>
  <c r="K20" i="5"/>
  <c r="N20" i="5" s="1"/>
  <c r="N19" i="5"/>
  <c r="K15" i="5"/>
  <c r="N15" i="5" s="1"/>
  <c r="N14" i="5"/>
  <c r="K25" i="5" l="1"/>
  <c r="N16" i="5"/>
  <c r="C26" i="57"/>
  <c r="C50" i="57" s="1"/>
  <c r="Y50" i="57" s="1"/>
  <c r="AH27" i="57"/>
  <c r="AN27" i="57"/>
  <c r="AQ27" i="57" s="1"/>
  <c r="AQ28" i="57" s="1"/>
  <c r="AQ29" i="57" s="1"/>
  <c r="Y26" i="57"/>
  <c r="C42" i="57"/>
  <c r="Y42" i="57" s="1"/>
  <c r="D35" i="57"/>
  <c r="F33" i="57"/>
  <c r="C43" i="57"/>
  <c r="Y43" i="57" s="1"/>
  <c r="C68" i="57"/>
  <c r="Y68" i="57" s="1"/>
  <c r="C78" i="57"/>
  <c r="Y78" i="57" s="1"/>
  <c r="C28" i="57"/>
  <c r="Y28" i="57" s="1"/>
  <c r="AH28" i="57"/>
  <c r="D31" i="57"/>
  <c r="C44" i="57"/>
  <c r="Y44" i="57" s="1"/>
  <c r="C51" i="57"/>
  <c r="Y51" i="57" s="1"/>
  <c r="C79" i="57"/>
  <c r="Y79" i="57" s="1"/>
  <c r="C27" i="57"/>
  <c r="C52" i="57"/>
  <c r="Y52" i="57" s="1"/>
  <c r="C53" i="57"/>
  <c r="Y53" i="57" s="1"/>
  <c r="C69" i="57"/>
  <c r="Y69" i="57" s="1"/>
  <c r="C77" i="57"/>
  <c r="Y77" i="57" s="1"/>
  <c r="B43" i="14"/>
  <c r="B29" i="14"/>
  <c r="B45" i="14"/>
  <c r="B44" i="14"/>
  <c r="C67" i="57" l="1"/>
  <c r="AE77" i="57"/>
  <c r="AE45" i="57"/>
  <c r="AE46" i="57" s="1"/>
  <c r="AJ45" i="57"/>
  <c r="AJ46" i="57" s="1"/>
  <c r="AJ53" i="57"/>
  <c r="AJ54" i="57" s="1"/>
  <c r="Y31" i="57"/>
  <c r="Y27" i="57"/>
  <c r="Y29" i="57" s="1"/>
  <c r="Y30" i="57" s="1"/>
  <c r="C32" i="57"/>
  <c r="F35" i="57"/>
  <c r="F36" i="57" s="1"/>
  <c r="E58" i="57"/>
  <c r="E60" i="57" s="1"/>
  <c r="Y67" i="57"/>
  <c r="Y70" i="57" s="1"/>
  <c r="Y71" i="57" s="1"/>
  <c r="AJ69" i="57" s="1"/>
  <c r="C76" i="57"/>
  <c r="Y76" i="57" s="1"/>
  <c r="Y80" i="57" s="1"/>
  <c r="Y81" i="57" s="1"/>
  <c r="AE69" i="57" s="1"/>
  <c r="Y54" i="57"/>
  <c r="Z54" i="57" s="1"/>
  <c r="AE61" i="57" s="1"/>
  <c r="AE62" i="57" s="1"/>
  <c r="Y45" i="57"/>
  <c r="Z45" i="57" s="1"/>
  <c r="AE53" i="57" s="1"/>
  <c r="AE54" i="57" s="1"/>
  <c r="AH29" i="57"/>
  <c r="AH30" i="57" s="1"/>
  <c r="B15" i="14"/>
  <c r="B13" i="14"/>
  <c r="B14" i="14"/>
  <c r="B37" i="14"/>
  <c r="B36" i="14"/>
  <c r="B11" i="14"/>
  <c r="B12" i="14"/>
  <c r="B33" i="14"/>
  <c r="B10" i="14"/>
  <c r="AE70" i="57" l="1"/>
  <c r="N45" i="5"/>
  <c r="AJ70" i="57"/>
  <c r="K45" i="5"/>
  <c r="AE78" i="57"/>
  <c r="O45" i="5"/>
  <c r="AE37" i="57"/>
  <c r="AE38" i="57" s="1"/>
  <c r="AJ37" i="57"/>
  <c r="AJ38" i="57" s="1"/>
  <c r="B9" i="14"/>
  <c r="I45" i="28"/>
  <c r="I46" i="28"/>
  <c r="I48" i="28"/>
  <c r="I50" i="28"/>
  <c r="I58" i="28"/>
  <c r="I11" i="28"/>
  <c r="I25" i="28"/>
  <c r="O56" i="5" l="1"/>
  <c r="O58" i="5" s="1"/>
  <c r="N56" i="5"/>
  <c r="N58" i="5" s="1"/>
  <c r="M56" i="5" l="1"/>
  <c r="M58" i="5" s="1"/>
  <c r="L56" i="5"/>
  <c r="L58" i="5" s="1"/>
  <c r="K56" i="5"/>
  <c r="G57" i="28" l="1"/>
  <c r="I57" i="28" s="1"/>
  <c r="AO57" i="28"/>
  <c r="H59" i="28"/>
  <c r="G55" i="28"/>
  <c r="I55" i="28" s="1"/>
  <c r="G54" i="28"/>
  <c r="I54" i="28" s="1"/>
  <c r="G53" i="28"/>
  <c r="I53" i="28" s="1"/>
  <c r="G52" i="28"/>
  <c r="G51" i="28"/>
  <c r="I51" i="28" s="1"/>
  <c r="G49" i="28"/>
  <c r="I49" i="28" s="1"/>
  <c r="G47" i="28"/>
  <c r="I47" i="28" s="1"/>
  <c r="G43" i="28"/>
  <c r="I43" i="28" s="1"/>
  <c r="G42" i="28"/>
  <c r="I42" i="28" s="1"/>
  <c r="G41" i="28"/>
  <c r="I41" i="28" s="1"/>
  <c r="G40" i="28"/>
  <c r="G35" i="28"/>
  <c r="I35" i="28" s="1"/>
  <c r="J35" i="28" s="1"/>
  <c r="G34" i="28"/>
  <c r="I34" i="28" s="1"/>
  <c r="G27" i="28"/>
  <c r="I27" i="28" s="1"/>
  <c r="G26" i="28"/>
  <c r="I26" i="28" s="1"/>
  <c r="G24" i="28"/>
  <c r="I24" i="28" s="1"/>
  <c r="G23" i="28"/>
  <c r="I23" i="28" s="1"/>
  <c r="G22" i="28"/>
  <c r="I22" i="28" s="1"/>
  <c r="G21" i="28"/>
  <c r="I21" i="28" s="1"/>
  <c r="G19" i="28"/>
  <c r="I19" i="28" s="1"/>
  <c r="G13" i="28"/>
  <c r="I13" i="28" s="1"/>
  <c r="G12" i="28"/>
  <c r="I12" i="28" s="1"/>
  <c r="G10" i="28"/>
  <c r="I10" i="28" s="1"/>
  <c r="G9" i="28"/>
  <c r="I9" i="28" s="1"/>
  <c r="G8" i="28"/>
  <c r="I8" i="28" s="1"/>
  <c r="H38" i="51"/>
  <c r="I52" i="28" l="1"/>
  <c r="K73" i="5"/>
  <c r="I40" i="28"/>
  <c r="K75" i="5"/>
  <c r="N55" i="51"/>
  <c r="H29" i="51"/>
  <c r="H30" i="51" s="1"/>
  <c r="H40" i="51" s="1"/>
  <c r="Z39" i="50" l="1"/>
  <c r="Z38" i="50"/>
  <c r="D34" i="50" l="1"/>
  <c r="F34" i="50" s="1"/>
  <c r="X53" i="50"/>
  <c r="D53" i="50"/>
  <c r="X52" i="50"/>
  <c r="D52" i="50"/>
  <c r="AJ51" i="50"/>
  <c r="X51" i="50"/>
  <c r="D51" i="50"/>
  <c r="S47" i="50"/>
  <c r="X44" i="50"/>
  <c r="D44" i="50"/>
  <c r="AJ43" i="50"/>
  <c r="D43" i="50"/>
  <c r="AE41" i="50"/>
  <c r="AE43" i="50" s="1"/>
  <c r="D40" i="50"/>
  <c r="X45" i="50" s="1"/>
  <c r="S39" i="50"/>
  <c r="AJ34" i="50"/>
  <c r="AJ35" i="50" s="1"/>
  <c r="AE34" i="50"/>
  <c r="C34" i="50"/>
  <c r="AE33" i="50"/>
  <c r="D28" i="50"/>
  <c r="D27" i="50"/>
  <c r="S23" i="50"/>
  <c r="J20" i="50"/>
  <c r="L15" i="50"/>
  <c r="AD13" i="50"/>
  <c r="AE26" i="50" s="1"/>
  <c r="AE8" i="50"/>
  <c r="AL3" i="50" s="1"/>
  <c r="AE10" i="50" s="1"/>
  <c r="AE11" i="50" s="1"/>
  <c r="AD14" i="50" s="1"/>
  <c r="AD15" i="50" s="1"/>
  <c r="AD17" i="50" s="1"/>
  <c r="AE27" i="50" s="1"/>
  <c r="AE35" i="50" l="1"/>
  <c r="AD19" i="50"/>
  <c r="AE28" i="50" s="1"/>
  <c r="D33" i="50"/>
  <c r="C26" i="50"/>
  <c r="AH26" i="50"/>
  <c r="AE29" i="50"/>
  <c r="AN26" i="50"/>
  <c r="AQ26" i="50" s="1"/>
  <c r="AQ28" i="50" s="1"/>
  <c r="AQ29" i="50" s="1"/>
  <c r="AJ53" i="50" s="1"/>
  <c r="AJ54" i="50" s="1"/>
  <c r="AJ45" i="50"/>
  <c r="AJ46" i="50" s="1"/>
  <c r="AH27" i="50"/>
  <c r="AN27" i="50"/>
  <c r="AQ27" i="50" s="1"/>
  <c r="D48" i="50"/>
  <c r="X54" i="50" s="1"/>
  <c r="C50" i="50" l="1"/>
  <c r="Y50" i="50" s="1"/>
  <c r="Y26" i="50"/>
  <c r="C42" i="50"/>
  <c r="Y42" i="50" s="1"/>
  <c r="D35" i="50"/>
  <c r="F33" i="50"/>
  <c r="AE45" i="50"/>
  <c r="AE46" i="50" s="1"/>
  <c r="C44" i="50"/>
  <c r="Y44" i="50" s="1"/>
  <c r="C27" i="50"/>
  <c r="C51" i="50"/>
  <c r="Y51" i="50" s="1"/>
  <c r="C53" i="50"/>
  <c r="Y53" i="50" s="1"/>
  <c r="C52" i="50"/>
  <c r="Y52" i="50" s="1"/>
  <c r="C43" i="50"/>
  <c r="Y43" i="50" s="1"/>
  <c r="D31" i="50"/>
  <c r="AH28" i="50"/>
  <c r="AH29" i="50" s="1"/>
  <c r="AH30" i="50" s="1"/>
  <c r="C28" i="50"/>
  <c r="Y28" i="50" s="1"/>
  <c r="Y54" i="50" l="1"/>
  <c r="Z54" i="50" s="1"/>
  <c r="AE37" i="50"/>
  <c r="AE38" i="50" s="1"/>
  <c r="AJ37" i="50"/>
  <c r="AJ38" i="50" s="1"/>
  <c r="F35" i="50"/>
  <c r="F36" i="50" s="1"/>
  <c r="E58" i="50"/>
  <c r="E60" i="50" s="1"/>
  <c r="Y31" i="50"/>
  <c r="Y45" i="50"/>
  <c r="Z45" i="50" s="1"/>
  <c r="Y27" i="50"/>
  <c r="Y29" i="50" s="1"/>
  <c r="Y30" i="50" s="1"/>
  <c r="C32" i="50"/>
  <c r="N41" i="5" l="1"/>
  <c r="K41" i="5"/>
  <c r="R31" i="49"/>
  <c r="R32" i="49" s="1"/>
  <c r="R27" i="49"/>
  <c r="R23" i="49"/>
  <c r="K16" i="5" l="1"/>
  <c r="G11" i="47" l="1"/>
  <c r="F9" i="47"/>
  <c r="F11" i="47" s="1"/>
  <c r="H11" i="47" l="1"/>
  <c r="E8" i="44"/>
  <c r="E9" i="44" s="1"/>
  <c r="F9" i="44" l="1"/>
  <c r="N10" i="45"/>
  <c r="N15" i="45" s="1"/>
  <c r="E10" i="45"/>
  <c r="E17" i="45" s="1"/>
  <c r="S11" i="45"/>
  <c r="H10" i="45"/>
  <c r="S12" i="45"/>
  <c r="S9" i="45"/>
  <c r="S8" i="45"/>
  <c r="D7" i="44"/>
  <c r="D6" i="44"/>
  <c r="D5" i="44"/>
  <c r="D9" i="44" s="1"/>
  <c r="AI58" i="43"/>
  <c r="AI60" i="43" s="1"/>
  <c r="AI51" i="43"/>
  <c r="C45" i="43"/>
  <c r="AI43" i="43"/>
  <c r="AD41" i="43"/>
  <c r="AD43" i="43" s="1"/>
  <c r="F40" i="43"/>
  <c r="AI34" i="43"/>
  <c r="AI35" i="43" s="1"/>
  <c r="AD34" i="43"/>
  <c r="AD35" i="43" s="1"/>
  <c r="AD33" i="43"/>
  <c r="D28" i="43"/>
  <c r="D27" i="43"/>
  <c r="S23" i="43"/>
  <c r="J20" i="43"/>
  <c r="L15" i="43"/>
  <c r="AC13" i="43"/>
  <c r="AD26" i="43" s="1"/>
  <c r="D39" i="43" s="1"/>
  <c r="AD8" i="43"/>
  <c r="AK3" i="43"/>
  <c r="AD10" i="43" s="1"/>
  <c r="AD11" i="43" s="1"/>
  <c r="AC14" i="43" s="1"/>
  <c r="AC15" i="43" s="1"/>
  <c r="AC17" i="43" s="1"/>
  <c r="AD27" i="43" s="1"/>
  <c r="AC19" i="43" l="1"/>
  <c r="AD28" i="43" s="1"/>
  <c r="S10" i="45"/>
  <c r="AG28" i="43"/>
  <c r="C28" i="43"/>
  <c r="Y28" i="43" s="1"/>
  <c r="C27" i="43"/>
  <c r="Y27" i="43" s="1"/>
  <c r="AM27" i="43"/>
  <c r="AP27" i="43" s="1"/>
  <c r="AG27" i="43"/>
  <c r="D41" i="43"/>
  <c r="F41" i="43" s="1"/>
  <c r="F39" i="43"/>
  <c r="AG26" i="43"/>
  <c r="C26" i="43"/>
  <c r="Y26" i="43" s="1"/>
  <c r="AM26" i="43"/>
  <c r="AP26" i="43" s="1"/>
  <c r="AD29" i="43"/>
  <c r="AP28" i="43" l="1"/>
  <c r="AP29" i="43" s="1"/>
  <c r="F42" i="43"/>
  <c r="AD45" i="43"/>
  <c r="AD46" i="43" s="1"/>
  <c r="Y29" i="43"/>
  <c r="AG29" i="43"/>
  <c r="AG30" i="43" s="1"/>
  <c r="AI53" i="43"/>
  <c r="AI54" i="43" s="1"/>
  <c r="AI45" i="43" l="1"/>
  <c r="AI46" i="43" s="1"/>
  <c r="AI62" i="43"/>
  <c r="AI63" i="43" s="1"/>
  <c r="AI37" i="43"/>
  <c r="AI38" i="43" s="1"/>
  <c r="AD37" i="43"/>
  <c r="AD38" i="43" s="1"/>
  <c r="L74" i="5" l="1"/>
  <c r="P56" i="5"/>
  <c r="P58" i="5" s="1"/>
  <c r="K58" i="5"/>
  <c r="L76" i="5" l="1"/>
  <c r="L70" i="5"/>
  <c r="F56" i="5" l="1"/>
  <c r="F58" i="5" s="1"/>
  <c r="G56" i="5"/>
  <c r="G58" i="5" s="1"/>
  <c r="E62" i="5"/>
  <c r="F62" i="5"/>
  <c r="AF3" i="41"/>
  <c r="AC11" i="41"/>
  <c r="AZ41" i="42"/>
  <c r="W26" i="41"/>
  <c r="AV26" i="42" l="1"/>
  <c r="AV25" i="42"/>
  <c r="AW26" i="42" l="1"/>
  <c r="AV49" i="42"/>
  <c r="AV42" i="42"/>
  <c r="G15" i="28" l="1"/>
  <c r="AV24" i="42"/>
  <c r="AW42" i="42" l="1"/>
  <c r="AW49" i="42"/>
  <c r="AR47" i="28" s="1"/>
  <c r="AV44" i="42"/>
  <c r="AW44" i="42" s="1"/>
  <c r="AV43" i="42"/>
  <c r="AW43" i="42" s="1"/>
  <c r="AV50" i="42"/>
  <c r="AW50" i="42" s="1"/>
  <c r="AR40" i="28" l="1"/>
  <c r="BM28" i="42"/>
  <c r="AV55" i="42"/>
  <c r="AW55" i="42" s="1"/>
  <c r="BU28" i="42"/>
  <c r="BU27" i="42"/>
  <c r="BU26" i="42"/>
  <c r="BU25" i="42"/>
  <c r="BU24" i="42"/>
  <c r="BU23" i="42"/>
  <c r="BU22" i="42"/>
  <c r="BU21" i="42"/>
  <c r="BU20" i="42"/>
  <c r="BP31" i="42"/>
  <c r="AV54" i="42" s="1"/>
  <c r="AW54" i="42" s="1"/>
  <c r="BS31" i="42"/>
  <c r="BH27" i="42"/>
  <c r="BM27" i="42" s="1"/>
  <c r="BM26" i="42"/>
  <c r="BK25" i="42"/>
  <c r="BH25" i="42"/>
  <c r="BM25" i="42" s="1"/>
  <c r="BH24" i="42"/>
  <c r="BM24" i="42" s="1"/>
  <c r="BM23" i="42"/>
  <c r="BK22" i="42"/>
  <c r="BH22" i="42"/>
  <c r="BM22" i="42" s="1"/>
  <c r="BK21" i="42"/>
  <c r="BH21" i="42"/>
  <c r="BK20" i="42"/>
  <c r="BH20" i="42"/>
  <c r="AW24" i="42"/>
  <c r="AV28" i="42"/>
  <c r="AW28" i="42" s="1"/>
  <c r="AW25" i="42"/>
  <c r="AV15" i="42"/>
  <c r="AW15" i="42" s="1"/>
  <c r="BH31" i="42" l="1"/>
  <c r="BU31" i="42"/>
  <c r="BV31" i="42" s="1"/>
  <c r="BM21" i="42"/>
  <c r="AW29" i="42"/>
  <c r="AV29" i="42"/>
  <c r="BK31" i="42"/>
  <c r="AV56" i="42" s="1"/>
  <c r="AW56" i="42" s="1"/>
  <c r="BM20" i="42"/>
  <c r="BM31" i="42" s="1"/>
  <c r="BE31" i="42" l="1"/>
  <c r="AV21" i="42" s="1"/>
  <c r="AW21" i="42" s="1"/>
  <c r="AV36" i="42"/>
  <c r="AV45" i="42"/>
  <c r="AW45" i="42" s="1"/>
  <c r="K76" i="5" s="1"/>
  <c r="AV23" i="42"/>
  <c r="AW23" i="42" s="1"/>
  <c r="AW36" i="42" l="1"/>
  <c r="AV60" i="42"/>
  <c r="AV14" i="42"/>
  <c r="AW14" i="42" s="1"/>
  <c r="K69" i="5" s="1"/>
  <c r="AW12" i="42"/>
  <c r="AV10" i="42"/>
  <c r="AV11" i="42" l="1"/>
  <c r="AV32" i="42" s="1"/>
  <c r="AY61" i="42" s="1"/>
  <c r="AW11" i="42" l="1"/>
  <c r="AW10" i="42" l="1"/>
  <c r="AD11" i="41"/>
  <c r="AW32" i="42" l="1"/>
  <c r="K67" i="5"/>
  <c r="K70" i="5" s="1"/>
  <c r="T150" i="41"/>
  <c r="T149" i="41"/>
  <c r="T148" i="41"/>
  <c r="T147" i="41"/>
  <c r="T146" i="41"/>
  <c r="T145" i="41"/>
  <c r="T144" i="41"/>
  <c r="T143" i="41"/>
  <c r="T142" i="41"/>
  <c r="T141" i="41"/>
  <c r="T140" i="41"/>
  <c r="T139" i="41"/>
  <c r="T138" i="41"/>
  <c r="T137" i="41"/>
  <c r="T136" i="41"/>
  <c r="T135" i="41"/>
  <c r="T134" i="41"/>
  <c r="T133" i="41"/>
  <c r="T132" i="41"/>
  <c r="T131" i="41"/>
  <c r="T130" i="41"/>
  <c r="T129" i="41"/>
  <c r="T128" i="41"/>
  <c r="T127" i="41"/>
  <c r="T126" i="41"/>
  <c r="T125" i="41"/>
  <c r="T124" i="41"/>
  <c r="T123" i="41"/>
  <c r="T122" i="41"/>
  <c r="T121" i="41"/>
  <c r="T120" i="41"/>
  <c r="T119" i="41"/>
  <c r="T118" i="41"/>
  <c r="T117" i="41"/>
  <c r="T116" i="41"/>
  <c r="T115" i="41"/>
  <c r="T114" i="41"/>
  <c r="T113" i="41"/>
  <c r="T112" i="41"/>
  <c r="T111" i="41"/>
  <c r="T110" i="41"/>
  <c r="T109" i="41"/>
  <c r="T108" i="41"/>
  <c r="T107" i="41"/>
  <c r="T106" i="41"/>
  <c r="T105" i="41"/>
  <c r="T104" i="41"/>
  <c r="T103" i="41"/>
  <c r="T102" i="41"/>
  <c r="T101" i="41"/>
  <c r="T100" i="41"/>
  <c r="T99" i="41"/>
  <c r="T98" i="41"/>
  <c r="T97" i="41"/>
  <c r="T96" i="41"/>
  <c r="T95" i="41"/>
  <c r="T94" i="41"/>
  <c r="T93" i="41"/>
  <c r="T92" i="41"/>
  <c r="T91" i="41"/>
  <c r="T90" i="41"/>
  <c r="AC21" i="41" s="1"/>
  <c r="AD21" i="41" s="1"/>
  <c r="T89" i="41"/>
  <c r="T88" i="41"/>
  <c r="T87" i="41"/>
  <c r="T86" i="41"/>
  <c r="T85" i="41"/>
  <c r="T84" i="41"/>
  <c r="T83" i="41"/>
  <c r="T82" i="41"/>
  <c r="T81" i="41"/>
  <c r="T80" i="41"/>
  <c r="T79" i="41"/>
  <c r="T78" i="41"/>
  <c r="T77" i="41"/>
  <c r="T76" i="41"/>
  <c r="T75" i="41"/>
  <c r="T74" i="41"/>
  <c r="T73" i="41"/>
  <c r="T72" i="41"/>
  <c r="T71" i="41"/>
  <c r="T70" i="41"/>
  <c r="T69" i="41"/>
  <c r="T68" i="41"/>
  <c r="T67" i="41"/>
  <c r="T66" i="41"/>
  <c r="T65" i="41"/>
  <c r="T64" i="41"/>
  <c r="T63" i="41"/>
  <c r="T62" i="41"/>
  <c r="T61" i="41"/>
  <c r="T60" i="41"/>
  <c r="T59" i="41"/>
  <c r="T58" i="41"/>
  <c r="T57" i="41"/>
  <c r="T56" i="41"/>
  <c r="T55" i="41"/>
  <c r="T53" i="41"/>
  <c r="AC8" i="41" s="1"/>
  <c r="AD8" i="41" s="1"/>
  <c r="T52" i="41"/>
  <c r="T51" i="41"/>
  <c r="T50" i="41"/>
  <c r="T49" i="41"/>
  <c r="T48" i="41"/>
  <c r="T47" i="41"/>
  <c r="T46" i="41"/>
  <c r="T45" i="41"/>
  <c r="T44" i="41"/>
  <c r="T43" i="41"/>
  <c r="T40" i="41"/>
  <c r="T39" i="41"/>
  <c r="T38" i="41"/>
  <c r="T37" i="41"/>
  <c r="T36" i="41"/>
  <c r="T35" i="41"/>
  <c r="T34" i="41"/>
  <c r="T33" i="41"/>
  <c r="T32" i="41"/>
  <c r="T31" i="41"/>
  <c r="T30" i="41"/>
  <c r="T29" i="41"/>
  <c r="T28" i="41"/>
  <c r="T25" i="41"/>
  <c r="T24" i="41"/>
  <c r="AC12" i="41" s="1"/>
  <c r="T23" i="41"/>
  <c r="T22" i="41"/>
  <c r="T21" i="41"/>
  <c r="T20" i="41"/>
  <c r="T19" i="41"/>
  <c r="T18" i="41"/>
  <c r="T17" i="41"/>
  <c r="T16" i="41"/>
  <c r="T15" i="41"/>
  <c r="T14" i="41"/>
  <c r="T13" i="41"/>
  <c r="T12" i="41"/>
  <c r="T11" i="41"/>
  <c r="T10" i="41"/>
  <c r="T9" i="41"/>
  <c r="T8" i="41"/>
  <c r="T7" i="41"/>
  <c r="T6" i="41"/>
  <c r="AC7" i="41" s="1"/>
  <c r="C48" i="14"/>
  <c r="C39" i="14"/>
  <c r="C18" i="14"/>
  <c r="C27" i="14" s="1"/>
  <c r="N35" i="5"/>
  <c r="AC16" i="41" l="1"/>
  <c r="AD16" i="41" s="1"/>
  <c r="AC15" i="41"/>
  <c r="U53" i="41"/>
  <c r="AD13" i="41"/>
  <c r="AC13" i="41"/>
  <c r="U40" i="41"/>
  <c r="V53" i="41"/>
  <c r="U149" i="41"/>
  <c r="U21" i="41"/>
  <c r="AC14" i="41"/>
  <c r="AD14" i="41" s="1"/>
  <c r="C50" i="14"/>
  <c r="AD12" i="41"/>
  <c r="V21" i="41"/>
  <c r="AD7" i="41"/>
  <c r="U25" i="41"/>
  <c r="AD15" i="41"/>
  <c r="AC9" i="41"/>
  <c r="O25" i="5"/>
  <c r="O16" i="5"/>
  <c r="L25" i="5"/>
  <c r="X21" i="41" l="1"/>
  <c r="O26" i="5"/>
  <c r="O30" i="5" s="1"/>
  <c r="O36" i="5" s="1"/>
  <c r="V40" i="41"/>
  <c r="V149" i="41"/>
  <c r="AC17" i="41"/>
  <c r="AD9" i="41"/>
  <c r="X22" i="41" l="1"/>
  <c r="X19" i="41"/>
  <c r="O40" i="5"/>
  <c r="AD17" i="41"/>
  <c r="AC18" i="41"/>
  <c r="M25" i="5"/>
  <c r="M16" i="5"/>
  <c r="AI77" i="43" l="1"/>
  <c r="AI79" i="43" s="1"/>
  <c r="AI81" i="43" s="1"/>
  <c r="O61" i="5"/>
  <c r="O63" i="5" s="1"/>
  <c r="M26" i="5"/>
  <c r="M30" i="5" s="1"/>
  <c r="M36" i="5" s="1"/>
  <c r="AI67" i="43" s="1"/>
  <c r="AI69" i="43" s="1"/>
  <c r="AI71" i="43" s="1"/>
  <c r="AD18" i="41"/>
  <c r="AC20" i="41"/>
  <c r="A60" i="14"/>
  <c r="B51" i="14"/>
  <c r="B31" i="13"/>
  <c r="AI82" i="43" l="1"/>
  <c r="AI72" i="43"/>
  <c r="M40" i="5"/>
  <c r="M61" i="5" s="1"/>
  <c r="M63" i="5" s="1"/>
  <c r="AC22" i="41"/>
  <c r="AB26" i="41" s="1"/>
  <c r="AD20" i="41"/>
  <c r="J45" i="28"/>
  <c r="J46" i="28"/>
  <c r="J48" i="28"/>
  <c r="J50" i="28"/>
  <c r="J57" i="28"/>
  <c r="J16" i="28"/>
  <c r="I15" i="28"/>
  <c r="B38" i="14"/>
  <c r="B39" i="14" s="1"/>
  <c r="O16" i="40"/>
  <c r="P15" i="40"/>
  <c r="P14" i="40"/>
  <c r="B3" i="40" s="1"/>
  <c r="I14" i="40"/>
  <c r="P13" i="40"/>
  <c r="H13" i="40"/>
  <c r="J13" i="40" s="1"/>
  <c r="E13" i="40"/>
  <c r="D13" i="40"/>
  <c r="C13" i="40"/>
  <c r="B13" i="40"/>
  <c r="J12" i="40"/>
  <c r="B12" i="40"/>
  <c r="G12" i="40" s="1"/>
  <c r="J11" i="40"/>
  <c r="C11" i="40"/>
  <c r="B11" i="40"/>
  <c r="J10" i="40"/>
  <c r="C10" i="40"/>
  <c r="B10" i="40"/>
  <c r="G10" i="40" s="1"/>
  <c r="J9" i="40"/>
  <c r="F9" i="40"/>
  <c r="F14" i="40" s="1"/>
  <c r="E9" i="40"/>
  <c r="D9" i="40"/>
  <c r="C9" i="40"/>
  <c r="R8" i="40"/>
  <c r="H8" i="40"/>
  <c r="J8" i="40" s="1"/>
  <c r="C8" i="40"/>
  <c r="H7" i="40"/>
  <c r="O5" i="40"/>
  <c r="H5" i="40"/>
  <c r="F5" i="40"/>
  <c r="J4" i="40"/>
  <c r="C4" i="40"/>
  <c r="B4" i="40"/>
  <c r="G4" i="40" s="1"/>
  <c r="T3" i="40"/>
  <c r="O3" i="40"/>
  <c r="I3" i="40"/>
  <c r="E3" i="40"/>
  <c r="E5" i="40" s="1"/>
  <c r="D3" i="40"/>
  <c r="D5" i="40" s="1"/>
  <c r="C3" i="40"/>
  <c r="C5" i="40" s="1"/>
  <c r="N2" i="40"/>
  <c r="E8" i="40" l="1"/>
  <c r="E14" i="40" s="1"/>
  <c r="E16" i="40" s="1"/>
  <c r="AD22" i="41"/>
  <c r="G13" i="40"/>
  <c r="G11" i="40"/>
  <c r="D14" i="40"/>
  <c r="D16" i="40" s="1"/>
  <c r="N4" i="40"/>
  <c r="O2" i="40"/>
  <c r="B5" i="40"/>
  <c r="G3" i="40"/>
  <c r="G5" i="40" s="1"/>
  <c r="I5" i="40"/>
  <c r="I16" i="40" s="1"/>
  <c r="J3" i="40"/>
  <c r="J5" i="40" s="1"/>
  <c r="B9" i="40"/>
  <c r="G9" i="40" s="1"/>
  <c r="T8" i="40"/>
  <c r="H14" i="40"/>
  <c r="H16" i="40" s="1"/>
  <c r="J7" i="40"/>
  <c r="J14" i="40" s="1"/>
  <c r="C14" i="40"/>
  <c r="C16" i="40" s="1"/>
  <c r="G8" i="40"/>
  <c r="J16" i="40" l="1"/>
  <c r="N6" i="40"/>
  <c r="O6" i="40" s="1"/>
  <c r="B7" i="40" s="1"/>
  <c r="O4" i="40"/>
  <c r="B14" i="40" l="1"/>
  <c r="B16" i="40" s="1"/>
  <c r="G7" i="40"/>
  <c r="G14" i="40" s="1"/>
  <c r="G16" i="40" s="1"/>
  <c r="A54" i="13" l="1"/>
  <c r="B84" i="5"/>
  <c r="K47" i="28"/>
  <c r="K40" i="28"/>
  <c r="K9" i="28"/>
  <c r="K49" i="28"/>
  <c r="K41" i="28"/>
  <c r="B23" i="13" l="1"/>
  <c r="B44" i="13"/>
  <c r="B45" i="13"/>
  <c r="B38" i="13"/>
  <c r="B34" i="13"/>
  <c r="B21" i="13" l="1"/>
  <c r="I20" i="28"/>
  <c r="B18" i="13"/>
  <c r="I28" i="28"/>
  <c r="I29" i="28"/>
  <c r="B20" i="13"/>
  <c r="B12" i="13"/>
  <c r="J53" i="38"/>
  <c r="S26" i="38"/>
  <c r="B22" i="13" l="1"/>
  <c r="J45" i="38" l="1"/>
  <c r="K26" i="38"/>
  <c r="J13" i="38"/>
  <c r="J49" i="38"/>
  <c r="J55" i="38"/>
  <c r="I57" i="38"/>
  <c r="I56" i="38"/>
  <c r="I55" i="38"/>
  <c r="I54" i="38"/>
  <c r="I53" i="38"/>
  <c r="I50" i="38"/>
  <c r="I52" i="38"/>
  <c r="I58" i="38"/>
  <c r="K58" i="38" s="1"/>
  <c r="I49" i="38"/>
  <c r="I44" i="38"/>
  <c r="I43" i="38"/>
  <c r="I42" i="38"/>
  <c r="I41" i="38"/>
  <c r="I40" i="38"/>
  <c r="I35" i="38"/>
  <c r="I34" i="38"/>
  <c r="I24" i="38"/>
  <c r="I23" i="38"/>
  <c r="I22" i="38"/>
  <c r="I21" i="38"/>
  <c r="I20" i="38"/>
  <c r="I19" i="38"/>
  <c r="I18" i="38"/>
  <c r="I16" i="38"/>
  <c r="I11" i="38"/>
  <c r="I10" i="38"/>
  <c r="I8" i="38"/>
  <c r="I6" i="38"/>
  <c r="I5" i="38"/>
  <c r="I4" i="38"/>
  <c r="AO16" i="28"/>
  <c r="C59" i="28"/>
  <c r="C30" i="28"/>
  <c r="G59" i="39"/>
  <c r="AQ58" i="39"/>
  <c r="H58" i="39"/>
  <c r="F58" i="39"/>
  <c r="D58" i="39"/>
  <c r="AL56" i="39"/>
  <c r="E56" i="39"/>
  <c r="B56" i="39"/>
  <c r="AL55" i="39"/>
  <c r="B55" i="39"/>
  <c r="AL54" i="39"/>
  <c r="E54" i="39"/>
  <c r="B54" i="39"/>
  <c r="AL53" i="39"/>
  <c r="E53" i="39"/>
  <c r="B53" i="39"/>
  <c r="AL52" i="39"/>
  <c r="E52" i="39"/>
  <c r="C52" i="39"/>
  <c r="I52" i="39" s="1"/>
  <c r="B52" i="39"/>
  <c r="AL51" i="39"/>
  <c r="B51" i="39"/>
  <c r="B50" i="39"/>
  <c r="C49" i="39"/>
  <c r="B48" i="39"/>
  <c r="E47" i="39"/>
  <c r="C47" i="39"/>
  <c r="I47" i="39" s="1"/>
  <c r="B47" i="39"/>
  <c r="AL44" i="39"/>
  <c r="B44" i="39"/>
  <c r="AL43" i="39"/>
  <c r="W43" i="39"/>
  <c r="B43" i="39"/>
  <c r="AL42" i="39"/>
  <c r="X42" i="39"/>
  <c r="AL41" i="39"/>
  <c r="B41" i="39"/>
  <c r="AL40" i="39"/>
  <c r="C40" i="39"/>
  <c r="I40" i="39" s="1"/>
  <c r="B40" i="39"/>
  <c r="W36" i="39"/>
  <c r="AT35" i="39"/>
  <c r="AS35" i="39"/>
  <c r="AL35" i="39"/>
  <c r="I35" i="39"/>
  <c r="E35" i="39"/>
  <c r="C35" i="39"/>
  <c r="E34" i="39"/>
  <c r="B34" i="39"/>
  <c r="W31" i="39"/>
  <c r="H30" i="39"/>
  <c r="F30" i="39"/>
  <c r="D30" i="39"/>
  <c r="AL28" i="39"/>
  <c r="AL27" i="39"/>
  <c r="E27" i="39"/>
  <c r="B27" i="39"/>
  <c r="AL26" i="39"/>
  <c r="B26" i="39"/>
  <c r="AL25" i="39"/>
  <c r="E25" i="39"/>
  <c r="B25" i="39"/>
  <c r="AL24" i="39"/>
  <c r="B24" i="39"/>
  <c r="AL23" i="39"/>
  <c r="J23" i="39"/>
  <c r="E23" i="39"/>
  <c r="B23" i="39"/>
  <c r="AQ22" i="39"/>
  <c r="AQ30" i="39" s="1"/>
  <c r="AL22" i="39"/>
  <c r="E22" i="39"/>
  <c r="C22" i="39"/>
  <c r="I22" i="39" s="1"/>
  <c r="B22" i="39"/>
  <c r="AL21" i="39"/>
  <c r="B21" i="39"/>
  <c r="AL20" i="39"/>
  <c r="AL19" i="39"/>
  <c r="E19" i="39"/>
  <c r="B19" i="39"/>
  <c r="AL18" i="39"/>
  <c r="C16" i="39"/>
  <c r="AL15" i="39"/>
  <c r="C15" i="39"/>
  <c r="AL14" i="39"/>
  <c r="B14" i="39"/>
  <c r="AL13" i="39"/>
  <c r="E13" i="39"/>
  <c r="B13" i="39"/>
  <c r="AL12" i="39"/>
  <c r="E12" i="39"/>
  <c r="B12" i="39"/>
  <c r="AL11" i="39"/>
  <c r="AL10" i="39"/>
  <c r="B10" i="39"/>
  <c r="AL9" i="39"/>
  <c r="X9" i="39"/>
  <c r="E9" i="39"/>
  <c r="B9" i="39"/>
  <c r="AL8" i="39"/>
  <c r="E8" i="39"/>
  <c r="B8" i="39"/>
  <c r="V5" i="39"/>
  <c r="AG4" i="39"/>
  <c r="V4" i="39"/>
  <c r="F27" i="31"/>
  <c r="H60" i="38"/>
  <c r="B26" i="38"/>
  <c r="C26" i="38"/>
  <c r="H12" i="38"/>
  <c r="F24" i="38"/>
  <c r="F20" i="38"/>
  <c r="F19" i="38"/>
  <c r="F16" i="38"/>
  <c r="F25" i="38"/>
  <c r="F35" i="38"/>
  <c r="F36" i="38" s="1"/>
  <c r="F58" i="38"/>
  <c r="F59" i="38" s="1"/>
  <c r="E35" i="38"/>
  <c r="E36" i="38" s="1"/>
  <c r="E58" i="38"/>
  <c r="E24" i="38"/>
  <c r="E55" i="38"/>
  <c r="E56" i="38"/>
  <c r="E53" i="38"/>
  <c r="E23" i="38"/>
  <c r="E20" i="38"/>
  <c r="E19" i="38"/>
  <c r="E16" i="38"/>
  <c r="E10" i="38"/>
  <c r="E4" i="38"/>
  <c r="D23" i="38"/>
  <c r="D24" i="38"/>
  <c r="D19" i="38"/>
  <c r="D10" i="38"/>
  <c r="D13" i="38" s="1"/>
  <c r="D16" i="38"/>
  <c r="D53" i="38"/>
  <c r="D56" i="38"/>
  <c r="D55" i="38"/>
  <c r="D35" i="38"/>
  <c r="D36" i="38" s="1"/>
  <c r="D58" i="38"/>
  <c r="D45" i="38"/>
  <c r="E45" i="38"/>
  <c r="F45" i="38"/>
  <c r="F13" i="38"/>
  <c r="C54" i="38"/>
  <c r="C53" i="38"/>
  <c r="C25" i="38"/>
  <c r="C56" i="38"/>
  <c r="C24" i="38"/>
  <c r="C55" i="38"/>
  <c r="B55" i="38"/>
  <c r="C49" i="38"/>
  <c r="C22" i="38"/>
  <c r="C23" i="38"/>
  <c r="C35" i="38"/>
  <c r="C34" i="38"/>
  <c r="C16" i="38"/>
  <c r="C43" i="38"/>
  <c r="C45" i="38" s="1"/>
  <c r="C20" i="38"/>
  <c r="C9" i="38"/>
  <c r="C18" i="38"/>
  <c r="C8" i="38"/>
  <c r="C4" i="38"/>
  <c r="B35" i="38"/>
  <c r="B36" i="38" s="1"/>
  <c r="B50" i="38"/>
  <c r="B41" i="38" s="1"/>
  <c r="G58" i="38" l="1"/>
  <c r="E59" i="38"/>
  <c r="C36" i="38"/>
  <c r="E13" i="38"/>
  <c r="G26" i="38"/>
  <c r="J59" i="38"/>
  <c r="F61" i="38"/>
  <c r="D28" i="38"/>
  <c r="D30" i="38" s="1"/>
  <c r="D59" i="38"/>
  <c r="D61" i="38" s="1"/>
  <c r="E30" i="39"/>
  <c r="E61" i="38"/>
  <c r="E58" i="39"/>
  <c r="W58" i="39"/>
  <c r="W59" i="39" s="1"/>
  <c r="C59" i="38"/>
  <c r="C13" i="38"/>
  <c r="E28" i="38"/>
  <c r="E30" i="38" s="1"/>
  <c r="I13" i="38"/>
  <c r="I28" i="38"/>
  <c r="I36" i="38"/>
  <c r="I45" i="38"/>
  <c r="I59" i="38"/>
  <c r="AU35" i="39"/>
  <c r="AM35" i="39"/>
  <c r="AM37" i="39" s="1"/>
  <c r="AM38" i="39" s="1"/>
  <c r="AQ59" i="39"/>
  <c r="F28" i="38"/>
  <c r="F30" i="38" s="1"/>
  <c r="C28" i="38"/>
  <c r="C61" i="38" l="1"/>
  <c r="C30" i="38"/>
  <c r="I30" i="38"/>
  <c r="I61" i="38"/>
  <c r="B53" i="38"/>
  <c r="G53" i="38" s="1"/>
  <c r="H53" i="38" s="1"/>
  <c r="K53" i="38" s="1"/>
  <c r="J52" i="28" s="1"/>
  <c r="B54" i="38"/>
  <c r="G54" i="38" s="1"/>
  <c r="H54" i="38" s="1"/>
  <c r="K54" i="38" s="1"/>
  <c r="J53" i="28" s="1"/>
  <c r="B56" i="38"/>
  <c r="B40" i="38"/>
  <c r="B45" i="38" s="1"/>
  <c r="B23" i="38"/>
  <c r="G23" i="38" s="1"/>
  <c r="H23" i="38" s="1"/>
  <c r="K23" i="38" s="1"/>
  <c r="J26" i="28" s="1"/>
  <c r="B24" i="38"/>
  <c r="G24" i="38" s="1"/>
  <c r="H24" i="38" s="1"/>
  <c r="K24" i="38" s="1"/>
  <c r="J27" i="28" s="1"/>
  <c r="B20" i="38"/>
  <c r="G20" i="38" s="1"/>
  <c r="H20" i="38" s="1"/>
  <c r="K20" i="38" s="1"/>
  <c r="B19" i="38"/>
  <c r="G19" i="38" s="1"/>
  <c r="H19" i="38" s="1"/>
  <c r="K19" i="38" s="1"/>
  <c r="J22" i="28" s="1"/>
  <c r="B21" i="14" s="1"/>
  <c r="B10" i="38"/>
  <c r="G10" i="38" s="1"/>
  <c r="H10" i="38" s="1"/>
  <c r="K10" i="38" s="1"/>
  <c r="J15" i="28" s="1"/>
  <c r="B16" i="38"/>
  <c r="G16" i="38" s="1"/>
  <c r="H16" i="38" s="1"/>
  <c r="B8" i="38"/>
  <c r="B6" i="38"/>
  <c r="G6" i="38" s="1"/>
  <c r="H6" i="38" s="1"/>
  <c r="K6" i="38" s="1"/>
  <c r="B4" i="38"/>
  <c r="G4" i="38" s="1"/>
  <c r="B5" i="38"/>
  <c r="G5" i="38" s="1"/>
  <c r="H5" i="38" s="1"/>
  <c r="G7" i="38"/>
  <c r="H7" i="38" s="1"/>
  <c r="K7" i="38" s="1"/>
  <c r="G8" i="38"/>
  <c r="H8" i="38" s="1"/>
  <c r="K8" i="38" s="1"/>
  <c r="G9" i="38"/>
  <c r="H9" i="38" s="1"/>
  <c r="K9" i="38" s="1"/>
  <c r="J13" i="28" s="1"/>
  <c r="G11" i="38"/>
  <c r="H11" i="38" s="1"/>
  <c r="K11" i="38" s="1"/>
  <c r="G17" i="38"/>
  <c r="H17" i="38" s="1"/>
  <c r="G18" i="38"/>
  <c r="H18" i="38" s="1"/>
  <c r="K18" i="38" s="1"/>
  <c r="G21" i="38"/>
  <c r="H21" i="38" s="1"/>
  <c r="G22" i="38"/>
  <c r="H22" i="38" s="1"/>
  <c r="G25" i="38"/>
  <c r="H25" i="38" s="1"/>
  <c r="K25" i="38" s="1"/>
  <c r="J28" i="28" s="1"/>
  <c r="G27" i="38"/>
  <c r="H27" i="38" s="1"/>
  <c r="G29" i="38"/>
  <c r="G33" i="38"/>
  <c r="G34" i="38"/>
  <c r="H34" i="38" s="1"/>
  <c r="G35" i="38"/>
  <c r="H35" i="38" s="1"/>
  <c r="G36" i="38"/>
  <c r="G38" i="38"/>
  <c r="G41" i="38"/>
  <c r="G42" i="38"/>
  <c r="H42" i="38" s="1"/>
  <c r="K42" i="38" s="1"/>
  <c r="J42" i="28" s="1"/>
  <c r="B26" i="14" s="1"/>
  <c r="G43" i="38"/>
  <c r="H43" i="38" s="1"/>
  <c r="K43" i="38" s="1"/>
  <c r="G44" i="38"/>
  <c r="H44" i="38" s="1"/>
  <c r="K44" i="38" s="1"/>
  <c r="G44" i="28" s="1"/>
  <c r="G48" i="38"/>
  <c r="H48" i="38" s="1"/>
  <c r="G49" i="38"/>
  <c r="H49" i="38" s="1"/>
  <c r="K49" i="38" s="1"/>
  <c r="G50" i="38"/>
  <c r="G51" i="38"/>
  <c r="H51" i="38" s="1"/>
  <c r="K51" i="38" s="1"/>
  <c r="G52" i="38"/>
  <c r="H52" i="38" s="1"/>
  <c r="K52" i="38" s="1"/>
  <c r="G55" i="38"/>
  <c r="H55" i="38" s="1"/>
  <c r="K55" i="38" s="1"/>
  <c r="J54" i="28" s="1"/>
  <c r="G56" i="38"/>
  <c r="H56" i="38" s="1"/>
  <c r="K56" i="38" s="1"/>
  <c r="J55" i="28" s="1"/>
  <c r="G57" i="38"/>
  <c r="H57" i="38" s="1"/>
  <c r="K57" i="38" s="1"/>
  <c r="G56" i="28" s="1"/>
  <c r="J56" i="28" l="1"/>
  <c r="I56" i="28"/>
  <c r="J44" i="28"/>
  <c r="I44" i="28"/>
  <c r="G59" i="28"/>
  <c r="B22" i="14"/>
  <c r="G40" i="38"/>
  <c r="G45" i="38" s="1"/>
  <c r="J51" i="28"/>
  <c r="B24" i="14" s="1"/>
  <c r="B25" i="14"/>
  <c r="H41" i="38"/>
  <c r="K41" i="38" s="1"/>
  <c r="J41" i="28" s="1"/>
  <c r="S19" i="38"/>
  <c r="J22" i="38"/>
  <c r="J28" i="38" s="1"/>
  <c r="J30" i="38" s="1"/>
  <c r="S20" i="38"/>
  <c r="H50" i="38"/>
  <c r="K50" i="38" s="1"/>
  <c r="J49" i="28" s="1"/>
  <c r="J43" i="28"/>
  <c r="S18" i="38"/>
  <c r="K5" i="38"/>
  <c r="J34" i="38"/>
  <c r="J36" i="38" s="1"/>
  <c r="J61" i="38" s="1"/>
  <c r="K34" i="38"/>
  <c r="J47" i="28"/>
  <c r="J23" i="28"/>
  <c r="H28" i="38"/>
  <c r="K16" i="38"/>
  <c r="B28" i="38"/>
  <c r="G28" i="38" s="1"/>
  <c r="H4" i="38"/>
  <c r="G13" i="38"/>
  <c r="G59" i="38"/>
  <c r="H40" i="38"/>
  <c r="H36" i="38"/>
  <c r="B59" i="38"/>
  <c r="B61" i="38" s="1"/>
  <c r="B13" i="38"/>
  <c r="B30" i="38" s="1"/>
  <c r="G30" i="38" s="1"/>
  <c r="N38" i="5"/>
  <c r="O46" i="5"/>
  <c r="N25" i="5" l="1"/>
  <c r="K59" i="38"/>
  <c r="B46" i="14"/>
  <c r="B48" i="14" s="1"/>
  <c r="G61" i="38"/>
  <c r="J19" i="28"/>
  <c r="B23" i="14" s="1"/>
  <c r="H13" i="38"/>
  <c r="H30" i="38" s="1"/>
  <c r="K4" i="38"/>
  <c r="H45" i="38"/>
  <c r="K40" i="38"/>
  <c r="K22" i="38"/>
  <c r="K28" i="38" s="1"/>
  <c r="H59" i="38"/>
  <c r="N26" i="5" l="1"/>
  <c r="N30" i="5" s="1"/>
  <c r="B7" i="14" s="1"/>
  <c r="B18" i="14" s="1"/>
  <c r="K45" i="38"/>
  <c r="J40" i="28"/>
  <c r="H61" i="38"/>
  <c r="K13" i="38"/>
  <c r="K30" i="38" s="1"/>
  <c r="B27" i="14" l="1"/>
  <c r="B30" i="14" s="1"/>
  <c r="B50" i="14" s="1"/>
  <c r="N36" i="5"/>
  <c r="AE57" i="50" s="1"/>
  <c r="G30" i="28"/>
  <c r="K26" i="5"/>
  <c r="K30" i="5" s="1"/>
  <c r="K36" i="5" s="1"/>
  <c r="AE49" i="50" s="1"/>
  <c r="B52" i="14" l="1"/>
  <c r="AE51" i="50"/>
  <c r="AE53" i="50"/>
  <c r="K46" i="5" s="1"/>
  <c r="AE61" i="50"/>
  <c r="AE59" i="50"/>
  <c r="K40" i="5"/>
  <c r="AW37" i="42"/>
  <c r="I36" i="39"/>
  <c r="N40" i="5"/>
  <c r="N61" i="5" s="1"/>
  <c r="N63" i="5" s="1"/>
  <c r="I46" i="5"/>
  <c r="I45" i="5"/>
  <c r="E55" i="14" l="1"/>
  <c r="E51" i="14"/>
  <c r="D52" i="14"/>
  <c r="AE54" i="50"/>
  <c r="N46" i="5"/>
  <c r="AE62" i="50"/>
  <c r="K61" i="5"/>
  <c r="K63" i="5" s="1"/>
  <c r="AW60" i="42"/>
  <c r="AY60" i="42" s="1"/>
  <c r="T5" i="38"/>
  <c r="T6" i="38" s="1"/>
  <c r="K35" i="38" s="1"/>
  <c r="E34" i="5"/>
  <c r="C41" i="30"/>
  <c r="C56" i="30"/>
  <c r="C23" i="30"/>
  <c r="E22" i="5" s="1"/>
  <c r="H22" i="5" s="1"/>
  <c r="B10" i="13" s="1"/>
  <c r="B39" i="13" s="1"/>
  <c r="B41" i="13" s="1"/>
  <c r="E23" i="5"/>
  <c r="H23" i="5" s="1"/>
  <c r="B9" i="13" s="1"/>
  <c r="E21" i="5"/>
  <c r="H21" i="5" s="1"/>
  <c r="E14" i="5"/>
  <c r="N21" i="38"/>
  <c r="G32" i="38"/>
  <c r="E24" i="5" l="1"/>
  <c r="H24" i="5" s="1"/>
  <c r="H14" i="5"/>
  <c r="E56" i="5"/>
  <c r="E58" i="5" s="1"/>
  <c r="K36" i="38"/>
  <c r="K61" i="38" s="1"/>
  <c r="S30" i="38" s="1"/>
  <c r="T30" i="38" s="1"/>
  <c r="H34" i="5"/>
  <c r="B28" i="39"/>
  <c r="B30" i="39" s="1"/>
  <c r="C26" i="33"/>
  <c r="G7" i="33" l="1"/>
  <c r="G5" i="33"/>
  <c r="F6" i="33"/>
  <c r="L10" i="33"/>
  <c r="K10" i="33"/>
  <c r="M9" i="33"/>
  <c r="N9" i="33" s="1"/>
  <c r="M8" i="33"/>
  <c r="N8" i="33" s="1"/>
  <c r="D8" i="33"/>
  <c r="C8" i="33"/>
  <c r="M7" i="33"/>
  <c r="N7" i="33" s="1"/>
  <c r="M6" i="33"/>
  <c r="N6" i="33" s="1"/>
  <c r="M5" i="33"/>
  <c r="G6" i="33" l="1"/>
  <c r="F8" i="33"/>
  <c r="E8" i="33"/>
  <c r="G8" i="33"/>
  <c r="C12" i="33" s="1"/>
  <c r="C13" i="33" s="1"/>
  <c r="M10" i="33"/>
  <c r="N5" i="33"/>
  <c r="N10" i="33" s="1"/>
  <c r="K14" i="33" s="1"/>
  <c r="K15" i="33" s="1"/>
  <c r="K16" i="33" s="1"/>
  <c r="K18" i="33" s="1"/>
  <c r="J22" i="33" s="1"/>
  <c r="C14" i="33" l="1"/>
  <c r="C16" i="33" s="1"/>
  <c r="J24" i="33"/>
  <c r="K23" i="33"/>
  <c r="B21" i="33" l="1"/>
  <c r="C22" i="33" s="1"/>
  <c r="S25" i="5"/>
  <c r="S16" i="5"/>
  <c r="S30" i="5" l="1"/>
  <c r="H30" i="28"/>
  <c r="A77" i="31"/>
  <c r="A68" i="31"/>
  <c r="E15" i="5"/>
  <c r="H15" i="5" s="1"/>
  <c r="H16" i="5" s="1"/>
  <c r="E20" i="5"/>
  <c r="H20" i="5" s="1"/>
  <c r="E19" i="5"/>
  <c r="D59" i="28"/>
  <c r="D30" i="28"/>
  <c r="E16" i="5" l="1"/>
  <c r="C56" i="39"/>
  <c r="I56" i="39" s="1"/>
  <c r="C55" i="39"/>
  <c r="I55" i="39" s="1"/>
  <c r="C54" i="39"/>
  <c r="I54" i="39" s="1"/>
  <c r="C53" i="39"/>
  <c r="I53" i="39" s="1"/>
  <c r="C51" i="39"/>
  <c r="I51" i="39" s="1"/>
  <c r="C50" i="39"/>
  <c r="C44" i="39"/>
  <c r="I44" i="39" s="1"/>
  <c r="C43" i="39"/>
  <c r="I43" i="39" s="1"/>
  <c r="C42" i="39"/>
  <c r="I42" i="39" s="1"/>
  <c r="C41" i="39"/>
  <c r="I41" i="39" s="1"/>
  <c r="C34" i="39"/>
  <c r="C28" i="39"/>
  <c r="I28" i="39" s="1"/>
  <c r="C27" i="39"/>
  <c r="I27" i="39" s="1"/>
  <c r="C26" i="39"/>
  <c r="I26" i="39" s="1"/>
  <c r="C25" i="39"/>
  <c r="C24" i="39"/>
  <c r="I24" i="39" s="1"/>
  <c r="C23" i="39"/>
  <c r="I23" i="39" s="1"/>
  <c r="C21" i="39"/>
  <c r="I21" i="39" s="1"/>
  <c r="C19" i="39"/>
  <c r="I19" i="39" s="1"/>
  <c r="C18" i="39"/>
  <c r="C14" i="39"/>
  <c r="C13" i="39"/>
  <c r="I13" i="39" s="1"/>
  <c r="C12" i="39"/>
  <c r="I12" i="39" s="1"/>
  <c r="C11" i="39"/>
  <c r="C10" i="39"/>
  <c r="I10" i="39" s="1"/>
  <c r="C9" i="39"/>
  <c r="I9" i="39" s="1"/>
  <c r="C8" i="39"/>
  <c r="E25" i="5"/>
  <c r="E26" i="5" s="1"/>
  <c r="E30" i="5" s="1"/>
  <c r="E36" i="5" s="1"/>
  <c r="H19" i="5"/>
  <c r="H25" i="5" s="1"/>
  <c r="H26" i="5" s="1"/>
  <c r="H30" i="5" s="1"/>
  <c r="AO33" i="28"/>
  <c r="L33" i="28" s="1"/>
  <c r="J25" i="5"/>
  <c r="J16" i="5"/>
  <c r="F25" i="5"/>
  <c r="E40" i="5" l="1"/>
  <c r="E46" i="5" s="1"/>
  <c r="E61" i="5"/>
  <c r="E63" i="5" s="1"/>
  <c r="J26" i="5"/>
  <c r="H36" i="5"/>
  <c r="B7" i="13"/>
  <c r="B15" i="13" s="1"/>
  <c r="B25" i="13" s="1"/>
  <c r="B28" i="13" s="1"/>
  <c r="C30" i="39"/>
  <c r="I8" i="39"/>
  <c r="C58" i="39"/>
  <c r="I34" i="39"/>
  <c r="AO30" i="28"/>
  <c r="C60" i="28"/>
  <c r="E45" i="5" l="1"/>
  <c r="B43" i="13"/>
  <c r="F44" i="13" s="1"/>
  <c r="H40" i="5"/>
  <c r="AV35" i="39"/>
  <c r="AW35" i="39" s="1"/>
  <c r="AY35" i="39" s="1"/>
  <c r="C59" i="39"/>
  <c r="AS58" i="39"/>
  <c r="AT58" i="39" s="1"/>
  <c r="AS30" i="39"/>
  <c r="AT30" i="39" s="1"/>
  <c r="AL33" i="39"/>
  <c r="I33" i="39" s="1"/>
  <c r="AL30" i="39"/>
  <c r="AO31" i="28"/>
  <c r="L30" i="28"/>
  <c r="I37" i="39" l="1"/>
  <c r="H45" i="5"/>
  <c r="H46" i="5"/>
  <c r="AL31" i="39"/>
  <c r="I30" i="39"/>
  <c r="E54" i="14"/>
  <c r="AO11" i="28" l="1"/>
  <c r="AO14" i="28"/>
  <c r="AO15" i="28"/>
  <c r="AO18" i="28"/>
  <c r="AO20" i="28"/>
  <c r="AO21" i="28"/>
  <c r="AV35" i="28" l="1"/>
  <c r="AW35" i="28"/>
  <c r="AT59" i="28" l="1"/>
  <c r="AT22" i="28"/>
  <c r="AT30" i="28" s="1"/>
  <c r="AT60" i="28" l="1"/>
  <c r="AO26" i="28"/>
  <c r="AO25" i="28"/>
  <c r="AO10" i="28"/>
  <c r="AO12" i="28"/>
  <c r="B34" i="28" l="1"/>
  <c r="B19" i="28"/>
  <c r="B48" i="28"/>
  <c r="B50" i="28"/>
  <c r="B51" i="28"/>
  <c r="B52" i="28"/>
  <c r="B53" i="28"/>
  <c r="B54" i="28"/>
  <c r="B55" i="28"/>
  <c r="B47" i="28"/>
  <c r="B44" i="28"/>
  <c r="B43" i="28"/>
  <c r="B41" i="28"/>
  <c r="B40" i="28"/>
  <c r="B27" i="28"/>
  <c r="B26" i="28"/>
  <c r="B25" i="28"/>
  <c r="B24" i="28"/>
  <c r="B23" i="28"/>
  <c r="B22" i="28"/>
  <c r="B21" i="28"/>
  <c r="B9" i="28"/>
  <c r="B10" i="28"/>
  <c r="B12" i="28"/>
  <c r="B13" i="28"/>
  <c r="B14" i="28"/>
  <c r="B8" i="28"/>
  <c r="L26" i="28"/>
  <c r="L10" i="28"/>
  <c r="AJ4" i="28" l="1"/>
  <c r="F59" i="28"/>
  <c r="E56" i="28"/>
  <c r="AO55" i="28"/>
  <c r="E54" i="28"/>
  <c r="E53" i="28"/>
  <c r="E52" i="28"/>
  <c r="E47" i="28"/>
  <c r="Z43" i="28"/>
  <c r="AA42" i="28"/>
  <c r="Z36" i="28"/>
  <c r="E35" i="28"/>
  <c r="E34" i="28"/>
  <c r="Z31" i="28"/>
  <c r="F30" i="28"/>
  <c r="E27" i="28"/>
  <c r="E25" i="28"/>
  <c r="AO24" i="28"/>
  <c r="E23" i="28"/>
  <c r="E22" i="28"/>
  <c r="AO22" i="28"/>
  <c r="L21" i="28"/>
  <c r="E19" i="28"/>
  <c r="AO19" i="28"/>
  <c r="E13" i="28"/>
  <c r="AO13" i="28"/>
  <c r="E12" i="28"/>
  <c r="AA9" i="28"/>
  <c r="E9" i="28"/>
  <c r="AO9" i="28"/>
  <c r="E8" i="28"/>
  <c r="AO23" i="28" l="1"/>
  <c r="AO27" i="28"/>
  <c r="AO8" i="28"/>
  <c r="L34" i="28"/>
  <c r="Z59" i="28"/>
  <c r="Z60" i="28" s="1"/>
  <c r="AO41" i="28"/>
  <c r="L44" i="28"/>
  <c r="AO44" i="28"/>
  <c r="L51" i="28"/>
  <c r="AO51" i="28"/>
  <c r="L43" i="28"/>
  <c r="AO40" i="28"/>
  <c r="L54" i="28"/>
  <c r="AO54" i="28"/>
  <c r="L55" i="28"/>
  <c r="L12" i="28"/>
  <c r="E30" i="28"/>
  <c r="E59" i="28"/>
  <c r="L8" i="28"/>
  <c r="L19" i="28"/>
  <c r="L40" i="28"/>
  <c r="L22" i="28"/>
  <c r="L41" i="28"/>
  <c r="L24" i="28"/>
  <c r="L9" i="28"/>
  <c r="L27" i="28"/>
  <c r="M23" i="28"/>
  <c r="L23" i="28"/>
  <c r="L47" i="28"/>
  <c r="L13" i="28"/>
  <c r="AO53" i="28"/>
  <c r="AO52" i="28"/>
  <c r="E48" i="13"/>
  <c r="L53" i="28" l="1"/>
  <c r="L52" i="28"/>
  <c r="O10" i="23" l="1"/>
  <c r="O11" i="23"/>
  <c r="O13" i="23"/>
  <c r="N12" i="23"/>
  <c r="O12" i="23" s="1"/>
  <c r="N9" i="23"/>
  <c r="O9" i="23" s="1"/>
  <c r="C8" i="24"/>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3" i="27"/>
  <c r="F132" i="27"/>
  <c r="F131" i="27"/>
  <c r="F130" i="27"/>
  <c r="F129" i="27"/>
  <c r="F128" i="27"/>
  <c r="F127" i="27"/>
  <c r="F126" i="27"/>
  <c r="F125" i="27"/>
  <c r="F124" i="27"/>
  <c r="F123" i="27"/>
  <c r="F122" i="27"/>
  <c r="F121" i="27"/>
  <c r="F119" i="27"/>
  <c r="F118" i="27"/>
  <c r="F117" i="27"/>
  <c r="F116" i="27"/>
  <c r="F115" i="27"/>
  <c r="F114" i="27"/>
  <c r="F113" i="27"/>
  <c r="F112" i="27"/>
  <c r="F111" i="27"/>
  <c r="F110" i="27"/>
  <c r="F109" i="27"/>
  <c r="F108" i="27"/>
  <c r="F106" i="27"/>
  <c r="F105" i="27"/>
  <c r="F104" i="27"/>
  <c r="F103" i="27"/>
  <c r="F102" i="27"/>
  <c r="F101" i="27"/>
  <c r="F100" i="27"/>
  <c r="F99" i="27"/>
  <c r="F98" i="27"/>
  <c r="F97" i="27"/>
  <c r="F96" i="27"/>
  <c r="F95" i="27"/>
  <c r="F94" i="27"/>
  <c r="F93" i="27"/>
  <c r="F92" i="27"/>
  <c r="F91" i="27"/>
  <c r="B8" i="24"/>
  <c r="E10" i="23" l="1"/>
  <c r="E9" i="23"/>
  <c r="D11" i="23"/>
  <c r="E11" i="23" s="1"/>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4" i="26"/>
  <c r="H3" i="26"/>
  <c r="K3" i="26" s="1"/>
  <c r="H4" i="26" s="1"/>
  <c r="D3" i="26"/>
  <c r="C36" i="26" s="1"/>
  <c r="J37" i="25"/>
  <c r="C37" i="25"/>
  <c r="J36" i="25"/>
  <c r="C36" i="25"/>
  <c r="J35" i="25"/>
  <c r="C35" i="25"/>
  <c r="J34" i="25"/>
  <c r="C34" i="25"/>
  <c r="J33" i="25"/>
  <c r="C33" i="25"/>
  <c r="J32" i="25"/>
  <c r="C32" i="25"/>
  <c r="J31" i="25"/>
  <c r="C31" i="25"/>
  <c r="J30" i="25"/>
  <c r="C30" i="25"/>
  <c r="J29" i="25"/>
  <c r="C29" i="25"/>
  <c r="J28" i="25"/>
  <c r="C28" i="25"/>
  <c r="J27" i="25"/>
  <c r="C27" i="25"/>
  <c r="J26" i="25"/>
  <c r="C26" i="25"/>
  <c r="J25" i="25"/>
  <c r="C25" i="25"/>
  <c r="J24" i="25"/>
  <c r="C24" i="25"/>
  <c r="J23" i="25"/>
  <c r="C23" i="25"/>
  <c r="J22" i="25"/>
  <c r="C22" i="25"/>
  <c r="J21" i="25"/>
  <c r="C21" i="25"/>
  <c r="N20" i="25"/>
  <c r="J20" i="25"/>
  <c r="C20" i="25"/>
  <c r="J19" i="25"/>
  <c r="C19" i="25"/>
  <c r="J18" i="25"/>
  <c r="C18" i="25"/>
  <c r="J17" i="25"/>
  <c r="C17" i="25"/>
  <c r="J16" i="25"/>
  <c r="C16" i="25"/>
  <c r="J15" i="25"/>
  <c r="C15" i="25"/>
  <c r="J14" i="25"/>
  <c r="C14" i="25"/>
  <c r="J13" i="25"/>
  <c r="C13" i="25"/>
  <c r="N12" i="25"/>
  <c r="O26" i="25" s="1"/>
  <c r="J12" i="25"/>
  <c r="C12" i="25"/>
  <c r="J11" i="25"/>
  <c r="C11" i="25"/>
  <c r="J10" i="25"/>
  <c r="C10" i="25"/>
  <c r="J9" i="25"/>
  <c r="C9" i="25"/>
  <c r="J8" i="25"/>
  <c r="C8" i="25"/>
  <c r="J7" i="25"/>
  <c r="C7" i="25"/>
  <c r="J6" i="25"/>
  <c r="C6" i="25"/>
  <c r="J5" i="25"/>
  <c r="C5" i="25"/>
  <c r="K4" i="25"/>
  <c r="H5" i="25" s="1"/>
  <c r="R29" i="25" l="1"/>
  <c r="N20" i="26"/>
  <c r="O21" i="26" s="1"/>
  <c r="O11" i="25"/>
  <c r="C38" i="25"/>
  <c r="P11" i="25"/>
  <c r="L31" i="26"/>
  <c r="L32" i="26" s="1"/>
  <c r="D5" i="25"/>
  <c r="D6" i="25" s="1"/>
  <c r="D7" i="25" s="1"/>
  <c r="D8" i="25" s="1"/>
  <c r="D9" i="25" s="1"/>
  <c r="D10" i="25" s="1"/>
  <c r="D11" i="25" s="1"/>
  <c r="D12" i="25" s="1"/>
  <c r="D13" i="25" s="1"/>
  <c r="D14" i="25" s="1"/>
  <c r="D15" i="25" s="1"/>
  <c r="D16" i="25" s="1"/>
  <c r="O6" i="25" s="1"/>
  <c r="P6" i="25" s="1"/>
  <c r="C9" i="26"/>
  <c r="C27" i="26"/>
  <c r="O19" i="25"/>
  <c r="P19" i="25" s="1"/>
  <c r="C7" i="26"/>
  <c r="C18" i="26"/>
  <c r="C22" i="26"/>
  <c r="C25" i="26"/>
  <c r="C33" i="26"/>
  <c r="R30" i="25"/>
  <c r="S30" i="25" s="1"/>
  <c r="C5" i="26"/>
  <c r="C13" i="26"/>
  <c r="C16" i="26"/>
  <c r="P20" i="26"/>
  <c r="C11" i="26"/>
  <c r="C21" i="26"/>
  <c r="C29" i="26"/>
  <c r="C32" i="26"/>
  <c r="C20" i="26"/>
  <c r="C35" i="26"/>
  <c r="C38" i="26"/>
  <c r="I4" i="26"/>
  <c r="K4" i="26" s="1"/>
  <c r="H5" i="26" s="1"/>
  <c r="C4" i="26"/>
  <c r="D4" i="26" s="1"/>
  <c r="C6" i="26"/>
  <c r="C8" i="26"/>
  <c r="C10" i="26"/>
  <c r="C12" i="26"/>
  <c r="C14" i="26"/>
  <c r="C15" i="26"/>
  <c r="C23" i="26"/>
  <c r="C24" i="26"/>
  <c r="C34" i="26"/>
  <c r="C37" i="26"/>
  <c r="C17" i="26"/>
  <c r="C19" i="26"/>
  <c r="C26" i="26"/>
  <c r="C28" i="26"/>
  <c r="C30" i="26"/>
  <c r="C31" i="26"/>
  <c r="I5" i="25"/>
  <c r="K5" i="25" s="1"/>
  <c r="H6" i="25" s="1"/>
  <c r="S29" i="25"/>
  <c r="R16" i="25"/>
  <c r="S17" i="25" s="1"/>
  <c r="O7" i="25"/>
  <c r="P7" i="25" s="1"/>
  <c r="O12" i="25" s="1"/>
  <c r="N25" i="25" s="1"/>
  <c r="N24" i="25" s="1"/>
  <c r="N13" i="25"/>
  <c r="R19" i="25" l="1"/>
  <c r="D5" i="26"/>
  <c r="D6" i="26" s="1"/>
  <c r="D7" i="26" s="1"/>
  <c r="D8" i="26" s="1"/>
  <c r="D9" i="26" s="1"/>
  <c r="D10" i="26" s="1"/>
  <c r="D11" i="26" s="1"/>
  <c r="D12" i="26" s="1"/>
  <c r="D13" i="26" s="1"/>
  <c r="D14" i="26" s="1"/>
  <c r="D15" i="26" s="1"/>
  <c r="D16" i="26" s="1"/>
  <c r="D17" i="26" s="1"/>
  <c r="D18" i="26" s="1"/>
  <c r="D19" i="26" s="1"/>
  <c r="D20" i="26" s="1"/>
  <c r="D21" i="26" s="1"/>
  <c r="D22" i="26" s="1"/>
  <c r="D23" i="26" s="1"/>
  <c r="D24" i="26" s="1"/>
  <c r="D25" i="26" s="1"/>
  <c r="D26" i="26" s="1"/>
  <c r="D27" i="26" s="1"/>
  <c r="D28" i="26" s="1"/>
  <c r="D29" i="26" s="1"/>
  <c r="D30" i="26" s="1"/>
  <c r="D31" i="26" s="1"/>
  <c r="D32" i="26" s="1"/>
  <c r="D33" i="26" s="1"/>
  <c r="N35" i="26" s="1"/>
  <c r="N23" i="26"/>
  <c r="P23" i="26" s="1"/>
  <c r="D17" i="25"/>
  <c r="D18" i="25" s="1"/>
  <c r="D19" i="25" s="1"/>
  <c r="D20" i="25" s="1"/>
  <c r="D21" i="25" s="1"/>
  <c r="D22" i="25" s="1"/>
  <c r="D23" i="25" s="1"/>
  <c r="D24" i="25" s="1"/>
  <c r="D25" i="25" s="1"/>
  <c r="D26" i="25" s="1"/>
  <c r="D27" i="25" s="1"/>
  <c r="D28" i="25" s="1"/>
  <c r="D29" i="25" s="1"/>
  <c r="D30" i="25" s="1"/>
  <c r="D31" i="25" s="1"/>
  <c r="D32" i="25" s="1"/>
  <c r="D33" i="25" s="1"/>
  <c r="D34" i="25" s="1"/>
  <c r="N17" i="26"/>
  <c r="N31" i="26" s="1"/>
  <c r="P31" i="26" s="1"/>
  <c r="I5" i="26"/>
  <c r="K5" i="26" s="1"/>
  <c r="H6" i="26" s="1"/>
  <c r="P17" i="26"/>
  <c r="R17" i="26" s="1"/>
  <c r="S20" i="25"/>
  <c r="R23" i="25"/>
  <c r="S24" i="25" s="1"/>
  <c r="I6" i="25"/>
  <c r="K6" i="25" s="1"/>
  <c r="H7" i="25" s="1"/>
  <c r="O13" i="25"/>
  <c r="P13" i="25" s="1"/>
  <c r="O24" i="26" l="1"/>
  <c r="N32" i="26" s="1"/>
  <c r="P32" i="26" s="1"/>
  <c r="O18" i="26"/>
  <c r="D34" i="26"/>
  <c r="D35" i="26" s="1"/>
  <c r="D36" i="26" s="1"/>
  <c r="D37" i="26" s="1"/>
  <c r="D38" i="26" s="1"/>
  <c r="C39" i="26" s="1"/>
  <c r="D39" i="26" s="1"/>
  <c r="D35" i="25"/>
  <c r="D36" i="25" s="1"/>
  <c r="D37" i="25" s="1"/>
  <c r="R33" i="25"/>
  <c r="I6" i="26"/>
  <c r="K6" i="26" s="1"/>
  <c r="H7" i="26" s="1"/>
  <c r="I7" i="25"/>
  <c r="I7" i="26" l="1"/>
  <c r="K7" i="26" s="1"/>
  <c r="H8" i="26" s="1"/>
  <c r="K7" i="25"/>
  <c r="H8" i="25" s="1"/>
  <c r="I8" i="26" l="1"/>
  <c r="K8" i="26" s="1"/>
  <c r="H9" i="26" s="1"/>
  <c r="I8" i="25"/>
  <c r="I9" i="26" l="1"/>
  <c r="K9" i="26" s="1"/>
  <c r="H10" i="26" s="1"/>
  <c r="K8" i="25"/>
  <c r="H9" i="25" s="1"/>
  <c r="I10" i="26" l="1"/>
  <c r="K10" i="26" s="1"/>
  <c r="H11" i="26" s="1"/>
  <c r="I9" i="25"/>
  <c r="K9" i="25" s="1"/>
  <c r="H10" i="25" s="1"/>
  <c r="I11" i="26" l="1"/>
  <c r="K11" i="26" s="1"/>
  <c r="H12" i="26" s="1"/>
  <c r="I10" i="25"/>
  <c r="K10" i="25" s="1"/>
  <c r="H11" i="25" s="1"/>
  <c r="I12" i="26" l="1"/>
  <c r="K12" i="26" s="1"/>
  <c r="H13" i="26" s="1"/>
  <c r="I11" i="25"/>
  <c r="K11" i="25" s="1"/>
  <c r="H12" i="25" s="1"/>
  <c r="I13" i="26" l="1"/>
  <c r="K13" i="26" s="1"/>
  <c r="H14" i="26" s="1"/>
  <c r="I12" i="25"/>
  <c r="K12" i="25" s="1"/>
  <c r="H13" i="25" s="1"/>
  <c r="I14" i="26" l="1"/>
  <c r="K14" i="26" s="1"/>
  <c r="H15" i="26" s="1"/>
  <c r="I13" i="25"/>
  <c r="K13" i="25" s="1"/>
  <c r="H14" i="25" s="1"/>
  <c r="I15" i="26" l="1"/>
  <c r="K15" i="26" s="1"/>
  <c r="H16" i="26" s="1"/>
  <c r="I14" i="25"/>
  <c r="K14" i="25" s="1"/>
  <c r="H15" i="25" s="1"/>
  <c r="I16" i="26" l="1"/>
  <c r="K16" i="26" s="1"/>
  <c r="H17" i="26" s="1"/>
  <c r="I15" i="25"/>
  <c r="K15" i="25" s="1"/>
  <c r="H16" i="25" s="1"/>
  <c r="I17" i="26" l="1"/>
  <c r="K17" i="26" s="1"/>
  <c r="H18" i="26" s="1"/>
  <c r="I16" i="25"/>
  <c r="K16" i="25" s="1"/>
  <c r="I18" i="26" l="1"/>
  <c r="K18" i="26" s="1"/>
  <c r="H19" i="26" s="1"/>
  <c r="O17" i="25"/>
  <c r="H17" i="25"/>
  <c r="I19" i="26" l="1"/>
  <c r="K19" i="26" s="1"/>
  <c r="H20" i="26" s="1"/>
  <c r="I17" i="25"/>
  <c r="P17" i="25"/>
  <c r="N28" i="25" s="1"/>
  <c r="O29" i="25" s="1"/>
  <c r="I20" i="26" l="1"/>
  <c r="K20" i="26" s="1"/>
  <c r="H21" i="26" s="1"/>
  <c r="K17" i="25"/>
  <c r="H18" i="25" s="1"/>
  <c r="I21" i="26" l="1"/>
  <c r="K21" i="26" s="1"/>
  <c r="H22" i="26" s="1"/>
  <c r="I18" i="25"/>
  <c r="K18" i="25" s="1"/>
  <c r="H19" i="25" s="1"/>
  <c r="I22" i="26" l="1"/>
  <c r="K22" i="26"/>
  <c r="H23" i="26" s="1"/>
  <c r="I19" i="25"/>
  <c r="K19" i="25" s="1"/>
  <c r="H20" i="25" s="1"/>
  <c r="I23" i="26" l="1"/>
  <c r="K23" i="26" s="1"/>
  <c r="H24" i="26" s="1"/>
  <c r="I20" i="25"/>
  <c r="I24" i="26" l="1"/>
  <c r="K24" i="26" s="1"/>
  <c r="H25" i="26" s="1"/>
  <c r="K20" i="25"/>
  <c r="H21" i="25" s="1"/>
  <c r="I25" i="26" l="1"/>
  <c r="K25" i="26" s="1"/>
  <c r="H26" i="26" s="1"/>
  <c r="I21" i="25"/>
  <c r="K21" i="25" s="1"/>
  <c r="H22" i="25" s="1"/>
  <c r="I26" i="26" l="1"/>
  <c r="K26" i="26" s="1"/>
  <c r="H27" i="26" s="1"/>
  <c r="I22" i="25"/>
  <c r="K22" i="25" s="1"/>
  <c r="H23" i="25" s="1"/>
  <c r="I27" i="26" l="1"/>
  <c r="K27" i="26" s="1"/>
  <c r="H28" i="26" s="1"/>
  <c r="I23" i="25"/>
  <c r="K23" i="25" s="1"/>
  <c r="H24" i="25" s="1"/>
  <c r="I28" i="26" l="1"/>
  <c r="K28" i="26" s="1"/>
  <c r="H29" i="26" s="1"/>
  <c r="I24" i="25"/>
  <c r="K24" i="25" s="1"/>
  <c r="H25" i="25" s="1"/>
  <c r="I29" i="26" l="1"/>
  <c r="K29" i="26" s="1"/>
  <c r="H30" i="26" s="1"/>
  <c r="I25" i="25"/>
  <c r="K25" i="25" s="1"/>
  <c r="H26" i="25" s="1"/>
  <c r="I30" i="26" l="1"/>
  <c r="K30" i="26" s="1"/>
  <c r="H31" i="26" s="1"/>
  <c r="I26" i="25"/>
  <c r="K26" i="25" s="1"/>
  <c r="H27" i="25" s="1"/>
  <c r="I31" i="26" l="1"/>
  <c r="I27" i="25"/>
  <c r="K27" i="25" s="1"/>
  <c r="H28" i="25" s="1"/>
  <c r="K31" i="26" l="1"/>
  <c r="H32" i="26" s="1"/>
  <c r="I28" i="25"/>
  <c r="O18" i="25" s="1"/>
  <c r="I32" i="26" l="1"/>
  <c r="K32" i="26" s="1"/>
  <c r="H33" i="26" s="1"/>
  <c r="P18" i="25"/>
  <c r="O20" i="25"/>
  <c r="P20" i="25" s="1"/>
  <c r="K28" i="25"/>
  <c r="H29" i="25" s="1"/>
  <c r="I33" i="26" l="1"/>
  <c r="K33" i="26" s="1"/>
  <c r="I29" i="25"/>
  <c r="K29" i="25" s="1"/>
  <c r="H30" i="25" s="1"/>
  <c r="N14" i="26" l="1"/>
  <c r="O15" i="26" s="1"/>
  <c r="N36" i="26"/>
  <c r="H34" i="26"/>
  <c r="N30" i="26"/>
  <c r="P14" i="26"/>
  <c r="I30" i="25"/>
  <c r="K30" i="25" s="1"/>
  <c r="H31" i="25" s="1"/>
  <c r="N33" i="26" l="1"/>
  <c r="P30" i="26"/>
  <c r="P33" i="26" s="1"/>
  <c r="I34" i="26"/>
  <c r="K34" i="26" s="1"/>
  <c r="H35" i="26" s="1"/>
  <c r="I31" i="25"/>
  <c r="K31" i="25" s="1"/>
  <c r="O33" i="26" l="1"/>
  <c r="C11" i="24"/>
  <c r="I35" i="26"/>
  <c r="K35" i="26"/>
  <c r="H36" i="26" s="1"/>
  <c r="H32" i="25"/>
  <c r="I36" i="26" l="1"/>
  <c r="K36" i="26" s="1"/>
  <c r="H37" i="26" s="1"/>
  <c r="I32" i="25"/>
  <c r="K32" i="25" s="1"/>
  <c r="H33" i="25" s="1"/>
  <c r="I37" i="26" l="1"/>
  <c r="K37" i="26" s="1"/>
  <c r="H38" i="26" s="1"/>
  <c r="I33" i="25"/>
  <c r="K33" i="25" s="1"/>
  <c r="H34" i="25" s="1"/>
  <c r="I38" i="26" l="1"/>
  <c r="K38" i="26" s="1"/>
  <c r="H39" i="26" s="1"/>
  <c r="I34" i="25"/>
  <c r="K34" i="25" s="1"/>
  <c r="H35" i="25" l="1"/>
  <c r="R34" i="25"/>
  <c r="I39" i="26"/>
  <c r="K39" i="26" s="1"/>
  <c r="I35" i="25"/>
  <c r="K35" i="25" s="1"/>
  <c r="H36" i="25" s="1"/>
  <c r="R28" i="25"/>
  <c r="I36" i="25" l="1"/>
  <c r="K36" i="25" s="1"/>
  <c r="H37" i="25" s="1"/>
  <c r="R31" i="25"/>
  <c r="S28" i="25"/>
  <c r="R13" i="25"/>
  <c r="S14" i="25" s="1"/>
  <c r="S31" i="25" l="1"/>
  <c r="B11" i="24"/>
  <c r="I37" i="25"/>
  <c r="I38" i="25" s="1"/>
  <c r="K37" i="25" l="1"/>
  <c r="C15" i="24" l="1"/>
  <c r="B23" i="23"/>
  <c r="O14" i="23"/>
  <c r="C12" i="24" s="1"/>
  <c r="N14" i="23"/>
  <c r="M14" i="23"/>
  <c r="P13" i="23"/>
  <c r="P12" i="23"/>
  <c r="D12" i="23"/>
  <c r="P11" i="23"/>
  <c r="F11" i="23"/>
  <c r="P10" i="23"/>
  <c r="F10" i="23"/>
  <c r="P9" i="23"/>
  <c r="E12" i="23" l="1"/>
  <c r="B12" i="24" s="1"/>
  <c r="P14" i="23"/>
  <c r="M18" i="23" s="1"/>
  <c r="M19" i="23" s="1"/>
  <c r="M20" i="23" s="1"/>
  <c r="F9" i="23"/>
  <c r="F12" i="23" s="1"/>
  <c r="C16" i="23" s="1"/>
  <c r="C17" i="23" s="1"/>
  <c r="C18" i="23" s="1"/>
  <c r="B22" i="23" s="1"/>
  <c r="C24" i="23" s="1"/>
  <c r="D24" i="23" s="1"/>
  <c r="J8" i="22"/>
  <c r="M22" i="23" l="1"/>
  <c r="L25" i="23" s="1"/>
  <c r="L27" i="23" s="1"/>
  <c r="N20" i="23"/>
  <c r="B28" i="28"/>
  <c r="M26" i="23"/>
  <c r="D12" i="22"/>
  <c r="E12" i="22" s="1"/>
  <c r="I11" i="22"/>
  <c r="J11" i="22" s="1"/>
  <c r="E8" i="22"/>
  <c r="J7" i="22"/>
  <c r="E7" i="22"/>
  <c r="J6" i="22"/>
  <c r="E6" i="22"/>
  <c r="AO43" i="28" l="1"/>
  <c r="B30" i="28"/>
  <c r="D28" i="4" l="1"/>
  <c r="AO28" i="28" l="1"/>
  <c r="L28" i="28"/>
  <c r="AV30" i="28"/>
  <c r="V41" i="4"/>
  <c r="C4" i="24" l="1"/>
  <c r="Y4" i="28"/>
  <c r="AW30" i="28"/>
  <c r="G37" i="17"/>
  <c r="F33" i="17"/>
  <c r="C36" i="17"/>
  <c r="F34" i="17" s="1"/>
  <c r="W40" i="4"/>
  <c r="W9" i="4"/>
  <c r="E12" i="17" l="1"/>
  <c r="F12" i="17" s="1"/>
  <c r="E11" i="17"/>
  <c r="F11" i="17" s="1"/>
  <c r="E10" i="17"/>
  <c r="F10" i="17" s="1"/>
  <c r="E9" i="17"/>
  <c r="F9" i="17" s="1"/>
  <c r="E8" i="17"/>
  <c r="C13" i="17"/>
  <c r="E13" i="17" l="1"/>
  <c r="C31" i="17" s="1"/>
  <c r="F8" i="17"/>
  <c r="F13" i="17" s="1"/>
  <c r="E19" i="17" s="1"/>
  <c r="B21" i="4" l="1"/>
  <c r="G19" i="4" l="1"/>
  <c r="V34" i="4" l="1"/>
  <c r="V55" i="4" s="1"/>
  <c r="G14" i="4" l="1"/>
  <c r="G52" i="4"/>
  <c r="G45" i="4"/>
  <c r="G40" i="4"/>
  <c r="G26" i="4"/>
  <c r="V29" i="4"/>
  <c r="V56" i="4" s="1"/>
  <c r="G24" i="4"/>
  <c r="G20" i="4"/>
  <c r="G10" i="4"/>
  <c r="K19" i="16" l="1"/>
  <c r="K27" i="16" s="1"/>
  <c r="B51" i="4"/>
  <c r="G71" i="15"/>
  <c r="B67" i="15"/>
  <c r="F36" i="16"/>
  <c r="E36" i="16"/>
  <c r="D36" i="16"/>
  <c r="F35" i="16"/>
  <c r="E35" i="16"/>
  <c r="D35" i="16"/>
  <c r="F34" i="16"/>
  <c r="E34" i="16"/>
  <c r="D34" i="16"/>
  <c r="F33" i="16"/>
  <c r="E33" i="16"/>
  <c r="D33" i="16"/>
  <c r="F32" i="16"/>
  <c r="E32" i="16"/>
  <c r="D32" i="16"/>
  <c r="F31" i="16"/>
  <c r="E31" i="16"/>
  <c r="D31" i="16"/>
  <c r="F30" i="16"/>
  <c r="E30" i="16"/>
  <c r="D30" i="16"/>
  <c r="F29" i="16"/>
  <c r="E29" i="16"/>
  <c r="D29" i="16"/>
  <c r="F28" i="16"/>
  <c r="E28" i="16"/>
  <c r="D28" i="16"/>
  <c r="F27" i="16"/>
  <c r="E27" i="16"/>
  <c r="D27" i="16"/>
  <c r="F26" i="16"/>
  <c r="E26" i="16"/>
  <c r="D26" i="16"/>
  <c r="F25" i="16"/>
  <c r="E25" i="16"/>
  <c r="D25" i="16"/>
  <c r="F24" i="16"/>
  <c r="E24" i="16"/>
  <c r="D24" i="16"/>
  <c r="F23" i="16"/>
  <c r="E23" i="16"/>
  <c r="D23" i="16"/>
  <c r="F22" i="16"/>
  <c r="E22" i="16"/>
  <c r="D22" i="16"/>
  <c r="F21" i="16"/>
  <c r="E21" i="16"/>
  <c r="D21" i="16"/>
  <c r="F20" i="16"/>
  <c r="E20" i="16"/>
  <c r="D20" i="16"/>
  <c r="F19" i="16"/>
  <c r="E19" i="16"/>
  <c r="D19" i="16"/>
  <c r="K18" i="16"/>
  <c r="K26" i="16" s="1"/>
  <c r="F18" i="16"/>
  <c r="E18" i="16"/>
  <c r="D18" i="16"/>
  <c r="F17" i="16"/>
  <c r="E17" i="16"/>
  <c r="D17" i="16"/>
  <c r="F16" i="16"/>
  <c r="E16" i="16"/>
  <c r="D16" i="16"/>
  <c r="F15" i="16"/>
  <c r="E15" i="16"/>
  <c r="D15" i="16"/>
  <c r="F14" i="16"/>
  <c r="E14" i="16"/>
  <c r="D14" i="16"/>
  <c r="F13" i="16"/>
  <c r="E13" i="16"/>
  <c r="D13" i="16"/>
  <c r="F12" i="16"/>
  <c r="E12" i="16"/>
  <c r="D12" i="16"/>
  <c r="F11" i="16"/>
  <c r="E11" i="16"/>
  <c r="D11" i="16"/>
  <c r="F10" i="16"/>
  <c r="E10" i="16"/>
  <c r="D10" i="16"/>
  <c r="F9" i="16"/>
  <c r="E9" i="16"/>
  <c r="D9" i="16"/>
  <c r="F8" i="16"/>
  <c r="E8" i="16"/>
  <c r="D8" i="16"/>
  <c r="F7" i="16"/>
  <c r="E7" i="16"/>
  <c r="D7" i="16"/>
  <c r="F6" i="16"/>
  <c r="E6" i="16"/>
  <c r="D6" i="16"/>
  <c r="F5" i="16"/>
  <c r="E5" i="16"/>
  <c r="D5" i="16"/>
  <c r="F4" i="16"/>
  <c r="E4" i="16"/>
  <c r="D4" i="16"/>
  <c r="G5" i="16" l="1"/>
  <c r="G6" i="16"/>
  <c r="G10" i="16"/>
  <c r="G14" i="16"/>
  <c r="H14" i="16" s="1"/>
  <c r="G18" i="16"/>
  <c r="H18" i="16" s="1"/>
  <c r="G19" i="16"/>
  <c r="H19" i="16" s="1"/>
  <c r="G31" i="16"/>
  <c r="H31" i="16" s="1"/>
  <c r="H10" i="16"/>
  <c r="G21" i="16"/>
  <c r="G30" i="16"/>
  <c r="H30" i="16" s="1"/>
  <c r="G34" i="16"/>
  <c r="H34" i="16" s="1"/>
  <c r="G12" i="16"/>
  <c r="H12" i="16" s="1"/>
  <c r="G22" i="16"/>
  <c r="H22" i="16" s="1"/>
  <c r="G11" i="16"/>
  <c r="H11" i="16" s="1"/>
  <c r="G4" i="16"/>
  <c r="H4" i="16" s="1"/>
  <c r="G9" i="16"/>
  <c r="H9" i="16" s="1"/>
  <c r="G28" i="16"/>
  <c r="H28" i="16" s="1"/>
  <c r="G15" i="16"/>
  <c r="H15" i="16" s="1"/>
  <c r="G13" i="16"/>
  <c r="H13" i="16" s="1"/>
  <c r="K28" i="16"/>
  <c r="K13" i="16"/>
  <c r="G25" i="16"/>
  <c r="H25" i="16" s="1"/>
  <c r="G23" i="16"/>
  <c r="H23" i="16" s="1"/>
  <c r="G32" i="16"/>
  <c r="H32" i="16" s="1"/>
  <c r="G7" i="16"/>
  <c r="H7" i="16" s="1"/>
  <c r="H6" i="16"/>
  <c r="G8" i="16"/>
  <c r="H8" i="16" s="1"/>
  <c r="G17" i="16"/>
  <c r="H17" i="16" s="1"/>
  <c r="G35" i="16"/>
  <c r="H35" i="16" s="1"/>
  <c r="H5" i="16"/>
  <c r="H21" i="16"/>
  <c r="G24" i="16"/>
  <c r="H24" i="16" s="1"/>
  <c r="G26" i="16"/>
  <c r="H26" i="16" s="1"/>
  <c r="G33" i="16"/>
  <c r="H33" i="16" s="1"/>
  <c r="G20" i="16"/>
  <c r="H20" i="16" s="1"/>
  <c r="G27" i="16"/>
  <c r="H27" i="16" s="1"/>
  <c r="G29" i="16"/>
  <c r="H29" i="16" s="1"/>
  <c r="G36" i="16"/>
  <c r="H36" i="16" s="1"/>
  <c r="G16" i="16"/>
  <c r="H16" i="16" s="1"/>
  <c r="K14" i="16"/>
  <c r="G72" i="15" l="1"/>
  <c r="B65" i="15"/>
  <c r="B39" i="4"/>
  <c r="C39" i="4" s="1"/>
  <c r="G39" i="4" s="1"/>
  <c r="B9" i="4"/>
  <c r="G73" i="15"/>
  <c r="B71" i="15"/>
  <c r="K16" i="16"/>
  <c r="B33" i="4" s="1"/>
  <c r="G74" i="15" l="1"/>
  <c r="D55" i="4"/>
  <c r="C30" i="17"/>
  <c r="C36" i="15"/>
  <c r="C55" i="15" s="1"/>
  <c r="B36" i="15"/>
  <c r="B55" i="15" s="1"/>
  <c r="C51" i="4"/>
  <c r="G51" i="4" s="1"/>
  <c r="G48" i="15"/>
  <c r="F27" i="15"/>
  <c r="G14" i="15"/>
  <c r="F45" i="15"/>
  <c r="F26" i="15"/>
  <c r="B38" i="4"/>
  <c r="C38" i="4" s="1"/>
  <c r="B25" i="4"/>
  <c r="C25" i="4" s="1"/>
  <c r="G25" i="4" s="1"/>
  <c r="B32" i="4"/>
  <c r="C32" i="4" s="1"/>
  <c r="G32" i="4" s="1"/>
  <c r="F57" i="15"/>
  <c r="C33" i="4"/>
  <c r="B17" i="4"/>
  <c r="C17" i="4" s="1"/>
  <c r="C22" i="4"/>
  <c r="G22" i="4" s="1"/>
  <c r="C21" i="4"/>
  <c r="G21" i="4" s="1"/>
  <c r="B50" i="4"/>
  <c r="C50" i="4" s="1"/>
  <c r="B23" i="4"/>
  <c r="B13" i="4"/>
  <c r="C13" i="4" s="1"/>
  <c r="B12" i="4"/>
  <c r="C12" i="4" s="1"/>
  <c r="C9" i="4"/>
  <c r="G9" i="4" s="1"/>
  <c r="B8" i="4"/>
  <c r="C8" i="4" s="1"/>
  <c r="G8" i="4" s="1"/>
  <c r="E18" i="17" s="1"/>
  <c r="E20" i="17" s="1"/>
  <c r="E21" i="17" s="1"/>
  <c r="E23" i="17" s="1"/>
  <c r="G13" i="15"/>
  <c r="C22" i="15"/>
  <c r="B49" i="4" s="1"/>
  <c r="C49" i="4" s="1"/>
  <c r="I21" i="4" l="1"/>
  <c r="G41" i="4"/>
  <c r="G49" i="4"/>
  <c r="G38" i="4"/>
  <c r="G13" i="4"/>
  <c r="U4" i="4" s="1"/>
  <c r="G17" i="4"/>
  <c r="G50" i="4"/>
  <c r="C55" i="4"/>
  <c r="B28" i="4"/>
  <c r="C28" i="4"/>
  <c r="B55" i="4"/>
  <c r="F36" i="15"/>
  <c r="F38" i="15" s="1"/>
  <c r="D55" i="15"/>
  <c r="B56" i="4" l="1"/>
  <c r="F52" i="14" l="1"/>
  <c r="E9" i="4" l="1"/>
  <c r="M19" i="11" l="1"/>
  <c r="K19" i="11"/>
  <c r="M18" i="11"/>
  <c r="K18" i="11"/>
  <c r="N16" i="11"/>
  <c r="M16" i="11"/>
  <c r="L16" i="11"/>
  <c r="K16" i="11"/>
  <c r="J16" i="11"/>
  <c r="I16" i="11"/>
  <c r="H16" i="11"/>
  <c r="G16" i="11"/>
  <c r="F16" i="11"/>
  <c r="E16" i="11"/>
  <c r="D16" i="11"/>
  <c r="C16" i="11"/>
  <c r="E21" i="4" l="1"/>
  <c r="E52" i="14" s="1"/>
  <c r="E53" i="14" s="1"/>
  <c r="E25" i="4"/>
  <c r="E17" i="4"/>
  <c r="E50" i="4"/>
  <c r="E23" i="4"/>
  <c r="E13" i="4"/>
  <c r="E12" i="4"/>
  <c r="E8" i="4"/>
  <c r="E51" i="4"/>
  <c r="E53" i="4"/>
  <c r="E45" i="4"/>
  <c r="E32" i="4"/>
  <c r="E38" i="12"/>
  <c r="E20" i="4" s="1"/>
  <c r="F20" i="12"/>
  <c r="E49" i="4" s="1"/>
  <c r="H55" i="4"/>
  <c r="H28" i="4"/>
  <c r="F28" i="4"/>
  <c r="F43" i="9"/>
  <c r="H43" i="9" s="1"/>
  <c r="K12" i="9"/>
  <c r="F61" i="9"/>
  <c r="H61" i="9" s="1"/>
  <c r="H19" i="9" s="1"/>
  <c r="N21" i="9"/>
  <c r="N20" i="9"/>
  <c r="N19" i="9"/>
  <c r="N18" i="9"/>
  <c r="N17" i="9"/>
  <c r="O21" i="9"/>
  <c r="P21" i="9" s="1"/>
  <c r="O20" i="9"/>
  <c r="P20" i="9" s="1"/>
  <c r="O19" i="9"/>
  <c r="P19" i="9" s="1"/>
  <c r="O18" i="9"/>
  <c r="P18" i="9" s="1"/>
  <c r="O17" i="9"/>
  <c r="P17" i="9" s="1"/>
  <c r="K22" i="9"/>
  <c r="K10" i="9"/>
  <c r="Q20" i="9" l="1"/>
  <c r="K13" i="9"/>
  <c r="D42" i="9" s="1"/>
  <c r="Q17" i="9"/>
  <c r="Q18" i="9"/>
  <c r="Q19" i="9"/>
  <c r="H67" i="9"/>
  <c r="Q21" i="9"/>
  <c r="G28" i="4"/>
  <c r="E28" i="4"/>
  <c r="Q22" i="9" l="1"/>
  <c r="E42" i="9" s="1"/>
  <c r="F42" i="9" s="1"/>
  <c r="H42" i="9" s="1"/>
  <c r="H13" i="9" s="1"/>
  <c r="H23" i="9" s="1"/>
  <c r="D9" i="7"/>
  <c r="E9" i="7" s="1"/>
  <c r="D8" i="7"/>
  <c r="E8" i="7" s="1"/>
  <c r="D4" i="7"/>
  <c r="E4" i="7" s="1"/>
  <c r="F4" i="7" s="1"/>
  <c r="L42" i="12"/>
  <c r="H68" i="9" l="1"/>
  <c r="H70" i="9" s="1"/>
  <c r="E10" i="7"/>
  <c r="F9" i="7"/>
  <c r="F8" i="7"/>
  <c r="F55" i="4" l="1"/>
  <c r="P25" i="5"/>
  <c r="P16" i="5"/>
  <c r="N11" i="11" s="1"/>
  <c r="L16" i="5"/>
  <c r="G11" i="11"/>
  <c r="F11" i="11"/>
  <c r="E11" i="11"/>
  <c r="F16" i="5"/>
  <c r="F26" i="5" s="1"/>
  <c r="C11" i="11"/>
  <c r="D11" i="11" l="1"/>
  <c r="K11" i="11"/>
  <c r="H11" i="11"/>
  <c r="L26" i="5"/>
  <c r="J11" i="11"/>
  <c r="M11" i="11"/>
  <c r="C12" i="11"/>
  <c r="P26" i="5"/>
  <c r="L30" i="5" l="1"/>
  <c r="L36" i="5" s="1"/>
  <c r="J12" i="11"/>
  <c r="F12" i="11"/>
  <c r="F30" i="5"/>
  <c r="F36" i="5" s="1"/>
  <c r="F61" i="5" s="1"/>
  <c r="F63" i="5" s="1"/>
  <c r="D12" i="11"/>
  <c r="J30" i="5"/>
  <c r="H13" i="11" s="1"/>
  <c r="H12" i="11"/>
  <c r="G13" i="11"/>
  <c r="G12" i="11"/>
  <c r="E12" i="11"/>
  <c r="K12" i="11"/>
  <c r="P30" i="5"/>
  <c r="P36" i="5" s="1"/>
  <c r="N12" i="11"/>
  <c r="M12" i="11"/>
  <c r="L40" i="5" l="1"/>
  <c r="L61" i="5" s="1"/>
  <c r="L63" i="5" s="1"/>
  <c r="L46" i="5"/>
  <c r="B4" i="24"/>
  <c r="F13" i="11"/>
  <c r="G14" i="11"/>
  <c r="C13" i="11"/>
  <c r="E13" i="11"/>
  <c r="N13" i="11"/>
  <c r="J36" i="5"/>
  <c r="M13" i="11"/>
  <c r="K13" i="11"/>
  <c r="D13" i="11"/>
  <c r="J13" i="11"/>
  <c r="J46" i="5" l="1"/>
  <c r="H19" i="11" s="1"/>
  <c r="J45" i="5"/>
  <c r="H18" i="11" s="1"/>
  <c r="F40" i="5"/>
  <c r="D14" i="11"/>
  <c r="J40" i="5"/>
  <c r="G61" i="5" s="1"/>
  <c r="G63" i="5" s="1"/>
  <c r="H14" i="11"/>
  <c r="J14" i="11"/>
  <c r="K14" i="11"/>
  <c r="M14" i="11"/>
  <c r="N14" i="11"/>
  <c r="P40" i="5"/>
  <c r="P61" i="5" s="1"/>
  <c r="P63" i="5" s="1"/>
  <c r="E14" i="11"/>
  <c r="I11" i="11"/>
  <c r="L11" i="11"/>
  <c r="E15" i="11" l="1"/>
  <c r="G19" i="11"/>
  <c r="G18" i="11"/>
  <c r="H15" i="11"/>
  <c r="G15" i="11"/>
  <c r="D15" i="11"/>
  <c r="J15" i="11"/>
  <c r="I12" i="11"/>
  <c r="M15" i="11"/>
  <c r="K15" i="11"/>
  <c r="L12" i="11"/>
  <c r="N15" i="11"/>
  <c r="N18" i="11" l="1"/>
  <c r="P46" i="5"/>
  <c r="N19" i="11" s="1"/>
  <c r="C28" i="17"/>
  <c r="C35" i="17" s="1"/>
  <c r="C38" i="17" s="1"/>
  <c r="J19" i="11"/>
  <c r="J18" i="11"/>
  <c r="D18" i="11"/>
  <c r="F46" i="5"/>
  <c r="D19" i="11" s="1"/>
  <c r="E19" i="11"/>
  <c r="E18" i="11"/>
  <c r="I13" i="11"/>
  <c r="L13" i="11"/>
  <c r="F28" i="17" l="1"/>
  <c r="F36" i="17" s="1"/>
  <c r="F37" i="17" s="1"/>
  <c r="G53" i="4" s="1"/>
  <c r="U5" i="4" l="1"/>
  <c r="F38" i="17"/>
  <c r="C14" i="24" l="1"/>
  <c r="C16" i="24" s="1"/>
  <c r="C18" i="24" s="1"/>
  <c r="C19" i="24" s="1"/>
  <c r="B14" i="24" l="1"/>
  <c r="B16" i="24" s="1"/>
  <c r="B18" i="24" s="1"/>
  <c r="B19" i="24" s="1"/>
  <c r="B56" i="28" l="1"/>
  <c r="AO56" i="28" s="1"/>
  <c r="B35" i="39" l="1"/>
  <c r="B42" i="39"/>
  <c r="L56" i="28"/>
  <c r="C15" i="11"/>
  <c r="B42" i="28"/>
  <c r="AO42" i="28" s="1"/>
  <c r="B35" i="28"/>
  <c r="C18" i="11"/>
  <c r="F14" i="11"/>
  <c r="C14" i="11"/>
  <c r="B58" i="39" l="1"/>
  <c r="B59" i="39" s="1"/>
  <c r="B59" i="28"/>
  <c r="B60" i="28" s="1"/>
  <c r="L37" i="28"/>
  <c r="C19" i="11"/>
  <c r="F48" i="13"/>
  <c r="L42" i="28"/>
  <c r="I14" i="11"/>
  <c r="L14" i="11"/>
  <c r="F18" i="11"/>
  <c r="F19" i="11"/>
  <c r="F15" i="11"/>
  <c r="E33" i="4"/>
  <c r="E55" i="4" s="1"/>
  <c r="AO35" i="28" l="1"/>
  <c r="L35" i="28"/>
  <c r="L36" i="28" s="1"/>
  <c r="AV59" i="28"/>
  <c r="AP35" i="28"/>
  <c r="AP37" i="28" s="1"/>
  <c r="AP38" i="28" s="1"/>
  <c r="AX35" i="28"/>
  <c r="AY35" i="28" s="1"/>
  <c r="AZ35" i="28" s="1"/>
  <c r="BB35" i="28" s="1"/>
  <c r="Y5" i="28"/>
  <c r="G60" i="28"/>
  <c r="G33" i="4"/>
  <c r="G55" i="4" s="1"/>
  <c r="G56" i="4" s="1"/>
  <c r="L15" i="11"/>
  <c r="L19" i="11"/>
  <c r="L18" i="11"/>
  <c r="I15" i="11"/>
  <c r="I19" i="11"/>
  <c r="I18" i="11"/>
  <c r="AW59"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V41" authorId="0" shapeId="0" xr:uid="{00000000-0006-0000-0200-000001000000}">
      <text>
        <r>
          <rPr>
            <b/>
            <sz val="9"/>
            <color indexed="81"/>
            <rFont val="Tahoma"/>
            <family val="2"/>
          </rPr>
          <t>Author:</t>
        </r>
        <r>
          <rPr>
            <sz val="9"/>
            <color indexed="81"/>
            <rFont val="Tahoma"/>
            <family val="2"/>
          </rPr>
          <t xml:space="preserve">
1.27 is the differnce in the opening balance pls see 31.03.2020 adjusted in r&amp;s
Rs. 56.87637 Lakhs is for provision for baddebts
Rs.47.71722 lakhs is the rent provision for 6 momths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43" authorId="0" shapeId="0" xr:uid="{00000000-0006-0000-0300-000001000000}">
      <text>
        <r>
          <rPr>
            <b/>
            <sz val="9"/>
            <color indexed="81"/>
            <rFont val="Tahoma"/>
            <family val="2"/>
          </rPr>
          <t>Author:</t>
        </r>
        <r>
          <rPr>
            <sz val="9"/>
            <color indexed="81"/>
            <rFont val="Tahoma"/>
            <family val="2"/>
          </rPr>
          <t xml:space="preserve">
1.27 is the differnce in the opening balance pls see 31.03.2020 adjusted in r&amp;s
Rs. 56.87637 Lakhs is for provision for baddebts
Rs.47.71722 lakhs is the rent provision for 6 momths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W43" authorId="0" shapeId="0" xr:uid="{E3B9AB3F-4EF2-47DC-9552-74E9B831A5B1}">
      <text>
        <r>
          <rPr>
            <b/>
            <sz val="9"/>
            <color indexed="81"/>
            <rFont val="Tahoma"/>
            <family val="2"/>
          </rPr>
          <t>Author:</t>
        </r>
        <r>
          <rPr>
            <sz val="9"/>
            <color indexed="81"/>
            <rFont val="Tahoma"/>
            <family val="2"/>
          </rPr>
          <t xml:space="preserve">
1.27 is the differnce in the opening balance pls see 31.03.2020 adjusted in r&amp;s
Rs. 56.87637 Lakhs is for provision for baddebts
Rs.47.71722 lakhs is the rent provision for 6 momths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F3" authorId="0" shapeId="0" xr:uid="{9EDFBDAF-4629-4B56-9E3F-DD89A7B7C0A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Sale of Land Added</t>
        </r>
      </text>
    </comment>
    <comment ref="AC7" authorId="0" shapeId="0" xr:uid="{7CB9B7DB-E67D-4BF1-832E-800AD7E877E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Sale of Land Added</t>
        </r>
      </text>
    </comment>
    <comment ref="AC13" authorId="0" shapeId="0" xr:uid="{FB4FB539-80E5-40A1-89CF-A35E82F009A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Stock of Land Also Added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V14" authorId="0" shapeId="0" xr:uid="{69C2275C-CA6C-4588-8B58-24E06F0B0CF4}">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Investment other than Mark to market one
</t>
        </r>
      </text>
    </comment>
    <comment ref="AV15" authorId="0" shapeId="0" xr:uid="{0D30C890-F341-4717-B779-FA52232B13AD}">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Non Current Deposits
</t>
        </r>
      </text>
    </comment>
    <comment ref="AV28" authorId="0" shapeId="0" xr:uid="{9E4C1F5B-5834-423E-9783-2B99C577C97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Accrued Interest</t>
        </r>
      </text>
    </comment>
    <comment ref="AV29" authorId="0" shapeId="0" xr:uid="{350855C3-03C4-4427-AC32-5E46EEBB5C5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All other current assets</t>
        </r>
      </text>
    </comment>
    <comment ref="AV44" authorId="0" shapeId="0" xr:uid="{47FFCADF-73A0-4B9D-A4E8-EFE7A19EB81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Provision of Gratuity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9" authorId="0" shapeId="0" xr:uid="{00000000-0006-0000-1000-000001000000}">
      <text>
        <r>
          <rPr>
            <b/>
            <sz val="9"/>
            <color indexed="81"/>
            <rFont val="Tahoma"/>
            <family val="2"/>
          </rPr>
          <t>103794 ENTRY MADE IN APRIL</t>
        </r>
      </text>
    </comment>
    <comment ref="D11" authorId="0" shapeId="0" xr:uid="{00000000-0006-0000-1000-000002000000}">
      <text>
        <r>
          <rPr>
            <b/>
            <sz val="9"/>
            <color indexed="81"/>
            <rFont val="Tahoma"/>
            <family val="2"/>
          </rPr>
          <t>Two printers purchased during Q2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9" authorId="0" shapeId="0" xr:uid="{00000000-0006-0000-1700-000001000000}">
      <text>
        <r>
          <rPr>
            <b/>
            <sz val="9"/>
            <color indexed="81"/>
            <rFont val="Tahoma"/>
            <family val="2"/>
          </rPr>
          <t>Author:</t>
        </r>
        <r>
          <rPr>
            <sz val="9"/>
            <color indexed="81"/>
            <rFont val="Tahoma"/>
            <family val="2"/>
          </rPr>
          <t xml:space="preserve">
600000 is added because actual rent is of 3 months.
</t>
        </r>
      </text>
    </comment>
  </commentList>
</comments>
</file>

<file path=xl/sharedStrings.xml><?xml version="1.0" encoding="utf-8"?>
<sst xmlns="http://schemas.openxmlformats.org/spreadsheetml/2006/main" count="6173" uniqueCount="2167">
  <si>
    <t>Particulars</t>
  </si>
  <si>
    <t>LA TIM METAL &amp; INDUSTRIES LIMITED</t>
  </si>
  <si>
    <t>(FORMERLY KNOWN AS DRILLCO METAL CARBIDES LIMITED)</t>
  </si>
  <si>
    <t>Registered Office: 201 , Navkar Plaza, Bajaj Road, Vile Parle (West), Mumbai - 400056</t>
  </si>
  <si>
    <t>CIN:L99999MH1974ULL017951</t>
  </si>
  <si>
    <t xml:space="preserve"> Tel. 26202299 / 26203434 Fax: 022 - 26240540, Email: accounts@latimmetal.com, Website: www.latimmetal.com</t>
  </si>
  <si>
    <t>S. No.</t>
  </si>
  <si>
    <t>(Refer Notes below)</t>
  </si>
  <si>
    <t>(2)</t>
  </si>
  <si>
    <t>Income from Operations</t>
  </si>
  <si>
    <t>a)</t>
  </si>
  <si>
    <t>Revenue from operations</t>
  </si>
  <si>
    <t>b)</t>
  </si>
  <si>
    <t>Other Income</t>
  </si>
  <si>
    <t>Total income</t>
  </si>
  <si>
    <t>Expenses</t>
  </si>
  <si>
    <t xml:space="preserve">a </t>
  </si>
  <si>
    <t>Cost of materials consumed</t>
  </si>
  <si>
    <t>b</t>
  </si>
  <si>
    <t>Purchase of stock-in-trade</t>
  </si>
  <si>
    <t>c</t>
  </si>
  <si>
    <t>Changes in inventories of Finished goods, work-in-progress and stock-in-trade</t>
  </si>
  <si>
    <t>d</t>
  </si>
  <si>
    <t>Employee benefits expenses</t>
  </si>
  <si>
    <t>e</t>
  </si>
  <si>
    <t>Finance costs</t>
  </si>
  <si>
    <t>f</t>
  </si>
  <si>
    <t>Depreciation and amortization expenses</t>
  </si>
  <si>
    <t>Other expenses</t>
  </si>
  <si>
    <t>Total Expenses</t>
  </si>
  <si>
    <t>Profit / (Loss) before exceptional items and tax</t>
  </si>
  <si>
    <t>Exceptional items</t>
  </si>
  <si>
    <t>Profit / (Loss) before tax</t>
  </si>
  <si>
    <t>Tax Expense</t>
  </si>
  <si>
    <t>a</t>
  </si>
  <si>
    <t>Current Tax</t>
  </si>
  <si>
    <t>Deferred Tax (Asset) / Liabilities</t>
  </si>
  <si>
    <t>MAT credit entitlement</t>
  </si>
  <si>
    <t>Profit / (Loss) for the period</t>
  </si>
  <si>
    <t>Other comprehensive income / (expenses)</t>
  </si>
  <si>
    <t>Total comprehensive income</t>
  </si>
  <si>
    <t>Net profit / (loss) attributable to:</t>
  </si>
  <si>
    <t>a) Owners of the company</t>
  </si>
  <si>
    <t>b) Non-controlling interest</t>
  </si>
  <si>
    <t>Other comprehensive income / (expenses) attributable to:</t>
  </si>
  <si>
    <t>Total comprehensive income / (expenses) attributable to:</t>
  </si>
  <si>
    <t>Paid-up equity share capital (face value of Rs.10/-)</t>
  </si>
  <si>
    <t>Earning per share</t>
  </si>
  <si>
    <t>(of Rs. 10/- each) (not annualized):</t>
  </si>
  <si>
    <t>Basic (in Rs)</t>
  </si>
  <si>
    <t>Diluted (in Rs.)</t>
  </si>
  <si>
    <t>NOTES</t>
  </si>
  <si>
    <t>2</t>
  </si>
  <si>
    <t xml:space="preserve">The format of the above results as prescribed in SEBI's Circular CIR/CFD/CMD/15/2015 dated 30th November, 2015 has been modified to comply with the requiremetns of SEBI's Circular dated 5th July, 2016, Ind AS and Schedule III [Division II] to the Companies Act, 2013. </t>
  </si>
  <si>
    <t>Figures of previous reporting periods have been regrouped/ reclassified wherever necessary to correspond with the figures of the current reporting period.</t>
  </si>
  <si>
    <t>Place: Mumbai</t>
  </si>
  <si>
    <t>For and on behalf of the Board of Directors</t>
  </si>
  <si>
    <t>Rahul Timbadia</t>
  </si>
  <si>
    <t>Managing Director</t>
  </si>
  <si>
    <t>DIN: 00691457</t>
  </si>
  <si>
    <r>
      <t>Statement of Unaudited Results for the quarter and half year ended 30</t>
    </r>
    <r>
      <rPr>
        <b/>
        <vertAlign val="superscript"/>
        <sz val="9"/>
        <color rgb="FF000000"/>
        <rFont val="Calibri"/>
        <family val="2"/>
        <scheme val="minor"/>
      </rPr>
      <t>th</t>
    </r>
    <r>
      <rPr>
        <b/>
        <sz val="9"/>
        <color rgb="FF000000"/>
        <rFont val="Calibri"/>
        <family val="2"/>
        <scheme val="minor"/>
      </rPr>
      <t xml:space="preserve"> September, 2018</t>
    </r>
  </si>
  <si>
    <t>(Rs. In lakhs except earning per share)</t>
  </si>
  <si>
    <t>Revenue from Operations</t>
  </si>
  <si>
    <t>Expense</t>
  </si>
  <si>
    <t>g</t>
  </si>
  <si>
    <t>Rent Expense</t>
  </si>
  <si>
    <t>9</t>
  </si>
  <si>
    <t>Security Deposit</t>
  </si>
  <si>
    <t>Income</t>
  </si>
  <si>
    <t>(Net off June Qtr excess amounts considered)</t>
  </si>
  <si>
    <t>NON-CURRENT ASSETS</t>
  </si>
  <si>
    <t>(a) Property, Plant and Equipment</t>
  </si>
  <si>
    <t>(i) Investments</t>
  </si>
  <si>
    <t>(ii) Others</t>
  </si>
  <si>
    <t>(e) Other Non Current Assets</t>
  </si>
  <si>
    <t>CURRENT ASSETS</t>
  </si>
  <si>
    <t>(a) Inventories</t>
  </si>
  <si>
    <t>(b) Financial Assets</t>
  </si>
  <si>
    <t>(c) Other Current Assets</t>
  </si>
  <si>
    <t>TOTAL ASSETS</t>
  </si>
  <si>
    <t>EQUITY AND LIABILITIES</t>
  </si>
  <si>
    <t>EQUITY</t>
  </si>
  <si>
    <t>(a) Equity Share Capital</t>
  </si>
  <si>
    <t>(b) Other Equity</t>
  </si>
  <si>
    <t>LIABILITIES</t>
  </si>
  <si>
    <t>NON-CURRENT LIABILITIES</t>
  </si>
  <si>
    <t>(a) Financial Liabilities</t>
  </si>
  <si>
    <t>(i) Borrowings</t>
  </si>
  <si>
    <t>(b) Provisions</t>
  </si>
  <si>
    <t>CURRENT LIABILITIES</t>
  </si>
  <si>
    <t>(iii) Other Financial Liabilities</t>
  </si>
  <si>
    <t>(b) Other Current Liabilities</t>
  </si>
  <si>
    <t>TOTAL EQUITY &amp; LIABILITIES</t>
  </si>
  <si>
    <t>(Standalone)</t>
  </si>
  <si>
    <t>ASSETS:</t>
  </si>
  <si>
    <t>(b) Intangible Assets</t>
  </si>
  <si>
    <t>(c) Financial Assets</t>
  </si>
  <si>
    <t>(ii) Trade Receivables</t>
  </si>
  <si>
    <t>(iii) Cash and Cash Equivalents</t>
  </si>
  <si>
    <t>(c) Deferred Tax Liabilities (Net)</t>
  </si>
  <si>
    <t>(c) Provisions</t>
  </si>
  <si>
    <t>(d) Current Tax Liabilities (Net)</t>
  </si>
  <si>
    <t>Ind-AS Security Deposits Income not considered in books</t>
  </si>
  <si>
    <t>Loss as per Tally</t>
  </si>
  <si>
    <t>Loss as per Result for the quarter</t>
  </si>
  <si>
    <t>Latim Metals
(Ind-AS Impacts) 
6 months</t>
  </si>
  <si>
    <t>Latim Sourcing
(Ind-AS Impacts) 
6 months</t>
  </si>
  <si>
    <t>Shares MTM</t>
  </si>
  <si>
    <t>Latim Sourcing as on 30.09.2018</t>
  </si>
  <si>
    <t>Need to obtain bifurcation of deposits having maturity of more than 3 months</t>
  </si>
  <si>
    <t>Deferred Security Deposit as on 31.03.2018</t>
  </si>
  <si>
    <t>(Consolidated)</t>
  </si>
  <si>
    <t>Latim Sourcing India 6 months Profit and Loss</t>
  </si>
  <si>
    <t>Note No.</t>
  </si>
  <si>
    <t>As at 30th Sep., 2018</t>
  </si>
  <si>
    <t>Amount (In Lakhs.`)</t>
  </si>
  <si>
    <t>I</t>
  </si>
  <si>
    <t>II</t>
  </si>
  <si>
    <t>III</t>
  </si>
  <si>
    <t>Total Revenue (I + II)</t>
  </si>
  <si>
    <t>IV</t>
  </si>
  <si>
    <t>Expenses:</t>
  </si>
  <si>
    <t>Cost of Materials Consumed</t>
  </si>
  <si>
    <t>Purchases of Stock-in-Trade</t>
  </si>
  <si>
    <t>Changes in Inventories of Finished Goods and Stock-in-Trade</t>
  </si>
  <si>
    <t>Employee Benefits Expense</t>
  </si>
  <si>
    <t>Finance Costs</t>
  </si>
  <si>
    <t>Depreciation and Amortization Expense</t>
  </si>
  <si>
    <t>Other Expenses</t>
  </si>
  <si>
    <t>V</t>
  </si>
  <si>
    <t>Profit before exceptional and extraordinary items and tax (III-IV)</t>
  </si>
  <si>
    <t>VI</t>
  </si>
  <si>
    <t>Exceptional Items {Loss / (Gain)}</t>
  </si>
  <si>
    <t>VII</t>
  </si>
  <si>
    <t>Profit before extraordinary items and tax (V - VI)</t>
  </si>
  <si>
    <t>VIII</t>
  </si>
  <si>
    <t>Prior Period Items</t>
  </si>
  <si>
    <t>IX</t>
  </si>
  <si>
    <t>Profit before tax (VII- VIII)</t>
  </si>
  <si>
    <t>X</t>
  </si>
  <si>
    <t>Tax expense:</t>
  </si>
  <si>
    <t>(1) Current Tax</t>
  </si>
  <si>
    <t xml:space="preserve">(2) MAT Credit Entitlement </t>
  </si>
  <si>
    <t>(2) Deferred Tax</t>
  </si>
  <si>
    <t>XI</t>
  </si>
  <si>
    <t>Profit (Loss) for the period from continuing operations (IX-X)</t>
  </si>
  <si>
    <t>XII</t>
  </si>
  <si>
    <t>Other Comprehensive Income/ (Loss) for the year</t>
  </si>
  <si>
    <t>XIII</t>
  </si>
  <si>
    <t>Tax expense of discontinuing operations</t>
  </si>
  <si>
    <t>XIV</t>
  </si>
  <si>
    <t>Profit/(loss) from Discontinuing operations (after tax) (XII-XIII)</t>
  </si>
  <si>
    <t>XV</t>
  </si>
  <si>
    <t>Profit (Loss) for the period (XI + XIV)</t>
  </si>
  <si>
    <t>XVI</t>
  </si>
  <si>
    <t>Earnings per equity share:</t>
  </si>
  <si>
    <t>(1) Basic</t>
  </si>
  <si>
    <t>(2) Diluted</t>
  </si>
  <si>
    <t>WANES</t>
  </si>
  <si>
    <t>BASIC</t>
  </si>
  <si>
    <t>DILUTED</t>
  </si>
  <si>
    <t>Basic and Diluted EPS working for Q2 September</t>
  </si>
  <si>
    <r>
      <t xml:space="preserve">Date: </t>
    </r>
    <r>
      <rPr>
        <sz val="9"/>
        <rFont val="Calibri"/>
        <family val="2"/>
        <scheme val="minor"/>
      </rPr>
      <t>29th Oct,2018</t>
    </r>
  </si>
  <si>
    <t>Tax liability as per normal provisions</t>
  </si>
  <si>
    <t>Tax Provision</t>
  </si>
  <si>
    <t>Profit as per Net Profit</t>
  </si>
  <si>
    <t>Add:</t>
  </si>
  <si>
    <t>Depreciation</t>
  </si>
  <si>
    <t>Interest on TDS and penalty</t>
  </si>
  <si>
    <t>Donation</t>
  </si>
  <si>
    <t>Less:</t>
  </si>
  <si>
    <t>Depreciation as per IT Act</t>
  </si>
  <si>
    <t>Donation- considering 50%</t>
  </si>
  <si>
    <t>Dividend Income</t>
  </si>
  <si>
    <t>Profit after adjustment</t>
  </si>
  <si>
    <t>Less: Loss of PY</t>
  </si>
  <si>
    <t>Tax @31.20%</t>
  </si>
  <si>
    <t>Tax @ 30+7+4=33.384%</t>
  </si>
  <si>
    <t>Tax liability as per MAT provisions</t>
  </si>
  <si>
    <t>Book profit of La Tim Sourcing only</t>
  </si>
  <si>
    <t>Positive adjustments</t>
  </si>
  <si>
    <t>Nil</t>
  </si>
  <si>
    <t>Negative adjustments</t>
  </si>
  <si>
    <t>Tax @ 18.5% on book profit</t>
  </si>
  <si>
    <t>Surcharge @ 7%</t>
  </si>
  <si>
    <t>Total tax provision for FY 2017-18( including cess)</t>
  </si>
  <si>
    <t>La Tim Sourcing India Private Limited</t>
  </si>
  <si>
    <t>Working of Deferred tax liabilities/(asset)</t>
  </si>
  <si>
    <t>Deferred Tax :</t>
  </si>
  <si>
    <t>Break up of Deferred Tax Liabilities into major components of the respective balances are as under :</t>
  </si>
  <si>
    <t xml:space="preserve">INR </t>
  </si>
  <si>
    <t xml:space="preserve">As on </t>
  </si>
  <si>
    <t>Deferred Tax Liabilities :</t>
  </si>
  <si>
    <t>WDV</t>
  </si>
  <si>
    <t>Total</t>
  </si>
  <si>
    <t>Deferred Tax Assets :</t>
  </si>
  <si>
    <t>Retirement benefits</t>
  </si>
  <si>
    <t>Amalgamation Expenses</t>
  </si>
  <si>
    <t>Provision for Bad and Doubtful debts</t>
  </si>
  <si>
    <t>Carried Forward Losses</t>
  </si>
  <si>
    <t>Net Total</t>
  </si>
  <si>
    <t>Acquired under Composite Scheme of Arrangement (Net Deferrend Tax Asset)</t>
  </si>
  <si>
    <t>Net Deferred Tax Liability/(Asset)</t>
  </si>
  <si>
    <t>Entries to be Passed</t>
  </si>
  <si>
    <t>Amount In Rs.</t>
  </si>
  <si>
    <t>DTL -  Balance in P &amp; L A/c</t>
  </si>
  <si>
    <t>Dr.</t>
  </si>
  <si>
    <t>Deffered Tax Liabilities</t>
  </si>
  <si>
    <t>To Deferred Tax Liabilities</t>
  </si>
  <si>
    <t>Cr.</t>
  </si>
  <si>
    <t>To DTL -  Balance in P &amp; L A/c</t>
  </si>
  <si>
    <t>DTA -  Balance in P &amp; L A/c</t>
  </si>
  <si>
    <t xml:space="preserve">Deferred Tax Assets </t>
  </si>
  <si>
    <t>To  Deferred Tax Assets</t>
  </si>
  <si>
    <t>To  DTA -  Balance in P &amp; L A/c</t>
  </si>
  <si>
    <t>Net Impact in P &amp; L - Deferred tax expense/(income)</t>
  </si>
  <si>
    <t>Net Effect in B/F balance of DTA / (DTL)-balance sheet</t>
  </si>
  <si>
    <t>As per Books</t>
  </si>
  <si>
    <t>As per IT Act</t>
  </si>
  <si>
    <t>Net Difference</t>
  </si>
  <si>
    <t>Tax Rate</t>
  </si>
  <si>
    <t>Net DTL to be C/f</t>
  </si>
  <si>
    <t>Deferred Tax Liability</t>
  </si>
  <si>
    <t xml:space="preserve">Closing </t>
  </si>
  <si>
    <t xml:space="preserve">Net DTA to be </t>
  </si>
  <si>
    <t>Unpaid</t>
  </si>
  <si>
    <t>C/F</t>
  </si>
  <si>
    <t>Deferred Tax Asset</t>
  </si>
  <si>
    <t>Leave Encashment (Short Term)</t>
  </si>
  <si>
    <t>Sick Leave Encashment</t>
  </si>
  <si>
    <t>Gratuity</t>
  </si>
  <si>
    <t xml:space="preserve">Provision for bonus </t>
  </si>
  <si>
    <t>Sub total</t>
  </si>
  <si>
    <t>Amalgamation expenses @ 1/5th of Rs._________/- [____ year remaining]</t>
  </si>
  <si>
    <t>Provision for Bad and Doubtful Debts</t>
  </si>
  <si>
    <t>Net DTA</t>
  </si>
  <si>
    <t>Net DTL / (DTA)</t>
  </si>
  <si>
    <t>Deferred Tax Assets / (Liabilities)</t>
  </si>
  <si>
    <t>Less: Mat Credit Entitlement</t>
  </si>
  <si>
    <t>Profit of Sourcing 3 months sept 18</t>
  </si>
  <si>
    <t>Profit of Sourcing 3 months June 18</t>
  </si>
  <si>
    <t>Year End 
 31/03/2018
Audited</t>
  </si>
  <si>
    <t>Standalone</t>
  </si>
  <si>
    <t>Consolidated</t>
  </si>
  <si>
    <t>Advance Tax and TDS Receivabe</t>
  </si>
  <si>
    <t>3 months ended on 30/09/2018
(Unaudited)</t>
  </si>
  <si>
    <t>Preceeding 3 months ended on 30/06/2018
(Unaudited)</t>
  </si>
  <si>
    <t>Corresponding 3 months ended on 30/09/2017
(Unaudited)</t>
  </si>
  <si>
    <t>Half Year ended on 30/09/2018
(Unaudited)</t>
  </si>
  <si>
    <t>Corresponding
Half Year ended on 30/09/2017
(Unaudited)</t>
  </si>
  <si>
    <t>Sales</t>
  </si>
  <si>
    <t>Purchase</t>
  </si>
  <si>
    <t>Closing stock of RM</t>
  </si>
  <si>
    <t>Other stock</t>
  </si>
  <si>
    <t>Other Direct cost</t>
  </si>
  <si>
    <t>COM</t>
  </si>
  <si>
    <t>Trading</t>
  </si>
  <si>
    <t>Change in Inventories</t>
  </si>
  <si>
    <t xml:space="preserve">Opening </t>
  </si>
  <si>
    <t>AS Stated in 31/03/2018</t>
  </si>
  <si>
    <t>Revised for COM</t>
  </si>
  <si>
    <t>Difference</t>
  </si>
  <si>
    <t>Reasons</t>
  </si>
  <si>
    <t>%</t>
  </si>
  <si>
    <t>The decrease in Other Income is due to regrouping of Foreign exchange gain which has been netted off with loss.</t>
  </si>
  <si>
    <t>YTD Comparsion
standalone</t>
  </si>
  <si>
    <t>Sales has been increased by 53% as compared to last year as there is no major sales in Metal after June.</t>
  </si>
  <si>
    <t xml:space="preserve">This statement has been prepared in accordance with the Companies (Indian Accounting Standards) Rules, 2015 (Ind AS), prescribed under Section 133 of the Companies Act, 2013, and other recognized accounting practices and policies to the extent applicable. </t>
  </si>
  <si>
    <t>5</t>
  </si>
  <si>
    <t>6</t>
  </si>
  <si>
    <t>The above financial results were reviewed by the Audit Committee, and were approved by the Board of Directors, in their respective meetings held on 29th October, 2018. In accordance with the Regulation 33 of SEBI  [Listing Obligation and Disclosure Requirements] Regulation, 2015, the Statutory Auditors of the company have carried out a "Limited Review" of the above results.</t>
  </si>
  <si>
    <t>During the quarter, the company has issued 23,88,055 number of Equity  shares of Rs. 10/- each at a premium of Rs. 25/- to Promoter/Promoter group and Non Promoter group and  has also issued  2,49,000 number of Compulsory Convertible Preference shares of Rs. 10/- each at a premium of Rs. 25/-to Promoter/Promoter group for a consideration other than cash. The above transaction is in principally approved by BSE Limited vide letter No. DCS/PREF/SD/PRE/3103/2018-19 on August 13, 2018.</t>
  </si>
  <si>
    <t>The performance of the quarter and half year is not representative ofthe full year's performance</t>
  </si>
  <si>
    <t>During the quarter, the company has purchased land as stock-in-trade along with transactions related to Trading of Goods hence there are two reporting segments of the company which are as follows
1. Trading of Goods
2. Real Estate Developnent Activity
During the quarter, the company has not generated any revenue from Real Estate Development Segment. Segment wise reporting details are as follows</t>
  </si>
  <si>
    <t>Trading of Goods</t>
  </si>
  <si>
    <t>Real Estate Development</t>
  </si>
  <si>
    <t>Segment Results</t>
  </si>
  <si>
    <t>Total Segment Revenue</t>
  </si>
  <si>
    <t>Total Segment Results</t>
  </si>
  <si>
    <t>Segment Revenue( Sales and other operating income)</t>
  </si>
  <si>
    <t xml:space="preserve">Segment Assets </t>
  </si>
  <si>
    <t xml:space="preserve">Total Segment Assets </t>
  </si>
  <si>
    <t>Segment Liabilities</t>
  </si>
  <si>
    <t>Total Segment Liabilities</t>
  </si>
  <si>
    <t>Unallocated corporate assets</t>
  </si>
  <si>
    <t>(iv) Bank balances other than above</t>
  </si>
  <si>
    <t>(v) Loans</t>
  </si>
  <si>
    <t>(vi) Others</t>
  </si>
  <si>
    <t>Standalone Result</t>
  </si>
  <si>
    <t>Consolidated Result</t>
  </si>
  <si>
    <t xml:space="preserve">(Increase)/ Decrease 
YTD
</t>
  </si>
  <si>
    <t xml:space="preserve">(Increase)/ Decrease 
</t>
  </si>
  <si>
    <t>As Compared to the PY sales has been increased however during the quarter the company has not carried out any sales activity.</t>
  </si>
  <si>
    <t>Sales has been increase as compared to PY due to manufacturing activity  started in Umbergao. 
PY only trading of goods was carried out from other branches. 
Sales From Umbergao-153.82 lakhs</t>
  </si>
  <si>
    <t>The Interest income has been increased from previous year.</t>
  </si>
  <si>
    <r>
      <t>1.The Decrease is due to PY Foreign exchange gain loss was not netted off from expense</t>
    </r>
    <r>
      <rPr>
        <sz val="9"/>
        <rFont val="Calibri"/>
        <family val="2"/>
        <scheme val="minor"/>
      </rPr>
      <t xml:space="preserve">.(98.96 Lakh-31-3-18)
</t>
    </r>
    <r>
      <rPr>
        <sz val="9"/>
        <color theme="1"/>
        <rFont val="Calibri"/>
        <family val="2"/>
        <scheme val="minor"/>
      </rPr>
      <t xml:space="preserve"> 2. Interest income from FD has not been booked from April to Sept.
</t>
    </r>
  </si>
  <si>
    <t>Manufacturing division has been started.</t>
  </si>
  <si>
    <t xml:space="preserve">During the quarter the company has purchased Land amounting to Rs. 1326.96 Lakhs </t>
  </si>
  <si>
    <t>Increase is Due to Land Purhase of Rs. 13.26 Cr,  Increase is due to the normal business activity.</t>
  </si>
  <si>
    <t>The closing stock has been increased due to land purchase in the current quarter.</t>
  </si>
  <si>
    <t>The Increase in Salary is due to normal increment and Umbergao division which has been started full fledge.</t>
  </si>
  <si>
    <t>The Major increase is due to 
Foreign exchange Loss of Rs. 16.38 lakhs
Increase in ROC fee - 2.25
Rent expense has been increased by 0.42 Lakh p.m.- 2.52 lakh.</t>
  </si>
  <si>
    <t>1. Increase in Foreign fluctuation loss by Rs. 73.7 lakh.
2. Transportation expense has been increased by Rs.118.50 lakhs as compared to PY.  
3. Gas Consumption expense has been increased by Rs 57.93 Lakh.
4. Electricity expense increased by Rs. 45.22 lakh due to umbergao branch
5. Prior period expense - 11.19 has been booked in CQ
6. Rent expense of Umbergao- 40.65 lakh.</t>
  </si>
  <si>
    <t>Depreciation has been increased due to addition in new assets whc has been done in the month of march</t>
  </si>
  <si>
    <t>Total Income from Operations (net)</t>
  </si>
  <si>
    <t>Net Profit / (Loss) for the period (before Tax, Exceptional items</t>
  </si>
  <si>
    <t>Net Profit / (Loss) for the period before tax (after Exceptional items)</t>
  </si>
  <si>
    <t>Net Profit / (Loss) for the period after tax (after Exceptional items)</t>
  </si>
  <si>
    <t>Total Comprehensive Income for the period [Comprising Profit / (Loss) for the period (after tax) and Other Comprehensive Income (after tax)]</t>
  </si>
  <si>
    <t xml:space="preserve">Equity Share Capital </t>
  </si>
  <si>
    <t>Basic (in Rs.)</t>
  </si>
  <si>
    <t>Diluted  (in Rs.)</t>
  </si>
  <si>
    <t>Other Equity</t>
  </si>
  <si>
    <t>CIN:L99999MH1974PLC017951</t>
  </si>
  <si>
    <t xml:space="preserve"> Tel. 26202299 / 26203434 Fax: 022 - 26240540, Email: cs.latimmetal@gmail.com, Website: www.latimmetal.com</t>
  </si>
  <si>
    <t>Half Year ended on 30/09/2019
(Unaudited)</t>
  </si>
  <si>
    <t>As at 30/09/2019
(Unaudited)</t>
  </si>
  <si>
    <t>Quarter Ended</t>
  </si>
  <si>
    <t>Half Year Ended</t>
  </si>
  <si>
    <t>Year Ended</t>
  </si>
  <si>
    <t>As at 30th Sep., 2019</t>
  </si>
  <si>
    <t>LATIM METAL &amp; INDUSTRIES LTD</t>
  </si>
  <si>
    <t xml:space="preserve">CIN: U45200MH1987PLC043199					_x000D_
</t>
  </si>
  <si>
    <t>Trial Balance</t>
  </si>
  <si>
    <t>Figures in Lakhs</t>
  </si>
  <si>
    <t/>
  </si>
  <si>
    <t>LATIM METAL &amp; INDUSTRIES LTD - (2015-16)</t>
  </si>
  <si>
    <t>1-Apr-2019 to 30-Jun-2019</t>
  </si>
  <si>
    <t>1-Jul-2019 to 30-Sep-2019</t>
  </si>
  <si>
    <t>Closing Balance</t>
  </si>
  <si>
    <t>Debit</t>
  </si>
  <si>
    <t>Credit</t>
  </si>
  <si>
    <t>Capital Account</t>
  </si>
  <si>
    <t>Reserves &amp; Surplus</t>
  </si>
  <si>
    <t>CONVERTABLE PREF.SHARES (CCPS)</t>
  </si>
  <si>
    <t>EQUITY SHARE CAPITAL</t>
  </si>
  <si>
    <t>Loans (Liability)</t>
  </si>
  <si>
    <t>Secured Loans</t>
  </si>
  <si>
    <t>Unsecured Loans</t>
  </si>
  <si>
    <t>Current Liabilities</t>
  </si>
  <si>
    <t>Duties &amp; Taxes</t>
  </si>
  <si>
    <t>Provisions</t>
  </si>
  <si>
    <t>Sundry Creditors</t>
  </si>
  <si>
    <t>LEASE LIABILITY (NAVKAR PLAZA-401)</t>
  </si>
  <si>
    <t>OUTSTANDING LIAB</t>
  </si>
  <si>
    <t>STAMP DUTY PAYABLE</t>
  </si>
  <si>
    <t>Fixed Assets</t>
  </si>
  <si>
    <t>AIR CONDINTIONER</t>
  </si>
  <si>
    <t>BIOMETRIC MACHINE</t>
  </si>
  <si>
    <t>COMPUTER</t>
  </si>
  <si>
    <t>FURNITURE &amp; FIXTURE</t>
  </si>
  <si>
    <t>MOTOR CAR - BREZZA</t>
  </si>
  <si>
    <t>RIGHT OF USE (NAVKAR PLAZA 401)</t>
  </si>
  <si>
    <t>Investments</t>
  </si>
  <si>
    <t>SH-LATIM SOURCING</t>
  </si>
  <si>
    <t>Current Assets</t>
  </si>
  <si>
    <t>Opening Stock</t>
  </si>
  <si>
    <t>Deposits (Asset)</t>
  </si>
  <si>
    <t>Loans &amp; Advances (Asset)</t>
  </si>
  <si>
    <t>Sundry Debtors</t>
  </si>
  <si>
    <t>Cash-in-hand</t>
  </si>
  <si>
    <t>Bank Accounts</t>
  </si>
  <si>
    <t>INPUT- GST</t>
  </si>
  <si>
    <t>LAND PURCHASE - ASHRE INDUSTRIAL PARK</t>
  </si>
  <si>
    <t>LAND PURCHASE - HEDVALI  INDUSTRIAL PARK</t>
  </si>
  <si>
    <t>LAND PURCHASE -TALA INDUSTRIAL PARK</t>
  </si>
  <si>
    <t>LICENCES PURCHASE-CA</t>
  </si>
  <si>
    <t>PREPAID EXP</t>
  </si>
  <si>
    <t>Misc. Expenses (ASSET)</t>
  </si>
  <si>
    <t>PROFIT &amp; LOSS A/C (RES &amp; SURPLUS)</t>
  </si>
  <si>
    <t>Sales Accounts</t>
  </si>
  <si>
    <t>INTERSTATE INVOICE- GST</t>
  </si>
  <si>
    <t>Purchase Accounts</t>
  </si>
  <si>
    <t>PURCHASE OF STEELS</t>
  </si>
  <si>
    <t>Indirect Incomes</t>
  </si>
  <si>
    <t>BALANCE  WRITTEN OFF</t>
  </si>
  <si>
    <t>FORIEGN EXCHANGE FLAUX ( PROFIT)</t>
  </si>
  <si>
    <t>INTEREST INCOME</t>
  </si>
  <si>
    <t>PROFIT ON USE OF MEIS LICENCE</t>
  </si>
  <si>
    <t>PROVISION NO LONGER REQUIRED</t>
  </si>
  <si>
    <t>Indirect Expenses</t>
  </si>
  <si>
    <t>Administrative Expenses</t>
  </si>
  <si>
    <t>Finance and Interest</t>
  </si>
  <si>
    <t>Legal and Professional Fees</t>
  </si>
  <si>
    <t>RENT</t>
  </si>
  <si>
    <t>Salary &amp; Wages</t>
  </si>
  <si>
    <t>CAR INSURANCE</t>
  </si>
  <si>
    <t>COMMISSION- NON GST</t>
  </si>
  <si>
    <t>DEPRECIATION</t>
  </si>
  <si>
    <t>DEPRICIATION ( IND AS 116)</t>
  </si>
  <si>
    <t>ELECTRICITY CHARGES</t>
  </si>
  <si>
    <t>FORIEGN EXCHANGE FLAUX (LOSS)</t>
  </si>
  <si>
    <t>INTEREST EXP ( IND AS 116)</t>
  </si>
  <si>
    <t>INTEREST ON LATE PAYMENT</t>
  </si>
  <si>
    <t>PROFESSIONAL TAX</t>
  </si>
  <si>
    <t>RATE DIFFERENCE</t>
  </si>
  <si>
    <t>ROUNDEDING OFF DIFFERENCE</t>
  </si>
  <si>
    <t>SECURITY DEPOSIT A/C ( P&amp;L_)</t>
  </si>
  <si>
    <t>Profit &amp; Loss A/c</t>
  </si>
  <si>
    <t>Grand Total</t>
  </si>
  <si>
    <t>Inventories</t>
  </si>
  <si>
    <t>intangible\</t>
  </si>
  <si>
    <t>For Basic EPS</t>
  </si>
  <si>
    <t>For Diluted EPS</t>
  </si>
  <si>
    <t>No of Shares</t>
  </si>
  <si>
    <t>Days</t>
  </si>
  <si>
    <t>Remeasurement gain / (loss) on actuary valuation</t>
  </si>
  <si>
    <t>WDV from HO</t>
  </si>
  <si>
    <t>WDV from Chennai</t>
  </si>
  <si>
    <t>WDV from Umargao</t>
  </si>
  <si>
    <t>Building</t>
  </si>
  <si>
    <t>Furniture</t>
  </si>
  <si>
    <t>Machinery</t>
  </si>
  <si>
    <t>Computer</t>
  </si>
  <si>
    <t>Intangibles</t>
  </si>
  <si>
    <t>Additions</t>
  </si>
  <si>
    <t>DTL balance as at 31st March, 2019</t>
  </si>
  <si>
    <t>DTA to be recognised</t>
  </si>
  <si>
    <t>As on Sept, 30 2019</t>
  </si>
  <si>
    <t>INDAS Adjustment on 116</t>
  </si>
  <si>
    <t>Segment Revenue (Sales and other operating income)</t>
  </si>
  <si>
    <t>As at 31/03/2019
(Audited)</t>
  </si>
  <si>
    <t>- total outstanding to MSME</t>
  </si>
  <si>
    <t>- total outstanding other then to MSME</t>
  </si>
  <si>
    <t>(d) Current Tax Assets</t>
  </si>
  <si>
    <t>Non-current</t>
  </si>
  <si>
    <t>Current</t>
  </si>
  <si>
    <t>Carried forward loss as per Income Tax AY 2019-20</t>
  </si>
  <si>
    <t>(b) Right to Use of Asset</t>
  </si>
  <si>
    <t>(ii) Lease Liability</t>
  </si>
  <si>
    <t>(iv) Other Financial Liabilities</t>
  </si>
  <si>
    <t>(iii) Trade Payables</t>
  </si>
  <si>
    <t>(d) Current Tax Liabilities</t>
  </si>
  <si>
    <t>(A) CASH FLOW FROM OPERATING ACTIVITIES</t>
  </si>
  <si>
    <t>Profit/ (loss) Before Tax but after depreciation and interest</t>
  </si>
  <si>
    <t>Adjustments for:</t>
  </si>
  <si>
    <t>Profit on use of MEIS Licence</t>
  </si>
  <si>
    <t>Depreciation and amortization</t>
  </si>
  <si>
    <t>Interest and finance charges</t>
  </si>
  <si>
    <t xml:space="preserve">Interest income </t>
  </si>
  <si>
    <t>Operating Profit before Working Capital Changes</t>
  </si>
  <si>
    <t>Adjustments for changes in working capital :</t>
  </si>
  <si>
    <t>(Increase)/decrease in trade receivables</t>
  </si>
  <si>
    <t>(Increase)/decrease in other assets</t>
  </si>
  <si>
    <t>(Increase)/decrease in inventories</t>
  </si>
  <si>
    <t>(Increase)/decrease in Trade Payables</t>
  </si>
  <si>
    <t>(Increase)/decrease in Other Current Liabilities</t>
  </si>
  <si>
    <t xml:space="preserve">Increase/(decrease) in provisions </t>
  </si>
  <si>
    <t>Cash Generated from Operations</t>
  </si>
  <si>
    <t>Income taxes paid</t>
  </si>
  <si>
    <t xml:space="preserve">Net Cashflow from Operating Activities </t>
  </si>
  <si>
    <t>(B) CASH FLOW FROM INVESTING ACTIVITIES</t>
  </si>
  <si>
    <t>Purchase of fixed assets</t>
  </si>
  <si>
    <t>Interest received</t>
  </si>
  <si>
    <t>Net Cashflow from Investing Activities</t>
  </si>
  <si>
    <t>(C) CASH FLOW FROM FINANCING ACTIVITIES</t>
  </si>
  <si>
    <t>Issue of Share Capital &amp; Share warrants</t>
  </si>
  <si>
    <t xml:space="preserve">Interest and finance charges   </t>
  </si>
  <si>
    <t>Net Cashflow from Financing Activities</t>
  </si>
  <si>
    <t>Net Increase/(Decrease) in Cash and Cash Equivalents</t>
  </si>
  <si>
    <t>Cash and bank balances at the beginning of the year</t>
  </si>
  <si>
    <t>Cash and bank balances at the end of the year</t>
  </si>
  <si>
    <t>Loan taken / (repaid) during the year</t>
  </si>
  <si>
    <t>Profit/ (loss) Before Tax</t>
  </si>
  <si>
    <t>Other Comprehensive Income</t>
  </si>
  <si>
    <t>Increase/(decrease) in Trade Payables</t>
  </si>
  <si>
    <t>Increase/(decrease) in Other Current Liabilities and Provisions</t>
  </si>
  <si>
    <t>(Purchase)/Sale of fixed assets</t>
  </si>
  <si>
    <t>(Purchase)/Sale of Investments</t>
  </si>
  <si>
    <t>Non-cash adjustment for Ind AS 116</t>
  </si>
  <si>
    <t>Interest Expense</t>
  </si>
  <si>
    <t>Income taxes paid/(refunds)</t>
  </si>
  <si>
    <t>(Purchase) / Sale of fixed assets</t>
  </si>
  <si>
    <t>(Purchase) / Sale of Investments</t>
  </si>
  <si>
    <t>As at 30/09/2020
(Unaudited)</t>
  </si>
  <si>
    <t>201, NAVKAR PLAZA</t>
  </si>
  <si>
    <t>BAJAJ ROAD</t>
  </si>
  <si>
    <t>VILE PARLE (WEST)</t>
  </si>
  <si>
    <t>MUMBAI 400056.</t>
  </si>
  <si>
    <t>1-Apr-2020 to 30-Sep-2020</t>
  </si>
  <si>
    <t>LATIM METAL &amp; INDUSTRIES LTD - (2015-16) - (from 1-Apr-2019)</t>
  </si>
  <si>
    <t>PROVISION FOR DEPRICIATION</t>
  </si>
  <si>
    <t>Suspense A/c</t>
  </si>
  <si>
    <t>SUS</t>
  </si>
  <si>
    <t>DISCOUNT</t>
  </si>
  <si>
    <t>INTERNET SERVICES</t>
  </si>
  <si>
    <t>Closing Stock</t>
  </si>
  <si>
    <t>Dep IND AS 116</t>
  </si>
  <si>
    <t>Earlier Year Tax provision</t>
  </si>
  <si>
    <t>(d) Other Non Current Liabilities</t>
  </si>
  <si>
    <t>Year</t>
  </si>
  <si>
    <t>Month</t>
  </si>
  <si>
    <t>Expense actually booked</t>
  </si>
  <si>
    <t>Total Expense to be booked as per 
Ind-AS 116</t>
  </si>
  <si>
    <t>Differential Impact</t>
  </si>
  <si>
    <t>Interest</t>
  </si>
  <si>
    <t>April</t>
  </si>
  <si>
    <t>May</t>
  </si>
  <si>
    <t>June</t>
  </si>
  <si>
    <t>July</t>
  </si>
  <si>
    <t>August</t>
  </si>
  <si>
    <t>September</t>
  </si>
  <si>
    <t>October</t>
  </si>
  <si>
    <t>November</t>
  </si>
  <si>
    <t>December</t>
  </si>
  <si>
    <t>For the half year ended 30.09.2020</t>
  </si>
  <si>
    <t>January</t>
  </si>
  <si>
    <t>February</t>
  </si>
  <si>
    <t>Depreciation expense</t>
  </si>
  <si>
    <t>March</t>
  </si>
  <si>
    <t xml:space="preserve">Rent reversal </t>
  </si>
  <si>
    <t>Net Impact( Increase in expense)</t>
  </si>
  <si>
    <t>Rent Reversal</t>
  </si>
  <si>
    <t>Balance of Asset (Right to use) as as 30.09.2020</t>
  </si>
  <si>
    <t>Balance of Lease Liability as at 30.09.2020</t>
  </si>
  <si>
    <t>Balance as at 31.03.2020</t>
  </si>
  <si>
    <t>Right to use</t>
  </si>
  <si>
    <t>Lease Liabilty</t>
  </si>
  <si>
    <t>Net impact</t>
  </si>
  <si>
    <t>Lease liability</t>
  </si>
  <si>
    <t>Actual Rent expense</t>
  </si>
  <si>
    <t>Profit as per Tally</t>
  </si>
  <si>
    <t>Interest expense</t>
  </si>
  <si>
    <t>Profit as per Results</t>
  </si>
  <si>
    <t>(c) Capital Work in Progress</t>
  </si>
  <si>
    <t>(d) Intangible Assets</t>
  </si>
  <si>
    <t>(e) Financial Assets</t>
  </si>
  <si>
    <t>(f) Deferred Tax Assets</t>
  </si>
  <si>
    <t>(g) Other Non Current Assets</t>
  </si>
  <si>
    <t>(iv) Bank balances other than above (iii)</t>
  </si>
  <si>
    <t>(v) Others</t>
  </si>
  <si>
    <t>(c) Current Tax Assets</t>
  </si>
  <si>
    <t>(d) Other Current Assets</t>
  </si>
  <si>
    <t>- total outstanding dues to MSME</t>
  </si>
  <si>
    <t>- total outstanding dues to other than MSME</t>
  </si>
  <si>
    <t>(c) Current Tax Liabilities</t>
  </si>
  <si>
    <t>(d) Other Current Liabilities</t>
  </si>
  <si>
    <t>Others</t>
  </si>
  <si>
    <t>As at 31.03.2020</t>
  </si>
  <si>
    <t>Addition</t>
  </si>
  <si>
    <t>Rate of Dep</t>
  </si>
  <si>
    <t>Intangible</t>
  </si>
  <si>
    <t>Dep for 6 months</t>
  </si>
  <si>
    <t>WDV as at 30.09.2020</t>
  </si>
  <si>
    <t>Deferred Tax Asset and Deferred Tax Liability Working</t>
  </si>
  <si>
    <t>WDV as Per Books</t>
  </si>
  <si>
    <t>WDV as per Income Tax</t>
  </si>
  <si>
    <t xml:space="preserve">Difference </t>
  </si>
  <si>
    <t>DTL balance as at 31.03.2020</t>
  </si>
  <si>
    <t>DTL to be created</t>
  </si>
  <si>
    <t>DTL balance as at 30.09.2020</t>
  </si>
  <si>
    <t>Income Tax as per Normal Provision</t>
  </si>
  <si>
    <t>Net Profit before Tax</t>
  </si>
  <si>
    <t xml:space="preserve">Add: </t>
  </si>
  <si>
    <t>Dep as per books</t>
  </si>
  <si>
    <t>Dep as Income Tax Act</t>
  </si>
  <si>
    <t>Net Taxable Income</t>
  </si>
  <si>
    <t>IND AS 116 Net impact</t>
  </si>
  <si>
    <t>Net Taxable income</t>
  </si>
  <si>
    <t>Tax as per normal Rates</t>
  </si>
  <si>
    <t>Brought Forward Loss of AY 2019-20( Approx as per financials FY2019-20)</t>
  </si>
  <si>
    <t>Income Tax as per MAT</t>
  </si>
  <si>
    <t>AY 2018-19 Brought Forward Loss</t>
  </si>
  <si>
    <t>Loss as per MAT</t>
  </si>
  <si>
    <t>AY 2019-20</t>
  </si>
  <si>
    <t>Unabsorbed Dep</t>
  </si>
  <si>
    <t>Loss other than dep</t>
  </si>
  <si>
    <t>Taxable profit</t>
  </si>
  <si>
    <t>Statement of Standalone Assets and Liabilities</t>
  </si>
  <si>
    <t>As at 30/09/2021
(Unaudited)</t>
  </si>
  <si>
    <t>As at 31/03/2021
(Audited)</t>
  </si>
  <si>
    <t>Half year ended 30.09.2021</t>
  </si>
  <si>
    <t>Adjustments for Ind AS 116</t>
  </si>
  <si>
    <t>(Increase)/decrease in Other Non Current Liabilities</t>
  </si>
  <si>
    <t>Date: 12th November 2021</t>
  </si>
  <si>
    <t>LATIM METAL &amp; INDUSTRIES LTD - FROM 1-Apr-21)</t>
  </si>
  <si>
    <t>1-Apr-21 to 30-Sep-21</t>
  </si>
  <si>
    <t>Opening</t>
  </si>
  <si>
    <t>Transactions</t>
  </si>
  <si>
    <t>Closing</t>
  </si>
  <si>
    <t>Balance</t>
  </si>
  <si>
    <t>BONUS PAYABLE</t>
  </si>
  <si>
    <t>DEFFERED TAX LIABLITY</t>
  </si>
  <si>
    <t>GST PAYABLE</t>
  </si>
  <si>
    <t>INTERIM DIVIDEND PAYABLE</t>
  </si>
  <si>
    <t>AIR DEVIRALIZER (SANITIZER)  MACHINE FOR COVID 19</t>
  </si>
  <si>
    <t>DELL-LAPTOP</t>
  </si>
  <si>
    <t>PRINTER - HP 191628758197</t>
  </si>
  <si>
    <t>PRINTER - HP 887111427595</t>
  </si>
  <si>
    <t>Cash-in-Hand</t>
  </si>
  <si>
    <t>ASHRE LAND</t>
  </si>
  <si>
    <t>HEDVALI LAND</t>
  </si>
  <si>
    <t>TCS RECEIVABLE</t>
  </si>
  <si>
    <t>TDS RECEIVABLE- 194Q</t>
  </si>
  <si>
    <t>DEFERRED  TAX ASSETS</t>
  </si>
  <si>
    <t>MARGIN ON LC</t>
  </si>
  <si>
    <t>Discount Against Various Suplies</t>
  </si>
  <si>
    <t>LOCAL SALES - GST</t>
  </si>
  <si>
    <t>RATE DIFF-SALE</t>
  </si>
  <si>
    <t>WEIGHT DIFF</t>
  </si>
  <si>
    <t>COMMISSION</t>
  </si>
  <si>
    <t>BUSINESS PROMOTION</t>
  </si>
  <si>
    <t>DIRECTOR SITTING FEES</t>
  </si>
  <si>
    <t>DONATION</t>
  </si>
  <si>
    <t>FASTAG EXP</t>
  </si>
  <si>
    <t>MISC BAL.WRITTEN OFF</t>
  </si>
  <si>
    <t>ROUNDING OFF DIFFERENCE</t>
  </si>
  <si>
    <t>TELEPHONE CHARGES</t>
  </si>
  <si>
    <t>TRANSPORTATION CHARGES</t>
  </si>
  <si>
    <t>warehouse charges</t>
  </si>
  <si>
    <t>Contact : 26203399/3434/1166</t>
  </si>
  <si>
    <t>STEEL</t>
  </si>
  <si>
    <t>LAND REPAIRS WORKS ( ASHRE HEDVALI)</t>
  </si>
  <si>
    <t>Transit</t>
  </si>
  <si>
    <t>Weight Diff.</t>
  </si>
  <si>
    <t>Nett Profit</t>
  </si>
  <si>
    <t>INTER BRANCH (Sourcing)</t>
  </si>
  <si>
    <t>Amount</t>
  </si>
  <si>
    <t>Amount 
(In Lacs)</t>
  </si>
  <si>
    <t>By</t>
  </si>
  <si>
    <t>To</t>
  </si>
  <si>
    <t>Umargaon</t>
  </si>
  <si>
    <t>Chennai</t>
  </si>
  <si>
    <t>Metal</t>
  </si>
  <si>
    <t>Sourcing (Cochin)</t>
  </si>
  <si>
    <t>Cochin</t>
  </si>
  <si>
    <t>Sourcing (Chennai)</t>
  </si>
  <si>
    <t>Head office</t>
  </si>
  <si>
    <t>Total Inter-Company transactions</t>
  </si>
  <si>
    <t>Total Inter-Branch transactions</t>
  </si>
  <si>
    <t>Sourcing (Umergaon)</t>
  </si>
  <si>
    <t>Profit</t>
  </si>
  <si>
    <t>Latim Metals &amp; Industries Limited Q1 FY 2021-22:</t>
  </si>
  <si>
    <t>Latim Sourcing India Pvt Ltd Q1 FY 2021-22:</t>
  </si>
  <si>
    <t>Depn as per Income Tax</t>
  </si>
  <si>
    <t>As at 31.03.2021</t>
  </si>
  <si>
    <t>Buildings</t>
  </si>
  <si>
    <t>Plant &amp; Machinery</t>
  </si>
  <si>
    <t>Intangible Assets</t>
  </si>
  <si>
    <t>DTA to be created</t>
  </si>
  <si>
    <t>Earlier DTL to be reversed</t>
  </si>
  <si>
    <t>Entry for Deferred Tax</t>
  </si>
  <si>
    <t>DTL already in the books as on 31.03.2021</t>
  </si>
  <si>
    <t>Additional DTL to be created</t>
  </si>
  <si>
    <t>To Deferred Tax Income</t>
  </si>
  <si>
    <t>Deferred Tax Expense</t>
  </si>
  <si>
    <t>To Deferred Tax Liabiltity</t>
  </si>
  <si>
    <t>Latim Metals Industries Ltd</t>
  </si>
  <si>
    <t>Latim Sourcing (I) Pvt Ltd</t>
  </si>
  <si>
    <t>Net Profit as per P&amp;L</t>
  </si>
  <si>
    <t>Depreciation as per Books</t>
  </si>
  <si>
    <t xml:space="preserve">Less: </t>
  </si>
  <si>
    <t>Ind AS 116</t>
  </si>
  <si>
    <t>Depeciation as per Section 32</t>
  </si>
  <si>
    <t>Net Profit after Depreciation</t>
  </si>
  <si>
    <t>Less: Brought forward loss or Unabsorbed Depreciation</t>
  </si>
  <si>
    <t>Net Total Income</t>
  </si>
  <si>
    <t>Tax Liability</t>
  </si>
  <si>
    <t>Latim Metals Ind AS 116 Summary</t>
  </si>
  <si>
    <t>Right of Use (assuming depreciation on SLM basis)</t>
  </si>
  <si>
    <t>Liability Component</t>
  </si>
  <si>
    <t>Carrying Amount</t>
  </si>
  <si>
    <t>Opening Balance</t>
  </si>
  <si>
    <t>Repayment</t>
  </si>
  <si>
    <t>OLD</t>
  </si>
  <si>
    <t>NEW</t>
  </si>
  <si>
    <t>Diff</t>
  </si>
  <si>
    <t>ROU - Gross</t>
  </si>
  <si>
    <t>Depreciation Acc.</t>
  </si>
  <si>
    <t>Gross</t>
  </si>
  <si>
    <t>Depre Acc</t>
  </si>
  <si>
    <t>Opg</t>
  </si>
  <si>
    <t>Add/Less</t>
  </si>
  <si>
    <t>-Adj</t>
  </si>
  <si>
    <t>Q2 Entries to be passed in Tally - FY21-22</t>
  </si>
  <si>
    <t>Dr</t>
  </si>
  <si>
    <t>Cr</t>
  </si>
  <si>
    <t xml:space="preserve">     To Lease Liability</t>
  </si>
  <si>
    <t>(Unwinding of Interest Expense on lease liability)</t>
  </si>
  <si>
    <t>Lease Liability</t>
  </si>
  <si>
    <t xml:space="preserve">     To Right of Use (RoU)</t>
  </si>
  <si>
    <t>(RoU depreciated on SLM basis)</t>
  </si>
  <si>
    <t>To Lease Liability</t>
  </si>
  <si>
    <t>(Actual Rent Expense already booked)</t>
  </si>
  <si>
    <t>Profit or Loss</t>
  </si>
  <si>
    <t>Entries for Adjustments:</t>
  </si>
  <si>
    <t>To Rent Expense</t>
  </si>
  <si>
    <t>PL Dr</t>
  </si>
  <si>
    <t>(Reversal of Actual Rent Expense booked)</t>
  </si>
  <si>
    <t>Provision for Depreciation Dr</t>
  </si>
  <si>
    <t>To ROU Asset</t>
  </si>
  <si>
    <t>For the quarter ended 30.09.2021</t>
  </si>
  <si>
    <t>Lease Liability Dr</t>
  </si>
  <si>
    <t>To PL</t>
  </si>
  <si>
    <t>Net Impact (Decrease in Expense)</t>
  </si>
  <si>
    <t>Balance of Asset (Right to use) as as 30.09.2021</t>
  </si>
  <si>
    <t>Balance of Lease Liability as at 30.09.2021</t>
  </si>
  <si>
    <t>WDV as at 30.09.2021</t>
  </si>
  <si>
    <t>Dep upto Q2</t>
  </si>
  <si>
    <t>LATIM SOURCING (INDIA) PVT LTD - UMARGAO  (from 1-Apr-21)</t>
  </si>
  <si>
    <t>LA TIM SOURCING INDIA PVT LTD  JAIPUR (from 1-Apr-21)</t>
  </si>
  <si>
    <t>LATIM SOURCING (INDIA) PVT LTD - ( H O ) from 1-Apr 21)</t>
  </si>
  <si>
    <t>LATIM SOURCING (INDIA) PVT LTD -  COCHIN (from 1-Apr-21)</t>
  </si>
  <si>
    <t>LATIM SOURCING (INDIA) PVT LTD ( CHENNAI) -From 1-Apr-21)</t>
  </si>
  <si>
    <t>SHARE CAPITAL</t>
  </si>
  <si>
    <t>Bank OD A/c</t>
  </si>
  <si>
    <t>BALANCES WITH GOVT AUTHORITIES</t>
  </si>
  <si>
    <t>INTEREST PAYABLE</t>
  </si>
  <si>
    <t>LEASE LIABILITY (FACTORY)</t>
  </si>
  <si>
    <t>LEAVE ENCASHMENT PAYABLE</t>
  </si>
  <si>
    <t>PROVISION FOR EXP</t>
  </si>
  <si>
    <t>STAMPDUTY REG. CHGS ( WAGHOSHI)</t>
  </si>
  <si>
    <t>STATUTORY LIABLITIES</t>
  </si>
  <si>
    <t>BUILDING-F</t>
  </si>
  <si>
    <t>ETP PLANT</t>
  </si>
  <si>
    <t>GENERAL EXPENSES</t>
  </si>
  <si>
    <t>INTANGIBLE</t>
  </si>
  <si>
    <t>LAB EQUIPMENTS</t>
  </si>
  <si>
    <t>MACHINERY (PROFILE MACHINE)</t>
  </si>
  <si>
    <t>NEW SHED</t>
  </si>
  <si>
    <t>OFFICE EQUIPMENTS</t>
  </si>
  <si>
    <t>PLANT &amp; MACHINERY</t>
  </si>
  <si>
    <t>ROAD WORK</t>
  </si>
  <si>
    <t>VECHILES</t>
  </si>
  <si>
    <t>ELECTRONIC WEIGH SCALE [ SERIAL NO. 201611006)</t>
  </si>
  <si>
    <t>FURNITURE AND FIXTURE</t>
  </si>
  <si>
    <t>LAMINATION UNIT FOR FORMING MACHINE</t>
  </si>
  <si>
    <t>Laptop - Dell</t>
  </si>
  <si>
    <t>LED-65C715</t>
  </si>
  <si>
    <t>OFFICE AT NAVKAR PLAZA- 201</t>
  </si>
  <si>
    <t>OPPO- BLUE</t>
  </si>
  <si>
    <t>PRINTER (EPSON)</t>
  </si>
  <si>
    <t>PROVISION FOR  DEPRICIATION</t>
  </si>
  <si>
    <t>RIGHT OF USE (FACTORY)</t>
  </si>
  <si>
    <t>SERVER -DELL</t>
  </si>
  <si>
    <t>SHOP PURCHASE - HARIRAJ APT (SHAHAPUR)</t>
  </si>
  <si>
    <t>SOFTWARE PURCHASED</t>
  </si>
  <si>
    <t>TELEPHONES</t>
  </si>
  <si>
    <t>INVESTMENT IN SHARES</t>
  </si>
  <si>
    <t>5000 SHARES OF CKP BANK</t>
  </si>
  <si>
    <t>INVESTMENTS ( IND AS )</t>
  </si>
  <si>
    <t>SHARE OF PUNJAB &amp; MAHARASHTRA</t>
  </si>
  <si>
    <t>INPUT -GST</t>
  </si>
  <si>
    <t>ACCRUED INTEREST ON MARGIN MONEY</t>
  </si>
  <si>
    <t>DEFERRED TAX ASSET</t>
  </si>
  <si>
    <t>ELECTRICITY DUTY EXEMPTION</t>
  </si>
  <si>
    <t>LAND PURCHASE ( ASHRE)</t>
  </si>
  <si>
    <t>LAND PURCHASE - HEDAVALI</t>
  </si>
  <si>
    <t>LICENCE PURCHASE</t>
  </si>
  <si>
    <t>LICENCE PURCHASE-CA</t>
  </si>
  <si>
    <t>MARGIN ON BILL DISCOUNTING</t>
  </si>
  <si>
    <t>TAX ON URD</t>
  </si>
  <si>
    <t>TCS RECEIVABLE- FROM -01.04.2021 (0.1%)</t>
  </si>
  <si>
    <t>TCS RECEIVABLE- FROM 1.10.2020</t>
  </si>
  <si>
    <t>Branch / Divisions</t>
  </si>
  <si>
    <t>CHENNAI BRANCH</t>
  </si>
  <si>
    <t>COCHIN BRANCH</t>
  </si>
  <si>
    <t>HEAD OFFICE</t>
  </si>
  <si>
    <t>HEAD OFFICE - DR/CR</t>
  </si>
  <si>
    <t>HYD BRANCH</t>
  </si>
  <si>
    <t>JAIPUR BRANCH</t>
  </si>
  <si>
    <t>UMBERGAON BRANCH</t>
  </si>
  <si>
    <t>UMBERGAON -DR/CR</t>
  </si>
  <si>
    <t>DEFECTIVE COIL</t>
  </si>
  <si>
    <t>INSURANCE [ PARTY]</t>
  </si>
  <si>
    <t>INTER STATE SALE(18%)</t>
  </si>
  <si>
    <t>INTERSTATE SALES</t>
  </si>
  <si>
    <t>INTERSTATE SALES-GST</t>
  </si>
  <si>
    <t>LOADING CHARGES - PARTY</t>
  </si>
  <si>
    <t>LOADING CHARGES (RECD FROM PARTY)</t>
  </si>
  <si>
    <t>LOCAL SALE</t>
  </si>
  <si>
    <t>LOCAL SALES</t>
  </si>
  <si>
    <t>LOCAL SALES-GST</t>
  </si>
  <si>
    <t>RATE DIFFERENCE-XXX</t>
  </si>
  <si>
    <t>Rate Diff - Sale -1</t>
  </si>
  <si>
    <t>DAMAGE MATERIAL/ DEFECTIVE</t>
  </si>
  <si>
    <t>RATE DIFF.- PUR</t>
  </si>
  <si>
    <t>Direct Expenses</t>
  </si>
  <si>
    <t>CHEMICAL</t>
  </si>
  <si>
    <t>CONSUMABLE SPARE PARTS</t>
  </si>
  <si>
    <t>DIESEL EXP - D EXP</t>
  </si>
  <si>
    <t>HYDRA AND FORKLIFT CHARGES</t>
  </si>
  <si>
    <t>LOADING AND UNLOADING CHARGES</t>
  </si>
  <si>
    <t>MANPOWER CHARGES</t>
  </si>
  <si>
    <t>PACKAGING OF GOODS</t>
  </si>
  <si>
    <t>PACKING MATERIAL</t>
  </si>
  <si>
    <t>SPARE PARTS</t>
  </si>
  <si>
    <t>TRANSPORTATION CHARGES -DIRECT EXPENSES</t>
  </si>
  <si>
    <t>DISCOUNT- INCOME</t>
  </si>
  <si>
    <t>DIVIDEND</t>
  </si>
  <si>
    <t>FOREIGN EXCHANGE FLAUX PROFIT</t>
  </si>
  <si>
    <t>FOREIGN EXCHANGE FLUCTUATION</t>
  </si>
  <si>
    <t>FORIEGN EXCHANGE FLUAXTION</t>
  </si>
  <si>
    <t>INTEREST ( INCOME )</t>
  </si>
  <si>
    <t>INTEREST ON INCOME TAX REFUND</t>
  </si>
  <si>
    <t>JOB WORK SERVICES</t>
  </si>
  <si>
    <t>LOSS ON P &amp; M [ CRANE LIFT 8T]</t>
  </si>
  <si>
    <t>MISC INCOME</t>
  </si>
  <si>
    <t>OTHER INCOME</t>
  </si>
  <si>
    <t>PROFIT ON CURRENCY PURCHASED</t>
  </si>
  <si>
    <t>SHORT TERM PROFIT ON SALE OF SHARES</t>
  </si>
  <si>
    <t>Administrative Exps</t>
  </si>
  <si>
    <t>ADVERTISEMENT</t>
  </si>
  <si>
    <t>ADVERTISEMENT EXP</t>
  </si>
  <si>
    <t>COMMUNICATION EXP</t>
  </si>
  <si>
    <t>COMMUNICATION EXPENSES</t>
  </si>
  <si>
    <t>COURIER CHARGES</t>
  </si>
  <si>
    <t>INSURANCE</t>
  </si>
  <si>
    <t>Interest &amp; Finance Charges</t>
  </si>
  <si>
    <t>LEGAL AND PROFESSIONAL FEES</t>
  </si>
  <si>
    <t>LEGAL &amp; PROFESSIONAL FEES</t>
  </si>
  <si>
    <t>MISCELLANEOUS EXPENSES</t>
  </si>
  <si>
    <t>MOTOR CAR EXPENSES</t>
  </si>
  <si>
    <t>OFFICE EXP</t>
  </si>
  <si>
    <t>PRINTING &amp; STATIONARY</t>
  </si>
  <si>
    <t>REPAIR AND MAINTAINANCE</t>
  </si>
  <si>
    <t>SALARIES, BONUS EMOLUMENTS</t>
  </si>
  <si>
    <t>STAFF WELFARE</t>
  </si>
  <si>
    <t>TRANSPORATION CHARGES</t>
  </si>
  <si>
    <t>TRAVELLING EXP</t>
  </si>
  <si>
    <t>BILL DISCOUNTING CHARGES</t>
  </si>
  <si>
    <t>BILL DISCOUNTING CHGS</t>
  </si>
  <si>
    <t>BIS MAKING FEE</t>
  </si>
  <si>
    <t>COMPUTER ACCESSORIES</t>
  </si>
  <si>
    <t>CONVEYANCE &amp; TRAVELLING EXPENSES</t>
  </si>
  <si>
    <t>DEPRECIATION (IND AS 116)</t>
  </si>
  <si>
    <t>DEPRICITION</t>
  </si>
  <si>
    <t>DGVCL</t>
  </si>
  <si>
    <t>DIESEL EXP</t>
  </si>
  <si>
    <t>DISCOUNT EXP</t>
  </si>
  <si>
    <t>DISCOUNT- SALE</t>
  </si>
  <si>
    <t>ELECTRIC ASSESSORIES- GST</t>
  </si>
  <si>
    <t>ELECTRICITY EXP</t>
  </si>
  <si>
    <t>ELECTRICTY EXPENSES</t>
  </si>
  <si>
    <t>FORIEGN EXCHANGE FLAUX LOSS</t>
  </si>
  <si>
    <t>Foriegn Exchange Loss</t>
  </si>
  <si>
    <t>FRIGHT COST</t>
  </si>
  <si>
    <t>GAS CONSUMPTION EXP</t>
  </si>
  <si>
    <t>GODOWN RENT</t>
  </si>
  <si>
    <t>GODWON RENT</t>
  </si>
  <si>
    <t>GRATUITY</t>
  </si>
  <si>
    <t>GUJARAT LABOUR WELFARE FUND</t>
  </si>
  <si>
    <t>INSURANCE - UMERGAON</t>
  </si>
  <si>
    <t>INTEREST EXPENSE (IND AS 116)</t>
  </si>
  <si>
    <t>JOB WORK CHARGES</t>
  </si>
  <si>
    <t>LEASE RENT -ASHOK LEYLAND</t>
  </si>
  <si>
    <t>LEASE RENT - BHARAT BENZ</t>
  </si>
  <si>
    <t>LOADING AND UNLOADING CHARGES- EXPENSES</t>
  </si>
  <si>
    <t>LOSS ON CURRENCY PURCHASED</t>
  </si>
  <si>
    <t>MEDICAL EXPENSES</t>
  </si>
  <si>
    <t>MEMBERSHIP FEES</t>
  </si>
  <si>
    <t>OFFICE EXPENSES</t>
  </si>
  <si>
    <t>OXYGEN GAS</t>
  </si>
  <si>
    <t>PENALTY FROM MAHARASHTRA  TRAFFIC POLICE</t>
  </si>
  <si>
    <t>Professional Tax</t>
  </si>
  <si>
    <t>PROFESSIONAL TAX ( COMPANY)</t>
  </si>
  <si>
    <t>PROF TAX - COMPANY</t>
  </si>
  <si>
    <t>PROVISION FOR BAD DEBTS</t>
  </si>
  <si>
    <t>RATE DIFF</t>
  </si>
  <si>
    <t>REPAIRE AND MAINT</t>
  </si>
  <si>
    <t>ROUNDED OFF DIFF.</t>
  </si>
  <si>
    <t>SECURITY CHARGES- EXP</t>
  </si>
  <si>
    <t>TRAVELLING CHARGES</t>
  </si>
  <si>
    <t>WATER CHARGES</t>
  </si>
  <si>
    <t>WATER TANKER- NON GST</t>
  </si>
  <si>
    <t>Difference in opening balances</t>
  </si>
  <si>
    <t>Dep upto Q1</t>
  </si>
  <si>
    <t>WDV as at 30.0.2021</t>
  </si>
  <si>
    <t>DTL as on 30.09.2021</t>
  </si>
  <si>
    <t xml:space="preserve">Grouping </t>
  </si>
  <si>
    <t>Opening Bal</t>
  </si>
  <si>
    <t>Closing Bal</t>
  </si>
  <si>
    <t>CAPITAL RESERVE</t>
  </si>
  <si>
    <t>GENERAL RESERVE FUND</t>
  </si>
  <si>
    <t>RETAINED EARNING</t>
  </si>
  <si>
    <t>SHARE PREMIUM ACCOUNT</t>
  </si>
  <si>
    <t>RAHUL M TIMBADIA</t>
  </si>
  <si>
    <t>GST</t>
  </si>
  <si>
    <t>GST - INPUT</t>
  </si>
  <si>
    <t>GSTR-2B</t>
  </si>
  <si>
    <t>CGST-INPUT NOT REFLECTED IN GSTR2B</t>
  </si>
  <si>
    <t>SGST- INPUT-NOT REFLECTED IN GSTR 2B</t>
  </si>
  <si>
    <t>CENTRAL TAX ( CGST)- INPUT</t>
  </si>
  <si>
    <t>IGST- INPUT</t>
  </si>
  <si>
    <t>STATE TAX  ( SGST)- INPUT</t>
  </si>
  <si>
    <t>GST- OUTPUT</t>
  </si>
  <si>
    <t>CENTRAL TAX (CGST)</t>
  </si>
  <si>
    <t>IGST</t>
  </si>
  <si>
    <t>STATE TAX ( SGST)</t>
  </si>
  <si>
    <t>GST - URD</t>
  </si>
  <si>
    <t>CGST-URD</t>
  </si>
  <si>
    <t>SGST-URD</t>
  </si>
  <si>
    <t>IGST RCM</t>
  </si>
  <si>
    <t>IGST - RCM</t>
  </si>
  <si>
    <t>TCS</t>
  </si>
  <si>
    <t>TCS PAYABLE- FROM -01.04.2021 (0.1%)</t>
  </si>
  <si>
    <t>TCS PAYABLE- FROM 1.10.2020</t>
  </si>
  <si>
    <t>TDS</t>
  </si>
  <si>
    <t>TDS ON BROKARGE &amp; COMMSISSION</t>
  </si>
  <si>
    <t>TDS ON COMMISSION</t>
  </si>
  <si>
    <t>TDS ON CONT</t>
  </si>
  <si>
    <t>TDS ON CONT.</t>
  </si>
  <si>
    <t>TDS ON PROF</t>
  </si>
  <si>
    <t>TDS ON PROFESSIONAL FEES</t>
  </si>
  <si>
    <t>TDS ON PROF. FEE (KOTHARI H. ASSOC)</t>
  </si>
  <si>
    <t>TDS ON RENT</t>
  </si>
  <si>
    <t>TDS ON SALARY</t>
  </si>
  <si>
    <t>TDS ON SALARY -RMT</t>
  </si>
  <si>
    <t>TDS ON SALARY (SANDIP)</t>
  </si>
  <si>
    <t>TDS ON SALARY [ KMT]</t>
  </si>
  <si>
    <t>TDS ON DIVIDEND  [194]</t>
  </si>
  <si>
    <t>TDS ON INTEREST</t>
  </si>
  <si>
    <t>PROFESSIONAL TAX ( NEW)</t>
  </si>
  <si>
    <t>PROVISION FOR INCOME TAX ( A.Y.2022-23)</t>
  </si>
  <si>
    <t>PROVISION FOR I.TAX ( A.Y. 2021-22)</t>
  </si>
  <si>
    <t xml:space="preserve">Closing Stock </t>
  </si>
  <si>
    <t>DEPOSIT - LM 448</t>
  </si>
  <si>
    <t>DEPOSIT - NAVKAR PLAZA ( 401 )</t>
  </si>
  <si>
    <t>INCOME TAX PAID</t>
  </si>
  <si>
    <t>ADVANCE TAX - F .Y 2021-22</t>
  </si>
  <si>
    <t>SELF ASSESSMENT TAX [ F Y 20-21]</t>
  </si>
  <si>
    <t>STAFF ADVANCE</t>
  </si>
  <si>
    <t>STAFF ADVANCE -RAJESH JHA</t>
  </si>
  <si>
    <t>AYUSH SURESH AGARWAL</t>
  </si>
  <si>
    <t>KARNA KARTIK TIMBADIA</t>
  </si>
  <si>
    <t>LATIM SOURCING (I) PVT. LTD</t>
  </si>
  <si>
    <t>PARTH RAHUL TIMBADIA</t>
  </si>
  <si>
    <t>SITARAM KHANDELWAL</t>
  </si>
  <si>
    <t>Cash</t>
  </si>
  <si>
    <t>HDFC BANK A/C NO.02272020002586</t>
  </si>
  <si>
    <t>ICICI BANK LTD- 001105031009</t>
  </si>
  <si>
    <t>LATIM METAL- 001105034197-DEVIDEND</t>
  </si>
  <si>
    <t>LATIM METAL- 001105034595- DIVIDEND</t>
  </si>
  <si>
    <t>THE PMC BANK LTD- 032110100000097</t>
  </si>
  <si>
    <t>THE PMC BANK LTD- 032110100000839</t>
  </si>
  <si>
    <t>UNION BANK OF INDIA (36425)</t>
  </si>
  <si>
    <t>TAX ON IMPORT</t>
  </si>
  <si>
    <t>TAX ON OCEAN FREIGHT</t>
  </si>
  <si>
    <t>TDS ON GOODS [194Q]- SALE</t>
  </si>
  <si>
    <t>LMC001-IMPORT OF STEEL PUR.(308.728 M/T) CHENNAI</t>
  </si>
  <si>
    <t>CARGO SERVICS CHARGES -LMC-001</t>
  </si>
  <si>
    <t>CUSTOM DUTY -LMC-001</t>
  </si>
  <si>
    <t>CUSTOM HOUSE AGENT SERVICES -LMC 001</t>
  </si>
  <si>
    <t>DGFT- LMC001</t>
  </si>
  <si>
    <t>SHIPPING CHARGES-LMC-001</t>
  </si>
  <si>
    <t>STEEL PURCHASE LMC001(308.728 M/T)</t>
  </si>
  <si>
    <t>TRANSPORTATION CHARGES -LMC 001</t>
  </si>
  <si>
    <t>LMC002-IMPORT OF STEEL PUR.(315.376 M/T) CHENNAI</t>
  </si>
  <si>
    <t>CARGO SERVICS CHARGES -LMC-002</t>
  </si>
  <si>
    <t>CUSTOM DUTY - LMC-002</t>
  </si>
  <si>
    <t>CUSTOM HOUSE AGENT SERVICES - LMC002</t>
  </si>
  <si>
    <t>DGFT-LMC002</t>
  </si>
  <si>
    <t>SHIPPING CHARGES - LMC-002</t>
  </si>
  <si>
    <t>STEEL PURCHASE - LMC-02(315.376 M/T)</t>
  </si>
  <si>
    <t>TRANSPORTATION CHARGES -LMC -002</t>
  </si>
  <si>
    <t>LMC003-IMPORT OF STEEL PUR.(367.292 M/T) CHENNAI</t>
  </si>
  <si>
    <t>CARGO SERVICE CHARGES -LMC-003</t>
  </si>
  <si>
    <t>CUSTOM DUTY - LMC-003</t>
  </si>
  <si>
    <t>CUSTOM HOUSE AGENT SERVICES -LMC003</t>
  </si>
  <si>
    <t>DGFT -LMC003</t>
  </si>
  <si>
    <t>SHIPPING CHARGES - LMC-003</t>
  </si>
  <si>
    <t>STEEL PURCHASE LMC-03 (367.292 M/T)</t>
  </si>
  <si>
    <t>TRANSPORTATION CHARGES -LMC003</t>
  </si>
  <si>
    <t>LMC007-IMPORT OF STEEL PUR.(330.036 M/T) CHENNAI</t>
  </si>
  <si>
    <t>CARGO SERVICS CHARGES -LMC-007</t>
  </si>
  <si>
    <t>CUSTOM DUTY - LMC 007</t>
  </si>
  <si>
    <t>CUSTOM HOUSE AGENT SERVICES - LMC007</t>
  </si>
  <si>
    <t>DGFT- LMC007</t>
  </si>
  <si>
    <t>SHIPPING CHARGES-LMC-007</t>
  </si>
  <si>
    <t>STEEL PURCHASE -LMC-007 (330.036 M/T) CHENNAI</t>
  </si>
  <si>
    <t>TRANSPORTATION CHARGES -LMC007</t>
  </si>
  <si>
    <t>LMC008-IMPORT OF STEEL PUR. (346.442 MT) CHENNAI</t>
  </si>
  <si>
    <t>CARGO SERVICE CHARGES -LMC-008</t>
  </si>
  <si>
    <t>CUSTOM DUTY - LMC008</t>
  </si>
  <si>
    <t>CUSTOM HOSUE AGENT SERVICES - LMC 008</t>
  </si>
  <si>
    <t>DGFT- LMC008</t>
  </si>
  <si>
    <t>SHIPPING CHARGES-LMC-008</t>
  </si>
  <si>
    <t>STEEL PURCHASE LMC-008 (346.442 M/T) CHENNAI</t>
  </si>
  <si>
    <t>TRANSPORTATION CHARGES -LMC 008</t>
  </si>
  <si>
    <t>LMC009- IMPORT OF STEEL PUR.(330.622 M/T) CHENNAI</t>
  </si>
  <si>
    <t>CARGO SERVICS CHARGES -LMC-009</t>
  </si>
  <si>
    <t>CUSTOM DUTY - LMC 009</t>
  </si>
  <si>
    <t>CUSTOM HOUSE AGENT SERVICES- LMC009</t>
  </si>
  <si>
    <t>DGFT- LMC009</t>
  </si>
  <si>
    <t>SHIPPING CHARGES-LMC-009</t>
  </si>
  <si>
    <t>STEEL PURCHASE LMC-009(330.622 M/T) CHENNAI</t>
  </si>
  <si>
    <t>TRANSPORTATION CHARGES - LMC009</t>
  </si>
  <si>
    <t>LMC010- IMPORT OF STEEL PUR.(329.042 M/T) CHENNAI</t>
  </si>
  <si>
    <t>CARGO SERVICS CHARGES -LMC-010</t>
  </si>
  <si>
    <t>CUSTOM DUTY - LMC010</t>
  </si>
  <si>
    <t>CUSTOM HOUSE AGENT SERVICES -LMC010</t>
  </si>
  <si>
    <t>DGFT- LMC010</t>
  </si>
  <si>
    <t>SHIPPING CHARGES-LMC-010</t>
  </si>
  <si>
    <t>STEEL PURCHASE LMC010 (329.042 M/T)</t>
  </si>
  <si>
    <t>TRANSPORTATION CHARGES -LMC010</t>
  </si>
  <si>
    <t>LMC011- IMPORT OF STEEL PUR.(313.370 M/T) CHENNAI</t>
  </si>
  <si>
    <t>CARGO SERVICE CHARGES -LMC-011</t>
  </si>
  <si>
    <t>CUSTOM DUTY - LMC 011</t>
  </si>
  <si>
    <t>CUSTOM HOUSE AGENT SERVICES - LMC011</t>
  </si>
  <si>
    <t>DGFT- LMC011</t>
  </si>
  <si>
    <t>SHIPPING CHARGES-LMC-011</t>
  </si>
  <si>
    <t>STEEL PURCHASE LMC-011 (313.370 M/T) CHENNAI</t>
  </si>
  <si>
    <t>TRANSPORTATION CHARGES - LMC 011</t>
  </si>
  <si>
    <t>LMC012-IMPORT OF STEEL PUR(283.622 M/T) CHENNAI</t>
  </si>
  <si>
    <t>CUSTOM DUTY -LMC012</t>
  </si>
  <si>
    <t>CUSTOM HOUSE AGENT SERVICES -LMC 012</t>
  </si>
  <si>
    <t>DAMAGE CHARGES -LMC -012</t>
  </si>
  <si>
    <t>DGFT- LMC012</t>
  </si>
  <si>
    <t>SHIPPING CHARGES - LMC 012</t>
  </si>
  <si>
    <t>STEEL PURCHASE LMC 012 (283.622 M/T) CHENNAI</t>
  </si>
  <si>
    <t>TRANSPORTATION CHARGES- LMC012</t>
  </si>
  <si>
    <t>LMC013-IMPORT OF STEEL PUR(261.406 M/T) CHENNAI</t>
  </si>
  <si>
    <t>CUSTOM DUTY - LMC013</t>
  </si>
  <si>
    <t>CUSTOM HOUSE AGENT SERVICES - LMC 013</t>
  </si>
  <si>
    <t>DGFT - LMC013</t>
  </si>
  <si>
    <t>SHIPPING CHARGES-LMC-013</t>
  </si>
  <si>
    <t>STEEL PURCHASE LMC013(261.406 M/T)CHENNAI</t>
  </si>
  <si>
    <t>TRANSPORTATION CHARGES -LMC013</t>
  </si>
  <si>
    <t>LMC014-IMPORT OF STEEL PUR(266.726 M/T) CHENNAI</t>
  </si>
  <si>
    <t>CUSTOM DUTY - LMC 014</t>
  </si>
  <si>
    <t>CUSTOM HOUSE AGENT SERVICES- LMC014</t>
  </si>
  <si>
    <t>DGFT-LMC014</t>
  </si>
  <si>
    <t>SHIPPING CHARGES -LMC 014</t>
  </si>
  <si>
    <t>STEEL PURCHASE LMC-014(266.726 M/T)CHENNAI</t>
  </si>
  <si>
    <t>TRANSPORTATION CHARGES -LMC14</t>
  </si>
  <si>
    <t>LMC015 - IMPORT OF STEEL PUR(373.152 M/T) CHENNAI</t>
  </si>
  <si>
    <t>DGFT-LMC015</t>
  </si>
  <si>
    <t>STEEL PUR. LMC015 (373.152 M/T) CHENNAI</t>
  </si>
  <si>
    <t>LMC016 - IMPORT OF STEEL PUR(369.910 M/T) CHENNAI</t>
  </si>
  <si>
    <t>DGFT-LMC016</t>
  </si>
  <si>
    <t>STEEL PURCHASE LMC-016(369.910M/T)</t>
  </si>
  <si>
    <t>LMC017 - IMPORT OF STEEL PUR(369.644 M/T)CHENNAI</t>
  </si>
  <si>
    <t>DGFT-LMC017</t>
  </si>
  <si>
    <t>STEEL PURCHASE LMC 017 (369.644 M/T)</t>
  </si>
  <si>
    <t>LMC018 - IMPORT OF STEEL PUR(343.490 M/T) CHENNAI</t>
  </si>
  <si>
    <t>DGFT-LMC018</t>
  </si>
  <si>
    <t>STEEL PURCHASE LMC-018(343.490 M/T)</t>
  </si>
  <si>
    <t>LMC019 - IMPORT OF STEEL PUR(336.176 M/T)CHENNAI</t>
  </si>
  <si>
    <t>DGFT-LMC019</t>
  </si>
  <si>
    <t>STEEL PURCHASE LMC019(336.176 M/T)</t>
  </si>
  <si>
    <t>LMC020 - IMPORT OF STEEL PUR(337.560 M/T) CHENNAI</t>
  </si>
  <si>
    <t>DGFT-LMC020</t>
  </si>
  <si>
    <t>STEEL PURCHASE LMC020(337.560 M/T)</t>
  </si>
  <si>
    <t>LMC021 - IMPORT OF STEEL PUR(261.372 M/T)CHENNAI</t>
  </si>
  <si>
    <t>DGFT-LMC021</t>
  </si>
  <si>
    <t>STEEL PURCHASE LMC021(261.372 M/T)</t>
  </si>
  <si>
    <t>LMC022 - IMPORT OF STEEL PUR(282.454 M/T)-CHENNAI</t>
  </si>
  <si>
    <t>DGFT-LMC022</t>
  </si>
  <si>
    <t>STEEL PURCHASE LMC-022 (282.454 M/T)</t>
  </si>
  <si>
    <t>LMC023- IMPORT STEEL PUR.(238.198 M/T)CHENNAI</t>
  </si>
  <si>
    <t>STEEL PURCHASE LMC023(238.198 M/T)CHENNAI</t>
  </si>
  <si>
    <t>LOCAL PURCHASE</t>
  </si>
  <si>
    <t>LMT006- LOCAL PURCHASE</t>
  </si>
  <si>
    <t>ADVERTISEMENT CHARGES- GST</t>
  </si>
  <si>
    <t>PRINTING AND STATIONERY</t>
  </si>
  <si>
    <t>PRINTING AND STATIONERY - GST</t>
  </si>
  <si>
    <t>REPAIRS &amp; MAINTAINANCE</t>
  </si>
  <si>
    <t>REPAIRS AND MAINTENANCE- Gst</t>
  </si>
  <si>
    <t>REPAIRS AND MAINTENANCE- HEDALI</t>
  </si>
  <si>
    <t>TRAVELLING &amp; CONVEYANCE EXPENSES</t>
  </si>
  <si>
    <t>OFFICE EXPS.</t>
  </si>
  <si>
    <t>BANK CHARGES</t>
  </si>
  <si>
    <t>BANK /DEMATCHARGES/BANK COMMISSION - GST</t>
  </si>
  <si>
    <t>INTEREST</t>
  </si>
  <si>
    <t>INTEREST ON BILL DISCOUNTING</t>
  </si>
  <si>
    <t>INTEREST ON CUSTOM DUTY</t>
  </si>
  <si>
    <t>AUDIT FEES</t>
  </si>
  <si>
    <t>Legal &amp; Professional Fees</t>
  </si>
  <si>
    <t>ROC FILING FEES</t>
  </si>
  <si>
    <t>RENT (OFFICE 401) - NON GST</t>
  </si>
  <si>
    <t>BONUS</t>
  </si>
  <si>
    <t>DIRECTORS REMUNARATION KMT</t>
  </si>
  <si>
    <t>DIRECTORS REMUNARATION RMT</t>
  </si>
  <si>
    <t>EXTRA DUTY</t>
  </si>
  <si>
    <t>MEDICAL EXP</t>
  </si>
  <si>
    <t>SALARY EXP</t>
  </si>
  <si>
    <t>SALARY -SANDIP TIMBADIA</t>
  </si>
  <si>
    <t>(i) Borrowing</t>
  </si>
  <si>
    <t>(ii) Lease Liability,</t>
  </si>
  <si>
    <t>(i) Investment</t>
  </si>
  <si>
    <t>Purchase/Sale of fixed assets</t>
  </si>
  <si>
    <t>Dividend paid</t>
  </si>
  <si>
    <t>ASSETS</t>
  </si>
  <si>
    <t>Dividend Paid</t>
  </si>
  <si>
    <t xml:space="preserve"> Increase/(decrease) in Non-Currrent provisions </t>
  </si>
  <si>
    <t>(Unaudited)</t>
  </si>
  <si>
    <t>(Audited)</t>
  </si>
  <si>
    <t>30.09.2021</t>
  </si>
  <si>
    <t>(ii) Trade Payables</t>
  </si>
  <si>
    <t>Half Year ended</t>
  </si>
  <si>
    <t>Year ended</t>
  </si>
  <si>
    <t>30.09.2022</t>
  </si>
  <si>
    <t>30.06.2022</t>
  </si>
  <si>
    <t>Remeasurement gain / (loss) on MTM Adjustments</t>
  </si>
  <si>
    <t>31.03.2022</t>
  </si>
  <si>
    <t>As at 31/03/2022
(Audited)</t>
  </si>
  <si>
    <t>(f)Deferred tax Assets (Net)</t>
  </si>
  <si>
    <t>As at 30/09/2022
(Unaudited)</t>
  </si>
  <si>
    <t>Half year ended 30.09.2022</t>
  </si>
  <si>
    <t>1-Jul-22 to 30-Sep-22</t>
  </si>
  <si>
    <t>DETENSION / COMPENSATION</t>
  </si>
  <si>
    <t>Gross Loss b/f</t>
  </si>
  <si>
    <t>Expenses (Indirect) (Indirect Expenses)</t>
  </si>
  <si>
    <t>Gross Loss c/o</t>
  </si>
  <si>
    <t>Income (Indirect) (Indirect Incomes)</t>
  </si>
  <si>
    <t>INDUSTRIAL PARK</t>
  </si>
  <si>
    <t>MISC BAL - SALE</t>
  </si>
  <si>
    <t>PROFIT ON LICENCE PURCHASE</t>
  </si>
  <si>
    <t>Nett Loss</t>
  </si>
  <si>
    <t>CSR - 2% ON AVERAGE PROFIT</t>
  </si>
  <si>
    <t>DGFT</t>
  </si>
  <si>
    <t>DIRECTOR ENTERTEMENT  EXP</t>
  </si>
  <si>
    <t>FREIGHT CHARGES</t>
  </si>
  <si>
    <t>INTEREST ON CAR - HONDA JAZZ</t>
  </si>
  <si>
    <t>INTEREST ON INCOME TAX - A Y 21-22</t>
  </si>
  <si>
    <t>SHORT/ EXCESS PROVISION FOR I.TAX</t>
  </si>
  <si>
    <t>SOFTWARE EXPENSES</t>
  </si>
  <si>
    <t>SPONSORSHIP</t>
  </si>
  <si>
    <t>1-Apr-22 to 30-Sep-22</t>
  </si>
  <si>
    <t>Retained Earnings (Reserves &amp; Surplus)</t>
  </si>
  <si>
    <t>HDFC LOAN - HONDA JAZZ</t>
  </si>
  <si>
    <t>IGST- INPUT- NOT REFLECTED IN GSTR2B</t>
  </si>
  <si>
    <t>CESS 1%</t>
  </si>
  <si>
    <t>TDS ON GOODS-194Q</t>
  </si>
  <si>
    <t>FINAL DIVIDEND PAYABLE</t>
  </si>
  <si>
    <t>SALARY PAYABLE</t>
  </si>
  <si>
    <t>VEHICLE</t>
  </si>
  <si>
    <t>MOTOR CAR - HONDA JAZZ</t>
  </si>
  <si>
    <t>STAFF ADVANCE - SAMIRA</t>
  </si>
  <si>
    <t>STAFF ADVANCE - VASANT</t>
  </si>
  <si>
    <t>LATIM METAL- 001105034197-DIVIDEND</t>
  </si>
  <si>
    <t>LAND PURCHASE - VILLAGE WAVE TARFE HAVELI</t>
  </si>
  <si>
    <t>35 IMPORT STEEL PUR LMC.(206.484 M/T)CHENNAI</t>
  </si>
  <si>
    <t>CFS HANDLING /TRANSPORTATION CHARGES - LMC 35</t>
  </si>
  <si>
    <t>CUSTOM DUTY - LMC-035</t>
  </si>
  <si>
    <t>CUSTOM HOUSE AGENT SERVICES - LMC-35</t>
  </si>
  <si>
    <t>DETENTION CHARGES - LMC035</t>
  </si>
  <si>
    <t>FRIEGHT CHARGES -LMC-35</t>
  </si>
  <si>
    <t>LICENCE PURCHASE-LMC35</t>
  </si>
  <si>
    <t>36-IMPORT STEEL PUR -LMC (213.560 M/T)CHENNAI</t>
  </si>
  <si>
    <t>CFS HANDLING /TRANSPORTATION CHARGES - LMC 36</t>
  </si>
  <si>
    <t>CUSTOM DUTY -LMC036</t>
  </si>
  <si>
    <t>CUSTOM HOUSE AGENT SERVICES - LMC-36</t>
  </si>
  <si>
    <t>DETENTION CHARGES - LMC036</t>
  </si>
  <si>
    <t>FREIGHT CHARGES - LMC 36</t>
  </si>
  <si>
    <t>LICENCE PURCHASE-LMC 36</t>
  </si>
  <si>
    <t>37- IMPORT STEEL PUR. LMC(204.746 M/T)CHENNAI</t>
  </si>
  <si>
    <t>CFS HANDLING /TRANSPORTATION CHARGES - LMC 37</t>
  </si>
  <si>
    <t>CUSTOM DUTY- LMC037</t>
  </si>
  <si>
    <t>CUSTOM HOUSE AGENT SERVICES - LMC-37</t>
  </si>
  <si>
    <t>DETENTION CHARGES - LMC037</t>
  </si>
  <si>
    <t>FRIEGHT CHARGES -LMC-37</t>
  </si>
  <si>
    <t>LICENCE PURCHASE-LMC37</t>
  </si>
  <si>
    <t>38- IMPORT STEEL PUR LMC(216.952 M/T) CHENNAI</t>
  </si>
  <si>
    <t>CFS HANDLING /TRANSPORTATION CHARGES - LMC 38</t>
  </si>
  <si>
    <t>CUSTOM DUTY-LMC-038</t>
  </si>
  <si>
    <t>CUSTOM HOUSE AGENT SERVICES - LMC-38</t>
  </si>
  <si>
    <t>DETENTION CHARGES - LMC038</t>
  </si>
  <si>
    <t>FREIGHT CHARGES - LMC 38</t>
  </si>
  <si>
    <t>LICENCE CHARGES - LMC038</t>
  </si>
  <si>
    <t>39 - IMPORT OF  STEEL PUR.-LMM (307.348 M/T) H.O.</t>
  </si>
  <si>
    <t>CUSTOM DUTY - LMM039</t>
  </si>
  <si>
    <t>CUSTOM HOUSE AGENT SERVICES- LMM-39</t>
  </si>
  <si>
    <t>DGFT- LMM 39</t>
  </si>
  <si>
    <t>ENDORSEMENT CHARGES - LMM 39</t>
  </si>
  <si>
    <t>HANDLING CHARGES - LMM 39</t>
  </si>
  <si>
    <t>LICENCE CHARGES -LMC 039</t>
  </si>
  <si>
    <t>SHIPPING CHARGES - LMM-39</t>
  </si>
  <si>
    <t>STAMP DUTY - LMM-39</t>
  </si>
  <si>
    <t>STEEL PURCHASE -LMM-039(307.348M/T) H.O.</t>
  </si>
  <si>
    <t>TRANSPORTATION CHARGES - 39</t>
  </si>
  <si>
    <t>YARD CHARGES - LMM 39</t>
  </si>
  <si>
    <t>40 - IMPORT OF  STEEL PUR.-LMM (205.398 M/T) H.O.</t>
  </si>
  <si>
    <t>CUSTOM DUTY - LMM040</t>
  </si>
  <si>
    <t>CUSTOM HOUSE AGENT SERVICES- LMM-40</t>
  </si>
  <si>
    <t>DGFT- LMM 40</t>
  </si>
  <si>
    <t>ENDORSEMENT CHARGES - LMM 40</t>
  </si>
  <si>
    <t>HANDLING CHARGES - LMM 40</t>
  </si>
  <si>
    <t>LICENCE PURCHASE-LMC-040</t>
  </si>
  <si>
    <t>SHIPPING CHARGES - LMM-40</t>
  </si>
  <si>
    <t>STAMP DUTY - LMM-40</t>
  </si>
  <si>
    <t>STEEL PURCHASE LMM-040(205.398 M/T) H.O</t>
  </si>
  <si>
    <t>TRANSPORTATION CHARGES - 40</t>
  </si>
  <si>
    <t>YARD CHARGES - LMM 40</t>
  </si>
  <si>
    <t>41 - IMPORT OF  STEEL PUR-LMC (215.618 M/T) CHENNAI</t>
  </si>
  <si>
    <t>CFS HANDLING / TRANSPORT- LMC041</t>
  </si>
  <si>
    <t>CUSTOM DUTY - LMC 41</t>
  </si>
  <si>
    <t>CUSTOM HOUSE AGENT SERVICES - LMC-041</t>
  </si>
  <si>
    <t>DGFT LMC - 41</t>
  </si>
  <si>
    <t>FREIGHT CHARGES -LMC041</t>
  </si>
  <si>
    <t>LICENCE CHARGES -LMM 041</t>
  </si>
  <si>
    <t>STEEL PURCHASE LMC-041(215.618 M/T)</t>
  </si>
  <si>
    <t>42 - IMPORT OF STEEL PUR -LMC(190.958 M/T) -CHENNAI</t>
  </si>
  <si>
    <t>CFS HANDLING / TRANSPORT- LMC042</t>
  </si>
  <si>
    <t>CUSTOM DUTY - LM42</t>
  </si>
  <si>
    <t>CUSTOM HOUSE AGENT SERVICES - LMC-042</t>
  </si>
  <si>
    <t>DGFT LMC -42</t>
  </si>
  <si>
    <t>FREIGHT CHARGES -LMC042</t>
  </si>
  <si>
    <t>LICENCE PURCHASE- LMM 42</t>
  </si>
  <si>
    <t>STEEL PURCHASE LMC-042 (190.958 M/T)CHENNAI</t>
  </si>
  <si>
    <t>43 - IMPORT OF STEEL PUR LMC(103.186 M/T) CHENNAI</t>
  </si>
  <si>
    <t>CFS HANDLING / TRANSPORT- LMC043</t>
  </si>
  <si>
    <t>CUSTOM DUTY- LMC43</t>
  </si>
  <si>
    <t>CUSTOM HOUSE AGENT SERVICES - LMC-043</t>
  </si>
  <si>
    <t>DGFT LMC - 43</t>
  </si>
  <si>
    <t>FREIGHT CHARGES -LMC043</t>
  </si>
  <si>
    <t>LICENCE CHARGES - LMM43</t>
  </si>
  <si>
    <t>STEEL PURCHASE -LMC-043 (103.186 M/T)CHENNAI</t>
  </si>
  <si>
    <t>44 - IMPORT OF  STEEL PUR.-LMM(238.436 M/T)H.O.</t>
  </si>
  <si>
    <t>CUSTOM DUTY - LM 44</t>
  </si>
  <si>
    <t>CUSTOM HOUSE AGENT SERVICES- LMM -44</t>
  </si>
  <si>
    <t>DAMAGE CHARGES -LMM 044</t>
  </si>
  <si>
    <t>DGFT- LMM 44</t>
  </si>
  <si>
    <t>ENDORSEMENT CHARGES - LMM 44</t>
  </si>
  <si>
    <t>HANDLING CHARGES - LMM 44</t>
  </si>
  <si>
    <t>LICENCE PUCRAHSE- LMM 44</t>
  </si>
  <si>
    <t>LOADING AND UNLOADING CHARGES- LM 44</t>
  </si>
  <si>
    <t>SHIPPING CHARGES - LMM-44</t>
  </si>
  <si>
    <t>STAMP DUTY - LMM-44</t>
  </si>
  <si>
    <t>STEEL PURCHASE -LMM-044(238.436 M/T)</t>
  </si>
  <si>
    <t>TRANSPORT CHARGES - LMM 44</t>
  </si>
  <si>
    <t>45 - IMPORT STEEL PUR.LMM (265.296M/T)H.O</t>
  </si>
  <si>
    <t>CUSTOM DUTY- 45</t>
  </si>
  <si>
    <t>CUSTOM HOUSE AGENT SERVICES- LMM -45</t>
  </si>
  <si>
    <t>ENDORSEMENT CHARGES - LMM 45</t>
  </si>
  <si>
    <t>HANDLING CHARGES - LMM 45</t>
  </si>
  <si>
    <t>LICENCE CHARGES -LMM 45</t>
  </si>
  <si>
    <t>LOADING AND UNLOADING CHARGES - LMM45</t>
  </si>
  <si>
    <t>SHIPPING CHARGES - LMM-45</t>
  </si>
  <si>
    <t>STAMP DUTY - LMM-45</t>
  </si>
  <si>
    <t>STEEL PURCHASE -LMM-45(265.296 M/T)</t>
  </si>
  <si>
    <t>TRANSPORT CHARGES - LMM 45</t>
  </si>
  <si>
    <t>46 - IMPORT STEEL PUR LMC.(204.142 M/T) CHENNAI</t>
  </si>
  <si>
    <t>CUSTOM DUTY - LM46</t>
  </si>
  <si>
    <t>CUSTOM HOUSE AGENT SERVICES- LMC- 46</t>
  </si>
  <si>
    <t>DETENTION CHARGES - LMC046</t>
  </si>
  <si>
    <t>DGFT- LMC 046</t>
  </si>
  <si>
    <t>ENDORSEMENT CHARGES - LMM 46</t>
  </si>
  <si>
    <t>HANDLING CHARGES - LMM 46</t>
  </si>
  <si>
    <t>LICENCE PURCHASE- 46</t>
  </si>
  <si>
    <t>SHIPPING CHARGES - LMM-46</t>
  </si>
  <si>
    <t>STEEL PURCHAE LMC-46 (204.142 M/T)</t>
  </si>
  <si>
    <t>TRANSPORTATION CHARGES - LMC-46</t>
  </si>
  <si>
    <t>47- IMPORT STEEL PUR-LMC(160.176 M/T)CHENNAI</t>
  </si>
  <si>
    <t>CUSTOM DUTY - LMC47</t>
  </si>
  <si>
    <t>CUSTOM HOUSE AGENT SERVICES- LMC- 47</t>
  </si>
  <si>
    <t>DETENTION CHARGES - LMC047</t>
  </si>
  <si>
    <t>DGFT- LMC 047</t>
  </si>
  <si>
    <t>ENDORSEMENT CHARGES - LMM 47</t>
  </si>
  <si>
    <t>HANDLING CHARGES - LMM 47</t>
  </si>
  <si>
    <t>LICENCE PURCHASE-47</t>
  </si>
  <si>
    <t>LICENCE PURCHASE - LMM 47</t>
  </si>
  <si>
    <t>SHIPPING CHARGES - LMM-47</t>
  </si>
  <si>
    <t>STEEL PURCHASE LMC-047(160.176 M/T)</t>
  </si>
  <si>
    <t>TRANSPORTATION CHARGES - LMC-47</t>
  </si>
  <si>
    <t>48- IMPORT STEEL PUR LMK (198.415 M/T) COCHIN</t>
  </si>
  <si>
    <t>CUSTOM DUTY - LM 48</t>
  </si>
  <si>
    <t>CUSTOM HOUSE AGENT SERVICES- LMK -48</t>
  </si>
  <si>
    <t>DGFT- LMK 048</t>
  </si>
  <si>
    <t>LICENCE PURCHASE-48</t>
  </si>
  <si>
    <t>SHIPPING CHARGES - LMM48</t>
  </si>
  <si>
    <t>STEEL PURCHASE LMK-048(198.145 M/T)</t>
  </si>
  <si>
    <t>TRANSPORTATION CHARGES - LMK - 48</t>
  </si>
  <si>
    <t>49- IMPORT STEEL PUR LMM (148.434 M/T) HEAD OFFICE</t>
  </si>
  <si>
    <t>CUSTOM DUTY - LMM 49</t>
  </si>
  <si>
    <t>CUSTOM HOUSE AGENT SERVICES- LMM -49</t>
  </si>
  <si>
    <t>ENDORSEMENT CHARGES - LMM 49</t>
  </si>
  <si>
    <t>HANDLING CHARGES - LMM 49</t>
  </si>
  <si>
    <t>LICENCE PURCHASE- 49</t>
  </si>
  <si>
    <t>LOADING AND UNLOADING CHARGES- LM 49</t>
  </si>
  <si>
    <t>SHIPPING CHARGES - LMM 49</t>
  </si>
  <si>
    <t>STAMP DUTY - LMM-49</t>
  </si>
  <si>
    <t>STEEL PURCHASE -LMM-049(148.434 M/T)H.O</t>
  </si>
  <si>
    <t>TRANSPORT CHARGES - LMM 49</t>
  </si>
  <si>
    <t>50- IMPORT STEEL PUR LMC (105.408 M/T)CHENNAI</t>
  </si>
  <si>
    <t>CUSTOM DUTY - LMM 50</t>
  </si>
  <si>
    <t>CUSTOM HOUSE AGENT SERVICES- LMC - 50</t>
  </si>
  <si>
    <t>ENDORSEMENT CHARGES - LMC 50</t>
  </si>
  <si>
    <t>LICENCE PURCHASE- 50</t>
  </si>
  <si>
    <t>PORT CHARGES -LMC -050</t>
  </si>
  <si>
    <t>SHIPPING CHARGES - LMC- 50</t>
  </si>
  <si>
    <t>STEEL PURCHASE LMC-050(105.408 M/T) CHENNAI</t>
  </si>
  <si>
    <t>TRANSPORTATION CHARGES - LMC - 50</t>
  </si>
  <si>
    <t>51- IMPORT STEEL PUR LMM (210.878M/T)HEAD OFFICE</t>
  </si>
  <si>
    <t>CUSTOM DUTY- LM 051</t>
  </si>
  <si>
    <t>DGFT- LMM 51</t>
  </si>
  <si>
    <t>LICENCE PURCHASE- LM 51</t>
  </si>
  <si>
    <t>SHIPPING CHARGES - LM 51</t>
  </si>
  <si>
    <t>STEEL PURCHASE -LMM(210.878 M/T) H.O.</t>
  </si>
  <si>
    <t>52- IMPORT STEEL PUR LMM (157.902M/T)HEAD OFFICE</t>
  </si>
  <si>
    <t>DGFT- LMM 52</t>
  </si>
  <si>
    <t>LICENCE PURCHASE - LM 52</t>
  </si>
  <si>
    <t>STEEL PURCHASE LMM(157.902 MT) H.O</t>
  </si>
  <si>
    <t>53- IMPORT STEEL PUR LMC (323.156M/T)CHENNAI</t>
  </si>
  <si>
    <t>STEEL PURCHASE -053 (323.156 M/T)CHENNAI</t>
  </si>
  <si>
    <t>INTERSTATE PUR. INVOICE- GST</t>
  </si>
  <si>
    <t>INTEREST ON TDS</t>
  </si>
  <si>
    <t>LATE FEE- PT</t>
  </si>
  <si>
    <t>PROCESSING CHARGES</t>
  </si>
  <si>
    <t>ADVERTISEMENT EXP- INDUSTRIAL PARK</t>
  </si>
  <si>
    <t>CONSULTANCY CHARGES - INDUSTRIAL</t>
  </si>
  <si>
    <t>DIESEL EXP- IND</t>
  </si>
  <si>
    <t>HARDWARE ITEM- IND</t>
  </si>
  <si>
    <t>LABOUR CHARGES- IND PARK</t>
  </si>
  <si>
    <t>LEGAL AND PROFESSIONAL FEES- IND PARK</t>
  </si>
  <si>
    <t>REPAIRS AND MAINTENANCE- INDUSTRIAL</t>
  </si>
  <si>
    <t>STAFF WELFARE- IND</t>
  </si>
  <si>
    <t>TRAVELLING &amp; CONVEYANCE EXPENSES-IND P</t>
  </si>
  <si>
    <t>- total outstanding other than to MSME</t>
  </si>
  <si>
    <t>Latim Metals &amp; Industries Limited Q1 FY 2022-23:</t>
  </si>
  <si>
    <t>Latim Sourcing India Pvt Ltd Q1 FY 2022-23:</t>
  </si>
  <si>
    <t>As at 31.03.2022</t>
  </si>
  <si>
    <t>Dep for Q1</t>
  </si>
  <si>
    <t>WDV as at 30.06.2022</t>
  </si>
  <si>
    <t xml:space="preserve">
</t>
  </si>
  <si>
    <t>DTA already in the books as on 31.03.2022</t>
  </si>
  <si>
    <t>New DTL to be created /Earlier  DTA to be reversed</t>
  </si>
  <si>
    <t>DTL as on 30.06.2022</t>
  </si>
  <si>
    <t>DTL already in the books as on 31.03.2022</t>
  </si>
  <si>
    <t>Dep for Q2</t>
  </si>
  <si>
    <t>Impact for Q2 :</t>
  </si>
  <si>
    <t>Impact for Q1 :</t>
  </si>
  <si>
    <t>To Deferred Tax Asset</t>
  </si>
  <si>
    <t>(c) Intangible Assets</t>
  </si>
  <si>
    <t>(d) Financial Assets</t>
  </si>
  <si>
    <t>HO</t>
  </si>
  <si>
    <t>Jaipur</t>
  </si>
  <si>
    <t>Umbergaon</t>
  </si>
  <si>
    <t>Closing stock</t>
  </si>
  <si>
    <t>Interest Expenses</t>
  </si>
  <si>
    <t xml:space="preserve">Income </t>
  </si>
  <si>
    <t>Profit / (Loss) for the period after tax</t>
  </si>
  <si>
    <t xml:space="preserve">Other comprehensive income </t>
  </si>
  <si>
    <t>The performance of the quarter is not representative of the full year's performance</t>
  </si>
  <si>
    <t>Date: 14th November 2021</t>
  </si>
  <si>
    <t xml:space="preserve"> Quarter ended on 30/09/2022
(Unaudited)
(Rs in Lakhs)</t>
  </si>
  <si>
    <t xml:space="preserve"> Quarter ended on 30/06/2022
(Unaudited)
(Rs in Lakhs)</t>
  </si>
  <si>
    <t xml:space="preserve"> Year ended on 31/03/2022
(Audited)
(Rs in Lakhs)</t>
  </si>
  <si>
    <t>Umergaon</t>
  </si>
  <si>
    <t>H.O</t>
  </si>
  <si>
    <t>Branch Accounts</t>
  </si>
  <si>
    <t>LSIPL - Final</t>
  </si>
  <si>
    <t>(Rs. In Lakhs)</t>
  </si>
  <si>
    <t>LMIL - Final</t>
  </si>
  <si>
    <t>Consolidated Final</t>
  </si>
  <si>
    <t>Adjustments</t>
  </si>
  <si>
    <t>Reserves &amp; Surplus Working for Consolidation :</t>
  </si>
  <si>
    <t>Opening Reserve as per Conso</t>
  </si>
  <si>
    <t>Profit for 6 Months</t>
  </si>
  <si>
    <t>Foreign Exchange Adjustments</t>
  </si>
  <si>
    <t>(Rs. in lakhs)</t>
  </si>
  <si>
    <t>Unaudited Standalone Cash Flow Statement for the half year ended 30th September, 2022</t>
  </si>
  <si>
    <t>Interest Income</t>
  </si>
  <si>
    <t>LSIPL (Standalone)</t>
  </si>
  <si>
    <t>LSIPL (Conso)</t>
  </si>
  <si>
    <t>LMIL (Conso)</t>
  </si>
  <si>
    <t>Add :Purchase</t>
  </si>
  <si>
    <t>H.O.</t>
  </si>
  <si>
    <t>Less : Closing Stock</t>
  </si>
  <si>
    <t>Inter - Branch Eliminations</t>
  </si>
  <si>
    <t>From</t>
  </si>
  <si>
    <t xml:space="preserve">Chennai </t>
  </si>
  <si>
    <t>Profit / (Loss)</t>
  </si>
  <si>
    <t>Loan taken during the year</t>
  </si>
  <si>
    <t>Operating Profit / (loss) before Working Capital Changes</t>
  </si>
  <si>
    <t>Cash Generated from / (used in) Operations</t>
  </si>
  <si>
    <t xml:space="preserve">Net Cashflow generated from / (used in) Operating Activities </t>
  </si>
  <si>
    <t xml:space="preserve">Net Cashflow generated from / (used in) Investing Activities </t>
  </si>
  <si>
    <t xml:space="preserve">Net Cashflow generated from / (used in) Financing Activities </t>
  </si>
  <si>
    <t xml:space="preserve">            Adjustments under Ind AS - 116 - Leases</t>
  </si>
  <si>
    <t xml:space="preserve">            Adjustments under Ind AS - 109 - Fair valuation</t>
  </si>
  <si>
    <t>Segment Assets</t>
  </si>
  <si>
    <t>Half Year Ended on 30/09/2022
(Unaudited)
(Rs in Lakhs)</t>
  </si>
  <si>
    <t>Total Segment Assets</t>
  </si>
  <si>
    <t>Unallocated corporate equity &amp; liabilities</t>
  </si>
  <si>
    <t>Total Segment Equity &amp; Liabilities</t>
  </si>
  <si>
    <t>30.09.2023</t>
  </si>
  <si>
    <t>1-Jul-23 to 30-Sep-23</t>
  </si>
  <si>
    <t>LATIM METAL &amp; INDUSTRIES LTD- CHENNAI</t>
  </si>
  <si>
    <t>LA TIM METAL &amp; INDUSTRIES LTD- COCHIN</t>
  </si>
  <si>
    <t>LATIM METAL &amp; INDUSTRIES LTD- UMBERGAON</t>
  </si>
  <si>
    <t>Trading Account:</t>
  </si>
  <si>
    <t>DAMAGE / DEFECTIVE COIL</t>
  </si>
  <si>
    <t>Export Sale</t>
  </si>
  <si>
    <t>HIGH SEAS SALES</t>
  </si>
  <si>
    <t>LOADING CHARGES</t>
  </si>
  <si>
    <t>RATE DIFF - 2023-24</t>
  </si>
  <si>
    <t>STOCK TRANSFER</t>
  </si>
  <si>
    <t>Cost of Sales :</t>
  </si>
  <si>
    <t>Add: Purchase Accounts</t>
  </si>
  <si>
    <t>Less: Closing Stock</t>
  </si>
  <si>
    <t>STORE SPARE</t>
  </si>
  <si>
    <t>FREIGHT COST</t>
  </si>
  <si>
    <t>TRANSPORTATION CHARGES-PUR</t>
  </si>
  <si>
    <t>Gross Profit :</t>
  </si>
  <si>
    <t>Income Statement:</t>
  </si>
  <si>
    <t>FAIR VALUE INVESTMENT</t>
  </si>
  <si>
    <t>FORIEGN EXCHANGE FLAUX ( PROFIT / LOSS)</t>
  </si>
  <si>
    <t>PROFIT ON SALE OF LAND</t>
  </si>
  <si>
    <t>EXPORT</t>
  </si>
  <si>
    <t>DEFFERED TAX EXP</t>
  </si>
  <si>
    <t>DEFFERED TAX EXPENSES</t>
  </si>
  <si>
    <t>DEMAND -ADT02- F Y 2017- 2020</t>
  </si>
  <si>
    <t>Effluent Treatment Plant_x000D_(ETP)</t>
  </si>
  <si>
    <t>EPCG EXPORT</t>
  </si>
  <si>
    <t>INTEREST ON GST</t>
  </si>
  <si>
    <t>INTERNET CHARGES</t>
  </si>
  <si>
    <t>LABOUR CHARGES</t>
  </si>
  <si>
    <t>LEGAL CHARGES</t>
  </si>
  <si>
    <t>MAHARASHTRA LABOUR WELFARE FUND</t>
  </si>
  <si>
    <t>PACKING CHARGES</t>
  </si>
  <si>
    <t>POSTAGE &amp; COURIER CHGS</t>
  </si>
  <si>
    <t>PROPERTY TAX</t>
  </si>
  <si>
    <t>REGISTRATION CHARGES-EEPC INDIA</t>
  </si>
  <si>
    <t>RTO CHARGES</t>
  </si>
  <si>
    <t>SHIPPING CHARGES</t>
  </si>
  <si>
    <t>STAFF MEDICLAIM INSURANCE</t>
  </si>
  <si>
    <t>STAMP DUTY</t>
  </si>
  <si>
    <t>STOCK INSURANCE</t>
  </si>
  <si>
    <t>TRANSPORTATION CHARGES - IND</t>
  </si>
  <si>
    <t>TRAVELLING EXPENSES - DOMESTIC</t>
  </si>
  <si>
    <t>WORKMEN COMPENSATION</t>
  </si>
  <si>
    <t>Nett Profit:</t>
  </si>
  <si>
    <t xml:space="preserve">Interbranch Adjustments </t>
  </si>
  <si>
    <t>a Cost of materials consumed</t>
  </si>
  <si>
    <t>b Purchase of stock-in-trade</t>
  </si>
  <si>
    <t>c Changes in inventories of Finished goods, work-in-progress and stock-in-trade</t>
  </si>
  <si>
    <t>d Employee benefits expenses</t>
  </si>
  <si>
    <t>e Finance costs</t>
  </si>
  <si>
    <t>f Depreciation and amortization expenses</t>
  </si>
  <si>
    <t>g Other expenses</t>
  </si>
  <si>
    <t>PBT</t>
  </si>
  <si>
    <t>DEFERRED TAX</t>
  </si>
  <si>
    <t>Base Working File</t>
  </si>
  <si>
    <t>1-Apr-23 to 30-Sep-23</t>
  </si>
  <si>
    <t>P&amp;L A/C (RESERVE&amp; SURPLUS)</t>
  </si>
  <si>
    <t>ICICI BANK  LTD-001105030938-O/D</t>
  </si>
  <si>
    <t>THE UNION BANK OF INDIA - 101 O/D A/C</t>
  </si>
  <si>
    <t>FUNDED INTEREST TERM LOAN-001530521000007</t>
  </si>
  <si>
    <t>FUNDED INTEREST TERM LOAN -001530521000022</t>
  </si>
  <si>
    <t>ICICI BANK LTD - ENDEVOUR CAR</t>
  </si>
  <si>
    <t>ICICI BANK LTD - HONDA AMAZE</t>
  </si>
  <si>
    <t>IMPORT LC TERM LOAN-001530131000026</t>
  </si>
  <si>
    <t>TERM LOAN - 001530131000014</t>
  </si>
  <si>
    <t>LATIM LIFESTYLE AND RESORTS LTD</t>
  </si>
  <si>
    <t>LATIM METAL AND INDUSTRIES LTD</t>
  </si>
  <si>
    <t>MAHARASHTRA REALTY PRIVATE LIMITED</t>
  </si>
  <si>
    <t>PARTH TIMBADIA</t>
  </si>
  <si>
    <t>GST- INPUT</t>
  </si>
  <si>
    <t>GSTR 2B</t>
  </si>
  <si>
    <t>CGST- INPUT -2B NOT REFLECTED</t>
  </si>
  <si>
    <t>CGST INPUT- NOT REFLECTED GSTR2B</t>
  </si>
  <si>
    <t>IGST-2B NOT REFLECTED</t>
  </si>
  <si>
    <t>SGST-INPUT-2B NOT REFLECTED</t>
  </si>
  <si>
    <t>SGST INPUT- NOT REFLECTED GSTR2B</t>
  </si>
  <si>
    <t>INPUT- GST- IMPORT</t>
  </si>
  <si>
    <t>TAX ON RCM</t>
  </si>
  <si>
    <t>CGST- INPUT</t>
  </si>
  <si>
    <t>SGST- INPUT</t>
  </si>
  <si>
    <t>GST - OUTPUT</t>
  </si>
  <si>
    <t>CGST</t>
  </si>
  <si>
    <t>SGST</t>
  </si>
  <si>
    <t>GST - RCM</t>
  </si>
  <si>
    <t>CGST-RCM</t>
  </si>
  <si>
    <t>SGST-RCM</t>
  </si>
  <si>
    <t>GST- URD</t>
  </si>
  <si>
    <t>CGST ( URD)</t>
  </si>
  <si>
    <t>IGST- URD</t>
  </si>
  <si>
    <t>SGST ( URD )</t>
  </si>
  <si>
    <t>TCS PAYABLE- FROM -01.04.2021- (0.1%)</t>
  </si>
  <si>
    <t>TDS -194Q-PUR [ 01.07.2021]</t>
  </si>
  <si>
    <t>TDS ON GOODS [194Q]</t>
  </si>
  <si>
    <t>TDS ON 194Q</t>
  </si>
  <si>
    <t>TDS ON CONTRACTOR</t>
  </si>
  <si>
    <t>TDS ON CONTRACT</t>
  </si>
  <si>
    <t>TDS ON TRANSPORT</t>
  </si>
  <si>
    <t>Tds on Professional</t>
  </si>
  <si>
    <t>TDS  ON PROFESSIONAL FEES</t>
  </si>
  <si>
    <t>TDS ON DIRECTOR'S REMUNERATION (KMT)</t>
  </si>
  <si>
    <t>TDS ON DIRECTOR'S REMUNERATION (RMT)</t>
  </si>
  <si>
    <t>TDS ON SALARY - ALMITRA</t>
  </si>
  <si>
    <t>TDS ON SALARY - J K</t>
  </si>
  <si>
    <t>TDS ON SALARY - KARNA</t>
  </si>
  <si>
    <t>TDS ON SALARY - PARTH</t>
  </si>
  <si>
    <t>TDS ON SALARY (SANDIP TIMBADIA)</t>
  </si>
  <si>
    <t>TDS  ON INT PAID</t>
  </si>
  <si>
    <t>TDS ON RENT [ LEENA ]</t>
  </si>
  <si>
    <t>PROF TAX</t>
  </si>
  <si>
    <t>MSME INTEREST PAYABLE</t>
  </si>
  <si>
    <t>OUTSTANDING LIABILITY</t>
  </si>
  <si>
    <t>OUTSTANDING LIABLITIES</t>
  </si>
  <si>
    <t>PROVISION FOR GRATUITY</t>
  </si>
  <si>
    <t>PROVISION FOR I.TAX ( F.Y.2021-22)</t>
  </si>
  <si>
    <t>PROVISION OF EXPENSES</t>
  </si>
  <si>
    <t>BONUS PAYABLE- LS</t>
  </si>
  <si>
    <t>PROVISION FOR EXPENSES</t>
  </si>
  <si>
    <t>STAMPDUTY REG CHGS ( WAGHOSHI)</t>
  </si>
  <si>
    <t>FACTORY EXP</t>
  </si>
  <si>
    <t>BUILDING EXTENTION WORK</t>
  </si>
  <si>
    <t>Building ( General F.A.)</t>
  </si>
  <si>
    <t>BUILDING- INELIGIBLE GST</t>
  </si>
  <si>
    <t>CEMENT- F</t>
  </si>
  <si>
    <t>DEPRICIATION -BUILDING</t>
  </si>
  <si>
    <t>ELECTRICITY EXP (BLDG)</t>
  </si>
  <si>
    <t>ENGINEERING ADV SERVICES (BLDG)</t>
  </si>
  <si>
    <t>EXCAVATION WORK</t>
  </si>
  <si>
    <t>Gases &amp; Non Metals</t>
  </si>
  <si>
    <t>GRINDING AND POLISHING</t>
  </si>
  <si>
    <t>LABOUR CHARGES-F</t>
  </si>
  <si>
    <t>LABOUR CHARGES- GST- F</t>
  </si>
  <si>
    <t>LABOUR CHARGES- GST- INELIGIBLE</t>
  </si>
  <si>
    <t>LABOUR CHARGES - OFFICE WORK</t>
  </si>
  <si>
    <t>LEASE PREMIUM- GIDC</t>
  </si>
  <si>
    <t>LEGAL &amp; PROFESSIONAL CHARGES- BLDG</t>
  </si>
  <si>
    <t>OFFICE EXPENSES - UMARGAO OFFICE- F</t>
  </si>
  <si>
    <t>OFFICE EXPENSES - UMARGAO OFFICE- INELIGIBLE</t>
  </si>
  <si>
    <t>OFFICE EXPENSES - UMARGAO OFFICE- NON GST</t>
  </si>
  <si>
    <t>PAINTING WORK- F</t>
  </si>
  <si>
    <t>PAINTING WORK- GST- INELIGIBLE- F</t>
  </si>
  <si>
    <t>ROLLING SHUTTERS</t>
  </si>
  <si>
    <t>STAMP DUTY / REGISTRATION CHGS (BLDG)</t>
  </si>
  <si>
    <t>STEEL PURCHASE</t>
  </si>
  <si>
    <t>WATER TANK -BUILDING</t>
  </si>
  <si>
    <t>COMPUTER- 4</t>
  </si>
  <si>
    <t>COMPUTER &amp; DATA PROCESSING UNIT</t>
  </si>
  <si>
    <t>COMPUTER PRINTER</t>
  </si>
  <si>
    <t>DELL POER EGDE-R540</t>
  </si>
  <si>
    <t>DELL TOWER SERVER</t>
  </si>
  <si>
    <t>DEPRICIATION - COMPUTER AND DATA PROCESSING UNITS</t>
  </si>
  <si>
    <t>PRINTER</t>
  </si>
  <si>
    <t>Consulatncy Fees ( ETP PLANT)</t>
  </si>
  <si>
    <t>DEPRICIATION -ETP PLANT</t>
  </si>
  <si>
    <t>ELECTRICITY EXP (ETP PLANT)</t>
  </si>
  <si>
    <t>Etp Plant ( General F.A.)</t>
  </si>
  <si>
    <t>LEGAL &amp; PROFESSIONAL FEES ( ETP)</t>
  </si>
  <si>
    <t>STAMP DUTY / REGISTRATION CHGS (ETP)</t>
  </si>
  <si>
    <t>WATER TANK -ETP PLANT</t>
  </si>
  <si>
    <t>SALARIES, BONUS EMOLUMENTS- [x]</t>
  </si>
  <si>
    <t>LEAVE ENCASHMENT- Xxx</t>
  </si>
  <si>
    <t>SALARY- AJAY ARYA</t>
  </si>
  <si>
    <t>SALARY -  ASHOK KARWADIA</t>
  </si>
  <si>
    <t>SALARY - DRIVER</t>
  </si>
  <si>
    <t>SALARY- F</t>
  </si>
  <si>
    <t>SALARY - HARSHAD WAGH</t>
  </si>
  <si>
    <t>SALARY - JITENDRA MOTLING</t>
  </si>
  <si>
    <t>SALARY - KRUTIKA</t>
  </si>
  <si>
    <t>SALARY- LAKHBIR RAJPUT</t>
  </si>
  <si>
    <t>SALARY - PHANI KUMAR R</t>
  </si>
  <si>
    <t>SALARY - PRAJESH JAIN</t>
  </si>
  <si>
    <t>SALARY -  PREM SINGH</t>
  </si>
  <si>
    <t>SALARY - PULKIT</t>
  </si>
  <si>
    <t>SALARY -  RASIK RAVAL</t>
  </si>
  <si>
    <t>SALARY -  RITESH TIWARI</t>
  </si>
  <si>
    <t>SALARY - SAIF MOMIN</t>
  </si>
  <si>
    <t>SALARY -  SANTOSH KOCHEKAR</t>
  </si>
  <si>
    <t>SALARY - SHAILENDRA KUMAR</t>
  </si>
  <si>
    <t>SALARY - SHISHIR M PAREKH</t>
  </si>
  <si>
    <t>SALARY- SHREEKANT PATEL</t>
  </si>
  <si>
    <t>SALARY -  SWAPNIL LENDE</t>
  </si>
  <si>
    <t>SALARY -  YOGESH BHATT</t>
  </si>
  <si>
    <t>ARGON GAS</t>
  </si>
  <si>
    <t>BANK /DEMATCHARGES/BANK COMMISSION</t>
  </si>
  <si>
    <t>BUSINESS PROMOTION- F</t>
  </si>
  <si>
    <t>CARBON DIAXIDE</t>
  </si>
  <si>
    <t>CHAIRS</t>
  </si>
  <si>
    <t>COMPUTER ACCESSERIES- F</t>
  </si>
  <si>
    <t>COMPUTER TABLE</t>
  </si>
  <si>
    <t>CONSULTANCY CHARGES-F</t>
  </si>
  <si>
    <t>CONVEYANCE &amp; TRAVELLING EXPENSES- F</t>
  </si>
  <si>
    <t>Courier Services	- F</t>
  </si>
  <si>
    <t>Courier Services	-GST- F</t>
  </si>
  <si>
    <t>DIESEL EXP- F</t>
  </si>
  <si>
    <t>DISCOUNT-F</t>
  </si>
  <si>
    <t>ELECTRICTY EXPENSES - UMARGAM- F</t>
  </si>
  <si>
    <t xml:space="preserve">Engineering Advisory Services	</t>
  </si>
  <si>
    <t xml:space="preserve">Fire Extinguishers	</t>
  </si>
  <si>
    <t>FRIGHT COST- F</t>
  </si>
  <si>
    <t>General Exp ( General FA)</t>
  </si>
  <si>
    <t>INSTALLATION</t>
  </si>
  <si>
    <t>INTERNET CHARGES- F</t>
  </si>
  <si>
    <t>MISC. EXP.</t>
  </si>
  <si>
    <t>OFFICE EXPENSES- F</t>
  </si>
  <si>
    <t>OTHER CHARGES - DGVCL</t>
  </si>
  <si>
    <t>OXYGEN GAS- F</t>
  </si>
  <si>
    <t>PRINTING &amp; STATIONARY- F</t>
  </si>
  <si>
    <t>PRINTING &amp; STATIONARY- GST- F</t>
  </si>
  <si>
    <t>PURCHASE OF FUEL</t>
  </si>
  <si>
    <t>REGISTRATION CHARGES-EEPC INDIA- F</t>
  </si>
  <si>
    <t>REGISTRATION CHARGES - G I D C</t>
  </si>
  <si>
    <t>REGISTRATION CHARGES - LICENCE WITH MUNDRA CUSTOM</t>
  </si>
  <si>
    <t>RENT- NON GST</t>
  </si>
  <si>
    <t>RENT [ LEENA DENIM LTD ]</t>
  </si>
  <si>
    <t>REPAIR AND MAINTAINANCE-F</t>
  </si>
  <si>
    <t>ROOM RENT</t>
  </si>
  <si>
    <t>ROUNDED OFF DIFFERENCES- F</t>
  </si>
  <si>
    <t>ROUTER- F</t>
  </si>
  <si>
    <t>SECURITY CHARGES</t>
  </si>
  <si>
    <t>SERVICE CHARGES</t>
  </si>
  <si>
    <t>SERVICES CHARGES - DGVCL</t>
  </si>
  <si>
    <t>STAFF WELFARE-F</t>
  </si>
  <si>
    <t>SURVEY CHARGES</t>
  </si>
  <si>
    <t>TELEPHONE EXP- F</t>
  </si>
  <si>
    <t>TRANSPORTATION CHARGES - F</t>
  </si>
  <si>
    <t>TRANSPORTATION CHARGES - GST- F</t>
  </si>
  <si>
    <t>TRANSPORTATION CHARGES- NON GST- F</t>
  </si>
  <si>
    <t>TRAVELLING EXP- F</t>
  </si>
  <si>
    <t>WATER CHARGES (UMARGAM)- F</t>
  </si>
  <si>
    <t>WATER TANK</t>
  </si>
  <si>
    <t>WATER TESTING</t>
  </si>
  <si>
    <t>DEPRICIATION -INTANGIBLE</t>
  </si>
  <si>
    <t>SOFTWARE -BUSY</t>
  </si>
  <si>
    <t>SOFTWARE PURCHASE- ERP</t>
  </si>
  <si>
    <t>DEPRICIATION - LAB EQUIPMENT</t>
  </si>
  <si>
    <t>Laboratory Equipments</t>
  </si>
  <si>
    <t>CEMENT- NEW SHED</t>
  </si>
  <si>
    <t>METAL ,SAND BRASS ,STONE AND RIVER</t>
  </si>
  <si>
    <t>SHED RELATED EXPENSES</t>
  </si>
  <si>
    <t>AC-VOLTAS</t>
  </si>
  <si>
    <t>AIRCONDITIONER (NAVKAR PLAZA )</t>
  </si>
  <si>
    <t>AQUAGUARD - 1ST FL</t>
  </si>
  <si>
    <t>DEPRICIATION - OFFICE EQUIPMENT</t>
  </si>
  <si>
    <t>LED TV</t>
  </si>
  <si>
    <t>MOBILE PURCHASE</t>
  </si>
  <si>
    <t>OFFICE CUPBOARD</t>
  </si>
  <si>
    <t>refrigerator</t>
  </si>
  <si>
    <t>TUBINE AIR VENTILATOR</t>
  </si>
  <si>
    <t>VACCUM CLEANER</t>
  </si>
  <si>
    <t>WALL FAN</t>
  </si>
  <si>
    <t>WATER COOLER</t>
  </si>
  <si>
    <t>Structure Work</t>
  </si>
  <si>
    <t>MACHIN STRUCTURE WORK- Ineligible Gst</t>
  </si>
  <si>
    <t>THREE-COLOR PRINTING EQUIPMENT WITH THE FUNCTION O PRINTINGAND COATING</t>
  </si>
  <si>
    <t>EXPENSES RELATED TO MACHINERY</t>
  </si>
  <si>
    <t>LSM-073 -MACHINERY</t>
  </si>
  <si>
    <t>AGITATOR AIR-THREE-COLOR PRINTING EQUIPMENT</t>
  </si>
  <si>
    <t>CONSUMABLE SPARE PARTS- P &amp; M</t>
  </si>
  <si>
    <t>CUSTOM DUTY-LMC073</t>
  </si>
  <si>
    <t>CUSTOM HOUSE AGENT SERVICES- LSM 73</t>
  </si>
  <si>
    <t>DIAPHRAGM PUMP- THREE-COLOR PRINTING EQUIPMENT</t>
  </si>
  <si>
    <t>FABRICATION WORK- THREE-COLOR PRINTING EQUIPMENT</t>
  </si>
  <si>
    <t>FREIGHT CHARGES - LSM 073</t>
  </si>
  <si>
    <t>GRINDING AND POLISHING- P&amp;M</t>
  </si>
  <si>
    <t>HOIST CRANE-2 TON</t>
  </si>
  <si>
    <t>INSTALLATION ERECTION . ALIGNMENT CHARGES</t>
  </si>
  <si>
    <t>NEW EQUIPMENT- THREE-COLOR PRINTING EQUIPMENT</t>
  </si>
  <si>
    <t>PLANT &amp; MACHINERY - THREE-COLOR PRINTING EQUIPMENT</t>
  </si>
  <si>
    <t>REPAIR AND MAINTAINANCE- GST-BUILDING</t>
  </si>
  <si>
    <t>SHIPPING CHARGES - LSM - 073</t>
  </si>
  <si>
    <t>STAMP DUTY - LSM 73</t>
  </si>
  <si>
    <t>TRANSPORTATION CHARGES - LSM 073</t>
  </si>
  <si>
    <t>TROLLEY MONORAIL 2 TON</t>
  </si>
  <si>
    <t>AIR VENTILATOR FAN</t>
  </si>
  <si>
    <t>CANON XEROX MACHINE</t>
  </si>
  <si>
    <t>COIL WEIGHING SYSTEM</t>
  </si>
  <si>
    <t>Container Handling Services- 549</t>
  </si>
  <si>
    <t>CUSTOM DUTY - MACHIN</t>
  </si>
  <si>
    <t>DEPRICIATION -PLANT &amp; MACHINERY</t>
  </si>
  <si>
    <t>DIAPHRAGM PUMP</t>
  </si>
  <si>
    <t>ELEC GENERATORS SET</t>
  </si>
  <si>
    <t>ELECTRICAL WORK</t>
  </si>
  <si>
    <t>ELECTRIC ASSESSORIES- F</t>
  </si>
  <si>
    <t>ELECTRIC HOIST WITH POWER FEEDING CABLE</t>
  </si>
  <si>
    <t>ELECTRICITY EXP (PLANT &amp; MACHINERY)</t>
  </si>
  <si>
    <t>Electronic Accessories and Fiting</t>
  </si>
  <si>
    <t>Electronic Accessories- F</t>
  </si>
  <si>
    <t>Electronic Accessories- GST- F</t>
  </si>
  <si>
    <t>ENERGY EFFICIENCY TRANSFORMER</t>
  </si>
  <si>
    <t>ENGINEERING ADV SERVICES (PLANT &amp; MACHINERY)</t>
  </si>
  <si>
    <t>EOT CRANE</t>
  </si>
  <si>
    <t>EOT CRANE- 12.5TON DOUBLE GIRDER</t>
  </si>
  <si>
    <t>EOT CRANE 7.5 MT</t>
  </si>
  <si>
    <t>FABRICATION WORK</t>
  </si>
  <si>
    <t>FABRICATION WORK- F</t>
  </si>
  <si>
    <t>FACTORY STRUCTURE WORK</t>
  </si>
  <si>
    <t>FORIEGN TRAVELLING EXP</t>
  </si>
  <si>
    <t>GAS METER AND CONNECTION CHARGES</t>
  </si>
  <si>
    <t>HARDWARE ITEM- F</t>
  </si>
  <si>
    <t>HYDRAULIC MOBILE CRANE</t>
  </si>
  <si>
    <t>INSTALLATION CHARGES-</t>
  </si>
  <si>
    <t>INSURANCE ON MACHINERY</t>
  </si>
  <si>
    <t>INTEREST OF CUSTOM DUTY- F</t>
  </si>
  <si>
    <t>LATHE MACHINE</t>
  </si>
  <si>
    <t>LEGAL AND PROFESSIONAL CHARGES - GST- XX</t>
  </si>
  <si>
    <t>LEGAL &amp; PROFESSIONAL FEES ( PLANT &amp; MACHINERY)</t>
  </si>
  <si>
    <t>LUBRICATING OIL</t>
  </si>
  <si>
    <t>MACHINE - COLOR COATING LINE</t>
  </si>
  <si>
    <t>MACHINE PRINTING</t>
  </si>
  <si>
    <t>MACHINE WORK- GST-F</t>
  </si>
  <si>
    <t>MACHIN FOUNDATION WORK</t>
  </si>
  <si>
    <t>MACHIN FOUNDATION WORK- NON GST</t>
  </si>
  <si>
    <t>MACHIN STRUCTURE WORK</t>
  </si>
  <si>
    <t>MACHIN STRUCTURE WORK- GST</t>
  </si>
  <si>
    <t>MECHANICAL ITEM</t>
  </si>
  <si>
    <t>MONORAIL</t>
  </si>
  <si>
    <t>NEW EQUIPMENT</t>
  </si>
  <si>
    <t xml:space="preserve">Other Services N.E.C.	</t>
  </si>
  <si>
    <t>PIPE LAYING WORK</t>
  </si>
  <si>
    <t>Plant &amp; Machinery ( General FA)</t>
  </si>
  <si>
    <t>PROFILE MACHINE</t>
  </si>
  <si>
    <t>PROJECT TERM LOAN - PMC BANK- INTEREST- [X]</t>
  </si>
  <si>
    <t>PURCHASE OF FORKLIFT</t>
  </si>
  <si>
    <t>PURCHASE PART OF MACHINERY</t>
  </si>
  <si>
    <t>REPAIR AND MAINTAINANCE- GST- F</t>
  </si>
  <si>
    <t>REPAIR AND MAINTAINANCE- GST- INELIGIBLE- F</t>
  </si>
  <si>
    <t>SINGALE LAYER MACHIN</t>
  </si>
  <si>
    <t>STAMP DUTY / REGISTRATION CHGS (PLANT &amp; MACHINERY)</t>
  </si>
  <si>
    <t>UPS (18%)</t>
  </si>
  <si>
    <t>VERTICAL MS REVEIVER TANK</t>
  </si>
  <si>
    <t>WELDING MACHIN</t>
  </si>
  <si>
    <t>CEMENT- ROAD REPAIR</t>
  </si>
  <si>
    <t>DEPRICIATION -ROAD</t>
  </si>
  <si>
    <t>ROAD REPAIRE RELATED EXPENSES</t>
  </si>
  <si>
    <t>MOTOR CAR - FORD ENDEVOUR</t>
  </si>
  <si>
    <t>MOTOR CAR -HONA AMAZE</t>
  </si>
  <si>
    <t>MOTOR CAR (MERCEDES-BENZ)</t>
  </si>
  <si>
    <t>MOTOR CAR ( XCENT )</t>
  </si>
  <si>
    <t>HEAT EXCHANGER</t>
  </si>
  <si>
    <t>PRINTER -EPSON</t>
  </si>
  <si>
    <t>JSW STEEL LTD</t>
  </si>
  <si>
    <t>PROVISION FOR DIMUNIATION IN VALUE OF INVESTMENTS</t>
  </si>
  <si>
    <t>SH- LATIM LIFESTYLE</t>
  </si>
  <si>
    <t>SH-LLOYD METAL</t>
  </si>
  <si>
    <t>SH-LLOYD STEEL</t>
  </si>
  <si>
    <t>SH-PMC BANK</t>
  </si>
  <si>
    <t>SH-SHREE RENUKA SUGARS LTD</t>
  </si>
  <si>
    <t>SH-UTTAM GALVA STEELS LTD</t>
  </si>
  <si>
    <t>SH-UTTAM VALUE STEEL</t>
  </si>
  <si>
    <t>TATA STEEL LTD</t>
  </si>
  <si>
    <t>VEDANTA LTD</t>
  </si>
  <si>
    <t>SECURITY DEPOSIT</t>
  </si>
  <si>
    <t>SECURITY DEPOSIT - AARON LMK 105</t>
  </si>
  <si>
    <t>DEPOSIT -CUSTOM</t>
  </si>
  <si>
    <t>DEPOSIT ( CYLINDER)</t>
  </si>
  <si>
    <t>DEPOSIT - D HARIKRISHAN</t>
  </si>
  <si>
    <t>DEPOSITE- GUJRAT GAS LTD</t>
  </si>
  <si>
    <t>DEPOSIT FOR CUSTOM APPEAL</t>
  </si>
  <si>
    <t>DEPOSIT- GODOWN</t>
  </si>
  <si>
    <t>DEPOSIT-JSW STEEL</t>
  </si>
  <si>
    <t>DEPOSIT- KERLA BRANCH</t>
  </si>
  <si>
    <t>DEPOSIT - LENNA DENIM LTD</t>
  </si>
  <si>
    <t>DEPOSIT - LPG</t>
  </si>
  <si>
    <t>DEPOSIT- PEN</t>
  </si>
  <si>
    <t>DEPOSIT-ROSH</t>
  </si>
  <si>
    <t>DEPOSITS- DGVCL</t>
  </si>
  <si>
    <t>FD COCHIN BRANCH</t>
  </si>
  <si>
    <t>FD COCHIN ( FIVE YEARS MATUR ON 11.09.2020)</t>
  </si>
  <si>
    <t>MGO CAUTION MONEY DEPOSIT</t>
  </si>
  <si>
    <t>PRE DEPOSIT CUSTOM</t>
  </si>
  <si>
    <t>SECURITY DEPOSITE- DGVCL</t>
  </si>
  <si>
    <t>DEPOSIT</t>
  </si>
  <si>
    <t>DEPOSITS (KERALA BRANCH)</t>
  </si>
  <si>
    <t>SELF ASSESSMENT TAX [ F Y</t>
  </si>
  <si>
    <t>TDS ON DIVIDEND</t>
  </si>
  <si>
    <t>TDS ON DIVIDEND RECD</t>
  </si>
  <si>
    <t>TDS ON FD INTEREST</t>
  </si>
  <si>
    <t>TDS ON FD INT F.Y.2019-20 (PMC BANK)</t>
  </si>
  <si>
    <t>TDS ON FD  INT UBI</t>
  </si>
  <si>
    <t>INCOME TAX PAID -LS</t>
  </si>
  <si>
    <t>SELF ASSESMENT TAX ( F.Y</t>
  </si>
  <si>
    <t>TDS ON INTEREST-LS</t>
  </si>
  <si>
    <t>STAFF ADVANCE - MILIND SANGLE</t>
  </si>
  <si>
    <t>STAFF ADVANCE - NEHALI SALVI</t>
  </si>
  <si>
    <t>STAFF ADVANCE - RAJKUMAR</t>
  </si>
  <si>
    <t>STAFF ADVANCE - ROSHAN</t>
  </si>
  <si>
    <t>STAFF ADVANCE - SAVITA</t>
  </si>
  <si>
    <t>STAFF ADV - HIMANSHU SAINI</t>
  </si>
  <si>
    <t>STAFF ADV -  PRADEEP RAMCHAN</t>
  </si>
  <si>
    <t>STAFF ADV - SUNIL RAVAL</t>
  </si>
  <si>
    <t>STAFF ADV - YOGESHKUMAR BHATT</t>
  </si>
  <si>
    <t>STAFF ADVANCES</t>
  </si>
  <si>
    <t>ADVANCE - RAJKUMAR</t>
  </si>
  <si>
    <t>ADVANCE - RMT</t>
  </si>
  <si>
    <t>ADVANCE - SAVITA</t>
  </si>
  <si>
    <t>STAFF ADV-NEHALI</t>
  </si>
  <si>
    <t>CUSTOM DUTY PAID UNDER PROTEST</t>
  </si>
  <si>
    <t>PREPAID EXPENSES</t>
  </si>
  <si>
    <t>TDS ON INTEREST RECEIVABLE</t>
  </si>
  <si>
    <t>TDS RECEVIABLE</t>
  </si>
  <si>
    <t>BASSEIN CATHOLIC CO.OP BANK LTD.</t>
  </si>
  <si>
    <t>DOMBIVALI NAGARI SAH BANK LTD- CD /549</t>
  </si>
  <si>
    <t>FDR NO:  319703030715980</t>
  </si>
  <si>
    <t>FDR NO:  319703230003684</t>
  </si>
  <si>
    <t>FDR NO. 319703230002865</t>
  </si>
  <si>
    <t>HDFC BANK -02272320003296</t>
  </si>
  <si>
    <t>ICICI BANK  LTD-.001105031009</t>
  </si>
  <si>
    <t>ICICI BANK LTD SL DEPOSIT</t>
  </si>
  <si>
    <t>PMC BANK  A/C NO.032110100000018</t>
  </si>
  <si>
    <t>THE UNION BANK OF INDIA 22057</t>
  </si>
  <si>
    <t>INPUT - GST</t>
  </si>
  <si>
    <t>TAX PAID ON URD</t>
  </si>
  <si>
    <t>SWS RECEIVABLE</t>
  </si>
  <si>
    <t>SWS RECEIVABLE-CHENNAI PORT</t>
  </si>
  <si>
    <t>SWS RECEIVABLE-COCHIN PORT</t>
  </si>
  <si>
    <t>SWS RECEIVABLE-MUMBAI PORT</t>
  </si>
  <si>
    <t>SWS RECEIVABLE-MUNDRA PORT</t>
  </si>
  <si>
    <t>SWS RECEIVABLE-NHAVA SHEVA PORT</t>
  </si>
  <si>
    <t>SWS RECEIVABLE-NHAVA SHEVA PORT-LS</t>
  </si>
  <si>
    <t>SWS RECEIVABLE-TUMB PORT</t>
  </si>
  <si>
    <t>SWS RECEIVABLE-VIZAG PORT</t>
  </si>
  <si>
    <t>TCS RECEIVABLE- FROM -01.04.2021 ( 0.1%)</t>
  </si>
  <si>
    <t>TCS RECEIVABLE - FROM 01.04.2021 (0.1%)LS</t>
  </si>
  <si>
    <t>TCS RECEIVABLE - FROM 01.10.2020</t>
  </si>
  <si>
    <t>TDS ON GOODS (194Q) -SALE-LS</t>
  </si>
  <si>
    <t>TDS ON GOODS [194Q]- SALE- F Y 2023-24</t>
  </si>
  <si>
    <t>ACCRUED INTEREST ON ICICI FD-LS</t>
  </si>
  <si>
    <t>ACCRUED INTEREST  ON MARGIN MONEY</t>
  </si>
  <si>
    <t>ACCURED INTEREST ON ICICI FD</t>
  </si>
  <si>
    <t>DEFFERED TAX ASSETS-LS</t>
  </si>
  <si>
    <t>INTEREST RECEIVABLE</t>
  </si>
  <si>
    <t>LAND PURCHASE ASHRE</t>
  </si>
  <si>
    <t>LAND PURCHASE ( ASHRE LAND LS)</t>
  </si>
  <si>
    <t>LAND PURCHASED-WAFEGHAR/ VEDSAI/WAGHOSHI</t>
  </si>
  <si>
    <t>TDS RECEIVABLE</t>
  </si>
  <si>
    <t>CHENNAI</t>
  </si>
  <si>
    <t>COCHIN BRANCH-LM</t>
  </si>
  <si>
    <t>LATIM METAL CHENNAI BRANCH</t>
  </si>
  <si>
    <t>LATIM METAL COCHIN BRANCH</t>
  </si>
  <si>
    <t>LATIM METAL HEAD OFFICE</t>
  </si>
  <si>
    <t>LATIM METAL UMBERGAON</t>
  </si>
  <si>
    <t>LATIM SOURCING CHENNAI BRANCH</t>
  </si>
  <si>
    <t>LATIM SOURCING COCHIN BRANCH</t>
  </si>
  <si>
    <t>LATIM SOURCING -HEAD OFFICE</t>
  </si>
  <si>
    <t>LATIM SOURCING UMBERGAON</t>
  </si>
  <si>
    <t>UMBERGAON</t>
  </si>
  <si>
    <t>FRIGHT COST - Sale</t>
  </si>
  <si>
    <t>SALE OF LAND - VEDSAI / WAFEGHAR / WAGOSHI</t>
  </si>
  <si>
    <t>STOCK INSURANCE-SALE</t>
  </si>
  <si>
    <t>INTERSTATE PURCHASE</t>
  </si>
  <si>
    <t>LATE PAYMENT</t>
  </si>
  <si>
    <t>WEIGHT DIFFERENCE-PUR</t>
  </si>
  <si>
    <t>PURCHASE OF PART MACHINERY</t>
  </si>
  <si>
    <t>LONG TERM PROFIT ON SALE OF SHARES</t>
  </si>
  <si>
    <t>SWS REFUND RECEIVABLE- NHAVA SHEVA PORT</t>
  </si>
  <si>
    <t>PRINTING &amp; STATIONERY</t>
  </si>
  <si>
    <t>MAINTENANCE (NAVKAR PLAZA 201) - NON GST</t>
  </si>
  <si>
    <t>ADVERTISEMENT- GST</t>
  </si>
  <si>
    <t>COMMISSION -GST</t>
  </si>
  <si>
    <t>Commission-NON GST</t>
  </si>
  <si>
    <t>TELEPHONE EXP.</t>
  </si>
  <si>
    <t>TELEPHONE EXP- GST</t>
  </si>
  <si>
    <t>INTERNET CHARGES- GST</t>
  </si>
  <si>
    <t>TELEPHONE CHARGES - EXP-GST</t>
  </si>
  <si>
    <t>TELEPHONE CHARGES-NON GST</t>
  </si>
  <si>
    <t>COURIER CHARGES - IND</t>
  </si>
  <si>
    <t>AD CODE REGISTRATION CHARGES</t>
  </si>
  <si>
    <t>CFS+ TRANSPORTATION CHARGES - EXP 01</t>
  </si>
  <si>
    <t>CONTAINER INSURANCE CHARGES - EX 01</t>
  </si>
  <si>
    <t>CONTAINER TREATMENT CHARGES  - EXP 01</t>
  </si>
  <si>
    <t>CUSTOM HOUSE AGENT SERVICES- EX 01</t>
  </si>
  <si>
    <t>CUSTOM HOUSE AGENT SERVICES EXP 01</t>
  </si>
  <si>
    <t>EXAMINATION LOADING &amp; UNLOADING CHARGES</t>
  </si>
  <si>
    <t>EXPORT OCEAN FREIGHT EXP 01</t>
  </si>
  <si>
    <t>INTEREST ON OVERDRAFT-ICICI</t>
  </si>
  <si>
    <t>MSME INTEREST</t>
  </si>
  <si>
    <t>PENALTY</t>
  </si>
  <si>
    <t>GST &amp; OTHER EXP</t>
  </si>
  <si>
    <t>INTEREST ON CUTOM DUTY</t>
  </si>
  <si>
    <t>INTEREST ON FUNDED TERM LOAN - 521000022</t>
  </si>
  <si>
    <t>INTEREST ON FUNDED TERM LOAN - 52100007</t>
  </si>
  <si>
    <t>INTEREST ON HIRING CHGS ( FORD ENDVOUR)</t>
  </si>
  <si>
    <t>INTEREST ON HIRING CHGS ( HONDA AMAZE)</t>
  </si>
  <si>
    <t>INTEREST ON LC TERM LOAN</t>
  </si>
  <si>
    <t>INTEREST ON OVERDRAFT</t>
  </si>
  <si>
    <t>AUDIT FEES-LS</t>
  </si>
  <si>
    <t>LEGAL &amp; PROFESSIONAL CHARGES</t>
  </si>
  <si>
    <t>LEGAL &amp; PROFESSIONAL CHARGES- GST</t>
  </si>
  <si>
    <t>AUDITORS REMUNERATION</t>
  </si>
  <si>
    <t>LEGAL AND PROFESSIONAL CHARGES - GST</t>
  </si>
  <si>
    <t>R.O.C FILLING FEES</t>
  </si>
  <si>
    <t>MISC EXPENSES</t>
  </si>
  <si>
    <t>ROUNDED OFF DIFFERENCES</t>
  </si>
  <si>
    <t>FASTTAG EXPENSES</t>
  </si>
  <si>
    <t>OFFICE EXPENSES- GST</t>
  </si>
  <si>
    <t>PRINTING &amp; STATIONARY- NON GST</t>
  </si>
  <si>
    <t>RENT-IND</t>
  </si>
  <si>
    <t>RENT IND AS</t>
  </si>
  <si>
    <t>GRINDING AND POLISHING- EXP</t>
  </si>
  <si>
    <t>REPAIR AND MAINTAINANCE- GST</t>
  </si>
  <si>
    <t>REPAIRS &amp; MAINTENANCE</t>
  </si>
  <si>
    <t>REPAIRS &amp; MAINTENANCE - AMC</t>
  </si>
  <si>
    <t>REPAIRS &amp; MAINTENANCE- GST</t>
  </si>
  <si>
    <t>ADMINISTRATIVE CHARGES (P.F)</t>
  </si>
  <si>
    <t>COS.CONT.TO ESI-3.25%</t>
  </si>
  <si>
    <t>COS.CONT.TO P.F.</t>
  </si>
  <si>
    <t>DIRECTOR'S REMUNARATION ( KMT)</t>
  </si>
  <si>
    <t>DIRECTOR'S REMUNARATION ( PARTH)</t>
  </si>
  <si>
    <t>DIRECTOR'S REMUNARATION ( RMT)</t>
  </si>
  <si>
    <t>LEAVE ENCASHMENT -IND</t>
  </si>
  <si>
    <t>SALARIES &amp; BONUS</t>
  </si>
  <si>
    <t>SALARY - ALMITRA</t>
  </si>
  <si>
    <t>SALARY - EXTRA DUTY</t>
  </si>
  <si>
    <t>SALARY -J K MIMANI</t>
  </si>
  <si>
    <t>SALARY - KARNA K TIMBADIA</t>
  </si>
  <si>
    <t>SALARY - RADHIKA TIMBADIA</t>
  </si>
  <si>
    <t>STAFF MEDICALAIM INSURANCE</t>
  </si>
  <si>
    <t>SALARY - ALMITRA TIMBADIA</t>
  </si>
  <si>
    <t>SALARY - KARNA TIMBADIA</t>
  </si>
  <si>
    <t>SALARY - PARTH TIMBADIA</t>
  </si>
  <si>
    <t>STAFF WELFARE- EXP</t>
  </si>
  <si>
    <t>TRANSPORTATION CHARGES -INDIRECT EXP</t>
  </si>
  <si>
    <t>COMMON CREDIT REVERSAL- GST SEC 42 &amp; 43</t>
  </si>
  <si>
    <t>EXIHIBITION EXPENSES</t>
  </si>
  <si>
    <t>FACTORY EXP - INDIRECT</t>
  </si>
  <si>
    <t>FOREIGN TRAVELLING EXP</t>
  </si>
  <si>
    <t>FRIGHT COST - INDIRECT EXP</t>
  </si>
  <si>
    <t>REGISTRATION FEES FOR ICEGATE</t>
  </si>
  <si>
    <t xml:space="preserve">Particulars </t>
  </si>
  <si>
    <t>Metal - Cochin</t>
  </si>
  <si>
    <t>Metal - HO</t>
  </si>
  <si>
    <t>Metal - Umbergaon</t>
  </si>
  <si>
    <t>Sourcing - Chennai</t>
  </si>
  <si>
    <t>Sourcing -HO</t>
  </si>
  <si>
    <t>Sourcing - Jaipur</t>
  </si>
  <si>
    <t>Ashre Land</t>
  </si>
  <si>
    <t>Hedvali Land</t>
  </si>
  <si>
    <t xml:space="preserve">Ashre - LS </t>
  </si>
  <si>
    <t xml:space="preserve">TALA INDUSRIAL </t>
  </si>
  <si>
    <t xml:space="preserve">WAVE TARFE HAVELI </t>
  </si>
  <si>
    <t>GST Receivable</t>
  </si>
  <si>
    <t>Taxes Payable</t>
  </si>
  <si>
    <t xml:space="preserve">Branch </t>
  </si>
  <si>
    <t>Metal -HO</t>
  </si>
  <si>
    <t>Cochin- Metal</t>
  </si>
  <si>
    <t>Sourcing - Cochin</t>
  </si>
  <si>
    <t>Sourcing - HO</t>
  </si>
  <si>
    <t>Sourcing - Umbergaon</t>
  </si>
  <si>
    <t xml:space="preserve">Advance to Vendors </t>
  </si>
  <si>
    <t>Metal - Chennai</t>
  </si>
  <si>
    <t>Sourcing - ho</t>
  </si>
  <si>
    <t>In Lakhs</t>
  </si>
  <si>
    <t>Full Figure</t>
  </si>
  <si>
    <t>Final Working</t>
  </si>
  <si>
    <t>(of Rs. 1/- each) (not annualized):</t>
  </si>
  <si>
    <t>Statement of Assets and Liabilities</t>
  </si>
  <si>
    <t>Half year ended 30.09.2023
(Unaudited)</t>
  </si>
  <si>
    <t>(Rs. in Lakhs)</t>
  </si>
  <si>
    <t>11</t>
  </si>
  <si>
    <t>Paid Up Equity share capital (face value of Rs. 1/-)</t>
  </si>
  <si>
    <t>Sr. No.</t>
  </si>
  <si>
    <t>30.06.2024</t>
  </si>
  <si>
    <t xml:space="preserve">(Unaudited)
</t>
  </si>
  <si>
    <t xml:space="preserve">(Audited)
</t>
  </si>
  <si>
    <t>30.09.2024</t>
  </si>
  <si>
    <t>31.03.2024</t>
  </si>
  <si>
    <t>Taken from letter of offer</t>
  </si>
  <si>
    <t>Last date for application of right 29th January 2024</t>
  </si>
  <si>
    <t>Formula for theoretical ex-price of share:-</t>
  </si>
  <si>
    <t>Total Right Amount :- 8.5</t>
  </si>
  <si>
    <t>(Fair value of all outstanding shares immediately prior to the exercise of right + Total amount received from exercise)/No of shares O.S prior to exercise+No of shares issued in exercise.</t>
  </si>
  <si>
    <t>Latim Metal Limited Right issue working</t>
  </si>
  <si>
    <t>Taken from Books of Accounts</t>
  </si>
  <si>
    <t>Amount Called on First call:-4.25</t>
  </si>
  <si>
    <t>Theoretical ex-price of share</t>
  </si>
  <si>
    <t>Amount to be called on Second Call:- 4.25</t>
  </si>
  <si>
    <t xml:space="preserve">St-1 </t>
  </si>
  <si>
    <t xml:space="preserve">Firstly we need to determine the theortical Ex- Price of the share </t>
  </si>
  <si>
    <t xml:space="preserve">Right issue price </t>
  </si>
  <si>
    <t xml:space="preserve">Shares O.S prior to right issue:- </t>
  </si>
  <si>
    <t>Shares in right issue:-</t>
  </si>
  <si>
    <t>Cum price on 06-Feb-2024 (Deemed date of allotment)</t>
  </si>
  <si>
    <t>As per BSE records</t>
  </si>
  <si>
    <t xml:space="preserve">Taken from Exchange </t>
  </si>
  <si>
    <t>Ex Price (Theoritical)</t>
  </si>
  <si>
    <t xml:space="preserve">St-2 </t>
  </si>
  <si>
    <t>Now, we need to determine the Bonus factor for restatement of EPS as the issue is an right issue</t>
  </si>
  <si>
    <t>Adjustment Factor</t>
  </si>
  <si>
    <t>Formula for bonus/adjustment factor:-</t>
  </si>
  <si>
    <t>Total Shares Outstanding  (A)</t>
  </si>
  <si>
    <t>(Fair value per share prior to exercise of rights/Theoretical ex-rights value per share)</t>
  </si>
  <si>
    <t>Adjustment Factor (B)</t>
  </si>
  <si>
    <t>Adjusted no of Equity Shares</t>
  </si>
  <si>
    <t>St-3</t>
  </si>
  <si>
    <t>For determining EPS of FY 23-24</t>
  </si>
  <si>
    <t>Bonus Component</t>
  </si>
  <si>
    <t xml:space="preserve">Formula for EPS:- </t>
  </si>
  <si>
    <t>Net profit during the year/No. of Shares</t>
  </si>
  <si>
    <t xml:space="preserve">To be considerd as Fresh issue </t>
  </si>
  <si>
    <t>WANES for Q1 (FY 24-25)</t>
  </si>
  <si>
    <t>Calculation for weighted average equity shares as on 31/03/2024:-</t>
  </si>
  <si>
    <t>Calculation for weighted average equity shares as on 31/03/2023:-</t>
  </si>
  <si>
    <t>No of shares</t>
  </si>
  <si>
    <t>Face Value (Weight)</t>
  </si>
  <si>
    <t>Date of receipt of funds</t>
  </si>
  <si>
    <t>No of days</t>
  </si>
  <si>
    <t>Weighted avg</t>
  </si>
  <si>
    <t>Shares</t>
  </si>
  <si>
    <t xml:space="preserve">Paid up share </t>
  </si>
  <si>
    <t>Weights (Duration)</t>
  </si>
  <si>
    <t>Wanes</t>
  </si>
  <si>
    <t>Outstanding shares as on 01/04/2023</t>
  </si>
  <si>
    <t>Fresh Issue 1</t>
  </si>
  <si>
    <t>Bonus Component (Outstanding from the eariliest reporting period)</t>
  </si>
  <si>
    <t>Fresh Issue 2</t>
  </si>
  <si>
    <t>Fresh Issues (7 Feb 2024)</t>
  </si>
  <si>
    <t>54 Days</t>
  </si>
  <si>
    <t>Total WANES</t>
  </si>
  <si>
    <t>WANES for calculating EPS for Q 1</t>
  </si>
  <si>
    <t>In Lakh's</t>
  </si>
  <si>
    <t>For year ended 31st March 2024</t>
  </si>
  <si>
    <t>For Quarter ended 31st March 2024</t>
  </si>
  <si>
    <t xml:space="preserve">Net profit before consideration of Right issue expense </t>
  </si>
  <si>
    <t>Less:- Expenses pertaining to Right Issue</t>
  </si>
  <si>
    <t xml:space="preserve">Net profit after consideration of Right issue expense </t>
  </si>
  <si>
    <t>Basic EPS for year ended 31st March 2024</t>
  </si>
  <si>
    <t>Diluted EPS for year ended 31st March 2024</t>
  </si>
  <si>
    <t>For year ended 31st March 2023</t>
  </si>
  <si>
    <t>For Quarter ended 31st December 2023</t>
  </si>
  <si>
    <t>Paid Up Share Capital</t>
  </si>
  <si>
    <t>EPS Q1</t>
  </si>
  <si>
    <t>Basic EPS for year ended 31st March 2023</t>
  </si>
  <si>
    <t>Diluted EPS for year ended 31st March 2023</t>
  </si>
  <si>
    <t>For Quarter ended 31st March 2023</t>
  </si>
  <si>
    <t>For Quarter ended 30th June 2023</t>
  </si>
  <si>
    <t>Basic EPS for year ended 30th June 2023</t>
  </si>
  <si>
    <t>Diluted EPS for year ended 30th June 2023</t>
  </si>
  <si>
    <t>For Quarter ended 30th Sep 2023</t>
  </si>
  <si>
    <t>For Six Month ended on  30th Sep 2023</t>
  </si>
  <si>
    <t xml:space="preserve">As at 31/03/2024
(Audited)
</t>
  </si>
  <si>
    <t>Cash Flow Statement for the half year ended 30th September, 2024</t>
  </si>
  <si>
    <t>Date: 14th November 2024</t>
  </si>
  <si>
    <t>Half year ended 30.09.2024
(Unaudited)</t>
  </si>
  <si>
    <t xml:space="preserve">As at 30/09/2024
(Unaudited)
</t>
  </si>
  <si>
    <t>Loan (repaid) during the year</t>
  </si>
  <si>
    <t xml:space="preserve">Current </t>
  </si>
  <si>
    <t xml:space="preserve">Non Current </t>
  </si>
  <si>
    <t>Aditya Birla Finanace Limited</t>
  </si>
  <si>
    <t>Hundai Creta</t>
  </si>
  <si>
    <t>Honda Jazz</t>
  </si>
  <si>
    <t xml:space="preserve">Particular </t>
  </si>
  <si>
    <t xml:space="preserve">Amount </t>
  </si>
  <si>
    <t>Trade Receivable</t>
  </si>
  <si>
    <t xml:space="preserve">Advance from Customer </t>
  </si>
  <si>
    <t>Advance to Vendors</t>
  </si>
  <si>
    <t>Ho</t>
  </si>
  <si>
    <t>Particular</t>
  </si>
  <si>
    <t>Sundry Creditors-non msme</t>
  </si>
  <si>
    <t>Sundry Creditors-Msme</t>
  </si>
  <si>
    <t>Unamortized Cost ( Loan)</t>
  </si>
  <si>
    <t>Lease Liab</t>
  </si>
  <si>
    <t>Non Current</t>
  </si>
  <si>
    <t>Gratuity Provision - Non Current</t>
  </si>
  <si>
    <t xml:space="preserve">Provision Cuuent </t>
  </si>
  <si>
    <t>che</t>
  </si>
  <si>
    <t>coc</t>
  </si>
  <si>
    <t>umber</t>
  </si>
  <si>
    <t>Wanes as on 30/06/2024</t>
  </si>
  <si>
    <t>Wanes as on 31/03/2024</t>
  </si>
  <si>
    <t>WANES for Q2 (FY 24-25)</t>
  </si>
  <si>
    <t>Total Days in Q2</t>
  </si>
  <si>
    <t>Whether O/S from opening</t>
  </si>
  <si>
    <t>Yes</t>
  </si>
  <si>
    <t>Fresh Issue 1 (Receipts during Q1)</t>
  </si>
  <si>
    <t>Fresh Issue 2 (Receipt during Q2)</t>
  </si>
  <si>
    <t>No</t>
  </si>
  <si>
    <t>WANES for calculating EPS for Q 2</t>
  </si>
  <si>
    <t>WANES  (01.04.2024-30.09.204)</t>
  </si>
  <si>
    <t xml:space="preserve">Total Days </t>
  </si>
  <si>
    <t>WANES for calculating EPS for the period 01/04/2024-30/09/2024</t>
  </si>
  <si>
    <t>Shares on which call money was not received as on 30/06/2024</t>
  </si>
  <si>
    <t>Shares on which call money was not received as on 30/09/2024</t>
  </si>
  <si>
    <t>For Quarter Ended 30th Sep 2024</t>
  </si>
  <si>
    <t>For Six Month  Ended 30th Sep 2024</t>
  </si>
  <si>
    <t>Earning per share of Rs. 1/- each</t>
  </si>
  <si>
    <t xml:space="preserve"> Year ended on 31/03/2024
(Audited)</t>
  </si>
  <si>
    <t>As at 30/09/2024
(Unaudited)</t>
  </si>
  <si>
    <t>As at 31/03/2024
(Audited)</t>
  </si>
  <si>
    <t>Steel &amp; Steel Productes</t>
  </si>
  <si>
    <t xml:space="preserve">            Profit  on Sale of Vehicles</t>
  </si>
  <si>
    <t xml:space="preserve">            Profit on Sale of Shares/Mutual Funds </t>
  </si>
  <si>
    <t xml:space="preserve">Proceedings from Sales of  Shares/Mutual Fund </t>
  </si>
  <si>
    <t xml:space="preserve">Purchase of Shares/Mutual Fund </t>
  </si>
  <si>
    <t xml:space="preserve">Proceeds From Right Issue </t>
  </si>
  <si>
    <t>Nine Months Ended</t>
  </si>
  <si>
    <t>31.12.2023</t>
  </si>
  <si>
    <t>31.12.2024</t>
  </si>
  <si>
    <t>MISC EXP (EXP)</t>
  </si>
  <si>
    <t>LICENSE FESS- GPCB</t>
  </si>
  <si>
    <t>EXHIBITION EXPENSES</t>
  </si>
  <si>
    <t>Gross Profit c/o</t>
  </si>
  <si>
    <t>Gross Profit b/f</t>
  </si>
  <si>
    <t>CLOSING STOCK</t>
  </si>
  <si>
    <t>PURCHASE OF STEEL - LOCAL</t>
  </si>
  <si>
    <t>PURCHASE OF STEEL - INTERSTATE</t>
  </si>
  <si>
    <t>PURCHASE OF STEEL - IMPORT</t>
  </si>
  <si>
    <t>EXPORT 04</t>
  </si>
  <si>
    <t>INSURANCE [ PARTY] THE NEW INDIA ASSURANCE CO. LTD._x000D_
11170011240100000002</t>
  </si>
  <si>
    <t>1-Oct-24 to 31-Dec-24</t>
  </si>
  <si>
    <t>Telephone Charges -Gst</t>
  </si>
  <si>
    <t>Property Tax</t>
  </si>
  <si>
    <t>MISC EXP</t>
  </si>
  <si>
    <t>MEMBERSHIP FEES- GST</t>
  </si>
  <si>
    <t>INCOME TAX EXPENSES</t>
  </si>
  <si>
    <t>FOREIGN TRAVEL EXPENSES</t>
  </si>
  <si>
    <t>GAIN / LOSS  ON ADITYA BIRLA MONEY MANAGER FUND</t>
  </si>
  <si>
    <t>REPAIR AND MAINTENANCE</t>
  </si>
  <si>
    <t>FAIR VALUE GAIN ( LL)</t>
  </si>
  <si>
    <t>STOCK OF LAND AT BHAIRAV / KHANDPOLI</t>
  </si>
  <si>
    <t>STOCK OF LAND AT AVANDHE</t>
  </si>
  <si>
    <t>SOLAR TILE / FOR ROOF USE/ ALLOY STEEL</t>
  </si>
  <si>
    <t>STONE</t>
  </si>
  <si>
    <t>ASPHALT SHINGLE</t>
  </si>
  <si>
    <t>TRANSPORT CHARGES - INDIRECT EXP</t>
  </si>
  <si>
    <t>Loading Charges- Cr</t>
  </si>
  <si>
    <t>FREIGHT / TRANSPORT CHARGES</t>
  </si>
  <si>
    <t>IMPORT STEEL PURCHASE</t>
  </si>
  <si>
    <t>TRANSPORTATION CHARGES - IND EXP</t>
  </si>
  <si>
    <t>LEGAL AND PROFEESIOANL EXP</t>
  </si>
  <si>
    <t>PURCHASE OF STEELS - IMPORT</t>
  </si>
  <si>
    <t>ASPHALT</t>
  </si>
  <si>
    <t xml:space="preserve">RM </t>
  </si>
  <si>
    <t>FG</t>
  </si>
  <si>
    <t>OP.STOCK</t>
  </si>
  <si>
    <t>WANES for calculating EPS for the period 01/04/2024-31/12/2024</t>
  </si>
  <si>
    <t>WANES  (01.04.2024-31.12.2024)</t>
  </si>
  <si>
    <t>For Nine Month ended 31st December 2023</t>
  </si>
  <si>
    <t>WANES for calculating EPS for Q 3</t>
  </si>
  <si>
    <t>For Quarter Ended 31st Dec 2024</t>
  </si>
  <si>
    <t>For Nine Month  Ended 31st Dec 2024</t>
  </si>
  <si>
    <t>WANES for Q3 (FY 24-25)</t>
  </si>
  <si>
    <t>Basic EPS for Nine month ended 31st Dec 2024</t>
  </si>
  <si>
    <t>Diluted EPS for Nine Month ended 31st Dec 2024</t>
  </si>
  <si>
    <t>Basic EPS for Quarter Ended 31st Dec 2024</t>
  </si>
  <si>
    <t>Diluted EPS for Quarter Ended 31st Dec 2024</t>
  </si>
  <si>
    <t>Basic EPS for Nine month ended 31st Dec 2023</t>
  </si>
  <si>
    <t>Diluted EPS for Nine Month ended 31st Dec 2023</t>
  </si>
  <si>
    <r>
      <t xml:space="preserve">Statement of financial results for the quarter and nine month ended </t>
    </r>
    <r>
      <rPr>
        <b/>
        <sz val="11"/>
        <color theme="1"/>
        <rFont val="Calibri"/>
        <family val="2"/>
        <scheme val="minor"/>
      </rPr>
      <t>31st December, 2024</t>
    </r>
  </si>
  <si>
    <t>Nine Month ended</t>
  </si>
  <si>
    <t>Latim Metal Umargaon</t>
  </si>
  <si>
    <t>PUR</t>
  </si>
  <si>
    <t>Latim Metal Chennai</t>
  </si>
  <si>
    <t>Latim metals-HO</t>
  </si>
  <si>
    <t>Latim Metal Cochin</t>
  </si>
  <si>
    <t>SAL</t>
  </si>
  <si>
    <t>NA</t>
  </si>
  <si>
    <t>LSIPL-Jaipur</t>
  </si>
  <si>
    <t>LSIPL-Chennai</t>
  </si>
  <si>
    <t>LSIPL-Cochin</t>
  </si>
  <si>
    <t>LSIPL-HO</t>
  </si>
  <si>
    <t>LSIPL-Umargaon</t>
  </si>
  <si>
    <t>Branch</t>
  </si>
  <si>
    <t>La-Tim Metal</t>
  </si>
  <si>
    <t>N/A</t>
  </si>
  <si>
    <t>Latim metals - HO</t>
  </si>
  <si>
    <t>Latim metals</t>
  </si>
  <si>
    <t>La-Tim Sourcing</t>
  </si>
  <si>
    <t>Purchase-Sales &amp; Other Transactions</t>
  </si>
  <si>
    <t>DR</t>
  </si>
  <si>
    <t>CR</t>
  </si>
  <si>
    <t>Hyderabad Branch LS</t>
  </si>
  <si>
    <t>Latim metal Branch</t>
  </si>
  <si>
    <t xml:space="preserve">Branch Balances </t>
  </si>
  <si>
    <t>La-Tim metals</t>
  </si>
  <si>
    <t>Debtor/Creditor</t>
  </si>
  <si>
    <t>Debtors/creditor</t>
  </si>
  <si>
    <t>The above is an extract of the detailed format of quarter and nine month ended financial results filed with the Stock Exchanges under Regulation 33 of SEBI (Listing Obligations and Disclosure Requirements) Regulations, 2015. These financial results were reviewed by the Audit Committee, and were approved by the Board of Directors, in their respective meetings held on 14th February, 2025.</t>
  </si>
  <si>
    <t>Date: 14th February 2025</t>
  </si>
  <si>
    <r>
      <t>The above financial results were reviewed by the Audit Committee, and were approved by the Board of Directors, in their respective meetings held on 14</t>
    </r>
    <r>
      <rPr>
        <sz val="11"/>
        <color theme="1"/>
        <rFont val="Calibri"/>
        <family val="2"/>
        <scheme val="minor"/>
      </rPr>
      <t>th February, 2025</t>
    </r>
    <r>
      <rPr>
        <sz val="11"/>
        <rFont val="Calibri"/>
        <family val="2"/>
        <scheme val="minor"/>
      </rPr>
      <t>. In accordance with the Regulation 33 of SEBI  [Listing Obligation and Disclosure Requirements] Regulation, 2015, the Statutory Auditors of the company have carried out a "Limited Review" of the above results.</t>
    </r>
  </si>
  <si>
    <t xml:space="preserve">Quarter ended on 31/12/2024 (Unaudited)  </t>
  </si>
  <si>
    <t>Quarter ended on 30/09/2024
(Unaudited)</t>
  </si>
  <si>
    <t>Quarter ended on 31/12/2023
(Unaudited)</t>
  </si>
  <si>
    <t xml:space="preserve">Nine Months ended on 31/12/2024 (Unaudited)  </t>
  </si>
  <si>
    <t xml:space="preserve">Nine Months  ended on 31/12/2023 (Unaudited)  </t>
  </si>
  <si>
    <t>(Rs. in lakhs except earning per share)</t>
  </si>
  <si>
    <t>Statement of financial results for the quarter and nine months  ended 31st December, 2024</t>
  </si>
  <si>
    <t>The Company had, issued 4,41,57,150 equity shares of face value of Rs. 1/- each ('Right equity shares') to the eligible equity shareholders at an issue price of Rs. 8.5 per right equity share ( including premium of Rs.7.5 per right equity share). The right equity shares were issued as partly paid-up and an amount of Rs. 4.25 per right equity share was payable on application ( of which Rs. 0.5 towards face value of right equity shares and Rs.3.75 towards premium amount of right equity shares) &amp; Rs. 4.25 per equity share was payable on First &amp; Final Call ( of which Rs. 0.5 towards face value of right equity shares and Rs. 3.75 towards premium amount of right equity shares ) .
There is no deviation in use of proceeds from the objects stated in the offer document for rights issue.
Pursuant to Ind AS - 33, basic and diluted earnings per share for the previous periods have been restated for the bonus element in respect of right issue made.</t>
  </si>
  <si>
    <t xml:space="preserve">The company has two reporting segments which are bifurcated as follows:
1. Steel &amp; Steel Productes
2. Real Estate Development Activity
</t>
  </si>
  <si>
    <t>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</si>
</sst>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 #,##0.00_ ;_ * \-#,##0.00_ ;_ * &quot;-&quot;??_ ;_ @_ "/>
    <numFmt numFmtId="164" formatCode="_(* #,##0.00_);_(* \(#,##0.00\);_(* &quot;-&quot;??_);_(@_)"/>
    <numFmt numFmtId="165" formatCode="dd\/mm\/yyyy"/>
    <numFmt numFmtId="166" formatCode="0_);\(0\)"/>
    <numFmt numFmtId="167" formatCode="[$-409]mmm\-yy;@"/>
    <numFmt numFmtId="168" formatCode="[$-409]mmm/yy;@"/>
    <numFmt numFmtId="169" formatCode="_ * #,##0_ ;_ * \-#,##0_ ;_ * &quot;-&quot;??_ ;_ @_ "/>
    <numFmt numFmtId="170" formatCode="_(* #,##0_);_(* \(#,##0\);_(* &quot;-&quot;??_);_(@_)"/>
    <numFmt numFmtId="171" formatCode="&quot;£&quot;#,##0;[Red]\-&quot;£&quot;#,##0"/>
    <numFmt numFmtId="172" formatCode="_(* #,##0.000_);_(* \(#,##0.000\);_(* &quot;-&quot;??_);_(@_)"/>
    <numFmt numFmtId="173" formatCode="_(* #,##0.00_);_(* \(#,##0.00\);_(* \-??_);_(@_)"/>
    <numFmt numFmtId="174" formatCode="mmm\-yyyy"/>
    <numFmt numFmtId="175" formatCode="_(* #,##0_);_(* \(#,##0\);_(* \-??_);_(@_)"/>
    <numFmt numFmtId="176" formatCode="_([$€-2]* #,##0.00_);_([$€-2]* \(#,##0.00\);_([$€-2]* &quot;-&quot;??_)"/>
    <numFmt numFmtId="177" formatCode="0.00_);\(0.00\)"/>
    <numFmt numFmtId="178" formatCode="&quot;&quot;0"/>
    <numFmt numFmtId="179" formatCode="&quot;&quot;0.000"/>
    <numFmt numFmtId="180" formatCode="0.000"/>
    <numFmt numFmtId="181" formatCode="_-* #,##0_-;\-* #,##0_-;_-* &quot;-&quot;??_-;_-@_-"/>
    <numFmt numFmtId="182" formatCode="0.000_)"/>
    <numFmt numFmtId="183" formatCode="0.000000"/>
    <numFmt numFmtId="184" formatCode="0.00000000000000"/>
    <numFmt numFmtId="185" formatCode="&quot;&quot;0.000&quot; Cr&quot;"/>
    <numFmt numFmtId="186" formatCode="&quot;&quot;0.000&quot; Dr&quot;"/>
    <numFmt numFmtId="187" formatCode="&quot;&quot;0.00&quot; Cr&quot;"/>
    <numFmt numFmtId="188" formatCode="&quot;&quot;0.00"/>
    <numFmt numFmtId="189" formatCode="&quot;&quot;0.00&quot; Dr&quot;"/>
    <numFmt numFmtId="190" formatCode="0.0000000"/>
    <numFmt numFmtId="191" formatCode="0.00000000"/>
    <numFmt numFmtId="192" formatCode="0.0000"/>
  </numFmts>
  <fonts count="73">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9"/>
      <color rgb="FF000000"/>
      <name val="Calibri"/>
      <family val="2"/>
      <scheme val="minor"/>
    </font>
    <font>
      <b/>
      <sz val="9"/>
      <color theme="1"/>
      <name val="Calibri"/>
      <family val="2"/>
      <scheme val="minor"/>
    </font>
    <font>
      <b/>
      <vertAlign val="superscript"/>
      <sz val="9"/>
      <color rgb="FF000000"/>
      <name val="Calibri"/>
      <family val="2"/>
      <scheme val="minor"/>
    </font>
    <font>
      <sz val="9"/>
      <color rgb="FF000000"/>
      <name val="Calibri"/>
      <family val="2"/>
      <scheme val="minor"/>
    </font>
    <font>
      <sz val="9"/>
      <color theme="1"/>
      <name val="Calibri"/>
      <family val="2"/>
      <scheme val="minor"/>
    </font>
    <font>
      <sz val="9"/>
      <name val="Arial"/>
      <family val="2"/>
    </font>
    <font>
      <sz val="10"/>
      <name val="Courier"/>
      <family val="3"/>
    </font>
    <font>
      <b/>
      <sz val="9"/>
      <name val="Calibri"/>
      <family val="2"/>
      <scheme val="minor"/>
    </font>
    <font>
      <sz val="9"/>
      <name val="Calibri"/>
      <family val="2"/>
      <scheme val="minor"/>
    </font>
    <font>
      <sz val="10"/>
      <name val="Arial"/>
      <family val="2"/>
    </font>
    <font>
      <sz val="11"/>
      <color indexed="8"/>
      <name val="Calibri"/>
      <family val="2"/>
    </font>
    <font>
      <sz val="10"/>
      <name val="Times New Roman"/>
      <family val="1"/>
    </font>
    <font>
      <sz val="10"/>
      <color theme="1"/>
      <name val="garamond"/>
      <family val="2"/>
    </font>
    <font>
      <sz val="11"/>
      <name val="Calibri"/>
      <family val="2"/>
      <scheme val="minor"/>
    </font>
    <font>
      <b/>
      <sz val="11"/>
      <name val="Calibri"/>
      <family val="2"/>
      <scheme val="minor"/>
    </font>
    <font>
      <b/>
      <sz val="11"/>
      <color indexed="8"/>
      <name val="Calibri"/>
      <family val="2"/>
      <scheme val="minor"/>
    </font>
    <font>
      <sz val="11"/>
      <color indexed="8"/>
      <name val="Calibri"/>
      <family val="2"/>
      <scheme val="minor"/>
    </font>
    <font>
      <sz val="11"/>
      <color indexed="56"/>
      <name val="Calibri"/>
      <family val="2"/>
      <scheme val="minor"/>
    </font>
    <font>
      <b/>
      <u/>
      <sz val="11"/>
      <color theme="1"/>
      <name val="Calibri"/>
      <family val="2"/>
      <scheme val="minor"/>
    </font>
    <font>
      <b/>
      <sz val="10"/>
      <name val="Arial"/>
      <family val="2"/>
    </font>
    <font>
      <sz val="11"/>
      <name val="Times New Roman"/>
      <family val="1"/>
    </font>
    <font>
      <sz val="11"/>
      <name val="ＭＳ Ｐゴシック"/>
      <family val="3"/>
      <charset val="128"/>
    </font>
    <font>
      <u/>
      <sz val="11"/>
      <color indexed="12"/>
      <name val="Calibri"/>
      <family val="2"/>
    </font>
    <font>
      <u/>
      <sz val="10"/>
      <color indexed="12"/>
      <name val="Arial"/>
      <family val="2"/>
    </font>
    <font>
      <u/>
      <sz val="11"/>
      <color theme="10"/>
      <name val="Calibri"/>
      <family val="2"/>
    </font>
    <font>
      <sz val="10"/>
      <name val="Verdana"/>
      <family val="2"/>
    </font>
    <font>
      <b/>
      <sz val="9"/>
      <name val="Tahoma"/>
      <family val="2"/>
    </font>
    <font>
      <sz val="9"/>
      <name val="Tahoma"/>
      <family val="2"/>
    </font>
    <font>
      <sz val="8"/>
      <name val="Tahoma"/>
      <family val="2"/>
    </font>
    <font>
      <b/>
      <sz val="8"/>
      <color indexed="12"/>
      <name val="Tahoma"/>
      <family val="2"/>
    </font>
    <font>
      <sz val="10"/>
      <name val="Courier New"/>
      <family val="3"/>
    </font>
    <font>
      <b/>
      <sz val="10"/>
      <name val="Tahoma"/>
      <family val="2"/>
    </font>
    <font>
      <sz val="10"/>
      <name val="Tahoma"/>
      <family val="2"/>
    </font>
    <font>
      <b/>
      <sz val="10"/>
      <color indexed="12"/>
      <name val="Tahoma"/>
      <family val="2"/>
    </font>
    <font>
      <b/>
      <u/>
      <sz val="10"/>
      <color indexed="12"/>
      <name val="Tahoma"/>
      <family val="2"/>
    </font>
    <font>
      <sz val="10"/>
      <color indexed="9"/>
      <name val="Tahoma"/>
      <family val="2"/>
    </font>
    <font>
      <b/>
      <sz val="10"/>
      <color indexed="9"/>
      <name val="Tahoma"/>
      <family val="2"/>
    </font>
    <font>
      <sz val="10"/>
      <color theme="1"/>
      <name val="Tahoma"/>
      <family val="2"/>
    </font>
    <font>
      <sz val="9"/>
      <color indexed="9"/>
      <name val="Tahoma"/>
      <family val="2"/>
    </font>
    <font>
      <b/>
      <sz val="11"/>
      <color rgb="FFFF0000"/>
      <name val="Calibri"/>
      <family val="2"/>
      <scheme val="minor"/>
    </font>
    <font>
      <b/>
      <sz val="11"/>
      <color rgb="FF000000"/>
      <name val="Calibri"/>
      <family val="2"/>
      <scheme val="minor"/>
    </font>
    <font>
      <sz val="11"/>
      <color rgb="FF000000"/>
      <name val="Calibri"/>
      <family val="2"/>
      <scheme val="minor"/>
    </font>
    <font>
      <b/>
      <sz val="12"/>
      <color theme="1"/>
      <name val="Arial"/>
      <family val="2"/>
    </font>
    <font>
      <i/>
      <sz val="9"/>
      <color theme="1"/>
      <name val="Arial"/>
      <family val="2"/>
    </font>
    <font>
      <b/>
      <sz val="9"/>
      <color theme="1"/>
      <name val="Arial"/>
      <family val="2"/>
    </font>
    <font>
      <b/>
      <i/>
      <sz val="9"/>
      <color theme="1"/>
      <name val="Arial"/>
      <family val="2"/>
    </font>
    <font>
      <sz val="9"/>
      <color theme="1"/>
      <name val="Arial"/>
      <family val="2"/>
    </font>
    <font>
      <sz val="9"/>
      <color rgb="FFFF0000"/>
      <name val="Arial"/>
      <family val="2"/>
    </font>
    <font>
      <i/>
      <sz val="9"/>
      <color rgb="FFFF0000"/>
      <name val="Arial"/>
      <family val="2"/>
    </font>
    <font>
      <u/>
      <sz val="11"/>
      <color theme="1"/>
      <name val="Calibri"/>
      <family val="2"/>
      <scheme val="minor"/>
    </font>
    <font>
      <sz val="11"/>
      <color theme="0"/>
      <name val="Calibri"/>
      <family val="2"/>
      <scheme val="minor"/>
    </font>
    <font>
      <b/>
      <sz val="11"/>
      <color indexed="14"/>
      <name val="Calibri"/>
      <family val="2"/>
      <scheme val="minor"/>
    </font>
    <font>
      <sz val="11"/>
      <color indexed="14"/>
      <name val="Calibri"/>
      <family val="2"/>
      <scheme val="minor"/>
    </font>
    <font>
      <sz val="9"/>
      <color indexed="81"/>
      <name val="Tahoma"/>
      <family val="2"/>
    </font>
    <font>
      <b/>
      <sz val="9"/>
      <color indexed="81"/>
      <name val="Tahoma"/>
      <family val="2"/>
    </font>
    <font>
      <b/>
      <sz val="10"/>
      <color theme="1"/>
      <name val="Arial"/>
      <family val="2"/>
    </font>
    <font>
      <sz val="11"/>
      <color rgb="FFFF0000"/>
      <name val="Calibri"/>
      <family val="2"/>
      <scheme val="minor"/>
    </font>
    <font>
      <b/>
      <i/>
      <sz val="11"/>
      <color theme="1"/>
      <name val="Calibri"/>
      <family val="2"/>
      <scheme val="minor"/>
    </font>
    <font>
      <b/>
      <sz val="11"/>
      <color theme="0"/>
      <name val="Calibri"/>
      <family val="2"/>
      <scheme val="minor"/>
    </font>
    <font>
      <b/>
      <sz val="11"/>
      <color theme="1"/>
      <name val="Cambria"/>
      <family val="1"/>
    </font>
    <font>
      <sz val="11"/>
      <color theme="1"/>
      <name val="Cambria"/>
      <family val="1"/>
    </font>
    <font>
      <u val="singleAccounting"/>
      <sz val="11"/>
      <color theme="1"/>
      <name val="Calibri"/>
      <family val="2"/>
      <scheme val="minor"/>
    </font>
    <font>
      <b/>
      <sz val="12"/>
      <color theme="1"/>
      <name val="Calibri"/>
      <family val="2"/>
      <scheme val="minor"/>
    </font>
    <font>
      <b/>
      <u val="singleAccounting"/>
      <sz val="11"/>
      <color theme="1"/>
      <name val="Calibri"/>
      <family val="2"/>
      <scheme val="minor"/>
    </font>
    <font>
      <b/>
      <sz val="16"/>
      <color theme="1"/>
      <name val="Calibri"/>
      <family val="2"/>
      <scheme val="minor"/>
    </font>
    <font>
      <sz val="11"/>
      <color rgb="FF006100"/>
      <name val="Calibri"/>
      <family val="2"/>
      <scheme val="minor"/>
    </font>
    <font>
      <sz val="11"/>
      <color theme="1"/>
      <name val="Aptos Narrow"/>
      <family val="2"/>
    </font>
    <font>
      <b/>
      <sz val="11"/>
      <color theme="1"/>
      <name val="Aptos Narrow"/>
      <family val="2"/>
    </font>
    <font>
      <sz val="11"/>
      <color rgb="FF006100"/>
      <name val="Aptos Narrow"/>
      <family val="2"/>
    </font>
  </fonts>
  <fills count="33">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indexed="62"/>
        <bgColor indexed="64"/>
      </patternFill>
    </fill>
    <fill>
      <patternFill patternType="solid">
        <fgColor indexed="17"/>
        <bgColor indexed="64"/>
      </patternFill>
    </fill>
    <fill>
      <patternFill patternType="solid">
        <fgColor rgb="FF92D05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theme="1"/>
        <bgColor indexed="64"/>
      </patternFill>
    </fill>
    <fill>
      <patternFill patternType="solid">
        <fgColor rgb="FFFFC000"/>
        <bgColor indexed="64"/>
      </patternFill>
    </fill>
    <fill>
      <patternFill patternType="solid">
        <fgColor theme="4" tint="0.79998168889431442"/>
        <bgColor indexed="64"/>
      </patternFill>
    </fill>
    <fill>
      <patternFill patternType="solid">
        <fgColor rgb="FFC6EFCE"/>
      </patternFill>
    </fill>
    <fill>
      <patternFill patternType="solid">
        <fgColor theme="9"/>
      </patternFill>
    </fill>
    <fill>
      <patternFill patternType="solid">
        <fgColor theme="6" tint="-0.249977111117893"/>
        <bgColor indexed="64"/>
      </patternFill>
    </fill>
    <fill>
      <patternFill patternType="solid">
        <fgColor theme="4" tint="0.399975585192419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rgb="FF7030A0"/>
        <bgColor indexed="64"/>
      </patternFill>
    </fill>
    <fill>
      <patternFill patternType="solid">
        <fgColor theme="5" tint="0.39997558519241921"/>
        <bgColor indexed="64"/>
      </patternFill>
    </fill>
    <fill>
      <patternFill patternType="solid">
        <fgColor rgb="FF002060"/>
        <bgColor indexed="64"/>
      </patternFill>
    </fill>
    <fill>
      <patternFill patternType="solid">
        <fgColor rgb="FF0070C0"/>
        <bgColor indexed="64"/>
      </patternFill>
    </fill>
    <fill>
      <patternFill patternType="solid">
        <fgColor rgb="FF00B0F0"/>
        <bgColor indexed="64"/>
      </patternFill>
    </fill>
    <fill>
      <patternFill patternType="solid">
        <fgColor theme="8" tint="-0.249977111117893"/>
        <bgColor indexed="64"/>
      </patternFill>
    </fill>
    <fill>
      <patternFill patternType="solid">
        <fgColor theme="8"/>
        <bgColor indexed="64"/>
      </patternFill>
    </fill>
  </fills>
  <borders count="6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s>
  <cellStyleXfs count="40915">
    <xf numFmtId="0" fontId="0" fillId="0" borderId="0"/>
    <xf numFmtId="164" fontId="1" fillId="0" borderId="0" applyFont="0" applyFill="0" applyBorder="0" applyAlignment="0" applyProtection="0"/>
    <xf numFmtId="0" fontId="1" fillId="0" borderId="0"/>
    <xf numFmtId="164" fontId="9" fillId="0" borderId="0" applyFont="0" applyFill="0" applyBorder="0" applyAlignment="0" applyProtection="0"/>
    <xf numFmtId="0" fontId="10" fillId="0" borderId="0"/>
    <xf numFmtId="164" fontId="13" fillId="0" borderId="0" applyFont="0" applyFill="0" applyBorder="0" applyAlignment="0" applyProtection="0"/>
    <xf numFmtId="164" fontId="14" fillId="0" borderId="0" applyFont="0" applyFill="0" applyBorder="0" applyAlignment="0" applyProtection="0"/>
    <xf numFmtId="164" fontId="13" fillId="0" borderId="0" applyFont="0" applyFill="0" applyBorder="0" applyAlignment="0" applyProtection="0"/>
    <xf numFmtId="164" fontId="14" fillId="0" borderId="0" applyFont="0" applyFill="0" applyBorder="0" applyAlignment="0" applyProtection="0"/>
    <xf numFmtId="164" fontId="13" fillId="0" borderId="0" applyFont="0" applyFill="0" applyBorder="0" applyAlignment="0" applyProtection="0"/>
    <xf numFmtId="164" fontId="14"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5" fillId="0" borderId="0" applyFill="0" applyBorder="0" applyAlignment="0" applyProtection="0"/>
    <xf numFmtId="164" fontId="13" fillId="0" borderId="0" applyFont="0" applyFill="0" applyBorder="0" applyAlignment="0" applyProtection="0"/>
    <xf numFmtId="0" fontId="14" fillId="0" borderId="0"/>
    <xf numFmtId="0" fontId="13" fillId="0" borderId="0"/>
    <xf numFmtId="0" fontId="13" fillId="0" borderId="0"/>
    <xf numFmtId="0" fontId="9" fillId="0" borderId="0"/>
    <xf numFmtId="167" fontId="13" fillId="0" borderId="0"/>
    <xf numFmtId="0" fontId="16" fillId="0" borderId="0"/>
    <xf numFmtId="0" fontId="1" fillId="0" borderId="0"/>
    <xf numFmtId="167" fontId="10" fillId="0" borderId="0"/>
    <xf numFmtId="0" fontId="10" fillId="0" borderId="0"/>
    <xf numFmtId="0" fontId="13" fillId="0" borderId="0"/>
    <xf numFmtId="0" fontId="13" fillId="0" borderId="0"/>
    <xf numFmtId="167" fontId="13" fillId="0" borderId="0"/>
    <xf numFmtId="167" fontId="10" fillId="0" borderId="0"/>
    <xf numFmtId="168" fontId="10" fillId="0" borderId="0"/>
    <xf numFmtId="167" fontId="1" fillId="0" borderId="0"/>
    <xf numFmtId="167" fontId="13" fillId="0" borderId="0"/>
    <xf numFmtId="167" fontId="13" fillId="0" borderId="0"/>
    <xf numFmtId="0" fontId="13" fillId="0" borderId="0"/>
    <xf numFmtId="0" fontId="14" fillId="0" borderId="0"/>
    <xf numFmtId="0" fontId="13" fillId="0" borderId="0"/>
    <xf numFmtId="0" fontId="1" fillId="0" borderId="0"/>
    <xf numFmtId="0" fontId="1" fillId="0" borderId="0"/>
    <xf numFmtId="0" fontId="1" fillId="0" borderId="0"/>
    <xf numFmtId="0" fontId="14" fillId="0" borderId="0"/>
    <xf numFmtId="0" fontId="1" fillId="0" borderId="0"/>
    <xf numFmtId="9" fontId="9" fillId="0" borderId="0" applyFont="0" applyFill="0" applyBorder="0" applyAlignment="0" applyProtection="0"/>
    <xf numFmtId="0" fontId="10" fillId="0" borderId="0"/>
    <xf numFmtId="0" fontId="13" fillId="0" borderId="0"/>
    <xf numFmtId="0" fontId="1" fillId="0" borderId="0"/>
    <xf numFmtId="164" fontId="1" fillId="0" borderId="0" applyFont="0" applyFill="0" applyBorder="0" applyAlignment="0" applyProtection="0"/>
    <xf numFmtId="37" fontId="24" fillId="0" borderId="5">
      <alignment horizontal="left"/>
    </xf>
    <xf numFmtId="38" fontId="25" fillId="0" borderId="0" applyFont="0" applyFill="0" applyBorder="0" applyAlignment="0" applyProtection="0">
      <alignmen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0"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0"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174" fontId="13" fillId="0" borderId="0" applyFill="0" applyBorder="0" applyAlignment="0" applyProtection="0"/>
    <xf numFmtId="174"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174" fontId="13" fillId="0" borderId="0" applyFill="0" applyBorder="0" applyAlignment="0" applyProtection="0"/>
    <xf numFmtId="174"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3" fontId="13" fillId="0" borderId="0" applyFill="0" applyBorder="0" applyAlignment="0" applyProtection="0"/>
    <xf numFmtId="172"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174" fontId="13" fillId="0" borderId="0" applyFill="0" applyBorder="0" applyAlignment="0" applyProtection="0"/>
    <xf numFmtId="164" fontId="13" fillId="0" borderId="0" applyFont="0" applyFill="0" applyBorder="0" applyAlignment="0" applyProtection="0"/>
    <xf numFmtId="174"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174" fontId="13" fillId="0" borderId="0" applyFill="0" applyBorder="0" applyAlignment="0" applyProtection="0"/>
    <xf numFmtId="174"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3" fillId="0" borderId="0" applyFont="0" applyFill="0" applyBorder="0" applyAlignment="0" applyProtection="0"/>
    <xf numFmtId="171" fontId="1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174" fontId="13" fillId="0" borderId="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74"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164" fontId="13" fillId="0" borderId="0" applyFont="0" applyFill="0" applyBorder="0" applyAlignment="0" applyProtection="0"/>
    <xf numFmtId="174" fontId="13" fillId="0" borderId="0" applyFill="0" applyBorder="0" applyAlignment="0" applyProtection="0"/>
    <xf numFmtId="174" fontId="13" fillId="0" borderId="0" applyFill="0" applyBorder="0" applyAlignment="0" applyProtection="0"/>
    <xf numFmtId="164" fontId="13" fillId="0" borderId="0" applyFont="0" applyFill="0" applyBorder="0" applyAlignment="0" applyProtection="0"/>
    <xf numFmtId="0" fontId="13" fillId="0" borderId="0" applyFill="0" applyBorder="0" applyAlignment="0" applyProtection="0"/>
    <xf numFmtId="164"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3"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3" fillId="0" borderId="0" applyFont="0" applyBorder="0" applyAlignment="0" applyProtection="0"/>
    <xf numFmtId="164" fontId="1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NumberFormat="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0" fillId="0" borderId="0"/>
    <xf numFmtId="0" fontId="13" fillId="0" borderId="0" applyNumberForma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xf numFmtId="0" fontId="34" fillId="0" borderId="0"/>
    <xf numFmtId="164" fontId="9" fillId="0" borderId="0" applyFont="0" applyFill="0" applyBorder="0" applyAlignment="0" applyProtection="0"/>
    <xf numFmtId="0" fontId="13" fillId="0" borderId="0"/>
    <xf numFmtId="164" fontId="1" fillId="0" borderId="0" applyFont="0" applyFill="0" applyBorder="0" applyAlignment="0" applyProtection="0"/>
    <xf numFmtId="164" fontId="13" fillId="0" borderId="0" applyFont="0" applyFill="0" applyBorder="0" applyAlignment="0" applyProtection="0"/>
    <xf numFmtId="168" fontId="10" fillId="0" borderId="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69" fillId="19" borderId="0" applyNumberFormat="0" applyBorder="0" applyAlignment="0" applyProtection="0"/>
    <xf numFmtId="0" fontId="54" fillId="20" borderId="0" applyNumberFormat="0" applyBorder="0" applyAlignment="0" applyProtection="0"/>
  </cellStyleXfs>
  <cellXfs count="1337">
    <xf numFmtId="0" fontId="0" fillId="0" borderId="0" xfId="0"/>
    <xf numFmtId="49" fontId="7" fillId="0" borderId="0" xfId="2" applyNumberFormat="1" applyFont="1" applyAlignment="1">
      <alignment vertical="center"/>
    </xf>
    <xf numFmtId="49" fontId="7" fillId="0" borderId="0" xfId="2" applyNumberFormat="1" applyFont="1" applyAlignment="1">
      <alignment horizontal="center" vertical="center"/>
    </xf>
    <xf numFmtId="0" fontId="8" fillId="0" borderId="0" xfId="2" applyFont="1" applyAlignment="1">
      <alignment vertical="center"/>
    </xf>
    <xf numFmtId="0" fontId="5" fillId="0" borderId="7" xfId="2" applyFont="1" applyBorder="1" applyAlignment="1">
      <alignment horizontal="center" vertical="center" wrapText="1"/>
    </xf>
    <xf numFmtId="165" fontId="8" fillId="0" borderId="7" xfId="2" applyNumberFormat="1" applyFont="1" applyBorder="1" applyAlignment="1">
      <alignment horizontal="right" vertical="center"/>
    </xf>
    <xf numFmtId="166" fontId="8" fillId="0" borderId="7" xfId="2" applyNumberFormat="1" applyFont="1" applyBorder="1" applyAlignment="1">
      <alignment horizontal="center" vertical="center"/>
    </xf>
    <xf numFmtId="0" fontId="8" fillId="0" borderId="10" xfId="2" applyFont="1" applyBorder="1" applyAlignment="1">
      <alignment horizontal="center" vertical="center"/>
    </xf>
    <xf numFmtId="0" fontId="8" fillId="0" borderId="11" xfId="2" applyFont="1" applyBorder="1" applyAlignment="1">
      <alignment vertical="center"/>
    </xf>
    <xf numFmtId="1" fontId="4" fillId="0" borderId="11" xfId="2" applyNumberFormat="1" applyFont="1" applyBorder="1" applyAlignment="1">
      <alignment horizontal="center" vertical="center"/>
    </xf>
    <xf numFmtId="49" fontId="4" fillId="0" borderId="0" xfId="2" applyNumberFormat="1" applyFont="1" applyAlignment="1">
      <alignment vertical="center"/>
    </xf>
    <xf numFmtId="0" fontId="5" fillId="0" borderId="0" xfId="2" applyFont="1" applyAlignment="1">
      <alignment vertical="center"/>
    </xf>
    <xf numFmtId="164" fontId="8" fillId="0" borderId="11" xfId="2" applyNumberFormat="1" applyFont="1" applyBorder="1" applyAlignment="1">
      <alignment vertical="center"/>
    </xf>
    <xf numFmtId="1" fontId="7" fillId="0" borderId="11" xfId="2" applyNumberFormat="1" applyFont="1" applyBorder="1" applyAlignment="1">
      <alignment horizontal="center" vertical="center"/>
    </xf>
    <xf numFmtId="164" fontId="5" fillId="0" borderId="11" xfId="3" applyFont="1" applyFill="1" applyBorder="1" applyAlignment="1">
      <alignment vertical="center"/>
    </xf>
    <xf numFmtId="164" fontId="8" fillId="0" borderId="11" xfId="3" applyFont="1" applyFill="1" applyBorder="1" applyAlignment="1">
      <alignment vertical="center"/>
    </xf>
    <xf numFmtId="0" fontId="8" fillId="0" borderId="11" xfId="2" applyFont="1" applyBorder="1" applyAlignment="1">
      <alignment horizontal="center" vertical="center"/>
    </xf>
    <xf numFmtId="0" fontId="5" fillId="0" borderId="11" xfId="2" applyFont="1" applyBorder="1" applyAlignment="1">
      <alignment horizontal="center" vertical="center"/>
    </xf>
    <xf numFmtId="164" fontId="5" fillId="0" borderId="7" xfId="3" applyFont="1" applyFill="1" applyBorder="1" applyAlignment="1">
      <alignment vertical="center"/>
    </xf>
    <xf numFmtId="0" fontId="5" fillId="0" borderId="11" xfId="2" applyFont="1" applyBorder="1" applyAlignment="1">
      <alignment horizontal="center" vertical="top"/>
    </xf>
    <xf numFmtId="1" fontId="4" fillId="0" borderId="11" xfId="2" applyNumberFormat="1" applyFont="1" applyBorder="1" applyAlignment="1">
      <alignment horizontal="center" vertical="top"/>
    </xf>
    <xf numFmtId="0" fontId="11" fillId="0" borderId="11" xfId="4" applyFont="1" applyBorder="1"/>
    <xf numFmtId="0" fontId="11" fillId="0" borderId="5" xfId="4" applyFont="1" applyBorder="1"/>
    <xf numFmtId="0" fontId="5" fillId="0" borderId="0" xfId="2" applyFont="1" applyAlignment="1">
      <alignment horizontal="left" vertical="center" wrapText="1"/>
    </xf>
    <xf numFmtId="0" fontId="11" fillId="0" borderId="0" xfId="4" applyFont="1"/>
    <xf numFmtId="0" fontId="12" fillId="0" borderId="0" xfId="4" applyFont="1"/>
    <xf numFmtId="1" fontId="4" fillId="0" borderId="13" xfId="2" applyNumberFormat="1" applyFont="1" applyBorder="1" applyAlignment="1">
      <alignment horizontal="center" vertical="top"/>
    </xf>
    <xf numFmtId="0" fontId="8" fillId="0" borderId="3" xfId="2" applyFont="1" applyBorder="1" applyAlignment="1">
      <alignment vertical="center"/>
    </xf>
    <xf numFmtId="164" fontId="5" fillId="0" borderId="10" xfId="3" applyFont="1" applyFill="1" applyBorder="1" applyAlignment="1">
      <alignment vertical="center"/>
    </xf>
    <xf numFmtId="164" fontId="8" fillId="0" borderId="10" xfId="3" applyFont="1" applyFill="1" applyBorder="1" applyAlignment="1">
      <alignment vertical="center"/>
    </xf>
    <xf numFmtId="49" fontId="4" fillId="0" borderId="11" xfId="2" applyNumberFormat="1" applyFont="1" applyBorder="1" applyAlignment="1">
      <alignment horizontal="center" vertical="top"/>
    </xf>
    <xf numFmtId="0" fontId="8" fillId="0" borderId="5" xfId="2" applyFont="1" applyBorder="1" applyAlignment="1">
      <alignment vertical="center"/>
    </xf>
    <xf numFmtId="0" fontId="5" fillId="0" borderId="13" xfId="2" applyFont="1" applyBorder="1" applyAlignment="1">
      <alignment horizontal="center" vertical="center"/>
    </xf>
    <xf numFmtId="0" fontId="8" fillId="0" borderId="1" xfId="2" applyFont="1" applyBorder="1" applyAlignment="1">
      <alignment vertical="center"/>
    </xf>
    <xf numFmtId="164" fontId="5" fillId="0" borderId="13" xfId="3" applyFont="1" applyFill="1" applyBorder="1" applyAlignment="1">
      <alignment vertical="center"/>
    </xf>
    <xf numFmtId="164" fontId="8" fillId="0" borderId="13" xfId="3" applyFont="1" applyFill="1" applyBorder="1" applyAlignment="1">
      <alignment vertical="center"/>
    </xf>
    <xf numFmtId="0" fontId="5" fillId="0" borderId="0" xfId="2" applyFont="1" applyAlignment="1">
      <alignment horizontal="center" vertical="center"/>
    </xf>
    <xf numFmtId="164" fontId="5" fillId="0" borderId="0" xfId="3" applyFont="1" applyFill="1" applyBorder="1" applyAlignment="1">
      <alignment vertical="center"/>
    </xf>
    <xf numFmtId="164" fontId="8" fillId="0" borderId="0" xfId="3" applyFont="1" applyFill="1" applyBorder="1" applyAlignment="1">
      <alignment vertical="center"/>
    </xf>
    <xf numFmtId="0" fontId="8" fillId="0" borderId="0" xfId="2" applyFont="1" applyAlignment="1">
      <alignment horizontal="center" vertical="top"/>
    </xf>
    <xf numFmtId="49" fontId="7" fillId="0" borderId="0" xfId="2" applyNumberFormat="1" applyFont="1" applyAlignment="1">
      <alignment horizontal="center" vertical="top"/>
    </xf>
    <xf numFmtId="164" fontId="0" fillId="0" borderId="0" xfId="1" applyFont="1"/>
    <xf numFmtId="164" fontId="0" fillId="0" borderId="0" xfId="0" applyNumberFormat="1"/>
    <xf numFmtId="0" fontId="8" fillId="0" borderId="7" xfId="2" applyFont="1" applyBorder="1" applyAlignment="1">
      <alignment vertical="center"/>
    </xf>
    <xf numFmtId="0" fontId="8" fillId="0" borderId="13" xfId="2" applyFont="1" applyBorder="1" applyAlignment="1">
      <alignment vertical="center"/>
    </xf>
    <xf numFmtId="164" fontId="8" fillId="0" borderId="11" xfId="1" applyFont="1" applyBorder="1" applyAlignment="1">
      <alignment vertical="center"/>
    </xf>
    <xf numFmtId="49" fontId="4" fillId="0" borderId="0" xfId="2" applyNumberFormat="1" applyFont="1" applyAlignment="1">
      <alignment horizontal="center" vertical="center" wrapText="1"/>
    </xf>
    <xf numFmtId="0" fontId="5" fillId="0" borderId="0" xfId="2" applyFont="1" applyAlignment="1">
      <alignment horizontal="center" vertical="center" wrapText="1"/>
    </xf>
    <xf numFmtId="166" fontId="8" fillId="0" borderId="0" xfId="2" applyNumberFormat="1" applyFont="1" applyAlignment="1">
      <alignment horizontal="center" vertical="center"/>
    </xf>
    <xf numFmtId="164" fontId="8" fillId="0" borderId="0" xfId="1" applyFont="1" applyBorder="1" applyAlignment="1">
      <alignment vertical="center"/>
    </xf>
    <xf numFmtId="0" fontId="18" fillId="0" borderId="10" xfId="41" applyFont="1" applyBorder="1" applyAlignment="1">
      <alignment horizontal="left" vertical="center"/>
    </xf>
    <xf numFmtId="0" fontId="20" fillId="0" borderId="10" xfId="38" applyFont="1" applyBorder="1" applyAlignment="1">
      <alignment vertical="center"/>
    </xf>
    <xf numFmtId="0" fontId="2" fillId="0" borderId="11" xfId="0" applyFont="1" applyBorder="1" applyAlignment="1">
      <alignment horizontal="left"/>
    </xf>
    <xf numFmtId="0" fontId="0" fillId="0" borderId="11" xfId="0" applyBorder="1" applyAlignment="1">
      <alignment horizontal="left" indent="2"/>
    </xf>
    <xf numFmtId="0" fontId="0" fillId="0" borderId="11" xfId="0" applyBorder="1" applyAlignment="1">
      <alignment horizontal="left" indent="4"/>
    </xf>
    <xf numFmtId="0" fontId="17" fillId="0" borderId="11" xfId="41" applyFont="1" applyBorder="1" applyAlignment="1">
      <alignment horizontal="left" vertical="center" indent="2"/>
    </xf>
    <xf numFmtId="0" fontId="2" fillId="0" borderId="11" xfId="0" applyFont="1" applyBorder="1"/>
    <xf numFmtId="0" fontId="1" fillId="0" borderId="11" xfId="0" applyFont="1" applyBorder="1" applyAlignment="1">
      <alignment horizontal="left" indent="2"/>
    </xf>
    <xf numFmtId="0" fontId="1" fillId="0" borderId="11" xfId="0" applyFont="1" applyBorder="1" applyAlignment="1">
      <alignment horizontal="left" indent="4"/>
    </xf>
    <xf numFmtId="0" fontId="18" fillId="0" borderId="11" xfId="0" applyFont="1" applyBorder="1"/>
    <xf numFmtId="0" fontId="0" fillId="0" borderId="11" xfId="0" applyBorder="1"/>
    <xf numFmtId="0" fontId="2" fillId="0" borderId="11" xfId="0" applyFont="1" applyBorder="1" applyAlignment="1">
      <alignment horizontal="left" indent="1"/>
    </xf>
    <xf numFmtId="0" fontId="0" fillId="0" borderId="11" xfId="0" applyBorder="1" applyAlignment="1">
      <alignment horizontal="left" indent="3"/>
    </xf>
    <xf numFmtId="0" fontId="0" fillId="0" borderId="11" xfId="0" applyBorder="1" applyAlignment="1">
      <alignment horizontal="left" indent="5"/>
    </xf>
    <xf numFmtId="0" fontId="17" fillId="0" borderId="11" xfId="0" applyFont="1" applyBorder="1" applyAlignment="1">
      <alignment horizontal="left" indent="5"/>
    </xf>
    <xf numFmtId="0" fontId="2" fillId="0" borderId="13" xfId="0" applyFont="1" applyBorder="1"/>
    <xf numFmtId="169" fontId="0" fillId="0" borderId="0" xfId="1" applyNumberFormat="1" applyFont="1"/>
    <xf numFmtId="164" fontId="8" fillId="0" borderId="15" xfId="2" applyNumberFormat="1" applyFont="1" applyBorder="1" applyAlignment="1">
      <alignment vertical="center"/>
    </xf>
    <xf numFmtId="0" fontId="8" fillId="0" borderId="16" xfId="2" applyFont="1" applyBorder="1" applyAlignment="1">
      <alignment vertical="center"/>
    </xf>
    <xf numFmtId="0" fontId="8" fillId="0" borderId="17" xfId="2" applyFont="1" applyBorder="1" applyAlignment="1">
      <alignment vertical="center"/>
    </xf>
    <xf numFmtId="0" fontId="8" fillId="0" borderId="18" xfId="2" applyFont="1" applyBorder="1" applyAlignment="1">
      <alignment vertical="center"/>
    </xf>
    <xf numFmtId="0" fontId="8" fillId="0" borderId="19" xfId="2" applyFont="1" applyBorder="1" applyAlignment="1">
      <alignment vertical="center"/>
    </xf>
    <xf numFmtId="164" fontId="8" fillId="0" borderId="20" xfId="2" applyNumberFormat="1" applyFont="1" applyBorder="1" applyAlignment="1">
      <alignment vertical="center"/>
    </xf>
    <xf numFmtId="0" fontId="8" fillId="0" borderId="21" xfId="2" applyFont="1" applyBorder="1" applyAlignment="1">
      <alignment vertical="center"/>
    </xf>
    <xf numFmtId="0" fontId="8" fillId="0" borderId="22" xfId="2" applyFont="1" applyBorder="1" applyAlignment="1">
      <alignment vertical="center"/>
    </xf>
    <xf numFmtId="0" fontId="20" fillId="0" borderId="11" xfId="38" applyFont="1" applyBorder="1" applyAlignment="1">
      <alignment vertical="center"/>
    </xf>
    <xf numFmtId="164" fontId="20" fillId="0" borderId="11" xfId="38" applyNumberFormat="1" applyFont="1" applyBorder="1" applyAlignment="1">
      <alignment vertical="center"/>
    </xf>
    <xf numFmtId="164" fontId="20" fillId="0" borderId="11" xfId="1" applyFont="1" applyFill="1" applyBorder="1" applyAlignment="1">
      <alignment vertical="center"/>
    </xf>
    <xf numFmtId="164" fontId="19" fillId="0" borderId="14" xfId="38" applyNumberFormat="1" applyFont="1" applyBorder="1" applyAlignment="1">
      <alignment vertical="center"/>
    </xf>
    <xf numFmtId="164" fontId="19" fillId="0" borderId="11" xfId="6" applyFont="1" applyFill="1" applyBorder="1" applyAlignment="1">
      <alignment vertical="center"/>
    </xf>
    <xf numFmtId="0" fontId="21" fillId="0" borderId="11" xfId="15" applyFont="1" applyBorder="1" applyAlignment="1">
      <alignment vertical="top" wrapText="1"/>
    </xf>
    <xf numFmtId="164" fontId="8" fillId="0" borderId="0" xfId="2" applyNumberFormat="1" applyFont="1" applyAlignment="1">
      <alignment vertical="center"/>
    </xf>
    <xf numFmtId="0" fontId="2" fillId="0" borderId="0" xfId="0" applyFont="1"/>
    <xf numFmtId="164" fontId="23" fillId="0" borderId="10" xfId="5" applyFont="1" applyFill="1" applyBorder="1" applyAlignment="1">
      <alignment horizontal="center" vertical="center" wrapText="1"/>
    </xf>
    <xf numFmtId="164" fontId="23" fillId="0" borderId="13" xfId="5" applyFont="1" applyFill="1" applyBorder="1" applyAlignment="1">
      <alignment horizontal="center" vertical="center"/>
    </xf>
    <xf numFmtId="0" fontId="13" fillId="0" borderId="27" xfId="0" applyFont="1" applyBorder="1" applyAlignment="1">
      <alignment horizontal="center" vertical="center"/>
    </xf>
    <xf numFmtId="0" fontId="13" fillId="0" borderId="0" xfId="0" applyFont="1" applyAlignment="1">
      <alignment vertical="center"/>
    </xf>
    <xf numFmtId="0" fontId="13" fillId="0" borderId="10" xfId="0" applyFont="1" applyBorder="1" applyAlignment="1">
      <alignment horizontal="center" vertical="center"/>
    </xf>
    <xf numFmtId="164" fontId="13" fillId="0" borderId="10" xfId="5" applyFont="1" applyFill="1" applyBorder="1" applyAlignment="1">
      <alignment vertical="center"/>
    </xf>
    <xf numFmtId="0" fontId="13" fillId="0" borderId="28" xfId="0" applyFont="1" applyBorder="1" applyAlignment="1">
      <alignment horizontal="center" vertical="center"/>
    </xf>
    <xf numFmtId="0" fontId="13" fillId="0" borderId="11" xfId="0" applyFont="1" applyBorder="1" applyAlignment="1">
      <alignment horizontal="center" vertical="center"/>
    </xf>
    <xf numFmtId="164" fontId="13" fillId="0" borderId="11" xfId="5" applyFont="1" applyFill="1" applyBorder="1" applyAlignment="1">
      <alignment vertical="center"/>
    </xf>
    <xf numFmtId="0" fontId="23" fillId="0" borderId="28" xfId="0" applyFont="1" applyBorder="1" applyAlignment="1">
      <alignment horizontal="center" vertical="center"/>
    </xf>
    <xf numFmtId="0" fontId="23" fillId="0" borderId="0" xfId="0" applyFont="1" applyAlignment="1">
      <alignment vertical="center"/>
    </xf>
    <xf numFmtId="164" fontId="23" fillId="0" borderId="7" xfId="5" applyFont="1" applyFill="1" applyBorder="1" applyAlignment="1">
      <alignment vertical="center"/>
    </xf>
    <xf numFmtId="164" fontId="23" fillId="0" borderId="11" xfId="5" applyFont="1" applyFill="1" applyBorder="1" applyAlignment="1">
      <alignment vertical="center"/>
    </xf>
    <xf numFmtId="0" fontId="13" fillId="0" borderId="0" xfId="24" applyAlignment="1">
      <alignment vertical="center"/>
    </xf>
    <xf numFmtId="0" fontId="13" fillId="0" borderId="28" xfId="0" applyFont="1" applyBorder="1" applyAlignment="1">
      <alignment vertical="center"/>
    </xf>
    <xf numFmtId="0" fontId="13" fillId="0" borderId="0" xfId="24" applyAlignment="1">
      <alignment vertical="center" wrapText="1"/>
    </xf>
    <xf numFmtId="0" fontId="23" fillId="0" borderId="0" xfId="24" applyFont="1" applyAlignment="1">
      <alignment horizontal="left" vertical="center"/>
    </xf>
    <xf numFmtId="0" fontId="23" fillId="0" borderId="28" xfId="24" applyFont="1" applyBorder="1" applyAlignment="1">
      <alignment horizontal="center" vertical="center" wrapText="1"/>
    </xf>
    <xf numFmtId="0" fontId="23" fillId="0" borderId="0" xfId="24" applyFont="1" applyAlignment="1">
      <alignment vertical="center" wrapText="1"/>
    </xf>
    <xf numFmtId="0" fontId="23" fillId="0" borderId="11" xfId="0" applyFont="1" applyBorder="1" applyAlignment="1">
      <alignment horizontal="center" vertical="center"/>
    </xf>
    <xf numFmtId="164" fontId="23" fillId="0" borderId="7" xfId="5" applyFont="1" applyFill="1" applyBorder="1" applyAlignment="1" applyProtection="1">
      <alignment vertical="center"/>
      <protection locked="0"/>
    </xf>
    <xf numFmtId="0" fontId="13" fillId="0" borderId="28" xfId="24" applyBorder="1" applyAlignment="1">
      <alignment vertical="center"/>
    </xf>
    <xf numFmtId="0" fontId="13" fillId="0" borderId="28" xfId="24" applyBorder="1" applyAlignment="1">
      <alignment horizontal="center" vertical="center"/>
    </xf>
    <xf numFmtId="0" fontId="23" fillId="0" borderId="28" xfId="24" applyFont="1" applyBorder="1" applyAlignment="1">
      <alignment horizontal="center" vertical="center"/>
    </xf>
    <xf numFmtId="0" fontId="23" fillId="0" borderId="0" xfId="24" applyFont="1" applyAlignment="1">
      <alignment vertical="center"/>
    </xf>
    <xf numFmtId="0" fontId="13" fillId="0" borderId="0" xfId="24" applyAlignment="1">
      <alignment horizontal="left" vertical="center"/>
    </xf>
    <xf numFmtId="164" fontId="13" fillId="0" borderId="7" xfId="5" applyFont="1" applyFill="1" applyBorder="1" applyAlignment="1">
      <alignment vertical="center"/>
    </xf>
    <xf numFmtId="167" fontId="23" fillId="0" borderId="0" xfId="24" applyNumberFormat="1" applyFont="1" applyAlignment="1">
      <alignment horizontal="left" vertical="center" indent="2"/>
    </xf>
    <xf numFmtId="0" fontId="13" fillId="0" borderId="29" xfId="0" applyFont="1" applyBorder="1" applyAlignment="1">
      <alignment vertical="center"/>
    </xf>
    <xf numFmtId="0" fontId="23" fillId="0" borderId="13" xfId="42" applyFont="1" applyBorder="1" applyAlignment="1">
      <alignment horizontal="justify" vertical="center" wrapText="1"/>
    </xf>
    <xf numFmtId="0" fontId="13" fillId="0" borderId="13" xfId="0" applyFont="1" applyBorder="1" applyAlignment="1">
      <alignment horizontal="center" vertical="center"/>
    </xf>
    <xf numFmtId="0" fontId="0" fillId="0" borderId="10" xfId="0" applyBorder="1"/>
    <xf numFmtId="14" fontId="0" fillId="0" borderId="0" xfId="0" applyNumberFormat="1"/>
    <xf numFmtId="2" fontId="0" fillId="0" borderId="0" xfId="0" applyNumberFormat="1"/>
    <xf numFmtId="169" fontId="0" fillId="0" borderId="0" xfId="0" applyNumberFormat="1"/>
    <xf numFmtId="0" fontId="0" fillId="0" borderId="0" xfId="0" applyAlignment="1">
      <alignment wrapText="1"/>
    </xf>
    <xf numFmtId="164" fontId="8" fillId="0" borderId="13" xfId="2" applyNumberFormat="1" applyFont="1" applyBorder="1" applyAlignment="1">
      <alignment vertical="center"/>
    </xf>
    <xf numFmtId="164" fontId="0" fillId="0" borderId="11" xfId="1" applyFont="1" applyBorder="1"/>
    <xf numFmtId="164" fontId="23" fillId="0" borderId="10" xfId="44" applyFont="1" applyFill="1" applyBorder="1" applyAlignment="1">
      <alignment horizontal="center" vertical="center" wrapText="1"/>
    </xf>
    <xf numFmtId="0" fontId="1" fillId="0" borderId="0" xfId="43"/>
    <xf numFmtId="164" fontId="23" fillId="0" borderId="13" xfId="44" applyFont="1" applyFill="1" applyBorder="1" applyAlignment="1">
      <alignment horizontal="center" vertical="center"/>
    </xf>
    <xf numFmtId="0" fontId="13" fillId="0" borderId="27" xfId="43" applyFont="1" applyBorder="1" applyAlignment="1">
      <alignment horizontal="center" vertical="center"/>
    </xf>
    <xf numFmtId="0" fontId="13" fillId="0" borderId="0" xfId="43" applyFont="1" applyAlignment="1">
      <alignment vertical="center"/>
    </xf>
    <xf numFmtId="0" fontId="13" fillId="0" borderId="10" xfId="43" applyFont="1" applyBorder="1" applyAlignment="1">
      <alignment horizontal="center" vertical="center"/>
    </xf>
    <xf numFmtId="164" fontId="13" fillId="0" borderId="10" xfId="44" applyFont="1" applyFill="1" applyBorder="1" applyAlignment="1">
      <alignment vertical="center"/>
    </xf>
    <xf numFmtId="0" fontId="13" fillId="0" borderId="28" xfId="43" applyFont="1" applyBorder="1" applyAlignment="1">
      <alignment horizontal="center" vertical="center"/>
    </xf>
    <xf numFmtId="0" fontId="13" fillId="0" borderId="11" xfId="43" applyFont="1" applyBorder="1" applyAlignment="1">
      <alignment horizontal="center" vertical="center"/>
    </xf>
    <xf numFmtId="164" fontId="13" fillId="0" borderId="11" xfId="44" applyFont="1" applyFill="1" applyBorder="1" applyAlignment="1">
      <alignment vertical="center"/>
    </xf>
    <xf numFmtId="0" fontId="23" fillId="0" borderId="28" xfId="43" applyFont="1" applyBorder="1" applyAlignment="1">
      <alignment horizontal="center" vertical="center"/>
    </xf>
    <xf numFmtId="0" fontId="23" fillId="0" borderId="0" xfId="43" applyFont="1" applyAlignment="1">
      <alignment vertical="center"/>
    </xf>
    <xf numFmtId="164" fontId="23" fillId="0" borderId="7" xfId="44" applyFont="1" applyFill="1" applyBorder="1" applyAlignment="1">
      <alignment vertical="center"/>
    </xf>
    <xf numFmtId="164" fontId="23" fillId="0" borderId="11" xfId="44" applyFont="1" applyFill="1" applyBorder="1" applyAlignment="1">
      <alignment vertical="center"/>
    </xf>
    <xf numFmtId="0" fontId="13" fillId="0" borderId="28" xfId="43" applyFont="1" applyBorder="1" applyAlignment="1">
      <alignment vertical="center"/>
    </xf>
    <xf numFmtId="0" fontId="23" fillId="0" borderId="11" xfId="43" applyFont="1" applyBorder="1" applyAlignment="1">
      <alignment horizontal="center" vertical="center"/>
    </xf>
    <xf numFmtId="164" fontId="23" fillId="0" borderId="7" xfId="44" applyFont="1" applyFill="1" applyBorder="1" applyAlignment="1" applyProtection="1">
      <alignment vertical="center"/>
      <protection locked="0"/>
    </xf>
    <xf numFmtId="164" fontId="13" fillId="0" borderId="7" xfId="44" applyFont="1" applyFill="1" applyBorder="1" applyAlignment="1">
      <alignment vertical="center"/>
    </xf>
    <xf numFmtId="0" fontId="22" fillId="0" borderId="0" xfId="16" applyFont="1"/>
    <xf numFmtId="170" fontId="1" fillId="0" borderId="0" xfId="5" applyNumberFormat="1" applyFont="1"/>
    <xf numFmtId="164" fontId="1" fillId="0" borderId="0" xfId="43" applyNumberFormat="1"/>
    <xf numFmtId="170" fontId="2" fillId="0" borderId="0" xfId="5" applyNumberFormat="1" applyFont="1"/>
    <xf numFmtId="170" fontId="2" fillId="0" borderId="0" xfId="43" applyNumberFormat="1" applyFont="1"/>
    <xf numFmtId="170" fontId="1" fillId="0" borderId="0" xfId="43" applyNumberFormat="1"/>
    <xf numFmtId="0" fontId="13" fillId="0" borderId="0" xfId="16"/>
    <xf numFmtId="170" fontId="1" fillId="0" borderId="0" xfId="5" applyNumberFormat="1" applyFont="1" applyAlignment="1">
      <alignment horizontal="right"/>
    </xf>
    <xf numFmtId="0" fontId="31" fillId="0" borderId="0" xfId="24" applyFont="1" applyAlignment="1">
      <alignment vertical="center"/>
    </xf>
    <xf numFmtId="0" fontId="31" fillId="0" borderId="4" xfId="24" applyFont="1" applyBorder="1" applyAlignment="1">
      <alignment horizontal="center" vertical="center"/>
    </xf>
    <xf numFmtId="0" fontId="31" fillId="0" borderId="3" xfId="24" applyFont="1" applyBorder="1" applyAlignment="1">
      <alignment horizontal="center" vertical="center"/>
    </xf>
    <xf numFmtId="0" fontId="31" fillId="0" borderId="3" xfId="24" applyFont="1" applyBorder="1" applyAlignment="1">
      <alignment vertical="center"/>
    </xf>
    <xf numFmtId="0" fontId="31" fillId="0" borderId="24" xfId="24" applyFont="1" applyBorder="1" applyAlignment="1">
      <alignment vertical="center"/>
    </xf>
    <xf numFmtId="0" fontId="32" fillId="0" borderId="0" xfId="39933" applyFont="1" applyAlignment="1">
      <alignment vertical="center"/>
    </xf>
    <xf numFmtId="0" fontId="32" fillId="0" borderId="0" xfId="28660" applyFont="1" applyAlignment="1">
      <alignment vertical="center"/>
    </xf>
    <xf numFmtId="177" fontId="33" fillId="0" borderId="0" xfId="2945" applyNumberFormat="1" applyFont="1" applyFill="1" applyBorder="1" applyAlignment="1">
      <alignment horizontal="right" vertical="center"/>
    </xf>
    <xf numFmtId="0" fontId="32" fillId="0" borderId="0" xfId="40901" applyFont="1" applyAlignment="1">
      <alignment horizontal="center" vertical="center"/>
    </xf>
    <xf numFmtId="177" fontId="32" fillId="0" borderId="12" xfId="2945" applyNumberFormat="1" applyFont="1" applyFill="1" applyBorder="1" applyAlignment="1">
      <alignment horizontal="right" vertical="center"/>
    </xf>
    <xf numFmtId="0" fontId="35" fillId="0" borderId="5" xfId="28660" applyFont="1" applyBorder="1" applyAlignment="1">
      <alignment vertical="center"/>
    </xf>
    <xf numFmtId="0" fontId="36" fillId="0" borderId="0" xfId="24" applyFont="1" applyAlignment="1">
      <alignment horizontal="center" vertical="center"/>
    </xf>
    <xf numFmtId="0" fontId="36" fillId="0" borderId="0" xfId="28660" applyFont="1" applyAlignment="1">
      <alignment vertical="center"/>
    </xf>
    <xf numFmtId="0" fontId="36" fillId="0" borderId="0" xfId="39933" quotePrefix="1" applyFont="1" applyAlignment="1">
      <alignment horizontal="left" vertical="center"/>
    </xf>
    <xf numFmtId="0" fontId="36" fillId="0" borderId="12" xfId="39933" quotePrefix="1" applyFont="1" applyBorder="1" applyAlignment="1">
      <alignment horizontal="left" vertical="center"/>
    </xf>
    <xf numFmtId="0" fontId="36" fillId="0" borderId="5" xfId="28660" applyFont="1" applyBorder="1" applyAlignment="1">
      <alignment horizontal="left" vertical="center"/>
    </xf>
    <xf numFmtId="0" fontId="36" fillId="0" borderId="0" xfId="4872" quotePrefix="1" applyNumberFormat="1" applyFont="1" applyFill="1" applyBorder="1" applyAlignment="1">
      <alignment horizontal="left" vertical="center"/>
    </xf>
    <xf numFmtId="0" fontId="36" fillId="0" borderId="0" xfId="24" applyFont="1" applyAlignment="1">
      <alignment vertical="center"/>
    </xf>
    <xf numFmtId="0" fontId="36" fillId="0" borderId="12" xfId="28660" applyFont="1" applyBorder="1" applyAlignment="1">
      <alignment vertical="center"/>
    </xf>
    <xf numFmtId="0" fontId="36" fillId="0" borderId="5" xfId="24" applyFont="1" applyBorder="1" applyAlignment="1">
      <alignment horizontal="center" vertical="center"/>
    </xf>
    <xf numFmtId="0" fontId="36" fillId="0" borderId="0" xfId="4872" applyNumberFormat="1" applyFont="1" applyFill="1" applyBorder="1" applyAlignment="1">
      <alignment horizontal="left" vertical="center"/>
    </xf>
    <xf numFmtId="0" fontId="35" fillId="0" borderId="5" xfId="40901" applyFont="1" applyBorder="1" applyAlignment="1">
      <alignment horizontal="center" vertical="center"/>
    </xf>
    <xf numFmtId="170" fontId="37" fillId="3" borderId="0" xfId="39933" applyNumberFormat="1" applyFont="1" applyFill="1" applyAlignment="1">
      <alignment horizontal="left" vertical="center"/>
    </xf>
    <xf numFmtId="170" fontId="37" fillId="3" borderId="0" xfId="39933" applyNumberFormat="1" applyFont="1" applyFill="1" applyAlignment="1">
      <alignment horizontal="center" vertical="center"/>
    </xf>
    <xf numFmtId="170" fontId="37" fillId="3" borderId="0" xfId="39933" applyNumberFormat="1" applyFont="1" applyFill="1" applyAlignment="1">
      <alignment vertical="center"/>
    </xf>
    <xf numFmtId="170" fontId="37" fillId="3" borderId="12" xfId="39933" applyNumberFormat="1" applyFont="1" applyFill="1" applyBorder="1" applyAlignment="1">
      <alignment horizontal="right" vertical="center"/>
    </xf>
    <xf numFmtId="170" fontId="38" fillId="3" borderId="0" xfId="39933" quotePrefix="1" applyNumberFormat="1" applyFont="1" applyFill="1" applyAlignment="1">
      <alignment horizontal="right" vertical="center"/>
    </xf>
    <xf numFmtId="14" fontId="38" fillId="3" borderId="12" xfId="39933" quotePrefix="1" applyNumberFormat="1" applyFont="1" applyFill="1" applyBorder="1" applyAlignment="1">
      <alignment horizontal="right" vertical="center"/>
    </xf>
    <xf numFmtId="0" fontId="35" fillId="0" borderId="0" xfId="40901" applyFont="1" applyAlignment="1">
      <alignment horizontal="left" vertical="center"/>
    </xf>
    <xf numFmtId="166" fontId="36" fillId="0" borderId="0" xfId="40901" applyNumberFormat="1" applyFont="1" applyAlignment="1">
      <alignment horizontal="right" vertical="center"/>
    </xf>
    <xf numFmtId="166" fontId="37" fillId="3" borderId="12" xfId="39933" applyNumberFormat="1" applyFont="1" applyFill="1" applyBorder="1" applyAlignment="1">
      <alignment horizontal="right" vertical="center"/>
    </xf>
    <xf numFmtId="0" fontId="36" fillId="0" borderId="0" xfId="40901" applyFont="1" applyAlignment="1">
      <alignment horizontal="left" vertical="center"/>
    </xf>
    <xf numFmtId="170" fontId="37" fillId="3" borderId="12" xfId="4216" applyFont="1" applyFill="1" applyBorder="1" applyAlignment="1">
      <alignment horizontal="right" vertical="center"/>
    </xf>
    <xf numFmtId="3" fontId="32" fillId="0" borderId="0" xfId="40901" applyNumberFormat="1" applyFont="1" applyAlignment="1">
      <alignment horizontal="center" vertical="center"/>
    </xf>
    <xf numFmtId="166" fontId="32" fillId="0" borderId="0" xfId="40901" applyNumberFormat="1" applyFont="1" applyAlignment="1">
      <alignment horizontal="center" vertical="center"/>
    </xf>
    <xf numFmtId="0" fontId="35" fillId="0" borderId="0" xfId="40901" applyFont="1" applyAlignment="1">
      <alignment horizontal="right" vertical="center"/>
    </xf>
    <xf numFmtId="170" fontId="37" fillId="3" borderId="8" xfId="4216" applyFont="1" applyFill="1" applyBorder="1" applyAlignment="1">
      <alignment horizontal="right" vertical="center"/>
    </xf>
    <xf numFmtId="0" fontId="36" fillId="0" borderId="0" xfId="40901" applyFont="1" applyAlignment="1">
      <alignment horizontal="center" vertical="center"/>
    </xf>
    <xf numFmtId="0" fontId="32" fillId="0" borderId="5" xfId="40901" applyFont="1" applyBorder="1" applyAlignment="1">
      <alignment horizontal="center" vertical="center"/>
    </xf>
    <xf numFmtId="166" fontId="32" fillId="0" borderId="0" xfId="40901" applyNumberFormat="1" applyFont="1" applyAlignment="1">
      <alignment horizontal="right" vertical="center"/>
    </xf>
    <xf numFmtId="166" fontId="33" fillId="0" borderId="0" xfId="40901" applyNumberFormat="1" applyFont="1" applyAlignment="1">
      <alignment horizontal="right" vertical="center"/>
    </xf>
    <xf numFmtId="170" fontId="37" fillId="3" borderId="30" xfId="4216" applyFont="1" applyFill="1" applyBorder="1" applyAlignment="1">
      <alignment horizontal="right" vertical="center"/>
    </xf>
    <xf numFmtId="0" fontId="35" fillId="0" borderId="6" xfId="28660" applyFont="1" applyBorder="1" applyAlignment="1">
      <alignment vertical="center"/>
    </xf>
    <xf numFmtId="0" fontId="36" fillId="0" borderId="1" xfId="40901" applyFont="1" applyBorder="1" applyAlignment="1">
      <alignment horizontal="center" vertical="center"/>
    </xf>
    <xf numFmtId="166" fontId="36" fillId="0" borderId="1" xfId="40901" applyNumberFormat="1" applyFont="1" applyBorder="1" applyAlignment="1">
      <alignment horizontal="right" vertical="center"/>
    </xf>
    <xf numFmtId="166" fontId="37" fillId="0" borderId="26" xfId="40901" applyNumberFormat="1" applyFont="1" applyBorder="1" applyAlignment="1">
      <alignment horizontal="right" vertical="center"/>
    </xf>
    <xf numFmtId="0" fontId="30" fillId="0" borderId="5" xfId="39935" applyFont="1" applyBorder="1" applyAlignment="1">
      <alignment vertical="center"/>
    </xf>
    <xf numFmtId="0" fontId="31" fillId="0" borderId="0" xfId="39935" applyFont="1" applyAlignment="1">
      <alignment vertical="center"/>
    </xf>
    <xf numFmtId="0" fontId="31" fillId="0" borderId="12" xfId="39935" applyFont="1" applyBorder="1" applyAlignment="1">
      <alignment vertical="center"/>
    </xf>
    <xf numFmtId="166" fontId="33" fillId="0" borderId="0" xfId="39934" applyNumberFormat="1" applyFont="1" applyFill="1" applyBorder="1" applyAlignment="1">
      <alignment horizontal="right" vertical="center"/>
    </xf>
    <xf numFmtId="170" fontId="31" fillId="0" borderId="0" xfId="39935" applyNumberFormat="1" applyFont="1" applyAlignment="1">
      <alignment vertical="center"/>
    </xf>
    <xf numFmtId="0" fontId="31" fillId="0" borderId="5" xfId="39935" applyFont="1" applyBorder="1" applyAlignment="1">
      <alignment vertical="center"/>
    </xf>
    <xf numFmtId="0" fontId="36" fillId="0" borderId="12" xfId="39934" applyFont="1" applyBorder="1" applyAlignment="1">
      <alignment vertical="center"/>
    </xf>
    <xf numFmtId="166" fontId="31" fillId="0" borderId="0" xfId="24" applyNumberFormat="1" applyFont="1" applyAlignment="1">
      <alignment vertical="center"/>
    </xf>
    <xf numFmtId="0" fontId="36" fillId="0" borderId="5" xfId="39934" applyFont="1" applyBorder="1" applyAlignment="1">
      <alignment vertical="center"/>
    </xf>
    <xf numFmtId="0" fontId="36" fillId="0" borderId="0" xfId="39934" applyFont="1" applyBorder="1" applyAlignment="1">
      <alignment vertical="center"/>
    </xf>
    <xf numFmtId="0" fontId="31" fillId="0" borderId="0" xfId="24" applyFont="1" applyAlignment="1">
      <alignment horizontal="right" vertical="center"/>
    </xf>
    <xf numFmtId="170" fontId="36" fillId="0" borderId="0" xfId="4216" applyFont="1" applyBorder="1" applyAlignment="1">
      <alignment vertical="center"/>
    </xf>
    <xf numFmtId="166" fontId="36" fillId="0" borderId="12" xfId="39934" applyNumberFormat="1" applyFont="1" applyBorder="1" applyAlignment="1">
      <alignment vertical="center"/>
    </xf>
    <xf numFmtId="170" fontId="31" fillId="0" borderId="0" xfId="24" applyNumberFormat="1" applyFont="1" applyAlignment="1">
      <alignment vertical="center"/>
    </xf>
    <xf numFmtId="0" fontId="36" fillId="0" borderId="5" xfId="39934" applyFont="1" applyFill="1" applyBorder="1" applyAlignment="1">
      <alignment vertical="center"/>
    </xf>
    <xf numFmtId="0" fontId="36" fillId="0" borderId="0" xfId="39934" applyFont="1" applyFill="1" applyBorder="1" applyAlignment="1">
      <alignment vertical="center"/>
    </xf>
    <xf numFmtId="0" fontId="36" fillId="0" borderId="0" xfId="39934" applyFont="1" applyBorder="1" applyAlignment="1">
      <alignment horizontal="right" vertical="center"/>
    </xf>
    <xf numFmtId="170" fontId="31" fillId="0" borderId="0" xfId="4216" applyFont="1" applyBorder="1" applyAlignment="1">
      <alignment vertical="center"/>
    </xf>
    <xf numFmtId="166" fontId="36" fillId="0" borderId="0" xfId="39934" applyNumberFormat="1" applyFont="1" applyBorder="1" applyAlignment="1">
      <alignment vertical="center"/>
    </xf>
    <xf numFmtId="0" fontId="39" fillId="4" borderId="7" xfId="39934" applyFont="1" applyFill="1" applyBorder="1" applyAlignment="1">
      <alignment vertical="center"/>
    </xf>
    <xf numFmtId="0" fontId="40" fillId="4" borderId="7" xfId="39934" applyFont="1" applyFill="1" applyBorder="1" applyAlignment="1">
      <alignment horizontal="center" vertical="center" wrapText="1"/>
    </xf>
    <xf numFmtId="0" fontId="40" fillId="4" borderId="7" xfId="39934" applyFont="1" applyFill="1" applyBorder="1" applyAlignment="1">
      <alignment horizontal="center" vertical="center"/>
    </xf>
    <xf numFmtId="0" fontId="36" fillId="0" borderId="7" xfId="39934" applyFont="1" applyBorder="1" applyAlignment="1">
      <alignment vertical="center"/>
    </xf>
    <xf numFmtId="1" fontId="36" fillId="0" borderId="7" xfId="39934" applyNumberFormat="1" applyFont="1" applyBorder="1" applyAlignment="1">
      <alignment vertical="center"/>
    </xf>
    <xf numFmtId="170" fontId="31" fillId="0" borderId="0" xfId="1091" applyFont="1" applyBorder="1" applyAlignment="1">
      <alignment vertical="center"/>
    </xf>
    <xf numFmtId="0" fontId="41" fillId="0" borderId="7" xfId="39934" applyFont="1" applyBorder="1" applyAlignment="1">
      <alignment vertical="center"/>
    </xf>
    <xf numFmtId="170" fontId="1" fillId="0" borderId="7" xfId="4216" applyFont="1" applyBorder="1"/>
    <xf numFmtId="170" fontId="1" fillId="0" borderId="8" xfId="4216" applyFont="1" applyBorder="1"/>
    <xf numFmtId="170" fontId="36" fillId="0" borderId="7" xfId="4216" applyFont="1" applyBorder="1" applyAlignment="1">
      <alignment vertical="center"/>
    </xf>
    <xf numFmtId="10" fontId="36" fillId="0" borderId="7" xfId="39934" applyNumberFormat="1" applyFont="1" applyBorder="1" applyAlignment="1">
      <alignment vertical="center"/>
    </xf>
    <xf numFmtId="0" fontId="35" fillId="0" borderId="7" xfId="39934" applyFont="1" applyBorder="1" applyAlignment="1">
      <alignment vertical="center"/>
    </xf>
    <xf numFmtId="1" fontId="36" fillId="0" borderId="0" xfId="39934" applyNumberFormat="1" applyFont="1" applyBorder="1" applyAlignment="1">
      <alignment vertical="center"/>
    </xf>
    <xf numFmtId="0" fontId="40" fillId="4" borderId="7" xfId="39934" applyFont="1" applyFill="1" applyBorder="1" applyAlignment="1">
      <alignment vertical="center"/>
    </xf>
    <xf numFmtId="164" fontId="31" fillId="0" borderId="0" xfId="24" applyNumberFormat="1" applyFont="1" applyAlignment="1">
      <alignment vertical="center"/>
    </xf>
    <xf numFmtId="0" fontId="36" fillId="0" borderId="7" xfId="39934" applyFont="1" applyFill="1" applyBorder="1" applyAlignment="1">
      <alignment vertical="center"/>
    </xf>
    <xf numFmtId="10" fontId="36" fillId="0" borderId="7" xfId="39934" applyNumberFormat="1" applyFont="1" applyFill="1" applyBorder="1" applyAlignment="1">
      <alignment vertical="center"/>
    </xf>
    <xf numFmtId="170" fontId="31" fillId="0" borderId="0" xfId="1091" applyFont="1" applyFill="1" applyBorder="1" applyAlignment="1">
      <alignment vertical="center"/>
    </xf>
    <xf numFmtId="10" fontId="36" fillId="0" borderId="0" xfId="39934" applyNumberFormat="1" applyFont="1" applyFill="1" applyBorder="1" applyAlignment="1">
      <alignment vertical="center"/>
    </xf>
    <xf numFmtId="1" fontId="36" fillId="0" borderId="0" xfId="39934" applyNumberFormat="1" applyFont="1" applyFill="1" applyBorder="1" applyAlignment="1">
      <alignment vertical="center"/>
    </xf>
    <xf numFmtId="0" fontId="36" fillId="0" borderId="7" xfId="39934" applyFont="1" applyFill="1" applyBorder="1" applyAlignment="1">
      <alignment horizontal="right" vertical="center"/>
    </xf>
    <xf numFmtId="170" fontId="35" fillId="0" borderId="7" xfId="4216" applyFont="1" applyBorder="1" applyAlignment="1">
      <alignment vertical="center"/>
    </xf>
    <xf numFmtId="1" fontId="35" fillId="0" borderId="0" xfId="39934" applyNumberFormat="1" applyFont="1" applyFill="1" applyBorder="1" applyAlignment="1">
      <alignment vertical="center"/>
    </xf>
    <xf numFmtId="40" fontId="35" fillId="0" borderId="0" xfId="39934" applyNumberFormat="1" applyFont="1" applyFill="1" applyBorder="1" applyAlignment="1">
      <alignment vertical="center"/>
    </xf>
    <xf numFmtId="38" fontId="35" fillId="0" borderId="0" xfId="39934" applyNumberFormat="1" applyFont="1" applyFill="1" applyBorder="1" applyAlignment="1">
      <alignment vertical="center"/>
    </xf>
    <xf numFmtId="40" fontId="35" fillId="0" borderId="7" xfId="39934" applyNumberFormat="1" applyFont="1" applyFill="1" applyBorder="1" applyAlignment="1">
      <alignment vertical="center"/>
    </xf>
    <xf numFmtId="10" fontId="36" fillId="0" borderId="0" xfId="39934" applyNumberFormat="1" applyFont="1" applyBorder="1" applyAlignment="1">
      <alignment vertical="center"/>
    </xf>
    <xf numFmtId="38" fontId="35" fillId="0" borderId="0" xfId="39934" applyNumberFormat="1" applyFont="1" applyBorder="1" applyAlignment="1">
      <alignment vertical="center"/>
    </xf>
    <xf numFmtId="40" fontId="35" fillId="0" borderId="0" xfId="39934" applyNumberFormat="1" applyFont="1" applyBorder="1" applyAlignment="1">
      <alignment vertical="center"/>
    </xf>
    <xf numFmtId="0" fontId="36" fillId="0" borderId="7" xfId="39934" applyFont="1" applyBorder="1" applyAlignment="1">
      <alignment horizontal="right" vertical="center"/>
    </xf>
    <xf numFmtId="40" fontId="35" fillId="0" borderId="7" xfId="39934" applyNumberFormat="1" applyFont="1" applyBorder="1" applyAlignment="1">
      <alignment vertical="center"/>
    </xf>
    <xf numFmtId="38" fontId="36" fillId="0" borderId="7" xfId="39934" applyNumberFormat="1" applyFont="1" applyFill="1" applyBorder="1" applyAlignment="1">
      <alignment vertical="center"/>
    </xf>
    <xf numFmtId="0" fontId="40" fillId="4" borderId="7" xfId="39934" applyFont="1" applyFill="1" applyBorder="1" applyAlignment="1">
      <alignment horizontal="right" vertical="center"/>
    </xf>
    <xf numFmtId="38" fontId="40" fillId="4" borderId="7" xfId="39934" applyNumberFormat="1" applyFont="1" applyFill="1" applyBorder="1" applyAlignment="1">
      <alignment vertical="center"/>
    </xf>
    <xf numFmtId="0" fontId="42" fillId="4" borderId="0" xfId="24" applyFont="1" applyFill="1" applyAlignment="1">
      <alignment vertical="center"/>
    </xf>
    <xf numFmtId="38" fontId="40" fillId="4" borderId="0" xfId="39934" applyNumberFormat="1" applyFont="1" applyFill="1" applyBorder="1" applyAlignment="1">
      <alignment vertical="center"/>
    </xf>
    <xf numFmtId="0" fontId="40" fillId="4" borderId="0" xfId="39934" applyFont="1" applyFill="1" applyBorder="1" applyAlignment="1">
      <alignment vertical="center"/>
    </xf>
    <xf numFmtId="0" fontId="40" fillId="5" borderId="9" xfId="39934" applyFont="1" applyFill="1" applyBorder="1" applyAlignment="1">
      <alignment vertical="center"/>
    </xf>
    <xf numFmtId="0" fontId="40" fillId="5" borderId="2" xfId="39934" applyFont="1" applyFill="1" applyBorder="1" applyAlignment="1">
      <alignment vertical="center"/>
    </xf>
    <xf numFmtId="0" fontId="40" fillId="5" borderId="8" xfId="39934" applyFont="1" applyFill="1" applyBorder="1" applyAlignment="1">
      <alignment vertical="center"/>
    </xf>
    <xf numFmtId="170" fontId="40" fillId="5" borderId="7" xfId="4216" applyFont="1" applyFill="1" applyBorder="1" applyAlignment="1">
      <alignment vertical="center"/>
    </xf>
    <xf numFmtId="170" fontId="40" fillId="5" borderId="0" xfId="1091" applyFont="1" applyFill="1" applyBorder="1" applyAlignment="1">
      <alignment vertical="center"/>
    </xf>
    <xf numFmtId="170" fontId="36" fillId="0" borderId="12" xfId="39934" applyNumberFormat="1" applyFont="1" applyBorder="1" applyAlignment="1">
      <alignment vertical="center"/>
    </xf>
    <xf numFmtId="0" fontId="36" fillId="0" borderId="12" xfId="39934" applyFont="1" applyFill="1" applyBorder="1" applyAlignment="1">
      <alignment vertical="center"/>
    </xf>
    <xf numFmtId="0" fontId="30" fillId="0" borderId="0" xfId="39935" applyFont="1" applyAlignment="1">
      <alignment vertical="center"/>
    </xf>
    <xf numFmtId="38" fontId="36" fillId="0" borderId="0" xfId="39934" applyNumberFormat="1" applyFont="1" applyBorder="1" applyAlignment="1">
      <alignment vertical="center"/>
    </xf>
    <xf numFmtId="0" fontId="36" fillId="0" borderId="6" xfId="39934" applyFont="1" applyBorder="1" applyAlignment="1">
      <alignment vertical="center"/>
    </xf>
    <xf numFmtId="0" fontId="36" fillId="0" borderId="1" xfId="39934" applyFont="1" applyBorder="1" applyAlignment="1">
      <alignment vertical="center"/>
    </xf>
    <xf numFmtId="0" fontId="36" fillId="0" borderId="26" xfId="39934" applyFont="1" applyBorder="1" applyAlignment="1">
      <alignment vertical="center"/>
    </xf>
    <xf numFmtId="0" fontId="31" fillId="0" borderId="0" xfId="24" applyFont="1" applyAlignment="1">
      <alignment horizontal="center" vertical="center"/>
    </xf>
    <xf numFmtId="164" fontId="8" fillId="0" borderId="11" xfId="1" applyFont="1" applyFill="1" applyBorder="1" applyAlignment="1">
      <alignment vertical="center"/>
    </xf>
    <xf numFmtId="164" fontId="8" fillId="0" borderId="0" xfId="1" applyFont="1" applyFill="1" applyBorder="1" applyAlignment="1">
      <alignment vertical="center"/>
    </xf>
    <xf numFmtId="0" fontId="8" fillId="2" borderId="0" xfId="2" applyFont="1" applyFill="1" applyAlignment="1">
      <alignment vertical="center"/>
    </xf>
    <xf numFmtId="0" fontId="8" fillId="0" borderId="10" xfId="2" applyFont="1" applyBorder="1" applyAlignment="1">
      <alignment vertical="center"/>
    </xf>
    <xf numFmtId="0" fontId="2" fillId="0" borderId="0" xfId="0" applyFont="1" applyAlignment="1">
      <alignment horizontal="center" vertical="center" wrapText="1"/>
    </xf>
    <xf numFmtId="164" fontId="20" fillId="0" borderId="11" xfId="38" quotePrefix="1" applyNumberFormat="1" applyFont="1" applyBorder="1" applyAlignment="1">
      <alignment vertical="center"/>
    </xf>
    <xf numFmtId="164" fontId="12" fillId="0" borderId="13" xfId="3" applyFont="1" applyFill="1" applyBorder="1" applyAlignment="1">
      <alignment vertical="center"/>
    </xf>
    <xf numFmtId="0" fontId="43" fillId="2" borderId="0" xfId="0" applyFont="1" applyFill="1"/>
    <xf numFmtId="0" fontId="0" fillId="2" borderId="0" xfId="0" applyFill="1"/>
    <xf numFmtId="164" fontId="0" fillId="2" borderId="0" xfId="0" applyNumberFormat="1" applyFill="1"/>
    <xf numFmtId="14" fontId="8" fillId="0" borderId="0" xfId="2" applyNumberFormat="1" applyFont="1" applyAlignment="1">
      <alignment vertical="center"/>
    </xf>
    <xf numFmtId="169" fontId="8" fillId="0" borderId="0" xfId="2" applyNumberFormat="1" applyFont="1" applyAlignment="1">
      <alignment vertical="center"/>
    </xf>
    <xf numFmtId="169" fontId="0" fillId="0" borderId="0" xfId="1" applyNumberFormat="1" applyFont="1" applyFill="1"/>
    <xf numFmtId="0" fontId="8" fillId="0" borderId="0" xfId="2" applyFont="1" applyAlignment="1">
      <alignment horizontal="justify" vertical="top" wrapText="1"/>
    </xf>
    <xf numFmtId="49" fontId="4" fillId="0" borderId="0" xfId="2" applyNumberFormat="1" applyFont="1" applyAlignment="1">
      <alignment horizontal="center" vertical="center"/>
    </xf>
    <xf numFmtId="0" fontId="8" fillId="0" borderId="0" xfId="0" applyFont="1" applyAlignment="1">
      <alignment horizontal="left" vertical="center" wrapText="1"/>
    </xf>
    <xf numFmtId="0" fontId="5" fillId="0" borderId="0" xfId="2" applyFont="1" applyAlignment="1">
      <alignment horizontal="justify" vertical="top" wrapText="1"/>
    </xf>
    <xf numFmtId="164" fontId="5" fillId="0" borderId="0" xfId="1" applyFont="1" applyBorder="1" applyAlignment="1">
      <alignment horizontal="center" vertical="center" wrapText="1"/>
    </xf>
    <xf numFmtId="164" fontId="8" fillId="0" borderId="0" xfId="2" applyNumberFormat="1" applyFont="1" applyAlignment="1">
      <alignment horizontal="center" vertical="center" wrapText="1"/>
    </xf>
    <xf numFmtId="164" fontId="8" fillId="0" borderId="7" xfId="3" applyFont="1" applyFill="1" applyBorder="1" applyAlignment="1">
      <alignment vertical="center"/>
    </xf>
    <xf numFmtId="0" fontId="5" fillId="0" borderId="7" xfId="2" applyFont="1" applyBorder="1" applyAlignment="1">
      <alignment horizontal="justify" vertical="top" wrapText="1"/>
    </xf>
    <xf numFmtId="0" fontId="8" fillId="0" borderId="7" xfId="2" applyFont="1" applyBorder="1" applyAlignment="1">
      <alignment horizontal="center" vertical="center" wrapText="1"/>
    </xf>
    <xf numFmtId="0" fontId="8" fillId="0" borderId="7" xfId="2" applyFont="1" applyBorder="1" applyAlignment="1">
      <alignment horizontal="justify" vertical="top" wrapText="1"/>
    </xf>
    <xf numFmtId="164" fontId="8" fillId="0" borderId="7" xfId="1" applyFont="1" applyBorder="1" applyAlignment="1">
      <alignment horizontal="center" vertical="center" wrapText="1"/>
    </xf>
    <xf numFmtId="164" fontId="5" fillId="0" borderId="7" xfId="1" applyFont="1" applyBorder="1" applyAlignment="1">
      <alignment horizontal="center" vertical="center" wrapText="1"/>
    </xf>
    <xf numFmtId="164" fontId="8" fillId="0" borderId="7" xfId="2" applyNumberFormat="1" applyFont="1" applyBorder="1" applyAlignment="1">
      <alignment horizontal="center" vertical="center" wrapText="1"/>
    </xf>
    <xf numFmtId="164" fontId="5" fillId="0" borderId="7" xfId="2" applyNumberFormat="1" applyFont="1" applyBorder="1" applyAlignment="1">
      <alignment horizontal="justify" vertical="top" wrapText="1"/>
    </xf>
    <xf numFmtId="164" fontId="8" fillId="0" borderId="7" xfId="1" applyFont="1" applyBorder="1" applyAlignment="1">
      <alignment horizontal="justify" vertical="top" wrapText="1"/>
    </xf>
    <xf numFmtId="164" fontId="5" fillId="0" borderId="7" xfId="1" applyFont="1" applyBorder="1" applyAlignment="1">
      <alignment horizontal="justify" vertical="top" wrapText="1"/>
    </xf>
    <xf numFmtId="164" fontId="8" fillId="0" borderId="0" xfId="1" applyFont="1" applyBorder="1" applyAlignment="1">
      <alignment horizontal="justify" vertical="top" wrapText="1"/>
    </xf>
    <xf numFmtId="164" fontId="8" fillId="0" borderId="7" xfId="1" applyFont="1" applyBorder="1" applyAlignment="1">
      <alignment horizontal="right" vertical="top" wrapText="1"/>
    </xf>
    <xf numFmtId="0" fontId="8" fillId="0" borderId="0" xfId="2" applyFont="1" applyAlignment="1">
      <alignment vertical="center" wrapText="1"/>
    </xf>
    <xf numFmtId="0" fontId="5" fillId="0" borderId="0" xfId="2" applyFont="1" applyAlignment="1">
      <alignment vertical="center" wrapText="1"/>
    </xf>
    <xf numFmtId="0" fontId="8" fillId="0" borderId="0" xfId="2" applyFont="1" applyAlignment="1">
      <alignment horizontal="left" vertical="center" wrapText="1"/>
    </xf>
    <xf numFmtId="164" fontId="8" fillId="0" borderId="0" xfId="2" applyNumberFormat="1" applyFont="1" applyAlignment="1">
      <alignment vertical="center" wrapText="1"/>
    </xf>
    <xf numFmtId="49" fontId="44" fillId="0" borderId="0" xfId="2" applyNumberFormat="1" applyFont="1" applyAlignment="1">
      <alignment vertical="center"/>
    </xf>
    <xf numFmtId="49" fontId="44" fillId="0" borderId="0" xfId="39" applyNumberFormat="1" applyFont="1" applyAlignment="1">
      <alignment horizontal="right" vertical="center" wrapText="1"/>
    </xf>
    <xf numFmtId="49" fontId="45" fillId="0" borderId="0" xfId="39" applyNumberFormat="1" applyFont="1" applyAlignment="1">
      <alignment vertical="center" wrapText="1"/>
    </xf>
    <xf numFmtId="0" fontId="0" fillId="0" borderId="7" xfId="39" applyFont="1" applyBorder="1" applyAlignment="1">
      <alignment horizontal="center" vertical="center" wrapText="1"/>
    </xf>
    <xf numFmtId="0" fontId="0" fillId="0" borderId="7" xfId="39" applyFont="1" applyBorder="1" applyAlignment="1">
      <alignment vertical="center" wrapText="1"/>
    </xf>
    <xf numFmtId="0" fontId="0" fillId="0" borderId="7" xfId="39" applyFont="1" applyBorder="1" applyAlignment="1">
      <alignment horizontal="left" vertical="center" wrapText="1" indent="1"/>
    </xf>
    <xf numFmtId="0" fontId="0" fillId="0" borderId="0" xfId="39" applyFont="1" applyAlignment="1">
      <alignment vertical="center" wrapText="1"/>
    </xf>
    <xf numFmtId="0" fontId="0" fillId="0" borderId="0" xfId="39" applyFont="1" applyAlignment="1">
      <alignment horizontal="center" vertical="center" wrapText="1"/>
    </xf>
    <xf numFmtId="0" fontId="0" fillId="0" borderId="7" xfId="0" applyBorder="1"/>
    <xf numFmtId="0" fontId="3" fillId="0" borderId="0" xfId="0" applyFont="1" applyAlignment="1">
      <alignment vertical="top"/>
    </xf>
    <xf numFmtId="49" fontId="48" fillId="0" borderId="3" xfId="0" applyNumberFormat="1" applyFont="1" applyBorder="1" applyAlignment="1">
      <alignment horizontal="left" vertical="top" indent="2"/>
    </xf>
    <xf numFmtId="49" fontId="48" fillId="0" borderId="5" xfId="0" applyNumberFormat="1" applyFont="1" applyBorder="1" applyAlignment="1">
      <alignment horizontal="left" vertical="top" indent="2"/>
    </xf>
    <xf numFmtId="49" fontId="48" fillId="0" borderId="6" xfId="0" applyNumberFormat="1" applyFont="1" applyBorder="1" applyAlignment="1">
      <alignment horizontal="left" vertical="top" indent="2"/>
    </xf>
    <xf numFmtId="49" fontId="50" fillId="0" borderId="7" xfId="0" applyNumberFormat="1" applyFont="1" applyBorder="1" applyAlignment="1">
      <alignment horizontal="center" vertical="top"/>
    </xf>
    <xf numFmtId="49" fontId="48" fillId="0" borderId="0" xfId="0" applyNumberFormat="1" applyFont="1" applyAlignment="1">
      <alignment vertical="top"/>
    </xf>
    <xf numFmtId="178" fontId="48" fillId="0" borderId="9" xfId="0" applyNumberFormat="1" applyFont="1" applyBorder="1" applyAlignment="1">
      <alignment horizontal="right" vertical="top"/>
    </xf>
    <xf numFmtId="179" fontId="48" fillId="0" borderId="2" xfId="0" applyNumberFormat="1" applyFont="1" applyBorder="1" applyAlignment="1">
      <alignment horizontal="right" vertical="top"/>
    </xf>
    <xf numFmtId="178" fontId="49" fillId="0" borderId="9" xfId="0" applyNumberFormat="1" applyFont="1" applyBorder="1" applyAlignment="1">
      <alignment horizontal="right" vertical="top"/>
    </xf>
    <xf numFmtId="179" fontId="49" fillId="0" borderId="2" xfId="0" applyNumberFormat="1" applyFont="1" applyBorder="1" applyAlignment="1">
      <alignment horizontal="right" vertical="top"/>
    </xf>
    <xf numFmtId="49" fontId="50" fillId="0" borderId="0" xfId="0" applyNumberFormat="1" applyFont="1" applyAlignment="1">
      <alignment horizontal="left" vertical="top" indent="2"/>
    </xf>
    <xf numFmtId="178" fontId="50" fillId="0" borderId="4" xfId="0" applyNumberFormat="1" applyFont="1" applyBorder="1" applyAlignment="1">
      <alignment horizontal="right" vertical="top"/>
    </xf>
    <xf numFmtId="179" fontId="50" fillId="0" borderId="3" xfId="0" applyNumberFormat="1" applyFont="1" applyBorder="1" applyAlignment="1">
      <alignment horizontal="right" vertical="top"/>
    </xf>
    <xf numFmtId="178" fontId="47" fillId="0" borderId="4" xfId="0" applyNumberFormat="1" applyFont="1" applyBorder="1" applyAlignment="1">
      <alignment horizontal="right" vertical="top"/>
    </xf>
    <xf numFmtId="179" fontId="47" fillId="0" borderId="3" xfId="0" applyNumberFormat="1" applyFont="1" applyBorder="1" applyAlignment="1">
      <alignment horizontal="right" vertical="top"/>
    </xf>
    <xf numFmtId="49" fontId="47" fillId="0" borderId="0" xfId="0" applyNumberFormat="1" applyFont="1" applyAlignment="1">
      <alignment horizontal="left" vertical="top" indent="2"/>
    </xf>
    <xf numFmtId="178" fontId="47" fillId="0" borderId="5" xfId="0" applyNumberFormat="1" applyFont="1" applyBorder="1" applyAlignment="1">
      <alignment horizontal="right" vertical="top"/>
    </xf>
    <xf numFmtId="179" fontId="47" fillId="0" borderId="0" xfId="0" applyNumberFormat="1" applyFont="1" applyAlignment="1">
      <alignment horizontal="right" vertical="top"/>
    </xf>
    <xf numFmtId="178" fontId="50" fillId="0" borderId="5" xfId="0" applyNumberFormat="1" applyFont="1" applyBorder="1" applyAlignment="1">
      <alignment horizontal="right" vertical="top"/>
    </xf>
    <xf numFmtId="179" fontId="50" fillId="0" borderId="0" xfId="0" applyNumberFormat="1" applyFont="1" applyAlignment="1">
      <alignment horizontal="right" vertical="top"/>
    </xf>
    <xf numFmtId="178" fontId="48" fillId="0" borderId="6" xfId="0" applyNumberFormat="1" applyFont="1" applyBorder="1" applyAlignment="1">
      <alignment horizontal="right" vertical="top"/>
    </xf>
    <xf numFmtId="179" fontId="48" fillId="0" borderId="1" xfId="0" applyNumberFormat="1" applyFont="1" applyBorder="1" applyAlignment="1">
      <alignment horizontal="right" vertical="top"/>
    </xf>
    <xf numFmtId="178" fontId="49" fillId="0" borderId="6" xfId="0" applyNumberFormat="1" applyFont="1" applyBorder="1" applyAlignment="1">
      <alignment horizontal="right" vertical="top"/>
    </xf>
    <xf numFmtId="179" fontId="49" fillId="0" borderId="1" xfId="0" applyNumberFormat="1" applyFont="1" applyBorder="1" applyAlignment="1">
      <alignment horizontal="right" vertical="top"/>
    </xf>
    <xf numFmtId="178" fontId="47" fillId="0" borderId="3" xfId="0" applyNumberFormat="1" applyFont="1" applyBorder="1" applyAlignment="1">
      <alignment horizontal="right" vertical="top"/>
    </xf>
    <xf numFmtId="178" fontId="50" fillId="0" borderId="3" xfId="0" applyNumberFormat="1" applyFont="1" applyBorder="1" applyAlignment="1">
      <alignment horizontal="right" vertical="top"/>
    </xf>
    <xf numFmtId="179" fontId="48" fillId="0" borderId="6" xfId="0" applyNumberFormat="1" applyFont="1" applyBorder="1" applyAlignment="1">
      <alignment horizontal="right" vertical="top"/>
    </xf>
    <xf numFmtId="179" fontId="49" fillId="0" borderId="6" xfId="0" applyNumberFormat="1" applyFont="1" applyBorder="1" applyAlignment="1">
      <alignment horizontal="right" vertical="top"/>
    </xf>
    <xf numFmtId="179" fontId="50" fillId="0" borderId="4" xfId="0" applyNumberFormat="1" applyFont="1" applyBorder="1" applyAlignment="1">
      <alignment horizontal="right" vertical="top"/>
    </xf>
    <xf numFmtId="179" fontId="47" fillId="0" borderId="4" xfId="0" applyNumberFormat="1" applyFont="1" applyBorder="1" applyAlignment="1">
      <alignment horizontal="right" vertical="top"/>
    </xf>
    <xf numFmtId="179" fontId="50" fillId="0" borderId="5" xfId="0" applyNumberFormat="1" applyFont="1" applyBorder="1" applyAlignment="1">
      <alignment horizontal="right" vertical="top"/>
    </xf>
    <xf numFmtId="179" fontId="47" fillId="0" borderId="5" xfId="0" applyNumberFormat="1" applyFont="1" applyBorder="1" applyAlignment="1">
      <alignment horizontal="right" vertical="top"/>
    </xf>
    <xf numFmtId="178" fontId="47" fillId="0" borderId="0" xfId="0" applyNumberFormat="1" applyFont="1" applyAlignment="1">
      <alignment horizontal="right" vertical="top"/>
    </xf>
    <xf numFmtId="178" fontId="50" fillId="0" borderId="0" xfId="0" applyNumberFormat="1" applyFont="1" applyAlignment="1">
      <alignment horizontal="right" vertical="top"/>
    </xf>
    <xf numFmtId="178" fontId="48" fillId="0" borderId="1" xfId="0" applyNumberFormat="1" applyFont="1" applyBorder="1" applyAlignment="1">
      <alignment horizontal="right" vertical="top"/>
    </xf>
    <xf numFmtId="178" fontId="49" fillId="0" borderId="1" xfId="0" applyNumberFormat="1" applyFont="1" applyBorder="1" applyAlignment="1">
      <alignment horizontal="right" vertical="top"/>
    </xf>
    <xf numFmtId="49" fontId="50" fillId="0" borderId="0" xfId="0" applyNumberFormat="1" applyFont="1" applyAlignment="1">
      <alignment horizontal="left" vertical="top" indent="1"/>
    </xf>
    <xf numFmtId="49" fontId="50" fillId="0" borderId="0" xfId="0" applyNumberFormat="1" applyFont="1" applyAlignment="1">
      <alignment vertical="top"/>
    </xf>
    <xf numFmtId="49" fontId="48" fillId="0" borderId="2" xfId="0" applyNumberFormat="1" applyFont="1" applyBorder="1" applyAlignment="1">
      <alignment horizontal="left" vertical="top" indent="2"/>
    </xf>
    <xf numFmtId="179" fontId="48" fillId="0" borderId="9" xfId="0" applyNumberFormat="1" applyFont="1" applyBorder="1" applyAlignment="1">
      <alignment horizontal="right" vertical="top"/>
    </xf>
    <xf numFmtId="49" fontId="44" fillId="0" borderId="0" xfId="2" applyNumberFormat="1" applyFont="1" applyAlignment="1">
      <alignment horizontal="center" vertical="center"/>
    </xf>
    <xf numFmtId="0" fontId="2" fillId="0" borderId="0" xfId="2" applyFont="1" applyAlignment="1">
      <alignment horizontal="center" vertical="center" wrapText="1"/>
    </xf>
    <xf numFmtId="180" fontId="0" fillId="0" borderId="0" xfId="0" applyNumberFormat="1"/>
    <xf numFmtId="179" fontId="52" fillId="2" borderId="5" xfId="0" applyNumberFormat="1" applyFont="1" applyFill="1" applyBorder="1" applyAlignment="1">
      <alignment horizontal="right" vertical="top"/>
    </xf>
    <xf numFmtId="179" fontId="52" fillId="2" borderId="3" xfId="0" applyNumberFormat="1" applyFont="1" applyFill="1" applyBorder="1" applyAlignment="1">
      <alignment horizontal="right" vertical="top"/>
    </xf>
    <xf numFmtId="179" fontId="52" fillId="0" borderId="5" xfId="0" applyNumberFormat="1" applyFont="1" applyBorder="1" applyAlignment="1">
      <alignment horizontal="right" vertical="top"/>
    </xf>
    <xf numFmtId="179" fontId="52" fillId="0" borderId="0" xfId="0" applyNumberFormat="1" applyFont="1" applyAlignment="1">
      <alignment horizontal="right" vertical="top"/>
    </xf>
    <xf numFmtId="0" fontId="53" fillId="0" borderId="0" xfId="0" applyFont="1"/>
    <xf numFmtId="0" fontId="1" fillId="0" borderId="0" xfId="2" applyAlignment="1">
      <alignment vertical="center"/>
    </xf>
    <xf numFmtId="0" fontId="2" fillId="0" borderId="0" xfId="2" applyFont="1" applyAlignment="1">
      <alignment vertical="center"/>
    </xf>
    <xf numFmtId="49" fontId="44" fillId="0" borderId="0" xfId="2" applyNumberFormat="1" applyFont="1" applyAlignment="1">
      <alignment horizontal="center" vertical="center" wrapText="1"/>
    </xf>
    <xf numFmtId="49" fontId="44" fillId="0" borderId="7" xfId="2" applyNumberFormat="1" applyFont="1" applyBorder="1" applyAlignment="1">
      <alignment horizontal="center" vertical="center" wrapText="1"/>
    </xf>
    <xf numFmtId="0" fontId="2" fillId="0" borderId="7" xfId="2" applyFont="1" applyBorder="1" applyAlignment="1">
      <alignment horizontal="center" vertical="center" wrapText="1"/>
    </xf>
    <xf numFmtId="166" fontId="1" fillId="0" borderId="0" xfId="2" applyNumberFormat="1" applyAlignment="1">
      <alignment horizontal="center" vertical="center"/>
    </xf>
    <xf numFmtId="0" fontId="1" fillId="0" borderId="10" xfId="2" applyBorder="1" applyAlignment="1">
      <alignment horizontal="center" vertical="center"/>
    </xf>
    <xf numFmtId="0" fontId="1" fillId="0" borderId="11" xfId="2" applyBorder="1" applyAlignment="1">
      <alignment vertical="center"/>
    </xf>
    <xf numFmtId="0" fontId="1" fillId="0" borderId="10" xfId="2" applyBorder="1" applyAlignment="1">
      <alignment vertical="center"/>
    </xf>
    <xf numFmtId="0" fontId="1" fillId="0" borderId="0" xfId="0" applyFont="1"/>
    <xf numFmtId="169" fontId="1" fillId="0" borderId="0" xfId="1" applyNumberFormat="1" applyFont="1"/>
    <xf numFmtId="1" fontId="44" fillId="0" borderId="11" xfId="2" applyNumberFormat="1" applyFont="1" applyBorder="1" applyAlignment="1">
      <alignment horizontal="center" vertical="center"/>
    </xf>
    <xf numFmtId="164" fontId="1" fillId="0" borderId="11" xfId="2" applyNumberFormat="1" applyBorder="1" applyAlignment="1">
      <alignment vertical="center"/>
    </xf>
    <xf numFmtId="1" fontId="45" fillId="0" borderId="11" xfId="2" applyNumberFormat="1" applyFont="1" applyBorder="1" applyAlignment="1">
      <alignment horizontal="center" vertical="center"/>
    </xf>
    <xf numFmtId="164" fontId="2" fillId="0" borderId="11" xfId="3" applyFont="1" applyFill="1" applyBorder="1" applyAlignment="1">
      <alignment vertical="center"/>
    </xf>
    <xf numFmtId="164" fontId="1" fillId="0" borderId="11" xfId="3" applyFont="1" applyFill="1" applyBorder="1" applyAlignment="1">
      <alignment vertical="center"/>
    </xf>
    <xf numFmtId="164" fontId="1" fillId="0" borderId="0" xfId="2" applyNumberFormat="1" applyAlignment="1">
      <alignment vertical="center"/>
    </xf>
    <xf numFmtId="164" fontId="1" fillId="0" borderId="0" xfId="0" applyNumberFormat="1" applyFont="1"/>
    <xf numFmtId="0" fontId="1" fillId="0" borderId="11" xfId="2" applyBorder="1" applyAlignment="1">
      <alignment horizontal="center" vertical="center"/>
    </xf>
    <xf numFmtId="0" fontId="2" fillId="0" borderId="11" xfId="2" applyFont="1" applyBorder="1" applyAlignment="1">
      <alignment horizontal="center" vertical="center"/>
    </xf>
    <xf numFmtId="164" fontId="2" fillId="0" borderId="7" xfId="3" applyFont="1" applyFill="1" applyBorder="1" applyAlignment="1">
      <alignment vertical="center"/>
    </xf>
    <xf numFmtId="164" fontId="2" fillId="0" borderId="0" xfId="3" applyFont="1" applyFill="1" applyBorder="1" applyAlignment="1">
      <alignment vertical="center"/>
    </xf>
    <xf numFmtId="49" fontId="45" fillId="0" borderId="0" xfId="2" applyNumberFormat="1" applyFont="1" applyAlignment="1">
      <alignment vertical="center"/>
    </xf>
    <xf numFmtId="164" fontId="1" fillId="0" borderId="0" xfId="1" applyFont="1" applyBorder="1" applyAlignment="1">
      <alignment vertical="center"/>
    </xf>
    <xf numFmtId="14" fontId="1" fillId="0" borderId="0" xfId="2" applyNumberFormat="1" applyAlignment="1">
      <alignment vertical="center"/>
    </xf>
    <xf numFmtId="169" fontId="1" fillId="0" borderId="0" xfId="2" applyNumberFormat="1" applyAlignment="1">
      <alignment vertical="center"/>
    </xf>
    <xf numFmtId="164" fontId="1" fillId="0" borderId="15" xfId="2" applyNumberFormat="1" applyBorder="1" applyAlignment="1">
      <alignment vertical="center"/>
    </xf>
    <xf numFmtId="0" fontId="1" fillId="0" borderId="16" xfId="2" applyBorder="1" applyAlignment="1">
      <alignment vertical="center"/>
    </xf>
    <xf numFmtId="0" fontId="1" fillId="0" borderId="17" xfId="2" applyBorder="1" applyAlignment="1">
      <alignment vertical="center"/>
    </xf>
    <xf numFmtId="0" fontId="1" fillId="0" borderId="18" xfId="2" applyBorder="1" applyAlignment="1">
      <alignment vertical="center"/>
    </xf>
    <xf numFmtId="0" fontId="1" fillId="0" borderId="19" xfId="2" applyBorder="1" applyAlignment="1">
      <alignment vertical="center"/>
    </xf>
    <xf numFmtId="164" fontId="1" fillId="0" borderId="20" xfId="2" applyNumberFormat="1" applyBorder="1" applyAlignment="1">
      <alignment vertical="center"/>
    </xf>
    <xf numFmtId="0" fontId="1" fillId="0" borderId="21" xfId="2" applyBorder="1" applyAlignment="1">
      <alignment vertical="center"/>
    </xf>
    <xf numFmtId="0" fontId="1" fillId="0" borderId="22" xfId="2" applyBorder="1" applyAlignment="1">
      <alignment vertical="center"/>
    </xf>
    <xf numFmtId="164" fontId="1" fillId="0" borderId="0" xfId="3" applyFont="1" applyFill="1" applyBorder="1" applyAlignment="1">
      <alignment vertical="center"/>
    </xf>
    <xf numFmtId="164" fontId="1" fillId="0" borderId="0" xfId="1" applyFont="1" applyFill="1" applyBorder="1" applyAlignment="1">
      <alignment vertical="center"/>
    </xf>
    <xf numFmtId="0" fontId="2" fillId="0" borderId="11" xfId="2" applyFont="1" applyBorder="1" applyAlignment="1">
      <alignment horizontal="center" vertical="top"/>
    </xf>
    <xf numFmtId="1" fontId="44" fillId="0" borderId="11" xfId="2" applyNumberFormat="1" applyFont="1" applyBorder="1" applyAlignment="1">
      <alignment horizontal="center" vertical="top"/>
    </xf>
    <xf numFmtId="0" fontId="18" fillId="0" borderId="11" xfId="4" applyFont="1" applyBorder="1"/>
    <xf numFmtId="0" fontId="18" fillId="0" borderId="5" xfId="4" applyFont="1" applyBorder="1"/>
    <xf numFmtId="0" fontId="2" fillId="0" borderId="0" xfId="2" applyFont="1" applyAlignment="1">
      <alignment horizontal="left" vertical="center" wrapText="1"/>
    </xf>
    <xf numFmtId="49" fontId="44" fillId="0" borderId="11" xfId="2" applyNumberFormat="1" applyFont="1" applyBorder="1" applyAlignment="1">
      <alignment horizontal="center" vertical="top"/>
    </xf>
    <xf numFmtId="0" fontId="1" fillId="0" borderId="5" xfId="2" applyBorder="1" applyAlignment="1">
      <alignment vertical="center"/>
    </xf>
    <xf numFmtId="0" fontId="2" fillId="0" borderId="13" xfId="2" applyFont="1" applyBorder="1" applyAlignment="1">
      <alignment horizontal="center" vertical="center"/>
    </xf>
    <xf numFmtId="0" fontId="1" fillId="0" borderId="1" xfId="2" applyBorder="1" applyAlignment="1">
      <alignment vertical="center"/>
    </xf>
    <xf numFmtId="0" fontId="2" fillId="0" borderId="0" xfId="2" applyFont="1" applyAlignment="1">
      <alignment horizontal="center" vertical="center"/>
    </xf>
    <xf numFmtId="0" fontId="1" fillId="0" borderId="0" xfId="2" applyAlignment="1">
      <alignment horizontal="center" vertical="top"/>
    </xf>
    <xf numFmtId="49" fontId="45" fillId="0" borderId="0" xfId="2" applyNumberFormat="1" applyFont="1" applyAlignment="1">
      <alignment horizontal="center" vertical="top"/>
    </xf>
    <xf numFmtId="164" fontId="1" fillId="0" borderId="7" xfId="3" applyFont="1" applyFill="1" applyBorder="1" applyAlignment="1">
      <alignment vertical="center"/>
    </xf>
    <xf numFmtId="0" fontId="1" fillId="0" borderId="0" xfId="0" applyFont="1" applyAlignment="1">
      <alignment horizontal="left" vertical="center" wrapText="1"/>
    </xf>
    <xf numFmtId="0" fontId="54" fillId="0" borderId="0" xfId="2" applyFont="1" applyAlignment="1">
      <alignment vertical="center"/>
    </xf>
    <xf numFmtId="164" fontId="1" fillId="0" borderId="13" xfId="3" applyFont="1" applyFill="1" applyBorder="1" applyAlignment="1">
      <alignment vertical="center"/>
    </xf>
    <xf numFmtId="164" fontId="1" fillId="0" borderId="11" xfId="1" applyFont="1" applyFill="1" applyBorder="1" applyAlignment="1">
      <alignment vertical="center"/>
    </xf>
    <xf numFmtId="164" fontId="1" fillId="0" borderId="11" xfId="1" applyFont="1" applyBorder="1" applyAlignment="1">
      <alignment vertical="center"/>
    </xf>
    <xf numFmtId="164" fontId="50" fillId="0" borderId="4" xfId="1" applyFont="1" applyBorder="1" applyAlignment="1">
      <alignment horizontal="right" vertical="top"/>
    </xf>
    <xf numFmtId="164" fontId="50" fillId="2" borderId="3" xfId="1" applyFont="1" applyFill="1" applyBorder="1" applyAlignment="1">
      <alignment horizontal="right" vertical="top"/>
    </xf>
    <xf numFmtId="164" fontId="49" fillId="0" borderId="6" xfId="1" applyFont="1" applyBorder="1" applyAlignment="1">
      <alignment horizontal="right" vertical="top"/>
    </xf>
    <xf numFmtId="164" fontId="49" fillId="0" borderId="1" xfId="1" applyFont="1" applyBorder="1" applyAlignment="1">
      <alignment horizontal="right" vertical="top"/>
    </xf>
    <xf numFmtId="164" fontId="47" fillId="2" borderId="4" xfId="1" applyFont="1" applyFill="1" applyBorder="1" applyAlignment="1">
      <alignment horizontal="right" vertical="top"/>
    </xf>
    <xf numFmtId="164" fontId="47" fillId="0" borderId="3" xfId="1" applyFont="1" applyBorder="1" applyAlignment="1">
      <alignment horizontal="right" vertical="top"/>
    </xf>
    <xf numFmtId="164" fontId="50" fillId="0" borderId="3" xfId="1" applyFont="1" applyBorder="1" applyAlignment="1">
      <alignment horizontal="right" vertical="top"/>
    </xf>
    <xf numFmtId="164" fontId="50" fillId="0" borderId="5" xfId="1" applyFont="1" applyBorder="1" applyAlignment="1">
      <alignment horizontal="right" vertical="top"/>
    </xf>
    <xf numFmtId="164" fontId="50" fillId="0" borderId="0" xfId="1" applyFont="1" applyBorder="1" applyAlignment="1">
      <alignment horizontal="right" vertical="top"/>
    </xf>
    <xf numFmtId="164" fontId="50" fillId="2" borderId="0" xfId="1" applyFont="1" applyFill="1" applyBorder="1" applyAlignment="1">
      <alignment horizontal="right" vertical="top"/>
    </xf>
    <xf numFmtId="164" fontId="47" fillId="0" borderId="4" xfId="1" applyFont="1" applyBorder="1" applyAlignment="1">
      <alignment horizontal="right" vertical="top"/>
    </xf>
    <xf numFmtId="164" fontId="47" fillId="0" borderId="5" xfId="1" applyFont="1" applyBorder="1" applyAlignment="1">
      <alignment horizontal="right" vertical="top"/>
    </xf>
    <xf numFmtId="164" fontId="47" fillId="0" borderId="0" xfId="1" applyFont="1" applyBorder="1" applyAlignment="1">
      <alignment horizontal="right" vertical="top"/>
    </xf>
    <xf numFmtId="164" fontId="49" fillId="0" borderId="9" xfId="1" applyFont="1" applyBorder="1" applyAlignment="1">
      <alignment horizontal="right" vertical="top"/>
    </xf>
    <xf numFmtId="164" fontId="49" fillId="0" borderId="2" xfId="1" applyFont="1" applyBorder="1" applyAlignment="1">
      <alignment horizontal="right" vertical="top"/>
    </xf>
    <xf numFmtId="0" fontId="17" fillId="0" borderId="5" xfId="4" applyFont="1" applyBorder="1" applyAlignment="1">
      <alignment horizontal="left" indent="1"/>
    </xf>
    <xf numFmtId="0" fontId="32" fillId="0" borderId="0" xfId="41" applyFont="1" applyAlignment="1">
      <alignment horizontal="center" vertical="center"/>
    </xf>
    <xf numFmtId="181" fontId="36" fillId="0" borderId="7" xfId="3043" applyNumberFormat="1" applyFont="1" applyBorder="1" applyAlignment="1">
      <alignment vertical="center"/>
    </xf>
    <xf numFmtId="164" fontId="2" fillId="0" borderId="0" xfId="1" applyFont="1" applyAlignment="1">
      <alignment horizontal="center" vertical="center" wrapText="1"/>
    </xf>
    <xf numFmtId="164" fontId="0" fillId="0" borderId="5" xfId="1" applyFont="1" applyBorder="1"/>
    <xf numFmtId="0" fontId="0" fillId="0" borderId="11" xfId="0" quotePrefix="1" applyBorder="1" applyAlignment="1">
      <alignment horizontal="left" indent="6"/>
    </xf>
    <xf numFmtId="179" fontId="51" fillId="6" borderId="4" xfId="0" applyNumberFormat="1" applyFont="1" applyFill="1" applyBorder="1" applyAlignment="1">
      <alignment horizontal="right" vertical="top"/>
    </xf>
    <xf numFmtId="179" fontId="51" fillId="6" borderId="5" xfId="0" applyNumberFormat="1" applyFont="1" applyFill="1" applyBorder="1" applyAlignment="1">
      <alignment horizontal="right" vertical="top"/>
    </xf>
    <xf numFmtId="179" fontId="52" fillId="6" borderId="5" xfId="0" applyNumberFormat="1" applyFont="1" applyFill="1" applyBorder="1" applyAlignment="1">
      <alignment horizontal="right" vertical="top"/>
    </xf>
    <xf numFmtId="179" fontId="52" fillId="6" borderId="4" xfId="0" applyNumberFormat="1" applyFont="1" applyFill="1" applyBorder="1" applyAlignment="1">
      <alignment horizontal="right" vertical="top"/>
    </xf>
    <xf numFmtId="179" fontId="51" fillId="6" borderId="0" xfId="0" applyNumberFormat="1" applyFont="1" applyFill="1" applyAlignment="1">
      <alignment horizontal="right" vertical="top"/>
    </xf>
    <xf numFmtId="179" fontId="52" fillId="6" borderId="3" xfId="0" applyNumberFormat="1" applyFont="1" applyFill="1" applyBorder="1" applyAlignment="1">
      <alignment horizontal="right" vertical="top"/>
    </xf>
    <xf numFmtId="179" fontId="52" fillId="6" borderId="0" xfId="0" applyNumberFormat="1" applyFont="1" applyFill="1" applyAlignment="1">
      <alignment horizontal="right" vertical="top"/>
    </xf>
    <xf numFmtId="164" fontId="0" fillId="0" borderId="7" xfId="40902" applyFont="1" applyFill="1" applyBorder="1" applyAlignment="1">
      <alignment vertical="center" wrapText="1"/>
    </xf>
    <xf numFmtId="0" fontId="0" fillId="0" borderId="0" xfId="2" applyFont="1" applyAlignment="1">
      <alignment vertical="center"/>
    </xf>
    <xf numFmtId="164" fontId="20" fillId="0" borderId="0" xfId="38" applyNumberFormat="1" applyFont="1" applyAlignment="1">
      <alignment vertical="center"/>
    </xf>
    <xf numFmtId="0" fontId="0" fillId="0" borderId="0" xfId="0" applyAlignment="1">
      <alignment horizontal="left" indent="5"/>
    </xf>
    <xf numFmtId="164" fontId="19" fillId="0" borderId="14" xfId="1" applyFont="1" applyFill="1" applyBorder="1" applyAlignment="1">
      <alignment vertical="center"/>
    </xf>
    <xf numFmtId="0" fontId="17" fillId="0" borderId="0" xfId="0" applyFont="1"/>
    <xf numFmtId="164" fontId="0" fillId="0" borderId="0" xfId="40904" applyFont="1"/>
    <xf numFmtId="0" fontId="0" fillId="0" borderId="0" xfId="0" applyAlignment="1">
      <alignment horizontal="center"/>
    </xf>
    <xf numFmtId="0" fontId="18" fillId="0" borderId="0" xfId="0" applyFont="1"/>
    <xf numFmtId="0" fontId="18" fillId="0" borderId="0" xfId="0" applyFont="1" applyAlignment="1">
      <alignment horizontal="center"/>
    </xf>
    <xf numFmtId="0" fontId="17" fillId="0" borderId="0" xfId="0" applyFont="1" applyAlignment="1">
      <alignment horizontal="center"/>
    </xf>
    <xf numFmtId="0" fontId="17" fillId="0" borderId="0" xfId="21" applyFont="1" applyAlignment="1">
      <alignment vertical="center" wrapText="1"/>
    </xf>
    <xf numFmtId="168" fontId="18" fillId="0" borderId="0" xfId="28" applyFont="1" applyAlignment="1">
      <alignment vertical="center" wrapText="1"/>
    </xf>
    <xf numFmtId="0" fontId="2" fillId="0" borderId="0" xfId="2" applyFont="1" applyAlignment="1">
      <alignment horizontal="right" vertical="center"/>
    </xf>
    <xf numFmtId="0" fontId="2" fillId="0" borderId="0" xfId="0" applyFont="1" applyAlignment="1">
      <alignment horizontal="right"/>
    </xf>
    <xf numFmtId="0" fontId="18" fillId="0" borderId="0" xfId="0" applyFont="1" applyAlignment="1">
      <alignment horizontal="right"/>
    </xf>
    <xf numFmtId="182" fontId="18" fillId="0" borderId="11" xfId="21" applyNumberFormat="1" applyFont="1" applyBorder="1" applyAlignment="1">
      <alignment horizontal="left" vertical="center" wrapText="1" indent="2"/>
    </xf>
    <xf numFmtId="182" fontId="17" fillId="0" borderId="11" xfId="21" applyNumberFormat="1" applyFont="1" applyBorder="1" applyAlignment="1">
      <alignment horizontal="left" vertical="center" wrapText="1" indent="2"/>
    </xf>
    <xf numFmtId="182" fontId="17" fillId="0" borderId="11" xfId="21" applyNumberFormat="1" applyFont="1" applyBorder="1" applyAlignment="1">
      <alignment horizontal="left" vertical="center" wrapText="1" indent="4"/>
    </xf>
    <xf numFmtId="0" fontId="17" fillId="0" borderId="11" xfId="21" applyFont="1" applyBorder="1" applyAlignment="1">
      <alignment horizontal="left" vertical="center" wrapText="1" indent="4"/>
    </xf>
    <xf numFmtId="0" fontId="18" fillId="0" borderId="11" xfId="21" applyFont="1" applyBorder="1" applyAlignment="1">
      <alignment horizontal="left" vertical="center" wrapText="1" indent="2"/>
    </xf>
    <xf numFmtId="0" fontId="17" fillId="0" borderId="11" xfId="21" quotePrefix="1" applyFont="1" applyBorder="1" applyAlignment="1">
      <alignment horizontal="left" vertical="center" wrapText="1" indent="2"/>
    </xf>
    <xf numFmtId="0" fontId="17" fillId="0" borderId="11" xfId="21" applyFont="1" applyBorder="1" applyAlignment="1">
      <alignment horizontal="left" vertical="center" wrapText="1" indent="2"/>
    </xf>
    <xf numFmtId="0" fontId="18" fillId="0" borderId="11" xfId="21" applyFont="1" applyBorder="1" applyAlignment="1">
      <alignment horizontal="left" vertical="center" wrapText="1"/>
    </xf>
    <xf numFmtId="0" fontId="18" fillId="0" borderId="11" xfId="0" quotePrefix="1" applyFont="1" applyBorder="1"/>
    <xf numFmtId="0" fontId="18" fillId="0" borderId="13" xfId="21" applyFont="1" applyBorder="1" applyAlignment="1">
      <alignment horizontal="left" vertical="center" wrapText="1"/>
    </xf>
    <xf numFmtId="0" fontId="18" fillId="0" borderId="7" xfId="0" applyFont="1" applyBorder="1" applyAlignment="1">
      <alignment horizontal="center" vertical="center"/>
    </xf>
    <xf numFmtId="0" fontId="18" fillId="0" borderId="7" xfId="0" applyFont="1" applyBorder="1" applyAlignment="1">
      <alignment horizontal="center" vertical="top" wrapText="1"/>
    </xf>
    <xf numFmtId="0" fontId="18" fillId="0" borderId="11" xfId="0" applyFont="1" applyBorder="1" applyAlignment="1">
      <alignment horizontal="center"/>
    </xf>
    <xf numFmtId="164" fontId="18" fillId="0" borderId="11" xfId="40904" applyFont="1" applyFill="1" applyBorder="1" applyAlignment="1">
      <alignment horizontal="center" vertical="center" wrapText="1"/>
    </xf>
    <xf numFmtId="164" fontId="18" fillId="0" borderId="13" xfId="40904" applyFont="1" applyFill="1" applyBorder="1" applyAlignment="1">
      <alignment horizontal="center" vertical="center" wrapText="1"/>
    </xf>
    <xf numFmtId="164" fontId="18" fillId="0" borderId="14" xfId="40905" applyFont="1" applyFill="1" applyBorder="1" applyAlignment="1" applyProtection="1">
      <alignment vertical="center" wrapText="1"/>
    </xf>
    <xf numFmtId="0" fontId="18" fillId="0" borderId="10" xfId="0" applyFont="1" applyBorder="1" applyAlignment="1">
      <alignment horizontal="center"/>
    </xf>
    <xf numFmtId="164" fontId="17" fillId="0" borderId="11" xfId="40905" applyFont="1" applyFill="1" applyBorder="1" applyAlignment="1" applyProtection="1">
      <alignment vertical="center" wrapText="1"/>
    </xf>
    <xf numFmtId="164" fontId="56" fillId="0" borderId="11" xfId="40905" applyFont="1" applyFill="1" applyBorder="1" applyAlignment="1" applyProtection="1">
      <alignment vertical="center" wrapText="1"/>
    </xf>
    <xf numFmtId="164" fontId="18" fillId="0" borderId="13" xfId="40905" applyFont="1" applyFill="1" applyBorder="1" applyAlignment="1">
      <alignment vertical="center" wrapText="1"/>
    </xf>
    <xf numFmtId="164" fontId="18" fillId="0" borderId="11" xfId="40905" applyFont="1" applyFill="1" applyBorder="1" applyAlignment="1" applyProtection="1">
      <alignment vertical="center" wrapText="1"/>
    </xf>
    <xf numFmtId="164" fontId="55" fillId="0" borderId="11" xfId="40905" applyFont="1" applyFill="1" applyBorder="1" applyAlignment="1" applyProtection="1">
      <alignment vertical="center" wrapText="1"/>
    </xf>
    <xf numFmtId="164" fontId="17" fillId="0" borderId="13" xfId="40905" applyFont="1" applyFill="1" applyBorder="1" applyAlignment="1">
      <alignment vertical="center" wrapText="1"/>
    </xf>
    <xf numFmtId="164" fontId="17" fillId="0" borderId="13" xfId="40905" applyFont="1" applyFill="1" applyBorder="1" applyAlignment="1" applyProtection="1">
      <alignment vertical="center" wrapText="1"/>
    </xf>
    <xf numFmtId="164" fontId="17" fillId="0" borderId="14" xfId="40905" applyFont="1" applyFill="1" applyBorder="1" applyAlignment="1" applyProtection="1">
      <alignment vertical="center" wrapText="1"/>
    </xf>
    <xf numFmtId="164" fontId="18" fillId="0" borderId="11" xfId="40905" applyFont="1" applyFill="1" applyBorder="1" applyAlignment="1">
      <alignment vertical="center" wrapText="1"/>
    </xf>
    <xf numFmtId="164" fontId="17" fillId="0" borderId="0" xfId="1" applyFont="1"/>
    <xf numFmtId="164" fontId="17" fillId="0" borderId="0" xfId="1" applyFont="1" applyFill="1" applyBorder="1" applyAlignment="1" applyProtection="1">
      <alignment vertical="center" wrapText="1"/>
    </xf>
    <xf numFmtId="49" fontId="47" fillId="0" borderId="0" xfId="0" applyNumberFormat="1" applyFont="1" applyAlignment="1">
      <alignment horizontal="left" vertical="top" indent="1"/>
    </xf>
    <xf numFmtId="164" fontId="18" fillId="0" borderId="10" xfId="1" applyFont="1" applyFill="1" applyBorder="1" applyAlignment="1">
      <alignment horizontal="left" vertical="center"/>
    </xf>
    <xf numFmtId="164" fontId="2" fillId="0" borderId="11" xfId="1" applyFont="1" applyBorder="1" applyAlignment="1">
      <alignment horizontal="left"/>
    </xf>
    <xf numFmtId="164" fontId="0" fillId="0" borderId="11" xfId="1" applyFont="1" applyBorder="1" applyAlignment="1">
      <alignment horizontal="left" indent="2"/>
    </xf>
    <xf numFmtId="164" fontId="0" fillId="0" borderId="11" xfId="1" applyFont="1" applyBorder="1" applyAlignment="1">
      <alignment horizontal="left" indent="4"/>
    </xf>
    <xf numFmtId="164" fontId="17" fillId="0" borderId="11" xfId="1" applyFont="1" applyFill="1" applyBorder="1" applyAlignment="1">
      <alignment horizontal="left" vertical="center" indent="2"/>
    </xf>
    <xf numFmtId="164" fontId="2" fillId="0" borderId="11" xfId="1" applyFont="1" applyBorder="1"/>
    <xf numFmtId="164" fontId="1" fillId="0" borderId="11" xfId="1" applyFont="1" applyBorder="1" applyAlignment="1">
      <alignment horizontal="left" indent="2"/>
    </xf>
    <xf numFmtId="164" fontId="1" fillId="0" borderId="11" xfId="1" applyFont="1" applyBorder="1" applyAlignment="1">
      <alignment horizontal="left" indent="4"/>
    </xf>
    <xf numFmtId="164" fontId="18" fillId="0" borderId="11" xfId="1" applyFont="1" applyFill="1" applyBorder="1"/>
    <xf numFmtId="164" fontId="2" fillId="0" borderId="11" xfId="1" applyFont="1" applyBorder="1" applyAlignment="1">
      <alignment horizontal="left" indent="1"/>
    </xf>
    <xf numFmtId="164" fontId="0" fillId="0" borderId="11" xfId="1" applyFont="1" applyBorder="1" applyAlignment="1">
      <alignment horizontal="left" indent="3"/>
    </xf>
    <xf numFmtId="164" fontId="0" fillId="0" borderId="11" xfId="1" applyFont="1" applyBorder="1" applyAlignment="1">
      <alignment horizontal="left" indent="5"/>
    </xf>
    <xf numFmtId="164" fontId="0" fillId="0" borderId="0" xfId="1" applyFont="1" applyBorder="1" applyAlignment="1">
      <alignment horizontal="left" indent="5"/>
    </xf>
    <xf numFmtId="164" fontId="0" fillId="0" borderId="0" xfId="1" applyFont="1" applyBorder="1" applyAlignment="1">
      <alignment horizontal="left" indent="3"/>
    </xf>
    <xf numFmtId="164" fontId="0" fillId="0" borderId="0" xfId="1" applyFont="1" applyAlignment="1">
      <alignment horizontal="left" indent="5"/>
    </xf>
    <xf numFmtId="164" fontId="0" fillId="0" borderId="11" xfId="1" quotePrefix="1" applyFont="1" applyBorder="1" applyAlignment="1">
      <alignment horizontal="left" indent="6"/>
    </xf>
    <xf numFmtId="164" fontId="2" fillId="0" borderId="0" xfId="1" applyFont="1"/>
    <xf numFmtId="164" fontId="2" fillId="0" borderId="0" xfId="1" applyFont="1" applyAlignment="1">
      <alignment vertical="center"/>
    </xf>
    <xf numFmtId="164" fontId="50" fillId="0" borderId="7" xfId="1" applyFont="1" applyFill="1" applyBorder="1" applyAlignment="1">
      <alignment horizontal="center" vertical="top"/>
    </xf>
    <xf numFmtId="164" fontId="48" fillId="0" borderId="2" xfId="1" applyFont="1" applyFill="1" applyBorder="1" applyAlignment="1">
      <alignment horizontal="right" vertical="top"/>
    </xf>
    <xf numFmtId="164" fontId="50" fillId="0" borderId="0" xfId="1" applyFont="1" applyFill="1" applyAlignment="1">
      <alignment horizontal="right" vertical="top"/>
    </xf>
    <xf numFmtId="164" fontId="50" fillId="2" borderId="0" xfId="1" applyFont="1" applyFill="1" applyAlignment="1">
      <alignment horizontal="right" vertical="top"/>
    </xf>
    <xf numFmtId="164" fontId="47" fillId="0" borderId="0" xfId="1" applyFont="1" applyFill="1" applyAlignment="1">
      <alignment horizontal="right" vertical="top"/>
    </xf>
    <xf numFmtId="164" fontId="47" fillId="2" borderId="0" xfId="1" applyFont="1" applyFill="1" applyAlignment="1">
      <alignment horizontal="right" vertical="top"/>
    </xf>
    <xf numFmtId="164" fontId="48" fillId="0" borderId="1" xfId="1" applyFont="1" applyFill="1" applyBorder="1" applyAlignment="1">
      <alignment horizontal="right" vertical="top"/>
    </xf>
    <xf numFmtId="164" fontId="0" fillId="0" borderId="0" xfId="1" applyFont="1" applyFill="1"/>
    <xf numFmtId="164" fontId="49" fillId="2" borderId="0" xfId="1" applyFont="1" applyFill="1" applyAlignment="1">
      <alignment horizontal="right" vertical="top"/>
    </xf>
    <xf numFmtId="164" fontId="2" fillId="2" borderId="0" xfId="1" applyFont="1" applyFill="1"/>
    <xf numFmtId="164" fontId="48" fillId="2" borderId="1" xfId="1" applyFont="1" applyFill="1" applyBorder="1" applyAlignment="1">
      <alignment horizontal="right" vertical="top"/>
    </xf>
    <xf numFmtId="0" fontId="22" fillId="0" borderId="0" xfId="0" applyFont="1"/>
    <xf numFmtId="0" fontId="2" fillId="7" borderId="7" xfId="0" applyFont="1" applyFill="1" applyBorder="1" applyAlignment="1">
      <alignment horizontal="center" vertical="center"/>
    </xf>
    <xf numFmtId="0" fontId="0" fillId="8" borderId="7" xfId="0" applyFill="1" applyBorder="1"/>
    <xf numFmtId="169" fontId="0" fillId="0" borderId="7" xfId="40908" applyNumberFormat="1" applyFont="1" applyBorder="1"/>
    <xf numFmtId="169" fontId="0" fillId="0" borderId="7" xfId="0" applyNumberFormat="1" applyBorder="1"/>
    <xf numFmtId="0" fontId="0" fillId="9" borderId="7" xfId="0" applyFill="1" applyBorder="1"/>
    <xf numFmtId="164" fontId="0" fillId="0" borderId="0" xfId="40909" applyFont="1"/>
    <xf numFmtId="164" fontId="2" fillId="0" borderId="0" xfId="40909" applyFont="1"/>
    <xf numFmtId="0" fontId="0" fillId="10" borderId="7" xfId="0" applyFill="1" applyBorder="1"/>
    <xf numFmtId="164" fontId="2" fillId="0" borderId="0" xfId="0" applyNumberFormat="1" applyFont="1"/>
    <xf numFmtId="164" fontId="50" fillId="6" borderId="0" xfId="1" applyFont="1" applyFill="1" applyAlignment="1">
      <alignment horizontal="right" vertical="top"/>
    </xf>
    <xf numFmtId="164" fontId="47" fillId="6" borderId="0" xfId="1" applyFont="1" applyFill="1" applyAlignment="1">
      <alignment horizontal="right" vertical="top"/>
    </xf>
    <xf numFmtId="164" fontId="0" fillId="0" borderId="0" xfId="1" applyFont="1" applyAlignment="1">
      <alignment horizontal="right"/>
    </xf>
    <xf numFmtId="164" fontId="2" fillId="0" borderId="0" xfId="1" applyFont="1" applyAlignment="1">
      <alignment horizontal="right"/>
    </xf>
    <xf numFmtId="0" fontId="0" fillId="0" borderId="0" xfId="0" applyAlignment="1">
      <alignment horizontal="left" indent="2"/>
    </xf>
    <xf numFmtId="0" fontId="0" fillId="0" borderId="0" xfId="0" applyAlignment="1">
      <alignment horizontal="left" indent="4"/>
    </xf>
    <xf numFmtId="164" fontId="1" fillId="0" borderId="0" xfId="1" applyFont="1" applyFill="1"/>
    <xf numFmtId="0" fontId="17" fillId="0" borderId="0" xfId="0" applyFont="1" applyAlignment="1">
      <alignment horizontal="left" indent="4"/>
    </xf>
    <xf numFmtId="164" fontId="0" fillId="0" borderId="0" xfId="1" applyFont="1" applyFill="1" applyBorder="1"/>
    <xf numFmtId="0" fontId="18" fillId="11" borderId="0" xfId="0" applyFont="1" applyFill="1"/>
    <xf numFmtId="164" fontId="17" fillId="0" borderId="0" xfId="1" applyFont="1" applyFill="1"/>
    <xf numFmtId="0" fontId="2" fillId="0" borderId="0" xfId="0" applyFont="1" applyAlignment="1">
      <alignment horizontal="left" indent="1"/>
    </xf>
    <xf numFmtId="0" fontId="0" fillId="0" borderId="0" xfId="0" applyAlignment="1">
      <alignment horizontal="left" indent="3"/>
    </xf>
    <xf numFmtId="0" fontId="17" fillId="0" borderId="0" xfId="0" applyFont="1" applyAlignment="1">
      <alignment horizontal="left" indent="5"/>
    </xf>
    <xf numFmtId="49" fontId="0" fillId="0" borderId="0" xfId="0" applyNumberFormat="1" applyAlignment="1">
      <alignment horizontal="left" indent="7"/>
    </xf>
    <xf numFmtId="0" fontId="17" fillId="0" borderId="0" xfId="0" applyFont="1" applyAlignment="1">
      <alignment horizontal="left" indent="3"/>
    </xf>
    <xf numFmtId="164" fontId="19" fillId="0" borderId="14" xfId="1" applyFont="1" applyBorder="1" applyAlignment="1">
      <alignment vertical="center"/>
    </xf>
    <xf numFmtId="0" fontId="17" fillId="0" borderId="0" xfId="2" applyFont="1" applyAlignment="1">
      <alignment horizontal="justify" vertical="top" wrapText="1"/>
    </xf>
    <xf numFmtId="164" fontId="2" fillId="0" borderId="5" xfId="1" applyFont="1" applyBorder="1" applyAlignment="1">
      <alignment horizontal="left" indent="1"/>
    </xf>
    <xf numFmtId="164" fontId="0" fillId="0" borderId="5" xfId="1" applyFont="1" applyBorder="1" applyAlignment="1">
      <alignment horizontal="left" indent="3"/>
    </xf>
    <xf numFmtId="164" fontId="0" fillId="0" borderId="5" xfId="1" applyFont="1" applyBorder="1" applyAlignment="1">
      <alignment horizontal="left" indent="5"/>
    </xf>
    <xf numFmtId="164" fontId="17" fillId="0" borderId="5" xfId="1" applyFont="1" applyBorder="1" applyAlignment="1">
      <alignment horizontal="left" indent="5"/>
    </xf>
    <xf numFmtId="164" fontId="0" fillId="0" borderId="5" xfId="1" quotePrefix="1" applyFont="1" applyBorder="1" applyAlignment="1">
      <alignment horizontal="left" indent="6"/>
    </xf>
    <xf numFmtId="183" fontId="17" fillId="0" borderId="0" xfId="21" applyNumberFormat="1" applyFont="1" applyAlignment="1">
      <alignment horizontal="center" vertical="center" wrapText="1"/>
    </xf>
    <xf numFmtId="164" fontId="0" fillId="0" borderId="11" xfId="1" applyFont="1" applyFill="1" applyBorder="1" applyAlignment="1">
      <alignment horizontal="left" indent="2"/>
    </xf>
    <xf numFmtId="164" fontId="2" fillId="0" borderId="11" xfId="1" applyFont="1" applyFill="1" applyBorder="1"/>
    <xf numFmtId="164" fontId="1" fillId="0" borderId="11" xfId="1" applyFont="1" applyFill="1" applyBorder="1" applyAlignment="1">
      <alignment horizontal="left" indent="2"/>
    </xf>
    <xf numFmtId="164" fontId="0" fillId="0" borderId="11" xfId="1" applyFont="1" applyFill="1" applyBorder="1" applyAlignment="1">
      <alignment horizontal="left" indent="4"/>
    </xf>
    <xf numFmtId="164" fontId="1" fillId="0" borderId="11" xfId="1" applyFont="1" applyFill="1" applyBorder="1" applyAlignment="1">
      <alignment horizontal="left" indent="4"/>
    </xf>
    <xf numFmtId="164" fontId="0" fillId="0" borderId="11" xfId="1" applyFont="1" applyFill="1" applyBorder="1"/>
    <xf numFmtId="164" fontId="2" fillId="0" borderId="11" xfId="1" applyFont="1" applyFill="1" applyBorder="1" applyAlignment="1">
      <alignment horizontal="left" indent="1"/>
    </xf>
    <xf numFmtId="164" fontId="0" fillId="0" borderId="11" xfId="1" applyFont="1" applyFill="1" applyBorder="1" applyAlignment="1">
      <alignment horizontal="left" indent="3"/>
    </xf>
    <xf numFmtId="164" fontId="0" fillId="0" borderId="12" xfId="1" applyFont="1" applyFill="1" applyBorder="1" applyAlignment="1">
      <alignment horizontal="left" indent="3"/>
    </xf>
    <xf numFmtId="164" fontId="0" fillId="0" borderId="12" xfId="1" applyFont="1" applyFill="1" applyBorder="1" applyAlignment="1">
      <alignment horizontal="left" indent="2"/>
    </xf>
    <xf numFmtId="164" fontId="0" fillId="0" borderId="12" xfId="1" applyFont="1" applyFill="1" applyBorder="1"/>
    <xf numFmtId="164" fontId="0" fillId="0" borderId="0" xfId="1" applyFont="1" applyFill="1" applyBorder="1" applyAlignment="1">
      <alignment horizontal="left" indent="3"/>
    </xf>
    <xf numFmtId="164" fontId="0" fillId="0" borderId="5" xfId="1" applyFont="1" applyFill="1" applyBorder="1"/>
    <xf numFmtId="164" fontId="2" fillId="0" borderId="12" xfId="1" applyFont="1" applyFill="1" applyBorder="1" applyAlignment="1">
      <alignment horizontal="left" indent="1"/>
    </xf>
    <xf numFmtId="164" fontId="17" fillId="0" borderId="11" xfId="1" applyFont="1" applyFill="1" applyBorder="1" applyAlignment="1">
      <alignment horizontal="left" indent="5"/>
    </xf>
    <xf numFmtId="164" fontId="17" fillId="0" borderId="12" xfId="1" applyFont="1" applyFill="1" applyBorder="1" applyAlignment="1">
      <alignment horizontal="left" indent="5"/>
    </xf>
    <xf numFmtId="164" fontId="0" fillId="0" borderId="11" xfId="1" applyFont="1" applyFill="1" applyBorder="1" applyAlignment="1">
      <alignment horizontal="left" indent="5"/>
    </xf>
    <xf numFmtId="164" fontId="0" fillId="0" borderId="0" xfId="1" applyFont="1" applyFill="1" applyAlignment="1">
      <alignment horizontal="left" indent="5"/>
    </xf>
    <xf numFmtId="164" fontId="0" fillId="0" borderId="12" xfId="1" applyFont="1" applyFill="1" applyBorder="1" applyAlignment="1">
      <alignment horizontal="left" indent="5"/>
    </xf>
    <xf numFmtId="164" fontId="0" fillId="0" borderId="11" xfId="1" quotePrefix="1" applyFont="1" applyFill="1" applyBorder="1" applyAlignment="1">
      <alignment horizontal="left" indent="6"/>
    </xf>
    <xf numFmtId="164" fontId="0" fillId="0" borderId="12" xfId="1" quotePrefix="1" applyFont="1" applyFill="1" applyBorder="1" applyAlignment="1">
      <alignment horizontal="left" indent="6"/>
    </xf>
    <xf numFmtId="173" fontId="0" fillId="0" borderId="11" xfId="1" applyNumberFormat="1" applyFont="1" applyFill="1" applyBorder="1"/>
    <xf numFmtId="164" fontId="0" fillId="0" borderId="5" xfId="0" applyNumberFormat="1" applyBorder="1"/>
    <xf numFmtId="0" fontId="2" fillId="0" borderId="8" xfId="0" applyFont="1" applyBorder="1" applyAlignment="1">
      <alignment horizontal="center" vertical="top" wrapText="1"/>
    </xf>
    <xf numFmtId="164" fontId="0" fillId="0" borderId="11" xfId="3" applyFont="1" applyFill="1" applyBorder="1" applyAlignment="1">
      <alignment vertical="center"/>
    </xf>
    <xf numFmtId="2" fontId="43" fillId="0" borderId="0" xfId="28" applyNumberFormat="1" applyFont="1" applyAlignment="1">
      <alignment horizontal="center" vertical="center" wrapText="1"/>
    </xf>
    <xf numFmtId="164" fontId="0" fillId="0" borderId="7" xfId="1" applyFont="1" applyBorder="1"/>
    <xf numFmtId="164" fontId="2" fillId="0" borderId="7" xfId="1" applyFont="1" applyBorder="1"/>
    <xf numFmtId="0" fontId="2" fillId="0" borderId="7" xfId="0" applyFont="1" applyBorder="1"/>
    <xf numFmtId="169" fontId="2" fillId="0" borderId="7" xfId="1" applyNumberFormat="1" applyFont="1" applyBorder="1"/>
    <xf numFmtId="0" fontId="60" fillId="0" borderId="0" xfId="0" applyFont="1"/>
    <xf numFmtId="169" fontId="0" fillId="0" borderId="7" xfId="40910" applyNumberFormat="1" applyFont="1" applyBorder="1"/>
    <xf numFmtId="184" fontId="0" fillId="0" borderId="0" xfId="0" applyNumberFormat="1"/>
    <xf numFmtId="164" fontId="1" fillId="0" borderId="5" xfId="1" applyFont="1" applyFill="1" applyBorder="1"/>
    <xf numFmtId="164" fontId="54" fillId="0" borderId="0" xfId="1" applyFont="1"/>
    <xf numFmtId="164" fontId="1" fillId="0" borderId="11" xfId="38" applyNumberFormat="1" applyFont="1" applyBorder="1" applyAlignment="1">
      <alignment vertical="center"/>
    </xf>
    <xf numFmtId="164" fontId="1" fillId="0" borderId="11" xfId="1" applyFont="1" applyFill="1" applyBorder="1"/>
    <xf numFmtId="164" fontId="61" fillId="0" borderId="0" xfId="1" applyFont="1"/>
    <xf numFmtId="49" fontId="48" fillId="0" borderId="4" xfId="0" applyNumberFormat="1" applyFont="1" applyBorder="1" applyAlignment="1">
      <alignment horizontal="center" vertical="top"/>
    </xf>
    <xf numFmtId="164" fontId="0" fillId="0" borderId="0" xfId="3" applyFont="1" applyFill="1" applyBorder="1" applyAlignment="1">
      <alignment vertical="center"/>
    </xf>
    <xf numFmtId="164" fontId="2" fillId="0" borderId="7" xfId="40902" applyFont="1" applyFill="1" applyBorder="1" applyAlignment="1">
      <alignment vertical="center" wrapText="1"/>
    </xf>
    <xf numFmtId="49" fontId="48" fillId="0" borderId="6" xfId="0" applyNumberFormat="1" applyFont="1" applyBorder="1" applyAlignment="1">
      <alignment horizontal="center" vertical="top"/>
    </xf>
    <xf numFmtId="185" fontId="48" fillId="0" borderId="2" xfId="0" applyNumberFormat="1" applyFont="1" applyBorder="1" applyAlignment="1">
      <alignment horizontal="right" vertical="top"/>
    </xf>
    <xf numFmtId="179" fontId="47" fillId="0" borderId="2" xfId="0" applyNumberFormat="1" applyFont="1" applyBorder="1" applyAlignment="1">
      <alignment horizontal="right" vertical="top"/>
    </xf>
    <xf numFmtId="185" fontId="50" fillId="0" borderId="0" xfId="0" applyNumberFormat="1" applyFont="1" applyAlignment="1">
      <alignment horizontal="right" vertical="top"/>
    </xf>
    <xf numFmtId="185" fontId="47" fillId="0" borderId="0" xfId="0" applyNumberFormat="1" applyFont="1" applyAlignment="1">
      <alignment horizontal="right" vertical="top"/>
    </xf>
    <xf numFmtId="185" fontId="48" fillId="0" borderId="1" xfId="0" applyNumberFormat="1" applyFont="1" applyBorder="1" applyAlignment="1">
      <alignment horizontal="right" vertical="top"/>
    </xf>
    <xf numFmtId="179" fontId="47" fillId="0" borderId="1" xfId="0" applyNumberFormat="1" applyFont="1" applyBorder="1" applyAlignment="1">
      <alignment horizontal="right" vertical="top"/>
    </xf>
    <xf numFmtId="186" fontId="50" fillId="0" borderId="0" xfId="0" applyNumberFormat="1" applyFont="1" applyAlignment="1">
      <alignment horizontal="right" vertical="top"/>
    </xf>
    <xf numFmtId="186" fontId="48" fillId="0" borderId="1" xfId="0" applyNumberFormat="1" applyFont="1" applyBorder="1" applyAlignment="1">
      <alignment horizontal="right" vertical="top"/>
    </xf>
    <xf numFmtId="186" fontId="47" fillId="0" borderId="0" xfId="0" applyNumberFormat="1" applyFont="1" applyAlignment="1">
      <alignment horizontal="right" vertical="top"/>
    </xf>
    <xf numFmtId="178" fontId="47" fillId="0" borderId="1" xfId="0" applyNumberFormat="1" applyFont="1" applyBorder="1" applyAlignment="1">
      <alignment horizontal="right" vertical="top"/>
    </xf>
    <xf numFmtId="178" fontId="48" fillId="0" borderId="2" xfId="0" applyNumberFormat="1" applyFont="1" applyBorder="1" applyAlignment="1">
      <alignment horizontal="right" vertical="top"/>
    </xf>
    <xf numFmtId="49" fontId="48" fillId="0" borderId="4" xfId="0" applyNumberFormat="1" applyFont="1" applyBorder="1" applyAlignment="1">
      <alignment horizontal="left" vertical="top" indent="2"/>
    </xf>
    <xf numFmtId="49" fontId="59" fillId="0" borderId="1" xfId="0" applyNumberFormat="1" applyFont="1" applyBorder="1" applyAlignment="1">
      <alignment horizontal="left" vertical="top" indent="2"/>
    </xf>
    <xf numFmtId="49" fontId="59" fillId="0" borderId="6" xfId="0" applyNumberFormat="1" applyFont="1" applyBorder="1" applyAlignment="1">
      <alignment horizontal="left" vertical="top" indent="2"/>
    </xf>
    <xf numFmtId="179" fontId="48" fillId="0" borderId="24" xfId="0" applyNumberFormat="1" applyFont="1" applyBorder="1" applyAlignment="1">
      <alignment horizontal="right" vertical="top"/>
    </xf>
    <xf numFmtId="49" fontId="48" fillId="0" borderId="4" xfId="0" applyNumberFormat="1" applyFont="1" applyBorder="1" applyAlignment="1">
      <alignment vertical="top"/>
    </xf>
    <xf numFmtId="179" fontId="48" fillId="0" borderId="0" xfId="0" applyNumberFormat="1" applyFont="1" applyAlignment="1">
      <alignment horizontal="right" vertical="top"/>
    </xf>
    <xf numFmtId="178" fontId="48" fillId="0" borderId="12" xfId="0" applyNumberFormat="1" applyFont="1" applyBorder="1" applyAlignment="1">
      <alignment horizontal="right" vertical="top"/>
    </xf>
    <xf numFmtId="49" fontId="47" fillId="0" borderId="5" xfId="0" applyNumberFormat="1" applyFont="1" applyBorder="1" applyAlignment="1">
      <alignment horizontal="left" vertical="top" indent="1"/>
    </xf>
    <xf numFmtId="178" fontId="48" fillId="0" borderId="0" xfId="0" applyNumberFormat="1" applyFont="1" applyAlignment="1">
      <alignment horizontal="right" vertical="top"/>
    </xf>
    <xf numFmtId="179" fontId="48" fillId="0" borderId="12" xfId="0" applyNumberFormat="1" applyFont="1" applyBorder="1" applyAlignment="1">
      <alignment horizontal="right" vertical="top"/>
    </xf>
    <xf numFmtId="49" fontId="48" fillId="0" borderId="5" xfId="0" applyNumberFormat="1" applyFont="1" applyBorder="1" applyAlignment="1">
      <alignment vertical="top"/>
    </xf>
    <xf numFmtId="49" fontId="50" fillId="0" borderId="5" xfId="0" applyNumberFormat="1" applyFont="1" applyBorder="1" applyAlignment="1">
      <alignment horizontal="left" vertical="top" indent="1"/>
    </xf>
    <xf numFmtId="49" fontId="49" fillId="0" borderId="0" xfId="0" applyNumberFormat="1" applyFont="1" applyAlignment="1">
      <alignment vertical="top"/>
    </xf>
    <xf numFmtId="179" fontId="49" fillId="0" borderId="12" xfId="0" applyNumberFormat="1" applyFont="1" applyBorder="1" applyAlignment="1">
      <alignment horizontal="right" vertical="top"/>
    </xf>
    <xf numFmtId="178" fontId="47" fillId="0" borderId="2" xfId="0" applyNumberFormat="1" applyFont="1" applyBorder="1" applyAlignment="1">
      <alignment horizontal="right" vertical="top"/>
    </xf>
    <xf numFmtId="179" fontId="48" fillId="0" borderId="8" xfId="0" applyNumberFormat="1" applyFont="1" applyBorder="1" applyAlignment="1">
      <alignment horizontal="right" vertical="top"/>
    </xf>
    <xf numFmtId="49" fontId="48" fillId="0" borderId="9" xfId="0" applyNumberFormat="1" applyFont="1" applyBorder="1" applyAlignment="1">
      <alignment horizontal="left" vertical="top" indent="2"/>
    </xf>
    <xf numFmtId="180" fontId="3" fillId="0" borderId="0" xfId="0" applyNumberFormat="1" applyFont="1" applyAlignment="1">
      <alignment vertical="top"/>
    </xf>
    <xf numFmtId="169" fontId="0" fillId="0" borderId="0" xfId="40909" applyNumberFormat="1" applyFont="1"/>
    <xf numFmtId="169" fontId="0" fillId="0" borderId="0" xfId="40909" applyNumberFormat="1" applyFont="1" applyFill="1"/>
    <xf numFmtId="0" fontId="63" fillId="12" borderId="40" xfId="0" applyFont="1" applyFill="1" applyBorder="1" applyAlignment="1">
      <alignment horizontal="center"/>
    </xf>
    <xf numFmtId="0" fontId="63" fillId="12" borderId="41" xfId="0" applyFont="1" applyFill="1" applyBorder="1" applyAlignment="1">
      <alignment horizontal="center"/>
    </xf>
    <xf numFmtId="0" fontId="63" fillId="12" borderId="20" xfId="0" applyFont="1" applyFill="1" applyBorder="1" applyAlignment="1">
      <alignment horizontal="center"/>
    </xf>
    <xf numFmtId="0" fontId="63" fillId="12" borderId="44" xfId="0" applyFont="1" applyFill="1" applyBorder="1" applyAlignment="1">
      <alignment horizontal="center"/>
    </xf>
    <xf numFmtId="0" fontId="64" fillId="0" borderId="46" xfId="0" applyFont="1" applyBorder="1"/>
    <xf numFmtId="0" fontId="64" fillId="0" borderId="2" xfId="0" applyFont="1" applyBorder="1"/>
    <xf numFmtId="169" fontId="64" fillId="0" borderId="46" xfId="40909" applyNumberFormat="1" applyFont="1" applyBorder="1"/>
    <xf numFmtId="164" fontId="64" fillId="0" borderId="47" xfId="40909" applyFont="1" applyFill="1" applyBorder="1"/>
    <xf numFmtId="0" fontId="64" fillId="0" borderId="25" xfId="0" applyFont="1" applyBorder="1"/>
    <xf numFmtId="169" fontId="64" fillId="0" borderId="48" xfId="40909" applyNumberFormat="1" applyFont="1" applyBorder="1"/>
    <xf numFmtId="164" fontId="64" fillId="0" borderId="49" xfId="0" applyNumberFormat="1" applyFont="1" applyBorder="1"/>
    <xf numFmtId="0" fontId="64" fillId="0" borderId="50" xfId="0" applyFont="1" applyBorder="1"/>
    <xf numFmtId="164" fontId="64" fillId="0" borderId="47" xfId="0" applyNumberFormat="1" applyFont="1" applyBorder="1"/>
    <xf numFmtId="169" fontId="64" fillId="0" borderId="51" xfId="40909" applyNumberFormat="1" applyFont="1" applyBorder="1"/>
    <xf numFmtId="0" fontId="64" fillId="0" borderId="51" xfId="0" applyFont="1" applyBorder="1"/>
    <xf numFmtId="0" fontId="64" fillId="0" borderId="3" xfId="0" applyFont="1" applyBorder="1"/>
    <xf numFmtId="164" fontId="64" fillId="0" borderId="52" xfId="40909" applyFont="1" applyFill="1" applyBorder="1"/>
    <xf numFmtId="169" fontId="63" fillId="11" borderId="40" xfId="40909" applyNumberFormat="1" applyFont="1" applyFill="1" applyBorder="1"/>
    <xf numFmtId="164" fontId="63" fillId="0" borderId="41" xfId="40909" applyFont="1" applyBorder="1"/>
    <xf numFmtId="164" fontId="63" fillId="0" borderId="41" xfId="40909" applyFont="1" applyFill="1" applyBorder="1"/>
    <xf numFmtId="0" fontId="64" fillId="0" borderId="0" xfId="0" applyFont="1"/>
    <xf numFmtId="169" fontId="64" fillId="0" borderId="54" xfId="40909" applyNumberFormat="1" applyFont="1" applyBorder="1"/>
    <xf numFmtId="0" fontId="64" fillId="0" borderId="19" xfId="0" applyFont="1" applyBorder="1"/>
    <xf numFmtId="0" fontId="64" fillId="0" borderId="7" xfId="0" applyFont="1" applyBorder="1"/>
    <xf numFmtId="49" fontId="48" fillId="0" borderId="3" xfId="0" applyNumberFormat="1" applyFont="1" applyBorder="1" applyAlignment="1">
      <alignment horizontal="center" vertical="top"/>
    </xf>
    <xf numFmtId="0" fontId="22" fillId="0" borderId="0" xfId="0" applyFont="1" applyAlignment="1">
      <alignment horizontal="center"/>
    </xf>
    <xf numFmtId="0" fontId="2" fillId="7" borderId="7" xfId="0" applyFont="1" applyFill="1" applyBorder="1"/>
    <xf numFmtId="164" fontId="0" fillId="0" borderId="7" xfId="1085" applyFont="1" applyBorder="1"/>
    <xf numFmtId="164" fontId="0" fillId="0" borderId="7" xfId="40909" applyFont="1" applyBorder="1"/>
    <xf numFmtId="164" fontId="2" fillId="0" borderId="7" xfId="1085" applyFont="1" applyBorder="1"/>
    <xf numFmtId="164" fontId="2" fillId="0" borderId="7" xfId="40909" applyFont="1" applyBorder="1"/>
    <xf numFmtId="164" fontId="2" fillId="0" borderId="7" xfId="0" applyNumberFormat="1" applyFont="1" applyBorder="1"/>
    <xf numFmtId="164" fontId="0" fillId="0" borderId="7" xfId="0" applyNumberFormat="1" applyBorder="1"/>
    <xf numFmtId="164" fontId="0" fillId="0" borderId="0" xfId="40909" applyFont="1" applyFill="1" applyBorder="1"/>
    <xf numFmtId="164" fontId="0" fillId="0" borderId="10" xfId="0" applyNumberFormat="1" applyBorder="1"/>
    <xf numFmtId="0" fontId="0" fillId="0" borderId="24" xfId="0" applyBorder="1"/>
    <xf numFmtId="164" fontId="0" fillId="0" borderId="11" xfId="0" applyNumberFormat="1" applyBorder="1"/>
    <xf numFmtId="0" fontId="0" fillId="0" borderId="12" xfId="0" applyBorder="1"/>
    <xf numFmtId="0" fontId="0" fillId="0" borderId="13" xfId="0" applyBorder="1"/>
    <xf numFmtId="164" fontId="0" fillId="0" borderId="26" xfId="0" applyNumberFormat="1" applyBorder="1"/>
    <xf numFmtId="169" fontId="65" fillId="0" borderId="0" xfId="40909" applyNumberFormat="1" applyFont="1"/>
    <xf numFmtId="0" fontId="66" fillId="0" borderId="0" xfId="0" applyFont="1"/>
    <xf numFmtId="164" fontId="0" fillId="0" borderId="0" xfId="40909" applyFont="1" applyFill="1"/>
    <xf numFmtId="169" fontId="2" fillId="0" borderId="0" xfId="40909" applyNumberFormat="1" applyFont="1"/>
    <xf numFmtId="169" fontId="2" fillId="0" borderId="0" xfId="0" applyNumberFormat="1" applyFont="1"/>
    <xf numFmtId="169" fontId="2" fillId="7" borderId="7" xfId="40909" applyNumberFormat="1" applyFont="1" applyFill="1" applyBorder="1"/>
    <xf numFmtId="169" fontId="0" fillId="2" borderId="7" xfId="40909" applyNumberFormat="1" applyFont="1" applyFill="1" applyBorder="1"/>
    <xf numFmtId="14" fontId="0" fillId="2" borderId="7" xfId="40909" applyNumberFormat="1" applyFont="1" applyFill="1" applyBorder="1"/>
    <xf numFmtId="0" fontId="0" fillId="2" borderId="7" xfId="0" applyFill="1" applyBorder="1"/>
    <xf numFmtId="14" fontId="0" fillId="2" borderId="7" xfId="0" applyNumberFormat="1" applyFill="1" applyBorder="1"/>
    <xf numFmtId="169" fontId="0" fillId="8" borderId="7" xfId="40909" applyNumberFormat="1" applyFont="1" applyFill="1" applyBorder="1"/>
    <xf numFmtId="169" fontId="0" fillId="0" borderId="7" xfId="40909" applyNumberFormat="1" applyFont="1" applyBorder="1"/>
    <xf numFmtId="14" fontId="2" fillId="0" borderId="0" xfId="0" applyNumberFormat="1" applyFont="1"/>
    <xf numFmtId="3" fontId="0" fillId="0" borderId="0" xfId="0" applyNumberFormat="1"/>
    <xf numFmtId="169" fontId="17" fillId="0" borderId="7" xfId="40909" applyNumberFormat="1" applyFont="1" applyFill="1" applyBorder="1"/>
    <xf numFmtId="0" fontId="0" fillId="0" borderId="0" xfId="0" quotePrefix="1"/>
    <xf numFmtId="0" fontId="22" fillId="11" borderId="7" xfId="0" applyFont="1" applyFill="1" applyBorder="1"/>
    <xf numFmtId="0" fontId="2" fillId="11" borderId="7" xfId="0" applyFont="1" applyFill="1" applyBorder="1"/>
    <xf numFmtId="169" fontId="0" fillId="9" borderId="7" xfId="40909" applyNumberFormat="1" applyFont="1" applyFill="1" applyBorder="1"/>
    <xf numFmtId="0" fontId="61" fillId="0" borderId="7" xfId="0" applyFont="1" applyBorder="1"/>
    <xf numFmtId="169" fontId="0" fillId="10" borderId="7" xfId="40909" applyNumberFormat="1" applyFont="1" applyFill="1" applyBorder="1"/>
    <xf numFmtId="0" fontId="0" fillId="0" borderId="0" xfId="0" applyAlignment="1">
      <alignment horizontal="left" indent="1"/>
    </xf>
    <xf numFmtId="169" fontId="0" fillId="13" borderId="7" xfId="40909" applyNumberFormat="1" applyFont="1" applyFill="1" applyBorder="1"/>
    <xf numFmtId="169" fontId="60" fillId="0" borderId="7" xfId="40909" applyNumberFormat="1" applyFont="1" applyBorder="1"/>
    <xf numFmtId="169" fontId="60" fillId="0" borderId="7" xfId="40909" applyNumberFormat="1" applyFont="1" applyFill="1" applyBorder="1"/>
    <xf numFmtId="0" fontId="0" fillId="14" borderId="7" xfId="0" applyFill="1" applyBorder="1"/>
    <xf numFmtId="0" fontId="22" fillId="7" borderId="0" xfId="0" applyFont="1" applyFill="1" applyAlignment="1">
      <alignment horizontal="center"/>
    </xf>
    <xf numFmtId="0" fontId="2" fillId="7" borderId="0" xfId="0" applyFont="1" applyFill="1" applyAlignment="1">
      <alignment horizontal="center"/>
    </xf>
    <xf numFmtId="0" fontId="2" fillId="7" borderId="0" xfId="0" applyFont="1" applyFill="1"/>
    <xf numFmtId="164" fontId="0" fillId="0" borderId="0" xfId="40909" applyFont="1" applyBorder="1"/>
    <xf numFmtId="164" fontId="2" fillId="0" borderId="0" xfId="40909" applyFont="1" applyBorder="1"/>
    <xf numFmtId="49" fontId="50" fillId="0" borderId="6" xfId="0" applyNumberFormat="1" applyFont="1" applyBorder="1" applyAlignment="1">
      <alignment horizontal="center" vertical="top"/>
    </xf>
    <xf numFmtId="185" fontId="49" fillId="0" borderId="9" xfId="0" applyNumberFormat="1" applyFont="1" applyBorder="1" applyAlignment="1">
      <alignment horizontal="right" vertical="top"/>
    </xf>
    <xf numFmtId="178" fontId="50" fillId="0" borderId="2" xfId="0" applyNumberFormat="1" applyFont="1" applyBorder="1" applyAlignment="1">
      <alignment horizontal="right" vertical="top"/>
    </xf>
    <xf numFmtId="179" fontId="50" fillId="0" borderId="2" xfId="0" applyNumberFormat="1" applyFont="1" applyBorder="1" applyAlignment="1">
      <alignment horizontal="right" vertical="top"/>
    </xf>
    <xf numFmtId="185" fontId="49" fillId="0" borderId="2" xfId="0" applyNumberFormat="1" applyFont="1" applyBorder="1" applyAlignment="1">
      <alignment horizontal="right" vertical="top"/>
    </xf>
    <xf numFmtId="178" fontId="49" fillId="0" borderId="2" xfId="0" applyNumberFormat="1" applyFont="1" applyBorder="1" applyAlignment="1">
      <alignment horizontal="right" vertical="top"/>
    </xf>
    <xf numFmtId="185" fontId="48" fillId="0" borderId="9" xfId="0" applyNumberFormat="1" applyFont="1" applyBorder="1" applyAlignment="1">
      <alignment horizontal="right" vertical="top"/>
    </xf>
    <xf numFmtId="185" fontId="47" fillId="0" borderId="4" xfId="0" applyNumberFormat="1" applyFont="1" applyBorder="1" applyAlignment="1">
      <alignment horizontal="right" vertical="top"/>
    </xf>
    <xf numFmtId="185" fontId="47" fillId="0" borderId="3" xfId="0" applyNumberFormat="1" applyFont="1" applyBorder="1" applyAlignment="1">
      <alignment horizontal="right" vertical="top"/>
    </xf>
    <xf numFmtId="185" fontId="50" fillId="0" borderId="4" xfId="0" applyNumberFormat="1" applyFont="1" applyBorder="1" applyAlignment="1">
      <alignment horizontal="right" vertical="top"/>
    </xf>
    <xf numFmtId="185" fontId="50" fillId="0" borderId="3" xfId="0" applyNumberFormat="1" applyFont="1" applyBorder="1" applyAlignment="1">
      <alignment horizontal="right" vertical="top"/>
    </xf>
    <xf numFmtId="185" fontId="50" fillId="0" borderId="5" xfId="0" applyNumberFormat="1" applyFont="1" applyBorder="1" applyAlignment="1">
      <alignment horizontal="right" vertical="top"/>
    </xf>
    <xf numFmtId="185" fontId="47" fillId="0" borderId="5" xfId="0" applyNumberFormat="1" applyFont="1" applyBorder="1" applyAlignment="1">
      <alignment horizontal="right" vertical="top"/>
    </xf>
    <xf numFmtId="187" fontId="49" fillId="0" borderId="6" xfId="0" applyNumberFormat="1" applyFont="1" applyBorder="1" applyAlignment="1">
      <alignment horizontal="right" vertical="top"/>
    </xf>
    <xf numFmtId="188" fontId="50" fillId="0" borderId="1" xfId="0" applyNumberFormat="1" applyFont="1" applyBorder="1" applyAlignment="1">
      <alignment horizontal="right" vertical="top"/>
    </xf>
    <xf numFmtId="179" fontId="50" fillId="0" borderId="1" xfId="0" applyNumberFormat="1" applyFont="1" applyBorder="1" applyAlignment="1">
      <alignment horizontal="right" vertical="top"/>
    </xf>
    <xf numFmtId="187" fontId="49" fillId="0" borderId="1" xfId="0" applyNumberFormat="1" applyFont="1" applyBorder="1" applyAlignment="1">
      <alignment horizontal="right" vertical="top"/>
    </xf>
    <xf numFmtId="187" fontId="48" fillId="0" borderId="6" xfId="0" applyNumberFormat="1" applyFont="1" applyBorder="1" applyAlignment="1">
      <alignment horizontal="right" vertical="top"/>
    </xf>
    <xf numFmtId="188" fontId="47" fillId="0" borderId="1" xfId="0" applyNumberFormat="1" applyFont="1" applyBorder="1" applyAlignment="1">
      <alignment horizontal="right" vertical="top"/>
    </xf>
    <xf numFmtId="187" fontId="48" fillId="0" borderId="1" xfId="0" applyNumberFormat="1" applyFont="1" applyBorder="1" applyAlignment="1">
      <alignment horizontal="right" vertical="top"/>
    </xf>
    <xf numFmtId="178" fontId="50" fillId="0" borderId="1" xfId="0" applyNumberFormat="1" applyFont="1" applyBorder="1" applyAlignment="1">
      <alignment horizontal="right" vertical="top"/>
    </xf>
    <xf numFmtId="185" fontId="48" fillId="0" borderId="6" xfId="0" applyNumberFormat="1" applyFont="1" applyBorder="1" applyAlignment="1">
      <alignment horizontal="right" vertical="top"/>
    </xf>
    <xf numFmtId="187" fontId="47" fillId="0" borderId="5" xfId="0" applyNumberFormat="1" applyFont="1" applyBorder="1" applyAlignment="1">
      <alignment horizontal="right" vertical="top"/>
    </xf>
    <xf numFmtId="188" fontId="47" fillId="0" borderId="0" xfId="0" applyNumberFormat="1" applyFont="1" applyAlignment="1">
      <alignment horizontal="right" vertical="top"/>
    </xf>
    <xf numFmtId="187" fontId="47" fillId="0" borderId="0" xfId="0" applyNumberFormat="1" applyFont="1" applyAlignment="1">
      <alignment horizontal="right" vertical="top"/>
    </xf>
    <xf numFmtId="187" fontId="50" fillId="0" borderId="5" xfId="0" applyNumberFormat="1" applyFont="1" applyBorder="1" applyAlignment="1">
      <alignment horizontal="right" vertical="top"/>
    </xf>
    <xf numFmtId="188" fontId="50" fillId="0" borderId="0" xfId="0" applyNumberFormat="1" applyFont="1" applyAlignment="1">
      <alignment horizontal="right" vertical="top"/>
    </xf>
    <xf numFmtId="187" fontId="50" fillId="0" borderId="0" xfId="0" applyNumberFormat="1" applyFont="1" applyAlignment="1">
      <alignment horizontal="right" vertical="top"/>
    </xf>
    <xf numFmtId="186" fontId="47" fillId="0" borderId="5" xfId="0" applyNumberFormat="1" applyFont="1" applyBorder="1" applyAlignment="1">
      <alignment horizontal="right" vertical="top"/>
    </xf>
    <xf numFmtId="186" fontId="50" fillId="0" borderId="5" xfId="0" applyNumberFormat="1" applyFont="1" applyBorder="1" applyAlignment="1">
      <alignment horizontal="right" vertical="top"/>
    </xf>
    <xf numFmtId="189" fontId="49" fillId="0" borderId="6" xfId="0" applyNumberFormat="1" applyFont="1" applyBorder="1" applyAlignment="1">
      <alignment horizontal="right" vertical="top"/>
    </xf>
    <xf numFmtId="189" fontId="49" fillId="0" borderId="1" xfId="0" applyNumberFormat="1" applyFont="1" applyBorder="1" applyAlignment="1">
      <alignment horizontal="right" vertical="top"/>
    </xf>
    <xf numFmtId="185" fontId="49" fillId="0" borderId="6" xfId="0" applyNumberFormat="1" applyFont="1" applyBorder="1" applyAlignment="1">
      <alignment horizontal="right" vertical="top"/>
    </xf>
    <xf numFmtId="186" fontId="49" fillId="0" borderId="1" xfId="0" applyNumberFormat="1" applyFont="1" applyBorder="1" applyAlignment="1">
      <alignment horizontal="right" vertical="top"/>
    </xf>
    <xf numFmtId="189" fontId="47" fillId="0" borderId="4" xfId="0" applyNumberFormat="1" applyFont="1" applyBorder="1" applyAlignment="1">
      <alignment horizontal="right" vertical="top"/>
    </xf>
    <xf numFmtId="188" fontId="47" fillId="0" borderId="3" xfId="0" applyNumberFormat="1" applyFont="1" applyBorder="1" applyAlignment="1">
      <alignment horizontal="right" vertical="top"/>
    </xf>
    <xf numFmtId="189" fontId="47" fillId="0" borderId="3" xfId="0" applyNumberFormat="1" applyFont="1" applyBorder="1" applyAlignment="1">
      <alignment horizontal="right" vertical="top"/>
    </xf>
    <xf numFmtId="189" fontId="50" fillId="0" borderId="4" xfId="0" applyNumberFormat="1" applyFont="1" applyBorder="1" applyAlignment="1">
      <alignment horizontal="right" vertical="top"/>
    </xf>
    <xf numFmtId="188" fontId="50" fillId="0" borderId="3" xfId="0" applyNumberFormat="1" applyFont="1" applyBorder="1" applyAlignment="1">
      <alignment horizontal="right" vertical="top"/>
    </xf>
    <xf numFmtId="189" fontId="50" fillId="0" borderId="3" xfId="0" applyNumberFormat="1" applyFont="1" applyBorder="1" applyAlignment="1">
      <alignment horizontal="right" vertical="top"/>
    </xf>
    <xf numFmtId="186" fontId="50" fillId="0" borderId="4" xfId="0" applyNumberFormat="1" applyFont="1" applyBorder="1" applyAlignment="1">
      <alignment horizontal="right" vertical="top"/>
    </xf>
    <xf numFmtId="186" fontId="50" fillId="0" borderId="3" xfId="0" applyNumberFormat="1" applyFont="1" applyBorder="1" applyAlignment="1">
      <alignment horizontal="right" vertical="top"/>
    </xf>
    <xf numFmtId="189" fontId="48" fillId="0" borderId="6" xfId="0" applyNumberFormat="1" applyFont="1" applyBorder="1" applyAlignment="1">
      <alignment horizontal="right" vertical="top"/>
    </xf>
    <xf numFmtId="189" fontId="48" fillId="0" borderId="1" xfId="0" applyNumberFormat="1" applyFont="1" applyBorder="1" applyAlignment="1">
      <alignment horizontal="right" vertical="top"/>
    </xf>
    <xf numFmtId="186" fontId="48" fillId="0" borderId="6" xfId="0" applyNumberFormat="1" applyFont="1" applyBorder="1" applyAlignment="1">
      <alignment horizontal="right" vertical="top"/>
    </xf>
    <xf numFmtId="186" fontId="49" fillId="0" borderId="6" xfId="0" applyNumberFormat="1" applyFont="1" applyBorder="1" applyAlignment="1">
      <alignment horizontal="right" vertical="top"/>
    </xf>
    <xf numFmtId="189" fontId="47" fillId="0" borderId="5" xfId="0" applyNumberFormat="1" applyFont="1" applyBorder="1" applyAlignment="1">
      <alignment horizontal="right" vertical="top"/>
    </xf>
    <xf numFmtId="189" fontId="47" fillId="0" borderId="0" xfId="0" applyNumberFormat="1" applyFont="1" applyAlignment="1">
      <alignment horizontal="right" vertical="top"/>
    </xf>
    <xf numFmtId="189" fontId="50" fillId="0" borderId="5" xfId="0" applyNumberFormat="1" applyFont="1" applyBorder="1" applyAlignment="1">
      <alignment horizontal="right" vertical="top"/>
    </xf>
    <xf numFmtId="189" fontId="50" fillId="0" borderId="0" xfId="0" applyNumberFormat="1" applyFont="1" applyAlignment="1">
      <alignment horizontal="right" vertical="top"/>
    </xf>
    <xf numFmtId="186" fontId="47" fillId="0" borderId="4" xfId="0" applyNumberFormat="1" applyFont="1" applyBorder="1" applyAlignment="1">
      <alignment horizontal="right" vertical="top"/>
    </xf>
    <xf numFmtId="186" fontId="47" fillId="0" borderId="3" xfId="0" applyNumberFormat="1" applyFont="1" applyBorder="1" applyAlignment="1">
      <alignment horizontal="right" vertical="top"/>
    </xf>
    <xf numFmtId="185" fontId="49" fillId="0" borderId="1" xfId="0" applyNumberFormat="1" applyFont="1" applyBorder="1" applyAlignment="1">
      <alignment horizontal="right" vertical="top"/>
    </xf>
    <xf numFmtId="187" fontId="50" fillId="0" borderId="3" xfId="0" applyNumberFormat="1" applyFont="1" applyBorder="1" applyAlignment="1">
      <alignment horizontal="right" vertical="top"/>
    </xf>
    <xf numFmtId="187" fontId="47" fillId="0" borderId="3" xfId="0" applyNumberFormat="1" applyFont="1" applyBorder="1" applyAlignment="1">
      <alignment horizontal="right" vertical="top"/>
    </xf>
    <xf numFmtId="49" fontId="47" fillId="0" borderId="0" xfId="0" applyNumberFormat="1" applyFont="1" applyAlignment="1">
      <alignment vertical="top"/>
    </xf>
    <xf numFmtId="186" fontId="49" fillId="0" borderId="9" xfId="0" applyNumberFormat="1" applyFont="1" applyBorder="1" applyAlignment="1">
      <alignment horizontal="right" vertical="top"/>
    </xf>
    <xf numFmtId="188" fontId="48" fillId="0" borderId="2" xfId="0" applyNumberFormat="1" applyFont="1" applyBorder="1" applyAlignment="1">
      <alignment horizontal="right" vertical="top"/>
    </xf>
    <xf numFmtId="186" fontId="49" fillId="0" borderId="2" xfId="0" applyNumberFormat="1" applyFont="1" applyBorder="1" applyAlignment="1">
      <alignment horizontal="right" vertical="top"/>
    </xf>
    <xf numFmtId="188" fontId="49" fillId="0" borderId="2" xfId="0" applyNumberFormat="1" applyFont="1" applyBorder="1" applyAlignment="1">
      <alignment horizontal="right" vertical="top"/>
    </xf>
    <xf numFmtId="49" fontId="46" fillId="0" borderId="0" xfId="0" applyNumberFormat="1" applyFont="1" applyAlignment="1">
      <alignment horizontal="center" vertical="center"/>
    </xf>
    <xf numFmtId="49" fontId="3" fillId="0" borderId="21" xfId="0" applyNumberFormat="1" applyFont="1" applyBorder="1" applyAlignment="1">
      <alignment horizontal="center" vertical="center"/>
    </xf>
    <xf numFmtId="49" fontId="48" fillId="0" borderId="31" xfId="0" applyNumberFormat="1" applyFont="1" applyBorder="1" applyAlignment="1">
      <alignment vertical="top"/>
    </xf>
    <xf numFmtId="49" fontId="48" fillId="0" borderId="32" xfId="0" applyNumberFormat="1" applyFont="1" applyBorder="1" applyAlignment="1">
      <alignment vertical="top"/>
    </xf>
    <xf numFmtId="49" fontId="50" fillId="0" borderId="32" xfId="0" applyNumberFormat="1" applyFont="1" applyBorder="1" applyAlignment="1">
      <alignment vertical="top"/>
    </xf>
    <xf numFmtId="49" fontId="50" fillId="0" borderId="32" xfId="0" applyNumberFormat="1" applyFont="1" applyBorder="1" applyAlignment="1">
      <alignment horizontal="center" vertical="top"/>
    </xf>
    <xf numFmtId="49" fontId="48" fillId="0" borderId="33" xfId="0" applyNumberFormat="1" applyFont="1" applyBorder="1" applyAlignment="1">
      <alignment horizontal="center" vertical="top"/>
    </xf>
    <xf numFmtId="185" fontId="50" fillId="0" borderId="2" xfId="0" applyNumberFormat="1" applyFont="1" applyBorder="1" applyAlignment="1">
      <alignment horizontal="right" vertical="top"/>
    </xf>
    <xf numFmtId="49" fontId="47" fillId="0" borderId="0" xfId="0" applyNumberFormat="1" applyFont="1" applyAlignment="1">
      <alignment horizontal="left" vertical="top" indent="3"/>
    </xf>
    <xf numFmtId="49" fontId="47" fillId="0" borderId="0" xfId="0" applyNumberFormat="1" applyFont="1" applyAlignment="1">
      <alignment horizontal="left" vertical="top" indent="4"/>
    </xf>
    <xf numFmtId="186" fontId="50" fillId="0" borderId="2" xfId="0" applyNumberFormat="1" applyFont="1" applyBorder="1" applyAlignment="1">
      <alignment horizontal="right" vertical="top"/>
    </xf>
    <xf numFmtId="186" fontId="47" fillId="0" borderId="2" xfId="0" applyNumberFormat="1" applyFont="1" applyBorder="1" applyAlignment="1">
      <alignment horizontal="right" vertical="top"/>
    </xf>
    <xf numFmtId="185" fontId="47" fillId="0" borderId="2" xfId="0" applyNumberFormat="1" applyFont="1" applyBorder="1" applyAlignment="1">
      <alignment horizontal="right" vertical="top"/>
    </xf>
    <xf numFmtId="49" fontId="50" fillId="0" borderId="0" xfId="0" applyNumberFormat="1" applyFont="1" applyAlignment="1">
      <alignment horizontal="left" vertical="top" indent="4"/>
    </xf>
    <xf numFmtId="49" fontId="47" fillId="0" borderId="0" xfId="0" applyNumberFormat="1" applyFont="1" applyAlignment="1">
      <alignment horizontal="left" vertical="top" indent="9"/>
    </xf>
    <xf numFmtId="49" fontId="47" fillId="0" borderId="0" xfId="0" applyNumberFormat="1" applyFont="1" applyAlignment="1">
      <alignment horizontal="left" vertical="top" indent="7"/>
    </xf>
    <xf numFmtId="49" fontId="47" fillId="0" borderId="0" xfId="0" applyNumberFormat="1" applyFont="1" applyAlignment="1">
      <alignment horizontal="left" vertical="top" indent="5"/>
    </xf>
    <xf numFmtId="49" fontId="47" fillId="0" borderId="0" xfId="0" applyNumberFormat="1" applyFont="1" applyAlignment="1">
      <alignment horizontal="left" vertical="top" indent="6"/>
    </xf>
    <xf numFmtId="185" fontId="50" fillId="0" borderId="1" xfId="0" applyNumberFormat="1" applyFont="1" applyBorder="1" applyAlignment="1">
      <alignment horizontal="right" vertical="top"/>
    </xf>
    <xf numFmtId="186" fontId="50" fillId="0" borderId="1" xfId="0" applyNumberFormat="1" applyFont="1" applyBorder="1" applyAlignment="1">
      <alignment horizontal="right" vertical="top"/>
    </xf>
    <xf numFmtId="185" fontId="47" fillId="0" borderId="1" xfId="0" applyNumberFormat="1" applyFont="1" applyBorder="1" applyAlignment="1">
      <alignment horizontal="right" vertical="top"/>
    </xf>
    <xf numFmtId="49" fontId="50" fillId="0" borderId="0" xfId="0" applyNumberFormat="1" applyFont="1" applyAlignment="1">
      <alignment horizontal="left" vertical="top" indent="6"/>
    </xf>
    <xf numFmtId="49" fontId="47" fillId="2" borderId="0" xfId="0" applyNumberFormat="1" applyFont="1" applyFill="1" applyAlignment="1">
      <alignment horizontal="left" vertical="top" indent="2"/>
    </xf>
    <xf numFmtId="0" fontId="2" fillId="2" borderId="0" xfId="0" applyFont="1" applyFill="1"/>
    <xf numFmtId="49" fontId="50" fillId="0" borderId="0" xfId="0" applyNumberFormat="1" applyFont="1" applyAlignment="1">
      <alignment horizontal="left" vertical="top" indent="3"/>
    </xf>
    <xf numFmtId="186" fontId="47" fillId="0" borderId="1" xfId="0" applyNumberFormat="1" applyFont="1" applyBorder="1" applyAlignment="1">
      <alignment horizontal="right" vertical="top"/>
    </xf>
    <xf numFmtId="49" fontId="48" fillId="0" borderId="0" xfId="0" applyNumberFormat="1" applyFont="1" applyAlignment="1">
      <alignment horizontal="left" vertical="top" indent="2"/>
    </xf>
    <xf numFmtId="49" fontId="49" fillId="2" borderId="0" xfId="0" applyNumberFormat="1" applyFont="1" applyFill="1" applyAlignment="1">
      <alignment horizontal="left" vertical="top" indent="2"/>
    </xf>
    <xf numFmtId="49" fontId="49" fillId="0" borderId="0" xfId="0" applyNumberFormat="1" applyFont="1" applyAlignment="1">
      <alignment horizontal="left" vertical="top" indent="2"/>
    </xf>
    <xf numFmtId="164" fontId="2" fillId="2" borderId="0" xfId="1" applyFont="1" applyFill="1" applyBorder="1"/>
    <xf numFmtId="164" fontId="2" fillId="0" borderId="0" xfId="1" applyFont="1" applyFill="1" applyBorder="1"/>
    <xf numFmtId="164" fontId="0" fillId="0" borderId="5" xfId="1" applyFont="1" applyFill="1" applyBorder="1" applyAlignment="1">
      <alignment horizontal="left" indent="3"/>
    </xf>
    <xf numFmtId="164" fontId="60" fillId="0" borderId="0" xfId="0" applyNumberFormat="1" applyFont="1"/>
    <xf numFmtId="164" fontId="0" fillId="15" borderId="7" xfId="40909" applyFont="1" applyFill="1" applyBorder="1"/>
    <xf numFmtId="0" fontId="0" fillId="15" borderId="0" xfId="0" applyFill="1"/>
    <xf numFmtId="0" fontId="20" fillId="0" borderId="0" xfId="38" applyFont="1" applyAlignment="1">
      <alignment horizontal="center" vertical="center" wrapText="1"/>
    </xf>
    <xf numFmtId="164" fontId="1" fillId="0" borderId="0" xfId="1" applyFont="1" applyFill="1" applyBorder="1"/>
    <xf numFmtId="164" fontId="1" fillId="2" borderId="0" xfId="1" applyFont="1" applyFill="1" applyBorder="1"/>
    <xf numFmtId="0" fontId="1" fillId="0" borderId="0" xfId="2" applyAlignment="1">
      <alignment horizontal="right" vertical="center"/>
    </xf>
    <xf numFmtId="0" fontId="0" fillId="0" borderId="0" xfId="0" applyAlignment="1">
      <alignment horizontal="right"/>
    </xf>
    <xf numFmtId="164" fontId="17" fillId="0" borderId="0" xfId="0" applyNumberFormat="1" applyFont="1"/>
    <xf numFmtId="164" fontId="2" fillId="2" borderId="0" xfId="0" applyNumberFormat="1" applyFont="1" applyFill="1"/>
    <xf numFmtId="164" fontId="2" fillId="16" borderId="0" xfId="0" applyNumberFormat="1" applyFont="1" applyFill="1"/>
    <xf numFmtId="164" fontId="43" fillId="0" borderId="0" xfId="0" applyNumberFormat="1" applyFont="1"/>
    <xf numFmtId="165" fontId="2" fillId="0" borderId="7" xfId="2" applyNumberFormat="1" applyFont="1" applyBorder="1" applyAlignment="1">
      <alignment horizontal="center" vertical="center"/>
    </xf>
    <xf numFmtId="166" fontId="2" fillId="0" borderId="7" xfId="2" applyNumberFormat="1" applyFont="1" applyBorder="1" applyAlignment="1">
      <alignment horizontal="center" vertical="center"/>
    </xf>
    <xf numFmtId="164" fontId="2" fillId="0" borderId="0" xfId="1" applyFont="1" applyFill="1"/>
    <xf numFmtId="164" fontId="62" fillId="0" borderId="0" xfId="0" applyNumberFormat="1" applyFont="1"/>
    <xf numFmtId="2" fontId="18" fillId="0" borderId="0" xfId="28" applyNumberFormat="1" applyFont="1" applyAlignment="1">
      <alignment horizontal="center" vertical="center" wrapText="1"/>
    </xf>
    <xf numFmtId="164" fontId="2" fillId="0" borderId="7" xfId="1" applyFont="1" applyFill="1" applyBorder="1" applyAlignment="1">
      <alignment vertical="center"/>
    </xf>
    <xf numFmtId="49" fontId="48" fillId="0" borderId="3" xfId="0" applyNumberFormat="1" applyFont="1" applyBorder="1" applyAlignment="1">
      <alignment horizontal="left" vertical="top" indent="3"/>
    </xf>
    <xf numFmtId="49" fontId="48" fillId="0" borderId="4" xfId="0" applyNumberFormat="1" applyFont="1" applyBorder="1" applyAlignment="1">
      <alignment horizontal="left" vertical="top" indent="3"/>
    </xf>
    <xf numFmtId="49" fontId="59" fillId="0" borderId="1" xfId="0" applyNumberFormat="1" applyFont="1" applyBorder="1" applyAlignment="1">
      <alignment horizontal="left" vertical="top" indent="3"/>
    </xf>
    <xf numFmtId="49" fontId="59" fillId="0" borderId="6" xfId="0" applyNumberFormat="1" applyFont="1" applyBorder="1" applyAlignment="1">
      <alignment horizontal="left" vertical="top" indent="3"/>
    </xf>
    <xf numFmtId="49" fontId="47" fillId="0" borderId="5" xfId="0" applyNumberFormat="1" applyFont="1" applyBorder="1" applyAlignment="1">
      <alignment horizontal="left" vertical="top" indent="2"/>
    </xf>
    <xf numFmtId="49" fontId="50" fillId="0" borderId="5" xfId="0" applyNumberFormat="1" applyFont="1" applyBorder="1" applyAlignment="1">
      <alignment horizontal="left" vertical="top" indent="2"/>
    </xf>
    <xf numFmtId="49" fontId="49" fillId="0" borderId="5" xfId="0" applyNumberFormat="1" applyFont="1" applyBorder="1" applyAlignment="1">
      <alignment vertical="top"/>
    </xf>
    <xf numFmtId="179" fontId="49" fillId="0" borderId="0" xfId="0" applyNumberFormat="1" applyFont="1" applyAlignment="1">
      <alignment horizontal="right" vertical="top"/>
    </xf>
    <xf numFmtId="164" fontId="3" fillId="0" borderId="0" xfId="1" applyFont="1" applyAlignment="1">
      <alignment vertical="top"/>
    </xf>
    <xf numFmtId="164" fontId="1" fillId="0" borderId="10" xfId="3" applyFont="1" applyFill="1" applyBorder="1" applyAlignment="1">
      <alignment vertical="center"/>
    </xf>
    <xf numFmtId="49" fontId="48" fillId="0" borderId="5" xfId="0" applyNumberFormat="1" applyFont="1" applyBorder="1" applyAlignment="1">
      <alignment horizontal="left" vertical="top" indent="3"/>
    </xf>
    <xf numFmtId="49" fontId="48" fillId="0" borderId="6" xfId="0" applyNumberFormat="1" applyFont="1" applyBorder="1" applyAlignment="1">
      <alignment horizontal="left" vertical="top" indent="3"/>
    </xf>
    <xf numFmtId="49" fontId="50" fillId="0" borderId="0" xfId="0" applyNumberFormat="1" applyFont="1" applyAlignment="1">
      <alignment horizontal="left" vertical="top" indent="5"/>
    </xf>
    <xf numFmtId="49" fontId="47" fillId="0" borderId="0" xfId="0" applyNumberFormat="1" applyFont="1" applyAlignment="1">
      <alignment horizontal="left" vertical="top" indent="12"/>
    </xf>
    <xf numFmtId="49" fontId="47" fillId="0" borderId="0" xfId="0" applyNumberFormat="1" applyFont="1" applyAlignment="1">
      <alignment horizontal="left" vertical="top" indent="8"/>
    </xf>
    <xf numFmtId="49" fontId="50" fillId="0" borderId="0" xfId="0" applyNumberFormat="1" applyFont="1" applyAlignment="1">
      <alignment horizontal="left" vertical="top" indent="8"/>
    </xf>
    <xf numFmtId="49" fontId="47" fillId="0" borderId="0" xfId="0" applyNumberFormat="1" applyFont="1" applyAlignment="1">
      <alignment horizontal="left" vertical="top" indent="10"/>
    </xf>
    <xf numFmtId="49" fontId="48" fillId="0" borderId="2" xfId="0" applyNumberFormat="1" applyFont="1" applyBorder="1" applyAlignment="1">
      <alignment horizontal="left" vertical="top" indent="3"/>
    </xf>
    <xf numFmtId="49" fontId="47" fillId="2" borderId="0" xfId="0" applyNumberFormat="1" applyFont="1" applyFill="1" applyAlignment="1">
      <alignment horizontal="left" vertical="top" indent="3"/>
    </xf>
    <xf numFmtId="178" fontId="47" fillId="2" borderId="0" xfId="0" applyNumberFormat="1" applyFont="1" applyFill="1" applyAlignment="1">
      <alignment horizontal="right" vertical="top"/>
    </xf>
    <xf numFmtId="179" fontId="50" fillId="2" borderId="0" xfId="0" applyNumberFormat="1" applyFont="1" applyFill="1" applyAlignment="1">
      <alignment horizontal="right" vertical="top"/>
    </xf>
    <xf numFmtId="185" fontId="47" fillId="2" borderId="0" xfId="0" applyNumberFormat="1" applyFont="1" applyFill="1" applyAlignment="1">
      <alignment horizontal="right" vertical="top"/>
    </xf>
    <xf numFmtId="186" fontId="47" fillId="2" borderId="0" xfId="0" applyNumberFormat="1" applyFont="1" applyFill="1" applyAlignment="1">
      <alignment horizontal="right" vertical="top"/>
    </xf>
    <xf numFmtId="178" fontId="50" fillId="2" borderId="0" xfId="0" applyNumberFormat="1" applyFont="1" applyFill="1" applyAlignment="1">
      <alignment horizontal="right" vertical="top"/>
    </xf>
    <xf numFmtId="0" fontId="18" fillId="0" borderId="10" xfId="1" applyNumberFormat="1" applyFont="1" applyFill="1" applyBorder="1" applyAlignment="1">
      <alignment horizontal="left" vertical="center"/>
    </xf>
    <xf numFmtId="0" fontId="2" fillId="0" borderId="11" xfId="1" applyNumberFormat="1" applyFont="1" applyBorder="1" applyAlignment="1">
      <alignment horizontal="left"/>
    </xf>
    <xf numFmtId="0" fontId="2" fillId="0" borderId="11" xfId="1" applyNumberFormat="1" applyFont="1" applyFill="1" applyBorder="1" applyAlignment="1">
      <alignment horizontal="left" indent="2"/>
    </xf>
    <xf numFmtId="0" fontId="62" fillId="0" borderId="0" xfId="1" applyNumberFormat="1" applyFont="1"/>
    <xf numFmtId="0" fontId="0" fillId="0" borderId="0" xfId="1" applyNumberFormat="1" applyFont="1"/>
    <xf numFmtId="0" fontId="2" fillId="0" borderId="0" xfId="1" applyNumberFormat="1" applyFont="1"/>
    <xf numFmtId="0" fontId="2" fillId="0" borderId="0" xfId="1" applyNumberFormat="1" applyFont="1" applyAlignment="1">
      <alignment vertical="center"/>
    </xf>
    <xf numFmtId="164" fontId="2" fillId="0" borderId="11" xfId="1" applyFont="1" applyFill="1" applyBorder="1" applyAlignment="1">
      <alignment horizontal="left"/>
    </xf>
    <xf numFmtId="43" fontId="0" fillId="0" borderId="0" xfId="0" applyNumberFormat="1"/>
    <xf numFmtId="164" fontId="44" fillId="0" borderId="0" xfId="1" applyFont="1" applyAlignment="1">
      <alignment horizontal="center" vertical="center"/>
    </xf>
    <xf numFmtId="164" fontId="1" fillId="0" borderId="0" xfId="1" applyAlignment="1">
      <alignment vertical="center"/>
    </xf>
    <xf numFmtId="164" fontId="44" fillId="0" borderId="0" xfId="1" applyFont="1" applyAlignment="1">
      <alignment horizontal="center" vertical="center" wrapText="1"/>
    </xf>
    <xf numFmtId="164" fontId="1" fillId="0" borderId="0" xfId="1" applyAlignment="1">
      <alignment horizontal="center" vertical="center"/>
    </xf>
    <xf numFmtId="164" fontId="1" fillId="0" borderId="0" xfId="1" applyFont="1"/>
    <xf numFmtId="164" fontId="1" fillId="0" borderId="55" xfId="1" applyFont="1" applyBorder="1"/>
    <xf numFmtId="43" fontId="0" fillId="0" borderId="7" xfId="40911" applyFont="1" applyBorder="1"/>
    <xf numFmtId="43" fontId="0" fillId="0" borderId="7" xfId="40912" applyFont="1" applyBorder="1"/>
    <xf numFmtId="43" fontId="0" fillId="0" borderId="7" xfId="40912" applyFont="1" applyFill="1" applyBorder="1"/>
    <xf numFmtId="43" fontId="2" fillId="0" borderId="7" xfId="40911" applyFont="1" applyBorder="1"/>
    <xf numFmtId="43" fontId="2" fillId="0" borderId="7" xfId="40912" applyFont="1" applyBorder="1"/>
    <xf numFmtId="43" fontId="2" fillId="0" borderId="7" xfId="0" applyNumberFormat="1" applyFont="1" applyBorder="1"/>
    <xf numFmtId="43" fontId="2" fillId="0" borderId="0" xfId="0" applyNumberFormat="1" applyFont="1"/>
    <xf numFmtId="43" fontId="0" fillId="0" borderId="7" xfId="0" applyNumberFormat="1" applyBorder="1"/>
    <xf numFmtId="43" fontId="0" fillId="0" borderId="0" xfId="40912" applyFont="1" applyFill="1" applyBorder="1"/>
    <xf numFmtId="43" fontId="0" fillId="0" borderId="11" xfId="0" applyNumberFormat="1" applyBorder="1"/>
    <xf numFmtId="43" fontId="0" fillId="0" borderId="26" xfId="0" applyNumberFormat="1" applyBorder="1"/>
    <xf numFmtId="188" fontId="47" fillId="2" borderId="0" xfId="0" applyNumberFormat="1" applyFont="1" applyFill="1" applyAlignment="1">
      <alignment horizontal="right" vertical="top"/>
    </xf>
    <xf numFmtId="164" fontId="0" fillId="0" borderId="55" xfId="1" applyFont="1" applyBorder="1"/>
    <xf numFmtId="164" fontId="0" fillId="0" borderId="0" xfId="1" applyFont="1" applyBorder="1"/>
    <xf numFmtId="164" fontId="2" fillId="0" borderId="0" xfId="1" applyFont="1" applyBorder="1" applyAlignment="1">
      <alignment horizontal="left"/>
    </xf>
    <xf numFmtId="164" fontId="0" fillId="0" borderId="0" xfId="1" applyFont="1" applyBorder="1" applyAlignment="1">
      <alignment horizontal="left" indent="2"/>
    </xf>
    <xf numFmtId="164" fontId="0" fillId="0" borderId="0" xfId="1" applyFont="1" applyBorder="1" applyAlignment="1">
      <alignment horizontal="left" indent="4"/>
    </xf>
    <xf numFmtId="164" fontId="17" fillId="0" borderId="0" xfId="1" applyFont="1" applyBorder="1" applyAlignment="1">
      <alignment horizontal="left" vertical="center" indent="2"/>
    </xf>
    <xf numFmtId="164" fontId="2" fillId="0" borderId="0" xfId="1" applyFont="1" applyBorder="1"/>
    <xf numFmtId="164" fontId="1" fillId="0" borderId="0" xfId="1" applyFont="1" applyBorder="1" applyAlignment="1">
      <alignment horizontal="left" indent="2"/>
    </xf>
    <xf numFmtId="164" fontId="1" fillId="0" borderId="0" xfId="1" applyFont="1" applyBorder="1" applyAlignment="1">
      <alignment horizontal="left" indent="4"/>
    </xf>
    <xf numFmtId="164" fontId="18" fillId="0" borderId="0" xfId="1" applyFont="1" applyBorder="1"/>
    <xf numFmtId="164" fontId="2" fillId="0" borderId="0" xfId="1" applyFont="1" applyBorder="1" applyAlignment="1">
      <alignment horizontal="left" indent="1"/>
    </xf>
    <xf numFmtId="164" fontId="17" fillId="0" borderId="0" xfId="1" applyFont="1" applyBorder="1" applyAlignment="1">
      <alignment horizontal="left" indent="5"/>
    </xf>
    <xf numFmtId="164" fontId="0" fillId="0" borderId="0" xfId="1" quotePrefix="1" applyFont="1" applyBorder="1" applyAlignment="1">
      <alignment horizontal="left" indent="6"/>
    </xf>
    <xf numFmtId="179" fontId="47" fillId="2" borderId="0" xfId="0" applyNumberFormat="1" applyFont="1" applyFill="1" applyAlignment="1">
      <alignment horizontal="right" vertical="top"/>
    </xf>
    <xf numFmtId="0" fontId="2" fillId="0" borderId="0" xfId="0" applyFont="1" applyAlignment="1">
      <alignment horizontal="center"/>
    </xf>
    <xf numFmtId="164" fontId="2" fillId="0" borderId="13" xfId="3" applyFont="1" applyFill="1" applyBorder="1" applyAlignment="1">
      <alignment vertical="center"/>
    </xf>
    <xf numFmtId="164" fontId="2" fillId="0" borderId="10" xfId="3" applyFont="1" applyFill="1" applyBorder="1" applyAlignment="1">
      <alignment vertical="center"/>
    </xf>
    <xf numFmtId="164" fontId="2" fillId="0" borderId="3" xfId="3" applyFont="1" applyFill="1" applyBorder="1" applyAlignment="1">
      <alignment vertical="center"/>
    </xf>
    <xf numFmtId="0" fontId="1" fillId="0" borderId="3" xfId="2" applyBorder="1" applyAlignment="1">
      <alignment vertical="center"/>
    </xf>
    <xf numFmtId="164" fontId="2" fillId="0" borderId="55" xfId="1" applyFont="1" applyBorder="1"/>
    <xf numFmtId="164" fontId="2" fillId="0" borderId="2" xfId="1" applyFont="1" applyBorder="1"/>
    <xf numFmtId="164" fontId="2" fillId="0" borderId="0" xfId="1" applyFont="1" applyAlignment="1">
      <alignment horizontal="center"/>
    </xf>
    <xf numFmtId="164" fontId="66" fillId="0" borderId="0" xfId="1" applyFont="1" applyBorder="1" applyAlignment="1">
      <alignment horizontal="center"/>
    </xf>
    <xf numFmtId="164" fontId="66" fillId="0" borderId="0" xfId="1" applyFont="1" applyAlignment="1">
      <alignment horizontal="center"/>
    </xf>
    <xf numFmtId="164" fontId="2" fillId="0" borderId="11" xfId="1" applyFont="1" applyFill="1" applyBorder="1" applyAlignment="1">
      <alignment horizontal="left" indent="2"/>
    </xf>
    <xf numFmtId="164" fontId="18" fillId="0" borderId="0" xfId="1" applyFont="1" applyBorder="1" applyAlignment="1">
      <alignment horizontal="center"/>
    </xf>
    <xf numFmtId="164" fontId="67" fillId="0" borderId="0" xfId="1" applyFont="1"/>
    <xf numFmtId="0" fontId="19" fillId="0" borderId="0" xfId="38" applyFont="1" applyAlignment="1">
      <alignment horizontal="center" vertical="center" wrapText="1"/>
    </xf>
    <xf numFmtId="173" fontId="0" fillId="0" borderId="0" xfId="1" applyNumberFormat="1" applyFont="1" applyFill="1" applyBorder="1"/>
    <xf numFmtId="164" fontId="19" fillId="0" borderId="0" xfId="38" applyNumberFormat="1" applyFont="1" applyAlignment="1">
      <alignment vertical="center"/>
    </xf>
    <xf numFmtId="164" fontId="18" fillId="0" borderId="14" xfId="40904" applyFont="1" applyFill="1" applyBorder="1" applyAlignment="1">
      <alignment horizontal="center" vertical="center" wrapText="1"/>
    </xf>
    <xf numFmtId="164" fontId="18" fillId="0" borderId="10" xfId="40904" applyFont="1" applyFill="1" applyBorder="1" applyAlignment="1">
      <alignment horizontal="center" vertical="center" wrapText="1"/>
    </xf>
    <xf numFmtId="164" fontId="0" fillId="2" borderId="0" xfId="1" applyFont="1" applyFill="1" applyBorder="1"/>
    <xf numFmtId="164" fontId="18" fillId="0" borderId="10" xfId="40905" applyFont="1" applyFill="1" applyBorder="1" applyAlignment="1" applyProtection="1">
      <alignment vertical="center" wrapText="1"/>
    </xf>
    <xf numFmtId="43" fontId="2" fillId="0" borderId="0" xfId="40912" applyFont="1"/>
    <xf numFmtId="43" fontId="2" fillId="0" borderId="0" xfId="40912" applyFont="1" applyAlignment="1">
      <alignment horizontal="center" vertical="center" wrapText="1"/>
    </xf>
    <xf numFmtId="43" fontId="0" fillId="0" borderId="0" xfId="40912" applyFont="1"/>
    <xf numFmtId="43" fontId="0" fillId="0" borderId="2" xfId="40912" applyFont="1" applyBorder="1"/>
    <xf numFmtId="43" fontId="2" fillId="0" borderId="50" xfId="40912" applyFont="1" applyBorder="1"/>
    <xf numFmtId="43" fontId="2" fillId="0" borderId="2" xfId="40912" applyFont="1" applyBorder="1"/>
    <xf numFmtId="43" fontId="2" fillId="0" borderId="9" xfId="40912" applyFont="1" applyBorder="1"/>
    <xf numFmtId="43" fontId="2" fillId="0" borderId="40" xfId="40912" applyFont="1" applyBorder="1"/>
    <xf numFmtId="43" fontId="0" fillId="0" borderId="14" xfId="40912" applyFont="1" applyBorder="1"/>
    <xf numFmtId="0" fontId="2" fillId="0" borderId="7" xfId="0" applyFont="1" applyBorder="1" applyAlignment="1">
      <alignment horizontal="left"/>
    </xf>
    <xf numFmtId="43" fontId="2" fillId="0" borderId="7" xfId="40912" applyFont="1" applyBorder="1" applyAlignment="1">
      <alignment horizontal="left"/>
    </xf>
    <xf numFmtId="43" fontId="0" fillId="0" borderId="7" xfId="40912" applyFont="1" applyBorder="1" applyAlignment="1"/>
    <xf numFmtId="43" fontId="0" fillId="0" borderId="7" xfId="40912" applyFont="1" applyBorder="1" applyAlignment="1">
      <alignment horizontal="left"/>
    </xf>
    <xf numFmtId="0" fontId="0" fillId="0" borderId="7" xfId="0" applyBorder="1" applyAlignment="1">
      <alignment horizontal="left"/>
    </xf>
    <xf numFmtId="43" fontId="2" fillId="0" borderId="14" xfId="40912" applyFont="1" applyBorder="1" applyAlignment="1">
      <alignment horizontal="left"/>
    </xf>
    <xf numFmtId="164" fontId="17" fillId="0" borderId="12" xfId="40905" applyFont="1" applyFill="1" applyBorder="1" applyAlignment="1" applyProtection="1">
      <alignment vertical="center" wrapText="1"/>
    </xf>
    <xf numFmtId="49" fontId="49" fillId="0" borderId="2" xfId="0" applyNumberFormat="1" applyFont="1" applyBorder="1" applyAlignment="1">
      <alignment vertical="top"/>
    </xf>
    <xf numFmtId="49" fontId="50" fillId="0" borderId="0" xfId="0" applyNumberFormat="1" applyFont="1" applyAlignment="1">
      <alignment horizontal="right" vertical="top"/>
    </xf>
    <xf numFmtId="178" fontId="49" fillId="0" borderId="0" xfId="0" applyNumberFormat="1" applyFont="1" applyAlignment="1">
      <alignment horizontal="right" vertical="top"/>
    </xf>
    <xf numFmtId="188" fontId="48" fillId="0" borderId="0" xfId="0" applyNumberFormat="1" applyFont="1" applyAlignment="1">
      <alignment horizontal="right" vertical="top"/>
    </xf>
    <xf numFmtId="180" fontId="2" fillId="0" borderId="0" xfId="0" applyNumberFormat="1" applyFont="1"/>
    <xf numFmtId="188" fontId="47" fillId="0" borderId="5" xfId="0" applyNumberFormat="1" applyFont="1" applyBorder="1" applyAlignment="1">
      <alignment horizontal="right" vertical="top"/>
    </xf>
    <xf numFmtId="179" fontId="50" fillId="0" borderId="6" xfId="0" applyNumberFormat="1" applyFont="1" applyBorder="1" applyAlignment="1">
      <alignment horizontal="right" vertical="top"/>
    </xf>
    <xf numFmtId="190" fontId="0" fillId="0" borderId="0" xfId="0" applyNumberFormat="1"/>
    <xf numFmtId="49" fontId="48" fillId="0" borderId="0" xfId="0" applyNumberFormat="1" applyFont="1" applyAlignment="1">
      <alignment horizontal="left" vertical="top" indent="1"/>
    </xf>
    <xf numFmtId="179" fontId="47" fillId="0" borderId="6" xfId="0" applyNumberFormat="1" applyFont="1" applyBorder="1" applyAlignment="1">
      <alignment horizontal="right" vertical="top"/>
    </xf>
    <xf numFmtId="188" fontId="47" fillId="0" borderId="6" xfId="0" applyNumberFormat="1" applyFont="1" applyBorder="1" applyAlignment="1">
      <alignment horizontal="right" vertical="top"/>
    </xf>
    <xf numFmtId="179" fontId="48" fillId="0" borderId="3" xfId="0" applyNumberFormat="1" applyFont="1" applyBorder="1" applyAlignment="1">
      <alignment horizontal="right" vertical="top"/>
    </xf>
    <xf numFmtId="179" fontId="49" fillId="0" borderId="3" xfId="0" applyNumberFormat="1" applyFont="1" applyBorder="1" applyAlignment="1">
      <alignment horizontal="right" vertical="top"/>
    </xf>
    <xf numFmtId="178" fontId="49" fillId="0" borderId="3" xfId="0" applyNumberFormat="1" applyFont="1" applyBorder="1" applyAlignment="1">
      <alignment horizontal="right" vertical="top"/>
    </xf>
    <xf numFmtId="188" fontId="48" fillId="0" borderId="3" xfId="0" applyNumberFormat="1" applyFont="1" applyBorder="1" applyAlignment="1">
      <alignment horizontal="right" vertical="top"/>
    </xf>
    <xf numFmtId="49" fontId="49" fillId="0" borderId="1" xfId="0" applyNumberFormat="1" applyFont="1" applyBorder="1" applyAlignment="1">
      <alignment vertical="top"/>
    </xf>
    <xf numFmtId="49" fontId="47" fillId="6" borderId="0" xfId="0" applyNumberFormat="1" applyFont="1" applyFill="1" applyAlignment="1">
      <alignment horizontal="left" vertical="top" indent="1"/>
    </xf>
    <xf numFmtId="178" fontId="47" fillId="6" borderId="5" xfId="0" applyNumberFormat="1" applyFont="1" applyFill="1" applyBorder="1" applyAlignment="1">
      <alignment horizontal="right" vertical="top"/>
    </xf>
    <xf numFmtId="178" fontId="48" fillId="6" borderId="0" xfId="0" applyNumberFormat="1" applyFont="1" applyFill="1" applyAlignment="1">
      <alignment horizontal="right" vertical="top"/>
    </xf>
    <xf numFmtId="178" fontId="50" fillId="6" borderId="5" xfId="0" applyNumberFormat="1" applyFont="1" applyFill="1" applyBorder="1" applyAlignment="1">
      <alignment horizontal="right" vertical="top"/>
    </xf>
    <xf numFmtId="178" fontId="49" fillId="6" borderId="0" xfId="0" applyNumberFormat="1" applyFont="1" applyFill="1" applyAlignment="1">
      <alignment horizontal="right" vertical="top"/>
    </xf>
    <xf numFmtId="179" fontId="47" fillId="6" borderId="5" xfId="0" applyNumberFormat="1" applyFont="1" applyFill="1" applyBorder="1" applyAlignment="1">
      <alignment horizontal="right" vertical="top"/>
    </xf>
    <xf numFmtId="2" fontId="0" fillId="6" borderId="0" xfId="0" applyNumberFormat="1" applyFill="1"/>
    <xf numFmtId="0" fontId="0" fillId="6" borderId="0" xfId="0" applyFill="1"/>
    <xf numFmtId="188" fontId="47" fillId="6" borderId="5" xfId="0" applyNumberFormat="1" applyFont="1" applyFill="1" applyBorder="1" applyAlignment="1">
      <alignment horizontal="right" vertical="top"/>
    </xf>
    <xf numFmtId="179" fontId="50" fillId="6" borderId="5" xfId="0" applyNumberFormat="1" applyFont="1" applyFill="1" applyBorder="1" applyAlignment="1">
      <alignment horizontal="right" vertical="top"/>
    </xf>
    <xf numFmtId="180" fontId="0" fillId="6" borderId="0" xfId="0" applyNumberFormat="1" applyFill="1"/>
    <xf numFmtId="178" fontId="47" fillId="6" borderId="6" xfId="0" applyNumberFormat="1" applyFont="1" applyFill="1" applyBorder="1" applyAlignment="1">
      <alignment horizontal="right" vertical="top"/>
    </xf>
    <xf numFmtId="178" fontId="50" fillId="6" borderId="6" xfId="0" applyNumberFormat="1" applyFont="1" applyFill="1" applyBorder="1" applyAlignment="1">
      <alignment horizontal="right" vertical="top"/>
    </xf>
    <xf numFmtId="49" fontId="50" fillId="6" borderId="0" xfId="0" applyNumberFormat="1" applyFont="1" applyFill="1" applyAlignment="1">
      <alignment horizontal="left" vertical="top" indent="1"/>
    </xf>
    <xf numFmtId="188" fontId="50" fillId="6" borderId="5" xfId="0" applyNumberFormat="1" applyFont="1" applyFill="1" applyBorder="1" applyAlignment="1">
      <alignment horizontal="right" vertical="top"/>
    </xf>
    <xf numFmtId="49" fontId="50" fillId="6" borderId="0" xfId="0" applyNumberFormat="1" applyFont="1" applyFill="1" applyAlignment="1">
      <alignment horizontal="left" vertical="top" indent="2"/>
    </xf>
    <xf numFmtId="179" fontId="47" fillId="6" borderId="4" xfId="0" applyNumberFormat="1" applyFont="1" applyFill="1" applyBorder="1" applyAlignment="1">
      <alignment horizontal="right" vertical="top"/>
    </xf>
    <xf numFmtId="179" fontId="50" fillId="6" borderId="4" xfId="0" applyNumberFormat="1" applyFont="1" applyFill="1" applyBorder="1" applyAlignment="1">
      <alignment horizontal="right" vertical="top"/>
    </xf>
    <xf numFmtId="178" fontId="50" fillId="6" borderId="4" xfId="0" applyNumberFormat="1" applyFont="1" applyFill="1" applyBorder="1" applyAlignment="1">
      <alignment horizontal="right" vertical="top"/>
    </xf>
    <xf numFmtId="188" fontId="47" fillId="6" borderId="4" xfId="0" applyNumberFormat="1" applyFont="1" applyFill="1" applyBorder="1" applyAlignment="1">
      <alignment horizontal="right" vertical="top"/>
    </xf>
    <xf numFmtId="188" fontId="0" fillId="0" borderId="0" xfId="0" applyNumberFormat="1"/>
    <xf numFmtId="49" fontId="50" fillId="6" borderId="0" xfId="0" applyNumberFormat="1" applyFont="1" applyFill="1" applyAlignment="1">
      <alignment horizontal="left" vertical="top" indent="3"/>
    </xf>
    <xf numFmtId="49" fontId="47" fillId="6" borderId="0" xfId="0" applyNumberFormat="1" applyFont="1" applyFill="1" applyAlignment="1">
      <alignment horizontal="left" vertical="top" indent="3"/>
    </xf>
    <xf numFmtId="185" fontId="47" fillId="0" borderId="9" xfId="0" applyNumberFormat="1" applyFont="1" applyBorder="1" applyAlignment="1">
      <alignment horizontal="right" vertical="top"/>
    </xf>
    <xf numFmtId="178" fontId="50" fillId="0" borderId="9" xfId="0" applyNumberFormat="1" applyFont="1" applyBorder="1" applyAlignment="1">
      <alignment horizontal="right" vertical="top"/>
    </xf>
    <xf numFmtId="178" fontId="47" fillId="0" borderId="9" xfId="0" applyNumberFormat="1" applyFont="1" applyBorder="1" applyAlignment="1">
      <alignment horizontal="right" vertical="top"/>
    </xf>
    <xf numFmtId="185" fontId="50" fillId="0" borderId="9" xfId="0" applyNumberFormat="1" applyFont="1" applyBorder="1" applyAlignment="1">
      <alignment horizontal="right" vertical="top"/>
    </xf>
    <xf numFmtId="185" fontId="47" fillId="0" borderId="6" xfId="0" applyNumberFormat="1" applyFont="1" applyBorder="1" applyAlignment="1">
      <alignment horizontal="right" vertical="top"/>
    </xf>
    <xf numFmtId="178" fontId="50" fillId="0" borderId="6" xfId="0" applyNumberFormat="1" applyFont="1" applyBorder="1" applyAlignment="1">
      <alignment horizontal="right" vertical="top"/>
    </xf>
    <xf numFmtId="178" fontId="47" fillId="0" borderId="6" xfId="0" applyNumberFormat="1" applyFont="1" applyBorder="1" applyAlignment="1">
      <alignment horizontal="right" vertical="top"/>
    </xf>
    <xf numFmtId="185" fontId="50" fillId="0" borderId="6" xfId="0" applyNumberFormat="1" applyFont="1" applyBorder="1" applyAlignment="1">
      <alignment horizontal="right" vertical="top"/>
    </xf>
    <xf numFmtId="186" fontId="50" fillId="0" borderId="6" xfId="0" applyNumberFormat="1" applyFont="1" applyBorder="1" applyAlignment="1">
      <alignment horizontal="right" vertical="top"/>
    </xf>
    <xf numFmtId="186" fontId="47" fillId="0" borderId="9" xfId="0" applyNumberFormat="1" applyFont="1" applyBorder="1" applyAlignment="1">
      <alignment horizontal="right" vertical="top"/>
    </xf>
    <xf numFmtId="186" fontId="50" fillId="0" borderId="9" xfId="0" applyNumberFormat="1" applyFont="1" applyBorder="1" applyAlignment="1">
      <alignment horizontal="right" vertical="top"/>
    </xf>
    <xf numFmtId="189" fontId="47" fillId="0" borderId="9" xfId="0" applyNumberFormat="1" applyFont="1" applyBorder="1" applyAlignment="1">
      <alignment horizontal="right" vertical="top"/>
    </xf>
    <xf numFmtId="189" fontId="47" fillId="0" borderId="2" xfId="0" applyNumberFormat="1" applyFont="1" applyBorder="1" applyAlignment="1">
      <alignment horizontal="right" vertical="top"/>
    </xf>
    <xf numFmtId="189" fontId="50" fillId="0" borderId="9" xfId="0" applyNumberFormat="1" applyFont="1" applyBorder="1" applyAlignment="1">
      <alignment horizontal="right" vertical="top"/>
    </xf>
    <xf numFmtId="188" fontId="50" fillId="0" borderId="2" xfId="0" applyNumberFormat="1" applyFont="1" applyBorder="1" applyAlignment="1">
      <alignment horizontal="right" vertical="top"/>
    </xf>
    <xf numFmtId="189" fontId="50" fillId="0" borderId="2" xfId="0" applyNumberFormat="1" applyFont="1" applyBorder="1" applyAlignment="1">
      <alignment horizontal="right" vertical="top"/>
    </xf>
    <xf numFmtId="188" fontId="47" fillId="0" borderId="2" xfId="0" applyNumberFormat="1" applyFont="1" applyBorder="1" applyAlignment="1">
      <alignment horizontal="right" vertical="top"/>
    </xf>
    <xf numFmtId="186" fontId="47" fillId="0" borderId="6" xfId="0" applyNumberFormat="1" applyFont="1" applyBorder="1" applyAlignment="1">
      <alignment horizontal="right" vertical="top"/>
    </xf>
    <xf numFmtId="187" fontId="50" fillId="0" borderId="6" xfId="0" applyNumberFormat="1" applyFont="1" applyBorder="1" applyAlignment="1">
      <alignment horizontal="right" vertical="top"/>
    </xf>
    <xf numFmtId="187" fontId="50" fillId="0" borderId="4" xfId="0" applyNumberFormat="1" applyFont="1" applyBorder="1" applyAlignment="1">
      <alignment horizontal="right" vertical="top"/>
    </xf>
    <xf numFmtId="189" fontId="47" fillId="0" borderId="6" xfId="0" applyNumberFormat="1" applyFont="1" applyBorder="1" applyAlignment="1">
      <alignment horizontal="right" vertical="top"/>
    </xf>
    <xf numFmtId="189" fontId="47" fillId="0" borderId="1" xfId="0" applyNumberFormat="1" applyFont="1" applyBorder="1" applyAlignment="1">
      <alignment horizontal="right" vertical="top"/>
    </xf>
    <xf numFmtId="187" fontId="47" fillId="0" borderId="6" xfId="0" applyNumberFormat="1" applyFont="1" applyBorder="1" applyAlignment="1">
      <alignment horizontal="right" vertical="top"/>
    </xf>
    <xf numFmtId="187" fontId="47" fillId="0" borderId="4" xfId="0" applyNumberFormat="1" applyFont="1" applyBorder="1" applyAlignment="1">
      <alignment horizontal="right" vertical="top"/>
    </xf>
    <xf numFmtId="187" fontId="47" fillId="0" borderId="1" xfId="0" applyNumberFormat="1" applyFont="1" applyBorder="1" applyAlignment="1">
      <alignment horizontal="right" vertical="top"/>
    </xf>
    <xf numFmtId="187" fontId="50" fillId="0" borderId="9" xfId="0" applyNumberFormat="1" applyFont="1" applyBorder="1" applyAlignment="1">
      <alignment horizontal="right" vertical="top"/>
    </xf>
    <xf numFmtId="187" fontId="50" fillId="0" borderId="2" xfId="0" applyNumberFormat="1" applyFont="1" applyBorder="1" applyAlignment="1">
      <alignment horizontal="right" vertical="top"/>
    </xf>
    <xf numFmtId="187" fontId="50" fillId="0" borderId="1" xfId="0" applyNumberFormat="1" applyFont="1" applyBorder="1" applyAlignment="1">
      <alignment horizontal="right" vertical="top"/>
    </xf>
    <xf numFmtId="189" fontId="50" fillId="0" borderId="6" xfId="0" applyNumberFormat="1" applyFont="1" applyBorder="1" applyAlignment="1">
      <alignment horizontal="right" vertical="top"/>
    </xf>
    <xf numFmtId="189" fontId="50" fillId="0" borderId="1" xfId="0" applyNumberFormat="1" applyFont="1" applyBorder="1" applyAlignment="1">
      <alignment horizontal="right" vertical="top"/>
    </xf>
    <xf numFmtId="0" fontId="2" fillId="0" borderId="7" xfId="0" applyFont="1" applyBorder="1" applyAlignment="1">
      <alignment horizontal="center"/>
    </xf>
    <xf numFmtId="49" fontId="47" fillId="6" borderId="0" xfId="0" applyNumberFormat="1" applyFont="1" applyFill="1" applyAlignment="1">
      <alignment horizontal="left" vertical="top" indent="2"/>
    </xf>
    <xf numFmtId="185" fontId="50" fillId="6" borderId="5" xfId="0" applyNumberFormat="1" applyFont="1" applyFill="1" applyBorder="1" applyAlignment="1">
      <alignment horizontal="right" vertical="top"/>
    </xf>
    <xf numFmtId="178" fontId="47" fillId="6" borderId="0" xfId="0" applyNumberFormat="1" applyFont="1" applyFill="1" applyAlignment="1">
      <alignment horizontal="right" vertical="top"/>
    </xf>
    <xf numFmtId="185" fontId="50" fillId="6" borderId="0" xfId="0" applyNumberFormat="1" applyFont="1" applyFill="1" applyAlignment="1">
      <alignment horizontal="right" vertical="top"/>
    </xf>
    <xf numFmtId="180" fontId="0" fillId="0" borderId="7" xfId="0" applyNumberFormat="1" applyBorder="1"/>
    <xf numFmtId="2" fontId="0" fillId="0" borderId="7" xfId="0" applyNumberFormat="1" applyBorder="1"/>
    <xf numFmtId="179" fontId="50" fillId="17" borderId="5" xfId="0" applyNumberFormat="1" applyFont="1" applyFill="1" applyBorder="1" applyAlignment="1">
      <alignment horizontal="right" vertical="top"/>
    </xf>
    <xf numFmtId="179" fontId="50" fillId="17" borderId="6" xfId="0" applyNumberFormat="1" applyFont="1" applyFill="1" applyBorder="1" applyAlignment="1">
      <alignment horizontal="right" vertical="top"/>
    </xf>
    <xf numFmtId="164" fontId="2" fillId="0" borderId="0" xfId="1" applyFont="1" applyFill="1" applyAlignment="1">
      <alignment vertical="center"/>
    </xf>
    <xf numFmtId="2" fontId="2" fillId="0" borderId="7" xfId="0" applyNumberFormat="1" applyFont="1" applyBorder="1"/>
    <xf numFmtId="180" fontId="2" fillId="0" borderId="7" xfId="0" applyNumberFormat="1" applyFont="1" applyBorder="1"/>
    <xf numFmtId="0" fontId="0" fillId="0" borderId="12" xfId="0" applyBorder="1" applyAlignment="1">
      <alignment horizontal="left" indent="5"/>
    </xf>
    <xf numFmtId="43" fontId="19" fillId="0" borderId="0" xfId="38" applyNumberFormat="1" applyFont="1" applyAlignment="1">
      <alignment horizontal="center" vertical="center" wrapText="1"/>
    </xf>
    <xf numFmtId="43" fontId="17" fillId="0" borderId="0" xfId="0" applyNumberFormat="1" applyFont="1"/>
    <xf numFmtId="191" fontId="0" fillId="0" borderId="0" xfId="0" applyNumberFormat="1"/>
    <xf numFmtId="164" fontId="2" fillId="0" borderId="11" xfId="1" applyFont="1" applyFill="1" applyBorder="1" applyAlignment="1">
      <alignment vertical="center"/>
    </xf>
    <xf numFmtId="0" fontId="0" fillId="0" borderId="7" xfId="39" applyFont="1" applyBorder="1" applyAlignment="1">
      <alignment horizontal="justify" vertical="center" wrapText="1"/>
    </xf>
    <xf numFmtId="164" fontId="17" fillId="0" borderId="11" xfId="1" applyFont="1" applyFill="1" applyBorder="1" applyAlignment="1" applyProtection="1">
      <alignment vertical="center" wrapText="1"/>
    </xf>
    <xf numFmtId="164" fontId="17" fillId="0" borderId="13" xfId="1" applyFont="1" applyFill="1" applyBorder="1" applyAlignment="1" applyProtection="1">
      <alignment vertical="center" wrapText="1"/>
    </xf>
    <xf numFmtId="165" fontId="2" fillId="0" borderId="7" xfId="2" applyNumberFormat="1" applyFont="1" applyBorder="1" applyAlignment="1">
      <alignment horizontal="center"/>
    </xf>
    <xf numFmtId="0" fontId="2" fillId="0" borderId="0" xfId="0" applyFont="1" applyAlignment="1">
      <alignment wrapText="1"/>
    </xf>
    <xf numFmtId="43" fontId="1" fillId="0" borderId="0" xfId="40912" applyFont="1"/>
    <xf numFmtId="43" fontId="2" fillId="0" borderId="55" xfId="40912" applyFont="1" applyBorder="1"/>
    <xf numFmtId="0" fontId="2" fillId="0" borderId="0" xfId="0" quotePrefix="1" applyFont="1" applyAlignment="1">
      <alignment horizontal="left" indent="1"/>
    </xf>
    <xf numFmtId="43" fontId="0" fillId="13" borderId="0" xfId="0" applyNumberFormat="1" applyFill="1"/>
    <xf numFmtId="0" fontId="0" fillId="0" borderId="15" xfId="0" applyBorder="1"/>
    <xf numFmtId="0" fontId="0" fillId="0" borderId="16" xfId="0" applyBorder="1"/>
    <xf numFmtId="0" fontId="0" fillId="0" borderId="17" xfId="0" applyBorder="1"/>
    <xf numFmtId="0" fontId="2" fillId="0" borderId="15" xfId="0" applyFont="1" applyBorder="1"/>
    <xf numFmtId="0" fontId="0" fillId="0" borderId="18" xfId="0" applyBorder="1"/>
    <xf numFmtId="43" fontId="0" fillId="0" borderId="0" xfId="40912" applyFont="1" applyBorder="1"/>
    <xf numFmtId="43" fontId="0" fillId="0" borderId="19" xfId="0" applyNumberFormat="1" applyBorder="1"/>
    <xf numFmtId="0" fontId="0" fillId="0" borderId="0" xfId="0" applyAlignment="1">
      <alignment horizontal="right" vertical="center"/>
    </xf>
    <xf numFmtId="0" fontId="2" fillId="0" borderId="44" xfId="0" applyFont="1" applyBorder="1"/>
    <xf numFmtId="0" fontId="0" fillId="0" borderId="53" xfId="0" applyBorder="1"/>
    <xf numFmtId="43" fontId="2" fillId="8" borderId="41" xfId="0" applyNumberFormat="1" applyFont="1" applyFill="1" applyBorder="1"/>
    <xf numFmtId="0" fontId="2" fillId="18" borderId="44" xfId="0" applyFont="1" applyFill="1" applyBorder="1"/>
    <xf numFmtId="0" fontId="2" fillId="18" borderId="53" xfId="0" applyFont="1" applyFill="1" applyBorder="1"/>
    <xf numFmtId="43" fontId="2" fillId="18" borderId="41" xfId="40912" applyFont="1" applyFill="1" applyBorder="1"/>
    <xf numFmtId="0" fontId="68" fillId="0" borderId="44" xfId="0" applyFont="1" applyBorder="1"/>
    <xf numFmtId="43" fontId="2" fillId="0" borderId="53" xfId="0" applyNumberFormat="1" applyFont="1" applyBorder="1"/>
    <xf numFmtId="43" fontId="2" fillId="2" borderId="41" xfId="0" applyNumberFormat="1" applyFont="1" applyFill="1" applyBorder="1"/>
    <xf numFmtId="17" fontId="0" fillId="0" borderId="0" xfId="0" applyNumberFormat="1"/>
    <xf numFmtId="0" fontId="2" fillId="0" borderId="18" xfId="0" applyFont="1" applyBorder="1"/>
    <xf numFmtId="43" fontId="0" fillId="0" borderId="19" xfId="40912" applyFont="1" applyBorder="1"/>
    <xf numFmtId="0" fontId="0" fillId="0" borderId="19" xfId="0" applyBorder="1"/>
    <xf numFmtId="0" fontId="2" fillId="0" borderId="20" xfId="0" applyFont="1" applyBorder="1"/>
    <xf numFmtId="0" fontId="0" fillId="0" borderId="21" xfId="0" applyBorder="1"/>
    <xf numFmtId="43" fontId="2" fillId="0" borderId="22" xfId="40912" applyFont="1" applyBorder="1"/>
    <xf numFmtId="43" fontId="2" fillId="2" borderId="22" xfId="0" applyNumberFormat="1" applyFont="1" applyFill="1" applyBorder="1"/>
    <xf numFmtId="43" fontId="2" fillId="0" borderId="22" xfId="0" applyNumberFormat="1" applyFont="1" applyBorder="1"/>
    <xf numFmtId="43" fontId="2" fillId="8" borderId="22" xfId="0" applyNumberFormat="1" applyFont="1" applyFill="1" applyBorder="1"/>
    <xf numFmtId="192" fontId="0" fillId="0" borderId="0" xfId="0" applyNumberFormat="1"/>
    <xf numFmtId="43" fontId="0" fillId="0" borderId="13" xfId="0" applyNumberFormat="1" applyBorder="1"/>
    <xf numFmtId="0" fontId="0" fillId="0" borderId="0" xfId="2" applyFont="1" applyAlignment="1">
      <alignment horizontal="justify" vertical="top" wrapText="1"/>
    </xf>
    <xf numFmtId="0" fontId="2" fillId="0" borderId="0" xfId="2" applyFont="1" applyAlignment="1">
      <alignment horizontal="right" vertical="top" wrapText="1"/>
    </xf>
    <xf numFmtId="0" fontId="1" fillId="0" borderId="0" xfId="2" applyAlignment="1">
      <alignment horizontal="justify" vertical="top" wrapText="1"/>
    </xf>
    <xf numFmtId="0" fontId="1" fillId="0" borderId="0" xfId="2" applyAlignment="1">
      <alignment horizontal="center" vertical="top" wrapText="1"/>
    </xf>
    <xf numFmtId="0" fontId="2" fillId="0" borderId="7" xfId="2" applyFont="1" applyBorder="1" applyAlignment="1">
      <alignment horizontal="justify" vertical="top" wrapText="1"/>
    </xf>
    <xf numFmtId="0" fontId="1" fillId="0" borderId="7" xfId="2" applyBorder="1" applyAlignment="1">
      <alignment horizontal="center" vertical="center" wrapText="1"/>
    </xf>
    <xf numFmtId="0" fontId="1" fillId="0" borderId="7" xfId="2" applyBorder="1" applyAlignment="1">
      <alignment horizontal="justify" vertical="top" wrapText="1"/>
    </xf>
    <xf numFmtId="0" fontId="1" fillId="0" borderId="7" xfId="2" applyBorder="1" applyAlignment="1">
      <alignment vertical="center"/>
    </xf>
    <xf numFmtId="164" fontId="1" fillId="0" borderId="7" xfId="1" applyFont="1" applyFill="1" applyBorder="1" applyAlignment="1">
      <alignment horizontal="center" vertical="center" wrapText="1"/>
    </xf>
    <xf numFmtId="164" fontId="1" fillId="0" borderId="7" xfId="1" applyFill="1" applyBorder="1" applyAlignment="1">
      <alignment horizontal="right" vertical="center" wrapText="1"/>
    </xf>
    <xf numFmtId="164" fontId="1" fillId="0" borderId="7" xfId="1" applyFill="1" applyBorder="1" applyAlignment="1">
      <alignment vertical="center"/>
    </xf>
    <xf numFmtId="164" fontId="2" fillId="0" borderId="7" xfId="1" applyFont="1" applyFill="1" applyBorder="1" applyAlignment="1">
      <alignment horizontal="center" vertical="center" wrapText="1"/>
    </xf>
    <xf numFmtId="164" fontId="2" fillId="0" borderId="7" xfId="1" applyFont="1" applyFill="1" applyBorder="1" applyAlignment="1">
      <alignment horizontal="right" wrapText="1"/>
    </xf>
    <xf numFmtId="0" fontId="2" fillId="0" borderId="0" xfId="2" applyFont="1" applyAlignment="1">
      <alignment horizontal="justify" vertical="top" wrapText="1"/>
    </xf>
    <xf numFmtId="164" fontId="2" fillId="0" borderId="0" xfId="1" applyFont="1" applyFill="1" applyAlignment="1">
      <alignment horizontal="center" vertical="center" wrapText="1"/>
    </xf>
    <xf numFmtId="164" fontId="1" fillId="0" borderId="0" xfId="1" applyFill="1" applyAlignment="1">
      <alignment horizontal="justify" vertical="top" wrapText="1"/>
    </xf>
    <xf numFmtId="164" fontId="1" fillId="0" borderId="0" xfId="1" applyFill="1" applyAlignment="1">
      <alignment vertical="center"/>
    </xf>
    <xf numFmtId="164" fontId="1" fillId="0" borderId="7" xfId="1" applyFill="1" applyBorder="1" applyAlignment="1">
      <alignment horizontal="justify" vertical="top" wrapText="1"/>
    </xf>
    <xf numFmtId="164" fontId="2" fillId="0" borderId="7" xfId="1" applyFont="1" applyFill="1" applyBorder="1" applyAlignment="1">
      <alignment horizontal="justify" vertical="top" wrapText="1"/>
    </xf>
    <xf numFmtId="164" fontId="1" fillId="0" borderId="0" xfId="2" applyNumberFormat="1" applyAlignment="1">
      <alignment horizontal="center" vertical="center" wrapText="1"/>
    </xf>
    <xf numFmtId="164" fontId="2" fillId="0" borderId="7" xfId="2" applyNumberFormat="1" applyFont="1" applyBorder="1" applyAlignment="1">
      <alignment horizontal="center" vertical="center" wrapText="1"/>
    </xf>
    <xf numFmtId="164" fontId="1" fillId="0" borderId="7" xfId="2" applyNumberFormat="1" applyBorder="1" applyAlignment="1">
      <alignment horizontal="center" vertical="center" wrapText="1"/>
    </xf>
    <xf numFmtId="164" fontId="1" fillId="0" borderId="7" xfId="1" applyFill="1" applyBorder="1" applyAlignment="1">
      <alignment horizontal="right" vertical="top" wrapText="1"/>
    </xf>
    <xf numFmtId="164" fontId="2" fillId="0" borderId="7" xfId="1" applyFont="1" applyFill="1" applyBorder="1" applyAlignment="1">
      <alignment horizontal="right" vertical="top" wrapText="1"/>
    </xf>
    <xf numFmtId="2" fontId="1" fillId="0" borderId="7" xfId="2" applyNumberFormat="1" applyBorder="1" applyAlignment="1">
      <alignment horizontal="right" vertical="top" wrapText="1"/>
    </xf>
    <xf numFmtId="0" fontId="0" fillId="0" borderId="7" xfId="2" applyFont="1" applyBorder="1" applyAlignment="1">
      <alignment horizontal="justify" vertical="top" wrapText="1"/>
    </xf>
    <xf numFmtId="0" fontId="2" fillId="0" borderId="7" xfId="2" applyFont="1" applyBorder="1" applyAlignment="1">
      <alignment horizontal="center" vertical="top" wrapText="1"/>
    </xf>
    <xf numFmtId="49" fontId="47" fillId="0" borderId="5" xfId="0" applyNumberFormat="1" applyFont="1" applyBorder="1" applyAlignment="1">
      <alignment horizontal="left" vertical="top" wrapText="1" indent="1"/>
    </xf>
    <xf numFmtId="179" fontId="48" fillId="2" borderId="12" xfId="0" applyNumberFormat="1" applyFont="1" applyFill="1" applyBorder="1" applyAlignment="1">
      <alignment horizontal="right" vertical="top"/>
    </xf>
    <xf numFmtId="179" fontId="48" fillId="2" borderId="0" xfId="0" applyNumberFormat="1" applyFont="1" applyFill="1" applyAlignment="1">
      <alignment horizontal="right" vertical="top"/>
    </xf>
    <xf numFmtId="179" fontId="48" fillId="2" borderId="24" xfId="0" applyNumberFormat="1" applyFont="1" applyFill="1" applyBorder="1" applyAlignment="1">
      <alignment horizontal="right" vertical="top"/>
    </xf>
    <xf numFmtId="0" fontId="0" fillId="2" borderId="16" xfId="0" applyFill="1" applyBorder="1"/>
    <xf numFmtId="0" fontId="2" fillId="2" borderId="18" xfId="0" applyFont="1" applyFill="1" applyBorder="1"/>
    <xf numFmtId="43" fontId="0" fillId="2" borderId="19" xfId="40912" applyFont="1" applyFill="1" applyBorder="1"/>
    <xf numFmtId="43" fontId="0" fillId="2" borderId="19" xfId="0" applyNumberFormat="1" applyFill="1" applyBorder="1"/>
    <xf numFmtId="0" fontId="0" fillId="2" borderId="18" xfId="0" applyFill="1" applyBorder="1"/>
    <xf numFmtId="0" fontId="0" fillId="2" borderId="19" xfId="0" applyFill="1" applyBorder="1"/>
    <xf numFmtId="0" fontId="2" fillId="2" borderId="20" xfId="0" applyFont="1" applyFill="1" applyBorder="1"/>
    <xf numFmtId="0" fontId="0" fillId="2" borderId="21" xfId="0" applyFill="1" applyBorder="1"/>
    <xf numFmtId="43" fontId="2" fillId="2" borderId="22" xfId="40912" applyFont="1" applyFill="1" applyBorder="1"/>
    <xf numFmtId="43" fontId="69" fillId="2" borderId="22" xfId="40913" applyNumberFormat="1" applyFill="1" applyBorder="1"/>
    <xf numFmtId="0" fontId="0" fillId="2" borderId="22" xfId="0" applyFill="1" applyBorder="1"/>
    <xf numFmtId="43" fontId="0" fillId="2" borderId="0" xfId="0" applyNumberFormat="1" applyFill="1"/>
    <xf numFmtId="14" fontId="0" fillId="2" borderId="0" xfId="0" applyNumberFormat="1" applyFill="1"/>
    <xf numFmtId="0" fontId="0" fillId="2" borderId="15" xfId="0" applyFill="1" applyBorder="1"/>
    <xf numFmtId="0" fontId="0" fillId="2" borderId="17" xfId="0" applyFill="1" applyBorder="1"/>
    <xf numFmtId="43" fontId="0" fillId="2" borderId="0" xfId="40912" applyFont="1" applyFill="1" applyBorder="1"/>
    <xf numFmtId="0" fontId="2" fillId="2" borderId="44" xfId="0" applyFont="1" applyFill="1" applyBorder="1"/>
    <xf numFmtId="0" fontId="2" fillId="2" borderId="53" xfId="0" applyFont="1" applyFill="1" applyBorder="1"/>
    <xf numFmtId="43" fontId="2" fillId="2" borderId="41" xfId="40912" applyFont="1" applyFill="1" applyBorder="1"/>
    <xf numFmtId="0" fontId="70" fillId="0" borderId="0" xfId="0" applyFont="1"/>
    <xf numFmtId="0" fontId="70" fillId="0" borderId="58" xfId="0" applyFont="1" applyBorder="1"/>
    <xf numFmtId="0" fontId="70" fillId="0" borderId="59" xfId="0" applyFont="1" applyBorder="1"/>
    <xf numFmtId="164" fontId="70" fillId="0" borderId="59" xfId="1" applyFont="1" applyFill="1" applyBorder="1"/>
    <xf numFmtId="0" fontId="70" fillId="0" borderId="60" xfId="0" applyFont="1" applyBorder="1"/>
    <xf numFmtId="0" fontId="70" fillId="0" borderId="61" xfId="0" applyFont="1" applyBorder="1"/>
    <xf numFmtId="0" fontId="70" fillId="0" borderId="7" xfId="0" applyFont="1" applyBorder="1"/>
    <xf numFmtId="164" fontId="70" fillId="0" borderId="7" xfId="1" applyFont="1" applyFill="1" applyBorder="1"/>
    <xf numFmtId="164" fontId="70" fillId="2" borderId="7" xfId="1" applyFont="1" applyFill="1" applyBorder="1"/>
    <xf numFmtId="0" fontId="70" fillId="0" borderId="62" xfId="0" applyFont="1" applyBorder="1"/>
    <xf numFmtId="164" fontId="70" fillId="0" borderId="62" xfId="1" applyFont="1" applyBorder="1"/>
    <xf numFmtId="164" fontId="70" fillId="0" borderId="61" xfId="1" applyFont="1" applyFill="1" applyBorder="1"/>
    <xf numFmtId="164" fontId="70" fillId="2" borderId="7" xfId="40914" applyNumberFormat="1" applyFont="1" applyFill="1" applyBorder="1"/>
    <xf numFmtId="43" fontId="70" fillId="0" borderId="0" xfId="0" applyNumberFormat="1" applyFont="1"/>
    <xf numFmtId="0" fontId="71" fillId="0" borderId="7" xfId="0" applyFont="1" applyBorder="1" applyAlignment="1">
      <alignment horizontal="center"/>
    </xf>
    <xf numFmtId="0" fontId="71" fillId="0" borderId="62" xfId="0" applyFont="1" applyBorder="1" applyAlignment="1">
      <alignment horizontal="center"/>
    </xf>
    <xf numFmtId="0" fontId="71" fillId="0" borderId="0" xfId="0" applyFont="1" applyAlignment="1">
      <alignment horizontal="center"/>
    </xf>
    <xf numFmtId="0" fontId="71" fillId="0" borderId="0" xfId="0" applyFont="1"/>
    <xf numFmtId="164" fontId="70" fillId="0" borderId="58" xfId="1" applyFont="1" applyFill="1" applyBorder="1"/>
    <xf numFmtId="164" fontId="70" fillId="0" borderId="60" xfId="1" applyFont="1" applyFill="1" applyBorder="1"/>
    <xf numFmtId="164" fontId="70" fillId="0" borderId="62" xfId="1" applyFont="1" applyFill="1" applyBorder="1"/>
    <xf numFmtId="0" fontId="71" fillId="0" borderId="7" xfId="0" applyFont="1" applyBorder="1"/>
    <xf numFmtId="164" fontId="70" fillId="2" borderId="58" xfId="1" applyFont="1" applyFill="1" applyBorder="1"/>
    <xf numFmtId="164" fontId="70" fillId="2" borderId="59" xfId="1" applyFont="1" applyFill="1" applyBorder="1"/>
    <xf numFmtId="164" fontId="70" fillId="21" borderId="59" xfId="1" applyFont="1" applyFill="1" applyBorder="1"/>
    <xf numFmtId="164" fontId="70" fillId="22" borderId="59" xfId="1" applyFont="1" applyFill="1" applyBorder="1"/>
    <xf numFmtId="164" fontId="70" fillId="23" borderId="59" xfId="1" applyFont="1" applyFill="1" applyBorder="1"/>
    <xf numFmtId="164" fontId="70" fillId="2" borderId="61" xfId="1" applyFont="1" applyFill="1" applyBorder="1"/>
    <xf numFmtId="164" fontId="70" fillId="21" borderId="7" xfId="1" applyFont="1" applyFill="1" applyBorder="1"/>
    <xf numFmtId="164" fontId="70" fillId="24" borderId="7" xfId="1" applyFont="1" applyFill="1" applyBorder="1"/>
    <xf numFmtId="164" fontId="70" fillId="6" borderId="7" xfId="1" applyFont="1" applyFill="1" applyBorder="1"/>
    <xf numFmtId="164" fontId="70" fillId="23" borderId="7" xfId="40913" applyNumberFormat="1" applyFont="1" applyFill="1" applyBorder="1"/>
    <xf numFmtId="164" fontId="70" fillId="2" borderId="7" xfId="40913" applyNumberFormat="1" applyFont="1" applyFill="1" applyBorder="1"/>
    <xf numFmtId="164" fontId="70" fillId="22" borderId="7" xfId="1" applyFont="1" applyFill="1" applyBorder="1"/>
    <xf numFmtId="164" fontId="70" fillId="25" borderId="7" xfId="1" applyFont="1" applyFill="1" applyBorder="1"/>
    <xf numFmtId="164" fontId="70" fillId="26" borderId="7" xfId="1" applyFont="1" applyFill="1" applyBorder="1"/>
    <xf numFmtId="164" fontId="70" fillId="27" borderId="7" xfId="1" applyFont="1" applyFill="1" applyBorder="1"/>
    <xf numFmtId="164" fontId="70" fillId="28" borderId="7" xfId="1" applyFont="1" applyFill="1" applyBorder="1"/>
    <xf numFmtId="164" fontId="70" fillId="29" borderId="7" xfId="1" applyFont="1" applyFill="1" applyBorder="1"/>
    <xf numFmtId="164" fontId="70" fillId="17" borderId="7" xfId="1" applyFont="1" applyFill="1" applyBorder="1"/>
    <xf numFmtId="164" fontId="70" fillId="30" borderId="7" xfId="1" applyFont="1" applyFill="1" applyBorder="1"/>
    <xf numFmtId="164" fontId="70" fillId="15" borderId="7" xfId="40913" applyNumberFormat="1" applyFont="1" applyFill="1" applyBorder="1"/>
    <xf numFmtId="164" fontId="70" fillId="31" borderId="59" xfId="1" applyFont="1" applyFill="1" applyBorder="1"/>
    <xf numFmtId="164" fontId="70" fillId="28" borderId="59" xfId="1" applyFont="1" applyFill="1" applyBorder="1"/>
    <xf numFmtId="164" fontId="70" fillId="15" borderId="7" xfId="1" applyFont="1" applyFill="1" applyBorder="1"/>
    <xf numFmtId="164" fontId="70" fillId="31" borderId="7" xfId="1" applyFont="1" applyFill="1" applyBorder="1"/>
    <xf numFmtId="164" fontId="70" fillId="32" borderId="7" xfId="1" applyFont="1" applyFill="1" applyBorder="1"/>
    <xf numFmtId="164" fontId="70" fillId="0" borderId="7" xfId="40913" applyNumberFormat="1" applyFont="1" applyFill="1" applyBorder="1"/>
    <xf numFmtId="164" fontId="70" fillId="0" borderId="0" xfId="1" applyFont="1"/>
    <xf numFmtId="164" fontId="70" fillId="0" borderId="0" xfId="1" applyFont="1" applyFill="1" applyBorder="1"/>
    <xf numFmtId="164" fontId="70" fillId="0" borderId="58" xfId="1" applyFont="1" applyBorder="1"/>
    <xf numFmtId="164" fontId="70" fillId="0" borderId="66" xfId="1" applyFont="1" applyFill="1" applyBorder="1"/>
    <xf numFmtId="164" fontId="70" fillId="0" borderId="67" xfId="1" applyFont="1" applyFill="1" applyBorder="1"/>
    <xf numFmtId="164" fontId="70" fillId="0" borderId="60" xfId="1" applyFont="1" applyBorder="1"/>
    <xf numFmtId="164" fontId="70" fillId="0" borderId="9" xfId="1" applyFont="1" applyBorder="1"/>
    <xf numFmtId="164" fontId="70" fillId="0" borderId="7" xfId="1" applyFont="1" applyBorder="1"/>
    <xf numFmtId="164" fontId="70" fillId="0" borderId="61" xfId="1" applyFont="1" applyBorder="1"/>
    <xf numFmtId="164" fontId="70" fillId="0" borderId="8" xfId="1" applyFont="1" applyFill="1" applyBorder="1"/>
    <xf numFmtId="164" fontId="70" fillId="0" borderId="9" xfId="1" applyFont="1" applyFill="1" applyBorder="1"/>
    <xf numFmtId="164" fontId="72" fillId="19" borderId="7" xfId="40913" applyNumberFormat="1" applyFont="1" applyBorder="1"/>
    <xf numFmtId="0" fontId="71" fillId="0" borderId="8" xfId="0" applyFont="1" applyBorder="1" applyAlignment="1">
      <alignment horizontal="center"/>
    </xf>
    <xf numFmtId="0" fontId="70" fillId="0" borderId="9" xfId="0" applyFont="1" applyBorder="1"/>
    <xf numFmtId="0" fontId="71" fillId="2" borderId="13" xfId="0" applyFont="1" applyFill="1" applyBorder="1"/>
    <xf numFmtId="0" fontId="71" fillId="0" borderId="0" xfId="0" applyFont="1" applyAlignment="1">
      <alignment horizontal="center" vertical="center"/>
    </xf>
    <xf numFmtId="0" fontId="2" fillId="0" borderId="56" xfId="0" applyFont="1" applyBorder="1" applyAlignment="1">
      <alignment horizontal="center"/>
    </xf>
    <xf numFmtId="0" fontId="2" fillId="0" borderId="57" xfId="0" applyFont="1" applyBorder="1" applyAlignment="1">
      <alignment horizontal="center"/>
    </xf>
    <xf numFmtId="0" fontId="2" fillId="0" borderId="39" xfId="0" applyFont="1" applyBorder="1" applyAlignment="1">
      <alignment horizontal="center"/>
    </xf>
    <xf numFmtId="0" fontId="2" fillId="0" borderId="0" xfId="0" applyFont="1" applyAlignment="1">
      <alignment wrapText="1"/>
    </xf>
    <xf numFmtId="0" fontId="2" fillId="0" borderId="0" xfId="0" applyFont="1" applyAlignment="1">
      <alignment horizontal="center"/>
    </xf>
    <xf numFmtId="0" fontId="2" fillId="0" borderId="10" xfId="39" applyFont="1" applyBorder="1" applyAlignment="1">
      <alignment horizontal="center" vertical="center" wrapText="1"/>
    </xf>
    <xf numFmtId="0" fontId="2" fillId="0" borderId="11" xfId="39" applyFont="1" applyBorder="1" applyAlignment="1">
      <alignment horizontal="center" vertical="center" wrapText="1"/>
    </xf>
    <xf numFmtId="49" fontId="44" fillId="0" borderId="0" xfId="2" applyNumberFormat="1" applyFont="1" applyAlignment="1">
      <alignment horizontal="center" vertical="center"/>
    </xf>
    <xf numFmtId="0" fontId="2" fillId="0" borderId="0" xfId="2" applyFont="1" applyAlignment="1">
      <alignment horizontal="center" vertical="center" wrapText="1"/>
    </xf>
    <xf numFmtId="0" fontId="0" fillId="0" borderId="0" xfId="39" applyFont="1" applyAlignment="1">
      <alignment horizontal="left" vertical="top" wrapText="1"/>
    </xf>
    <xf numFmtId="49" fontId="44" fillId="0" borderId="9" xfId="2" applyNumberFormat="1" applyFont="1" applyBorder="1" applyAlignment="1">
      <alignment horizontal="center" vertical="center" wrapText="1"/>
    </xf>
    <xf numFmtId="49" fontId="44" fillId="0" borderId="2" xfId="2" applyNumberFormat="1" applyFont="1" applyBorder="1" applyAlignment="1">
      <alignment horizontal="center" vertical="center" wrapText="1"/>
    </xf>
    <xf numFmtId="49" fontId="44" fillId="0" borderId="8" xfId="2" applyNumberFormat="1" applyFont="1" applyBorder="1" applyAlignment="1">
      <alignment horizontal="center" vertical="center" wrapText="1"/>
    </xf>
    <xf numFmtId="0" fontId="8" fillId="0" borderId="0" xfId="2" applyFont="1" applyAlignment="1">
      <alignment horizontal="center" vertical="center" wrapText="1"/>
    </xf>
    <xf numFmtId="0" fontId="2" fillId="0" borderId="0" xfId="0" applyFont="1" applyAlignment="1">
      <alignment horizontal="center" vertical="center" wrapText="1"/>
    </xf>
    <xf numFmtId="0" fontId="19" fillId="0" borderId="7" xfId="38" applyFont="1" applyBorder="1" applyAlignment="1">
      <alignment horizontal="center" vertical="center" wrapText="1"/>
    </xf>
    <xf numFmtId="0" fontId="0" fillId="0" borderId="7" xfId="0" applyBorder="1"/>
    <xf numFmtId="0" fontId="19" fillId="0" borderId="7" xfId="38" applyFont="1" applyBorder="1" applyAlignment="1">
      <alignment horizontal="center" vertical="center"/>
    </xf>
    <xf numFmtId="164" fontId="19" fillId="0" borderId="7" xfId="1" applyFont="1" applyFill="1" applyBorder="1" applyAlignment="1">
      <alignment horizontal="center" vertical="center" wrapText="1"/>
    </xf>
    <xf numFmtId="0" fontId="19" fillId="2" borderId="7" xfId="38" applyFont="1" applyFill="1" applyBorder="1" applyAlignment="1">
      <alignment horizontal="center" vertical="center" wrapText="1"/>
    </xf>
    <xf numFmtId="164" fontId="0" fillId="0" borderId="7" xfId="1" applyFont="1" applyFill="1" applyBorder="1"/>
    <xf numFmtId="164" fontId="19" fillId="0" borderId="10" xfId="1" applyFont="1" applyFill="1" applyBorder="1" applyAlignment="1">
      <alignment horizontal="center" vertical="center" wrapText="1"/>
    </xf>
    <xf numFmtId="164" fontId="19" fillId="0" borderId="13" xfId="1" applyFont="1" applyFill="1" applyBorder="1" applyAlignment="1">
      <alignment horizontal="center" vertical="center"/>
    </xf>
    <xf numFmtId="164" fontId="19" fillId="2" borderId="10" xfId="1" applyFont="1" applyFill="1" applyBorder="1" applyAlignment="1">
      <alignment horizontal="center" vertical="center" wrapText="1"/>
    </xf>
    <xf numFmtId="164" fontId="19" fillId="2" borderId="13" xfId="1" applyFont="1" applyFill="1" applyBorder="1" applyAlignment="1">
      <alignment horizontal="center" vertical="center"/>
    </xf>
    <xf numFmtId="49" fontId="44" fillId="0" borderId="1" xfId="2" applyNumberFormat="1" applyFont="1" applyBorder="1" applyAlignment="1">
      <alignment horizontal="right" vertical="center"/>
    </xf>
    <xf numFmtId="0" fontId="17" fillId="0" borderId="0" xfId="2" applyFont="1" applyAlignment="1">
      <alignment horizontal="justify" vertical="top" wrapText="1"/>
    </xf>
    <xf numFmtId="0" fontId="0" fillId="0" borderId="0" xfId="2" applyFont="1" applyAlignment="1">
      <alignment horizontal="justify" vertical="top" wrapText="1"/>
    </xf>
    <xf numFmtId="49" fontId="44" fillId="0" borderId="7" xfId="2" applyNumberFormat="1" applyFont="1" applyBorder="1" applyAlignment="1">
      <alignment horizontal="center" vertical="center" wrapText="1"/>
    </xf>
    <xf numFmtId="0" fontId="2" fillId="0" borderId="7" xfId="2" applyFont="1" applyBorder="1" applyAlignment="1">
      <alignment horizontal="center" vertical="center"/>
    </xf>
    <xf numFmtId="49" fontId="44" fillId="0" borderId="8" xfId="2" applyNumberFormat="1" applyFont="1" applyBorder="1" applyAlignment="1">
      <alignment horizontal="center" vertical="center"/>
    </xf>
    <xf numFmtId="49" fontId="44" fillId="0" borderId="7" xfId="2" applyNumberFormat="1" applyFont="1" applyBorder="1" applyAlignment="1">
      <alignment horizontal="center" vertical="center"/>
    </xf>
    <xf numFmtId="49" fontId="44" fillId="0" borderId="9" xfId="2" applyNumberFormat="1" applyFont="1" applyBorder="1" applyAlignment="1">
      <alignment horizontal="center" vertical="center"/>
    </xf>
    <xf numFmtId="0" fontId="1" fillId="0" borderId="0" xfId="2" applyAlignment="1">
      <alignment horizontal="left" vertical="center" wrapText="1"/>
    </xf>
    <xf numFmtId="0" fontId="1" fillId="0" borderId="12" xfId="2" applyBorder="1" applyAlignment="1">
      <alignment horizontal="left" vertical="center" wrapText="1"/>
    </xf>
    <xf numFmtId="0" fontId="0" fillId="0" borderId="0" xfId="2" applyFont="1" applyAlignment="1">
      <alignment horizontal="left" vertical="center" wrapText="1"/>
    </xf>
    <xf numFmtId="49" fontId="46" fillId="0" borderId="0" xfId="0" applyNumberFormat="1" applyFont="1" applyAlignment="1">
      <alignment vertical="top"/>
    </xf>
    <xf numFmtId="49" fontId="3" fillId="0" borderId="0" xfId="0" applyNumberFormat="1" applyFont="1" applyAlignment="1">
      <alignment vertical="top"/>
    </xf>
    <xf numFmtId="49" fontId="48" fillId="0" borderId="3" xfId="0" applyNumberFormat="1" applyFont="1" applyBorder="1" applyAlignment="1">
      <alignment horizontal="center" vertical="top" wrapText="1"/>
    </xf>
    <xf numFmtId="49" fontId="48" fillId="0" borderId="24" xfId="0" applyNumberFormat="1" applyFont="1" applyBorder="1" applyAlignment="1">
      <alignment horizontal="center" vertical="top" wrapText="1"/>
    </xf>
    <xf numFmtId="49" fontId="50" fillId="0" borderId="1" xfId="0" applyNumberFormat="1" applyFont="1" applyBorder="1" applyAlignment="1">
      <alignment horizontal="center" vertical="top" wrapText="1"/>
    </xf>
    <xf numFmtId="49" fontId="50" fillId="0" borderId="26" xfId="0" applyNumberFormat="1" applyFont="1" applyBorder="1" applyAlignment="1">
      <alignment horizontal="center" vertical="top" wrapText="1"/>
    </xf>
    <xf numFmtId="0" fontId="2" fillId="2" borderId="56" xfId="0" applyFont="1" applyFill="1" applyBorder="1" applyAlignment="1">
      <alignment horizontal="center"/>
    </xf>
    <xf numFmtId="0" fontId="2" fillId="2" borderId="57" xfId="0" applyFont="1" applyFill="1" applyBorder="1" applyAlignment="1">
      <alignment horizontal="center"/>
    </xf>
    <xf numFmtId="0" fontId="2" fillId="2" borderId="39" xfId="0" applyFont="1" applyFill="1" applyBorder="1" applyAlignment="1">
      <alignment horizontal="center"/>
    </xf>
    <xf numFmtId="0" fontId="71" fillId="2" borderId="13" xfId="0" applyFont="1" applyFill="1" applyBorder="1" applyAlignment="1">
      <alignment horizontal="center"/>
    </xf>
    <xf numFmtId="0" fontId="71" fillId="2" borderId="68" xfId="0" applyFont="1" applyFill="1" applyBorder="1" applyAlignment="1">
      <alignment horizontal="center"/>
    </xf>
    <xf numFmtId="0" fontId="71" fillId="0" borderId="31" xfId="0" applyFont="1" applyBorder="1" applyAlignment="1">
      <alignment horizontal="center"/>
    </xf>
    <xf numFmtId="0" fontId="71" fillId="0" borderId="32" xfId="0" applyFont="1" applyBorder="1" applyAlignment="1">
      <alignment horizontal="center"/>
    </xf>
    <xf numFmtId="0" fontId="71" fillId="0" borderId="33" xfId="0" applyFont="1" applyBorder="1" applyAlignment="1">
      <alignment horizontal="center"/>
    </xf>
    <xf numFmtId="0" fontId="71" fillId="0" borderId="7" xfId="0" applyFont="1" applyBorder="1" applyAlignment="1">
      <alignment horizontal="center" vertical="center"/>
    </xf>
    <xf numFmtId="0" fontId="71" fillId="2" borderId="26" xfId="0" applyFont="1" applyFill="1" applyBorder="1" applyAlignment="1">
      <alignment horizontal="center"/>
    </xf>
    <xf numFmtId="0" fontId="71" fillId="2" borderId="65" xfId="0" applyFont="1" applyFill="1" applyBorder="1" applyAlignment="1">
      <alignment horizontal="center"/>
    </xf>
    <xf numFmtId="0" fontId="71" fillId="2" borderId="64" xfId="0" applyFont="1" applyFill="1" applyBorder="1" applyAlignment="1">
      <alignment horizontal="center"/>
    </xf>
    <xf numFmtId="0" fontId="71" fillId="2" borderId="63" xfId="0" applyFont="1" applyFill="1" applyBorder="1" applyAlignment="1">
      <alignment horizontal="center"/>
    </xf>
    <xf numFmtId="0" fontId="71" fillId="2" borderId="6" xfId="0" applyFont="1" applyFill="1" applyBorder="1" applyAlignment="1">
      <alignment horizontal="center"/>
    </xf>
    <xf numFmtId="0" fontId="71" fillId="0" borderId="65" xfId="0" applyFont="1" applyBorder="1" applyAlignment="1">
      <alignment horizontal="center"/>
    </xf>
    <xf numFmtId="0" fontId="71" fillId="0" borderId="64" xfId="0" applyFont="1" applyBorder="1" applyAlignment="1">
      <alignment horizontal="center"/>
    </xf>
    <xf numFmtId="0" fontId="71" fillId="0" borderId="63" xfId="0" applyFont="1" applyBorder="1" applyAlignment="1">
      <alignment horizontal="center"/>
    </xf>
    <xf numFmtId="0" fontId="71" fillId="2" borderId="62" xfId="0" applyFont="1" applyFill="1" applyBorder="1" applyAlignment="1">
      <alignment horizontal="center"/>
    </xf>
    <xf numFmtId="0" fontId="71" fillId="2" borderId="7" xfId="0" applyFont="1" applyFill="1" applyBorder="1" applyAlignment="1">
      <alignment horizontal="center"/>
    </xf>
    <xf numFmtId="0" fontId="71" fillId="2" borderId="61" xfId="0" applyFont="1" applyFill="1" applyBorder="1" applyAlignment="1">
      <alignment horizontal="center"/>
    </xf>
    <xf numFmtId="0" fontId="71" fillId="0" borderId="62" xfId="0" applyFont="1" applyBorder="1" applyAlignment="1">
      <alignment horizontal="center"/>
    </xf>
    <xf numFmtId="0" fontId="71" fillId="0" borderId="7" xfId="0" applyFont="1" applyBorder="1" applyAlignment="1">
      <alignment horizontal="center"/>
    </xf>
    <xf numFmtId="0" fontId="71" fillId="0" borderId="61" xfId="0" applyFont="1" applyBorder="1" applyAlignment="1">
      <alignment horizontal="center"/>
    </xf>
    <xf numFmtId="0" fontId="71" fillId="2" borderId="9" xfId="0" applyFont="1" applyFill="1" applyBorder="1" applyAlignment="1">
      <alignment horizontal="center"/>
    </xf>
    <xf numFmtId="0" fontId="71" fillId="2" borderId="2" xfId="0" applyFont="1" applyFill="1" applyBorder="1" applyAlignment="1">
      <alignment horizontal="center"/>
    </xf>
    <xf numFmtId="0" fontId="71" fillId="2" borderId="8" xfId="0" applyFont="1" applyFill="1" applyBorder="1" applyAlignment="1">
      <alignment horizontal="center"/>
    </xf>
    <xf numFmtId="0" fontId="2" fillId="2" borderId="0" xfId="0" applyFont="1" applyFill="1" applyAlignment="1">
      <alignment horizontal="center"/>
    </xf>
    <xf numFmtId="0" fontId="19" fillId="0" borderId="10" xfId="1" applyNumberFormat="1" applyFont="1" applyFill="1" applyBorder="1" applyAlignment="1">
      <alignment horizontal="center" vertical="center" wrapText="1"/>
    </xf>
    <xf numFmtId="0" fontId="19" fillId="0" borderId="13" xfId="1" applyNumberFormat="1" applyFont="1" applyFill="1" applyBorder="1" applyAlignment="1">
      <alignment horizontal="center" vertical="center"/>
    </xf>
    <xf numFmtId="0" fontId="18" fillId="0" borderId="0" xfId="0" applyFont="1" applyAlignment="1">
      <alignment horizontal="center"/>
    </xf>
    <xf numFmtId="49" fontId="3" fillId="0" borderId="1" xfId="0" applyNumberFormat="1" applyFont="1" applyBorder="1" applyAlignment="1">
      <alignment vertical="top" wrapText="1"/>
    </xf>
    <xf numFmtId="49" fontId="3" fillId="0" borderId="1" xfId="0" applyNumberFormat="1" applyFont="1" applyBorder="1" applyAlignment="1">
      <alignment vertical="top"/>
    </xf>
    <xf numFmtId="49" fontId="46" fillId="0" borderId="3" xfId="0" applyNumberFormat="1" applyFont="1" applyBorder="1" applyAlignment="1">
      <alignment vertical="top"/>
    </xf>
    <xf numFmtId="49" fontId="48" fillId="0" borderId="4" xfId="0" applyNumberFormat="1" applyFont="1" applyBorder="1" applyAlignment="1">
      <alignment horizontal="center" vertical="top" wrapText="1"/>
    </xf>
    <xf numFmtId="49" fontId="50" fillId="0" borderId="5" xfId="0" applyNumberFormat="1" applyFont="1" applyBorder="1" applyAlignment="1">
      <alignment horizontal="center" vertical="top" wrapText="1"/>
    </xf>
    <xf numFmtId="49" fontId="50" fillId="0" borderId="0" xfId="0" applyNumberFormat="1" applyFont="1" applyAlignment="1">
      <alignment horizontal="center" vertical="top" wrapText="1"/>
    </xf>
    <xf numFmtId="49" fontId="48" fillId="0" borderId="4" xfId="0" applyNumberFormat="1" applyFont="1" applyBorder="1" applyAlignment="1">
      <alignment horizontal="center" vertical="top"/>
    </xf>
    <xf numFmtId="49" fontId="48" fillId="0" borderId="3" xfId="0" applyNumberFormat="1" applyFont="1" applyBorder="1" applyAlignment="1">
      <alignment horizontal="center" vertical="top"/>
    </xf>
    <xf numFmtId="0" fontId="2" fillId="0" borderId="9" xfId="0" applyFont="1" applyBorder="1" applyAlignment="1">
      <alignment horizontal="center"/>
    </xf>
    <xf numFmtId="0" fontId="2" fillId="0" borderId="8" xfId="0" applyFont="1" applyBorder="1" applyAlignment="1">
      <alignment horizontal="center"/>
    </xf>
    <xf numFmtId="0" fontId="22" fillId="7" borderId="44" xfId="0" applyFont="1" applyFill="1" applyBorder="1" applyAlignment="1">
      <alignment horizontal="center"/>
    </xf>
    <xf numFmtId="0" fontId="22" fillId="7" borderId="53" xfId="0" applyFont="1" applyFill="1" applyBorder="1" applyAlignment="1">
      <alignment horizontal="center"/>
    </xf>
    <xf numFmtId="0" fontId="22" fillId="7" borderId="41" xfId="0" applyFont="1" applyFill="1" applyBorder="1" applyAlignment="1">
      <alignment horizontal="center"/>
    </xf>
    <xf numFmtId="0" fontId="2" fillId="7" borderId="9" xfId="0" applyFont="1" applyFill="1" applyBorder="1" applyAlignment="1">
      <alignment horizontal="center"/>
    </xf>
    <xf numFmtId="0" fontId="2" fillId="7" borderId="2" xfId="0" applyFont="1" applyFill="1" applyBorder="1" applyAlignment="1">
      <alignment horizontal="center"/>
    </xf>
    <xf numFmtId="0" fontId="2" fillId="7" borderId="8" xfId="0" applyFont="1" applyFill="1" applyBorder="1" applyAlignment="1">
      <alignment horizontal="center"/>
    </xf>
    <xf numFmtId="0" fontId="2" fillId="7" borderId="7" xfId="0" applyFont="1" applyFill="1" applyBorder="1" applyAlignment="1">
      <alignment horizontal="center"/>
    </xf>
    <xf numFmtId="43" fontId="2" fillId="0" borderId="9" xfId="40911" applyFont="1" applyBorder="1" applyAlignment="1">
      <alignment horizontal="center"/>
    </xf>
    <xf numFmtId="43" fontId="2" fillId="0" borderId="8" xfId="40911" applyFont="1" applyBorder="1" applyAlignment="1">
      <alignment horizontal="center"/>
    </xf>
    <xf numFmtId="0" fontId="61" fillId="0" borderId="9" xfId="0" applyFont="1" applyBorder="1"/>
    <xf numFmtId="0" fontId="61" fillId="0" borderId="8" xfId="0" applyFont="1" applyBorder="1"/>
    <xf numFmtId="0" fontId="22" fillId="7" borderId="4" xfId="0" applyFont="1" applyFill="1" applyBorder="1" applyAlignment="1">
      <alignment horizontal="center"/>
    </xf>
    <xf numFmtId="0" fontId="22" fillId="7" borderId="3" xfId="0" applyFont="1" applyFill="1" applyBorder="1" applyAlignment="1">
      <alignment horizontal="center"/>
    </xf>
    <xf numFmtId="0" fontId="22" fillId="7" borderId="24" xfId="0" applyFont="1" applyFill="1" applyBorder="1" applyAlignment="1">
      <alignment horizontal="center"/>
    </xf>
    <xf numFmtId="0" fontId="61" fillId="0" borderId="7" xfId="0" applyFont="1" applyBorder="1" applyAlignment="1">
      <alignment horizontal="left"/>
    </xf>
    <xf numFmtId="0" fontId="22" fillId="7" borderId="9" xfId="0" applyFont="1" applyFill="1" applyBorder="1" applyAlignment="1">
      <alignment horizontal="center"/>
    </xf>
    <xf numFmtId="0" fontId="22" fillId="7" borderId="2" xfId="0" applyFont="1" applyFill="1" applyBorder="1" applyAlignment="1">
      <alignment horizontal="center"/>
    </xf>
    <xf numFmtId="0" fontId="22" fillId="7" borderId="8" xfId="0" applyFont="1" applyFill="1" applyBorder="1" applyAlignment="1">
      <alignment horizontal="center"/>
    </xf>
    <xf numFmtId="0" fontId="0" fillId="0" borderId="0" xfId="0" applyAlignment="1">
      <alignment horizontal="center"/>
    </xf>
    <xf numFmtId="0" fontId="2" fillId="0" borderId="7" xfId="0" applyFont="1" applyBorder="1" applyAlignment="1">
      <alignment horizontal="center"/>
    </xf>
    <xf numFmtId="0" fontId="63" fillId="11" borderId="20" xfId="0" applyFont="1" applyFill="1" applyBorder="1" applyAlignment="1">
      <alignment horizontal="center"/>
    </xf>
    <xf numFmtId="0" fontId="63" fillId="11" borderId="53" xfId="0" applyFont="1" applyFill="1" applyBorder="1" applyAlignment="1">
      <alignment horizontal="center"/>
    </xf>
    <xf numFmtId="0" fontId="63" fillId="11" borderId="31" xfId="0" applyFont="1" applyFill="1" applyBorder="1" applyAlignment="1">
      <alignment horizontal="center"/>
    </xf>
    <xf numFmtId="0" fontId="63" fillId="11" borderId="38" xfId="0" applyFont="1" applyFill="1" applyBorder="1" applyAlignment="1">
      <alignment horizontal="center"/>
    </xf>
    <xf numFmtId="0" fontId="63" fillId="12" borderId="31" xfId="0" applyFont="1" applyFill="1" applyBorder="1" applyAlignment="1">
      <alignment horizontal="center"/>
    </xf>
    <xf numFmtId="0" fontId="63" fillId="12" borderId="32" xfId="0" applyFont="1" applyFill="1" applyBorder="1" applyAlignment="1">
      <alignment horizontal="center"/>
    </xf>
    <xf numFmtId="0" fontId="63" fillId="12" borderId="33" xfId="0" applyFont="1" applyFill="1" applyBorder="1" applyAlignment="1">
      <alignment horizontal="center"/>
    </xf>
    <xf numFmtId="164" fontId="63" fillId="12" borderId="31" xfId="40909" applyFont="1" applyFill="1" applyBorder="1" applyAlignment="1">
      <alignment horizontal="center"/>
    </xf>
    <xf numFmtId="164" fontId="63" fillId="12" borderId="32" xfId="40909" applyFont="1" applyFill="1" applyBorder="1" applyAlignment="1">
      <alignment horizontal="center"/>
    </xf>
    <xf numFmtId="164" fontId="63" fillId="12" borderId="33" xfId="40909" applyFont="1" applyFill="1" applyBorder="1" applyAlignment="1">
      <alignment horizontal="center"/>
    </xf>
    <xf numFmtId="0" fontId="63" fillId="12" borderId="34" xfId="0" applyFont="1" applyFill="1" applyBorder="1" applyAlignment="1">
      <alignment horizontal="center"/>
    </xf>
    <xf numFmtId="0" fontId="63" fillId="12" borderId="35" xfId="0" applyFont="1" applyFill="1" applyBorder="1" applyAlignment="1">
      <alignment horizontal="center"/>
    </xf>
    <xf numFmtId="169" fontId="63" fillId="12" borderId="36" xfId="40909" applyNumberFormat="1" applyFont="1" applyFill="1" applyBorder="1" applyAlignment="1">
      <alignment horizontal="center" vertical="center" wrapText="1"/>
    </xf>
    <xf numFmtId="169" fontId="63" fillId="12" borderId="42" xfId="40909" applyNumberFormat="1" applyFont="1" applyFill="1" applyBorder="1" applyAlignment="1">
      <alignment horizontal="center" vertical="center" wrapText="1"/>
    </xf>
    <xf numFmtId="169" fontId="63" fillId="12" borderId="37" xfId="40909" applyNumberFormat="1" applyFont="1" applyFill="1" applyBorder="1" applyAlignment="1">
      <alignment horizontal="center" wrapText="1"/>
    </xf>
    <xf numFmtId="169" fontId="63" fillId="12" borderId="43" xfId="40909" applyNumberFormat="1" applyFont="1" applyFill="1" applyBorder="1" applyAlignment="1">
      <alignment horizontal="center" wrapText="1"/>
    </xf>
    <xf numFmtId="0" fontId="63" fillId="12" borderId="38" xfId="0" applyFont="1" applyFill="1" applyBorder="1" applyAlignment="1">
      <alignment horizontal="center"/>
    </xf>
    <xf numFmtId="169" fontId="63" fillId="12" borderId="37" xfId="40909" applyNumberFormat="1" applyFont="1" applyFill="1" applyBorder="1" applyAlignment="1">
      <alignment horizontal="center" vertical="center" wrapText="1"/>
    </xf>
    <xf numFmtId="169" fontId="63" fillId="12" borderId="43" xfId="40909" applyNumberFormat="1" applyFont="1" applyFill="1" applyBorder="1" applyAlignment="1">
      <alignment horizontal="center" vertical="center" wrapText="1"/>
    </xf>
    <xf numFmtId="169" fontId="63" fillId="12" borderId="39" xfId="40909" applyNumberFormat="1" applyFont="1" applyFill="1" applyBorder="1" applyAlignment="1">
      <alignment horizontal="center" wrapText="1"/>
    </xf>
    <xf numFmtId="169" fontId="63" fillId="12" borderId="45" xfId="40909" applyNumberFormat="1" applyFont="1" applyFill="1" applyBorder="1" applyAlignment="1">
      <alignment horizontal="center" wrapText="1"/>
    </xf>
    <xf numFmtId="164" fontId="19" fillId="2" borderId="7" xfId="1" applyFont="1" applyFill="1" applyBorder="1" applyAlignment="1">
      <alignment horizontal="center" vertical="center" wrapText="1"/>
    </xf>
    <xf numFmtId="164" fontId="0" fillId="2" borderId="7" xfId="1" applyFont="1" applyFill="1" applyBorder="1"/>
    <xf numFmtId="49" fontId="49" fillId="0" borderId="4" xfId="0" applyNumberFormat="1" applyFont="1" applyBorder="1" applyAlignment="1">
      <alignment horizontal="center" vertical="top" wrapText="1"/>
    </xf>
    <xf numFmtId="49" fontId="49" fillId="0" borderId="3" xfId="0" applyNumberFormat="1" applyFont="1" applyBorder="1" applyAlignment="1">
      <alignment horizontal="center" vertical="top" wrapText="1"/>
    </xf>
    <xf numFmtId="49" fontId="50" fillId="0" borderId="6" xfId="0" applyNumberFormat="1" applyFont="1" applyBorder="1" applyAlignment="1">
      <alignment horizontal="center" vertical="top" wrapText="1"/>
    </xf>
    <xf numFmtId="49" fontId="47" fillId="0" borderId="6" xfId="0" applyNumberFormat="1" applyFont="1" applyBorder="1" applyAlignment="1">
      <alignment horizontal="center" vertical="top" wrapText="1"/>
    </xf>
    <xf numFmtId="49" fontId="47" fillId="0" borderId="1" xfId="0" applyNumberFormat="1" applyFont="1" applyBorder="1" applyAlignment="1">
      <alignment horizontal="center" vertical="top" wrapText="1"/>
    </xf>
    <xf numFmtId="49" fontId="47" fillId="0" borderId="5" xfId="0" applyNumberFormat="1" applyFont="1" applyBorder="1" applyAlignment="1">
      <alignment horizontal="center" vertical="top" wrapText="1"/>
    </xf>
    <xf numFmtId="49" fontId="47" fillId="0" borderId="0" xfId="0" applyNumberFormat="1" applyFont="1" applyAlignment="1">
      <alignment horizontal="center" vertical="top" wrapText="1"/>
    </xf>
    <xf numFmtId="49" fontId="48" fillId="0" borderId="5" xfId="0" applyNumberFormat="1" applyFont="1" applyBorder="1" applyAlignment="1">
      <alignment horizontal="center" vertical="top" wrapText="1"/>
    </xf>
    <xf numFmtId="49" fontId="48" fillId="0" borderId="0" xfId="0" applyNumberFormat="1" applyFont="1" applyAlignment="1">
      <alignment horizontal="center" vertical="top" wrapText="1"/>
    </xf>
    <xf numFmtId="164" fontId="48" fillId="0" borderId="4" xfId="1" applyFont="1" applyFill="1" applyBorder="1" applyAlignment="1">
      <alignment horizontal="center" vertical="top" wrapText="1"/>
    </xf>
    <xf numFmtId="164" fontId="48" fillId="0" borderId="3" xfId="1" applyFont="1" applyFill="1" applyBorder="1" applyAlignment="1">
      <alignment horizontal="center" vertical="top" wrapText="1"/>
    </xf>
    <xf numFmtId="164" fontId="50" fillId="0" borderId="5" xfId="1" applyFont="1" applyFill="1" applyBorder="1" applyAlignment="1">
      <alignment horizontal="center" vertical="top" wrapText="1"/>
    </xf>
    <xf numFmtId="164" fontId="50" fillId="0" borderId="0" xfId="1" applyFont="1" applyFill="1" applyAlignment="1">
      <alignment horizontal="center" vertical="top" wrapText="1"/>
    </xf>
    <xf numFmtId="164" fontId="48" fillId="0" borderId="4" xfId="1" applyFont="1" applyFill="1" applyBorder="1" applyAlignment="1">
      <alignment horizontal="center" vertical="top"/>
    </xf>
    <xf numFmtId="164" fontId="48" fillId="0" borderId="3" xfId="1" applyFont="1" applyFill="1" applyBorder="1" applyAlignment="1">
      <alignment horizontal="center" vertical="top"/>
    </xf>
    <xf numFmtId="0" fontId="8" fillId="0" borderId="0" xfId="2" applyFont="1" applyAlignment="1">
      <alignment horizontal="justify" vertical="top" wrapText="1"/>
    </xf>
    <xf numFmtId="0" fontId="8" fillId="0" borderId="0" xfId="0" applyFont="1" applyAlignment="1">
      <alignment horizontal="left" vertical="center" wrapText="1"/>
    </xf>
    <xf numFmtId="0" fontId="5" fillId="0" borderId="0" xfId="2" applyFont="1" applyAlignment="1">
      <alignment horizontal="center" vertical="center"/>
    </xf>
    <xf numFmtId="0" fontId="8" fillId="0" borderId="0" xfId="2" applyFont="1" applyAlignment="1">
      <alignment horizontal="left" vertical="center" wrapText="1"/>
    </xf>
    <xf numFmtId="0" fontId="8" fillId="0" borderId="12" xfId="2" applyFont="1" applyBorder="1" applyAlignment="1">
      <alignment horizontal="left" vertical="center" wrapText="1"/>
    </xf>
    <xf numFmtId="0" fontId="12" fillId="0" borderId="0" xfId="2" applyFont="1" applyAlignment="1">
      <alignment horizontal="justify" vertical="top" wrapText="1"/>
    </xf>
    <xf numFmtId="49" fontId="7" fillId="0" borderId="8" xfId="2" applyNumberFormat="1" applyFont="1" applyBorder="1" applyAlignment="1">
      <alignment horizontal="center" vertical="center"/>
    </xf>
    <xf numFmtId="49" fontId="7" fillId="0" borderId="7" xfId="2" applyNumberFormat="1" applyFont="1" applyBorder="1" applyAlignment="1">
      <alignment horizontal="center" vertical="center"/>
    </xf>
    <xf numFmtId="49" fontId="7" fillId="0" borderId="9" xfId="2" applyNumberFormat="1" applyFont="1" applyBorder="1" applyAlignment="1">
      <alignment horizontal="center" vertical="center"/>
    </xf>
    <xf numFmtId="49" fontId="4" fillId="0" borderId="7" xfId="2" applyNumberFormat="1" applyFont="1" applyBorder="1" applyAlignment="1">
      <alignment horizontal="center" vertical="center" wrapText="1"/>
    </xf>
    <xf numFmtId="0" fontId="5" fillId="0" borderId="7" xfId="2" applyFont="1" applyBorder="1" applyAlignment="1">
      <alignment horizontal="center" vertical="center"/>
    </xf>
    <xf numFmtId="49" fontId="4" fillId="0" borderId="0" xfId="2" applyNumberFormat="1" applyFont="1" applyAlignment="1">
      <alignment horizontal="center" vertical="center"/>
    </xf>
    <xf numFmtId="0" fontId="5" fillId="0" borderId="0" xfId="2" applyFont="1" applyAlignment="1">
      <alignment horizontal="center" vertical="center" wrapText="1"/>
    </xf>
    <xf numFmtId="0" fontId="23" fillId="0" borderId="23" xfId="0" applyFont="1" applyBorder="1" applyAlignment="1">
      <alignment horizontal="center" vertical="center"/>
    </xf>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23" fillId="0" borderId="10" xfId="0" applyFont="1" applyBorder="1" applyAlignment="1">
      <alignment horizontal="center" vertical="center"/>
    </xf>
    <xf numFmtId="0" fontId="23" fillId="0" borderId="13" xfId="0" applyFont="1" applyBorder="1" applyAlignment="1">
      <alignment horizontal="center" vertical="center"/>
    </xf>
    <xf numFmtId="0" fontId="23" fillId="0" borderId="23" xfId="43" applyFont="1" applyBorder="1" applyAlignment="1">
      <alignment horizontal="center" vertical="center"/>
    </xf>
    <xf numFmtId="0" fontId="23" fillId="0" borderId="24" xfId="43" applyFont="1" applyBorder="1" applyAlignment="1">
      <alignment horizontal="center" vertical="center"/>
    </xf>
    <xf numFmtId="0" fontId="23" fillId="0" borderId="25" xfId="43" applyFont="1" applyBorder="1" applyAlignment="1">
      <alignment horizontal="center" vertical="center"/>
    </xf>
    <xf numFmtId="0" fontId="23" fillId="0" borderId="26" xfId="43" applyFont="1" applyBorder="1" applyAlignment="1">
      <alignment horizontal="center" vertical="center"/>
    </xf>
    <xf numFmtId="0" fontId="23" fillId="0" borderId="10" xfId="43" applyFont="1" applyBorder="1" applyAlignment="1">
      <alignment horizontal="center" vertical="center"/>
    </xf>
    <xf numFmtId="0" fontId="23" fillId="0" borderId="13" xfId="43" applyFont="1" applyBorder="1" applyAlignment="1">
      <alignment horizontal="center" vertical="center"/>
    </xf>
    <xf numFmtId="49" fontId="47" fillId="0" borderId="0" xfId="0" applyNumberFormat="1" applyFont="1" applyAlignment="1">
      <alignment horizontal="right" vertical="top"/>
    </xf>
    <xf numFmtId="49" fontId="47" fillId="0" borderId="0" xfId="0" applyNumberFormat="1" applyFont="1" applyAlignment="1">
      <alignment horizontal="center" vertical="top"/>
    </xf>
    <xf numFmtId="164" fontId="2" fillId="0" borderId="7" xfId="1085" applyFont="1" applyBorder="1" applyAlignment="1">
      <alignment horizontal="center"/>
    </xf>
    <xf numFmtId="169" fontId="0" fillId="10" borderId="10" xfId="40909" applyNumberFormat="1" applyFont="1" applyFill="1" applyBorder="1" applyAlignment="1">
      <alignment horizontal="center" vertical="center"/>
    </xf>
    <xf numFmtId="169" fontId="0" fillId="10" borderId="11" xfId="40909" applyNumberFormat="1" applyFont="1" applyFill="1" applyBorder="1" applyAlignment="1">
      <alignment horizontal="center" vertical="center"/>
    </xf>
    <xf numFmtId="169" fontId="0" fillId="10" borderId="13" xfId="40909" applyNumberFormat="1" applyFont="1" applyFill="1" applyBorder="1" applyAlignment="1">
      <alignment horizontal="center" vertical="center"/>
    </xf>
    <xf numFmtId="0" fontId="22" fillId="0" borderId="0" xfId="0" applyFont="1" applyAlignment="1">
      <alignment horizontal="center"/>
    </xf>
    <xf numFmtId="0" fontId="22" fillId="7" borderId="7" xfId="0" applyFont="1" applyFill="1" applyBorder="1" applyAlignment="1">
      <alignment horizontal="center"/>
    </xf>
    <xf numFmtId="169" fontId="0" fillId="8" borderId="7" xfId="40909" applyNumberFormat="1" applyFont="1" applyFill="1" applyBorder="1" applyAlignment="1">
      <alignment horizontal="center" vertical="center"/>
    </xf>
    <xf numFmtId="0" fontId="0" fillId="8" borderId="7" xfId="0" applyFill="1" applyBorder="1" applyAlignment="1">
      <alignment horizontal="center" vertical="center"/>
    </xf>
    <xf numFmtId="169" fontId="0" fillId="9" borderId="7" xfId="40909" applyNumberFormat="1" applyFont="1" applyFill="1" applyBorder="1" applyAlignment="1">
      <alignment horizontal="center" vertical="center"/>
    </xf>
    <xf numFmtId="0" fontId="0" fillId="9" borderId="7" xfId="0" applyFill="1" applyBorder="1" applyAlignment="1">
      <alignment horizontal="center" vertical="center"/>
    </xf>
    <xf numFmtId="0" fontId="0" fillId="14" borderId="10" xfId="0" applyFill="1" applyBorder="1" applyAlignment="1">
      <alignment horizontal="center" vertical="center"/>
    </xf>
    <xf numFmtId="0" fontId="0" fillId="14" borderId="11" xfId="0" applyFill="1" applyBorder="1" applyAlignment="1">
      <alignment horizontal="center" vertical="center"/>
    </xf>
    <xf numFmtId="0" fontId="0" fillId="14" borderId="13" xfId="0" applyFill="1" applyBorder="1" applyAlignment="1">
      <alignment horizontal="center" vertical="center"/>
    </xf>
    <xf numFmtId="0" fontId="0" fillId="10" borderId="10" xfId="0" applyFill="1" applyBorder="1" applyAlignment="1">
      <alignment horizontal="center" vertical="center"/>
    </xf>
    <xf numFmtId="0" fontId="0" fillId="10" borderId="11" xfId="0" applyFill="1" applyBorder="1" applyAlignment="1">
      <alignment horizontal="center" vertical="center"/>
    </xf>
    <xf numFmtId="0" fontId="0" fillId="10" borderId="13" xfId="0" applyFill="1" applyBorder="1" applyAlignment="1">
      <alignment horizontal="center" vertical="center"/>
    </xf>
    <xf numFmtId="0" fontId="2" fillId="7" borderId="10" xfId="0" applyFont="1" applyFill="1" applyBorder="1" applyAlignment="1">
      <alignment horizontal="center" vertical="center"/>
    </xf>
    <xf numFmtId="0" fontId="2" fillId="7" borderId="13" xfId="0" applyFont="1" applyFill="1" applyBorder="1" applyAlignment="1">
      <alignment horizontal="center" vertical="center"/>
    </xf>
    <xf numFmtId="0" fontId="2" fillId="7" borderId="10"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 fillId="7" borderId="7" xfId="0" applyFont="1" applyFill="1" applyBorder="1" applyAlignment="1">
      <alignment horizontal="center" vertical="center"/>
    </xf>
    <xf numFmtId="0" fontId="30" fillId="0" borderId="4" xfId="40900" applyFont="1" applyBorder="1" applyAlignment="1">
      <alignment horizontal="center" vertical="center"/>
    </xf>
    <xf numFmtId="0" fontId="30" fillId="0" borderId="3" xfId="40900" applyFont="1" applyBorder="1" applyAlignment="1">
      <alignment horizontal="center" vertical="center"/>
    </xf>
    <xf numFmtId="0" fontId="30" fillId="0" borderId="24" xfId="40900" applyFont="1" applyBorder="1" applyAlignment="1">
      <alignment horizontal="center" vertical="center"/>
    </xf>
    <xf numFmtId="0" fontId="30" fillId="0" borderId="5" xfId="40900" applyFont="1" applyBorder="1" applyAlignment="1">
      <alignment horizontal="center" vertical="center"/>
    </xf>
    <xf numFmtId="0" fontId="30" fillId="0" borderId="0" xfId="40900" applyFont="1" applyBorder="1" applyAlignment="1">
      <alignment horizontal="center" vertical="center"/>
    </xf>
    <xf numFmtId="0" fontId="30" fillId="0" borderId="12" xfId="40900" applyFont="1" applyBorder="1" applyAlignment="1">
      <alignment horizontal="center" vertical="center"/>
    </xf>
    <xf numFmtId="0" fontId="30" fillId="0" borderId="9" xfId="40900" applyFont="1" applyBorder="1" applyAlignment="1">
      <alignment horizontal="center" vertical="center"/>
    </xf>
    <xf numFmtId="0" fontId="30" fillId="0" borderId="2" xfId="40900" applyFont="1" applyBorder="1" applyAlignment="1">
      <alignment horizontal="center" vertical="center"/>
    </xf>
    <xf numFmtId="0" fontId="30" fillId="0" borderId="8" xfId="40900" applyFont="1" applyBorder="1" applyAlignment="1">
      <alignment horizontal="center" vertical="center"/>
    </xf>
    <xf numFmtId="0" fontId="40" fillId="4" borderId="9" xfId="39934" applyFont="1" applyFill="1" applyBorder="1" applyAlignment="1">
      <alignment horizontal="center" vertical="center"/>
    </xf>
    <xf numFmtId="0" fontId="40" fillId="4" borderId="8" xfId="39934" applyFont="1" applyFill="1" applyBorder="1" applyAlignment="1">
      <alignment horizontal="center" vertical="center"/>
    </xf>
  </cellXfs>
  <cellStyles count="40915">
    <cellStyle name="Accent6" xfId="40914" builtinId="49"/>
    <cellStyle name="aka Rubber Pvt.Ltd." xfId="45" xr:uid="{00000000-0005-0000-0000-000000000000}"/>
    <cellStyle name="Comma" xfId="1" builtinId="3"/>
    <cellStyle name="Comma [0] 2 2" xfId="46" xr:uid="{00000000-0005-0000-0000-000002000000}"/>
    <cellStyle name="Comma 10" xfId="47" xr:uid="{00000000-0005-0000-0000-000003000000}"/>
    <cellStyle name="Comma 10 10" xfId="48" xr:uid="{00000000-0005-0000-0000-000004000000}"/>
    <cellStyle name="Comma 10 11" xfId="49" xr:uid="{00000000-0005-0000-0000-000005000000}"/>
    <cellStyle name="Comma 10 12" xfId="50" xr:uid="{00000000-0005-0000-0000-000006000000}"/>
    <cellStyle name="Comma 10 13" xfId="51" xr:uid="{00000000-0005-0000-0000-000007000000}"/>
    <cellStyle name="Comma 10 14" xfId="52" xr:uid="{00000000-0005-0000-0000-000008000000}"/>
    <cellStyle name="Comma 10 2" xfId="5" xr:uid="{00000000-0005-0000-0000-000009000000}"/>
    <cellStyle name="Comma 10 2 10" xfId="53" xr:uid="{00000000-0005-0000-0000-00000A000000}"/>
    <cellStyle name="Comma 10 2 11" xfId="54" xr:uid="{00000000-0005-0000-0000-00000B000000}"/>
    <cellStyle name="Comma 10 2 12" xfId="55" xr:uid="{00000000-0005-0000-0000-00000C000000}"/>
    <cellStyle name="Comma 10 2 13" xfId="40905" xr:uid="{00000000-0005-0000-0000-00000D000000}"/>
    <cellStyle name="Comma 10 2 2" xfId="56" xr:uid="{00000000-0005-0000-0000-00000E000000}"/>
    <cellStyle name="Comma 10 2 3" xfId="57" xr:uid="{00000000-0005-0000-0000-00000F000000}"/>
    <cellStyle name="Comma 10 2 3 2" xfId="58" xr:uid="{00000000-0005-0000-0000-000010000000}"/>
    <cellStyle name="Comma 10 2 3 2 2" xfId="59" xr:uid="{00000000-0005-0000-0000-000011000000}"/>
    <cellStyle name="Comma 10 2 3 2 3" xfId="60" xr:uid="{00000000-0005-0000-0000-000012000000}"/>
    <cellStyle name="Comma 10 2 3 2 4" xfId="61" xr:uid="{00000000-0005-0000-0000-000013000000}"/>
    <cellStyle name="Comma 10 2 3 2 5" xfId="62" xr:uid="{00000000-0005-0000-0000-000014000000}"/>
    <cellStyle name="Comma 10 2 3 2 6" xfId="63" xr:uid="{00000000-0005-0000-0000-000015000000}"/>
    <cellStyle name="Comma 10 2 3 3" xfId="64" xr:uid="{00000000-0005-0000-0000-000016000000}"/>
    <cellStyle name="Comma 10 2 3 3 2" xfId="65" xr:uid="{00000000-0005-0000-0000-000017000000}"/>
    <cellStyle name="Comma 10 2 3 3 3" xfId="66" xr:uid="{00000000-0005-0000-0000-000018000000}"/>
    <cellStyle name="Comma 10 2 3 3 4" xfId="67" xr:uid="{00000000-0005-0000-0000-000019000000}"/>
    <cellStyle name="Comma 10 2 3 3 5" xfId="68" xr:uid="{00000000-0005-0000-0000-00001A000000}"/>
    <cellStyle name="Comma 10 2 3 3 6" xfId="69" xr:uid="{00000000-0005-0000-0000-00001B000000}"/>
    <cellStyle name="Comma 10 2 3 4" xfId="70" xr:uid="{00000000-0005-0000-0000-00001C000000}"/>
    <cellStyle name="Comma 10 2 3 5" xfId="71" xr:uid="{00000000-0005-0000-0000-00001D000000}"/>
    <cellStyle name="Comma 10 2 3 6" xfId="72" xr:uid="{00000000-0005-0000-0000-00001E000000}"/>
    <cellStyle name="Comma 10 2 3 7" xfId="73" xr:uid="{00000000-0005-0000-0000-00001F000000}"/>
    <cellStyle name="Comma 10 2 3 8" xfId="74" xr:uid="{00000000-0005-0000-0000-000020000000}"/>
    <cellStyle name="Comma 10 2 4" xfId="75" xr:uid="{00000000-0005-0000-0000-000021000000}"/>
    <cellStyle name="Comma 10 2 4 2" xfId="76" xr:uid="{00000000-0005-0000-0000-000022000000}"/>
    <cellStyle name="Comma 10 2 4 2 2" xfId="77" xr:uid="{00000000-0005-0000-0000-000023000000}"/>
    <cellStyle name="Comma 10 2 4 2 3" xfId="78" xr:uid="{00000000-0005-0000-0000-000024000000}"/>
    <cellStyle name="Comma 10 2 4 2 4" xfId="79" xr:uid="{00000000-0005-0000-0000-000025000000}"/>
    <cellStyle name="Comma 10 2 4 2 5" xfId="80" xr:uid="{00000000-0005-0000-0000-000026000000}"/>
    <cellStyle name="Comma 10 2 4 2 6" xfId="81" xr:uid="{00000000-0005-0000-0000-000027000000}"/>
    <cellStyle name="Comma 10 2 4 3" xfId="82" xr:uid="{00000000-0005-0000-0000-000028000000}"/>
    <cellStyle name="Comma 10 2 4 3 2" xfId="83" xr:uid="{00000000-0005-0000-0000-000029000000}"/>
    <cellStyle name="Comma 10 2 4 3 3" xfId="84" xr:uid="{00000000-0005-0000-0000-00002A000000}"/>
    <cellStyle name="Comma 10 2 4 3 4" xfId="85" xr:uid="{00000000-0005-0000-0000-00002B000000}"/>
    <cellStyle name="Comma 10 2 4 3 5" xfId="86" xr:uid="{00000000-0005-0000-0000-00002C000000}"/>
    <cellStyle name="Comma 10 2 4 3 6" xfId="87" xr:uid="{00000000-0005-0000-0000-00002D000000}"/>
    <cellStyle name="Comma 10 2 4 4" xfId="88" xr:uid="{00000000-0005-0000-0000-00002E000000}"/>
    <cellStyle name="Comma 10 2 4 5" xfId="89" xr:uid="{00000000-0005-0000-0000-00002F000000}"/>
    <cellStyle name="Comma 10 2 4 6" xfId="90" xr:uid="{00000000-0005-0000-0000-000030000000}"/>
    <cellStyle name="Comma 10 2 4 7" xfId="91" xr:uid="{00000000-0005-0000-0000-000031000000}"/>
    <cellStyle name="Comma 10 2 4 8" xfId="92" xr:uid="{00000000-0005-0000-0000-000032000000}"/>
    <cellStyle name="Comma 10 2 5" xfId="93" xr:uid="{00000000-0005-0000-0000-000033000000}"/>
    <cellStyle name="Comma 10 2 5 2" xfId="94" xr:uid="{00000000-0005-0000-0000-000034000000}"/>
    <cellStyle name="Comma 10 2 5 2 2" xfId="95" xr:uid="{00000000-0005-0000-0000-000035000000}"/>
    <cellStyle name="Comma 10 2 5 2 3" xfId="96" xr:uid="{00000000-0005-0000-0000-000036000000}"/>
    <cellStyle name="Comma 10 2 5 2 4" xfId="97" xr:uid="{00000000-0005-0000-0000-000037000000}"/>
    <cellStyle name="Comma 10 2 5 2 5" xfId="98" xr:uid="{00000000-0005-0000-0000-000038000000}"/>
    <cellStyle name="Comma 10 2 5 2 6" xfId="99" xr:uid="{00000000-0005-0000-0000-000039000000}"/>
    <cellStyle name="Comma 10 2 5 3" xfId="100" xr:uid="{00000000-0005-0000-0000-00003A000000}"/>
    <cellStyle name="Comma 10 2 5 3 2" xfId="101" xr:uid="{00000000-0005-0000-0000-00003B000000}"/>
    <cellStyle name="Comma 10 2 5 3 3" xfId="102" xr:uid="{00000000-0005-0000-0000-00003C000000}"/>
    <cellStyle name="Comma 10 2 5 3 4" xfId="103" xr:uid="{00000000-0005-0000-0000-00003D000000}"/>
    <cellStyle name="Comma 10 2 5 3 5" xfId="104" xr:uid="{00000000-0005-0000-0000-00003E000000}"/>
    <cellStyle name="Comma 10 2 5 3 6" xfId="105" xr:uid="{00000000-0005-0000-0000-00003F000000}"/>
    <cellStyle name="Comma 10 2 5 4" xfId="106" xr:uid="{00000000-0005-0000-0000-000040000000}"/>
    <cellStyle name="Comma 10 2 5 5" xfId="107" xr:uid="{00000000-0005-0000-0000-000041000000}"/>
    <cellStyle name="Comma 10 2 5 6" xfId="108" xr:uid="{00000000-0005-0000-0000-000042000000}"/>
    <cellStyle name="Comma 10 2 5 7" xfId="109" xr:uid="{00000000-0005-0000-0000-000043000000}"/>
    <cellStyle name="Comma 10 2 5 8" xfId="110" xr:uid="{00000000-0005-0000-0000-000044000000}"/>
    <cellStyle name="Comma 10 2 6" xfId="111" xr:uid="{00000000-0005-0000-0000-000045000000}"/>
    <cellStyle name="Comma 10 2 6 2" xfId="112" xr:uid="{00000000-0005-0000-0000-000046000000}"/>
    <cellStyle name="Comma 10 2 6 3" xfId="113" xr:uid="{00000000-0005-0000-0000-000047000000}"/>
    <cellStyle name="Comma 10 2 6 4" xfId="114" xr:uid="{00000000-0005-0000-0000-000048000000}"/>
    <cellStyle name="Comma 10 2 6 5" xfId="115" xr:uid="{00000000-0005-0000-0000-000049000000}"/>
    <cellStyle name="Comma 10 2 6 6" xfId="116" xr:uid="{00000000-0005-0000-0000-00004A000000}"/>
    <cellStyle name="Comma 10 2 7" xfId="117" xr:uid="{00000000-0005-0000-0000-00004B000000}"/>
    <cellStyle name="Comma 10 2 7 2" xfId="118" xr:uid="{00000000-0005-0000-0000-00004C000000}"/>
    <cellStyle name="Comma 10 2 7 3" xfId="119" xr:uid="{00000000-0005-0000-0000-00004D000000}"/>
    <cellStyle name="Comma 10 2 7 4" xfId="120" xr:uid="{00000000-0005-0000-0000-00004E000000}"/>
    <cellStyle name="Comma 10 2 7 5" xfId="121" xr:uid="{00000000-0005-0000-0000-00004F000000}"/>
    <cellStyle name="Comma 10 2 7 6" xfId="122" xr:uid="{00000000-0005-0000-0000-000050000000}"/>
    <cellStyle name="Comma 10 2 8" xfId="123" xr:uid="{00000000-0005-0000-0000-000051000000}"/>
    <cellStyle name="Comma 10 2 9" xfId="124" xr:uid="{00000000-0005-0000-0000-000052000000}"/>
    <cellStyle name="Comma 10 3" xfId="125" xr:uid="{00000000-0005-0000-0000-000053000000}"/>
    <cellStyle name="Comma 10 3 10" xfId="126" xr:uid="{00000000-0005-0000-0000-000054000000}"/>
    <cellStyle name="Comma 10 3 11" xfId="127" xr:uid="{00000000-0005-0000-0000-000055000000}"/>
    <cellStyle name="Comma 10 3 2" xfId="128" xr:uid="{00000000-0005-0000-0000-000056000000}"/>
    <cellStyle name="Comma 10 3 2 2" xfId="129" xr:uid="{00000000-0005-0000-0000-000057000000}"/>
    <cellStyle name="Comma 10 3 2 2 2" xfId="130" xr:uid="{00000000-0005-0000-0000-000058000000}"/>
    <cellStyle name="Comma 10 3 2 2 3" xfId="131" xr:uid="{00000000-0005-0000-0000-000059000000}"/>
    <cellStyle name="Comma 10 3 2 2 4" xfId="132" xr:uid="{00000000-0005-0000-0000-00005A000000}"/>
    <cellStyle name="Comma 10 3 2 2 5" xfId="133" xr:uid="{00000000-0005-0000-0000-00005B000000}"/>
    <cellStyle name="Comma 10 3 2 2 6" xfId="134" xr:uid="{00000000-0005-0000-0000-00005C000000}"/>
    <cellStyle name="Comma 10 3 2 3" xfId="135" xr:uid="{00000000-0005-0000-0000-00005D000000}"/>
    <cellStyle name="Comma 10 3 2 3 2" xfId="136" xr:uid="{00000000-0005-0000-0000-00005E000000}"/>
    <cellStyle name="Comma 10 3 2 3 3" xfId="137" xr:uid="{00000000-0005-0000-0000-00005F000000}"/>
    <cellStyle name="Comma 10 3 2 3 4" xfId="138" xr:uid="{00000000-0005-0000-0000-000060000000}"/>
    <cellStyle name="Comma 10 3 2 3 5" xfId="139" xr:uid="{00000000-0005-0000-0000-000061000000}"/>
    <cellStyle name="Comma 10 3 2 3 6" xfId="140" xr:uid="{00000000-0005-0000-0000-000062000000}"/>
    <cellStyle name="Comma 10 3 2 4" xfId="141" xr:uid="{00000000-0005-0000-0000-000063000000}"/>
    <cellStyle name="Comma 10 3 2 5" xfId="142" xr:uid="{00000000-0005-0000-0000-000064000000}"/>
    <cellStyle name="Comma 10 3 2 6" xfId="143" xr:uid="{00000000-0005-0000-0000-000065000000}"/>
    <cellStyle name="Comma 10 3 2 7" xfId="144" xr:uid="{00000000-0005-0000-0000-000066000000}"/>
    <cellStyle name="Comma 10 3 2 8" xfId="145" xr:uid="{00000000-0005-0000-0000-000067000000}"/>
    <cellStyle name="Comma 10 3 3" xfId="146" xr:uid="{00000000-0005-0000-0000-000068000000}"/>
    <cellStyle name="Comma 10 3 3 2" xfId="147" xr:uid="{00000000-0005-0000-0000-000069000000}"/>
    <cellStyle name="Comma 10 3 3 2 2" xfId="148" xr:uid="{00000000-0005-0000-0000-00006A000000}"/>
    <cellStyle name="Comma 10 3 3 2 3" xfId="149" xr:uid="{00000000-0005-0000-0000-00006B000000}"/>
    <cellStyle name="Comma 10 3 3 2 4" xfId="150" xr:uid="{00000000-0005-0000-0000-00006C000000}"/>
    <cellStyle name="Comma 10 3 3 2 5" xfId="151" xr:uid="{00000000-0005-0000-0000-00006D000000}"/>
    <cellStyle name="Comma 10 3 3 2 6" xfId="152" xr:uid="{00000000-0005-0000-0000-00006E000000}"/>
    <cellStyle name="Comma 10 3 3 3" xfId="153" xr:uid="{00000000-0005-0000-0000-00006F000000}"/>
    <cellStyle name="Comma 10 3 3 3 2" xfId="154" xr:uid="{00000000-0005-0000-0000-000070000000}"/>
    <cellStyle name="Comma 10 3 3 3 3" xfId="155" xr:uid="{00000000-0005-0000-0000-000071000000}"/>
    <cellStyle name="Comma 10 3 3 3 4" xfId="156" xr:uid="{00000000-0005-0000-0000-000072000000}"/>
    <cellStyle name="Comma 10 3 3 3 5" xfId="157" xr:uid="{00000000-0005-0000-0000-000073000000}"/>
    <cellStyle name="Comma 10 3 3 3 6" xfId="158" xr:uid="{00000000-0005-0000-0000-000074000000}"/>
    <cellStyle name="Comma 10 3 3 4" xfId="159" xr:uid="{00000000-0005-0000-0000-000075000000}"/>
    <cellStyle name="Comma 10 3 3 5" xfId="160" xr:uid="{00000000-0005-0000-0000-000076000000}"/>
    <cellStyle name="Comma 10 3 3 6" xfId="161" xr:uid="{00000000-0005-0000-0000-000077000000}"/>
    <cellStyle name="Comma 10 3 3 7" xfId="162" xr:uid="{00000000-0005-0000-0000-000078000000}"/>
    <cellStyle name="Comma 10 3 3 8" xfId="163" xr:uid="{00000000-0005-0000-0000-000079000000}"/>
    <cellStyle name="Comma 10 3 4" xfId="164" xr:uid="{00000000-0005-0000-0000-00007A000000}"/>
    <cellStyle name="Comma 10 3 4 2" xfId="165" xr:uid="{00000000-0005-0000-0000-00007B000000}"/>
    <cellStyle name="Comma 10 3 4 2 2" xfId="166" xr:uid="{00000000-0005-0000-0000-00007C000000}"/>
    <cellStyle name="Comma 10 3 4 2 3" xfId="167" xr:uid="{00000000-0005-0000-0000-00007D000000}"/>
    <cellStyle name="Comma 10 3 4 2 4" xfId="168" xr:uid="{00000000-0005-0000-0000-00007E000000}"/>
    <cellStyle name="Comma 10 3 4 2 5" xfId="169" xr:uid="{00000000-0005-0000-0000-00007F000000}"/>
    <cellStyle name="Comma 10 3 4 2 6" xfId="170" xr:uid="{00000000-0005-0000-0000-000080000000}"/>
    <cellStyle name="Comma 10 3 4 3" xfId="171" xr:uid="{00000000-0005-0000-0000-000081000000}"/>
    <cellStyle name="Comma 10 3 4 3 2" xfId="172" xr:uid="{00000000-0005-0000-0000-000082000000}"/>
    <cellStyle name="Comma 10 3 4 3 3" xfId="173" xr:uid="{00000000-0005-0000-0000-000083000000}"/>
    <cellStyle name="Comma 10 3 4 3 4" xfId="174" xr:uid="{00000000-0005-0000-0000-000084000000}"/>
    <cellStyle name="Comma 10 3 4 3 5" xfId="175" xr:uid="{00000000-0005-0000-0000-000085000000}"/>
    <cellStyle name="Comma 10 3 4 3 6" xfId="176" xr:uid="{00000000-0005-0000-0000-000086000000}"/>
    <cellStyle name="Comma 10 3 4 4" xfId="177" xr:uid="{00000000-0005-0000-0000-000087000000}"/>
    <cellStyle name="Comma 10 3 4 5" xfId="178" xr:uid="{00000000-0005-0000-0000-000088000000}"/>
    <cellStyle name="Comma 10 3 4 6" xfId="179" xr:uid="{00000000-0005-0000-0000-000089000000}"/>
    <cellStyle name="Comma 10 3 4 7" xfId="180" xr:uid="{00000000-0005-0000-0000-00008A000000}"/>
    <cellStyle name="Comma 10 3 4 8" xfId="181" xr:uid="{00000000-0005-0000-0000-00008B000000}"/>
    <cellStyle name="Comma 10 3 5" xfId="182" xr:uid="{00000000-0005-0000-0000-00008C000000}"/>
    <cellStyle name="Comma 10 3 5 2" xfId="183" xr:uid="{00000000-0005-0000-0000-00008D000000}"/>
    <cellStyle name="Comma 10 3 5 3" xfId="184" xr:uid="{00000000-0005-0000-0000-00008E000000}"/>
    <cellStyle name="Comma 10 3 5 4" xfId="185" xr:uid="{00000000-0005-0000-0000-00008F000000}"/>
    <cellStyle name="Comma 10 3 5 5" xfId="186" xr:uid="{00000000-0005-0000-0000-000090000000}"/>
    <cellStyle name="Comma 10 3 5 6" xfId="187" xr:uid="{00000000-0005-0000-0000-000091000000}"/>
    <cellStyle name="Comma 10 3 6" xfId="188" xr:uid="{00000000-0005-0000-0000-000092000000}"/>
    <cellStyle name="Comma 10 3 6 2" xfId="189" xr:uid="{00000000-0005-0000-0000-000093000000}"/>
    <cellStyle name="Comma 10 3 6 3" xfId="190" xr:uid="{00000000-0005-0000-0000-000094000000}"/>
    <cellStyle name="Comma 10 3 6 4" xfId="191" xr:uid="{00000000-0005-0000-0000-000095000000}"/>
    <cellStyle name="Comma 10 3 6 5" xfId="192" xr:uid="{00000000-0005-0000-0000-000096000000}"/>
    <cellStyle name="Comma 10 3 6 6" xfId="193" xr:uid="{00000000-0005-0000-0000-000097000000}"/>
    <cellStyle name="Comma 10 3 7" xfId="194" xr:uid="{00000000-0005-0000-0000-000098000000}"/>
    <cellStyle name="Comma 10 3 8" xfId="195" xr:uid="{00000000-0005-0000-0000-000099000000}"/>
    <cellStyle name="Comma 10 3 9" xfId="196" xr:uid="{00000000-0005-0000-0000-00009A000000}"/>
    <cellStyle name="Comma 10 4" xfId="197" xr:uid="{00000000-0005-0000-0000-00009B000000}"/>
    <cellStyle name="Comma 10 5" xfId="198" xr:uid="{00000000-0005-0000-0000-00009C000000}"/>
    <cellStyle name="Comma 10 5 2" xfId="199" xr:uid="{00000000-0005-0000-0000-00009D000000}"/>
    <cellStyle name="Comma 10 5 2 2" xfId="200" xr:uid="{00000000-0005-0000-0000-00009E000000}"/>
    <cellStyle name="Comma 10 5 2 3" xfId="201" xr:uid="{00000000-0005-0000-0000-00009F000000}"/>
    <cellStyle name="Comma 10 5 2 4" xfId="202" xr:uid="{00000000-0005-0000-0000-0000A0000000}"/>
    <cellStyle name="Comma 10 5 2 5" xfId="203" xr:uid="{00000000-0005-0000-0000-0000A1000000}"/>
    <cellStyle name="Comma 10 5 2 6" xfId="204" xr:uid="{00000000-0005-0000-0000-0000A2000000}"/>
    <cellStyle name="Comma 10 5 3" xfId="205" xr:uid="{00000000-0005-0000-0000-0000A3000000}"/>
    <cellStyle name="Comma 10 5 3 2" xfId="206" xr:uid="{00000000-0005-0000-0000-0000A4000000}"/>
    <cellStyle name="Comma 10 5 3 3" xfId="207" xr:uid="{00000000-0005-0000-0000-0000A5000000}"/>
    <cellStyle name="Comma 10 5 3 4" xfId="208" xr:uid="{00000000-0005-0000-0000-0000A6000000}"/>
    <cellStyle name="Comma 10 5 3 5" xfId="209" xr:uid="{00000000-0005-0000-0000-0000A7000000}"/>
    <cellStyle name="Comma 10 5 3 6" xfId="210" xr:uid="{00000000-0005-0000-0000-0000A8000000}"/>
    <cellStyle name="Comma 10 5 4" xfId="211" xr:uid="{00000000-0005-0000-0000-0000A9000000}"/>
    <cellStyle name="Comma 10 5 5" xfId="212" xr:uid="{00000000-0005-0000-0000-0000AA000000}"/>
    <cellStyle name="Comma 10 5 6" xfId="213" xr:uid="{00000000-0005-0000-0000-0000AB000000}"/>
    <cellStyle name="Comma 10 5 7" xfId="214" xr:uid="{00000000-0005-0000-0000-0000AC000000}"/>
    <cellStyle name="Comma 10 5 8" xfId="215" xr:uid="{00000000-0005-0000-0000-0000AD000000}"/>
    <cellStyle name="Comma 10 6" xfId="216" xr:uid="{00000000-0005-0000-0000-0000AE000000}"/>
    <cellStyle name="Comma 10 6 2" xfId="217" xr:uid="{00000000-0005-0000-0000-0000AF000000}"/>
    <cellStyle name="Comma 10 6 2 2" xfId="218" xr:uid="{00000000-0005-0000-0000-0000B0000000}"/>
    <cellStyle name="Comma 10 6 2 3" xfId="219" xr:uid="{00000000-0005-0000-0000-0000B1000000}"/>
    <cellStyle name="Comma 10 6 2 4" xfId="220" xr:uid="{00000000-0005-0000-0000-0000B2000000}"/>
    <cellStyle name="Comma 10 6 2 5" xfId="221" xr:uid="{00000000-0005-0000-0000-0000B3000000}"/>
    <cellStyle name="Comma 10 6 2 6" xfId="222" xr:uid="{00000000-0005-0000-0000-0000B4000000}"/>
    <cellStyle name="Comma 10 6 3" xfId="223" xr:uid="{00000000-0005-0000-0000-0000B5000000}"/>
    <cellStyle name="Comma 10 6 3 2" xfId="224" xr:uid="{00000000-0005-0000-0000-0000B6000000}"/>
    <cellStyle name="Comma 10 6 3 3" xfId="225" xr:uid="{00000000-0005-0000-0000-0000B7000000}"/>
    <cellStyle name="Comma 10 6 3 4" xfId="226" xr:uid="{00000000-0005-0000-0000-0000B8000000}"/>
    <cellStyle name="Comma 10 6 3 5" xfId="227" xr:uid="{00000000-0005-0000-0000-0000B9000000}"/>
    <cellStyle name="Comma 10 6 3 6" xfId="228" xr:uid="{00000000-0005-0000-0000-0000BA000000}"/>
    <cellStyle name="Comma 10 6 4" xfId="229" xr:uid="{00000000-0005-0000-0000-0000BB000000}"/>
    <cellStyle name="Comma 10 6 5" xfId="230" xr:uid="{00000000-0005-0000-0000-0000BC000000}"/>
    <cellStyle name="Comma 10 6 6" xfId="231" xr:uid="{00000000-0005-0000-0000-0000BD000000}"/>
    <cellStyle name="Comma 10 6 7" xfId="232" xr:uid="{00000000-0005-0000-0000-0000BE000000}"/>
    <cellStyle name="Comma 10 6 8" xfId="233" xr:uid="{00000000-0005-0000-0000-0000BF000000}"/>
    <cellStyle name="Comma 10 7" xfId="234" xr:uid="{00000000-0005-0000-0000-0000C0000000}"/>
    <cellStyle name="Comma 10 7 2" xfId="235" xr:uid="{00000000-0005-0000-0000-0000C1000000}"/>
    <cellStyle name="Comma 10 7 2 2" xfId="236" xr:uid="{00000000-0005-0000-0000-0000C2000000}"/>
    <cellStyle name="Comma 10 7 2 3" xfId="237" xr:uid="{00000000-0005-0000-0000-0000C3000000}"/>
    <cellStyle name="Comma 10 7 2 4" xfId="238" xr:uid="{00000000-0005-0000-0000-0000C4000000}"/>
    <cellStyle name="Comma 10 7 2 5" xfId="239" xr:uid="{00000000-0005-0000-0000-0000C5000000}"/>
    <cellStyle name="Comma 10 7 2 6" xfId="240" xr:uid="{00000000-0005-0000-0000-0000C6000000}"/>
    <cellStyle name="Comma 10 7 3" xfId="241" xr:uid="{00000000-0005-0000-0000-0000C7000000}"/>
    <cellStyle name="Comma 10 7 3 2" xfId="242" xr:uid="{00000000-0005-0000-0000-0000C8000000}"/>
    <cellStyle name="Comma 10 7 3 3" xfId="243" xr:uid="{00000000-0005-0000-0000-0000C9000000}"/>
    <cellStyle name="Comma 10 7 3 4" xfId="244" xr:uid="{00000000-0005-0000-0000-0000CA000000}"/>
    <cellStyle name="Comma 10 7 3 5" xfId="245" xr:uid="{00000000-0005-0000-0000-0000CB000000}"/>
    <cellStyle name="Comma 10 7 3 6" xfId="246" xr:uid="{00000000-0005-0000-0000-0000CC000000}"/>
    <cellStyle name="Comma 10 7 4" xfId="247" xr:uid="{00000000-0005-0000-0000-0000CD000000}"/>
    <cellStyle name="Comma 10 7 5" xfId="248" xr:uid="{00000000-0005-0000-0000-0000CE000000}"/>
    <cellStyle name="Comma 10 7 6" xfId="249" xr:uid="{00000000-0005-0000-0000-0000CF000000}"/>
    <cellStyle name="Comma 10 7 7" xfId="250" xr:uid="{00000000-0005-0000-0000-0000D0000000}"/>
    <cellStyle name="Comma 10 7 8" xfId="251" xr:uid="{00000000-0005-0000-0000-0000D1000000}"/>
    <cellStyle name="Comma 10 8" xfId="252" xr:uid="{00000000-0005-0000-0000-0000D2000000}"/>
    <cellStyle name="Comma 10 8 2" xfId="253" xr:uid="{00000000-0005-0000-0000-0000D3000000}"/>
    <cellStyle name="Comma 10 8 3" xfId="254" xr:uid="{00000000-0005-0000-0000-0000D4000000}"/>
    <cellStyle name="Comma 10 8 4" xfId="255" xr:uid="{00000000-0005-0000-0000-0000D5000000}"/>
    <cellStyle name="Comma 10 8 5" xfId="256" xr:uid="{00000000-0005-0000-0000-0000D6000000}"/>
    <cellStyle name="Comma 10 8 6" xfId="257" xr:uid="{00000000-0005-0000-0000-0000D7000000}"/>
    <cellStyle name="Comma 10 9" xfId="258" xr:uid="{00000000-0005-0000-0000-0000D8000000}"/>
    <cellStyle name="Comma 10 9 2" xfId="259" xr:uid="{00000000-0005-0000-0000-0000D9000000}"/>
    <cellStyle name="Comma 10 9 3" xfId="260" xr:uid="{00000000-0005-0000-0000-0000DA000000}"/>
    <cellStyle name="Comma 10 9 4" xfId="261" xr:uid="{00000000-0005-0000-0000-0000DB000000}"/>
    <cellStyle name="Comma 10 9 5" xfId="262" xr:uid="{00000000-0005-0000-0000-0000DC000000}"/>
    <cellStyle name="Comma 10 9 6" xfId="263" xr:uid="{00000000-0005-0000-0000-0000DD000000}"/>
    <cellStyle name="Comma 11" xfId="264" xr:uid="{00000000-0005-0000-0000-0000DE000000}"/>
    <cellStyle name="Comma 11 10" xfId="265" xr:uid="{00000000-0005-0000-0000-0000DF000000}"/>
    <cellStyle name="Comma 11 10 2" xfId="266" xr:uid="{00000000-0005-0000-0000-0000E0000000}"/>
    <cellStyle name="Comma 11 10 3" xfId="267" xr:uid="{00000000-0005-0000-0000-0000E1000000}"/>
    <cellStyle name="Comma 11 10 4" xfId="268" xr:uid="{00000000-0005-0000-0000-0000E2000000}"/>
    <cellStyle name="Comma 11 10 5" xfId="269" xr:uid="{00000000-0005-0000-0000-0000E3000000}"/>
    <cellStyle name="Comma 11 10 6" xfId="270" xr:uid="{00000000-0005-0000-0000-0000E4000000}"/>
    <cellStyle name="Comma 11 11" xfId="271" xr:uid="{00000000-0005-0000-0000-0000E5000000}"/>
    <cellStyle name="Comma 11 12" xfId="272" xr:uid="{00000000-0005-0000-0000-0000E6000000}"/>
    <cellStyle name="Comma 11 13" xfId="273" xr:uid="{00000000-0005-0000-0000-0000E7000000}"/>
    <cellStyle name="Comma 11 14" xfId="274" xr:uid="{00000000-0005-0000-0000-0000E8000000}"/>
    <cellStyle name="Comma 11 15" xfId="275" xr:uid="{00000000-0005-0000-0000-0000E9000000}"/>
    <cellStyle name="Comma 11 2" xfId="276" xr:uid="{00000000-0005-0000-0000-0000EA000000}"/>
    <cellStyle name="Comma 11 2 10" xfId="277" xr:uid="{00000000-0005-0000-0000-0000EB000000}"/>
    <cellStyle name="Comma 11 2 11" xfId="278" xr:uid="{00000000-0005-0000-0000-0000EC000000}"/>
    <cellStyle name="Comma 11 2 12" xfId="279" xr:uid="{00000000-0005-0000-0000-0000ED000000}"/>
    <cellStyle name="Comma 11 2 2" xfId="280" xr:uid="{00000000-0005-0000-0000-0000EE000000}"/>
    <cellStyle name="Comma 11 2 2 10" xfId="281" xr:uid="{00000000-0005-0000-0000-0000EF000000}"/>
    <cellStyle name="Comma 11 2 2 11" xfId="282" xr:uid="{00000000-0005-0000-0000-0000F0000000}"/>
    <cellStyle name="Comma 11 2 2 2" xfId="283" xr:uid="{00000000-0005-0000-0000-0000F1000000}"/>
    <cellStyle name="Comma 11 2 2 2 2" xfId="284" xr:uid="{00000000-0005-0000-0000-0000F2000000}"/>
    <cellStyle name="Comma 11 2 2 2 2 2" xfId="285" xr:uid="{00000000-0005-0000-0000-0000F3000000}"/>
    <cellStyle name="Comma 11 2 2 2 2 3" xfId="286" xr:uid="{00000000-0005-0000-0000-0000F4000000}"/>
    <cellStyle name="Comma 11 2 2 2 2 4" xfId="287" xr:uid="{00000000-0005-0000-0000-0000F5000000}"/>
    <cellStyle name="Comma 11 2 2 2 2 5" xfId="288" xr:uid="{00000000-0005-0000-0000-0000F6000000}"/>
    <cellStyle name="Comma 11 2 2 2 2 6" xfId="289" xr:uid="{00000000-0005-0000-0000-0000F7000000}"/>
    <cellStyle name="Comma 11 2 2 2 3" xfId="290" xr:uid="{00000000-0005-0000-0000-0000F8000000}"/>
    <cellStyle name="Comma 11 2 2 2 3 2" xfId="291" xr:uid="{00000000-0005-0000-0000-0000F9000000}"/>
    <cellStyle name="Comma 11 2 2 2 3 3" xfId="292" xr:uid="{00000000-0005-0000-0000-0000FA000000}"/>
    <cellStyle name="Comma 11 2 2 2 3 4" xfId="293" xr:uid="{00000000-0005-0000-0000-0000FB000000}"/>
    <cellStyle name="Comma 11 2 2 2 3 5" xfId="294" xr:uid="{00000000-0005-0000-0000-0000FC000000}"/>
    <cellStyle name="Comma 11 2 2 2 3 6" xfId="295" xr:uid="{00000000-0005-0000-0000-0000FD000000}"/>
    <cellStyle name="Comma 11 2 2 2 4" xfId="296" xr:uid="{00000000-0005-0000-0000-0000FE000000}"/>
    <cellStyle name="Comma 11 2 2 2 5" xfId="297" xr:uid="{00000000-0005-0000-0000-0000FF000000}"/>
    <cellStyle name="Comma 11 2 2 2 6" xfId="298" xr:uid="{00000000-0005-0000-0000-000000010000}"/>
    <cellStyle name="Comma 11 2 2 2 7" xfId="299" xr:uid="{00000000-0005-0000-0000-000001010000}"/>
    <cellStyle name="Comma 11 2 2 2 8" xfId="300" xr:uid="{00000000-0005-0000-0000-000002010000}"/>
    <cellStyle name="Comma 11 2 2 3" xfId="301" xr:uid="{00000000-0005-0000-0000-000003010000}"/>
    <cellStyle name="Comma 11 2 2 3 2" xfId="302" xr:uid="{00000000-0005-0000-0000-000004010000}"/>
    <cellStyle name="Comma 11 2 2 3 2 2" xfId="303" xr:uid="{00000000-0005-0000-0000-000005010000}"/>
    <cellStyle name="Comma 11 2 2 3 2 3" xfId="304" xr:uid="{00000000-0005-0000-0000-000006010000}"/>
    <cellStyle name="Comma 11 2 2 3 2 4" xfId="305" xr:uid="{00000000-0005-0000-0000-000007010000}"/>
    <cellStyle name="Comma 11 2 2 3 2 5" xfId="306" xr:uid="{00000000-0005-0000-0000-000008010000}"/>
    <cellStyle name="Comma 11 2 2 3 2 6" xfId="307" xr:uid="{00000000-0005-0000-0000-000009010000}"/>
    <cellStyle name="Comma 11 2 2 3 3" xfId="308" xr:uid="{00000000-0005-0000-0000-00000A010000}"/>
    <cellStyle name="Comma 11 2 2 3 3 2" xfId="309" xr:uid="{00000000-0005-0000-0000-00000B010000}"/>
    <cellStyle name="Comma 11 2 2 3 3 3" xfId="310" xr:uid="{00000000-0005-0000-0000-00000C010000}"/>
    <cellStyle name="Comma 11 2 2 3 3 4" xfId="311" xr:uid="{00000000-0005-0000-0000-00000D010000}"/>
    <cellStyle name="Comma 11 2 2 3 3 5" xfId="312" xr:uid="{00000000-0005-0000-0000-00000E010000}"/>
    <cellStyle name="Comma 11 2 2 3 3 6" xfId="313" xr:uid="{00000000-0005-0000-0000-00000F010000}"/>
    <cellStyle name="Comma 11 2 2 3 4" xfId="314" xr:uid="{00000000-0005-0000-0000-000010010000}"/>
    <cellStyle name="Comma 11 2 2 3 5" xfId="315" xr:uid="{00000000-0005-0000-0000-000011010000}"/>
    <cellStyle name="Comma 11 2 2 3 6" xfId="316" xr:uid="{00000000-0005-0000-0000-000012010000}"/>
    <cellStyle name="Comma 11 2 2 3 7" xfId="317" xr:uid="{00000000-0005-0000-0000-000013010000}"/>
    <cellStyle name="Comma 11 2 2 3 8" xfId="318" xr:uid="{00000000-0005-0000-0000-000014010000}"/>
    <cellStyle name="Comma 11 2 2 4" xfId="319" xr:uid="{00000000-0005-0000-0000-000015010000}"/>
    <cellStyle name="Comma 11 2 2 4 2" xfId="320" xr:uid="{00000000-0005-0000-0000-000016010000}"/>
    <cellStyle name="Comma 11 2 2 4 2 2" xfId="321" xr:uid="{00000000-0005-0000-0000-000017010000}"/>
    <cellStyle name="Comma 11 2 2 4 2 3" xfId="322" xr:uid="{00000000-0005-0000-0000-000018010000}"/>
    <cellStyle name="Comma 11 2 2 4 2 4" xfId="323" xr:uid="{00000000-0005-0000-0000-000019010000}"/>
    <cellStyle name="Comma 11 2 2 4 2 5" xfId="324" xr:uid="{00000000-0005-0000-0000-00001A010000}"/>
    <cellStyle name="Comma 11 2 2 4 2 6" xfId="325" xr:uid="{00000000-0005-0000-0000-00001B010000}"/>
    <cellStyle name="Comma 11 2 2 4 3" xfId="326" xr:uid="{00000000-0005-0000-0000-00001C010000}"/>
    <cellStyle name="Comma 11 2 2 4 3 2" xfId="327" xr:uid="{00000000-0005-0000-0000-00001D010000}"/>
    <cellStyle name="Comma 11 2 2 4 3 3" xfId="328" xr:uid="{00000000-0005-0000-0000-00001E010000}"/>
    <cellStyle name="Comma 11 2 2 4 3 4" xfId="329" xr:uid="{00000000-0005-0000-0000-00001F010000}"/>
    <cellStyle name="Comma 11 2 2 4 3 5" xfId="330" xr:uid="{00000000-0005-0000-0000-000020010000}"/>
    <cellStyle name="Comma 11 2 2 4 3 6" xfId="331" xr:uid="{00000000-0005-0000-0000-000021010000}"/>
    <cellStyle name="Comma 11 2 2 4 4" xfId="332" xr:uid="{00000000-0005-0000-0000-000022010000}"/>
    <cellStyle name="Comma 11 2 2 4 5" xfId="333" xr:uid="{00000000-0005-0000-0000-000023010000}"/>
    <cellStyle name="Comma 11 2 2 4 6" xfId="334" xr:uid="{00000000-0005-0000-0000-000024010000}"/>
    <cellStyle name="Comma 11 2 2 4 7" xfId="335" xr:uid="{00000000-0005-0000-0000-000025010000}"/>
    <cellStyle name="Comma 11 2 2 4 8" xfId="336" xr:uid="{00000000-0005-0000-0000-000026010000}"/>
    <cellStyle name="Comma 11 2 2 5" xfId="337" xr:uid="{00000000-0005-0000-0000-000027010000}"/>
    <cellStyle name="Comma 11 2 2 5 2" xfId="338" xr:uid="{00000000-0005-0000-0000-000028010000}"/>
    <cellStyle name="Comma 11 2 2 5 3" xfId="339" xr:uid="{00000000-0005-0000-0000-000029010000}"/>
    <cellStyle name="Comma 11 2 2 5 4" xfId="340" xr:uid="{00000000-0005-0000-0000-00002A010000}"/>
    <cellStyle name="Comma 11 2 2 5 5" xfId="341" xr:uid="{00000000-0005-0000-0000-00002B010000}"/>
    <cellStyle name="Comma 11 2 2 5 6" xfId="342" xr:uid="{00000000-0005-0000-0000-00002C010000}"/>
    <cellStyle name="Comma 11 2 2 6" xfId="343" xr:uid="{00000000-0005-0000-0000-00002D010000}"/>
    <cellStyle name="Comma 11 2 2 6 2" xfId="344" xr:uid="{00000000-0005-0000-0000-00002E010000}"/>
    <cellStyle name="Comma 11 2 2 6 3" xfId="345" xr:uid="{00000000-0005-0000-0000-00002F010000}"/>
    <cellStyle name="Comma 11 2 2 6 4" xfId="346" xr:uid="{00000000-0005-0000-0000-000030010000}"/>
    <cellStyle name="Comma 11 2 2 6 5" xfId="347" xr:uid="{00000000-0005-0000-0000-000031010000}"/>
    <cellStyle name="Comma 11 2 2 6 6" xfId="348" xr:uid="{00000000-0005-0000-0000-000032010000}"/>
    <cellStyle name="Comma 11 2 2 7" xfId="349" xr:uid="{00000000-0005-0000-0000-000033010000}"/>
    <cellStyle name="Comma 11 2 2 8" xfId="350" xr:uid="{00000000-0005-0000-0000-000034010000}"/>
    <cellStyle name="Comma 11 2 2 9" xfId="351" xr:uid="{00000000-0005-0000-0000-000035010000}"/>
    <cellStyle name="Comma 11 2 3" xfId="352" xr:uid="{00000000-0005-0000-0000-000036010000}"/>
    <cellStyle name="Comma 11 2 3 2" xfId="353" xr:uid="{00000000-0005-0000-0000-000037010000}"/>
    <cellStyle name="Comma 11 2 3 2 2" xfId="354" xr:uid="{00000000-0005-0000-0000-000038010000}"/>
    <cellStyle name="Comma 11 2 3 2 3" xfId="355" xr:uid="{00000000-0005-0000-0000-000039010000}"/>
    <cellStyle name="Comma 11 2 3 2 4" xfId="356" xr:uid="{00000000-0005-0000-0000-00003A010000}"/>
    <cellStyle name="Comma 11 2 3 2 5" xfId="357" xr:uid="{00000000-0005-0000-0000-00003B010000}"/>
    <cellStyle name="Comma 11 2 3 2 6" xfId="358" xr:uid="{00000000-0005-0000-0000-00003C010000}"/>
    <cellStyle name="Comma 11 2 3 3" xfId="359" xr:uid="{00000000-0005-0000-0000-00003D010000}"/>
    <cellStyle name="Comma 11 2 3 3 2" xfId="360" xr:uid="{00000000-0005-0000-0000-00003E010000}"/>
    <cellStyle name="Comma 11 2 3 3 3" xfId="361" xr:uid="{00000000-0005-0000-0000-00003F010000}"/>
    <cellStyle name="Comma 11 2 3 3 4" xfId="362" xr:uid="{00000000-0005-0000-0000-000040010000}"/>
    <cellStyle name="Comma 11 2 3 3 5" xfId="363" xr:uid="{00000000-0005-0000-0000-000041010000}"/>
    <cellStyle name="Comma 11 2 3 3 6" xfId="364" xr:uid="{00000000-0005-0000-0000-000042010000}"/>
    <cellStyle name="Comma 11 2 3 4" xfId="365" xr:uid="{00000000-0005-0000-0000-000043010000}"/>
    <cellStyle name="Comma 11 2 3 5" xfId="366" xr:uid="{00000000-0005-0000-0000-000044010000}"/>
    <cellStyle name="Comma 11 2 3 6" xfId="367" xr:uid="{00000000-0005-0000-0000-000045010000}"/>
    <cellStyle name="Comma 11 2 3 7" xfId="368" xr:uid="{00000000-0005-0000-0000-000046010000}"/>
    <cellStyle name="Comma 11 2 3 8" xfId="369" xr:uid="{00000000-0005-0000-0000-000047010000}"/>
    <cellStyle name="Comma 11 2 4" xfId="370" xr:uid="{00000000-0005-0000-0000-000048010000}"/>
    <cellStyle name="Comma 11 2 4 2" xfId="371" xr:uid="{00000000-0005-0000-0000-000049010000}"/>
    <cellStyle name="Comma 11 2 4 2 2" xfId="372" xr:uid="{00000000-0005-0000-0000-00004A010000}"/>
    <cellStyle name="Comma 11 2 4 2 3" xfId="373" xr:uid="{00000000-0005-0000-0000-00004B010000}"/>
    <cellStyle name="Comma 11 2 4 2 4" xfId="374" xr:uid="{00000000-0005-0000-0000-00004C010000}"/>
    <cellStyle name="Comma 11 2 4 2 5" xfId="375" xr:uid="{00000000-0005-0000-0000-00004D010000}"/>
    <cellStyle name="Comma 11 2 4 2 6" xfId="376" xr:uid="{00000000-0005-0000-0000-00004E010000}"/>
    <cellStyle name="Comma 11 2 4 3" xfId="377" xr:uid="{00000000-0005-0000-0000-00004F010000}"/>
    <cellStyle name="Comma 11 2 4 3 2" xfId="378" xr:uid="{00000000-0005-0000-0000-000050010000}"/>
    <cellStyle name="Comma 11 2 4 3 3" xfId="379" xr:uid="{00000000-0005-0000-0000-000051010000}"/>
    <cellStyle name="Comma 11 2 4 3 4" xfId="380" xr:uid="{00000000-0005-0000-0000-000052010000}"/>
    <cellStyle name="Comma 11 2 4 3 5" xfId="381" xr:uid="{00000000-0005-0000-0000-000053010000}"/>
    <cellStyle name="Comma 11 2 4 3 6" xfId="382" xr:uid="{00000000-0005-0000-0000-000054010000}"/>
    <cellStyle name="Comma 11 2 4 4" xfId="383" xr:uid="{00000000-0005-0000-0000-000055010000}"/>
    <cellStyle name="Comma 11 2 4 5" xfId="384" xr:uid="{00000000-0005-0000-0000-000056010000}"/>
    <cellStyle name="Comma 11 2 4 6" xfId="385" xr:uid="{00000000-0005-0000-0000-000057010000}"/>
    <cellStyle name="Comma 11 2 4 7" xfId="386" xr:uid="{00000000-0005-0000-0000-000058010000}"/>
    <cellStyle name="Comma 11 2 4 8" xfId="387" xr:uid="{00000000-0005-0000-0000-000059010000}"/>
    <cellStyle name="Comma 11 2 5" xfId="388" xr:uid="{00000000-0005-0000-0000-00005A010000}"/>
    <cellStyle name="Comma 11 2 5 2" xfId="389" xr:uid="{00000000-0005-0000-0000-00005B010000}"/>
    <cellStyle name="Comma 11 2 5 2 2" xfId="390" xr:uid="{00000000-0005-0000-0000-00005C010000}"/>
    <cellStyle name="Comma 11 2 5 2 3" xfId="391" xr:uid="{00000000-0005-0000-0000-00005D010000}"/>
    <cellStyle name="Comma 11 2 5 2 4" xfId="392" xr:uid="{00000000-0005-0000-0000-00005E010000}"/>
    <cellStyle name="Comma 11 2 5 2 5" xfId="393" xr:uid="{00000000-0005-0000-0000-00005F010000}"/>
    <cellStyle name="Comma 11 2 5 2 6" xfId="394" xr:uid="{00000000-0005-0000-0000-000060010000}"/>
    <cellStyle name="Comma 11 2 5 3" xfId="395" xr:uid="{00000000-0005-0000-0000-000061010000}"/>
    <cellStyle name="Comma 11 2 5 3 2" xfId="396" xr:uid="{00000000-0005-0000-0000-000062010000}"/>
    <cellStyle name="Comma 11 2 5 3 3" xfId="397" xr:uid="{00000000-0005-0000-0000-000063010000}"/>
    <cellStyle name="Comma 11 2 5 3 4" xfId="398" xr:uid="{00000000-0005-0000-0000-000064010000}"/>
    <cellStyle name="Comma 11 2 5 3 5" xfId="399" xr:uid="{00000000-0005-0000-0000-000065010000}"/>
    <cellStyle name="Comma 11 2 5 3 6" xfId="400" xr:uid="{00000000-0005-0000-0000-000066010000}"/>
    <cellStyle name="Comma 11 2 5 4" xfId="401" xr:uid="{00000000-0005-0000-0000-000067010000}"/>
    <cellStyle name="Comma 11 2 5 5" xfId="402" xr:uid="{00000000-0005-0000-0000-000068010000}"/>
    <cellStyle name="Comma 11 2 5 6" xfId="403" xr:uid="{00000000-0005-0000-0000-000069010000}"/>
    <cellStyle name="Comma 11 2 5 7" xfId="404" xr:uid="{00000000-0005-0000-0000-00006A010000}"/>
    <cellStyle name="Comma 11 2 5 8" xfId="405" xr:uid="{00000000-0005-0000-0000-00006B010000}"/>
    <cellStyle name="Comma 11 2 6" xfId="406" xr:uid="{00000000-0005-0000-0000-00006C010000}"/>
    <cellStyle name="Comma 11 2 6 2" xfId="407" xr:uid="{00000000-0005-0000-0000-00006D010000}"/>
    <cellStyle name="Comma 11 2 6 3" xfId="408" xr:uid="{00000000-0005-0000-0000-00006E010000}"/>
    <cellStyle name="Comma 11 2 6 4" xfId="409" xr:uid="{00000000-0005-0000-0000-00006F010000}"/>
    <cellStyle name="Comma 11 2 6 5" xfId="410" xr:uid="{00000000-0005-0000-0000-000070010000}"/>
    <cellStyle name="Comma 11 2 6 6" xfId="411" xr:uid="{00000000-0005-0000-0000-000071010000}"/>
    <cellStyle name="Comma 11 2 7" xfId="412" xr:uid="{00000000-0005-0000-0000-000072010000}"/>
    <cellStyle name="Comma 11 2 7 2" xfId="413" xr:uid="{00000000-0005-0000-0000-000073010000}"/>
    <cellStyle name="Comma 11 2 7 3" xfId="414" xr:uid="{00000000-0005-0000-0000-000074010000}"/>
    <cellStyle name="Comma 11 2 7 4" xfId="415" xr:uid="{00000000-0005-0000-0000-000075010000}"/>
    <cellStyle name="Comma 11 2 7 5" xfId="416" xr:uid="{00000000-0005-0000-0000-000076010000}"/>
    <cellStyle name="Comma 11 2 7 6" xfId="417" xr:uid="{00000000-0005-0000-0000-000077010000}"/>
    <cellStyle name="Comma 11 2 8" xfId="418" xr:uid="{00000000-0005-0000-0000-000078010000}"/>
    <cellStyle name="Comma 11 2 9" xfId="419" xr:uid="{00000000-0005-0000-0000-000079010000}"/>
    <cellStyle name="Comma 11 3" xfId="420" xr:uid="{00000000-0005-0000-0000-00007A010000}"/>
    <cellStyle name="Comma 11 3 10" xfId="421" xr:uid="{00000000-0005-0000-0000-00007B010000}"/>
    <cellStyle name="Comma 11 3 11" xfId="422" xr:uid="{00000000-0005-0000-0000-00007C010000}"/>
    <cellStyle name="Comma 11 3 2" xfId="423" xr:uid="{00000000-0005-0000-0000-00007D010000}"/>
    <cellStyle name="Comma 11 3 2 2" xfId="424" xr:uid="{00000000-0005-0000-0000-00007E010000}"/>
    <cellStyle name="Comma 11 3 2 2 2" xfId="425" xr:uid="{00000000-0005-0000-0000-00007F010000}"/>
    <cellStyle name="Comma 11 3 2 2 3" xfId="426" xr:uid="{00000000-0005-0000-0000-000080010000}"/>
    <cellStyle name="Comma 11 3 2 2 4" xfId="427" xr:uid="{00000000-0005-0000-0000-000081010000}"/>
    <cellStyle name="Comma 11 3 2 2 5" xfId="428" xr:uid="{00000000-0005-0000-0000-000082010000}"/>
    <cellStyle name="Comma 11 3 2 2 6" xfId="429" xr:uid="{00000000-0005-0000-0000-000083010000}"/>
    <cellStyle name="Comma 11 3 2 3" xfId="430" xr:uid="{00000000-0005-0000-0000-000084010000}"/>
    <cellStyle name="Comma 11 3 2 3 2" xfId="431" xr:uid="{00000000-0005-0000-0000-000085010000}"/>
    <cellStyle name="Comma 11 3 2 3 3" xfId="432" xr:uid="{00000000-0005-0000-0000-000086010000}"/>
    <cellStyle name="Comma 11 3 2 3 4" xfId="433" xr:uid="{00000000-0005-0000-0000-000087010000}"/>
    <cellStyle name="Comma 11 3 2 3 5" xfId="434" xr:uid="{00000000-0005-0000-0000-000088010000}"/>
    <cellStyle name="Comma 11 3 2 3 6" xfId="435" xr:uid="{00000000-0005-0000-0000-000089010000}"/>
    <cellStyle name="Comma 11 3 2 4" xfId="436" xr:uid="{00000000-0005-0000-0000-00008A010000}"/>
    <cellStyle name="Comma 11 3 2 5" xfId="437" xr:uid="{00000000-0005-0000-0000-00008B010000}"/>
    <cellStyle name="Comma 11 3 2 6" xfId="438" xr:uid="{00000000-0005-0000-0000-00008C010000}"/>
    <cellStyle name="Comma 11 3 2 7" xfId="439" xr:uid="{00000000-0005-0000-0000-00008D010000}"/>
    <cellStyle name="Comma 11 3 2 8" xfId="440" xr:uid="{00000000-0005-0000-0000-00008E010000}"/>
    <cellStyle name="Comma 11 3 3" xfId="441" xr:uid="{00000000-0005-0000-0000-00008F010000}"/>
    <cellStyle name="Comma 11 3 3 2" xfId="442" xr:uid="{00000000-0005-0000-0000-000090010000}"/>
    <cellStyle name="Comma 11 3 3 2 2" xfId="443" xr:uid="{00000000-0005-0000-0000-000091010000}"/>
    <cellStyle name="Comma 11 3 3 2 3" xfId="444" xr:uid="{00000000-0005-0000-0000-000092010000}"/>
    <cellStyle name="Comma 11 3 3 2 4" xfId="445" xr:uid="{00000000-0005-0000-0000-000093010000}"/>
    <cellStyle name="Comma 11 3 3 2 5" xfId="446" xr:uid="{00000000-0005-0000-0000-000094010000}"/>
    <cellStyle name="Comma 11 3 3 2 6" xfId="447" xr:uid="{00000000-0005-0000-0000-000095010000}"/>
    <cellStyle name="Comma 11 3 3 3" xfId="448" xr:uid="{00000000-0005-0000-0000-000096010000}"/>
    <cellStyle name="Comma 11 3 3 3 2" xfId="449" xr:uid="{00000000-0005-0000-0000-000097010000}"/>
    <cellStyle name="Comma 11 3 3 3 3" xfId="450" xr:uid="{00000000-0005-0000-0000-000098010000}"/>
    <cellStyle name="Comma 11 3 3 3 4" xfId="451" xr:uid="{00000000-0005-0000-0000-000099010000}"/>
    <cellStyle name="Comma 11 3 3 3 5" xfId="452" xr:uid="{00000000-0005-0000-0000-00009A010000}"/>
    <cellStyle name="Comma 11 3 3 3 6" xfId="453" xr:uid="{00000000-0005-0000-0000-00009B010000}"/>
    <cellStyle name="Comma 11 3 3 4" xfId="454" xr:uid="{00000000-0005-0000-0000-00009C010000}"/>
    <cellStyle name="Comma 11 3 3 5" xfId="455" xr:uid="{00000000-0005-0000-0000-00009D010000}"/>
    <cellStyle name="Comma 11 3 3 6" xfId="456" xr:uid="{00000000-0005-0000-0000-00009E010000}"/>
    <cellStyle name="Comma 11 3 3 7" xfId="457" xr:uid="{00000000-0005-0000-0000-00009F010000}"/>
    <cellStyle name="Comma 11 3 3 8" xfId="458" xr:uid="{00000000-0005-0000-0000-0000A0010000}"/>
    <cellStyle name="Comma 11 3 4" xfId="459" xr:uid="{00000000-0005-0000-0000-0000A1010000}"/>
    <cellStyle name="Comma 11 3 4 2" xfId="460" xr:uid="{00000000-0005-0000-0000-0000A2010000}"/>
    <cellStyle name="Comma 11 3 4 2 2" xfId="461" xr:uid="{00000000-0005-0000-0000-0000A3010000}"/>
    <cellStyle name="Comma 11 3 4 2 3" xfId="462" xr:uid="{00000000-0005-0000-0000-0000A4010000}"/>
    <cellStyle name="Comma 11 3 4 2 4" xfId="463" xr:uid="{00000000-0005-0000-0000-0000A5010000}"/>
    <cellStyle name="Comma 11 3 4 2 5" xfId="464" xr:uid="{00000000-0005-0000-0000-0000A6010000}"/>
    <cellStyle name="Comma 11 3 4 2 6" xfId="465" xr:uid="{00000000-0005-0000-0000-0000A7010000}"/>
    <cellStyle name="Comma 11 3 4 3" xfId="466" xr:uid="{00000000-0005-0000-0000-0000A8010000}"/>
    <cellStyle name="Comma 11 3 4 3 2" xfId="467" xr:uid="{00000000-0005-0000-0000-0000A9010000}"/>
    <cellStyle name="Comma 11 3 4 3 3" xfId="468" xr:uid="{00000000-0005-0000-0000-0000AA010000}"/>
    <cellStyle name="Comma 11 3 4 3 4" xfId="469" xr:uid="{00000000-0005-0000-0000-0000AB010000}"/>
    <cellStyle name="Comma 11 3 4 3 5" xfId="470" xr:uid="{00000000-0005-0000-0000-0000AC010000}"/>
    <cellStyle name="Comma 11 3 4 3 6" xfId="471" xr:uid="{00000000-0005-0000-0000-0000AD010000}"/>
    <cellStyle name="Comma 11 3 4 4" xfId="472" xr:uid="{00000000-0005-0000-0000-0000AE010000}"/>
    <cellStyle name="Comma 11 3 4 5" xfId="473" xr:uid="{00000000-0005-0000-0000-0000AF010000}"/>
    <cellStyle name="Comma 11 3 4 6" xfId="474" xr:uid="{00000000-0005-0000-0000-0000B0010000}"/>
    <cellStyle name="Comma 11 3 4 7" xfId="475" xr:uid="{00000000-0005-0000-0000-0000B1010000}"/>
    <cellStyle name="Comma 11 3 4 8" xfId="476" xr:uid="{00000000-0005-0000-0000-0000B2010000}"/>
    <cellStyle name="Comma 11 3 5" xfId="477" xr:uid="{00000000-0005-0000-0000-0000B3010000}"/>
    <cellStyle name="Comma 11 3 5 2" xfId="478" xr:uid="{00000000-0005-0000-0000-0000B4010000}"/>
    <cellStyle name="Comma 11 3 5 3" xfId="479" xr:uid="{00000000-0005-0000-0000-0000B5010000}"/>
    <cellStyle name="Comma 11 3 5 4" xfId="480" xr:uid="{00000000-0005-0000-0000-0000B6010000}"/>
    <cellStyle name="Comma 11 3 5 5" xfId="481" xr:uid="{00000000-0005-0000-0000-0000B7010000}"/>
    <cellStyle name="Comma 11 3 5 6" xfId="482" xr:uid="{00000000-0005-0000-0000-0000B8010000}"/>
    <cellStyle name="Comma 11 3 6" xfId="483" xr:uid="{00000000-0005-0000-0000-0000B9010000}"/>
    <cellStyle name="Comma 11 3 6 2" xfId="484" xr:uid="{00000000-0005-0000-0000-0000BA010000}"/>
    <cellStyle name="Comma 11 3 6 3" xfId="485" xr:uid="{00000000-0005-0000-0000-0000BB010000}"/>
    <cellStyle name="Comma 11 3 6 4" xfId="486" xr:uid="{00000000-0005-0000-0000-0000BC010000}"/>
    <cellStyle name="Comma 11 3 6 5" xfId="487" xr:uid="{00000000-0005-0000-0000-0000BD010000}"/>
    <cellStyle name="Comma 11 3 6 6" xfId="488" xr:uid="{00000000-0005-0000-0000-0000BE010000}"/>
    <cellStyle name="Comma 11 3 7" xfId="489" xr:uid="{00000000-0005-0000-0000-0000BF010000}"/>
    <cellStyle name="Comma 11 3 8" xfId="490" xr:uid="{00000000-0005-0000-0000-0000C0010000}"/>
    <cellStyle name="Comma 11 3 9" xfId="491" xr:uid="{00000000-0005-0000-0000-0000C1010000}"/>
    <cellStyle name="Comma 11 4" xfId="492" xr:uid="{00000000-0005-0000-0000-0000C2010000}"/>
    <cellStyle name="Comma 11 4 10" xfId="493" xr:uid="{00000000-0005-0000-0000-0000C3010000}"/>
    <cellStyle name="Comma 11 4 11" xfId="494" xr:uid="{00000000-0005-0000-0000-0000C4010000}"/>
    <cellStyle name="Comma 11 4 2" xfId="495" xr:uid="{00000000-0005-0000-0000-0000C5010000}"/>
    <cellStyle name="Comma 11 4 2 2" xfId="496" xr:uid="{00000000-0005-0000-0000-0000C6010000}"/>
    <cellStyle name="Comma 11 4 2 2 2" xfId="497" xr:uid="{00000000-0005-0000-0000-0000C7010000}"/>
    <cellStyle name="Comma 11 4 2 2 3" xfId="498" xr:uid="{00000000-0005-0000-0000-0000C8010000}"/>
    <cellStyle name="Comma 11 4 2 2 4" xfId="499" xr:uid="{00000000-0005-0000-0000-0000C9010000}"/>
    <cellStyle name="Comma 11 4 2 2 5" xfId="500" xr:uid="{00000000-0005-0000-0000-0000CA010000}"/>
    <cellStyle name="Comma 11 4 2 2 6" xfId="501" xr:uid="{00000000-0005-0000-0000-0000CB010000}"/>
    <cellStyle name="Comma 11 4 2 3" xfId="502" xr:uid="{00000000-0005-0000-0000-0000CC010000}"/>
    <cellStyle name="Comma 11 4 2 3 2" xfId="503" xr:uid="{00000000-0005-0000-0000-0000CD010000}"/>
    <cellStyle name="Comma 11 4 2 3 3" xfId="504" xr:uid="{00000000-0005-0000-0000-0000CE010000}"/>
    <cellStyle name="Comma 11 4 2 3 4" xfId="505" xr:uid="{00000000-0005-0000-0000-0000CF010000}"/>
    <cellStyle name="Comma 11 4 2 3 5" xfId="506" xr:uid="{00000000-0005-0000-0000-0000D0010000}"/>
    <cellStyle name="Comma 11 4 2 3 6" xfId="507" xr:uid="{00000000-0005-0000-0000-0000D1010000}"/>
    <cellStyle name="Comma 11 4 2 4" xfId="508" xr:uid="{00000000-0005-0000-0000-0000D2010000}"/>
    <cellStyle name="Comma 11 4 2 5" xfId="509" xr:uid="{00000000-0005-0000-0000-0000D3010000}"/>
    <cellStyle name="Comma 11 4 2 6" xfId="510" xr:uid="{00000000-0005-0000-0000-0000D4010000}"/>
    <cellStyle name="Comma 11 4 2 7" xfId="511" xr:uid="{00000000-0005-0000-0000-0000D5010000}"/>
    <cellStyle name="Comma 11 4 2 8" xfId="512" xr:uid="{00000000-0005-0000-0000-0000D6010000}"/>
    <cellStyle name="Comma 11 4 3" xfId="513" xr:uid="{00000000-0005-0000-0000-0000D7010000}"/>
    <cellStyle name="Comma 11 4 3 2" xfId="514" xr:uid="{00000000-0005-0000-0000-0000D8010000}"/>
    <cellStyle name="Comma 11 4 3 2 2" xfId="515" xr:uid="{00000000-0005-0000-0000-0000D9010000}"/>
    <cellStyle name="Comma 11 4 3 2 3" xfId="516" xr:uid="{00000000-0005-0000-0000-0000DA010000}"/>
    <cellStyle name="Comma 11 4 3 2 4" xfId="517" xr:uid="{00000000-0005-0000-0000-0000DB010000}"/>
    <cellStyle name="Comma 11 4 3 2 5" xfId="518" xr:uid="{00000000-0005-0000-0000-0000DC010000}"/>
    <cellStyle name="Comma 11 4 3 2 6" xfId="519" xr:uid="{00000000-0005-0000-0000-0000DD010000}"/>
    <cellStyle name="Comma 11 4 3 3" xfId="520" xr:uid="{00000000-0005-0000-0000-0000DE010000}"/>
    <cellStyle name="Comma 11 4 3 3 2" xfId="521" xr:uid="{00000000-0005-0000-0000-0000DF010000}"/>
    <cellStyle name="Comma 11 4 3 3 3" xfId="522" xr:uid="{00000000-0005-0000-0000-0000E0010000}"/>
    <cellStyle name="Comma 11 4 3 3 4" xfId="523" xr:uid="{00000000-0005-0000-0000-0000E1010000}"/>
    <cellStyle name="Comma 11 4 3 3 5" xfId="524" xr:uid="{00000000-0005-0000-0000-0000E2010000}"/>
    <cellStyle name="Comma 11 4 3 3 6" xfId="525" xr:uid="{00000000-0005-0000-0000-0000E3010000}"/>
    <cellStyle name="Comma 11 4 3 4" xfId="526" xr:uid="{00000000-0005-0000-0000-0000E4010000}"/>
    <cellStyle name="Comma 11 4 3 5" xfId="527" xr:uid="{00000000-0005-0000-0000-0000E5010000}"/>
    <cellStyle name="Comma 11 4 3 6" xfId="528" xr:uid="{00000000-0005-0000-0000-0000E6010000}"/>
    <cellStyle name="Comma 11 4 3 7" xfId="529" xr:uid="{00000000-0005-0000-0000-0000E7010000}"/>
    <cellStyle name="Comma 11 4 3 8" xfId="530" xr:uid="{00000000-0005-0000-0000-0000E8010000}"/>
    <cellStyle name="Comma 11 4 4" xfId="531" xr:uid="{00000000-0005-0000-0000-0000E9010000}"/>
    <cellStyle name="Comma 11 4 4 2" xfId="532" xr:uid="{00000000-0005-0000-0000-0000EA010000}"/>
    <cellStyle name="Comma 11 4 4 2 2" xfId="533" xr:uid="{00000000-0005-0000-0000-0000EB010000}"/>
    <cellStyle name="Comma 11 4 4 2 3" xfId="534" xr:uid="{00000000-0005-0000-0000-0000EC010000}"/>
    <cellStyle name="Comma 11 4 4 2 4" xfId="535" xr:uid="{00000000-0005-0000-0000-0000ED010000}"/>
    <cellStyle name="Comma 11 4 4 2 5" xfId="536" xr:uid="{00000000-0005-0000-0000-0000EE010000}"/>
    <cellStyle name="Comma 11 4 4 2 6" xfId="537" xr:uid="{00000000-0005-0000-0000-0000EF010000}"/>
    <cellStyle name="Comma 11 4 4 3" xfId="538" xr:uid="{00000000-0005-0000-0000-0000F0010000}"/>
    <cellStyle name="Comma 11 4 4 3 2" xfId="539" xr:uid="{00000000-0005-0000-0000-0000F1010000}"/>
    <cellStyle name="Comma 11 4 4 3 3" xfId="540" xr:uid="{00000000-0005-0000-0000-0000F2010000}"/>
    <cellStyle name="Comma 11 4 4 3 4" xfId="541" xr:uid="{00000000-0005-0000-0000-0000F3010000}"/>
    <cellStyle name="Comma 11 4 4 3 5" xfId="542" xr:uid="{00000000-0005-0000-0000-0000F4010000}"/>
    <cellStyle name="Comma 11 4 4 3 6" xfId="543" xr:uid="{00000000-0005-0000-0000-0000F5010000}"/>
    <cellStyle name="Comma 11 4 4 4" xfId="544" xr:uid="{00000000-0005-0000-0000-0000F6010000}"/>
    <cellStyle name="Comma 11 4 4 5" xfId="545" xr:uid="{00000000-0005-0000-0000-0000F7010000}"/>
    <cellStyle name="Comma 11 4 4 6" xfId="546" xr:uid="{00000000-0005-0000-0000-0000F8010000}"/>
    <cellStyle name="Comma 11 4 4 7" xfId="547" xr:uid="{00000000-0005-0000-0000-0000F9010000}"/>
    <cellStyle name="Comma 11 4 4 8" xfId="548" xr:uid="{00000000-0005-0000-0000-0000FA010000}"/>
    <cellStyle name="Comma 11 4 5" xfId="549" xr:uid="{00000000-0005-0000-0000-0000FB010000}"/>
    <cellStyle name="Comma 11 4 5 2" xfId="550" xr:uid="{00000000-0005-0000-0000-0000FC010000}"/>
    <cellStyle name="Comma 11 4 5 3" xfId="551" xr:uid="{00000000-0005-0000-0000-0000FD010000}"/>
    <cellStyle name="Comma 11 4 5 4" xfId="552" xr:uid="{00000000-0005-0000-0000-0000FE010000}"/>
    <cellStyle name="Comma 11 4 5 5" xfId="553" xr:uid="{00000000-0005-0000-0000-0000FF010000}"/>
    <cellStyle name="Comma 11 4 5 6" xfId="554" xr:uid="{00000000-0005-0000-0000-000000020000}"/>
    <cellStyle name="Comma 11 4 6" xfId="555" xr:uid="{00000000-0005-0000-0000-000001020000}"/>
    <cellStyle name="Comma 11 4 6 2" xfId="556" xr:uid="{00000000-0005-0000-0000-000002020000}"/>
    <cellStyle name="Comma 11 4 6 3" xfId="557" xr:uid="{00000000-0005-0000-0000-000003020000}"/>
    <cellStyle name="Comma 11 4 6 4" xfId="558" xr:uid="{00000000-0005-0000-0000-000004020000}"/>
    <cellStyle name="Comma 11 4 6 5" xfId="559" xr:uid="{00000000-0005-0000-0000-000005020000}"/>
    <cellStyle name="Comma 11 4 6 6" xfId="560" xr:uid="{00000000-0005-0000-0000-000006020000}"/>
    <cellStyle name="Comma 11 4 7" xfId="561" xr:uid="{00000000-0005-0000-0000-000007020000}"/>
    <cellStyle name="Comma 11 4 8" xfId="562" xr:uid="{00000000-0005-0000-0000-000008020000}"/>
    <cellStyle name="Comma 11 4 9" xfId="563" xr:uid="{00000000-0005-0000-0000-000009020000}"/>
    <cellStyle name="Comma 11 5" xfId="564" xr:uid="{00000000-0005-0000-0000-00000A020000}"/>
    <cellStyle name="Comma 11 6" xfId="565" xr:uid="{00000000-0005-0000-0000-00000B020000}"/>
    <cellStyle name="Comma 11 6 2" xfId="566" xr:uid="{00000000-0005-0000-0000-00000C020000}"/>
    <cellStyle name="Comma 11 6 2 2" xfId="567" xr:uid="{00000000-0005-0000-0000-00000D020000}"/>
    <cellStyle name="Comma 11 6 2 3" xfId="568" xr:uid="{00000000-0005-0000-0000-00000E020000}"/>
    <cellStyle name="Comma 11 6 2 4" xfId="569" xr:uid="{00000000-0005-0000-0000-00000F020000}"/>
    <cellStyle name="Comma 11 6 2 5" xfId="570" xr:uid="{00000000-0005-0000-0000-000010020000}"/>
    <cellStyle name="Comma 11 6 2 6" xfId="571" xr:uid="{00000000-0005-0000-0000-000011020000}"/>
    <cellStyle name="Comma 11 6 3" xfId="572" xr:uid="{00000000-0005-0000-0000-000012020000}"/>
    <cellStyle name="Comma 11 6 3 2" xfId="573" xr:uid="{00000000-0005-0000-0000-000013020000}"/>
    <cellStyle name="Comma 11 6 3 3" xfId="574" xr:uid="{00000000-0005-0000-0000-000014020000}"/>
    <cellStyle name="Comma 11 6 3 4" xfId="575" xr:uid="{00000000-0005-0000-0000-000015020000}"/>
    <cellStyle name="Comma 11 6 3 5" xfId="576" xr:uid="{00000000-0005-0000-0000-000016020000}"/>
    <cellStyle name="Comma 11 6 3 6" xfId="577" xr:uid="{00000000-0005-0000-0000-000017020000}"/>
    <cellStyle name="Comma 11 6 4" xfId="578" xr:uid="{00000000-0005-0000-0000-000018020000}"/>
    <cellStyle name="Comma 11 6 5" xfId="579" xr:uid="{00000000-0005-0000-0000-000019020000}"/>
    <cellStyle name="Comma 11 6 6" xfId="580" xr:uid="{00000000-0005-0000-0000-00001A020000}"/>
    <cellStyle name="Comma 11 6 7" xfId="581" xr:uid="{00000000-0005-0000-0000-00001B020000}"/>
    <cellStyle name="Comma 11 6 8" xfId="582" xr:uid="{00000000-0005-0000-0000-00001C020000}"/>
    <cellStyle name="Comma 11 7" xfId="583" xr:uid="{00000000-0005-0000-0000-00001D020000}"/>
    <cellStyle name="Comma 11 7 2" xfId="584" xr:uid="{00000000-0005-0000-0000-00001E020000}"/>
    <cellStyle name="Comma 11 7 2 2" xfId="585" xr:uid="{00000000-0005-0000-0000-00001F020000}"/>
    <cellStyle name="Comma 11 7 2 3" xfId="586" xr:uid="{00000000-0005-0000-0000-000020020000}"/>
    <cellStyle name="Comma 11 7 2 4" xfId="587" xr:uid="{00000000-0005-0000-0000-000021020000}"/>
    <cellStyle name="Comma 11 7 2 5" xfId="588" xr:uid="{00000000-0005-0000-0000-000022020000}"/>
    <cellStyle name="Comma 11 7 2 6" xfId="589" xr:uid="{00000000-0005-0000-0000-000023020000}"/>
    <cellStyle name="Comma 11 7 3" xfId="590" xr:uid="{00000000-0005-0000-0000-000024020000}"/>
    <cellStyle name="Comma 11 7 3 2" xfId="591" xr:uid="{00000000-0005-0000-0000-000025020000}"/>
    <cellStyle name="Comma 11 7 3 3" xfId="592" xr:uid="{00000000-0005-0000-0000-000026020000}"/>
    <cellStyle name="Comma 11 7 3 4" xfId="593" xr:uid="{00000000-0005-0000-0000-000027020000}"/>
    <cellStyle name="Comma 11 7 3 5" xfId="594" xr:uid="{00000000-0005-0000-0000-000028020000}"/>
    <cellStyle name="Comma 11 7 3 6" xfId="595" xr:uid="{00000000-0005-0000-0000-000029020000}"/>
    <cellStyle name="Comma 11 7 4" xfId="596" xr:uid="{00000000-0005-0000-0000-00002A020000}"/>
    <cellStyle name="Comma 11 7 5" xfId="597" xr:uid="{00000000-0005-0000-0000-00002B020000}"/>
    <cellStyle name="Comma 11 7 6" xfId="598" xr:uid="{00000000-0005-0000-0000-00002C020000}"/>
    <cellStyle name="Comma 11 7 7" xfId="599" xr:uid="{00000000-0005-0000-0000-00002D020000}"/>
    <cellStyle name="Comma 11 7 8" xfId="600" xr:uid="{00000000-0005-0000-0000-00002E020000}"/>
    <cellStyle name="Comma 11 8" xfId="601" xr:uid="{00000000-0005-0000-0000-00002F020000}"/>
    <cellStyle name="Comma 11 8 2" xfId="602" xr:uid="{00000000-0005-0000-0000-000030020000}"/>
    <cellStyle name="Comma 11 8 2 2" xfId="603" xr:uid="{00000000-0005-0000-0000-000031020000}"/>
    <cellStyle name="Comma 11 8 2 3" xfId="604" xr:uid="{00000000-0005-0000-0000-000032020000}"/>
    <cellStyle name="Comma 11 8 2 4" xfId="605" xr:uid="{00000000-0005-0000-0000-000033020000}"/>
    <cellStyle name="Comma 11 8 2 5" xfId="606" xr:uid="{00000000-0005-0000-0000-000034020000}"/>
    <cellStyle name="Comma 11 8 2 6" xfId="607" xr:uid="{00000000-0005-0000-0000-000035020000}"/>
    <cellStyle name="Comma 11 8 3" xfId="608" xr:uid="{00000000-0005-0000-0000-000036020000}"/>
    <cellStyle name="Comma 11 8 3 2" xfId="609" xr:uid="{00000000-0005-0000-0000-000037020000}"/>
    <cellStyle name="Comma 11 8 3 3" xfId="610" xr:uid="{00000000-0005-0000-0000-000038020000}"/>
    <cellStyle name="Comma 11 8 3 4" xfId="611" xr:uid="{00000000-0005-0000-0000-000039020000}"/>
    <cellStyle name="Comma 11 8 3 5" xfId="612" xr:uid="{00000000-0005-0000-0000-00003A020000}"/>
    <cellStyle name="Comma 11 8 3 6" xfId="613" xr:uid="{00000000-0005-0000-0000-00003B020000}"/>
    <cellStyle name="Comma 11 8 4" xfId="614" xr:uid="{00000000-0005-0000-0000-00003C020000}"/>
    <cellStyle name="Comma 11 8 5" xfId="615" xr:uid="{00000000-0005-0000-0000-00003D020000}"/>
    <cellStyle name="Comma 11 8 6" xfId="616" xr:uid="{00000000-0005-0000-0000-00003E020000}"/>
    <cellStyle name="Comma 11 8 7" xfId="617" xr:uid="{00000000-0005-0000-0000-00003F020000}"/>
    <cellStyle name="Comma 11 8 8" xfId="618" xr:uid="{00000000-0005-0000-0000-000040020000}"/>
    <cellStyle name="Comma 11 9" xfId="619" xr:uid="{00000000-0005-0000-0000-000041020000}"/>
    <cellStyle name="Comma 11 9 2" xfId="620" xr:uid="{00000000-0005-0000-0000-000042020000}"/>
    <cellStyle name="Comma 11 9 3" xfId="621" xr:uid="{00000000-0005-0000-0000-000043020000}"/>
    <cellStyle name="Comma 11 9 4" xfId="622" xr:uid="{00000000-0005-0000-0000-000044020000}"/>
    <cellStyle name="Comma 11 9 5" xfId="623" xr:uid="{00000000-0005-0000-0000-000045020000}"/>
    <cellStyle name="Comma 11 9 6" xfId="624" xr:uid="{00000000-0005-0000-0000-000046020000}"/>
    <cellStyle name="Comma 12" xfId="625" xr:uid="{00000000-0005-0000-0000-000047020000}"/>
    <cellStyle name="Comma 12 10" xfId="626" xr:uid="{00000000-0005-0000-0000-000048020000}"/>
    <cellStyle name="Comma 12 10 2" xfId="627" xr:uid="{00000000-0005-0000-0000-000049020000}"/>
    <cellStyle name="Comma 12 10 3" xfId="628" xr:uid="{00000000-0005-0000-0000-00004A020000}"/>
    <cellStyle name="Comma 12 10 4" xfId="629" xr:uid="{00000000-0005-0000-0000-00004B020000}"/>
    <cellStyle name="Comma 12 10 5" xfId="630" xr:uid="{00000000-0005-0000-0000-00004C020000}"/>
    <cellStyle name="Comma 12 10 6" xfId="631" xr:uid="{00000000-0005-0000-0000-00004D020000}"/>
    <cellStyle name="Comma 12 11" xfId="632" xr:uid="{00000000-0005-0000-0000-00004E020000}"/>
    <cellStyle name="Comma 12 12" xfId="633" xr:uid="{00000000-0005-0000-0000-00004F020000}"/>
    <cellStyle name="Comma 12 13" xfId="634" xr:uid="{00000000-0005-0000-0000-000050020000}"/>
    <cellStyle name="Comma 12 14" xfId="635" xr:uid="{00000000-0005-0000-0000-000051020000}"/>
    <cellStyle name="Comma 12 15" xfId="636" xr:uid="{00000000-0005-0000-0000-000052020000}"/>
    <cellStyle name="Comma 12 2" xfId="637" xr:uid="{00000000-0005-0000-0000-000053020000}"/>
    <cellStyle name="Comma 12 2 10" xfId="638" xr:uid="{00000000-0005-0000-0000-000054020000}"/>
    <cellStyle name="Comma 12 2 11" xfId="639" xr:uid="{00000000-0005-0000-0000-000055020000}"/>
    <cellStyle name="Comma 12 2 12" xfId="640" xr:uid="{00000000-0005-0000-0000-000056020000}"/>
    <cellStyle name="Comma 12 2 2" xfId="641" xr:uid="{00000000-0005-0000-0000-000057020000}"/>
    <cellStyle name="Comma 12 2 3" xfId="642" xr:uid="{00000000-0005-0000-0000-000058020000}"/>
    <cellStyle name="Comma 12 2 3 2" xfId="643" xr:uid="{00000000-0005-0000-0000-000059020000}"/>
    <cellStyle name="Comma 12 2 3 2 2" xfId="644" xr:uid="{00000000-0005-0000-0000-00005A020000}"/>
    <cellStyle name="Comma 12 2 3 2 3" xfId="645" xr:uid="{00000000-0005-0000-0000-00005B020000}"/>
    <cellStyle name="Comma 12 2 3 2 4" xfId="646" xr:uid="{00000000-0005-0000-0000-00005C020000}"/>
    <cellStyle name="Comma 12 2 3 2 5" xfId="647" xr:uid="{00000000-0005-0000-0000-00005D020000}"/>
    <cellStyle name="Comma 12 2 3 2 6" xfId="648" xr:uid="{00000000-0005-0000-0000-00005E020000}"/>
    <cellStyle name="Comma 12 2 3 3" xfId="649" xr:uid="{00000000-0005-0000-0000-00005F020000}"/>
    <cellStyle name="Comma 12 2 3 3 2" xfId="650" xr:uid="{00000000-0005-0000-0000-000060020000}"/>
    <cellStyle name="Comma 12 2 3 3 3" xfId="651" xr:uid="{00000000-0005-0000-0000-000061020000}"/>
    <cellStyle name="Comma 12 2 3 3 4" xfId="652" xr:uid="{00000000-0005-0000-0000-000062020000}"/>
    <cellStyle name="Comma 12 2 3 3 5" xfId="653" xr:uid="{00000000-0005-0000-0000-000063020000}"/>
    <cellStyle name="Comma 12 2 3 3 6" xfId="654" xr:uid="{00000000-0005-0000-0000-000064020000}"/>
    <cellStyle name="Comma 12 2 3 4" xfId="655" xr:uid="{00000000-0005-0000-0000-000065020000}"/>
    <cellStyle name="Comma 12 2 3 5" xfId="656" xr:uid="{00000000-0005-0000-0000-000066020000}"/>
    <cellStyle name="Comma 12 2 3 6" xfId="657" xr:uid="{00000000-0005-0000-0000-000067020000}"/>
    <cellStyle name="Comma 12 2 3 7" xfId="658" xr:uid="{00000000-0005-0000-0000-000068020000}"/>
    <cellStyle name="Comma 12 2 3 8" xfId="659" xr:uid="{00000000-0005-0000-0000-000069020000}"/>
    <cellStyle name="Comma 12 2 4" xfId="660" xr:uid="{00000000-0005-0000-0000-00006A020000}"/>
    <cellStyle name="Comma 12 2 4 2" xfId="661" xr:uid="{00000000-0005-0000-0000-00006B020000}"/>
    <cellStyle name="Comma 12 2 4 2 2" xfId="662" xr:uid="{00000000-0005-0000-0000-00006C020000}"/>
    <cellStyle name="Comma 12 2 4 2 3" xfId="663" xr:uid="{00000000-0005-0000-0000-00006D020000}"/>
    <cellStyle name="Comma 12 2 4 2 4" xfId="664" xr:uid="{00000000-0005-0000-0000-00006E020000}"/>
    <cellStyle name="Comma 12 2 4 2 5" xfId="665" xr:uid="{00000000-0005-0000-0000-00006F020000}"/>
    <cellStyle name="Comma 12 2 4 2 6" xfId="666" xr:uid="{00000000-0005-0000-0000-000070020000}"/>
    <cellStyle name="Comma 12 2 4 3" xfId="667" xr:uid="{00000000-0005-0000-0000-000071020000}"/>
    <cellStyle name="Comma 12 2 4 3 2" xfId="668" xr:uid="{00000000-0005-0000-0000-000072020000}"/>
    <cellStyle name="Comma 12 2 4 3 3" xfId="669" xr:uid="{00000000-0005-0000-0000-000073020000}"/>
    <cellStyle name="Comma 12 2 4 3 4" xfId="670" xr:uid="{00000000-0005-0000-0000-000074020000}"/>
    <cellStyle name="Comma 12 2 4 3 5" xfId="671" xr:uid="{00000000-0005-0000-0000-000075020000}"/>
    <cellStyle name="Comma 12 2 4 3 6" xfId="672" xr:uid="{00000000-0005-0000-0000-000076020000}"/>
    <cellStyle name="Comma 12 2 4 4" xfId="673" xr:uid="{00000000-0005-0000-0000-000077020000}"/>
    <cellStyle name="Comma 12 2 4 5" xfId="674" xr:uid="{00000000-0005-0000-0000-000078020000}"/>
    <cellStyle name="Comma 12 2 4 6" xfId="675" xr:uid="{00000000-0005-0000-0000-000079020000}"/>
    <cellStyle name="Comma 12 2 4 7" xfId="676" xr:uid="{00000000-0005-0000-0000-00007A020000}"/>
    <cellStyle name="Comma 12 2 4 8" xfId="677" xr:uid="{00000000-0005-0000-0000-00007B020000}"/>
    <cellStyle name="Comma 12 2 5" xfId="678" xr:uid="{00000000-0005-0000-0000-00007C020000}"/>
    <cellStyle name="Comma 12 2 5 2" xfId="679" xr:uid="{00000000-0005-0000-0000-00007D020000}"/>
    <cellStyle name="Comma 12 2 5 2 2" xfId="680" xr:uid="{00000000-0005-0000-0000-00007E020000}"/>
    <cellStyle name="Comma 12 2 5 2 3" xfId="681" xr:uid="{00000000-0005-0000-0000-00007F020000}"/>
    <cellStyle name="Comma 12 2 5 2 4" xfId="682" xr:uid="{00000000-0005-0000-0000-000080020000}"/>
    <cellStyle name="Comma 12 2 5 2 5" xfId="683" xr:uid="{00000000-0005-0000-0000-000081020000}"/>
    <cellStyle name="Comma 12 2 5 2 6" xfId="684" xr:uid="{00000000-0005-0000-0000-000082020000}"/>
    <cellStyle name="Comma 12 2 5 3" xfId="685" xr:uid="{00000000-0005-0000-0000-000083020000}"/>
    <cellStyle name="Comma 12 2 5 3 2" xfId="686" xr:uid="{00000000-0005-0000-0000-000084020000}"/>
    <cellStyle name="Comma 12 2 5 3 3" xfId="687" xr:uid="{00000000-0005-0000-0000-000085020000}"/>
    <cellStyle name="Comma 12 2 5 3 4" xfId="688" xr:uid="{00000000-0005-0000-0000-000086020000}"/>
    <cellStyle name="Comma 12 2 5 3 5" xfId="689" xr:uid="{00000000-0005-0000-0000-000087020000}"/>
    <cellStyle name="Comma 12 2 5 3 6" xfId="690" xr:uid="{00000000-0005-0000-0000-000088020000}"/>
    <cellStyle name="Comma 12 2 5 4" xfId="691" xr:uid="{00000000-0005-0000-0000-000089020000}"/>
    <cellStyle name="Comma 12 2 5 5" xfId="692" xr:uid="{00000000-0005-0000-0000-00008A020000}"/>
    <cellStyle name="Comma 12 2 5 6" xfId="693" xr:uid="{00000000-0005-0000-0000-00008B020000}"/>
    <cellStyle name="Comma 12 2 5 7" xfId="694" xr:uid="{00000000-0005-0000-0000-00008C020000}"/>
    <cellStyle name="Comma 12 2 5 8" xfId="695" xr:uid="{00000000-0005-0000-0000-00008D020000}"/>
    <cellStyle name="Comma 12 2 6" xfId="696" xr:uid="{00000000-0005-0000-0000-00008E020000}"/>
    <cellStyle name="Comma 12 2 6 2" xfId="697" xr:uid="{00000000-0005-0000-0000-00008F020000}"/>
    <cellStyle name="Comma 12 2 6 3" xfId="698" xr:uid="{00000000-0005-0000-0000-000090020000}"/>
    <cellStyle name="Comma 12 2 6 4" xfId="699" xr:uid="{00000000-0005-0000-0000-000091020000}"/>
    <cellStyle name="Comma 12 2 6 5" xfId="700" xr:uid="{00000000-0005-0000-0000-000092020000}"/>
    <cellStyle name="Comma 12 2 6 6" xfId="701" xr:uid="{00000000-0005-0000-0000-000093020000}"/>
    <cellStyle name="Comma 12 2 7" xfId="702" xr:uid="{00000000-0005-0000-0000-000094020000}"/>
    <cellStyle name="Comma 12 2 7 2" xfId="703" xr:uid="{00000000-0005-0000-0000-000095020000}"/>
    <cellStyle name="Comma 12 2 7 3" xfId="704" xr:uid="{00000000-0005-0000-0000-000096020000}"/>
    <cellStyle name="Comma 12 2 7 4" xfId="705" xr:uid="{00000000-0005-0000-0000-000097020000}"/>
    <cellStyle name="Comma 12 2 7 5" xfId="706" xr:uid="{00000000-0005-0000-0000-000098020000}"/>
    <cellStyle name="Comma 12 2 7 6" xfId="707" xr:uid="{00000000-0005-0000-0000-000099020000}"/>
    <cellStyle name="Comma 12 2 8" xfId="708" xr:uid="{00000000-0005-0000-0000-00009A020000}"/>
    <cellStyle name="Comma 12 2 9" xfId="709" xr:uid="{00000000-0005-0000-0000-00009B020000}"/>
    <cellStyle name="Comma 12 3" xfId="710" xr:uid="{00000000-0005-0000-0000-00009C020000}"/>
    <cellStyle name="Comma 12 3 10" xfId="711" xr:uid="{00000000-0005-0000-0000-00009D020000}"/>
    <cellStyle name="Comma 12 3 11" xfId="712" xr:uid="{00000000-0005-0000-0000-00009E020000}"/>
    <cellStyle name="Comma 12 3 2" xfId="713" xr:uid="{00000000-0005-0000-0000-00009F020000}"/>
    <cellStyle name="Comma 12 3 2 2" xfId="714" xr:uid="{00000000-0005-0000-0000-0000A0020000}"/>
    <cellStyle name="Comma 12 3 2 2 2" xfId="715" xr:uid="{00000000-0005-0000-0000-0000A1020000}"/>
    <cellStyle name="Comma 12 3 2 2 3" xfId="716" xr:uid="{00000000-0005-0000-0000-0000A2020000}"/>
    <cellStyle name="Comma 12 3 2 2 4" xfId="717" xr:uid="{00000000-0005-0000-0000-0000A3020000}"/>
    <cellStyle name="Comma 12 3 2 2 5" xfId="718" xr:uid="{00000000-0005-0000-0000-0000A4020000}"/>
    <cellStyle name="Comma 12 3 2 2 6" xfId="719" xr:uid="{00000000-0005-0000-0000-0000A5020000}"/>
    <cellStyle name="Comma 12 3 2 3" xfId="720" xr:uid="{00000000-0005-0000-0000-0000A6020000}"/>
    <cellStyle name="Comma 12 3 2 3 2" xfId="721" xr:uid="{00000000-0005-0000-0000-0000A7020000}"/>
    <cellStyle name="Comma 12 3 2 3 3" xfId="722" xr:uid="{00000000-0005-0000-0000-0000A8020000}"/>
    <cellStyle name="Comma 12 3 2 3 4" xfId="723" xr:uid="{00000000-0005-0000-0000-0000A9020000}"/>
    <cellStyle name="Comma 12 3 2 3 5" xfId="724" xr:uid="{00000000-0005-0000-0000-0000AA020000}"/>
    <cellStyle name="Comma 12 3 2 3 6" xfId="725" xr:uid="{00000000-0005-0000-0000-0000AB020000}"/>
    <cellStyle name="Comma 12 3 2 4" xfId="726" xr:uid="{00000000-0005-0000-0000-0000AC020000}"/>
    <cellStyle name="Comma 12 3 2 5" xfId="727" xr:uid="{00000000-0005-0000-0000-0000AD020000}"/>
    <cellStyle name="Comma 12 3 2 6" xfId="728" xr:uid="{00000000-0005-0000-0000-0000AE020000}"/>
    <cellStyle name="Comma 12 3 2 7" xfId="729" xr:uid="{00000000-0005-0000-0000-0000AF020000}"/>
    <cellStyle name="Comma 12 3 2 8" xfId="730" xr:uid="{00000000-0005-0000-0000-0000B0020000}"/>
    <cellStyle name="Comma 12 3 3" xfId="731" xr:uid="{00000000-0005-0000-0000-0000B1020000}"/>
    <cellStyle name="Comma 12 3 3 2" xfId="732" xr:uid="{00000000-0005-0000-0000-0000B2020000}"/>
    <cellStyle name="Comma 12 3 3 2 2" xfId="733" xr:uid="{00000000-0005-0000-0000-0000B3020000}"/>
    <cellStyle name="Comma 12 3 3 2 3" xfId="734" xr:uid="{00000000-0005-0000-0000-0000B4020000}"/>
    <cellStyle name="Comma 12 3 3 2 4" xfId="735" xr:uid="{00000000-0005-0000-0000-0000B5020000}"/>
    <cellStyle name="Comma 12 3 3 2 5" xfId="736" xr:uid="{00000000-0005-0000-0000-0000B6020000}"/>
    <cellStyle name="Comma 12 3 3 2 6" xfId="737" xr:uid="{00000000-0005-0000-0000-0000B7020000}"/>
    <cellStyle name="Comma 12 3 3 3" xfId="738" xr:uid="{00000000-0005-0000-0000-0000B8020000}"/>
    <cellStyle name="Comma 12 3 3 3 2" xfId="739" xr:uid="{00000000-0005-0000-0000-0000B9020000}"/>
    <cellStyle name="Comma 12 3 3 3 3" xfId="740" xr:uid="{00000000-0005-0000-0000-0000BA020000}"/>
    <cellStyle name="Comma 12 3 3 3 4" xfId="741" xr:uid="{00000000-0005-0000-0000-0000BB020000}"/>
    <cellStyle name="Comma 12 3 3 3 5" xfId="742" xr:uid="{00000000-0005-0000-0000-0000BC020000}"/>
    <cellStyle name="Comma 12 3 3 3 6" xfId="743" xr:uid="{00000000-0005-0000-0000-0000BD020000}"/>
    <cellStyle name="Comma 12 3 3 4" xfId="744" xr:uid="{00000000-0005-0000-0000-0000BE020000}"/>
    <cellStyle name="Comma 12 3 3 5" xfId="745" xr:uid="{00000000-0005-0000-0000-0000BF020000}"/>
    <cellStyle name="Comma 12 3 3 6" xfId="746" xr:uid="{00000000-0005-0000-0000-0000C0020000}"/>
    <cellStyle name="Comma 12 3 3 7" xfId="747" xr:uid="{00000000-0005-0000-0000-0000C1020000}"/>
    <cellStyle name="Comma 12 3 3 8" xfId="748" xr:uid="{00000000-0005-0000-0000-0000C2020000}"/>
    <cellStyle name="Comma 12 3 4" xfId="749" xr:uid="{00000000-0005-0000-0000-0000C3020000}"/>
    <cellStyle name="Comma 12 3 4 2" xfId="750" xr:uid="{00000000-0005-0000-0000-0000C4020000}"/>
    <cellStyle name="Comma 12 3 4 2 2" xfId="751" xr:uid="{00000000-0005-0000-0000-0000C5020000}"/>
    <cellStyle name="Comma 12 3 4 2 3" xfId="752" xr:uid="{00000000-0005-0000-0000-0000C6020000}"/>
    <cellStyle name="Comma 12 3 4 2 4" xfId="753" xr:uid="{00000000-0005-0000-0000-0000C7020000}"/>
    <cellStyle name="Comma 12 3 4 2 5" xfId="754" xr:uid="{00000000-0005-0000-0000-0000C8020000}"/>
    <cellStyle name="Comma 12 3 4 2 6" xfId="755" xr:uid="{00000000-0005-0000-0000-0000C9020000}"/>
    <cellStyle name="Comma 12 3 4 3" xfId="756" xr:uid="{00000000-0005-0000-0000-0000CA020000}"/>
    <cellStyle name="Comma 12 3 4 3 2" xfId="757" xr:uid="{00000000-0005-0000-0000-0000CB020000}"/>
    <cellStyle name="Comma 12 3 4 3 3" xfId="758" xr:uid="{00000000-0005-0000-0000-0000CC020000}"/>
    <cellStyle name="Comma 12 3 4 3 4" xfId="759" xr:uid="{00000000-0005-0000-0000-0000CD020000}"/>
    <cellStyle name="Comma 12 3 4 3 5" xfId="760" xr:uid="{00000000-0005-0000-0000-0000CE020000}"/>
    <cellStyle name="Comma 12 3 4 3 6" xfId="761" xr:uid="{00000000-0005-0000-0000-0000CF020000}"/>
    <cellStyle name="Comma 12 3 4 4" xfId="762" xr:uid="{00000000-0005-0000-0000-0000D0020000}"/>
    <cellStyle name="Comma 12 3 4 5" xfId="763" xr:uid="{00000000-0005-0000-0000-0000D1020000}"/>
    <cellStyle name="Comma 12 3 4 6" xfId="764" xr:uid="{00000000-0005-0000-0000-0000D2020000}"/>
    <cellStyle name="Comma 12 3 4 7" xfId="765" xr:uid="{00000000-0005-0000-0000-0000D3020000}"/>
    <cellStyle name="Comma 12 3 4 8" xfId="766" xr:uid="{00000000-0005-0000-0000-0000D4020000}"/>
    <cellStyle name="Comma 12 3 5" xfId="767" xr:uid="{00000000-0005-0000-0000-0000D5020000}"/>
    <cellStyle name="Comma 12 3 5 2" xfId="768" xr:uid="{00000000-0005-0000-0000-0000D6020000}"/>
    <cellStyle name="Comma 12 3 5 3" xfId="769" xr:uid="{00000000-0005-0000-0000-0000D7020000}"/>
    <cellStyle name="Comma 12 3 5 4" xfId="770" xr:uid="{00000000-0005-0000-0000-0000D8020000}"/>
    <cellStyle name="Comma 12 3 5 5" xfId="771" xr:uid="{00000000-0005-0000-0000-0000D9020000}"/>
    <cellStyle name="Comma 12 3 5 6" xfId="772" xr:uid="{00000000-0005-0000-0000-0000DA020000}"/>
    <cellStyle name="Comma 12 3 6" xfId="773" xr:uid="{00000000-0005-0000-0000-0000DB020000}"/>
    <cellStyle name="Comma 12 3 6 2" xfId="774" xr:uid="{00000000-0005-0000-0000-0000DC020000}"/>
    <cellStyle name="Comma 12 3 6 3" xfId="775" xr:uid="{00000000-0005-0000-0000-0000DD020000}"/>
    <cellStyle name="Comma 12 3 6 4" xfId="776" xr:uid="{00000000-0005-0000-0000-0000DE020000}"/>
    <cellStyle name="Comma 12 3 6 5" xfId="777" xr:uid="{00000000-0005-0000-0000-0000DF020000}"/>
    <cellStyle name="Comma 12 3 6 6" xfId="778" xr:uid="{00000000-0005-0000-0000-0000E0020000}"/>
    <cellStyle name="Comma 12 3 7" xfId="779" xr:uid="{00000000-0005-0000-0000-0000E1020000}"/>
    <cellStyle name="Comma 12 3 8" xfId="780" xr:uid="{00000000-0005-0000-0000-0000E2020000}"/>
    <cellStyle name="Comma 12 3 9" xfId="781" xr:uid="{00000000-0005-0000-0000-0000E3020000}"/>
    <cellStyle name="Comma 12 4" xfId="782" xr:uid="{00000000-0005-0000-0000-0000E4020000}"/>
    <cellStyle name="Comma 12 4 10" xfId="783" xr:uid="{00000000-0005-0000-0000-0000E5020000}"/>
    <cellStyle name="Comma 12 4 11" xfId="784" xr:uid="{00000000-0005-0000-0000-0000E6020000}"/>
    <cellStyle name="Comma 12 4 2" xfId="785" xr:uid="{00000000-0005-0000-0000-0000E7020000}"/>
    <cellStyle name="Comma 12 4 2 2" xfId="786" xr:uid="{00000000-0005-0000-0000-0000E8020000}"/>
    <cellStyle name="Comma 12 4 2 2 2" xfId="787" xr:uid="{00000000-0005-0000-0000-0000E9020000}"/>
    <cellStyle name="Comma 12 4 2 2 3" xfId="788" xr:uid="{00000000-0005-0000-0000-0000EA020000}"/>
    <cellStyle name="Comma 12 4 2 2 4" xfId="789" xr:uid="{00000000-0005-0000-0000-0000EB020000}"/>
    <cellStyle name="Comma 12 4 2 2 5" xfId="790" xr:uid="{00000000-0005-0000-0000-0000EC020000}"/>
    <cellStyle name="Comma 12 4 2 2 6" xfId="791" xr:uid="{00000000-0005-0000-0000-0000ED020000}"/>
    <cellStyle name="Comma 12 4 2 3" xfId="792" xr:uid="{00000000-0005-0000-0000-0000EE020000}"/>
    <cellStyle name="Comma 12 4 2 3 2" xfId="793" xr:uid="{00000000-0005-0000-0000-0000EF020000}"/>
    <cellStyle name="Comma 12 4 2 3 3" xfId="794" xr:uid="{00000000-0005-0000-0000-0000F0020000}"/>
    <cellStyle name="Comma 12 4 2 3 4" xfId="795" xr:uid="{00000000-0005-0000-0000-0000F1020000}"/>
    <cellStyle name="Comma 12 4 2 3 5" xfId="796" xr:uid="{00000000-0005-0000-0000-0000F2020000}"/>
    <cellStyle name="Comma 12 4 2 3 6" xfId="797" xr:uid="{00000000-0005-0000-0000-0000F3020000}"/>
    <cellStyle name="Comma 12 4 2 4" xfId="798" xr:uid="{00000000-0005-0000-0000-0000F4020000}"/>
    <cellStyle name="Comma 12 4 2 5" xfId="799" xr:uid="{00000000-0005-0000-0000-0000F5020000}"/>
    <cellStyle name="Comma 12 4 2 6" xfId="800" xr:uid="{00000000-0005-0000-0000-0000F6020000}"/>
    <cellStyle name="Comma 12 4 2 7" xfId="801" xr:uid="{00000000-0005-0000-0000-0000F7020000}"/>
    <cellStyle name="Comma 12 4 2 8" xfId="802" xr:uid="{00000000-0005-0000-0000-0000F8020000}"/>
    <cellStyle name="Comma 12 4 3" xfId="803" xr:uid="{00000000-0005-0000-0000-0000F9020000}"/>
    <cellStyle name="Comma 12 4 3 2" xfId="804" xr:uid="{00000000-0005-0000-0000-0000FA020000}"/>
    <cellStyle name="Comma 12 4 3 2 2" xfId="805" xr:uid="{00000000-0005-0000-0000-0000FB020000}"/>
    <cellStyle name="Comma 12 4 3 2 3" xfId="806" xr:uid="{00000000-0005-0000-0000-0000FC020000}"/>
    <cellStyle name="Comma 12 4 3 2 4" xfId="807" xr:uid="{00000000-0005-0000-0000-0000FD020000}"/>
    <cellStyle name="Comma 12 4 3 2 5" xfId="808" xr:uid="{00000000-0005-0000-0000-0000FE020000}"/>
    <cellStyle name="Comma 12 4 3 2 6" xfId="809" xr:uid="{00000000-0005-0000-0000-0000FF020000}"/>
    <cellStyle name="Comma 12 4 3 3" xfId="810" xr:uid="{00000000-0005-0000-0000-000000030000}"/>
    <cellStyle name="Comma 12 4 3 3 2" xfId="811" xr:uid="{00000000-0005-0000-0000-000001030000}"/>
    <cellStyle name="Comma 12 4 3 3 3" xfId="812" xr:uid="{00000000-0005-0000-0000-000002030000}"/>
    <cellStyle name="Comma 12 4 3 3 4" xfId="813" xr:uid="{00000000-0005-0000-0000-000003030000}"/>
    <cellStyle name="Comma 12 4 3 3 5" xfId="814" xr:uid="{00000000-0005-0000-0000-000004030000}"/>
    <cellStyle name="Comma 12 4 3 3 6" xfId="815" xr:uid="{00000000-0005-0000-0000-000005030000}"/>
    <cellStyle name="Comma 12 4 3 4" xfId="816" xr:uid="{00000000-0005-0000-0000-000006030000}"/>
    <cellStyle name="Comma 12 4 3 5" xfId="817" xr:uid="{00000000-0005-0000-0000-000007030000}"/>
    <cellStyle name="Comma 12 4 3 6" xfId="818" xr:uid="{00000000-0005-0000-0000-000008030000}"/>
    <cellStyle name="Comma 12 4 3 7" xfId="819" xr:uid="{00000000-0005-0000-0000-000009030000}"/>
    <cellStyle name="Comma 12 4 3 8" xfId="820" xr:uid="{00000000-0005-0000-0000-00000A030000}"/>
    <cellStyle name="Comma 12 4 4" xfId="821" xr:uid="{00000000-0005-0000-0000-00000B030000}"/>
    <cellStyle name="Comma 12 4 4 2" xfId="822" xr:uid="{00000000-0005-0000-0000-00000C030000}"/>
    <cellStyle name="Comma 12 4 4 2 2" xfId="823" xr:uid="{00000000-0005-0000-0000-00000D030000}"/>
    <cellStyle name="Comma 12 4 4 2 3" xfId="824" xr:uid="{00000000-0005-0000-0000-00000E030000}"/>
    <cellStyle name="Comma 12 4 4 2 4" xfId="825" xr:uid="{00000000-0005-0000-0000-00000F030000}"/>
    <cellStyle name="Comma 12 4 4 2 5" xfId="826" xr:uid="{00000000-0005-0000-0000-000010030000}"/>
    <cellStyle name="Comma 12 4 4 2 6" xfId="827" xr:uid="{00000000-0005-0000-0000-000011030000}"/>
    <cellStyle name="Comma 12 4 4 3" xfId="828" xr:uid="{00000000-0005-0000-0000-000012030000}"/>
    <cellStyle name="Comma 12 4 4 3 2" xfId="829" xr:uid="{00000000-0005-0000-0000-000013030000}"/>
    <cellStyle name="Comma 12 4 4 3 3" xfId="830" xr:uid="{00000000-0005-0000-0000-000014030000}"/>
    <cellStyle name="Comma 12 4 4 3 4" xfId="831" xr:uid="{00000000-0005-0000-0000-000015030000}"/>
    <cellStyle name="Comma 12 4 4 3 5" xfId="832" xr:uid="{00000000-0005-0000-0000-000016030000}"/>
    <cellStyle name="Comma 12 4 4 3 6" xfId="833" xr:uid="{00000000-0005-0000-0000-000017030000}"/>
    <cellStyle name="Comma 12 4 4 4" xfId="834" xr:uid="{00000000-0005-0000-0000-000018030000}"/>
    <cellStyle name="Comma 12 4 4 5" xfId="835" xr:uid="{00000000-0005-0000-0000-000019030000}"/>
    <cellStyle name="Comma 12 4 4 6" xfId="836" xr:uid="{00000000-0005-0000-0000-00001A030000}"/>
    <cellStyle name="Comma 12 4 4 7" xfId="837" xr:uid="{00000000-0005-0000-0000-00001B030000}"/>
    <cellStyle name="Comma 12 4 4 8" xfId="838" xr:uid="{00000000-0005-0000-0000-00001C030000}"/>
    <cellStyle name="Comma 12 4 5" xfId="839" xr:uid="{00000000-0005-0000-0000-00001D030000}"/>
    <cellStyle name="Comma 12 4 5 2" xfId="840" xr:uid="{00000000-0005-0000-0000-00001E030000}"/>
    <cellStyle name="Comma 12 4 5 3" xfId="841" xr:uid="{00000000-0005-0000-0000-00001F030000}"/>
    <cellStyle name="Comma 12 4 5 4" xfId="842" xr:uid="{00000000-0005-0000-0000-000020030000}"/>
    <cellStyle name="Comma 12 4 5 5" xfId="843" xr:uid="{00000000-0005-0000-0000-000021030000}"/>
    <cellStyle name="Comma 12 4 5 6" xfId="844" xr:uid="{00000000-0005-0000-0000-000022030000}"/>
    <cellStyle name="Comma 12 4 6" xfId="845" xr:uid="{00000000-0005-0000-0000-000023030000}"/>
    <cellStyle name="Comma 12 4 6 2" xfId="846" xr:uid="{00000000-0005-0000-0000-000024030000}"/>
    <cellStyle name="Comma 12 4 6 3" xfId="847" xr:uid="{00000000-0005-0000-0000-000025030000}"/>
    <cellStyle name="Comma 12 4 6 4" xfId="848" xr:uid="{00000000-0005-0000-0000-000026030000}"/>
    <cellStyle name="Comma 12 4 6 5" xfId="849" xr:uid="{00000000-0005-0000-0000-000027030000}"/>
    <cellStyle name="Comma 12 4 6 6" xfId="850" xr:uid="{00000000-0005-0000-0000-000028030000}"/>
    <cellStyle name="Comma 12 4 7" xfId="851" xr:uid="{00000000-0005-0000-0000-000029030000}"/>
    <cellStyle name="Comma 12 4 8" xfId="852" xr:uid="{00000000-0005-0000-0000-00002A030000}"/>
    <cellStyle name="Comma 12 4 9" xfId="853" xr:uid="{00000000-0005-0000-0000-00002B030000}"/>
    <cellStyle name="Comma 12 5" xfId="854" xr:uid="{00000000-0005-0000-0000-00002C030000}"/>
    <cellStyle name="Comma 12 6" xfId="855" xr:uid="{00000000-0005-0000-0000-00002D030000}"/>
    <cellStyle name="Comma 12 6 2" xfId="856" xr:uid="{00000000-0005-0000-0000-00002E030000}"/>
    <cellStyle name="Comma 12 6 2 2" xfId="857" xr:uid="{00000000-0005-0000-0000-00002F030000}"/>
    <cellStyle name="Comma 12 6 2 3" xfId="858" xr:uid="{00000000-0005-0000-0000-000030030000}"/>
    <cellStyle name="Comma 12 6 2 4" xfId="859" xr:uid="{00000000-0005-0000-0000-000031030000}"/>
    <cellStyle name="Comma 12 6 2 5" xfId="860" xr:uid="{00000000-0005-0000-0000-000032030000}"/>
    <cellStyle name="Comma 12 6 2 6" xfId="861" xr:uid="{00000000-0005-0000-0000-000033030000}"/>
    <cellStyle name="Comma 12 6 3" xfId="862" xr:uid="{00000000-0005-0000-0000-000034030000}"/>
    <cellStyle name="Comma 12 6 3 2" xfId="863" xr:uid="{00000000-0005-0000-0000-000035030000}"/>
    <cellStyle name="Comma 12 6 3 3" xfId="864" xr:uid="{00000000-0005-0000-0000-000036030000}"/>
    <cellStyle name="Comma 12 6 3 4" xfId="865" xr:uid="{00000000-0005-0000-0000-000037030000}"/>
    <cellStyle name="Comma 12 6 3 5" xfId="866" xr:uid="{00000000-0005-0000-0000-000038030000}"/>
    <cellStyle name="Comma 12 6 3 6" xfId="867" xr:uid="{00000000-0005-0000-0000-000039030000}"/>
    <cellStyle name="Comma 12 6 4" xfId="868" xr:uid="{00000000-0005-0000-0000-00003A030000}"/>
    <cellStyle name="Comma 12 6 5" xfId="869" xr:uid="{00000000-0005-0000-0000-00003B030000}"/>
    <cellStyle name="Comma 12 6 6" xfId="870" xr:uid="{00000000-0005-0000-0000-00003C030000}"/>
    <cellStyle name="Comma 12 6 7" xfId="871" xr:uid="{00000000-0005-0000-0000-00003D030000}"/>
    <cellStyle name="Comma 12 6 8" xfId="872" xr:uid="{00000000-0005-0000-0000-00003E030000}"/>
    <cellStyle name="Comma 12 7" xfId="873" xr:uid="{00000000-0005-0000-0000-00003F030000}"/>
    <cellStyle name="Comma 12 7 2" xfId="874" xr:uid="{00000000-0005-0000-0000-000040030000}"/>
    <cellStyle name="Comma 12 7 2 2" xfId="875" xr:uid="{00000000-0005-0000-0000-000041030000}"/>
    <cellStyle name="Comma 12 7 2 3" xfId="876" xr:uid="{00000000-0005-0000-0000-000042030000}"/>
    <cellStyle name="Comma 12 7 2 4" xfId="877" xr:uid="{00000000-0005-0000-0000-000043030000}"/>
    <cellStyle name="Comma 12 7 2 5" xfId="878" xr:uid="{00000000-0005-0000-0000-000044030000}"/>
    <cellStyle name="Comma 12 7 2 6" xfId="879" xr:uid="{00000000-0005-0000-0000-000045030000}"/>
    <cellStyle name="Comma 12 7 3" xfId="880" xr:uid="{00000000-0005-0000-0000-000046030000}"/>
    <cellStyle name="Comma 12 7 3 2" xfId="881" xr:uid="{00000000-0005-0000-0000-000047030000}"/>
    <cellStyle name="Comma 12 7 3 3" xfId="882" xr:uid="{00000000-0005-0000-0000-000048030000}"/>
    <cellStyle name="Comma 12 7 3 4" xfId="883" xr:uid="{00000000-0005-0000-0000-000049030000}"/>
    <cellStyle name="Comma 12 7 3 5" xfId="884" xr:uid="{00000000-0005-0000-0000-00004A030000}"/>
    <cellStyle name="Comma 12 7 3 6" xfId="885" xr:uid="{00000000-0005-0000-0000-00004B030000}"/>
    <cellStyle name="Comma 12 7 4" xfId="886" xr:uid="{00000000-0005-0000-0000-00004C030000}"/>
    <cellStyle name="Comma 12 7 5" xfId="887" xr:uid="{00000000-0005-0000-0000-00004D030000}"/>
    <cellStyle name="Comma 12 7 6" xfId="888" xr:uid="{00000000-0005-0000-0000-00004E030000}"/>
    <cellStyle name="Comma 12 7 7" xfId="889" xr:uid="{00000000-0005-0000-0000-00004F030000}"/>
    <cellStyle name="Comma 12 7 8" xfId="890" xr:uid="{00000000-0005-0000-0000-000050030000}"/>
    <cellStyle name="Comma 12 8" xfId="891" xr:uid="{00000000-0005-0000-0000-000051030000}"/>
    <cellStyle name="Comma 12 8 2" xfId="892" xr:uid="{00000000-0005-0000-0000-000052030000}"/>
    <cellStyle name="Comma 12 8 2 2" xfId="893" xr:uid="{00000000-0005-0000-0000-000053030000}"/>
    <cellStyle name="Comma 12 8 2 3" xfId="894" xr:uid="{00000000-0005-0000-0000-000054030000}"/>
    <cellStyle name="Comma 12 8 2 4" xfId="895" xr:uid="{00000000-0005-0000-0000-000055030000}"/>
    <cellStyle name="Comma 12 8 2 5" xfId="896" xr:uid="{00000000-0005-0000-0000-000056030000}"/>
    <cellStyle name="Comma 12 8 2 6" xfId="897" xr:uid="{00000000-0005-0000-0000-000057030000}"/>
    <cellStyle name="Comma 12 8 3" xfId="898" xr:uid="{00000000-0005-0000-0000-000058030000}"/>
    <cellStyle name="Comma 12 8 3 2" xfId="899" xr:uid="{00000000-0005-0000-0000-000059030000}"/>
    <cellStyle name="Comma 12 8 3 3" xfId="900" xr:uid="{00000000-0005-0000-0000-00005A030000}"/>
    <cellStyle name="Comma 12 8 3 4" xfId="901" xr:uid="{00000000-0005-0000-0000-00005B030000}"/>
    <cellStyle name="Comma 12 8 3 5" xfId="902" xr:uid="{00000000-0005-0000-0000-00005C030000}"/>
    <cellStyle name="Comma 12 8 3 6" xfId="903" xr:uid="{00000000-0005-0000-0000-00005D030000}"/>
    <cellStyle name="Comma 12 8 4" xfId="904" xr:uid="{00000000-0005-0000-0000-00005E030000}"/>
    <cellStyle name="Comma 12 8 5" xfId="905" xr:uid="{00000000-0005-0000-0000-00005F030000}"/>
    <cellStyle name="Comma 12 8 6" xfId="906" xr:uid="{00000000-0005-0000-0000-000060030000}"/>
    <cellStyle name="Comma 12 8 7" xfId="907" xr:uid="{00000000-0005-0000-0000-000061030000}"/>
    <cellStyle name="Comma 12 8 8" xfId="908" xr:uid="{00000000-0005-0000-0000-000062030000}"/>
    <cellStyle name="Comma 12 9" xfId="909" xr:uid="{00000000-0005-0000-0000-000063030000}"/>
    <cellStyle name="Comma 12 9 2" xfId="910" xr:uid="{00000000-0005-0000-0000-000064030000}"/>
    <cellStyle name="Comma 12 9 3" xfId="911" xr:uid="{00000000-0005-0000-0000-000065030000}"/>
    <cellStyle name="Comma 12 9 4" xfId="912" xr:uid="{00000000-0005-0000-0000-000066030000}"/>
    <cellStyle name="Comma 12 9 5" xfId="913" xr:uid="{00000000-0005-0000-0000-000067030000}"/>
    <cellStyle name="Comma 12 9 6" xfId="914" xr:uid="{00000000-0005-0000-0000-000068030000}"/>
    <cellStyle name="Comma 13" xfId="915" xr:uid="{00000000-0005-0000-0000-000069030000}"/>
    <cellStyle name="Comma 13 10" xfId="916" xr:uid="{00000000-0005-0000-0000-00006A030000}"/>
    <cellStyle name="Comma 13 11" xfId="917" xr:uid="{00000000-0005-0000-0000-00006B030000}"/>
    <cellStyle name="Comma 13 12" xfId="918" xr:uid="{00000000-0005-0000-0000-00006C030000}"/>
    <cellStyle name="Comma 13 13" xfId="919" xr:uid="{00000000-0005-0000-0000-00006D030000}"/>
    <cellStyle name="Comma 13 2" xfId="920" xr:uid="{00000000-0005-0000-0000-00006E030000}"/>
    <cellStyle name="Comma 13 2 2" xfId="921" xr:uid="{00000000-0005-0000-0000-00006F030000}"/>
    <cellStyle name="Comma 13 3" xfId="922" xr:uid="{00000000-0005-0000-0000-000070030000}"/>
    <cellStyle name="Comma 13 4" xfId="923" xr:uid="{00000000-0005-0000-0000-000071030000}"/>
    <cellStyle name="Comma 13 4 2" xfId="924" xr:uid="{00000000-0005-0000-0000-000072030000}"/>
    <cellStyle name="Comma 13 4 2 2" xfId="925" xr:uid="{00000000-0005-0000-0000-000073030000}"/>
    <cellStyle name="Comma 13 4 2 3" xfId="926" xr:uid="{00000000-0005-0000-0000-000074030000}"/>
    <cellStyle name="Comma 13 4 2 4" xfId="927" xr:uid="{00000000-0005-0000-0000-000075030000}"/>
    <cellStyle name="Comma 13 4 2 5" xfId="928" xr:uid="{00000000-0005-0000-0000-000076030000}"/>
    <cellStyle name="Comma 13 4 2 6" xfId="929" xr:uid="{00000000-0005-0000-0000-000077030000}"/>
    <cellStyle name="Comma 13 4 3" xfId="930" xr:uid="{00000000-0005-0000-0000-000078030000}"/>
    <cellStyle name="Comma 13 4 3 2" xfId="931" xr:uid="{00000000-0005-0000-0000-000079030000}"/>
    <cellStyle name="Comma 13 4 3 3" xfId="932" xr:uid="{00000000-0005-0000-0000-00007A030000}"/>
    <cellStyle name="Comma 13 4 3 4" xfId="933" xr:uid="{00000000-0005-0000-0000-00007B030000}"/>
    <cellStyle name="Comma 13 4 3 5" xfId="934" xr:uid="{00000000-0005-0000-0000-00007C030000}"/>
    <cellStyle name="Comma 13 4 3 6" xfId="935" xr:uid="{00000000-0005-0000-0000-00007D030000}"/>
    <cellStyle name="Comma 13 4 4" xfId="936" xr:uid="{00000000-0005-0000-0000-00007E030000}"/>
    <cellStyle name="Comma 13 4 5" xfId="937" xr:uid="{00000000-0005-0000-0000-00007F030000}"/>
    <cellStyle name="Comma 13 4 6" xfId="938" xr:uid="{00000000-0005-0000-0000-000080030000}"/>
    <cellStyle name="Comma 13 4 7" xfId="939" xr:uid="{00000000-0005-0000-0000-000081030000}"/>
    <cellStyle name="Comma 13 4 8" xfId="940" xr:uid="{00000000-0005-0000-0000-000082030000}"/>
    <cellStyle name="Comma 13 5" xfId="941" xr:uid="{00000000-0005-0000-0000-000083030000}"/>
    <cellStyle name="Comma 13 5 2" xfId="942" xr:uid="{00000000-0005-0000-0000-000084030000}"/>
    <cellStyle name="Comma 13 5 2 2" xfId="943" xr:uid="{00000000-0005-0000-0000-000085030000}"/>
    <cellStyle name="Comma 13 5 2 3" xfId="944" xr:uid="{00000000-0005-0000-0000-000086030000}"/>
    <cellStyle name="Comma 13 5 2 4" xfId="945" xr:uid="{00000000-0005-0000-0000-000087030000}"/>
    <cellStyle name="Comma 13 5 2 5" xfId="946" xr:uid="{00000000-0005-0000-0000-000088030000}"/>
    <cellStyle name="Comma 13 5 2 6" xfId="947" xr:uid="{00000000-0005-0000-0000-000089030000}"/>
    <cellStyle name="Comma 13 5 3" xfId="948" xr:uid="{00000000-0005-0000-0000-00008A030000}"/>
    <cellStyle name="Comma 13 5 3 2" xfId="949" xr:uid="{00000000-0005-0000-0000-00008B030000}"/>
    <cellStyle name="Comma 13 5 3 3" xfId="950" xr:uid="{00000000-0005-0000-0000-00008C030000}"/>
    <cellStyle name="Comma 13 5 3 4" xfId="951" xr:uid="{00000000-0005-0000-0000-00008D030000}"/>
    <cellStyle name="Comma 13 5 3 5" xfId="952" xr:uid="{00000000-0005-0000-0000-00008E030000}"/>
    <cellStyle name="Comma 13 5 3 6" xfId="953" xr:uid="{00000000-0005-0000-0000-00008F030000}"/>
    <cellStyle name="Comma 13 5 4" xfId="954" xr:uid="{00000000-0005-0000-0000-000090030000}"/>
    <cellStyle name="Comma 13 5 5" xfId="955" xr:uid="{00000000-0005-0000-0000-000091030000}"/>
    <cellStyle name="Comma 13 5 6" xfId="956" xr:uid="{00000000-0005-0000-0000-000092030000}"/>
    <cellStyle name="Comma 13 5 7" xfId="957" xr:uid="{00000000-0005-0000-0000-000093030000}"/>
    <cellStyle name="Comma 13 5 8" xfId="958" xr:uid="{00000000-0005-0000-0000-000094030000}"/>
    <cellStyle name="Comma 13 6" xfId="959" xr:uid="{00000000-0005-0000-0000-000095030000}"/>
    <cellStyle name="Comma 13 6 2" xfId="960" xr:uid="{00000000-0005-0000-0000-000096030000}"/>
    <cellStyle name="Comma 13 6 2 2" xfId="961" xr:uid="{00000000-0005-0000-0000-000097030000}"/>
    <cellStyle name="Comma 13 6 2 3" xfId="962" xr:uid="{00000000-0005-0000-0000-000098030000}"/>
    <cellStyle name="Comma 13 6 2 4" xfId="963" xr:uid="{00000000-0005-0000-0000-000099030000}"/>
    <cellStyle name="Comma 13 6 2 5" xfId="964" xr:uid="{00000000-0005-0000-0000-00009A030000}"/>
    <cellStyle name="Comma 13 6 2 6" xfId="965" xr:uid="{00000000-0005-0000-0000-00009B030000}"/>
    <cellStyle name="Comma 13 6 3" xfId="966" xr:uid="{00000000-0005-0000-0000-00009C030000}"/>
    <cellStyle name="Comma 13 6 3 2" xfId="967" xr:uid="{00000000-0005-0000-0000-00009D030000}"/>
    <cellStyle name="Comma 13 6 3 3" xfId="968" xr:uid="{00000000-0005-0000-0000-00009E030000}"/>
    <cellStyle name="Comma 13 6 3 4" xfId="969" xr:uid="{00000000-0005-0000-0000-00009F030000}"/>
    <cellStyle name="Comma 13 6 3 5" xfId="970" xr:uid="{00000000-0005-0000-0000-0000A0030000}"/>
    <cellStyle name="Comma 13 6 3 6" xfId="971" xr:uid="{00000000-0005-0000-0000-0000A1030000}"/>
    <cellStyle name="Comma 13 6 4" xfId="972" xr:uid="{00000000-0005-0000-0000-0000A2030000}"/>
    <cellStyle name="Comma 13 6 5" xfId="973" xr:uid="{00000000-0005-0000-0000-0000A3030000}"/>
    <cellStyle name="Comma 13 6 6" xfId="974" xr:uid="{00000000-0005-0000-0000-0000A4030000}"/>
    <cellStyle name="Comma 13 6 7" xfId="975" xr:uid="{00000000-0005-0000-0000-0000A5030000}"/>
    <cellStyle name="Comma 13 6 8" xfId="976" xr:uid="{00000000-0005-0000-0000-0000A6030000}"/>
    <cellStyle name="Comma 13 7" xfId="977" xr:uid="{00000000-0005-0000-0000-0000A7030000}"/>
    <cellStyle name="Comma 13 7 2" xfId="978" xr:uid="{00000000-0005-0000-0000-0000A8030000}"/>
    <cellStyle name="Comma 13 7 3" xfId="979" xr:uid="{00000000-0005-0000-0000-0000A9030000}"/>
    <cellStyle name="Comma 13 7 4" xfId="980" xr:uid="{00000000-0005-0000-0000-0000AA030000}"/>
    <cellStyle name="Comma 13 7 5" xfId="981" xr:uid="{00000000-0005-0000-0000-0000AB030000}"/>
    <cellStyle name="Comma 13 7 6" xfId="982" xr:uid="{00000000-0005-0000-0000-0000AC030000}"/>
    <cellStyle name="Comma 13 8" xfId="983" xr:uid="{00000000-0005-0000-0000-0000AD030000}"/>
    <cellStyle name="Comma 13 8 2" xfId="984" xr:uid="{00000000-0005-0000-0000-0000AE030000}"/>
    <cellStyle name="Comma 13 8 3" xfId="985" xr:uid="{00000000-0005-0000-0000-0000AF030000}"/>
    <cellStyle name="Comma 13 8 4" xfId="986" xr:uid="{00000000-0005-0000-0000-0000B0030000}"/>
    <cellStyle name="Comma 13 8 5" xfId="987" xr:uid="{00000000-0005-0000-0000-0000B1030000}"/>
    <cellStyle name="Comma 13 8 6" xfId="988" xr:uid="{00000000-0005-0000-0000-0000B2030000}"/>
    <cellStyle name="Comma 13 9" xfId="989" xr:uid="{00000000-0005-0000-0000-0000B3030000}"/>
    <cellStyle name="Comma 14" xfId="990" xr:uid="{00000000-0005-0000-0000-0000B4030000}"/>
    <cellStyle name="Comma 14 2" xfId="991" xr:uid="{00000000-0005-0000-0000-0000B5030000}"/>
    <cellStyle name="Comma 14 2 2" xfId="992" xr:uid="{00000000-0005-0000-0000-0000B6030000}"/>
    <cellStyle name="Comma 14 3" xfId="993" xr:uid="{00000000-0005-0000-0000-0000B7030000}"/>
    <cellStyle name="Comma 15" xfId="994" xr:uid="{00000000-0005-0000-0000-0000B8030000}"/>
    <cellStyle name="Comma 15 10" xfId="995" xr:uid="{00000000-0005-0000-0000-0000B9030000}"/>
    <cellStyle name="Comma 15 11" xfId="996" xr:uid="{00000000-0005-0000-0000-0000BA030000}"/>
    <cellStyle name="Comma 15 12" xfId="997" xr:uid="{00000000-0005-0000-0000-0000BB030000}"/>
    <cellStyle name="Comma 15 13" xfId="998" xr:uid="{00000000-0005-0000-0000-0000BC030000}"/>
    <cellStyle name="Comma 15 2" xfId="999" xr:uid="{00000000-0005-0000-0000-0000BD030000}"/>
    <cellStyle name="Comma 15 2 2" xfId="1000" xr:uid="{00000000-0005-0000-0000-0000BE030000}"/>
    <cellStyle name="Comma 15 3" xfId="1001" xr:uid="{00000000-0005-0000-0000-0000BF030000}"/>
    <cellStyle name="Comma 15 4" xfId="1002" xr:uid="{00000000-0005-0000-0000-0000C0030000}"/>
    <cellStyle name="Comma 15 4 2" xfId="1003" xr:uid="{00000000-0005-0000-0000-0000C1030000}"/>
    <cellStyle name="Comma 15 4 2 2" xfId="1004" xr:uid="{00000000-0005-0000-0000-0000C2030000}"/>
    <cellStyle name="Comma 15 4 2 3" xfId="1005" xr:uid="{00000000-0005-0000-0000-0000C3030000}"/>
    <cellStyle name="Comma 15 4 2 4" xfId="1006" xr:uid="{00000000-0005-0000-0000-0000C4030000}"/>
    <cellStyle name="Comma 15 4 2 5" xfId="1007" xr:uid="{00000000-0005-0000-0000-0000C5030000}"/>
    <cellStyle name="Comma 15 4 2 6" xfId="1008" xr:uid="{00000000-0005-0000-0000-0000C6030000}"/>
    <cellStyle name="Comma 15 4 3" xfId="1009" xr:uid="{00000000-0005-0000-0000-0000C7030000}"/>
    <cellStyle name="Comma 15 4 3 2" xfId="1010" xr:uid="{00000000-0005-0000-0000-0000C8030000}"/>
    <cellStyle name="Comma 15 4 3 3" xfId="1011" xr:uid="{00000000-0005-0000-0000-0000C9030000}"/>
    <cellStyle name="Comma 15 4 3 4" xfId="1012" xr:uid="{00000000-0005-0000-0000-0000CA030000}"/>
    <cellStyle name="Comma 15 4 3 5" xfId="1013" xr:uid="{00000000-0005-0000-0000-0000CB030000}"/>
    <cellStyle name="Comma 15 4 3 6" xfId="1014" xr:uid="{00000000-0005-0000-0000-0000CC030000}"/>
    <cellStyle name="Comma 15 4 4" xfId="1015" xr:uid="{00000000-0005-0000-0000-0000CD030000}"/>
    <cellStyle name="Comma 15 4 5" xfId="1016" xr:uid="{00000000-0005-0000-0000-0000CE030000}"/>
    <cellStyle name="Comma 15 4 6" xfId="1017" xr:uid="{00000000-0005-0000-0000-0000CF030000}"/>
    <cellStyle name="Comma 15 4 7" xfId="1018" xr:uid="{00000000-0005-0000-0000-0000D0030000}"/>
    <cellStyle name="Comma 15 4 8" xfId="1019" xr:uid="{00000000-0005-0000-0000-0000D1030000}"/>
    <cellStyle name="Comma 15 5" xfId="1020" xr:uid="{00000000-0005-0000-0000-0000D2030000}"/>
    <cellStyle name="Comma 15 5 2" xfId="1021" xr:uid="{00000000-0005-0000-0000-0000D3030000}"/>
    <cellStyle name="Comma 15 5 2 2" xfId="1022" xr:uid="{00000000-0005-0000-0000-0000D4030000}"/>
    <cellStyle name="Comma 15 5 2 3" xfId="1023" xr:uid="{00000000-0005-0000-0000-0000D5030000}"/>
    <cellStyle name="Comma 15 5 2 4" xfId="1024" xr:uid="{00000000-0005-0000-0000-0000D6030000}"/>
    <cellStyle name="Comma 15 5 2 5" xfId="1025" xr:uid="{00000000-0005-0000-0000-0000D7030000}"/>
    <cellStyle name="Comma 15 5 2 6" xfId="1026" xr:uid="{00000000-0005-0000-0000-0000D8030000}"/>
    <cellStyle name="Comma 15 5 3" xfId="1027" xr:uid="{00000000-0005-0000-0000-0000D9030000}"/>
    <cellStyle name="Comma 15 5 3 2" xfId="1028" xr:uid="{00000000-0005-0000-0000-0000DA030000}"/>
    <cellStyle name="Comma 15 5 3 3" xfId="1029" xr:uid="{00000000-0005-0000-0000-0000DB030000}"/>
    <cellStyle name="Comma 15 5 3 4" xfId="1030" xr:uid="{00000000-0005-0000-0000-0000DC030000}"/>
    <cellStyle name="Comma 15 5 3 5" xfId="1031" xr:uid="{00000000-0005-0000-0000-0000DD030000}"/>
    <cellStyle name="Comma 15 5 3 6" xfId="1032" xr:uid="{00000000-0005-0000-0000-0000DE030000}"/>
    <cellStyle name="Comma 15 5 4" xfId="1033" xr:uid="{00000000-0005-0000-0000-0000DF030000}"/>
    <cellStyle name="Comma 15 5 5" xfId="1034" xr:uid="{00000000-0005-0000-0000-0000E0030000}"/>
    <cellStyle name="Comma 15 5 6" xfId="1035" xr:uid="{00000000-0005-0000-0000-0000E1030000}"/>
    <cellStyle name="Comma 15 5 7" xfId="1036" xr:uid="{00000000-0005-0000-0000-0000E2030000}"/>
    <cellStyle name="Comma 15 5 8" xfId="1037" xr:uid="{00000000-0005-0000-0000-0000E3030000}"/>
    <cellStyle name="Comma 15 6" xfId="1038" xr:uid="{00000000-0005-0000-0000-0000E4030000}"/>
    <cellStyle name="Comma 15 6 2" xfId="1039" xr:uid="{00000000-0005-0000-0000-0000E5030000}"/>
    <cellStyle name="Comma 15 6 2 2" xfId="1040" xr:uid="{00000000-0005-0000-0000-0000E6030000}"/>
    <cellStyle name="Comma 15 6 2 3" xfId="1041" xr:uid="{00000000-0005-0000-0000-0000E7030000}"/>
    <cellStyle name="Comma 15 6 2 4" xfId="1042" xr:uid="{00000000-0005-0000-0000-0000E8030000}"/>
    <cellStyle name="Comma 15 6 2 5" xfId="1043" xr:uid="{00000000-0005-0000-0000-0000E9030000}"/>
    <cellStyle name="Comma 15 6 2 6" xfId="1044" xr:uid="{00000000-0005-0000-0000-0000EA030000}"/>
    <cellStyle name="Comma 15 6 3" xfId="1045" xr:uid="{00000000-0005-0000-0000-0000EB030000}"/>
    <cellStyle name="Comma 15 6 3 2" xfId="1046" xr:uid="{00000000-0005-0000-0000-0000EC030000}"/>
    <cellStyle name="Comma 15 6 3 3" xfId="1047" xr:uid="{00000000-0005-0000-0000-0000ED030000}"/>
    <cellStyle name="Comma 15 6 3 4" xfId="1048" xr:uid="{00000000-0005-0000-0000-0000EE030000}"/>
    <cellStyle name="Comma 15 6 3 5" xfId="1049" xr:uid="{00000000-0005-0000-0000-0000EF030000}"/>
    <cellStyle name="Comma 15 6 3 6" xfId="1050" xr:uid="{00000000-0005-0000-0000-0000F0030000}"/>
    <cellStyle name="Comma 15 6 4" xfId="1051" xr:uid="{00000000-0005-0000-0000-0000F1030000}"/>
    <cellStyle name="Comma 15 6 5" xfId="1052" xr:uid="{00000000-0005-0000-0000-0000F2030000}"/>
    <cellStyle name="Comma 15 6 6" xfId="1053" xr:uid="{00000000-0005-0000-0000-0000F3030000}"/>
    <cellStyle name="Comma 15 6 7" xfId="1054" xr:uid="{00000000-0005-0000-0000-0000F4030000}"/>
    <cellStyle name="Comma 15 6 8" xfId="1055" xr:uid="{00000000-0005-0000-0000-0000F5030000}"/>
    <cellStyle name="Comma 15 7" xfId="1056" xr:uid="{00000000-0005-0000-0000-0000F6030000}"/>
    <cellStyle name="Comma 15 7 2" xfId="1057" xr:uid="{00000000-0005-0000-0000-0000F7030000}"/>
    <cellStyle name="Comma 15 7 3" xfId="1058" xr:uid="{00000000-0005-0000-0000-0000F8030000}"/>
    <cellStyle name="Comma 15 7 4" xfId="1059" xr:uid="{00000000-0005-0000-0000-0000F9030000}"/>
    <cellStyle name="Comma 15 7 5" xfId="1060" xr:uid="{00000000-0005-0000-0000-0000FA030000}"/>
    <cellStyle name="Comma 15 7 6" xfId="1061" xr:uid="{00000000-0005-0000-0000-0000FB030000}"/>
    <cellStyle name="Comma 15 8" xfId="1062" xr:uid="{00000000-0005-0000-0000-0000FC030000}"/>
    <cellStyle name="Comma 15 8 2" xfId="1063" xr:uid="{00000000-0005-0000-0000-0000FD030000}"/>
    <cellStyle name="Comma 15 8 3" xfId="1064" xr:uid="{00000000-0005-0000-0000-0000FE030000}"/>
    <cellStyle name="Comma 15 8 4" xfId="1065" xr:uid="{00000000-0005-0000-0000-0000FF030000}"/>
    <cellStyle name="Comma 15 8 5" xfId="1066" xr:uid="{00000000-0005-0000-0000-000000040000}"/>
    <cellStyle name="Comma 15 8 6" xfId="1067" xr:uid="{00000000-0005-0000-0000-000001040000}"/>
    <cellStyle name="Comma 15 9" xfId="1068" xr:uid="{00000000-0005-0000-0000-000002040000}"/>
    <cellStyle name="Comma 16" xfId="1069" xr:uid="{00000000-0005-0000-0000-000003040000}"/>
    <cellStyle name="Comma 16 2" xfId="1070" xr:uid="{00000000-0005-0000-0000-000004040000}"/>
    <cellStyle name="Comma 16 2 2" xfId="1071" xr:uid="{00000000-0005-0000-0000-000005040000}"/>
    <cellStyle name="Comma 16 3" xfId="1072" xr:uid="{00000000-0005-0000-0000-000006040000}"/>
    <cellStyle name="Comma 17" xfId="6" xr:uid="{00000000-0005-0000-0000-000007040000}"/>
    <cellStyle name="Comma 17 2" xfId="1073" xr:uid="{00000000-0005-0000-0000-000008040000}"/>
    <cellStyle name="Comma 17 2 2" xfId="1074" xr:uid="{00000000-0005-0000-0000-000009040000}"/>
    <cellStyle name="Comma 17 3" xfId="1075" xr:uid="{00000000-0005-0000-0000-00000A040000}"/>
    <cellStyle name="Comma 18" xfId="1076" xr:uid="{00000000-0005-0000-0000-00000B040000}"/>
    <cellStyle name="Comma 18 2" xfId="1077" xr:uid="{00000000-0005-0000-0000-00000C040000}"/>
    <cellStyle name="Comma 18 2 2" xfId="1078" xr:uid="{00000000-0005-0000-0000-00000D040000}"/>
    <cellStyle name="Comma 18 3" xfId="1079" xr:uid="{00000000-0005-0000-0000-00000E040000}"/>
    <cellStyle name="Comma 19" xfId="1080" xr:uid="{00000000-0005-0000-0000-00000F040000}"/>
    <cellStyle name="Comma 19 2" xfId="1081" xr:uid="{00000000-0005-0000-0000-000010040000}"/>
    <cellStyle name="Comma 19 2 2" xfId="1082" xr:uid="{00000000-0005-0000-0000-000011040000}"/>
    <cellStyle name="Comma 19 3" xfId="1083" xr:uid="{00000000-0005-0000-0000-000012040000}"/>
    <cellStyle name="Comma 2" xfId="7" xr:uid="{00000000-0005-0000-0000-000013040000}"/>
    <cellStyle name="Comma 2 10" xfId="1084" xr:uid="{00000000-0005-0000-0000-000014040000}"/>
    <cellStyle name="Comma 2 11" xfId="40907" xr:uid="{00000000-0005-0000-0000-000015040000}"/>
    <cellStyle name="Comma 2 2" xfId="1085" xr:uid="{00000000-0005-0000-0000-000016040000}"/>
    <cellStyle name="Comma 2 2 10" xfId="1086" xr:uid="{00000000-0005-0000-0000-000017040000}"/>
    <cellStyle name="Comma 2 2 11" xfId="1087" xr:uid="{00000000-0005-0000-0000-000018040000}"/>
    <cellStyle name="Comma 2 2 12" xfId="1088" xr:uid="{00000000-0005-0000-0000-000019040000}"/>
    <cellStyle name="Comma 2 2 13" xfId="1089" xr:uid="{00000000-0005-0000-0000-00001A040000}"/>
    <cellStyle name="Comma 2 2 14" xfId="1090" xr:uid="{00000000-0005-0000-0000-00001B040000}"/>
    <cellStyle name="Comma 2 2 15" xfId="1091" xr:uid="{00000000-0005-0000-0000-00001C040000}"/>
    <cellStyle name="Comma 2 2 16" xfId="40911" xr:uid="{F069360B-8B05-41D6-9A88-FEE1B02AC699}"/>
    <cellStyle name="Comma 2 2 2" xfId="8" xr:uid="{00000000-0005-0000-0000-00001D040000}"/>
    <cellStyle name="Comma 2 2 2 10" xfId="1092" xr:uid="{00000000-0005-0000-0000-00001E040000}"/>
    <cellStyle name="Comma 2 2 2 11" xfId="1093" xr:uid="{00000000-0005-0000-0000-00001F040000}"/>
    <cellStyle name="Comma 2 2 2 12" xfId="1094" xr:uid="{00000000-0005-0000-0000-000020040000}"/>
    <cellStyle name="Comma 2 2 2 2" xfId="1095" xr:uid="{00000000-0005-0000-0000-000021040000}"/>
    <cellStyle name="Comma 2 2 2 2 2" xfId="1096" xr:uid="{00000000-0005-0000-0000-000022040000}"/>
    <cellStyle name="Comma 2 2 2 3" xfId="1097" xr:uid="{00000000-0005-0000-0000-000023040000}"/>
    <cellStyle name="Comma 2 2 2 3 2" xfId="1098" xr:uid="{00000000-0005-0000-0000-000024040000}"/>
    <cellStyle name="Comma 2 2 2 3 2 2" xfId="1099" xr:uid="{00000000-0005-0000-0000-000025040000}"/>
    <cellStyle name="Comma 2 2 2 3 3" xfId="1100" xr:uid="{00000000-0005-0000-0000-000026040000}"/>
    <cellStyle name="Comma 2 2 2 3 4" xfId="1101" xr:uid="{00000000-0005-0000-0000-000027040000}"/>
    <cellStyle name="Comma 2 2 2 4" xfId="1102" xr:uid="{00000000-0005-0000-0000-000028040000}"/>
    <cellStyle name="Comma 2 2 2 5" xfId="1103" xr:uid="{00000000-0005-0000-0000-000029040000}"/>
    <cellStyle name="Comma 2 2 2 6" xfId="1104" xr:uid="{00000000-0005-0000-0000-00002A040000}"/>
    <cellStyle name="Comma 2 2 2 7" xfId="1105" xr:uid="{00000000-0005-0000-0000-00002B040000}"/>
    <cellStyle name="Comma 2 2 2 8" xfId="1106" xr:uid="{00000000-0005-0000-0000-00002C040000}"/>
    <cellStyle name="Comma 2 2 2 9" xfId="1107" xr:uid="{00000000-0005-0000-0000-00002D040000}"/>
    <cellStyle name="Comma 2 2 3" xfId="1108" xr:uid="{00000000-0005-0000-0000-00002E040000}"/>
    <cellStyle name="Comma 2 2 3 10" xfId="1109" xr:uid="{00000000-0005-0000-0000-00002F040000}"/>
    <cellStyle name="Comma 2 2 3 2" xfId="1110" xr:uid="{00000000-0005-0000-0000-000030040000}"/>
    <cellStyle name="Comma 2 2 3 3" xfId="1111" xr:uid="{00000000-0005-0000-0000-000031040000}"/>
    <cellStyle name="Comma 2 2 3 3 2" xfId="1112" xr:uid="{00000000-0005-0000-0000-000032040000}"/>
    <cellStyle name="Comma 2 2 3 3 3" xfId="1113" xr:uid="{00000000-0005-0000-0000-000033040000}"/>
    <cellStyle name="Comma 2 2 3 3 4" xfId="1114" xr:uid="{00000000-0005-0000-0000-000034040000}"/>
    <cellStyle name="Comma 2 2 3 4" xfId="1115" xr:uid="{00000000-0005-0000-0000-000035040000}"/>
    <cellStyle name="Comma 2 2 3 5" xfId="1116" xr:uid="{00000000-0005-0000-0000-000036040000}"/>
    <cellStyle name="Comma 2 2 3 6" xfId="1117" xr:uid="{00000000-0005-0000-0000-000037040000}"/>
    <cellStyle name="Comma 2 2 3 7" xfId="1118" xr:uid="{00000000-0005-0000-0000-000038040000}"/>
    <cellStyle name="Comma 2 2 3 8" xfId="1119" xr:uid="{00000000-0005-0000-0000-000039040000}"/>
    <cellStyle name="Comma 2 2 3 9" xfId="1120" xr:uid="{00000000-0005-0000-0000-00003A040000}"/>
    <cellStyle name="Comma 2 2 4" xfId="1121" xr:uid="{00000000-0005-0000-0000-00003B040000}"/>
    <cellStyle name="Comma 2 2 4 2" xfId="1122" xr:uid="{00000000-0005-0000-0000-00003C040000}"/>
    <cellStyle name="Comma 2 2 5" xfId="1123" xr:uid="{00000000-0005-0000-0000-00003D040000}"/>
    <cellStyle name="Comma 2 2 5 2" xfId="1124" xr:uid="{00000000-0005-0000-0000-00003E040000}"/>
    <cellStyle name="Comma 2 2 5 3" xfId="1125" xr:uid="{00000000-0005-0000-0000-00003F040000}"/>
    <cellStyle name="Comma 2 2 5 4" xfId="1126" xr:uid="{00000000-0005-0000-0000-000040040000}"/>
    <cellStyle name="Comma 2 2 6" xfId="1127" xr:uid="{00000000-0005-0000-0000-000041040000}"/>
    <cellStyle name="Comma 2 2 7" xfId="1128" xr:uid="{00000000-0005-0000-0000-000042040000}"/>
    <cellStyle name="Comma 2 2 8" xfId="1129" xr:uid="{00000000-0005-0000-0000-000043040000}"/>
    <cellStyle name="Comma 2 2 8 2" xfId="1130" xr:uid="{00000000-0005-0000-0000-000044040000}"/>
    <cellStyle name="Comma 2 2 9" xfId="1131" xr:uid="{00000000-0005-0000-0000-000045040000}"/>
    <cellStyle name="Comma 2 3" xfId="9" xr:uid="{00000000-0005-0000-0000-000046040000}"/>
    <cellStyle name="Comma 2 3 10" xfId="1132" xr:uid="{00000000-0005-0000-0000-000047040000}"/>
    <cellStyle name="Comma 2 3 2" xfId="1133" xr:uid="{00000000-0005-0000-0000-000048040000}"/>
    <cellStyle name="Comma 2 3 3" xfId="1134" xr:uid="{00000000-0005-0000-0000-000049040000}"/>
    <cellStyle name="Comma 2 3 4" xfId="1135" xr:uid="{00000000-0005-0000-0000-00004A040000}"/>
    <cellStyle name="Comma 2 3 5" xfId="1136" xr:uid="{00000000-0005-0000-0000-00004B040000}"/>
    <cellStyle name="Comma 2 3 6" xfId="1137" xr:uid="{00000000-0005-0000-0000-00004C040000}"/>
    <cellStyle name="Comma 2 3 7" xfId="1138" xr:uid="{00000000-0005-0000-0000-00004D040000}"/>
    <cellStyle name="Comma 2 3 8" xfId="1139" xr:uid="{00000000-0005-0000-0000-00004E040000}"/>
    <cellStyle name="Comma 2 3 9" xfId="1140" xr:uid="{00000000-0005-0000-0000-00004F040000}"/>
    <cellStyle name="Comma 2 4" xfId="1141" xr:uid="{00000000-0005-0000-0000-000050040000}"/>
    <cellStyle name="Comma 2 4 10" xfId="1142" xr:uid="{00000000-0005-0000-0000-000051040000}"/>
    <cellStyle name="Comma 2 4 2" xfId="1143" xr:uid="{00000000-0005-0000-0000-000052040000}"/>
    <cellStyle name="Comma 2 4 2 2" xfId="1144" xr:uid="{00000000-0005-0000-0000-000053040000}"/>
    <cellStyle name="Comma 2 4 3" xfId="1145" xr:uid="{00000000-0005-0000-0000-000054040000}"/>
    <cellStyle name="Comma 2 4 3 2" xfId="1146" xr:uid="{00000000-0005-0000-0000-000055040000}"/>
    <cellStyle name="Comma 2 4 3 3" xfId="1147" xr:uid="{00000000-0005-0000-0000-000056040000}"/>
    <cellStyle name="Comma 2 4 3 4" xfId="1148" xr:uid="{00000000-0005-0000-0000-000057040000}"/>
    <cellStyle name="Comma 2 4 4" xfId="1149" xr:uid="{00000000-0005-0000-0000-000058040000}"/>
    <cellStyle name="Comma 2 4 5" xfId="1150" xr:uid="{00000000-0005-0000-0000-000059040000}"/>
    <cellStyle name="Comma 2 4 6" xfId="1151" xr:uid="{00000000-0005-0000-0000-00005A040000}"/>
    <cellStyle name="Comma 2 4 7" xfId="1152" xr:uid="{00000000-0005-0000-0000-00005B040000}"/>
    <cellStyle name="Comma 2 4 8" xfId="1153" xr:uid="{00000000-0005-0000-0000-00005C040000}"/>
    <cellStyle name="Comma 2 4 9" xfId="1154" xr:uid="{00000000-0005-0000-0000-00005D040000}"/>
    <cellStyle name="Comma 2 5" xfId="1155" xr:uid="{00000000-0005-0000-0000-00005E040000}"/>
    <cellStyle name="Comma 2 5 2" xfId="1156" xr:uid="{00000000-0005-0000-0000-00005F040000}"/>
    <cellStyle name="Comma 2 5 2 10" xfId="1157" xr:uid="{00000000-0005-0000-0000-000060040000}"/>
    <cellStyle name="Comma 2 5 2 11" xfId="1158" xr:uid="{00000000-0005-0000-0000-000061040000}"/>
    <cellStyle name="Comma 2 5 2 2" xfId="1159" xr:uid="{00000000-0005-0000-0000-000062040000}"/>
    <cellStyle name="Comma 2 5 2 2 2" xfId="1160" xr:uid="{00000000-0005-0000-0000-000063040000}"/>
    <cellStyle name="Comma 2 5 2 2 2 2" xfId="1161" xr:uid="{00000000-0005-0000-0000-000064040000}"/>
    <cellStyle name="Comma 2 5 2 2 2 3" xfId="1162" xr:uid="{00000000-0005-0000-0000-000065040000}"/>
    <cellStyle name="Comma 2 5 2 2 2 4" xfId="1163" xr:uid="{00000000-0005-0000-0000-000066040000}"/>
    <cellStyle name="Comma 2 5 2 2 2 5" xfId="1164" xr:uid="{00000000-0005-0000-0000-000067040000}"/>
    <cellStyle name="Comma 2 5 2 2 2 6" xfId="1165" xr:uid="{00000000-0005-0000-0000-000068040000}"/>
    <cellStyle name="Comma 2 5 2 2 3" xfId="1166" xr:uid="{00000000-0005-0000-0000-000069040000}"/>
    <cellStyle name="Comma 2 5 2 2 3 2" xfId="1167" xr:uid="{00000000-0005-0000-0000-00006A040000}"/>
    <cellStyle name="Comma 2 5 2 2 3 3" xfId="1168" xr:uid="{00000000-0005-0000-0000-00006B040000}"/>
    <cellStyle name="Comma 2 5 2 2 3 4" xfId="1169" xr:uid="{00000000-0005-0000-0000-00006C040000}"/>
    <cellStyle name="Comma 2 5 2 2 3 5" xfId="1170" xr:uid="{00000000-0005-0000-0000-00006D040000}"/>
    <cellStyle name="Comma 2 5 2 2 3 6" xfId="1171" xr:uid="{00000000-0005-0000-0000-00006E040000}"/>
    <cellStyle name="Comma 2 5 2 2 4" xfId="1172" xr:uid="{00000000-0005-0000-0000-00006F040000}"/>
    <cellStyle name="Comma 2 5 2 2 5" xfId="1173" xr:uid="{00000000-0005-0000-0000-000070040000}"/>
    <cellStyle name="Comma 2 5 2 2 6" xfId="1174" xr:uid="{00000000-0005-0000-0000-000071040000}"/>
    <cellStyle name="Comma 2 5 2 2 7" xfId="1175" xr:uid="{00000000-0005-0000-0000-000072040000}"/>
    <cellStyle name="Comma 2 5 2 2 8" xfId="1176" xr:uid="{00000000-0005-0000-0000-000073040000}"/>
    <cellStyle name="Comma 2 5 2 3" xfId="1177" xr:uid="{00000000-0005-0000-0000-000074040000}"/>
    <cellStyle name="Comma 2 5 2 3 2" xfId="1178" xr:uid="{00000000-0005-0000-0000-000075040000}"/>
    <cellStyle name="Comma 2 5 2 3 2 2" xfId="1179" xr:uid="{00000000-0005-0000-0000-000076040000}"/>
    <cellStyle name="Comma 2 5 2 3 2 3" xfId="1180" xr:uid="{00000000-0005-0000-0000-000077040000}"/>
    <cellStyle name="Comma 2 5 2 3 2 4" xfId="1181" xr:uid="{00000000-0005-0000-0000-000078040000}"/>
    <cellStyle name="Comma 2 5 2 3 2 5" xfId="1182" xr:uid="{00000000-0005-0000-0000-000079040000}"/>
    <cellStyle name="Comma 2 5 2 3 2 6" xfId="1183" xr:uid="{00000000-0005-0000-0000-00007A040000}"/>
    <cellStyle name="Comma 2 5 2 3 3" xfId="1184" xr:uid="{00000000-0005-0000-0000-00007B040000}"/>
    <cellStyle name="Comma 2 5 2 3 3 2" xfId="1185" xr:uid="{00000000-0005-0000-0000-00007C040000}"/>
    <cellStyle name="Comma 2 5 2 3 3 3" xfId="1186" xr:uid="{00000000-0005-0000-0000-00007D040000}"/>
    <cellStyle name="Comma 2 5 2 3 3 4" xfId="1187" xr:uid="{00000000-0005-0000-0000-00007E040000}"/>
    <cellStyle name="Comma 2 5 2 3 3 5" xfId="1188" xr:uid="{00000000-0005-0000-0000-00007F040000}"/>
    <cellStyle name="Comma 2 5 2 3 3 6" xfId="1189" xr:uid="{00000000-0005-0000-0000-000080040000}"/>
    <cellStyle name="Comma 2 5 2 3 4" xfId="1190" xr:uid="{00000000-0005-0000-0000-000081040000}"/>
    <cellStyle name="Comma 2 5 2 3 5" xfId="1191" xr:uid="{00000000-0005-0000-0000-000082040000}"/>
    <cellStyle name="Comma 2 5 2 3 6" xfId="1192" xr:uid="{00000000-0005-0000-0000-000083040000}"/>
    <cellStyle name="Comma 2 5 2 3 7" xfId="1193" xr:uid="{00000000-0005-0000-0000-000084040000}"/>
    <cellStyle name="Comma 2 5 2 3 8" xfId="1194" xr:uid="{00000000-0005-0000-0000-000085040000}"/>
    <cellStyle name="Comma 2 5 2 4" xfId="1195" xr:uid="{00000000-0005-0000-0000-000086040000}"/>
    <cellStyle name="Comma 2 5 2 4 2" xfId="1196" xr:uid="{00000000-0005-0000-0000-000087040000}"/>
    <cellStyle name="Comma 2 5 2 4 2 2" xfId="1197" xr:uid="{00000000-0005-0000-0000-000088040000}"/>
    <cellStyle name="Comma 2 5 2 4 2 3" xfId="1198" xr:uid="{00000000-0005-0000-0000-000089040000}"/>
    <cellStyle name="Comma 2 5 2 4 2 4" xfId="1199" xr:uid="{00000000-0005-0000-0000-00008A040000}"/>
    <cellStyle name="Comma 2 5 2 4 2 5" xfId="1200" xr:uid="{00000000-0005-0000-0000-00008B040000}"/>
    <cellStyle name="Comma 2 5 2 4 2 6" xfId="1201" xr:uid="{00000000-0005-0000-0000-00008C040000}"/>
    <cellStyle name="Comma 2 5 2 4 3" xfId="1202" xr:uid="{00000000-0005-0000-0000-00008D040000}"/>
    <cellStyle name="Comma 2 5 2 4 3 2" xfId="1203" xr:uid="{00000000-0005-0000-0000-00008E040000}"/>
    <cellStyle name="Comma 2 5 2 4 3 3" xfId="1204" xr:uid="{00000000-0005-0000-0000-00008F040000}"/>
    <cellStyle name="Comma 2 5 2 4 3 4" xfId="1205" xr:uid="{00000000-0005-0000-0000-000090040000}"/>
    <cellStyle name="Comma 2 5 2 4 3 5" xfId="1206" xr:uid="{00000000-0005-0000-0000-000091040000}"/>
    <cellStyle name="Comma 2 5 2 4 3 6" xfId="1207" xr:uid="{00000000-0005-0000-0000-000092040000}"/>
    <cellStyle name="Comma 2 5 2 4 4" xfId="1208" xr:uid="{00000000-0005-0000-0000-000093040000}"/>
    <cellStyle name="Comma 2 5 2 4 5" xfId="1209" xr:uid="{00000000-0005-0000-0000-000094040000}"/>
    <cellStyle name="Comma 2 5 2 4 6" xfId="1210" xr:uid="{00000000-0005-0000-0000-000095040000}"/>
    <cellStyle name="Comma 2 5 2 4 7" xfId="1211" xr:uid="{00000000-0005-0000-0000-000096040000}"/>
    <cellStyle name="Comma 2 5 2 4 8" xfId="1212" xr:uid="{00000000-0005-0000-0000-000097040000}"/>
    <cellStyle name="Comma 2 5 2 5" xfId="1213" xr:uid="{00000000-0005-0000-0000-000098040000}"/>
    <cellStyle name="Comma 2 5 2 5 2" xfId="1214" xr:uid="{00000000-0005-0000-0000-000099040000}"/>
    <cellStyle name="Comma 2 5 2 5 3" xfId="1215" xr:uid="{00000000-0005-0000-0000-00009A040000}"/>
    <cellStyle name="Comma 2 5 2 5 4" xfId="1216" xr:uid="{00000000-0005-0000-0000-00009B040000}"/>
    <cellStyle name="Comma 2 5 2 5 5" xfId="1217" xr:uid="{00000000-0005-0000-0000-00009C040000}"/>
    <cellStyle name="Comma 2 5 2 5 6" xfId="1218" xr:uid="{00000000-0005-0000-0000-00009D040000}"/>
    <cellStyle name="Comma 2 5 2 6" xfId="1219" xr:uid="{00000000-0005-0000-0000-00009E040000}"/>
    <cellStyle name="Comma 2 5 2 6 2" xfId="1220" xr:uid="{00000000-0005-0000-0000-00009F040000}"/>
    <cellStyle name="Comma 2 5 2 6 3" xfId="1221" xr:uid="{00000000-0005-0000-0000-0000A0040000}"/>
    <cellStyle name="Comma 2 5 2 6 4" xfId="1222" xr:uid="{00000000-0005-0000-0000-0000A1040000}"/>
    <cellStyle name="Comma 2 5 2 6 5" xfId="1223" xr:uid="{00000000-0005-0000-0000-0000A2040000}"/>
    <cellStyle name="Comma 2 5 2 6 6" xfId="1224" xr:uid="{00000000-0005-0000-0000-0000A3040000}"/>
    <cellStyle name="Comma 2 5 2 7" xfId="1225" xr:uid="{00000000-0005-0000-0000-0000A4040000}"/>
    <cellStyle name="Comma 2 5 2 8" xfId="1226" xr:uid="{00000000-0005-0000-0000-0000A5040000}"/>
    <cellStyle name="Comma 2 5 2 9" xfId="1227" xr:uid="{00000000-0005-0000-0000-0000A6040000}"/>
    <cellStyle name="Comma 2 6" xfId="1228" xr:uid="{00000000-0005-0000-0000-0000A7040000}"/>
    <cellStyle name="Comma 2 6 2" xfId="1229" xr:uid="{00000000-0005-0000-0000-0000A8040000}"/>
    <cellStyle name="Comma 2 7" xfId="1230" xr:uid="{00000000-0005-0000-0000-0000A9040000}"/>
    <cellStyle name="Comma 2 8" xfId="1231" xr:uid="{00000000-0005-0000-0000-0000AA040000}"/>
    <cellStyle name="Comma 2 9" xfId="1232" xr:uid="{00000000-0005-0000-0000-0000AB040000}"/>
    <cellStyle name="Comma 20" xfId="1233" xr:uid="{00000000-0005-0000-0000-0000AC040000}"/>
    <cellStyle name="Comma 20 2" xfId="1234" xr:uid="{00000000-0005-0000-0000-0000AD040000}"/>
    <cellStyle name="Comma 20 2 2" xfId="1235" xr:uid="{00000000-0005-0000-0000-0000AE040000}"/>
    <cellStyle name="Comma 20 3" xfId="1236" xr:uid="{00000000-0005-0000-0000-0000AF040000}"/>
    <cellStyle name="Comma 21" xfId="10" xr:uid="{00000000-0005-0000-0000-0000B0040000}"/>
    <cellStyle name="Comma 21 2" xfId="1237" xr:uid="{00000000-0005-0000-0000-0000B1040000}"/>
    <cellStyle name="Comma 21 2 2" xfId="1238" xr:uid="{00000000-0005-0000-0000-0000B2040000}"/>
    <cellStyle name="Comma 21 3" xfId="1239" xr:uid="{00000000-0005-0000-0000-0000B3040000}"/>
    <cellStyle name="Comma 22" xfId="1240" xr:uid="{00000000-0005-0000-0000-0000B4040000}"/>
    <cellStyle name="Comma 22 2" xfId="1241" xr:uid="{00000000-0005-0000-0000-0000B5040000}"/>
    <cellStyle name="Comma 22 2 2" xfId="1242" xr:uid="{00000000-0005-0000-0000-0000B6040000}"/>
    <cellStyle name="Comma 22 3" xfId="1243" xr:uid="{00000000-0005-0000-0000-0000B7040000}"/>
    <cellStyle name="Comma 23" xfId="3" xr:uid="{00000000-0005-0000-0000-0000B8040000}"/>
    <cellStyle name="Comma 23 2" xfId="1244" xr:uid="{00000000-0005-0000-0000-0000B9040000}"/>
    <cellStyle name="Comma 23 2 10" xfId="1245" xr:uid="{00000000-0005-0000-0000-0000BA040000}"/>
    <cellStyle name="Comma 23 2 11" xfId="1246" xr:uid="{00000000-0005-0000-0000-0000BB040000}"/>
    <cellStyle name="Comma 23 2 12" xfId="1247" xr:uid="{00000000-0005-0000-0000-0000BC040000}"/>
    <cellStyle name="Comma 23 2 2" xfId="1248" xr:uid="{00000000-0005-0000-0000-0000BD040000}"/>
    <cellStyle name="Comma 23 2 2 10" xfId="1249" xr:uid="{00000000-0005-0000-0000-0000BE040000}"/>
    <cellStyle name="Comma 23 2 2 11" xfId="1250" xr:uid="{00000000-0005-0000-0000-0000BF040000}"/>
    <cellStyle name="Comma 23 2 2 2" xfId="1251" xr:uid="{00000000-0005-0000-0000-0000C0040000}"/>
    <cellStyle name="Comma 23 2 2 2 2" xfId="1252" xr:uid="{00000000-0005-0000-0000-0000C1040000}"/>
    <cellStyle name="Comma 23 2 2 2 2 2" xfId="1253" xr:uid="{00000000-0005-0000-0000-0000C2040000}"/>
    <cellStyle name="Comma 23 2 2 2 2 3" xfId="1254" xr:uid="{00000000-0005-0000-0000-0000C3040000}"/>
    <cellStyle name="Comma 23 2 2 2 2 4" xfId="1255" xr:uid="{00000000-0005-0000-0000-0000C4040000}"/>
    <cellStyle name="Comma 23 2 2 2 2 5" xfId="1256" xr:uid="{00000000-0005-0000-0000-0000C5040000}"/>
    <cellStyle name="Comma 23 2 2 2 2 6" xfId="1257" xr:uid="{00000000-0005-0000-0000-0000C6040000}"/>
    <cellStyle name="Comma 23 2 2 2 3" xfId="1258" xr:uid="{00000000-0005-0000-0000-0000C7040000}"/>
    <cellStyle name="Comma 23 2 2 2 3 2" xfId="1259" xr:uid="{00000000-0005-0000-0000-0000C8040000}"/>
    <cellStyle name="Comma 23 2 2 2 3 3" xfId="1260" xr:uid="{00000000-0005-0000-0000-0000C9040000}"/>
    <cellStyle name="Comma 23 2 2 2 3 4" xfId="1261" xr:uid="{00000000-0005-0000-0000-0000CA040000}"/>
    <cellStyle name="Comma 23 2 2 2 3 5" xfId="1262" xr:uid="{00000000-0005-0000-0000-0000CB040000}"/>
    <cellStyle name="Comma 23 2 2 2 3 6" xfId="1263" xr:uid="{00000000-0005-0000-0000-0000CC040000}"/>
    <cellStyle name="Comma 23 2 2 2 4" xfId="1264" xr:uid="{00000000-0005-0000-0000-0000CD040000}"/>
    <cellStyle name="Comma 23 2 2 2 5" xfId="1265" xr:uid="{00000000-0005-0000-0000-0000CE040000}"/>
    <cellStyle name="Comma 23 2 2 2 6" xfId="1266" xr:uid="{00000000-0005-0000-0000-0000CF040000}"/>
    <cellStyle name="Comma 23 2 2 2 7" xfId="1267" xr:uid="{00000000-0005-0000-0000-0000D0040000}"/>
    <cellStyle name="Comma 23 2 2 2 8" xfId="1268" xr:uid="{00000000-0005-0000-0000-0000D1040000}"/>
    <cellStyle name="Comma 23 2 2 3" xfId="1269" xr:uid="{00000000-0005-0000-0000-0000D2040000}"/>
    <cellStyle name="Comma 23 2 2 3 2" xfId="1270" xr:uid="{00000000-0005-0000-0000-0000D3040000}"/>
    <cellStyle name="Comma 23 2 2 3 2 2" xfId="1271" xr:uid="{00000000-0005-0000-0000-0000D4040000}"/>
    <cellStyle name="Comma 23 2 2 3 2 3" xfId="1272" xr:uid="{00000000-0005-0000-0000-0000D5040000}"/>
    <cellStyle name="Comma 23 2 2 3 2 4" xfId="1273" xr:uid="{00000000-0005-0000-0000-0000D6040000}"/>
    <cellStyle name="Comma 23 2 2 3 2 5" xfId="1274" xr:uid="{00000000-0005-0000-0000-0000D7040000}"/>
    <cellStyle name="Comma 23 2 2 3 2 6" xfId="1275" xr:uid="{00000000-0005-0000-0000-0000D8040000}"/>
    <cellStyle name="Comma 23 2 2 3 3" xfId="1276" xr:uid="{00000000-0005-0000-0000-0000D9040000}"/>
    <cellStyle name="Comma 23 2 2 3 3 2" xfId="1277" xr:uid="{00000000-0005-0000-0000-0000DA040000}"/>
    <cellStyle name="Comma 23 2 2 3 3 3" xfId="1278" xr:uid="{00000000-0005-0000-0000-0000DB040000}"/>
    <cellStyle name="Comma 23 2 2 3 3 4" xfId="1279" xr:uid="{00000000-0005-0000-0000-0000DC040000}"/>
    <cellStyle name="Comma 23 2 2 3 3 5" xfId="1280" xr:uid="{00000000-0005-0000-0000-0000DD040000}"/>
    <cellStyle name="Comma 23 2 2 3 3 6" xfId="1281" xr:uid="{00000000-0005-0000-0000-0000DE040000}"/>
    <cellStyle name="Comma 23 2 2 3 4" xfId="1282" xr:uid="{00000000-0005-0000-0000-0000DF040000}"/>
    <cellStyle name="Comma 23 2 2 3 5" xfId="1283" xr:uid="{00000000-0005-0000-0000-0000E0040000}"/>
    <cellStyle name="Comma 23 2 2 3 6" xfId="1284" xr:uid="{00000000-0005-0000-0000-0000E1040000}"/>
    <cellStyle name="Comma 23 2 2 3 7" xfId="1285" xr:uid="{00000000-0005-0000-0000-0000E2040000}"/>
    <cellStyle name="Comma 23 2 2 3 8" xfId="1286" xr:uid="{00000000-0005-0000-0000-0000E3040000}"/>
    <cellStyle name="Comma 23 2 2 4" xfId="1287" xr:uid="{00000000-0005-0000-0000-0000E4040000}"/>
    <cellStyle name="Comma 23 2 2 4 2" xfId="1288" xr:uid="{00000000-0005-0000-0000-0000E5040000}"/>
    <cellStyle name="Comma 23 2 2 4 2 2" xfId="1289" xr:uid="{00000000-0005-0000-0000-0000E6040000}"/>
    <cellStyle name="Comma 23 2 2 4 2 3" xfId="1290" xr:uid="{00000000-0005-0000-0000-0000E7040000}"/>
    <cellStyle name="Comma 23 2 2 4 2 4" xfId="1291" xr:uid="{00000000-0005-0000-0000-0000E8040000}"/>
    <cellStyle name="Comma 23 2 2 4 2 5" xfId="1292" xr:uid="{00000000-0005-0000-0000-0000E9040000}"/>
    <cellStyle name="Comma 23 2 2 4 2 6" xfId="1293" xr:uid="{00000000-0005-0000-0000-0000EA040000}"/>
    <cellStyle name="Comma 23 2 2 4 3" xfId="1294" xr:uid="{00000000-0005-0000-0000-0000EB040000}"/>
    <cellStyle name="Comma 23 2 2 4 3 2" xfId="1295" xr:uid="{00000000-0005-0000-0000-0000EC040000}"/>
    <cellStyle name="Comma 23 2 2 4 3 3" xfId="1296" xr:uid="{00000000-0005-0000-0000-0000ED040000}"/>
    <cellStyle name="Comma 23 2 2 4 3 4" xfId="1297" xr:uid="{00000000-0005-0000-0000-0000EE040000}"/>
    <cellStyle name="Comma 23 2 2 4 3 5" xfId="1298" xr:uid="{00000000-0005-0000-0000-0000EF040000}"/>
    <cellStyle name="Comma 23 2 2 4 3 6" xfId="1299" xr:uid="{00000000-0005-0000-0000-0000F0040000}"/>
    <cellStyle name="Comma 23 2 2 4 4" xfId="1300" xr:uid="{00000000-0005-0000-0000-0000F1040000}"/>
    <cellStyle name="Comma 23 2 2 4 5" xfId="1301" xr:uid="{00000000-0005-0000-0000-0000F2040000}"/>
    <cellStyle name="Comma 23 2 2 4 6" xfId="1302" xr:uid="{00000000-0005-0000-0000-0000F3040000}"/>
    <cellStyle name="Comma 23 2 2 4 7" xfId="1303" xr:uid="{00000000-0005-0000-0000-0000F4040000}"/>
    <cellStyle name="Comma 23 2 2 4 8" xfId="1304" xr:uid="{00000000-0005-0000-0000-0000F5040000}"/>
    <cellStyle name="Comma 23 2 2 5" xfId="1305" xr:uid="{00000000-0005-0000-0000-0000F6040000}"/>
    <cellStyle name="Comma 23 2 2 5 2" xfId="1306" xr:uid="{00000000-0005-0000-0000-0000F7040000}"/>
    <cellStyle name="Comma 23 2 2 5 3" xfId="1307" xr:uid="{00000000-0005-0000-0000-0000F8040000}"/>
    <cellStyle name="Comma 23 2 2 5 4" xfId="1308" xr:uid="{00000000-0005-0000-0000-0000F9040000}"/>
    <cellStyle name="Comma 23 2 2 5 5" xfId="1309" xr:uid="{00000000-0005-0000-0000-0000FA040000}"/>
    <cellStyle name="Comma 23 2 2 5 6" xfId="1310" xr:uid="{00000000-0005-0000-0000-0000FB040000}"/>
    <cellStyle name="Comma 23 2 2 6" xfId="1311" xr:uid="{00000000-0005-0000-0000-0000FC040000}"/>
    <cellStyle name="Comma 23 2 2 6 2" xfId="1312" xr:uid="{00000000-0005-0000-0000-0000FD040000}"/>
    <cellStyle name="Comma 23 2 2 6 3" xfId="1313" xr:uid="{00000000-0005-0000-0000-0000FE040000}"/>
    <cellStyle name="Comma 23 2 2 6 4" xfId="1314" xr:uid="{00000000-0005-0000-0000-0000FF040000}"/>
    <cellStyle name="Comma 23 2 2 6 5" xfId="1315" xr:uid="{00000000-0005-0000-0000-000000050000}"/>
    <cellStyle name="Comma 23 2 2 6 6" xfId="1316" xr:uid="{00000000-0005-0000-0000-000001050000}"/>
    <cellStyle name="Comma 23 2 2 7" xfId="1317" xr:uid="{00000000-0005-0000-0000-000002050000}"/>
    <cellStyle name="Comma 23 2 2 8" xfId="1318" xr:uid="{00000000-0005-0000-0000-000003050000}"/>
    <cellStyle name="Comma 23 2 2 9" xfId="1319" xr:uid="{00000000-0005-0000-0000-000004050000}"/>
    <cellStyle name="Comma 23 2 3" xfId="1320" xr:uid="{00000000-0005-0000-0000-000005050000}"/>
    <cellStyle name="Comma 23 2 3 2" xfId="1321" xr:uid="{00000000-0005-0000-0000-000006050000}"/>
    <cellStyle name="Comma 23 2 3 2 2" xfId="1322" xr:uid="{00000000-0005-0000-0000-000007050000}"/>
    <cellStyle name="Comma 23 2 3 2 3" xfId="1323" xr:uid="{00000000-0005-0000-0000-000008050000}"/>
    <cellStyle name="Comma 23 2 3 2 4" xfId="1324" xr:uid="{00000000-0005-0000-0000-000009050000}"/>
    <cellStyle name="Comma 23 2 3 2 5" xfId="1325" xr:uid="{00000000-0005-0000-0000-00000A050000}"/>
    <cellStyle name="Comma 23 2 3 2 6" xfId="1326" xr:uid="{00000000-0005-0000-0000-00000B050000}"/>
    <cellStyle name="Comma 23 2 3 3" xfId="1327" xr:uid="{00000000-0005-0000-0000-00000C050000}"/>
    <cellStyle name="Comma 23 2 3 3 2" xfId="1328" xr:uid="{00000000-0005-0000-0000-00000D050000}"/>
    <cellStyle name="Comma 23 2 3 3 3" xfId="1329" xr:uid="{00000000-0005-0000-0000-00000E050000}"/>
    <cellStyle name="Comma 23 2 3 3 4" xfId="1330" xr:uid="{00000000-0005-0000-0000-00000F050000}"/>
    <cellStyle name="Comma 23 2 3 3 5" xfId="1331" xr:uid="{00000000-0005-0000-0000-000010050000}"/>
    <cellStyle name="Comma 23 2 3 3 6" xfId="1332" xr:uid="{00000000-0005-0000-0000-000011050000}"/>
    <cellStyle name="Comma 23 2 3 4" xfId="1333" xr:uid="{00000000-0005-0000-0000-000012050000}"/>
    <cellStyle name="Comma 23 2 3 5" xfId="1334" xr:uid="{00000000-0005-0000-0000-000013050000}"/>
    <cellStyle name="Comma 23 2 3 6" xfId="1335" xr:uid="{00000000-0005-0000-0000-000014050000}"/>
    <cellStyle name="Comma 23 2 3 7" xfId="1336" xr:uid="{00000000-0005-0000-0000-000015050000}"/>
    <cellStyle name="Comma 23 2 3 8" xfId="1337" xr:uid="{00000000-0005-0000-0000-000016050000}"/>
    <cellStyle name="Comma 23 2 4" xfId="1338" xr:uid="{00000000-0005-0000-0000-000017050000}"/>
    <cellStyle name="Comma 23 2 4 2" xfId="1339" xr:uid="{00000000-0005-0000-0000-000018050000}"/>
    <cellStyle name="Comma 23 2 4 2 2" xfId="1340" xr:uid="{00000000-0005-0000-0000-000019050000}"/>
    <cellStyle name="Comma 23 2 4 2 3" xfId="1341" xr:uid="{00000000-0005-0000-0000-00001A050000}"/>
    <cellStyle name="Comma 23 2 4 2 4" xfId="1342" xr:uid="{00000000-0005-0000-0000-00001B050000}"/>
    <cellStyle name="Comma 23 2 4 2 5" xfId="1343" xr:uid="{00000000-0005-0000-0000-00001C050000}"/>
    <cellStyle name="Comma 23 2 4 2 6" xfId="1344" xr:uid="{00000000-0005-0000-0000-00001D050000}"/>
    <cellStyle name="Comma 23 2 4 3" xfId="1345" xr:uid="{00000000-0005-0000-0000-00001E050000}"/>
    <cellStyle name="Comma 23 2 4 3 2" xfId="1346" xr:uid="{00000000-0005-0000-0000-00001F050000}"/>
    <cellStyle name="Comma 23 2 4 3 3" xfId="1347" xr:uid="{00000000-0005-0000-0000-000020050000}"/>
    <cellStyle name="Comma 23 2 4 3 4" xfId="1348" xr:uid="{00000000-0005-0000-0000-000021050000}"/>
    <cellStyle name="Comma 23 2 4 3 5" xfId="1349" xr:uid="{00000000-0005-0000-0000-000022050000}"/>
    <cellStyle name="Comma 23 2 4 3 6" xfId="1350" xr:uid="{00000000-0005-0000-0000-000023050000}"/>
    <cellStyle name="Comma 23 2 4 4" xfId="1351" xr:uid="{00000000-0005-0000-0000-000024050000}"/>
    <cellStyle name="Comma 23 2 4 5" xfId="1352" xr:uid="{00000000-0005-0000-0000-000025050000}"/>
    <cellStyle name="Comma 23 2 4 6" xfId="1353" xr:uid="{00000000-0005-0000-0000-000026050000}"/>
    <cellStyle name="Comma 23 2 4 7" xfId="1354" xr:uid="{00000000-0005-0000-0000-000027050000}"/>
    <cellStyle name="Comma 23 2 4 8" xfId="1355" xr:uid="{00000000-0005-0000-0000-000028050000}"/>
    <cellStyle name="Comma 23 2 5" xfId="1356" xr:uid="{00000000-0005-0000-0000-000029050000}"/>
    <cellStyle name="Comma 23 2 5 2" xfId="1357" xr:uid="{00000000-0005-0000-0000-00002A050000}"/>
    <cellStyle name="Comma 23 2 5 2 2" xfId="1358" xr:uid="{00000000-0005-0000-0000-00002B050000}"/>
    <cellStyle name="Comma 23 2 5 2 3" xfId="1359" xr:uid="{00000000-0005-0000-0000-00002C050000}"/>
    <cellStyle name="Comma 23 2 5 2 4" xfId="1360" xr:uid="{00000000-0005-0000-0000-00002D050000}"/>
    <cellStyle name="Comma 23 2 5 2 5" xfId="1361" xr:uid="{00000000-0005-0000-0000-00002E050000}"/>
    <cellStyle name="Comma 23 2 5 2 6" xfId="1362" xr:uid="{00000000-0005-0000-0000-00002F050000}"/>
    <cellStyle name="Comma 23 2 5 3" xfId="1363" xr:uid="{00000000-0005-0000-0000-000030050000}"/>
    <cellStyle name="Comma 23 2 5 3 2" xfId="1364" xr:uid="{00000000-0005-0000-0000-000031050000}"/>
    <cellStyle name="Comma 23 2 5 3 3" xfId="1365" xr:uid="{00000000-0005-0000-0000-000032050000}"/>
    <cellStyle name="Comma 23 2 5 3 4" xfId="1366" xr:uid="{00000000-0005-0000-0000-000033050000}"/>
    <cellStyle name="Comma 23 2 5 3 5" xfId="1367" xr:uid="{00000000-0005-0000-0000-000034050000}"/>
    <cellStyle name="Comma 23 2 5 3 6" xfId="1368" xr:uid="{00000000-0005-0000-0000-000035050000}"/>
    <cellStyle name="Comma 23 2 5 4" xfId="1369" xr:uid="{00000000-0005-0000-0000-000036050000}"/>
    <cellStyle name="Comma 23 2 5 5" xfId="1370" xr:uid="{00000000-0005-0000-0000-000037050000}"/>
    <cellStyle name="Comma 23 2 5 6" xfId="1371" xr:uid="{00000000-0005-0000-0000-000038050000}"/>
    <cellStyle name="Comma 23 2 5 7" xfId="1372" xr:uid="{00000000-0005-0000-0000-000039050000}"/>
    <cellStyle name="Comma 23 2 5 8" xfId="1373" xr:uid="{00000000-0005-0000-0000-00003A050000}"/>
    <cellStyle name="Comma 23 2 6" xfId="1374" xr:uid="{00000000-0005-0000-0000-00003B050000}"/>
    <cellStyle name="Comma 23 2 6 2" xfId="1375" xr:uid="{00000000-0005-0000-0000-00003C050000}"/>
    <cellStyle name="Comma 23 2 6 3" xfId="1376" xr:uid="{00000000-0005-0000-0000-00003D050000}"/>
    <cellStyle name="Comma 23 2 6 4" xfId="1377" xr:uid="{00000000-0005-0000-0000-00003E050000}"/>
    <cellStyle name="Comma 23 2 6 5" xfId="1378" xr:uid="{00000000-0005-0000-0000-00003F050000}"/>
    <cellStyle name="Comma 23 2 6 6" xfId="1379" xr:uid="{00000000-0005-0000-0000-000040050000}"/>
    <cellStyle name="Comma 23 2 7" xfId="1380" xr:uid="{00000000-0005-0000-0000-000041050000}"/>
    <cellStyle name="Comma 23 2 7 2" xfId="1381" xr:uid="{00000000-0005-0000-0000-000042050000}"/>
    <cellStyle name="Comma 23 2 7 3" xfId="1382" xr:uid="{00000000-0005-0000-0000-000043050000}"/>
    <cellStyle name="Comma 23 2 7 4" xfId="1383" xr:uid="{00000000-0005-0000-0000-000044050000}"/>
    <cellStyle name="Comma 23 2 7 5" xfId="1384" xr:uid="{00000000-0005-0000-0000-000045050000}"/>
    <cellStyle name="Comma 23 2 7 6" xfId="1385" xr:uid="{00000000-0005-0000-0000-000046050000}"/>
    <cellStyle name="Comma 23 2 8" xfId="1386" xr:uid="{00000000-0005-0000-0000-000047050000}"/>
    <cellStyle name="Comma 23 2 9" xfId="1387" xr:uid="{00000000-0005-0000-0000-000048050000}"/>
    <cellStyle name="Comma 23 3" xfId="1388" xr:uid="{00000000-0005-0000-0000-000049050000}"/>
    <cellStyle name="Comma 23 3 2" xfId="1389" xr:uid="{00000000-0005-0000-0000-00004A050000}"/>
    <cellStyle name="Comma 23 4" xfId="1390" xr:uid="{00000000-0005-0000-0000-00004B050000}"/>
    <cellStyle name="Comma 24" xfId="1391" xr:uid="{00000000-0005-0000-0000-00004C050000}"/>
    <cellStyle name="Comma 24 10" xfId="1392" xr:uid="{00000000-0005-0000-0000-00004D050000}"/>
    <cellStyle name="Comma 24 11" xfId="1393" xr:uid="{00000000-0005-0000-0000-00004E050000}"/>
    <cellStyle name="Comma 24 12" xfId="1394" xr:uid="{00000000-0005-0000-0000-00004F050000}"/>
    <cellStyle name="Comma 24 2" xfId="1395" xr:uid="{00000000-0005-0000-0000-000050050000}"/>
    <cellStyle name="Comma 24 2 10" xfId="1396" xr:uid="{00000000-0005-0000-0000-000051050000}"/>
    <cellStyle name="Comma 24 2 11" xfId="1397" xr:uid="{00000000-0005-0000-0000-000052050000}"/>
    <cellStyle name="Comma 24 2 2" xfId="1398" xr:uid="{00000000-0005-0000-0000-000053050000}"/>
    <cellStyle name="Comma 24 2 2 2" xfId="1399" xr:uid="{00000000-0005-0000-0000-000054050000}"/>
    <cellStyle name="Comma 24 2 2 2 2" xfId="1400" xr:uid="{00000000-0005-0000-0000-000055050000}"/>
    <cellStyle name="Comma 24 2 2 2 3" xfId="1401" xr:uid="{00000000-0005-0000-0000-000056050000}"/>
    <cellStyle name="Comma 24 2 2 2 4" xfId="1402" xr:uid="{00000000-0005-0000-0000-000057050000}"/>
    <cellStyle name="Comma 24 2 2 2 5" xfId="1403" xr:uid="{00000000-0005-0000-0000-000058050000}"/>
    <cellStyle name="Comma 24 2 2 2 6" xfId="1404" xr:uid="{00000000-0005-0000-0000-000059050000}"/>
    <cellStyle name="Comma 24 2 2 3" xfId="1405" xr:uid="{00000000-0005-0000-0000-00005A050000}"/>
    <cellStyle name="Comma 24 2 2 3 2" xfId="1406" xr:uid="{00000000-0005-0000-0000-00005B050000}"/>
    <cellStyle name="Comma 24 2 2 3 3" xfId="1407" xr:uid="{00000000-0005-0000-0000-00005C050000}"/>
    <cellStyle name="Comma 24 2 2 3 4" xfId="1408" xr:uid="{00000000-0005-0000-0000-00005D050000}"/>
    <cellStyle name="Comma 24 2 2 3 5" xfId="1409" xr:uid="{00000000-0005-0000-0000-00005E050000}"/>
    <cellStyle name="Comma 24 2 2 3 6" xfId="1410" xr:uid="{00000000-0005-0000-0000-00005F050000}"/>
    <cellStyle name="Comma 24 2 2 4" xfId="1411" xr:uid="{00000000-0005-0000-0000-000060050000}"/>
    <cellStyle name="Comma 24 2 2 5" xfId="1412" xr:uid="{00000000-0005-0000-0000-000061050000}"/>
    <cellStyle name="Comma 24 2 2 6" xfId="1413" xr:uid="{00000000-0005-0000-0000-000062050000}"/>
    <cellStyle name="Comma 24 2 2 7" xfId="1414" xr:uid="{00000000-0005-0000-0000-000063050000}"/>
    <cellStyle name="Comma 24 2 2 8" xfId="1415" xr:uid="{00000000-0005-0000-0000-000064050000}"/>
    <cellStyle name="Comma 24 2 3" xfId="1416" xr:uid="{00000000-0005-0000-0000-000065050000}"/>
    <cellStyle name="Comma 24 2 3 2" xfId="1417" xr:uid="{00000000-0005-0000-0000-000066050000}"/>
    <cellStyle name="Comma 24 2 3 2 2" xfId="1418" xr:uid="{00000000-0005-0000-0000-000067050000}"/>
    <cellStyle name="Comma 24 2 3 2 3" xfId="1419" xr:uid="{00000000-0005-0000-0000-000068050000}"/>
    <cellStyle name="Comma 24 2 3 2 4" xfId="1420" xr:uid="{00000000-0005-0000-0000-000069050000}"/>
    <cellStyle name="Comma 24 2 3 2 5" xfId="1421" xr:uid="{00000000-0005-0000-0000-00006A050000}"/>
    <cellStyle name="Comma 24 2 3 2 6" xfId="1422" xr:uid="{00000000-0005-0000-0000-00006B050000}"/>
    <cellStyle name="Comma 24 2 3 3" xfId="1423" xr:uid="{00000000-0005-0000-0000-00006C050000}"/>
    <cellStyle name="Comma 24 2 3 3 2" xfId="1424" xr:uid="{00000000-0005-0000-0000-00006D050000}"/>
    <cellStyle name="Comma 24 2 3 3 3" xfId="1425" xr:uid="{00000000-0005-0000-0000-00006E050000}"/>
    <cellStyle name="Comma 24 2 3 3 4" xfId="1426" xr:uid="{00000000-0005-0000-0000-00006F050000}"/>
    <cellStyle name="Comma 24 2 3 3 5" xfId="1427" xr:uid="{00000000-0005-0000-0000-000070050000}"/>
    <cellStyle name="Comma 24 2 3 3 6" xfId="1428" xr:uid="{00000000-0005-0000-0000-000071050000}"/>
    <cellStyle name="Comma 24 2 3 4" xfId="1429" xr:uid="{00000000-0005-0000-0000-000072050000}"/>
    <cellStyle name="Comma 24 2 3 5" xfId="1430" xr:uid="{00000000-0005-0000-0000-000073050000}"/>
    <cellStyle name="Comma 24 2 3 6" xfId="1431" xr:uid="{00000000-0005-0000-0000-000074050000}"/>
    <cellStyle name="Comma 24 2 3 7" xfId="1432" xr:uid="{00000000-0005-0000-0000-000075050000}"/>
    <cellStyle name="Comma 24 2 3 8" xfId="1433" xr:uid="{00000000-0005-0000-0000-000076050000}"/>
    <cellStyle name="Comma 24 2 4" xfId="1434" xr:uid="{00000000-0005-0000-0000-000077050000}"/>
    <cellStyle name="Comma 24 2 4 2" xfId="1435" xr:uid="{00000000-0005-0000-0000-000078050000}"/>
    <cellStyle name="Comma 24 2 4 2 2" xfId="1436" xr:uid="{00000000-0005-0000-0000-000079050000}"/>
    <cellStyle name="Comma 24 2 4 2 3" xfId="1437" xr:uid="{00000000-0005-0000-0000-00007A050000}"/>
    <cellStyle name="Comma 24 2 4 2 4" xfId="1438" xr:uid="{00000000-0005-0000-0000-00007B050000}"/>
    <cellStyle name="Comma 24 2 4 2 5" xfId="1439" xr:uid="{00000000-0005-0000-0000-00007C050000}"/>
    <cellStyle name="Comma 24 2 4 2 6" xfId="1440" xr:uid="{00000000-0005-0000-0000-00007D050000}"/>
    <cellStyle name="Comma 24 2 4 3" xfId="1441" xr:uid="{00000000-0005-0000-0000-00007E050000}"/>
    <cellStyle name="Comma 24 2 4 3 2" xfId="1442" xr:uid="{00000000-0005-0000-0000-00007F050000}"/>
    <cellStyle name="Comma 24 2 4 3 3" xfId="1443" xr:uid="{00000000-0005-0000-0000-000080050000}"/>
    <cellStyle name="Comma 24 2 4 3 4" xfId="1444" xr:uid="{00000000-0005-0000-0000-000081050000}"/>
    <cellStyle name="Comma 24 2 4 3 5" xfId="1445" xr:uid="{00000000-0005-0000-0000-000082050000}"/>
    <cellStyle name="Comma 24 2 4 3 6" xfId="1446" xr:uid="{00000000-0005-0000-0000-000083050000}"/>
    <cellStyle name="Comma 24 2 4 4" xfId="1447" xr:uid="{00000000-0005-0000-0000-000084050000}"/>
    <cellStyle name="Comma 24 2 4 5" xfId="1448" xr:uid="{00000000-0005-0000-0000-000085050000}"/>
    <cellStyle name="Comma 24 2 4 6" xfId="1449" xr:uid="{00000000-0005-0000-0000-000086050000}"/>
    <cellStyle name="Comma 24 2 4 7" xfId="1450" xr:uid="{00000000-0005-0000-0000-000087050000}"/>
    <cellStyle name="Comma 24 2 4 8" xfId="1451" xr:uid="{00000000-0005-0000-0000-000088050000}"/>
    <cellStyle name="Comma 24 2 5" xfId="1452" xr:uid="{00000000-0005-0000-0000-000089050000}"/>
    <cellStyle name="Comma 24 2 5 2" xfId="1453" xr:uid="{00000000-0005-0000-0000-00008A050000}"/>
    <cellStyle name="Comma 24 2 5 3" xfId="1454" xr:uid="{00000000-0005-0000-0000-00008B050000}"/>
    <cellStyle name="Comma 24 2 5 4" xfId="1455" xr:uid="{00000000-0005-0000-0000-00008C050000}"/>
    <cellStyle name="Comma 24 2 5 5" xfId="1456" xr:uid="{00000000-0005-0000-0000-00008D050000}"/>
    <cellStyle name="Comma 24 2 5 6" xfId="1457" xr:uid="{00000000-0005-0000-0000-00008E050000}"/>
    <cellStyle name="Comma 24 2 6" xfId="1458" xr:uid="{00000000-0005-0000-0000-00008F050000}"/>
    <cellStyle name="Comma 24 2 6 2" xfId="1459" xr:uid="{00000000-0005-0000-0000-000090050000}"/>
    <cellStyle name="Comma 24 2 6 3" xfId="1460" xr:uid="{00000000-0005-0000-0000-000091050000}"/>
    <cellStyle name="Comma 24 2 6 4" xfId="1461" xr:uid="{00000000-0005-0000-0000-000092050000}"/>
    <cellStyle name="Comma 24 2 6 5" xfId="1462" xr:uid="{00000000-0005-0000-0000-000093050000}"/>
    <cellStyle name="Comma 24 2 6 6" xfId="1463" xr:uid="{00000000-0005-0000-0000-000094050000}"/>
    <cellStyle name="Comma 24 2 7" xfId="1464" xr:uid="{00000000-0005-0000-0000-000095050000}"/>
    <cellStyle name="Comma 24 2 8" xfId="1465" xr:uid="{00000000-0005-0000-0000-000096050000}"/>
    <cellStyle name="Comma 24 2 9" xfId="1466" xr:uid="{00000000-0005-0000-0000-000097050000}"/>
    <cellStyle name="Comma 24 3" xfId="1467" xr:uid="{00000000-0005-0000-0000-000098050000}"/>
    <cellStyle name="Comma 24 3 2" xfId="1468" xr:uid="{00000000-0005-0000-0000-000099050000}"/>
    <cellStyle name="Comma 24 3 2 2" xfId="1469" xr:uid="{00000000-0005-0000-0000-00009A050000}"/>
    <cellStyle name="Comma 24 3 2 3" xfId="1470" xr:uid="{00000000-0005-0000-0000-00009B050000}"/>
    <cellStyle name="Comma 24 3 2 4" xfId="1471" xr:uid="{00000000-0005-0000-0000-00009C050000}"/>
    <cellStyle name="Comma 24 3 2 5" xfId="1472" xr:uid="{00000000-0005-0000-0000-00009D050000}"/>
    <cellStyle name="Comma 24 3 2 6" xfId="1473" xr:uid="{00000000-0005-0000-0000-00009E050000}"/>
    <cellStyle name="Comma 24 3 3" xfId="1474" xr:uid="{00000000-0005-0000-0000-00009F050000}"/>
    <cellStyle name="Comma 24 3 3 2" xfId="1475" xr:uid="{00000000-0005-0000-0000-0000A0050000}"/>
    <cellStyle name="Comma 24 3 3 3" xfId="1476" xr:uid="{00000000-0005-0000-0000-0000A1050000}"/>
    <cellStyle name="Comma 24 3 3 4" xfId="1477" xr:uid="{00000000-0005-0000-0000-0000A2050000}"/>
    <cellStyle name="Comma 24 3 3 5" xfId="1478" xr:uid="{00000000-0005-0000-0000-0000A3050000}"/>
    <cellStyle name="Comma 24 3 3 6" xfId="1479" xr:uid="{00000000-0005-0000-0000-0000A4050000}"/>
    <cellStyle name="Comma 24 3 4" xfId="1480" xr:uid="{00000000-0005-0000-0000-0000A5050000}"/>
    <cellStyle name="Comma 24 3 5" xfId="1481" xr:uid="{00000000-0005-0000-0000-0000A6050000}"/>
    <cellStyle name="Comma 24 3 6" xfId="1482" xr:uid="{00000000-0005-0000-0000-0000A7050000}"/>
    <cellStyle name="Comma 24 3 7" xfId="1483" xr:uid="{00000000-0005-0000-0000-0000A8050000}"/>
    <cellStyle name="Comma 24 3 8" xfId="1484" xr:uid="{00000000-0005-0000-0000-0000A9050000}"/>
    <cellStyle name="Comma 24 4" xfId="1485" xr:uid="{00000000-0005-0000-0000-0000AA050000}"/>
    <cellStyle name="Comma 24 4 2" xfId="1486" xr:uid="{00000000-0005-0000-0000-0000AB050000}"/>
    <cellStyle name="Comma 24 4 2 2" xfId="1487" xr:uid="{00000000-0005-0000-0000-0000AC050000}"/>
    <cellStyle name="Comma 24 4 2 3" xfId="1488" xr:uid="{00000000-0005-0000-0000-0000AD050000}"/>
    <cellStyle name="Comma 24 4 2 4" xfId="1489" xr:uid="{00000000-0005-0000-0000-0000AE050000}"/>
    <cellStyle name="Comma 24 4 2 5" xfId="1490" xr:uid="{00000000-0005-0000-0000-0000AF050000}"/>
    <cellStyle name="Comma 24 4 2 6" xfId="1491" xr:uid="{00000000-0005-0000-0000-0000B0050000}"/>
    <cellStyle name="Comma 24 4 3" xfId="1492" xr:uid="{00000000-0005-0000-0000-0000B1050000}"/>
    <cellStyle name="Comma 24 4 3 2" xfId="1493" xr:uid="{00000000-0005-0000-0000-0000B2050000}"/>
    <cellStyle name="Comma 24 4 3 3" xfId="1494" xr:uid="{00000000-0005-0000-0000-0000B3050000}"/>
    <cellStyle name="Comma 24 4 3 4" xfId="1495" xr:uid="{00000000-0005-0000-0000-0000B4050000}"/>
    <cellStyle name="Comma 24 4 3 5" xfId="1496" xr:uid="{00000000-0005-0000-0000-0000B5050000}"/>
    <cellStyle name="Comma 24 4 3 6" xfId="1497" xr:uid="{00000000-0005-0000-0000-0000B6050000}"/>
    <cellStyle name="Comma 24 4 4" xfId="1498" xr:uid="{00000000-0005-0000-0000-0000B7050000}"/>
    <cellStyle name="Comma 24 4 5" xfId="1499" xr:uid="{00000000-0005-0000-0000-0000B8050000}"/>
    <cellStyle name="Comma 24 4 6" xfId="1500" xr:uid="{00000000-0005-0000-0000-0000B9050000}"/>
    <cellStyle name="Comma 24 4 7" xfId="1501" xr:uid="{00000000-0005-0000-0000-0000BA050000}"/>
    <cellStyle name="Comma 24 4 8" xfId="1502" xr:uid="{00000000-0005-0000-0000-0000BB050000}"/>
    <cellStyle name="Comma 24 5" xfId="1503" xr:uid="{00000000-0005-0000-0000-0000BC050000}"/>
    <cellStyle name="Comma 24 5 2" xfId="1504" xr:uid="{00000000-0005-0000-0000-0000BD050000}"/>
    <cellStyle name="Comma 24 5 2 2" xfId="1505" xr:uid="{00000000-0005-0000-0000-0000BE050000}"/>
    <cellStyle name="Comma 24 5 2 3" xfId="1506" xr:uid="{00000000-0005-0000-0000-0000BF050000}"/>
    <cellStyle name="Comma 24 5 2 4" xfId="1507" xr:uid="{00000000-0005-0000-0000-0000C0050000}"/>
    <cellStyle name="Comma 24 5 2 5" xfId="1508" xr:uid="{00000000-0005-0000-0000-0000C1050000}"/>
    <cellStyle name="Comma 24 5 2 6" xfId="1509" xr:uid="{00000000-0005-0000-0000-0000C2050000}"/>
    <cellStyle name="Comma 24 5 3" xfId="1510" xr:uid="{00000000-0005-0000-0000-0000C3050000}"/>
    <cellStyle name="Comma 24 5 3 2" xfId="1511" xr:uid="{00000000-0005-0000-0000-0000C4050000}"/>
    <cellStyle name="Comma 24 5 3 3" xfId="1512" xr:uid="{00000000-0005-0000-0000-0000C5050000}"/>
    <cellStyle name="Comma 24 5 3 4" xfId="1513" xr:uid="{00000000-0005-0000-0000-0000C6050000}"/>
    <cellStyle name="Comma 24 5 3 5" xfId="1514" xr:uid="{00000000-0005-0000-0000-0000C7050000}"/>
    <cellStyle name="Comma 24 5 3 6" xfId="1515" xr:uid="{00000000-0005-0000-0000-0000C8050000}"/>
    <cellStyle name="Comma 24 5 4" xfId="1516" xr:uid="{00000000-0005-0000-0000-0000C9050000}"/>
    <cellStyle name="Comma 24 5 5" xfId="1517" xr:uid="{00000000-0005-0000-0000-0000CA050000}"/>
    <cellStyle name="Comma 24 5 6" xfId="1518" xr:uid="{00000000-0005-0000-0000-0000CB050000}"/>
    <cellStyle name="Comma 24 5 7" xfId="1519" xr:uid="{00000000-0005-0000-0000-0000CC050000}"/>
    <cellStyle name="Comma 24 5 8" xfId="1520" xr:uid="{00000000-0005-0000-0000-0000CD050000}"/>
    <cellStyle name="Comma 24 6" xfId="1521" xr:uid="{00000000-0005-0000-0000-0000CE050000}"/>
    <cellStyle name="Comma 24 6 2" xfId="1522" xr:uid="{00000000-0005-0000-0000-0000CF050000}"/>
    <cellStyle name="Comma 24 6 3" xfId="1523" xr:uid="{00000000-0005-0000-0000-0000D0050000}"/>
    <cellStyle name="Comma 24 6 4" xfId="1524" xr:uid="{00000000-0005-0000-0000-0000D1050000}"/>
    <cellStyle name="Comma 24 6 5" xfId="1525" xr:uid="{00000000-0005-0000-0000-0000D2050000}"/>
    <cellStyle name="Comma 24 6 6" xfId="1526" xr:uid="{00000000-0005-0000-0000-0000D3050000}"/>
    <cellStyle name="Comma 24 7" xfId="1527" xr:uid="{00000000-0005-0000-0000-0000D4050000}"/>
    <cellStyle name="Comma 24 7 2" xfId="1528" xr:uid="{00000000-0005-0000-0000-0000D5050000}"/>
    <cellStyle name="Comma 24 7 3" xfId="1529" xr:uid="{00000000-0005-0000-0000-0000D6050000}"/>
    <cellStyle name="Comma 24 7 4" xfId="1530" xr:uid="{00000000-0005-0000-0000-0000D7050000}"/>
    <cellStyle name="Comma 24 7 5" xfId="1531" xr:uid="{00000000-0005-0000-0000-0000D8050000}"/>
    <cellStyle name="Comma 24 7 6" xfId="1532" xr:uid="{00000000-0005-0000-0000-0000D9050000}"/>
    <cellStyle name="Comma 24 8" xfId="1533" xr:uid="{00000000-0005-0000-0000-0000DA050000}"/>
    <cellStyle name="Comma 24 9" xfId="1534" xr:uid="{00000000-0005-0000-0000-0000DB050000}"/>
    <cellStyle name="Comma 25" xfId="1535" xr:uid="{00000000-0005-0000-0000-0000DC050000}"/>
    <cellStyle name="Comma 25 2" xfId="1536" xr:uid="{00000000-0005-0000-0000-0000DD050000}"/>
    <cellStyle name="Comma 26" xfId="1537" xr:uid="{00000000-0005-0000-0000-0000DE050000}"/>
    <cellStyle name="Comma 27" xfId="1538" xr:uid="{00000000-0005-0000-0000-0000DF050000}"/>
    <cellStyle name="Comma 27 2" xfId="1539" xr:uid="{00000000-0005-0000-0000-0000E0050000}"/>
    <cellStyle name="Comma 28" xfId="1540" xr:uid="{00000000-0005-0000-0000-0000E1050000}"/>
    <cellStyle name="Comma 28 2" xfId="1541" xr:uid="{00000000-0005-0000-0000-0000E2050000}"/>
    <cellStyle name="Comma 29" xfId="1542" xr:uid="{00000000-0005-0000-0000-0000E3050000}"/>
    <cellStyle name="Comma 29 2" xfId="1543" xr:uid="{00000000-0005-0000-0000-0000E4050000}"/>
    <cellStyle name="Comma 3" xfId="11" xr:uid="{00000000-0005-0000-0000-0000E5050000}"/>
    <cellStyle name="Comma 3 10" xfId="1544" xr:uid="{00000000-0005-0000-0000-0000E6050000}"/>
    <cellStyle name="Comma 3 11" xfId="1545" xr:uid="{00000000-0005-0000-0000-0000E7050000}"/>
    <cellStyle name="Comma 3 12" xfId="40909" xr:uid="{00000000-0005-0000-0000-0000E8050000}"/>
    <cellStyle name="Comma 3 2" xfId="1546" xr:uid="{00000000-0005-0000-0000-0000E9050000}"/>
    <cellStyle name="Comma 3 2 2" xfId="1547" xr:uid="{00000000-0005-0000-0000-0000EA050000}"/>
    <cellStyle name="Comma 3 2 2 10" xfId="1548" xr:uid="{00000000-0005-0000-0000-0000EB050000}"/>
    <cellStyle name="Comma 3 2 2 11" xfId="1549" xr:uid="{00000000-0005-0000-0000-0000EC050000}"/>
    <cellStyle name="Comma 3 2 2 12" xfId="1550" xr:uid="{00000000-0005-0000-0000-0000ED050000}"/>
    <cellStyle name="Comma 3 2 2 13" xfId="1551" xr:uid="{00000000-0005-0000-0000-0000EE050000}"/>
    <cellStyle name="Comma 3 2 2 14" xfId="1552" xr:uid="{00000000-0005-0000-0000-0000EF050000}"/>
    <cellStyle name="Comma 3 2 2 2" xfId="1553" xr:uid="{00000000-0005-0000-0000-0000F0050000}"/>
    <cellStyle name="Comma 3 2 2 2 10" xfId="1554" xr:uid="{00000000-0005-0000-0000-0000F1050000}"/>
    <cellStyle name="Comma 3 2 2 2 11" xfId="1555" xr:uid="{00000000-0005-0000-0000-0000F2050000}"/>
    <cellStyle name="Comma 3 2 2 2 12" xfId="1556" xr:uid="{00000000-0005-0000-0000-0000F3050000}"/>
    <cellStyle name="Comma 3 2 2 2 2" xfId="1557" xr:uid="{00000000-0005-0000-0000-0000F4050000}"/>
    <cellStyle name="Comma 3 2 2 2 2 10" xfId="1558" xr:uid="{00000000-0005-0000-0000-0000F5050000}"/>
    <cellStyle name="Comma 3 2 2 2 2 11" xfId="1559" xr:uid="{00000000-0005-0000-0000-0000F6050000}"/>
    <cellStyle name="Comma 3 2 2 2 2 2" xfId="1560" xr:uid="{00000000-0005-0000-0000-0000F7050000}"/>
    <cellStyle name="Comma 3 2 2 2 2 2 2" xfId="1561" xr:uid="{00000000-0005-0000-0000-0000F8050000}"/>
    <cellStyle name="Comma 3 2 2 2 2 2 2 2" xfId="1562" xr:uid="{00000000-0005-0000-0000-0000F9050000}"/>
    <cellStyle name="Comma 3 2 2 2 2 2 2 3" xfId="1563" xr:uid="{00000000-0005-0000-0000-0000FA050000}"/>
    <cellStyle name="Comma 3 2 2 2 2 2 2 4" xfId="1564" xr:uid="{00000000-0005-0000-0000-0000FB050000}"/>
    <cellStyle name="Comma 3 2 2 2 2 2 2 5" xfId="1565" xr:uid="{00000000-0005-0000-0000-0000FC050000}"/>
    <cellStyle name="Comma 3 2 2 2 2 2 2 6" xfId="1566" xr:uid="{00000000-0005-0000-0000-0000FD050000}"/>
    <cellStyle name="Comma 3 2 2 2 2 2 3" xfId="1567" xr:uid="{00000000-0005-0000-0000-0000FE050000}"/>
    <cellStyle name="Comma 3 2 2 2 2 2 3 2" xfId="1568" xr:uid="{00000000-0005-0000-0000-0000FF050000}"/>
    <cellStyle name="Comma 3 2 2 2 2 2 3 3" xfId="1569" xr:uid="{00000000-0005-0000-0000-000000060000}"/>
    <cellStyle name="Comma 3 2 2 2 2 2 3 4" xfId="1570" xr:uid="{00000000-0005-0000-0000-000001060000}"/>
    <cellStyle name="Comma 3 2 2 2 2 2 3 5" xfId="1571" xr:uid="{00000000-0005-0000-0000-000002060000}"/>
    <cellStyle name="Comma 3 2 2 2 2 2 3 6" xfId="1572" xr:uid="{00000000-0005-0000-0000-000003060000}"/>
    <cellStyle name="Comma 3 2 2 2 2 2 4" xfId="1573" xr:uid="{00000000-0005-0000-0000-000004060000}"/>
    <cellStyle name="Comma 3 2 2 2 2 2 5" xfId="1574" xr:uid="{00000000-0005-0000-0000-000005060000}"/>
    <cellStyle name="Comma 3 2 2 2 2 2 6" xfId="1575" xr:uid="{00000000-0005-0000-0000-000006060000}"/>
    <cellStyle name="Comma 3 2 2 2 2 2 7" xfId="1576" xr:uid="{00000000-0005-0000-0000-000007060000}"/>
    <cellStyle name="Comma 3 2 2 2 2 2 8" xfId="1577" xr:uid="{00000000-0005-0000-0000-000008060000}"/>
    <cellStyle name="Comma 3 2 2 2 2 3" xfId="1578" xr:uid="{00000000-0005-0000-0000-000009060000}"/>
    <cellStyle name="Comma 3 2 2 2 2 3 2" xfId="1579" xr:uid="{00000000-0005-0000-0000-00000A060000}"/>
    <cellStyle name="Comma 3 2 2 2 2 3 2 2" xfId="1580" xr:uid="{00000000-0005-0000-0000-00000B060000}"/>
    <cellStyle name="Comma 3 2 2 2 2 3 2 3" xfId="1581" xr:uid="{00000000-0005-0000-0000-00000C060000}"/>
    <cellStyle name="Comma 3 2 2 2 2 3 2 4" xfId="1582" xr:uid="{00000000-0005-0000-0000-00000D060000}"/>
    <cellStyle name="Comma 3 2 2 2 2 3 2 5" xfId="1583" xr:uid="{00000000-0005-0000-0000-00000E060000}"/>
    <cellStyle name="Comma 3 2 2 2 2 3 2 6" xfId="1584" xr:uid="{00000000-0005-0000-0000-00000F060000}"/>
    <cellStyle name="Comma 3 2 2 2 2 3 3" xfId="1585" xr:uid="{00000000-0005-0000-0000-000010060000}"/>
    <cellStyle name="Comma 3 2 2 2 2 3 3 2" xfId="1586" xr:uid="{00000000-0005-0000-0000-000011060000}"/>
    <cellStyle name="Comma 3 2 2 2 2 3 3 3" xfId="1587" xr:uid="{00000000-0005-0000-0000-000012060000}"/>
    <cellStyle name="Comma 3 2 2 2 2 3 3 4" xfId="1588" xr:uid="{00000000-0005-0000-0000-000013060000}"/>
    <cellStyle name="Comma 3 2 2 2 2 3 3 5" xfId="1589" xr:uid="{00000000-0005-0000-0000-000014060000}"/>
    <cellStyle name="Comma 3 2 2 2 2 3 3 6" xfId="1590" xr:uid="{00000000-0005-0000-0000-000015060000}"/>
    <cellStyle name="Comma 3 2 2 2 2 3 4" xfId="1591" xr:uid="{00000000-0005-0000-0000-000016060000}"/>
    <cellStyle name="Comma 3 2 2 2 2 3 5" xfId="1592" xr:uid="{00000000-0005-0000-0000-000017060000}"/>
    <cellStyle name="Comma 3 2 2 2 2 3 6" xfId="1593" xr:uid="{00000000-0005-0000-0000-000018060000}"/>
    <cellStyle name="Comma 3 2 2 2 2 3 7" xfId="1594" xr:uid="{00000000-0005-0000-0000-000019060000}"/>
    <cellStyle name="Comma 3 2 2 2 2 3 8" xfId="1595" xr:uid="{00000000-0005-0000-0000-00001A060000}"/>
    <cellStyle name="Comma 3 2 2 2 2 4" xfId="1596" xr:uid="{00000000-0005-0000-0000-00001B060000}"/>
    <cellStyle name="Comma 3 2 2 2 2 4 2" xfId="1597" xr:uid="{00000000-0005-0000-0000-00001C060000}"/>
    <cellStyle name="Comma 3 2 2 2 2 4 2 2" xfId="1598" xr:uid="{00000000-0005-0000-0000-00001D060000}"/>
    <cellStyle name="Comma 3 2 2 2 2 4 2 3" xfId="1599" xr:uid="{00000000-0005-0000-0000-00001E060000}"/>
    <cellStyle name="Comma 3 2 2 2 2 4 2 4" xfId="1600" xr:uid="{00000000-0005-0000-0000-00001F060000}"/>
    <cellStyle name="Comma 3 2 2 2 2 4 2 5" xfId="1601" xr:uid="{00000000-0005-0000-0000-000020060000}"/>
    <cellStyle name="Comma 3 2 2 2 2 4 2 6" xfId="1602" xr:uid="{00000000-0005-0000-0000-000021060000}"/>
    <cellStyle name="Comma 3 2 2 2 2 4 3" xfId="1603" xr:uid="{00000000-0005-0000-0000-000022060000}"/>
    <cellStyle name="Comma 3 2 2 2 2 4 3 2" xfId="1604" xr:uid="{00000000-0005-0000-0000-000023060000}"/>
    <cellStyle name="Comma 3 2 2 2 2 4 3 3" xfId="1605" xr:uid="{00000000-0005-0000-0000-000024060000}"/>
    <cellStyle name="Comma 3 2 2 2 2 4 3 4" xfId="1606" xr:uid="{00000000-0005-0000-0000-000025060000}"/>
    <cellStyle name="Comma 3 2 2 2 2 4 3 5" xfId="1607" xr:uid="{00000000-0005-0000-0000-000026060000}"/>
    <cellStyle name="Comma 3 2 2 2 2 4 3 6" xfId="1608" xr:uid="{00000000-0005-0000-0000-000027060000}"/>
    <cellStyle name="Comma 3 2 2 2 2 4 4" xfId="1609" xr:uid="{00000000-0005-0000-0000-000028060000}"/>
    <cellStyle name="Comma 3 2 2 2 2 4 5" xfId="1610" xr:uid="{00000000-0005-0000-0000-000029060000}"/>
    <cellStyle name="Comma 3 2 2 2 2 4 6" xfId="1611" xr:uid="{00000000-0005-0000-0000-00002A060000}"/>
    <cellStyle name="Comma 3 2 2 2 2 4 7" xfId="1612" xr:uid="{00000000-0005-0000-0000-00002B060000}"/>
    <cellStyle name="Comma 3 2 2 2 2 4 8" xfId="1613" xr:uid="{00000000-0005-0000-0000-00002C060000}"/>
    <cellStyle name="Comma 3 2 2 2 2 5" xfId="1614" xr:uid="{00000000-0005-0000-0000-00002D060000}"/>
    <cellStyle name="Comma 3 2 2 2 2 5 2" xfId="1615" xr:uid="{00000000-0005-0000-0000-00002E060000}"/>
    <cellStyle name="Comma 3 2 2 2 2 5 3" xfId="1616" xr:uid="{00000000-0005-0000-0000-00002F060000}"/>
    <cellStyle name="Comma 3 2 2 2 2 5 4" xfId="1617" xr:uid="{00000000-0005-0000-0000-000030060000}"/>
    <cellStyle name="Comma 3 2 2 2 2 5 5" xfId="1618" xr:uid="{00000000-0005-0000-0000-000031060000}"/>
    <cellStyle name="Comma 3 2 2 2 2 5 6" xfId="1619" xr:uid="{00000000-0005-0000-0000-000032060000}"/>
    <cellStyle name="Comma 3 2 2 2 2 6" xfId="1620" xr:uid="{00000000-0005-0000-0000-000033060000}"/>
    <cellStyle name="Comma 3 2 2 2 2 6 2" xfId="1621" xr:uid="{00000000-0005-0000-0000-000034060000}"/>
    <cellStyle name="Comma 3 2 2 2 2 6 3" xfId="1622" xr:uid="{00000000-0005-0000-0000-000035060000}"/>
    <cellStyle name="Comma 3 2 2 2 2 6 4" xfId="1623" xr:uid="{00000000-0005-0000-0000-000036060000}"/>
    <cellStyle name="Comma 3 2 2 2 2 6 5" xfId="1624" xr:uid="{00000000-0005-0000-0000-000037060000}"/>
    <cellStyle name="Comma 3 2 2 2 2 6 6" xfId="1625" xr:uid="{00000000-0005-0000-0000-000038060000}"/>
    <cellStyle name="Comma 3 2 2 2 2 7" xfId="1626" xr:uid="{00000000-0005-0000-0000-000039060000}"/>
    <cellStyle name="Comma 3 2 2 2 2 8" xfId="1627" xr:uid="{00000000-0005-0000-0000-00003A060000}"/>
    <cellStyle name="Comma 3 2 2 2 2 9" xfId="1628" xr:uid="{00000000-0005-0000-0000-00003B060000}"/>
    <cellStyle name="Comma 3 2 2 2 3" xfId="1629" xr:uid="{00000000-0005-0000-0000-00003C060000}"/>
    <cellStyle name="Comma 3 2 2 2 3 2" xfId="1630" xr:uid="{00000000-0005-0000-0000-00003D060000}"/>
    <cellStyle name="Comma 3 2 2 2 3 2 2" xfId="1631" xr:uid="{00000000-0005-0000-0000-00003E060000}"/>
    <cellStyle name="Comma 3 2 2 2 3 2 3" xfId="1632" xr:uid="{00000000-0005-0000-0000-00003F060000}"/>
    <cellStyle name="Comma 3 2 2 2 3 2 4" xfId="1633" xr:uid="{00000000-0005-0000-0000-000040060000}"/>
    <cellStyle name="Comma 3 2 2 2 3 2 5" xfId="1634" xr:uid="{00000000-0005-0000-0000-000041060000}"/>
    <cellStyle name="Comma 3 2 2 2 3 2 6" xfId="1635" xr:uid="{00000000-0005-0000-0000-000042060000}"/>
    <cellStyle name="Comma 3 2 2 2 3 3" xfId="1636" xr:uid="{00000000-0005-0000-0000-000043060000}"/>
    <cellStyle name="Comma 3 2 2 2 3 3 2" xfId="1637" xr:uid="{00000000-0005-0000-0000-000044060000}"/>
    <cellStyle name="Comma 3 2 2 2 3 3 3" xfId="1638" xr:uid="{00000000-0005-0000-0000-000045060000}"/>
    <cellStyle name="Comma 3 2 2 2 3 3 4" xfId="1639" xr:uid="{00000000-0005-0000-0000-000046060000}"/>
    <cellStyle name="Comma 3 2 2 2 3 3 5" xfId="1640" xr:uid="{00000000-0005-0000-0000-000047060000}"/>
    <cellStyle name="Comma 3 2 2 2 3 3 6" xfId="1641" xr:uid="{00000000-0005-0000-0000-000048060000}"/>
    <cellStyle name="Comma 3 2 2 2 3 4" xfId="1642" xr:uid="{00000000-0005-0000-0000-000049060000}"/>
    <cellStyle name="Comma 3 2 2 2 3 5" xfId="1643" xr:uid="{00000000-0005-0000-0000-00004A060000}"/>
    <cellStyle name="Comma 3 2 2 2 3 6" xfId="1644" xr:uid="{00000000-0005-0000-0000-00004B060000}"/>
    <cellStyle name="Comma 3 2 2 2 3 7" xfId="1645" xr:uid="{00000000-0005-0000-0000-00004C060000}"/>
    <cellStyle name="Comma 3 2 2 2 3 8" xfId="1646" xr:uid="{00000000-0005-0000-0000-00004D060000}"/>
    <cellStyle name="Comma 3 2 2 2 4" xfId="1647" xr:uid="{00000000-0005-0000-0000-00004E060000}"/>
    <cellStyle name="Comma 3 2 2 2 4 2" xfId="1648" xr:uid="{00000000-0005-0000-0000-00004F060000}"/>
    <cellStyle name="Comma 3 2 2 2 4 2 2" xfId="1649" xr:uid="{00000000-0005-0000-0000-000050060000}"/>
    <cellStyle name="Comma 3 2 2 2 4 2 3" xfId="1650" xr:uid="{00000000-0005-0000-0000-000051060000}"/>
    <cellStyle name="Comma 3 2 2 2 4 2 4" xfId="1651" xr:uid="{00000000-0005-0000-0000-000052060000}"/>
    <cellStyle name="Comma 3 2 2 2 4 2 5" xfId="1652" xr:uid="{00000000-0005-0000-0000-000053060000}"/>
    <cellStyle name="Comma 3 2 2 2 4 2 6" xfId="1653" xr:uid="{00000000-0005-0000-0000-000054060000}"/>
    <cellStyle name="Comma 3 2 2 2 4 3" xfId="1654" xr:uid="{00000000-0005-0000-0000-000055060000}"/>
    <cellStyle name="Comma 3 2 2 2 4 3 2" xfId="1655" xr:uid="{00000000-0005-0000-0000-000056060000}"/>
    <cellStyle name="Comma 3 2 2 2 4 3 3" xfId="1656" xr:uid="{00000000-0005-0000-0000-000057060000}"/>
    <cellStyle name="Comma 3 2 2 2 4 3 4" xfId="1657" xr:uid="{00000000-0005-0000-0000-000058060000}"/>
    <cellStyle name="Comma 3 2 2 2 4 3 5" xfId="1658" xr:uid="{00000000-0005-0000-0000-000059060000}"/>
    <cellStyle name="Comma 3 2 2 2 4 3 6" xfId="1659" xr:uid="{00000000-0005-0000-0000-00005A060000}"/>
    <cellStyle name="Comma 3 2 2 2 4 4" xfId="1660" xr:uid="{00000000-0005-0000-0000-00005B060000}"/>
    <cellStyle name="Comma 3 2 2 2 4 5" xfId="1661" xr:uid="{00000000-0005-0000-0000-00005C060000}"/>
    <cellStyle name="Comma 3 2 2 2 4 6" xfId="1662" xr:uid="{00000000-0005-0000-0000-00005D060000}"/>
    <cellStyle name="Comma 3 2 2 2 4 7" xfId="1663" xr:uid="{00000000-0005-0000-0000-00005E060000}"/>
    <cellStyle name="Comma 3 2 2 2 4 8" xfId="1664" xr:uid="{00000000-0005-0000-0000-00005F060000}"/>
    <cellStyle name="Comma 3 2 2 2 5" xfId="1665" xr:uid="{00000000-0005-0000-0000-000060060000}"/>
    <cellStyle name="Comma 3 2 2 2 5 2" xfId="1666" xr:uid="{00000000-0005-0000-0000-000061060000}"/>
    <cellStyle name="Comma 3 2 2 2 5 2 2" xfId="1667" xr:uid="{00000000-0005-0000-0000-000062060000}"/>
    <cellStyle name="Comma 3 2 2 2 5 2 3" xfId="1668" xr:uid="{00000000-0005-0000-0000-000063060000}"/>
    <cellStyle name="Comma 3 2 2 2 5 2 4" xfId="1669" xr:uid="{00000000-0005-0000-0000-000064060000}"/>
    <cellStyle name="Comma 3 2 2 2 5 2 5" xfId="1670" xr:uid="{00000000-0005-0000-0000-000065060000}"/>
    <cellStyle name="Comma 3 2 2 2 5 2 6" xfId="1671" xr:uid="{00000000-0005-0000-0000-000066060000}"/>
    <cellStyle name="Comma 3 2 2 2 5 3" xfId="1672" xr:uid="{00000000-0005-0000-0000-000067060000}"/>
    <cellStyle name="Comma 3 2 2 2 5 3 2" xfId="1673" xr:uid="{00000000-0005-0000-0000-000068060000}"/>
    <cellStyle name="Comma 3 2 2 2 5 3 3" xfId="1674" xr:uid="{00000000-0005-0000-0000-000069060000}"/>
    <cellStyle name="Comma 3 2 2 2 5 3 4" xfId="1675" xr:uid="{00000000-0005-0000-0000-00006A060000}"/>
    <cellStyle name="Comma 3 2 2 2 5 3 5" xfId="1676" xr:uid="{00000000-0005-0000-0000-00006B060000}"/>
    <cellStyle name="Comma 3 2 2 2 5 3 6" xfId="1677" xr:uid="{00000000-0005-0000-0000-00006C060000}"/>
    <cellStyle name="Comma 3 2 2 2 5 4" xfId="1678" xr:uid="{00000000-0005-0000-0000-00006D060000}"/>
    <cellStyle name="Comma 3 2 2 2 5 5" xfId="1679" xr:uid="{00000000-0005-0000-0000-00006E060000}"/>
    <cellStyle name="Comma 3 2 2 2 5 6" xfId="1680" xr:uid="{00000000-0005-0000-0000-00006F060000}"/>
    <cellStyle name="Comma 3 2 2 2 5 7" xfId="1681" xr:uid="{00000000-0005-0000-0000-000070060000}"/>
    <cellStyle name="Comma 3 2 2 2 5 8" xfId="1682" xr:uid="{00000000-0005-0000-0000-000071060000}"/>
    <cellStyle name="Comma 3 2 2 2 6" xfId="1683" xr:uid="{00000000-0005-0000-0000-000072060000}"/>
    <cellStyle name="Comma 3 2 2 2 6 2" xfId="1684" xr:uid="{00000000-0005-0000-0000-000073060000}"/>
    <cellStyle name="Comma 3 2 2 2 6 3" xfId="1685" xr:uid="{00000000-0005-0000-0000-000074060000}"/>
    <cellStyle name="Comma 3 2 2 2 6 4" xfId="1686" xr:uid="{00000000-0005-0000-0000-000075060000}"/>
    <cellStyle name="Comma 3 2 2 2 6 5" xfId="1687" xr:uid="{00000000-0005-0000-0000-000076060000}"/>
    <cellStyle name="Comma 3 2 2 2 6 6" xfId="1688" xr:uid="{00000000-0005-0000-0000-000077060000}"/>
    <cellStyle name="Comma 3 2 2 2 7" xfId="1689" xr:uid="{00000000-0005-0000-0000-000078060000}"/>
    <cellStyle name="Comma 3 2 2 2 7 2" xfId="1690" xr:uid="{00000000-0005-0000-0000-000079060000}"/>
    <cellStyle name="Comma 3 2 2 2 7 3" xfId="1691" xr:uid="{00000000-0005-0000-0000-00007A060000}"/>
    <cellStyle name="Comma 3 2 2 2 7 4" xfId="1692" xr:uid="{00000000-0005-0000-0000-00007B060000}"/>
    <cellStyle name="Comma 3 2 2 2 7 5" xfId="1693" xr:uid="{00000000-0005-0000-0000-00007C060000}"/>
    <cellStyle name="Comma 3 2 2 2 7 6" xfId="1694" xr:uid="{00000000-0005-0000-0000-00007D060000}"/>
    <cellStyle name="Comma 3 2 2 2 8" xfId="1695" xr:uid="{00000000-0005-0000-0000-00007E060000}"/>
    <cellStyle name="Comma 3 2 2 2 9" xfId="1696" xr:uid="{00000000-0005-0000-0000-00007F060000}"/>
    <cellStyle name="Comma 3 2 2 3" xfId="1697" xr:uid="{00000000-0005-0000-0000-000080060000}"/>
    <cellStyle name="Comma 3 2 2 3 10" xfId="1698" xr:uid="{00000000-0005-0000-0000-000081060000}"/>
    <cellStyle name="Comma 3 2 2 3 11" xfId="1699" xr:uid="{00000000-0005-0000-0000-000082060000}"/>
    <cellStyle name="Comma 3 2 2 3 12" xfId="1700" xr:uid="{00000000-0005-0000-0000-000083060000}"/>
    <cellStyle name="Comma 3 2 2 3 2" xfId="1701" xr:uid="{00000000-0005-0000-0000-000084060000}"/>
    <cellStyle name="Comma 3 2 2 3 2 10" xfId="1702" xr:uid="{00000000-0005-0000-0000-000085060000}"/>
    <cellStyle name="Comma 3 2 2 3 2 11" xfId="1703" xr:uid="{00000000-0005-0000-0000-000086060000}"/>
    <cellStyle name="Comma 3 2 2 3 2 2" xfId="1704" xr:uid="{00000000-0005-0000-0000-000087060000}"/>
    <cellStyle name="Comma 3 2 2 3 2 2 2" xfId="1705" xr:uid="{00000000-0005-0000-0000-000088060000}"/>
    <cellStyle name="Comma 3 2 2 3 2 2 2 2" xfId="1706" xr:uid="{00000000-0005-0000-0000-000089060000}"/>
    <cellStyle name="Comma 3 2 2 3 2 2 2 3" xfId="1707" xr:uid="{00000000-0005-0000-0000-00008A060000}"/>
    <cellStyle name="Comma 3 2 2 3 2 2 2 4" xfId="1708" xr:uid="{00000000-0005-0000-0000-00008B060000}"/>
    <cellStyle name="Comma 3 2 2 3 2 2 2 5" xfId="1709" xr:uid="{00000000-0005-0000-0000-00008C060000}"/>
    <cellStyle name="Comma 3 2 2 3 2 2 2 6" xfId="1710" xr:uid="{00000000-0005-0000-0000-00008D060000}"/>
    <cellStyle name="Comma 3 2 2 3 2 2 3" xfId="1711" xr:uid="{00000000-0005-0000-0000-00008E060000}"/>
    <cellStyle name="Comma 3 2 2 3 2 2 3 2" xfId="1712" xr:uid="{00000000-0005-0000-0000-00008F060000}"/>
    <cellStyle name="Comma 3 2 2 3 2 2 3 3" xfId="1713" xr:uid="{00000000-0005-0000-0000-000090060000}"/>
    <cellStyle name="Comma 3 2 2 3 2 2 3 4" xfId="1714" xr:uid="{00000000-0005-0000-0000-000091060000}"/>
    <cellStyle name="Comma 3 2 2 3 2 2 3 5" xfId="1715" xr:uid="{00000000-0005-0000-0000-000092060000}"/>
    <cellStyle name="Comma 3 2 2 3 2 2 3 6" xfId="1716" xr:uid="{00000000-0005-0000-0000-000093060000}"/>
    <cellStyle name="Comma 3 2 2 3 2 2 4" xfId="1717" xr:uid="{00000000-0005-0000-0000-000094060000}"/>
    <cellStyle name="Comma 3 2 2 3 2 2 5" xfId="1718" xr:uid="{00000000-0005-0000-0000-000095060000}"/>
    <cellStyle name="Comma 3 2 2 3 2 2 6" xfId="1719" xr:uid="{00000000-0005-0000-0000-000096060000}"/>
    <cellStyle name="Comma 3 2 2 3 2 2 7" xfId="1720" xr:uid="{00000000-0005-0000-0000-000097060000}"/>
    <cellStyle name="Comma 3 2 2 3 2 2 8" xfId="1721" xr:uid="{00000000-0005-0000-0000-000098060000}"/>
    <cellStyle name="Comma 3 2 2 3 2 3" xfId="1722" xr:uid="{00000000-0005-0000-0000-000099060000}"/>
    <cellStyle name="Comma 3 2 2 3 2 3 2" xfId="1723" xr:uid="{00000000-0005-0000-0000-00009A060000}"/>
    <cellStyle name="Comma 3 2 2 3 2 3 2 2" xfId="1724" xr:uid="{00000000-0005-0000-0000-00009B060000}"/>
    <cellStyle name="Comma 3 2 2 3 2 3 2 3" xfId="1725" xr:uid="{00000000-0005-0000-0000-00009C060000}"/>
    <cellStyle name="Comma 3 2 2 3 2 3 2 4" xfId="1726" xr:uid="{00000000-0005-0000-0000-00009D060000}"/>
    <cellStyle name="Comma 3 2 2 3 2 3 2 5" xfId="1727" xr:uid="{00000000-0005-0000-0000-00009E060000}"/>
    <cellStyle name="Comma 3 2 2 3 2 3 2 6" xfId="1728" xr:uid="{00000000-0005-0000-0000-00009F060000}"/>
    <cellStyle name="Comma 3 2 2 3 2 3 3" xfId="1729" xr:uid="{00000000-0005-0000-0000-0000A0060000}"/>
    <cellStyle name="Comma 3 2 2 3 2 3 3 2" xfId="1730" xr:uid="{00000000-0005-0000-0000-0000A1060000}"/>
    <cellStyle name="Comma 3 2 2 3 2 3 3 3" xfId="1731" xr:uid="{00000000-0005-0000-0000-0000A2060000}"/>
    <cellStyle name="Comma 3 2 2 3 2 3 3 4" xfId="1732" xr:uid="{00000000-0005-0000-0000-0000A3060000}"/>
    <cellStyle name="Comma 3 2 2 3 2 3 3 5" xfId="1733" xr:uid="{00000000-0005-0000-0000-0000A4060000}"/>
    <cellStyle name="Comma 3 2 2 3 2 3 3 6" xfId="1734" xr:uid="{00000000-0005-0000-0000-0000A5060000}"/>
    <cellStyle name="Comma 3 2 2 3 2 3 4" xfId="1735" xr:uid="{00000000-0005-0000-0000-0000A6060000}"/>
    <cellStyle name="Comma 3 2 2 3 2 3 5" xfId="1736" xr:uid="{00000000-0005-0000-0000-0000A7060000}"/>
    <cellStyle name="Comma 3 2 2 3 2 3 6" xfId="1737" xr:uid="{00000000-0005-0000-0000-0000A8060000}"/>
    <cellStyle name="Comma 3 2 2 3 2 3 7" xfId="1738" xr:uid="{00000000-0005-0000-0000-0000A9060000}"/>
    <cellStyle name="Comma 3 2 2 3 2 3 8" xfId="1739" xr:uid="{00000000-0005-0000-0000-0000AA060000}"/>
    <cellStyle name="Comma 3 2 2 3 2 4" xfId="1740" xr:uid="{00000000-0005-0000-0000-0000AB060000}"/>
    <cellStyle name="Comma 3 2 2 3 2 4 2" xfId="1741" xr:uid="{00000000-0005-0000-0000-0000AC060000}"/>
    <cellStyle name="Comma 3 2 2 3 2 4 2 2" xfId="1742" xr:uid="{00000000-0005-0000-0000-0000AD060000}"/>
    <cellStyle name="Comma 3 2 2 3 2 4 2 3" xfId="1743" xr:uid="{00000000-0005-0000-0000-0000AE060000}"/>
    <cellStyle name="Comma 3 2 2 3 2 4 2 4" xfId="1744" xr:uid="{00000000-0005-0000-0000-0000AF060000}"/>
    <cellStyle name="Comma 3 2 2 3 2 4 2 5" xfId="1745" xr:uid="{00000000-0005-0000-0000-0000B0060000}"/>
    <cellStyle name="Comma 3 2 2 3 2 4 2 6" xfId="1746" xr:uid="{00000000-0005-0000-0000-0000B1060000}"/>
    <cellStyle name="Comma 3 2 2 3 2 4 3" xfId="1747" xr:uid="{00000000-0005-0000-0000-0000B2060000}"/>
    <cellStyle name="Comma 3 2 2 3 2 4 3 2" xfId="1748" xr:uid="{00000000-0005-0000-0000-0000B3060000}"/>
    <cellStyle name="Comma 3 2 2 3 2 4 3 3" xfId="1749" xr:uid="{00000000-0005-0000-0000-0000B4060000}"/>
    <cellStyle name="Comma 3 2 2 3 2 4 3 4" xfId="1750" xr:uid="{00000000-0005-0000-0000-0000B5060000}"/>
    <cellStyle name="Comma 3 2 2 3 2 4 3 5" xfId="1751" xr:uid="{00000000-0005-0000-0000-0000B6060000}"/>
    <cellStyle name="Comma 3 2 2 3 2 4 3 6" xfId="1752" xr:uid="{00000000-0005-0000-0000-0000B7060000}"/>
    <cellStyle name="Comma 3 2 2 3 2 4 4" xfId="1753" xr:uid="{00000000-0005-0000-0000-0000B8060000}"/>
    <cellStyle name="Comma 3 2 2 3 2 4 5" xfId="1754" xr:uid="{00000000-0005-0000-0000-0000B9060000}"/>
    <cellStyle name="Comma 3 2 2 3 2 4 6" xfId="1755" xr:uid="{00000000-0005-0000-0000-0000BA060000}"/>
    <cellStyle name="Comma 3 2 2 3 2 4 7" xfId="1756" xr:uid="{00000000-0005-0000-0000-0000BB060000}"/>
    <cellStyle name="Comma 3 2 2 3 2 4 8" xfId="1757" xr:uid="{00000000-0005-0000-0000-0000BC060000}"/>
    <cellStyle name="Comma 3 2 2 3 2 5" xfId="1758" xr:uid="{00000000-0005-0000-0000-0000BD060000}"/>
    <cellStyle name="Comma 3 2 2 3 2 5 2" xfId="1759" xr:uid="{00000000-0005-0000-0000-0000BE060000}"/>
    <cellStyle name="Comma 3 2 2 3 2 5 3" xfId="1760" xr:uid="{00000000-0005-0000-0000-0000BF060000}"/>
    <cellStyle name="Comma 3 2 2 3 2 5 4" xfId="1761" xr:uid="{00000000-0005-0000-0000-0000C0060000}"/>
    <cellStyle name="Comma 3 2 2 3 2 5 5" xfId="1762" xr:uid="{00000000-0005-0000-0000-0000C1060000}"/>
    <cellStyle name="Comma 3 2 2 3 2 5 6" xfId="1763" xr:uid="{00000000-0005-0000-0000-0000C2060000}"/>
    <cellStyle name="Comma 3 2 2 3 2 6" xfId="1764" xr:uid="{00000000-0005-0000-0000-0000C3060000}"/>
    <cellStyle name="Comma 3 2 2 3 2 6 2" xfId="1765" xr:uid="{00000000-0005-0000-0000-0000C4060000}"/>
    <cellStyle name="Comma 3 2 2 3 2 6 3" xfId="1766" xr:uid="{00000000-0005-0000-0000-0000C5060000}"/>
    <cellStyle name="Comma 3 2 2 3 2 6 4" xfId="1767" xr:uid="{00000000-0005-0000-0000-0000C6060000}"/>
    <cellStyle name="Comma 3 2 2 3 2 6 5" xfId="1768" xr:uid="{00000000-0005-0000-0000-0000C7060000}"/>
    <cellStyle name="Comma 3 2 2 3 2 6 6" xfId="1769" xr:uid="{00000000-0005-0000-0000-0000C8060000}"/>
    <cellStyle name="Comma 3 2 2 3 2 7" xfId="1770" xr:uid="{00000000-0005-0000-0000-0000C9060000}"/>
    <cellStyle name="Comma 3 2 2 3 2 8" xfId="1771" xr:uid="{00000000-0005-0000-0000-0000CA060000}"/>
    <cellStyle name="Comma 3 2 2 3 2 9" xfId="1772" xr:uid="{00000000-0005-0000-0000-0000CB060000}"/>
    <cellStyle name="Comma 3 2 2 3 3" xfId="1773" xr:uid="{00000000-0005-0000-0000-0000CC060000}"/>
    <cellStyle name="Comma 3 2 2 3 3 2" xfId="1774" xr:uid="{00000000-0005-0000-0000-0000CD060000}"/>
    <cellStyle name="Comma 3 2 2 3 3 2 2" xfId="1775" xr:uid="{00000000-0005-0000-0000-0000CE060000}"/>
    <cellStyle name="Comma 3 2 2 3 3 2 3" xfId="1776" xr:uid="{00000000-0005-0000-0000-0000CF060000}"/>
    <cellStyle name="Comma 3 2 2 3 3 2 4" xfId="1777" xr:uid="{00000000-0005-0000-0000-0000D0060000}"/>
    <cellStyle name="Comma 3 2 2 3 3 2 5" xfId="1778" xr:uid="{00000000-0005-0000-0000-0000D1060000}"/>
    <cellStyle name="Comma 3 2 2 3 3 2 6" xfId="1779" xr:uid="{00000000-0005-0000-0000-0000D2060000}"/>
    <cellStyle name="Comma 3 2 2 3 3 3" xfId="1780" xr:uid="{00000000-0005-0000-0000-0000D3060000}"/>
    <cellStyle name="Comma 3 2 2 3 3 3 2" xfId="1781" xr:uid="{00000000-0005-0000-0000-0000D4060000}"/>
    <cellStyle name="Comma 3 2 2 3 3 3 3" xfId="1782" xr:uid="{00000000-0005-0000-0000-0000D5060000}"/>
    <cellStyle name="Comma 3 2 2 3 3 3 4" xfId="1783" xr:uid="{00000000-0005-0000-0000-0000D6060000}"/>
    <cellStyle name="Comma 3 2 2 3 3 3 5" xfId="1784" xr:uid="{00000000-0005-0000-0000-0000D7060000}"/>
    <cellStyle name="Comma 3 2 2 3 3 3 6" xfId="1785" xr:uid="{00000000-0005-0000-0000-0000D8060000}"/>
    <cellStyle name="Comma 3 2 2 3 3 4" xfId="1786" xr:uid="{00000000-0005-0000-0000-0000D9060000}"/>
    <cellStyle name="Comma 3 2 2 3 3 5" xfId="1787" xr:uid="{00000000-0005-0000-0000-0000DA060000}"/>
    <cellStyle name="Comma 3 2 2 3 3 6" xfId="1788" xr:uid="{00000000-0005-0000-0000-0000DB060000}"/>
    <cellStyle name="Comma 3 2 2 3 3 7" xfId="1789" xr:uid="{00000000-0005-0000-0000-0000DC060000}"/>
    <cellStyle name="Comma 3 2 2 3 3 8" xfId="1790" xr:uid="{00000000-0005-0000-0000-0000DD060000}"/>
    <cellStyle name="Comma 3 2 2 3 4" xfId="1791" xr:uid="{00000000-0005-0000-0000-0000DE060000}"/>
    <cellStyle name="Comma 3 2 2 3 4 2" xfId="1792" xr:uid="{00000000-0005-0000-0000-0000DF060000}"/>
    <cellStyle name="Comma 3 2 2 3 4 2 2" xfId="1793" xr:uid="{00000000-0005-0000-0000-0000E0060000}"/>
    <cellStyle name="Comma 3 2 2 3 4 2 3" xfId="1794" xr:uid="{00000000-0005-0000-0000-0000E1060000}"/>
    <cellStyle name="Comma 3 2 2 3 4 2 4" xfId="1795" xr:uid="{00000000-0005-0000-0000-0000E2060000}"/>
    <cellStyle name="Comma 3 2 2 3 4 2 5" xfId="1796" xr:uid="{00000000-0005-0000-0000-0000E3060000}"/>
    <cellStyle name="Comma 3 2 2 3 4 2 6" xfId="1797" xr:uid="{00000000-0005-0000-0000-0000E4060000}"/>
    <cellStyle name="Comma 3 2 2 3 4 3" xfId="1798" xr:uid="{00000000-0005-0000-0000-0000E5060000}"/>
    <cellStyle name="Comma 3 2 2 3 4 3 2" xfId="1799" xr:uid="{00000000-0005-0000-0000-0000E6060000}"/>
    <cellStyle name="Comma 3 2 2 3 4 3 3" xfId="1800" xr:uid="{00000000-0005-0000-0000-0000E7060000}"/>
    <cellStyle name="Comma 3 2 2 3 4 3 4" xfId="1801" xr:uid="{00000000-0005-0000-0000-0000E8060000}"/>
    <cellStyle name="Comma 3 2 2 3 4 3 5" xfId="1802" xr:uid="{00000000-0005-0000-0000-0000E9060000}"/>
    <cellStyle name="Comma 3 2 2 3 4 3 6" xfId="1803" xr:uid="{00000000-0005-0000-0000-0000EA060000}"/>
    <cellStyle name="Comma 3 2 2 3 4 4" xfId="1804" xr:uid="{00000000-0005-0000-0000-0000EB060000}"/>
    <cellStyle name="Comma 3 2 2 3 4 5" xfId="1805" xr:uid="{00000000-0005-0000-0000-0000EC060000}"/>
    <cellStyle name="Comma 3 2 2 3 4 6" xfId="1806" xr:uid="{00000000-0005-0000-0000-0000ED060000}"/>
    <cellStyle name="Comma 3 2 2 3 4 7" xfId="1807" xr:uid="{00000000-0005-0000-0000-0000EE060000}"/>
    <cellStyle name="Comma 3 2 2 3 4 8" xfId="1808" xr:uid="{00000000-0005-0000-0000-0000EF060000}"/>
    <cellStyle name="Comma 3 2 2 3 5" xfId="1809" xr:uid="{00000000-0005-0000-0000-0000F0060000}"/>
    <cellStyle name="Comma 3 2 2 3 5 2" xfId="1810" xr:uid="{00000000-0005-0000-0000-0000F1060000}"/>
    <cellStyle name="Comma 3 2 2 3 5 2 2" xfId="1811" xr:uid="{00000000-0005-0000-0000-0000F2060000}"/>
    <cellStyle name="Comma 3 2 2 3 5 2 3" xfId="1812" xr:uid="{00000000-0005-0000-0000-0000F3060000}"/>
    <cellStyle name="Comma 3 2 2 3 5 2 4" xfId="1813" xr:uid="{00000000-0005-0000-0000-0000F4060000}"/>
    <cellStyle name="Comma 3 2 2 3 5 2 5" xfId="1814" xr:uid="{00000000-0005-0000-0000-0000F5060000}"/>
    <cellStyle name="Comma 3 2 2 3 5 2 6" xfId="1815" xr:uid="{00000000-0005-0000-0000-0000F6060000}"/>
    <cellStyle name="Comma 3 2 2 3 5 3" xfId="1816" xr:uid="{00000000-0005-0000-0000-0000F7060000}"/>
    <cellStyle name="Comma 3 2 2 3 5 3 2" xfId="1817" xr:uid="{00000000-0005-0000-0000-0000F8060000}"/>
    <cellStyle name="Comma 3 2 2 3 5 3 3" xfId="1818" xr:uid="{00000000-0005-0000-0000-0000F9060000}"/>
    <cellStyle name="Comma 3 2 2 3 5 3 4" xfId="1819" xr:uid="{00000000-0005-0000-0000-0000FA060000}"/>
    <cellStyle name="Comma 3 2 2 3 5 3 5" xfId="1820" xr:uid="{00000000-0005-0000-0000-0000FB060000}"/>
    <cellStyle name="Comma 3 2 2 3 5 3 6" xfId="1821" xr:uid="{00000000-0005-0000-0000-0000FC060000}"/>
    <cellStyle name="Comma 3 2 2 3 5 4" xfId="1822" xr:uid="{00000000-0005-0000-0000-0000FD060000}"/>
    <cellStyle name="Comma 3 2 2 3 5 5" xfId="1823" xr:uid="{00000000-0005-0000-0000-0000FE060000}"/>
    <cellStyle name="Comma 3 2 2 3 5 6" xfId="1824" xr:uid="{00000000-0005-0000-0000-0000FF060000}"/>
    <cellStyle name="Comma 3 2 2 3 5 7" xfId="1825" xr:uid="{00000000-0005-0000-0000-000000070000}"/>
    <cellStyle name="Comma 3 2 2 3 5 8" xfId="1826" xr:uid="{00000000-0005-0000-0000-000001070000}"/>
    <cellStyle name="Comma 3 2 2 3 6" xfId="1827" xr:uid="{00000000-0005-0000-0000-000002070000}"/>
    <cellStyle name="Comma 3 2 2 3 6 2" xfId="1828" xr:uid="{00000000-0005-0000-0000-000003070000}"/>
    <cellStyle name="Comma 3 2 2 3 6 3" xfId="1829" xr:uid="{00000000-0005-0000-0000-000004070000}"/>
    <cellStyle name="Comma 3 2 2 3 6 4" xfId="1830" xr:uid="{00000000-0005-0000-0000-000005070000}"/>
    <cellStyle name="Comma 3 2 2 3 6 5" xfId="1831" xr:uid="{00000000-0005-0000-0000-000006070000}"/>
    <cellStyle name="Comma 3 2 2 3 6 6" xfId="1832" xr:uid="{00000000-0005-0000-0000-000007070000}"/>
    <cellStyle name="Comma 3 2 2 3 7" xfId="1833" xr:uid="{00000000-0005-0000-0000-000008070000}"/>
    <cellStyle name="Comma 3 2 2 3 7 2" xfId="1834" xr:uid="{00000000-0005-0000-0000-000009070000}"/>
    <cellStyle name="Comma 3 2 2 3 7 3" xfId="1835" xr:uid="{00000000-0005-0000-0000-00000A070000}"/>
    <cellStyle name="Comma 3 2 2 3 7 4" xfId="1836" xr:uid="{00000000-0005-0000-0000-00000B070000}"/>
    <cellStyle name="Comma 3 2 2 3 7 5" xfId="1837" xr:uid="{00000000-0005-0000-0000-00000C070000}"/>
    <cellStyle name="Comma 3 2 2 3 7 6" xfId="1838" xr:uid="{00000000-0005-0000-0000-00000D070000}"/>
    <cellStyle name="Comma 3 2 2 3 8" xfId="1839" xr:uid="{00000000-0005-0000-0000-00000E070000}"/>
    <cellStyle name="Comma 3 2 2 3 9" xfId="1840" xr:uid="{00000000-0005-0000-0000-00000F070000}"/>
    <cellStyle name="Comma 3 2 2 4" xfId="1841" xr:uid="{00000000-0005-0000-0000-000010070000}"/>
    <cellStyle name="Comma 3 2 2 5" xfId="1842" xr:uid="{00000000-0005-0000-0000-000011070000}"/>
    <cellStyle name="Comma 3 2 2 5 2" xfId="1843" xr:uid="{00000000-0005-0000-0000-000012070000}"/>
    <cellStyle name="Comma 3 2 2 5 2 2" xfId="1844" xr:uid="{00000000-0005-0000-0000-000013070000}"/>
    <cellStyle name="Comma 3 2 2 5 2 3" xfId="1845" xr:uid="{00000000-0005-0000-0000-000014070000}"/>
    <cellStyle name="Comma 3 2 2 5 2 4" xfId="1846" xr:uid="{00000000-0005-0000-0000-000015070000}"/>
    <cellStyle name="Comma 3 2 2 5 2 5" xfId="1847" xr:uid="{00000000-0005-0000-0000-000016070000}"/>
    <cellStyle name="Comma 3 2 2 5 2 6" xfId="1848" xr:uid="{00000000-0005-0000-0000-000017070000}"/>
    <cellStyle name="Comma 3 2 2 5 3" xfId="1849" xr:uid="{00000000-0005-0000-0000-000018070000}"/>
    <cellStyle name="Comma 3 2 2 5 3 2" xfId="1850" xr:uid="{00000000-0005-0000-0000-000019070000}"/>
    <cellStyle name="Comma 3 2 2 5 3 3" xfId="1851" xr:uid="{00000000-0005-0000-0000-00001A070000}"/>
    <cellStyle name="Comma 3 2 2 5 3 4" xfId="1852" xr:uid="{00000000-0005-0000-0000-00001B070000}"/>
    <cellStyle name="Comma 3 2 2 5 3 5" xfId="1853" xr:uid="{00000000-0005-0000-0000-00001C070000}"/>
    <cellStyle name="Comma 3 2 2 5 3 6" xfId="1854" xr:uid="{00000000-0005-0000-0000-00001D070000}"/>
    <cellStyle name="Comma 3 2 2 5 4" xfId="1855" xr:uid="{00000000-0005-0000-0000-00001E070000}"/>
    <cellStyle name="Comma 3 2 2 5 5" xfId="1856" xr:uid="{00000000-0005-0000-0000-00001F070000}"/>
    <cellStyle name="Comma 3 2 2 5 6" xfId="1857" xr:uid="{00000000-0005-0000-0000-000020070000}"/>
    <cellStyle name="Comma 3 2 2 5 7" xfId="1858" xr:uid="{00000000-0005-0000-0000-000021070000}"/>
    <cellStyle name="Comma 3 2 2 5 8" xfId="1859" xr:uid="{00000000-0005-0000-0000-000022070000}"/>
    <cellStyle name="Comma 3 2 2 6" xfId="1860" xr:uid="{00000000-0005-0000-0000-000023070000}"/>
    <cellStyle name="Comma 3 2 2 6 2" xfId="1861" xr:uid="{00000000-0005-0000-0000-000024070000}"/>
    <cellStyle name="Comma 3 2 2 6 2 2" xfId="1862" xr:uid="{00000000-0005-0000-0000-000025070000}"/>
    <cellStyle name="Comma 3 2 2 6 2 3" xfId="1863" xr:uid="{00000000-0005-0000-0000-000026070000}"/>
    <cellStyle name="Comma 3 2 2 6 2 4" xfId="1864" xr:uid="{00000000-0005-0000-0000-000027070000}"/>
    <cellStyle name="Comma 3 2 2 6 2 5" xfId="1865" xr:uid="{00000000-0005-0000-0000-000028070000}"/>
    <cellStyle name="Comma 3 2 2 6 2 6" xfId="1866" xr:uid="{00000000-0005-0000-0000-000029070000}"/>
    <cellStyle name="Comma 3 2 2 6 3" xfId="1867" xr:uid="{00000000-0005-0000-0000-00002A070000}"/>
    <cellStyle name="Comma 3 2 2 6 3 2" xfId="1868" xr:uid="{00000000-0005-0000-0000-00002B070000}"/>
    <cellStyle name="Comma 3 2 2 6 3 3" xfId="1869" xr:uid="{00000000-0005-0000-0000-00002C070000}"/>
    <cellStyle name="Comma 3 2 2 6 3 4" xfId="1870" xr:uid="{00000000-0005-0000-0000-00002D070000}"/>
    <cellStyle name="Comma 3 2 2 6 3 5" xfId="1871" xr:uid="{00000000-0005-0000-0000-00002E070000}"/>
    <cellStyle name="Comma 3 2 2 6 3 6" xfId="1872" xr:uid="{00000000-0005-0000-0000-00002F070000}"/>
    <cellStyle name="Comma 3 2 2 6 4" xfId="1873" xr:uid="{00000000-0005-0000-0000-000030070000}"/>
    <cellStyle name="Comma 3 2 2 6 5" xfId="1874" xr:uid="{00000000-0005-0000-0000-000031070000}"/>
    <cellStyle name="Comma 3 2 2 6 6" xfId="1875" xr:uid="{00000000-0005-0000-0000-000032070000}"/>
    <cellStyle name="Comma 3 2 2 6 7" xfId="1876" xr:uid="{00000000-0005-0000-0000-000033070000}"/>
    <cellStyle name="Comma 3 2 2 6 8" xfId="1877" xr:uid="{00000000-0005-0000-0000-000034070000}"/>
    <cellStyle name="Comma 3 2 2 7" xfId="1878" xr:uid="{00000000-0005-0000-0000-000035070000}"/>
    <cellStyle name="Comma 3 2 2 7 2" xfId="1879" xr:uid="{00000000-0005-0000-0000-000036070000}"/>
    <cellStyle name="Comma 3 2 2 7 2 2" xfId="1880" xr:uid="{00000000-0005-0000-0000-000037070000}"/>
    <cellStyle name="Comma 3 2 2 7 2 3" xfId="1881" xr:uid="{00000000-0005-0000-0000-000038070000}"/>
    <cellStyle name="Comma 3 2 2 7 2 4" xfId="1882" xr:uid="{00000000-0005-0000-0000-000039070000}"/>
    <cellStyle name="Comma 3 2 2 7 2 5" xfId="1883" xr:uid="{00000000-0005-0000-0000-00003A070000}"/>
    <cellStyle name="Comma 3 2 2 7 2 6" xfId="1884" xr:uid="{00000000-0005-0000-0000-00003B070000}"/>
    <cellStyle name="Comma 3 2 2 7 3" xfId="1885" xr:uid="{00000000-0005-0000-0000-00003C070000}"/>
    <cellStyle name="Comma 3 2 2 7 3 2" xfId="1886" xr:uid="{00000000-0005-0000-0000-00003D070000}"/>
    <cellStyle name="Comma 3 2 2 7 3 3" xfId="1887" xr:uid="{00000000-0005-0000-0000-00003E070000}"/>
    <cellStyle name="Comma 3 2 2 7 3 4" xfId="1888" xr:uid="{00000000-0005-0000-0000-00003F070000}"/>
    <cellStyle name="Comma 3 2 2 7 3 5" xfId="1889" xr:uid="{00000000-0005-0000-0000-000040070000}"/>
    <cellStyle name="Comma 3 2 2 7 3 6" xfId="1890" xr:uid="{00000000-0005-0000-0000-000041070000}"/>
    <cellStyle name="Comma 3 2 2 7 4" xfId="1891" xr:uid="{00000000-0005-0000-0000-000042070000}"/>
    <cellStyle name="Comma 3 2 2 7 5" xfId="1892" xr:uid="{00000000-0005-0000-0000-000043070000}"/>
    <cellStyle name="Comma 3 2 2 7 6" xfId="1893" xr:uid="{00000000-0005-0000-0000-000044070000}"/>
    <cellStyle name="Comma 3 2 2 7 7" xfId="1894" xr:uid="{00000000-0005-0000-0000-000045070000}"/>
    <cellStyle name="Comma 3 2 2 7 8" xfId="1895" xr:uid="{00000000-0005-0000-0000-000046070000}"/>
    <cellStyle name="Comma 3 2 2 8" xfId="1896" xr:uid="{00000000-0005-0000-0000-000047070000}"/>
    <cellStyle name="Comma 3 2 2 8 2" xfId="1897" xr:uid="{00000000-0005-0000-0000-000048070000}"/>
    <cellStyle name="Comma 3 2 2 8 3" xfId="1898" xr:uid="{00000000-0005-0000-0000-000049070000}"/>
    <cellStyle name="Comma 3 2 2 8 4" xfId="1899" xr:uid="{00000000-0005-0000-0000-00004A070000}"/>
    <cellStyle name="Comma 3 2 2 8 5" xfId="1900" xr:uid="{00000000-0005-0000-0000-00004B070000}"/>
    <cellStyle name="Comma 3 2 2 8 6" xfId="1901" xr:uid="{00000000-0005-0000-0000-00004C070000}"/>
    <cellStyle name="Comma 3 2 2 9" xfId="1902" xr:uid="{00000000-0005-0000-0000-00004D070000}"/>
    <cellStyle name="Comma 3 2 2 9 2" xfId="1903" xr:uid="{00000000-0005-0000-0000-00004E070000}"/>
    <cellStyle name="Comma 3 2 2 9 3" xfId="1904" xr:uid="{00000000-0005-0000-0000-00004F070000}"/>
    <cellStyle name="Comma 3 2 2 9 4" xfId="1905" xr:uid="{00000000-0005-0000-0000-000050070000}"/>
    <cellStyle name="Comma 3 2 2 9 5" xfId="1906" xr:uid="{00000000-0005-0000-0000-000051070000}"/>
    <cellStyle name="Comma 3 2 2 9 6" xfId="1907" xr:uid="{00000000-0005-0000-0000-000052070000}"/>
    <cellStyle name="Comma 3 2 3" xfId="1908" xr:uid="{00000000-0005-0000-0000-000053070000}"/>
    <cellStyle name="Comma 3 2 3 10" xfId="1909" xr:uid="{00000000-0005-0000-0000-000054070000}"/>
    <cellStyle name="Comma 3 2 3 11" xfId="1910" xr:uid="{00000000-0005-0000-0000-000055070000}"/>
    <cellStyle name="Comma 3 2 3 12" xfId="1911" xr:uid="{00000000-0005-0000-0000-000056070000}"/>
    <cellStyle name="Comma 3 2 3 2" xfId="1912" xr:uid="{00000000-0005-0000-0000-000057070000}"/>
    <cellStyle name="Comma 3 2 3 3" xfId="1913" xr:uid="{00000000-0005-0000-0000-000058070000}"/>
    <cellStyle name="Comma 3 2 3 3 2" xfId="1914" xr:uid="{00000000-0005-0000-0000-000059070000}"/>
    <cellStyle name="Comma 3 2 3 3 2 2" xfId="1915" xr:uid="{00000000-0005-0000-0000-00005A070000}"/>
    <cellStyle name="Comma 3 2 3 3 2 3" xfId="1916" xr:uid="{00000000-0005-0000-0000-00005B070000}"/>
    <cellStyle name="Comma 3 2 3 3 2 4" xfId="1917" xr:uid="{00000000-0005-0000-0000-00005C070000}"/>
    <cellStyle name="Comma 3 2 3 3 2 5" xfId="1918" xr:uid="{00000000-0005-0000-0000-00005D070000}"/>
    <cellStyle name="Comma 3 2 3 3 2 6" xfId="1919" xr:uid="{00000000-0005-0000-0000-00005E070000}"/>
    <cellStyle name="Comma 3 2 3 3 3" xfId="1920" xr:uid="{00000000-0005-0000-0000-00005F070000}"/>
    <cellStyle name="Comma 3 2 3 3 3 2" xfId="1921" xr:uid="{00000000-0005-0000-0000-000060070000}"/>
    <cellStyle name="Comma 3 2 3 3 3 3" xfId="1922" xr:uid="{00000000-0005-0000-0000-000061070000}"/>
    <cellStyle name="Comma 3 2 3 3 3 4" xfId="1923" xr:uid="{00000000-0005-0000-0000-000062070000}"/>
    <cellStyle name="Comma 3 2 3 3 3 5" xfId="1924" xr:uid="{00000000-0005-0000-0000-000063070000}"/>
    <cellStyle name="Comma 3 2 3 3 3 6" xfId="1925" xr:uid="{00000000-0005-0000-0000-000064070000}"/>
    <cellStyle name="Comma 3 2 3 3 4" xfId="1926" xr:uid="{00000000-0005-0000-0000-000065070000}"/>
    <cellStyle name="Comma 3 2 3 3 5" xfId="1927" xr:uid="{00000000-0005-0000-0000-000066070000}"/>
    <cellStyle name="Comma 3 2 3 3 6" xfId="1928" xr:uid="{00000000-0005-0000-0000-000067070000}"/>
    <cellStyle name="Comma 3 2 3 3 7" xfId="1929" xr:uid="{00000000-0005-0000-0000-000068070000}"/>
    <cellStyle name="Comma 3 2 3 3 8" xfId="1930" xr:uid="{00000000-0005-0000-0000-000069070000}"/>
    <cellStyle name="Comma 3 2 3 4" xfId="1931" xr:uid="{00000000-0005-0000-0000-00006A070000}"/>
    <cellStyle name="Comma 3 2 3 4 2" xfId="1932" xr:uid="{00000000-0005-0000-0000-00006B070000}"/>
    <cellStyle name="Comma 3 2 3 4 2 2" xfId="1933" xr:uid="{00000000-0005-0000-0000-00006C070000}"/>
    <cellStyle name="Comma 3 2 3 4 2 3" xfId="1934" xr:uid="{00000000-0005-0000-0000-00006D070000}"/>
    <cellStyle name="Comma 3 2 3 4 2 4" xfId="1935" xr:uid="{00000000-0005-0000-0000-00006E070000}"/>
    <cellStyle name="Comma 3 2 3 4 2 5" xfId="1936" xr:uid="{00000000-0005-0000-0000-00006F070000}"/>
    <cellStyle name="Comma 3 2 3 4 2 6" xfId="1937" xr:uid="{00000000-0005-0000-0000-000070070000}"/>
    <cellStyle name="Comma 3 2 3 4 3" xfId="1938" xr:uid="{00000000-0005-0000-0000-000071070000}"/>
    <cellStyle name="Comma 3 2 3 4 3 2" xfId="1939" xr:uid="{00000000-0005-0000-0000-000072070000}"/>
    <cellStyle name="Comma 3 2 3 4 3 3" xfId="1940" xr:uid="{00000000-0005-0000-0000-000073070000}"/>
    <cellStyle name="Comma 3 2 3 4 3 4" xfId="1941" xr:uid="{00000000-0005-0000-0000-000074070000}"/>
    <cellStyle name="Comma 3 2 3 4 3 5" xfId="1942" xr:uid="{00000000-0005-0000-0000-000075070000}"/>
    <cellStyle name="Comma 3 2 3 4 3 6" xfId="1943" xr:uid="{00000000-0005-0000-0000-000076070000}"/>
    <cellStyle name="Comma 3 2 3 4 4" xfId="1944" xr:uid="{00000000-0005-0000-0000-000077070000}"/>
    <cellStyle name="Comma 3 2 3 4 5" xfId="1945" xr:uid="{00000000-0005-0000-0000-000078070000}"/>
    <cellStyle name="Comma 3 2 3 4 6" xfId="1946" xr:uid="{00000000-0005-0000-0000-000079070000}"/>
    <cellStyle name="Comma 3 2 3 4 7" xfId="1947" xr:uid="{00000000-0005-0000-0000-00007A070000}"/>
    <cellStyle name="Comma 3 2 3 4 8" xfId="1948" xr:uid="{00000000-0005-0000-0000-00007B070000}"/>
    <cellStyle name="Comma 3 2 3 5" xfId="1949" xr:uid="{00000000-0005-0000-0000-00007C070000}"/>
    <cellStyle name="Comma 3 2 3 5 2" xfId="1950" xr:uid="{00000000-0005-0000-0000-00007D070000}"/>
    <cellStyle name="Comma 3 2 3 5 2 2" xfId="1951" xr:uid="{00000000-0005-0000-0000-00007E070000}"/>
    <cellStyle name="Comma 3 2 3 5 2 3" xfId="1952" xr:uid="{00000000-0005-0000-0000-00007F070000}"/>
    <cellStyle name="Comma 3 2 3 5 2 4" xfId="1953" xr:uid="{00000000-0005-0000-0000-000080070000}"/>
    <cellStyle name="Comma 3 2 3 5 2 5" xfId="1954" xr:uid="{00000000-0005-0000-0000-000081070000}"/>
    <cellStyle name="Comma 3 2 3 5 2 6" xfId="1955" xr:uid="{00000000-0005-0000-0000-000082070000}"/>
    <cellStyle name="Comma 3 2 3 5 3" xfId="1956" xr:uid="{00000000-0005-0000-0000-000083070000}"/>
    <cellStyle name="Comma 3 2 3 5 3 2" xfId="1957" xr:uid="{00000000-0005-0000-0000-000084070000}"/>
    <cellStyle name="Comma 3 2 3 5 3 3" xfId="1958" xr:uid="{00000000-0005-0000-0000-000085070000}"/>
    <cellStyle name="Comma 3 2 3 5 3 4" xfId="1959" xr:uid="{00000000-0005-0000-0000-000086070000}"/>
    <cellStyle name="Comma 3 2 3 5 3 5" xfId="1960" xr:uid="{00000000-0005-0000-0000-000087070000}"/>
    <cellStyle name="Comma 3 2 3 5 3 6" xfId="1961" xr:uid="{00000000-0005-0000-0000-000088070000}"/>
    <cellStyle name="Comma 3 2 3 5 4" xfId="1962" xr:uid="{00000000-0005-0000-0000-000089070000}"/>
    <cellStyle name="Comma 3 2 3 5 5" xfId="1963" xr:uid="{00000000-0005-0000-0000-00008A070000}"/>
    <cellStyle name="Comma 3 2 3 5 6" xfId="1964" xr:uid="{00000000-0005-0000-0000-00008B070000}"/>
    <cellStyle name="Comma 3 2 3 5 7" xfId="1965" xr:uid="{00000000-0005-0000-0000-00008C070000}"/>
    <cellStyle name="Comma 3 2 3 5 8" xfId="1966" xr:uid="{00000000-0005-0000-0000-00008D070000}"/>
    <cellStyle name="Comma 3 2 3 6" xfId="1967" xr:uid="{00000000-0005-0000-0000-00008E070000}"/>
    <cellStyle name="Comma 3 2 3 6 2" xfId="1968" xr:uid="{00000000-0005-0000-0000-00008F070000}"/>
    <cellStyle name="Comma 3 2 3 6 3" xfId="1969" xr:uid="{00000000-0005-0000-0000-000090070000}"/>
    <cellStyle name="Comma 3 2 3 6 4" xfId="1970" xr:uid="{00000000-0005-0000-0000-000091070000}"/>
    <cellStyle name="Comma 3 2 3 6 5" xfId="1971" xr:uid="{00000000-0005-0000-0000-000092070000}"/>
    <cellStyle name="Comma 3 2 3 6 6" xfId="1972" xr:uid="{00000000-0005-0000-0000-000093070000}"/>
    <cellStyle name="Comma 3 2 3 7" xfId="1973" xr:uid="{00000000-0005-0000-0000-000094070000}"/>
    <cellStyle name="Comma 3 2 3 7 2" xfId="1974" xr:uid="{00000000-0005-0000-0000-000095070000}"/>
    <cellStyle name="Comma 3 2 3 7 3" xfId="1975" xr:uid="{00000000-0005-0000-0000-000096070000}"/>
    <cellStyle name="Comma 3 2 3 7 4" xfId="1976" xr:uid="{00000000-0005-0000-0000-000097070000}"/>
    <cellStyle name="Comma 3 2 3 7 5" xfId="1977" xr:uid="{00000000-0005-0000-0000-000098070000}"/>
    <cellStyle name="Comma 3 2 3 7 6" xfId="1978" xr:uid="{00000000-0005-0000-0000-000099070000}"/>
    <cellStyle name="Comma 3 2 3 8" xfId="1979" xr:uid="{00000000-0005-0000-0000-00009A070000}"/>
    <cellStyle name="Comma 3 2 3 9" xfId="1980" xr:uid="{00000000-0005-0000-0000-00009B070000}"/>
    <cellStyle name="Comma 3 2 4" xfId="1981" xr:uid="{00000000-0005-0000-0000-00009C070000}"/>
    <cellStyle name="Comma 3 2 4 10" xfId="1982" xr:uid="{00000000-0005-0000-0000-00009D070000}"/>
    <cellStyle name="Comma 3 2 4 11" xfId="1983" xr:uid="{00000000-0005-0000-0000-00009E070000}"/>
    <cellStyle name="Comma 3 2 4 2" xfId="1984" xr:uid="{00000000-0005-0000-0000-00009F070000}"/>
    <cellStyle name="Comma 3 2 4 2 2" xfId="1985" xr:uid="{00000000-0005-0000-0000-0000A0070000}"/>
    <cellStyle name="Comma 3 2 4 2 2 2" xfId="1986" xr:uid="{00000000-0005-0000-0000-0000A1070000}"/>
    <cellStyle name="Comma 3 2 4 2 2 3" xfId="1987" xr:uid="{00000000-0005-0000-0000-0000A2070000}"/>
    <cellStyle name="Comma 3 2 4 2 2 4" xfId="1988" xr:uid="{00000000-0005-0000-0000-0000A3070000}"/>
    <cellStyle name="Comma 3 2 4 2 2 5" xfId="1989" xr:uid="{00000000-0005-0000-0000-0000A4070000}"/>
    <cellStyle name="Comma 3 2 4 2 2 6" xfId="1990" xr:uid="{00000000-0005-0000-0000-0000A5070000}"/>
    <cellStyle name="Comma 3 2 4 2 3" xfId="1991" xr:uid="{00000000-0005-0000-0000-0000A6070000}"/>
    <cellStyle name="Comma 3 2 4 2 3 2" xfId="1992" xr:uid="{00000000-0005-0000-0000-0000A7070000}"/>
    <cellStyle name="Comma 3 2 4 2 3 3" xfId="1993" xr:uid="{00000000-0005-0000-0000-0000A8070000}"/>
    <cellStyle name="Comma 3 2 4 2 3 4" xfId="1994" xr:uid="{00000000-0005-0000-0000-0000A9070000}"/>
    <cellStyle name="Comma 3 2 4 2 3 5" xfId="1995" xr:uid="{00000000-0005-0000-0000-0000AA070000}"/>
    <cellStyle name="Comma 3 2 4 2 3 6" xfId="1996" xr:uid="{00000000-0005-0000-0000-0000AB070000}"/>
    <cellStyle name="Comma 3 2 4 2 4" xfId="1997" xr:uid="{00000000-0005-0000-0000-0000AC070000}"/>
    <cellStyle name="Comma 3 2 4 2 5" xfId="1998" xr:uid="{00000000-0005-0000-0000-0000AD070000}"/>
    <cellStyle name="Comma 3 2 4 2 6" xfId="1999" xr:uid="{00000000-0005-0000-0000-0000AE070000}"/>
    <cellStyle name="Comma 3 2 4 2 7" xfId="2000" xr:uid="{00000000-0005-0000-0000-0000AF070000}"/>
    <cellStyle name="Comma 3 2 4 2 8" xfId="2001" xr:uid="{00000000-0005-0000-0000-0000B0070000}"/>
    <cellStyle name="Comma 3 2 4 3" xfId="2002" xr:uid="{00000000-0005-0000-0000-0000B1070000}"/>
    <cellStyle name="Comma 3 2 4 3 2" xfId="2003" xr:uid="{00000000-0005-0000-0000-0000B2070000}"/>
    <cellStyle name="Comma 3 2 4 3 2 2" xfId="2004" xr:uid="{00000000-0005-0000-0000-0000B3070000}"/>
    <cellStyle name="Comma 3 2 4 3 2 3" xfId="2005" xr:uid="{00000000-0005-0000-0000-0000B4070000}"/>
    <cellStyle name="Comma 3 2 4 3 2 4" xfId="2006" xr:uid="{00000000-0005-0000-0000-0000B5070000}"/>
    <cellStyle name="Comma 3 2 4 3 2 5" xfId="2007" xr:uid="{00000000-0005-0000-0000-0000B6070000}"/>
    <cellStyle name="Comma 3 2 4 3 2 6" xfId="2008" xr:uid="{00000000-0005-0000-0000-0000B7070000}"/>
    <cellStyle name="Comma 3 2 4 3 3" xfId="2009" xr:uid="{00000000-0005-0000-0000-0000B8070000}"/>
    <cellStyle name="Comma 3 2 4 3 3 2" xfId="2010" xr:uid="{00000000-0005-0000-0000-0000B9070000}"/>
    <cellStyle name="Comma 3 2 4 3 3 3" xfId="2011" xr:uid="{00000000-0005-0000-0000-0000BA070000}"/>
    <cellStyle name="Comma 3 2 4 3 3 4" xfId="2012" xr:uid="{00000000-0005-0000-0000-0000BB070000}"/>
    <cellStyle name="Comma 3 2 4 3 3 5" xfId="2013" xr:uid="{00000000-0005-0000-0000-0000BC070000}"/>
    <cellStyle name="Comma 3 2 4 3 3 6" xfId="2014" xr:uid="{00000000-0005-0000-0000-0000BD070000}"/>
    <cellStyle name="Comma 3 2 4 3 4" xfId="2015" xr:uid="{00000000-0005-0000-0000-0000BE070000}"/>
    <cellStyle name="Comma 3 2 4 3 5" xfId="2016" xr:uid="{00000000-0005-0000-0000-0000BF070000}"/>
    <cellStyle name="Comma 3 2 4 3 6" xfId="2017" xr:uid="{00000000-0005-0000-0000-0000C0070000}"/>
    <cellStyle name="Comma 3 2 4 3 7" xfId="2018" xr:uid="{00000000-0005-0000-0000-0000C1070000}"/>
    <cellStyle name="Comma 3 2 4 3 8" xfId="2019" xr:uid="{00000000-0005-0000-0000-0000C2070000}"/>
    <cellStyle name="Comma 3 2 4 4" xfId="2020" xr:uid="{00000000-0005-0000-0000-0000C3070000}"/>
    <cellStyle name="Comma 3 2 4 4 2" xfId="2021" xr:uid="{00000000-0005-0000-0000-0000C4070000}"/>
    <cellStyle name="Comma 3 2 4 4 2 2" xfId="2022" xr:uid="{00000000-0005-0000-0000-0000C5070000}"/>
    <cellStyle name="Comma 3 2 4 4 2 3" xfId="2023" xr:uid="{00000000-0005-0000-0000-0000C6070000}"/>
    <cellStyle name="Comma 3 2 4 4 2 4" xfId="2024" xr:uid="{00000000-0005-0000-0000-0000C7070000}"/>
    <cellStyle name="Comma 3 2 4 4 2 5" xfId="2025" xr:uid="{00000000-0005-0000-0000-0000C8070000}"/>
    <cellStyle name="Comma 3 2 4 4 2 6" xfId="2026" xr:uid="{00000000-0005-0000-0000-0000C9070000}"/>
    <cellStyle name="Comma 3 2 4 4 3" xfId="2027" xr:uid="{00000000-0005-0000-0000-0000CA070000}"/>
    <cellStyle name="Comma 3 2 4 4 3 2" xfId="2028" xr:uid="{00000000-0005-0000-0000-0000CB070000}"/>
    <cellStyle name="Comma 3 2 4 4 3 3" xfId="2029" xr:uid="{00000000-0005-0000-0000-0000CC070000}"/>
    <cellStyle name="Comma 3 2 4 4 3 4" xfId="2030" xr:uid="{00000000-0005-0000-0000-0000CD070000}"/>
    <cellStyle name="Comma 3 2 4 4 3 5" xfId="2031" xr:uid="{00000000-0005-0000-0000-0000CE070000}"/>
    <cellStyle name="Comma 3 2 4 4 3 6" xfId="2032" xr:uid="{00000000-0005-0000-0000-0000CF070000}"/>
    <cellStyle name="Comma 3 2 4 4 4" xfId="2033" xr:uid="{00000000-0005-0000-0000-0000D0070000}"/>
    <cellStyle name="Comma 3 2 4 4 5" xfId="2034" xr:uid="{00000000-0005-0000-0000-0000D1070000}"/>
    <cellStyle name="Comma 3 2 4 4 6" xfId="2035" xr:uid="{00000000-0005-0000-0000-0000D2070000}"/>
    <cellStyle name="Comma 3 2 4 4 7" xfId="2036" xr:uid="{00000000-0005-0000-0000-0000D3070000}"/>
    <cellStyle name="Comma 3 2 4 4 8" xfId="2037" xr:uid="{00000000-0005-0000-0000-0000D4070000}"/>
    <cellStyle name="Comma 3 2 4 5" xfId="2038" xr:uid="{00000000-0005-0000-0000-0000D5070000}"/>
    <cellStyle name="Comma 3 2 4 5 2" xfId="2039" xr:uid="{00000000-0005-0000-0000-0000D6070000}"/>
    <cellStyle name="Comma 3 2 4 5 3" xfId="2040" xr:uid="{00000000-0005-0000-0000-0000D7070000}"/>
    <cellStyle name="Comma 3 2 4 5 4" xfId="2041" xr:uid="{00000000-0005-0000-0000-0000D8070000}"/>
    <cellStyle name="Comma 3 2 4 5 5" xfId="2042" xr:uid="{00000000-0005-0000-0000-0000D9070000}"/>
    <cellStyle name="Comma 3 2 4 5 6" xfId="2043" xr:uid="{00000000-0005-0000-0000-0000DA070000}"/>
    <cellStyle name="Comma 3 2 4 6" xfId="2044" xr:uid="{00000000-0005-0000-0000-0000DB070000}"/>
    <cellStyle name="Comma 3 2 4 6 2" xfId="2045" xr:uid="{00000000-0005-0000-0000-0000DC070000}"/>
    <cellStyle name="Comma 3 2 4 6 3" xfId="2046" xr:uid="{00000000-0005-0000-0000-0000DD070000}"/>
    <cellStyle name="Comma 3 2 4 6 4" xfId="2047" xr:uid="{00000000-0005-0000-0000-0000DE070000}"/>
    <cellStyle name="Comma 3 2 4 6 5" xfId="2048" xr:uid="{00000000-0005-0000-0000-0000DF070000}"/>
    <cellStyle name="Comma 3 2 4 6 6" xfId="2049" xr:uid="{00000000-0005-0000-0000-0000E0070000}"/>
    <cellStyle name="Comma 3 2 4 7" xfId="2050" xr:uid="{00000000-0005-0000-0000-0000E1070000}"/>
    <cellStyle name="Comma 3 2 4 8" xfId="2051" xr:uid="{00000000-0005-0000-0000-0000E2070000}"/>
    <cellStyle name="Comma 3 2 4 9" xfId="2052" xr:uid="{00000000-0005-0000-0000-0000E3070000}"/>
    <cellStyle name="Comma 3 2 5" xfId="40902" xr:uid="{00000000-0005-0000-0000-0000E4070000}"/>
    <cellStyle name="Comma 3 3" xfId="2053" xr:uid="{00000000-0005-0000-0000-0000E5070000}"/>
    <cellStyle name="Comma 3 3 2" xfId="2054" xr:uid="{00000000-0005-0000-0000-0000E6070000}"/>
    <cellStyle name="Comma 3 3 2 10" xfId="2055" xr:uid="{00000000-0005-0000-0000-0000E7070000}"/>
    <cellStyle name="Comma 3 3 2 11" xfId="2056" xr:uid="{00000000-0005-0000-0000-0000E8070000}"/>
    <cellStyle name="Comma 3 3 2 12" xfId="2057" xr:uid="{00000000-0005-0000-0000-0000E9070000}"/>
    <cellStyle name="Comma 3 3 2 2" xfId="2058" xr:uid="{00000000-0005-0000-0000-0000EA070000}"/>
    <cellStyle name="Comma 3 3 2 2 10" xfId="2059" xr:uid="{00000000-0005-0000-0000-0000EB070000}"/>
    <cellStyle name="Comma 3 3 2 2 11" xfId="2060" xr:uid="{00000000-0005-0000-0000-0000EC070000}"/>
    <cellStyle name="Comma 3 3 2 2 2" xfId="2061" xr:uid="{00000000-0005-0000-0000-0000ED070000}"/>
    <cellStyle name="Comma 3 3 2 2 2 2" xfId="2062" xr:uid="{00000000-0005-0000-0000-0000EE070000}"/>
    <cellStyle name="Comma 3 3 2 2 2 2 2" xfId="2063" xr:uid="{00000000-0005-0000-0000-0000EF070000}"/>
    <cellStyle name="Comma 3 3 2 2 2 2 3" xfId="2064" xr:uid="{00000000-0005-0000-0000-0000F0070000}"/>
    <cellStyle name="Comma 3 3 2 2 2 2 4" xfId="2065" xr:uid="{00000000-0005-0000-0000-0000F1070000}"/>
    <cellStyle name="Comma 3 3 2 2 2 2 5" xfId="2066" xr:uid="{00000000-0005-0000-0000-0000F2070000}"/>
    <cellStyle name="Comma 3 3 2 2 2 2 6" xfId="2067" xr:uid="{00000000-0005-0000-0000-0000F3070000}"/>
    <cellStyle name="Comma 3 3 2 2 2 3" xfId="2068" xr:uid="{00000000-0005-0000-0000-0000F4070000}"/>
    <cellStyle name="Comma 3 3 2 2 2 3 2" xfId="2069" xr:uid="{00000000-0005-0000-0000-0000F5070000}"/>
    <cellStyle name="Comma 3 3 2 2 2 3 3" xfId="2070" xr:uid="{00000000-0005-0000-0000-0000F6070000}"/>
    <cellStyle name="Comma 3 3 2 2 2 3 4" xfId="2071" xr:uid="{00000000-0005-0000-0000-0000F7070000}"/>
    <cellStyle name="Comma 3 3 2 2 2 3 5" xfId="2072" xr:uid="{00000000-0005-0000-0000-0000F8070000}"/>
    <cellStyle name="Comma 3 3 2 2 2 3 6" xfId="2073" xr:uid="{00000000-0005-0000-0000-0000F9070000}"/>
    <cellStyle name="Comma 3 3 2 2 2 4" xfId="2074" xr:uid="{00000000-0005-0000-0000-0000FA070000}"/>
    <cellStyle name="Comma 3 3 2 2 2 5" xfId="2075" xr:uid="{00000000-0005-0000-0000-0000FB070000}"/>
    <cellStyle name="Comma 3 3 2 2 2 6" xfId="2076" xr:uid="{00000000-0005-0000-0000-0000FC070000}"/>
    <cellStyle name="Comma 3 3 2 2 2 7" xfId="2077" xr:uid="{00000000-0005-0000-0000-0000FD070000}"/>
    <cellStyle name="Comma 3 3 2 2 2 8" xfId="2078" xr:uid="{00000000-0005-0000-0000-0000FE070000}"/>
    <cellStyle name="Comma 3 3 2 2 3" xfId="2079" xr:uid="{00000000-0005-0000-0000-0000FF070000}"/>
    <cellStyle name="Comma 3 3 2 2 3 2" xfId="2080" xr:uid="{00000000-0005-0000-0000-000000080000}"/>
    <cellStyle name="Comma 3 3 2 2 3 2 2" xfId="2081" xr:uid="{00000000-0005-0000-0000-000001080000}"/>
    <cellStyle name="Comma 3 3 2 2 3 2 3" xfId="2082" xr:uid="{00000000-0005-0000-0000-000002080000}"/>
    <cellStyle name="Comma 3 3 2 2 3 2 4" xfId="2083" xr:uid="{00000000-0005-0000-0000-000003080000}"/>
    <cellStyle name="Comma 3 3 2 2 3 2 5" xfId="2084" xr:uid="{00000000-0005-0000-0000-000004080000}"/>
    <cellStyle name="Comma 3 3 2 2 3 2 6" xfId="2085" xr:uid="{00000000-0005-0000-0000-000005080000}"/>
    <cellStyle name="Comma 3 3 2 2 3 3" xfId="2086" xr:uid="{00000000-0005-0000-0000-000006080000}"/>
    <cellStyle name="Comma 3 3 2 2 3 3 2" xfId="2087" xr:uid="{00000000-0005-0000-0000-000007080000}"/>
    <cellStyle name="Comma 3 3 2 2 3 3 3" xfId="2088" xr:uid="{00000000-0005-0000-0000-000008080000}"/>
    <cellStyle name="Comma 3 3 2 2 3 3 4" xfId="2089" xr:uid="{00000000-0005-0000-0000-000009080000}"/>
    <cellStyle name="Comma 3 3 2 2 3 3 5" xfId="2090" xr:uid="{00000000-0005-0000-0000-00000A080000}"/>
    <cellStyle name="Comma 3 3 2 2 3 3 6" xfId="2091" xr:uid="{00000000-0005-0000-0000-00000B080000}"/>
    <cellStyle name="Comma 3 3 2 2 3 4" xfId="2092" xr:uid="{00000000-0005-0000-0000-00000C080000}"/>
    <cellStyle name="Comma 3 3 2 2 3 5" xfId="2093" xr:uid="{00000000-0005-0000-0000-00000D080000}"/>
    <cellStyle name="Comma 3 3 2 2 3 6" xfId="2094" xr:uid="{00000000-0005-0000-0000-00000E080000}"/>
    <cellStyle name="Comma 3 3 2 2 3 7" xfId="2095" xr:uid="{00000000-0005-0000-0000-00000F080000}"/>
    <cellStyle name="Comma 3 3 2 2 3 8" xfId="2096" xr:uid="{00000000-0005-0000-0000-000010080000}"/>
    <cellStyle name="Comma 3 3 2 2 4" xfId="2097" xr:uid="{00000000-0005-0000-0000-000011080000}"/>
    <cellStyle name="Comma 3 3 2 2 4 2" xfId="2098" xr:uid="{00000000-0005-0000-0000-000012080000}"/>
    <cellStyle name="Comma 3 3 2 2 4 2 2" xfId="2099" xr:uid="{00000000-0005-0000-0000-000013080000}"/>
    <cellStyle name="Comma 3 3 2 2 4 2 3" xfId="2100" xr:uid="{00000000-0005-0000-0000-000014080000}"/>
    <cellStyle name="Comma 3 3 2 2 4 2 4" xfId="2101" xr:uid="{00000000-0005-0000-0000-000015080000}"/>
    <cellStyle name="Comma 3 3 2 2 4 2 5" xfId="2102" xr:uid="{00000000-0005-0000-0000-000016080000}"/>
    <cellStyle name="Comma 3 3 2 2 4 2 6" xfId="2103" xr:uid="{00000000-0005-0000-0000-000017080000}"/>
    <cellStyle name="Comma 3 3 2 2 4 3" xfId="2104" xr:uid="{00000000-0005-0000-0000-000018080000}"/>
    <cellStyle name="Comma 3 3 2 2 4 3 2" xfId="2105" xr:uid="{00000000-0005-0000-0000-000019080000}"/>
    <cellStyle name="Comma 3 3 2 2 4 3 3" xfId="2106" xr:uid="{00000000-0005-0000-0000-00001A080000}"/>
    <cellStyle name="Comma 3 3 2 2 4 3 4" xfId="2107" xr:uid="{00000000-0005-0000-0000-00001B080000}"/>
    <cellStyle name="Comma 3 3 2 2 4 3 5" xfId="2108" xr:uid="{00000000-0005-0000-0000-00001C080000}"/>
    <cellStyle name="Comma 3 3 2 2 4 3 6" xfId="2109" xr:uid="{00000000-0005-0000-0000-00001D080000}"/>
    <cellStyle name="Comma 3 3 2 2 4 4" xfId="2110" xr:uid="{00000000-0005-0000-0000-00001E080000}"/>
    <cellStyle name="Comma 3 3 2 2 4 5" xfId="2111" xr:uid="{00000000-0005-0000-0000-00001F080000}"/>
    <cellStyle name="Comma 3 3 2 2 4 6" xfId="2112" xr:uid="{00000000-0005-0000-0000-000020080000}"/>
    <cellStyle name="Comma 3 3 2 2 4 7" xfId="2113" xr:uid="{00000000-0005-0000-0000-000021080000}"/>
    <cellStyle name="Comma 3 3 2 2 4 8" xfId="2114" xr:uid="{00000000-0005-0000-0000-000022080000}"/>
    <cellStyle name="Comma 3 3 2 2 5" xfId="2115" xr:uid="{00000000-0005-0000-0000-000023080000}"/>
    <cellStyle name="Comma 3 3 2 2 5 2" xfId="2116" xr:uid="{00000000-0005-0000-0000-000024080000}"/>
    <cellStyle name="Comma 3 3 2 2 5 3" xfId="2117" xr:uid="{00000000-0005-0000-0000-000025080000}"/>
    <cellStyle name="Comma 3 3 2 2 5 4" xfId="2118" xr:uid="{00000000-0005-0000-0000-000026080000}"/>
    <cellStyle name="Comma 3 3 2 2 5 5" xfId="2119" xr:uid="{00000000-0005-0000-0000-000027080000}"/>
    <cellStyle name="Comma 3 3 2 2 5 6" xfId="2120" xr:uid="{00000000-0005-0000-0000-000028080000}"/>
    <cellStyle name="Comma 3 3 2 2 6" xfId="2121" xr:uid="{00000000-0005-0000-0000-000029080000}"/>
    <cellStyle name="Comma 3 3 2 2 6 2" xfId="2122" xr:uid="{00000000-0005-0000-0000-00002A080000}"/>
    <cellStyle name="Comma 3 3 2 2 6 3" xfId="2123" xr:uid="{00000000-0005-0000-0000-00002B080000}"/>
    <cellStyle name="Comma 3 3 2 2 6 4" xfId="2124" xr:uid="{00000000-0005-0000-0000-00002C080000}"/>
    <cellStyle name="Comma 3 3 2 2 6 5" xfId="2125" xr:uid="{00000000-0005-0000-0000-00002D080000}"/>
    <cellStyle name="Comma 3 3 2 2 6 6" xfId="2126" xr:uid="{00000000-0005-0000-0000-00002E080000}"/>
    <cellStyle name="Comma 3 3 2 2 7" xfId="2127" xr:uid="{00000000-0005-0000-0000-00002F080000}"/>
    <cellStyle name="Comma 3 3 2 2 8" xfId="2128" xr:uid="{00000000-0005-0000-0000-000030080000}"/>
    <cellStyle name="Comma 3 3 2 2 9" xfId="2129" xr:uid="{00000000-0005-0000-0000-000031080000}"/>
    <cellStyle name="Comma 3 3 2 3" xfId="2130" xr:uid="{00000000-0005-0000-0000-000032080000}"/>
    <cellStyle name="Comma 3 3 2 3 2" xfId="2131" xr:uid="{00000000-0005-0000-0000-000033080000}"/>
    <cellStyle name="Comma 3 3 2 3 2 2" xfId="2132" xr:uid="{00000000-0005-0000-0000-000034080000}"/>
    <cellStyle name="Comma 3 3 2 3 2 3" xfId="2133" xr:uid="{00000000-0005-0000-0000-000035080000}"/>
    <cellStyle name="Comma 3 3 2 3 2 4" xfId="2134" xr:uid="{00000000-0005-0000-0000-000036080000}"/>
    <cellStyle name="Comma 3 3 2 3 2 5" xfId="2135" xr:uid="{00000000-0005-0000-0000-000037080000}"/>
    <cellStyle name="Comma 3 3 2 3 2 6" xfId="2136" xr:uid="{00000000-0005-0000-0000-000038080000}"/>
    <cellStyle name="Comma 3 3 2 3 3" xfId="2137" xr:uid="{00000000-0005-0000-0000-000039080000}"/>
    <cellStyle name="Comma 3 3 2 3 3 2" xfId="2138" xr:uid="{00000000-0005-0000-0000-00003A080000}"/>
    <cellStyle name="Comma 3 3 2 3 3 3" xfId="2139" xr:uid="{00000000-0005-0000-0000-00003B080000}"/>
    <cellStyle name="Comma 3 3 2 3 3 4" xfId="2140" xr:uid="{00000000-0005-0000-0000-00003C080000}"/>
    <cellStyle name="Comma 3 3 2 3 3 5" xfId="2141" xr:uid="{00000000-0005-0000-0000-00003D080000}"/>
    <cellStyle name="Comma 3 3 2 3 3 6" xfId="2142" xr:uid="{00000000-0005-0000-0000-00003E080000}"/>
    <cellStyle name="Comma 3 3 2 3 4" xfId="2143" xr:uid="{00000000-0005-0000-0000-00003F080000}"/>
    <cellStyle name="Comma 3 3 2 3 5" xfId="2144" xr:uid="{00000000-0005-0000-0000-000040080000}"/>
    <cellStyle name="Comma 3 3 2 3 6" xfId="2145" xr:uid="{00000000-0005-0000-0000-000041080000}"/>
    <cellStyle name="Comma 3 3 2 3 7" xfId="2146" xr:uid="{00000000-0005-0000-0000-000042080000}"/>
    <cellStyle name="Comma 3 3 2 3 8" xfId="2147" xr:uid="{00000000-0005-0000-0000-000043080000}"/>
    <cellStyle name="Comma 3 3 2 4" xfId="2148" xr:uid="{00000000-0005-0000-0000-000044080000}"/>
    <cellStyle name="Comma 3 3 2 4 2" xfId="2149" xr:uid="{00000000-0005-0000-0000-000045080000}"/>
    <cellStyle name="Comma 3 3 2 4 2 2" xfId="2150" xr:uid="{00000000-0005-0000-0000-000046080000}"/>
    <cellStyle name="Comma 3 3 2 4 2 3" xfId="2151" xr:uid="{00000000-0005-0000-0000-000047080000}"/>
    <cellStyle name="Comma 3 3 2 4 2 4" xfId="2152" xr:uid="{00000000-0005-0000-0000-000048080000}"/>
    <cellStyle name="Comma 3 3 2 4 2 5" xfId="2153" xr:uid="{00000000-0005-0000-0000-000049080000}"/>
    <cellStyle name="Comma 3 3 2 4 2 6" xfId="2154" xr:uid="{00000000-0005-0000-0000-00004A080000}"/>
    <cellStyle name="Comma 3 3 2 4 3" xfId="2155" xr:uid="{00000000-0005-0000-0000-00004B080000}"/>
    <cellStyle name="Comma 3 3 2 4 3 2" xfId="2156" xr:uid="{00000000-0005-0000-0000-00004C080000}"/>
    <cellStyle name="Comma 3 3 2 4 3 3" xfId="2157" xr:uid="{00000000-0005-0000-0000-00004D080000}"/>
    <cellStyle name="Comma 3 3 2 4 3 4" xfId="2158" xr:uid="{00000000-0005-0000-0000-00004E080000}"/>
    <cellStyle name="Comma 3 3 2 4 3 5" xfId="2159" xr:uid="{00000000-0005-0000-0000-00004F080000}"/>
    <cellStyle name="Comma 3 3 2 4 3 6" xfId="2160" xr:uid="{00000000-0005-0000-0000-000050080000}"/>
    <cellStyle name="Comma 3 3 2 4 4" xfId="2161" xr:uid="{00000000-0005-0000-0000-000051080000}"/>
    <cellStyle name="Comma 3 3 2 4 5" xfId="2162" xr:uid="{00000000-0005-0000-0000-000052080000}"/>
    <cellStyle name="Comma 3 3 2 4 6" xfId="2163" xr:uid="{00000000-0005-0000-0000-000053080000}"/>
    <cellStyle name="Comma 3 3 2 4 7" xfId="2164" xr:uid="{00000000-0005-0000-0000-000054080000}"/>
    <cellStyle name="Comma 3 3 2 4 8" xfId="2165" xr:uid="{00000000-0005-0000-0000-000055080000}"/>
    <cellStyle name="Comma 3 3 2 5" xfId="2166" xr:uid="{00000000-0005-0000-0000-000056080000}"/>
    <cellStyle name="Comma 3 3 2 5 2" xfId="2167" xr:uid="{00000000-0005-0000-0000-000057080000}"/>
    <cellStyle name="Comma 3 3 2 5 2 2" xfId="2168" xr:uid="{00000000-0005-0000-0000-000058080000}"/>
    <cellStyle name="Comma 3 3 2 5 2 3" xfId="2169" xr:uid="{00000000-0005-0000-0000-000059080000}"/>
    <cellStyle name="Comma 3 3 2 5 2 4" xfId="2170" xr:uid="{00000000-0005-0000-0000-00005A080000}"/>
    <cellStyle name="Comma 3 3 2 5 2 5" xfId="2171" xr:uid="{00000000-0005-0000-0000-00005B080000}"/>
    <cellStyle name="Comma 3 3 2 5 2 6" xfId="2172" xr:uid="{00000000-0005-0000-0000-00005C080000}"/>
    <cellStyle name="Comma 3 3 2 5 3" xfId="2173" xr:uid="{00000000-0005-0000-0000-00005D080000}"/>
    <cellStyle name="Comma 3 3 2 5 3 2" xfId="2174" xr:uid="{00000000-0005-0000-0000-00005E080000}"/>
    <cellStyle name="Comma 3 3 2 5 3 3" xfId="2175" xr:uid="{00000000-0005-0000-0000-00005F080000}"/>
    <cellStyle name="Comma 3 3 2 5 3 4" xfId="2176" xr:uid="{00000000-0005-0000-0000-000060080000}"/>
    <cellStyle name="Comma 3 3 2 5 3 5" xfId="2177" xr:uid="{00000000-0005-0000-0000-000061080000}"/>
    <cellStyle name="Comma 3 3 2 5 3 6" xfId="2178" xr:uid="{00000000-0005-0000-0000-000062080000}"/>
    <cellStyle name="Comma 3 3 2 5 4" xfId="2179" xr:uid="{00000000-0005-0000-0000-000063080000}"/>
    <cellStyle name="Comma 3 3 2 5 5" xfId="2180" xr:uid="{00000000-0005-0000-0000-000064080000}"/>
    <cellStyle name="Comma 3 3 2 5 6" xfId="2181" xr:uid="{00000000-0005-0000-0000-000065080000}"/>
    <cellStyle name="Comma 3 3 2 5 7" xfId="2182" xr:uid="{00000000-0005-0000-0000-000066080000}"/>
    <cellStyle name="Comma 3 3 2 5 8" xfId="2183" xr:uid="{00000000-0005-0000-0000-000067080000}"/>
    <cellStyle name="Comma 3 3 2 6" xfId="2184" xr:uid="{00000000-0005-0000-0000-000068080000}"/>
    <cellStyle name="Comma 3 3 2 6 2" xfId="2185" xr:uid="{00000000-0005-0000-0000-000069080000}"/>
    <cellStyle name="Comma 3 3 2 6 3" xfId="2186" xr:uid="{00000000-0005-0000-0000-00006A080000}"/>
    <cellStyle name="Comma 3 3 2 6 4" xfId="2187" xr:uid="{00000000-0005-0000-0000-00006B080000}"/>
    <cellStyle name="Comma 3 3 2 6 5" xfId="2188" xr:uid="{00000000-0005-0000-0000-00006C080000}"/>
    <cellStyle name="Comma 3 3 2 6 6" xfId="2189" xr:uid="{00000000-0005-0000-0000-00006D080000}"/>
    <cellStyle name="Comma 3 3 2 7" xfId="2190" xr:uid="{00000000-0005-0000-0000-00006E080000}"/>
    <cellStyle name="Comma 3 3 2 7 2" xfId="2191" xr:uid="{00000000-0005-0000-0000-00006F080000}"/>
    <cellStyle name="Comma 3 3 2 7 3" xfId="2192" xr:uid="{00000000-0005-0000-0000-000070080000}"/>
    <cellStyle name="Comma 3 3 2 7 4" xfId="2193" xr:uid="{00000000-0005-0000-0000-000071080000}"/>
    <cellStyle name="Comma 3 3 2 7 5" xfId="2194" xr:uid="{00000000-0005-0000-0000-000072080000}"/>
    <cellStyle name="Comma 3 3 2 7 6" xfId="2195" xr:uid="{00000000-0005-0000-0000-000073080000}"/>
    <cellStyle name="Comma 3 3 2 8" xfId="2196" xr:uid="{00000000-0005-0000-0000-000074080000}"/>
    <cellStyle name="Comma 3 3 2 9" xfId="2197" xr:uid="{00000000-0005-0000-0000-000075080000}"/>
    <cellStyle name="Comma 3 3 3" xfId="2198" xr:uid="{00000000-0005-0000-0000-000076080000}"/>
    <cellStyle name="Comma 3 3 3 2" xfId="2199" xr:uid="{00000000-0005-0000-0000-000077080000}"/>
    <cellStyle name="Comma 3 3 4" xfId="2200" xr:uid="{00000000-0005-0000-0000-000078080000}"/>
    <cellStyle name="Comma 3 4" xfId="2201" xr:uid="{00000000-0005-0000-0000-000079080000}"/>
    <cellStyle name="Comma 3 4 2" xfId="2202" xr:uid="{00000000-0005-0000-0000-00007A080000}"/>
    <cellStyle name="Comma 3 4 2 10" xfId="2203" xr:uid="{00000000-0005-0000-0000-00007B080000}"/>
    <cellStyle name="Comma 3 4 2 11" xfId="2204" xr:uid="{00000000-0005-0000-0000-00007C080000}"/>
    <cellStyle name="Comma 3 4 2 2" xfId="2205" xr:uid="{00000000-0005-0000-0000-00007D080000}"/>
    <cellStyle name="Comma 3 4 2 2 2" xfId="2206" xr:uid="{00000000-0005-0000-0000-00007E080000}"/>
    <cellStyle name="Comma 3 4 2 2 2 2" xfId="2207" xr:uid="{00000000-0005-0000-0000-00007F080000}"/>
    <cellStyle name="Comma 3 4 2 2 2 3" xfId="2208" xr:uid="{00000000-0005-0000-0000-000080080000}"/>
    <cellStyle name="Comma 3 4 2 2 2 4" xfId="2209" xr:uid="{00000000-0005-0000-0000-000081080000}"/>
    <cellStyle name="Comma 3 4 2 2 2 5" xfId="2210" xr:uid="{00000000-0005-0000-0000-000082080000}"/>
    <cellStyle name="Comma 3 4 2 2 2 6" xfId="2211" xr:uid="{00000000-0005-0000-0000-000083080000}"/>
    <cellStyle name="Comma 3 4 2 2 3" xfId="2212" xr:uid="{00000000-0005-0000-0000-000084080000}"/>
    <cellStyle name="Comma 3 4 2 2 3 2" xfId="2213" xr:uid="{00000000-0005-0000-0000-000085080000}"/>
    <cellStyle name="Comma 3 4 2 2 3 3" xfId="2214" xr:uid="{00000000-0005-0000-0000-000086080000}"/>
    <cellStyle name="Comma 3 4 2 2 3 4" xfId="2215" xr:uid="{00000000-0005-0000-0000-000087080000}"/>
    <cellStyle name="Comma 3 4 2 2 3 5" xfId="2216" xr:uid="{00000000-0005-0000-0000-000088080000}"/>
    <cellStyle name="Comma 3 4 2 2 3 6" xfId="2217" xr:uid="{00000000-0005-0000-0000-000089080000}"/>
    <cellStyle name="Comma 3 4 2 2 4" xfId="2218" xr:uid="{00000000-0005-0000-0000-00008A080000}"/>
    <cellStyle name="Comma 3 4 2 2 5" xfId="2219" xr:uid="{00000000-0005-0000-0000-00008B080000}"/>
    <cellStyle name="Comma 3 4 2 2 6" xfId="2220" xr:uid="{00000000-0005-0000-0000-00008C080000}"/>
    <cellStyle name="Comma 3 4 2 2 7" xfId="2221" xr:uid="{00000000-0005-0000-0000-00008D080000}"/>
    <cellStyle name="Comma 3 4 2 2 8" xfId="2222" xr:uid="{00000000-0005-0000-0000-00008E080000}"/>
    <cellStyle name="Comma 3 4 2 3" xfId="2223" xr:uid="{00000000-0005-0000-0000-00008F080000}"/>
    <cellStyle name="Comma 3 4 2 3 2" xfId="2224" xr:uid="{00000000-0005-0000-0000-000090080000}"/>
    <cellStyle name="Comma 3 4 2 3 2 2" xfId="2225" xr:uid="{00000000-0005-0000-0000-000091080000}"/>
    <cellStyle name="Comma 3 4 2 3 2 3" xfId="2226" xr:uid="{00000000-0005-0000-0000-000092080000}"/>
    <cellStyle name="Comma 3 4 2 3 2 4" xfId="2227" xr:uid="{00000000-0005-0000-0000-000093080000}"/>
    <cellStyle name="Comma 3 4 2 3 2 5" xfId="2228" xr:uid="{00000000-0005-0000-0000-000094080000}"/>
    <cellStyle name="Comma 3 4 2 3 2 6" xfId="2229" xr:uid="{00000000-0005-0000-0000-000095080000}"/>
    <cellStyle name="Comma 3 4 2 3 3" xfId="2230" xr:uid="{00000000-0005-0000-0000-000096080000}"/>
    <cellStyle name="Comma 3 4 2 3 3 2" xfId="2231" xr:uid="{00000000-0005-0000-0000-000097080000}"/>
    <cellStyle name="Comma 3 4 2 3 3 3" xfId="2232" xr:uid="{00000000-0005-0000-0000-000098080000}"/>
    <cellStyle name="Comma 3 4 2 3 3 4" xfId="2233" xr:uid="{00000000-0005-0000-0000-000099080000}"/>
    <cellStyle name="Comma 3 4 2 3 3 5" xfId="2234" xr:uid="{00000000-0005-0000-0000-00009A080000}"/>
    <cellStyle name="Comma 3 4 2 3 3 6" xfId="2235" xr:uid="{00000000-0005-0000-0000-00009B080000}"/>
    <cellStyle name="Comma 3 4 2 3 4" xfId="2236" xr:uid="{00000000-0005-0000-0000-00009C080000}"/>
    <cellStyle name="Comma 3 4 2 3 5" xfId="2237" xr:uid="{00000000-0005-0000-0000-00009D080000}"/>
    <cellStyle name="Comma 3 4 2 3 6" xfId="2238" xr:uid="{00000000-0005-0000-0000-00009E080000}"/>
    <cellStyle name="Comma 3 4 2 3 7" xfId="2239" xr:uid="{00000000-0005-0000-0000-00009F080000}"/>
    <cellStyle name="Comma 3 4 2 3 8" xfId="2240" xr:uid="{00000000-0005-0000-0000-0000A0080000}"/>
    <cellStyle name="Comma 3 4 2 4" xfId="2241" xr:uid="{00000000-0005-0000-0000-0000A1080000}"/>
    <cellStyle name="Comma 3 4 2 4 2" xfId="2242" xr:uid="{00000000-0005-0000-0000-0000A2080000}"/>
    <cellStyle name="Comma 3 4 2 4 2 2" xfId="2243" xr:uid="{00000000-0005-0000-0000-0000A3080000}"/>
    <cellStyle name="Comma 3 4 2 4 2 3" xfId="2244" xr:uid="{00000000-0005-0000-0000-0000A4080000}"/>
    <cellStyle name="Comma 3 4 2 4 2 4" xfId="2245" xr:uid="{00000000-0005-0000-0000-0000A5080000}"/>
    <cellStyle name="Comma 3 4 2 4 2 5" xfId="2246" xr:uid="{00000000-0005-0000-0000-0000A6080000}"/>
    <cellStyle name="Comma 3 4 2 4 2 6" xfId="2247" xr:uid="{00000000-0005-0000-0000-0000A7080000}"/>
    <cellStyle name="Comma 3 4 2 4 3" xfId="2248" xr:uid="{00000000-0005-0000-0000-0000A8080000}"/>
    <cellStyle name="Comma 3 4 2 4 3 2" xfId="2249" xr:uid="{00000000-0005-0000-0000-0000A9080000}"/>
    <cellStyle name="Comma 3 4 2 4 3 3" xfId="2250" xr:uid="{00000000-0005-0000-0000-0000AA080000}"/>
    <cellStyle name="Comma 3 4 2 4 3 4" xfId="2251" xr:uid="{00000000-0005-0000-0000-0000AB080000}"/>
    <cellStyle name="Comma 3 4 2 4 3 5" xfId="2252" xr:uid="{00000000-0005-0000-0000-0000AC080000}"/>
    <cellStyle name="Comma 3 4 2 4 3 6" xfId="2253" xr:uid="{00000000-0005-0000-0000-0000AD080000}"/>
    <cellStyle name="Comma 3 4 2 4 4" xfId="2254" xr:uid="{00000000-0005-0000-0000-0000AE080000}"/>
    <cellStyle name="Comma 3 4 2 4 5" xfId="2255" xr:uid="{00000000-0005-0000-0000-0000AF080000}"/>
    <cellStyle name="Comma 3 4 2 4 6" xfId="2256" xr:uid="{00000000-0005-0000-0000-0000B0080000}"/>
    <cellStyle name="Comma 3 4 2 4 7" xfId="2257" xr:uid="{00000000-0005-0000-0000-0000B1080000}"/>
    <cellStyle name="Comma 3 4 2 4 8" xfId="2258" xr:uid="{00000000-0005-0000-0000-0000B2080000}"/>
    <cellStyle name="Comma 3 4 2 5" xfId="2259" xr:uid="{00000000-0005-0000-0000-0000B3080000}"/>
    <cellStyle name="Comma 3 4 2 5 2" xfId="2260" xr:uid="{00000000-0005-0000-0000-0000B4080000}"/>
    <cellStyle name="Comma 3 4 2 5 3" xfId="2261" xr:uid="{00000000-0005-0000-0000-0000B5080000}"/>
    <cellStyle name="Comma 3 4 2 5 4" xfId="2262" xr:uid="{00000000-0005-0000-0000-0000B6080000}"/>
    <cellStyle name="Comma 3 4 2 5 5" xfId="2263" xr:uid="{00000000-0005-0000-0000-0000B7080000}"/>
    <cellStyle name="Comma 3 4 2 5 6" xfId="2264" xr:uid="{00000000-0005-0000-0000-0000B8080000}"/>
    <cellStyle name="Comma 3 4 2 6" xfId="2265" xr:uid="{00000000-0005-0000-0000-0000B9080000}"/>
    <cellStyle name="Comma 3 4 2 6 2" xfId="2266" xr:uid="{00000000-0005-0000-0000-0000BA080000}"/>
    <cellStyle name="Comma 3 4 2 6 3" xfId="2267" xr:uid="{00000000-0005-0000-0000-0000BB080000}"/>
    <cellStyle name="Comma 3 4 2 6 4" xfId="2268" xr:uid="{00000000-0005-0000-0000-0000BC080000}"/>
    <cellStyle name="Comma 3 4 2 6 5" xfId="2269" xr:uid="{00000000-0005-0000-0000-0000BD080000}"/>
    <cellStyle name="Comma 3 4 2 6 6" xfId="2270" xr:uid="{00000000-0005-0000-0000-0000BE080000}"/>
    <cellStyle name="Comma 3 4 2 7" xfId="2271" xr:uid="{00000000-0005-0000-0000-0000BF080000}"/>
    <cellStyle name="Comma 3 4 2 8" xfId="2272" xr:uid="{00000000-0005-0000-0000-0000C0080000}"/>
    <cellStyle name="Comma 3 4 2 9" xfId="2273" xr:uid="{00000000-0005-0000-0000-0000C1080000}"/>
    <cellStyle name="Comma 3 5" xfId="2274" xr:uid="{00000000-0005-0000-0000-0000C2080000}"/>
    <cellStyle name="Comma 3 6" xfId="2275" xr:uid="{00000000-0005-0000-0000-0000C3080000}"/>
    <cellStyle name="Comma 3 7" xfId="2276" xr:uid="{00000000-0005-0000-0000-0000C4080000}"/>
    <cellStyle name="Comma 3 8" xfId="2277" xr:uid="{00000000-0005-0000-0000-0000C5080000}"/>
    <cellStyle name="Comma 3 9" xfId="2278" xr:uid="{00000000-0005-0000-0000-0000C6080000}"/>
    <cellStyle name="Comma 30" xfId="12" xr:uid="{00000000-0005-0000-0000-0000C7080000}"/>
    <cellStyle name="Comma 30 2" xfId="2279" xr:uid="{00000000-0005-0000-0000-0000C8080000}"/>
    <cellStyle name="Comma 31" xfId="2280" xr:uid="{00000000-0005-0000-0000-0000C9080000}"/>
    <cellStyle name="Comma 31 2" xfId="2281" xr:uid="{00000000-0005-0000-0000-0000CA080000}"/>
    <cellStyle name="Comma 32" xfId="2282" xr:uid="{00000000-0005-0000-0000-0000CB080000}"/>
    <cellStyle name="Comma 32 10" xfId="2283" xr:uid="{00000000-0005-0000-0000-0000CC080000}"/>
    <cellStyle name="Comma 32 11" xfId="2284" xr:uid="{00000000-0005-0000-0000-0000CD080000}"/>
    <cellStyle name="Comma 32 12" xfId="2285" xr:uid="{00000000-0005-0000-0000-0000CE080000}"/>
    <cellStyle name="Comma 32 2" xfId="2286" xr:uid="{00000000-0005-0000-0000-0000CF080000}"/>
    <cellStyle name="Comma 32 2 10" xfId="2287" xr:uid="{00000000-0005-0000-0000-0000D0080000}"/>
    <cellStyle name="Comma 32 2 11" xfId="2288" xr:uid="{00000000-0005-0000-0000-0000D1080000}"/>
    <cellStyle name="Comma 32 2 2" xfId="2289" xr:uid="{00000000-0005-0000-0000-0000D2080000}"/>
    <cellStyle name="Comma 32 2 2 2" xfId="2290" xr:uid="{00000000-0005-0000-0000-0000D3080000}"/>
    <cellStyle name="Comma 32 2 2 2 2" xfId="2291" xr:uid="{00000000-0005-0000-0000-0000D4080000}"/>
    <cellStyle name="Comma 32 2 2 2 3" xfId="2292" xr:uid="{00000000-0005-0000-0000-0000D5080000}"/>
    <cellStyle name="Comma 32 2 2 2 4" xfId="2293" xr:uid="{00000000-0005-0000-0000-0000D6080000}"/>
    <cellStyle name="Comma 32 2 2 2 5" xfId="2294" xr:uid="{00000000-0005-0000-0000-0000D7080000}"/>
    <cellStyle name="Comma 32 2 2 2 6" xfId="2295" xr:uid="{00000000-0005-0000-0000-0000D8080000}"/>
    <cellStyle name="Comma 32 2 2 3" xfId="2296" xr:uid="{00000000-0005-0000-0000-0000D9080000}"/>
    <cellStyle name="Comma 32 2 2 3 2" xfId="2297" xr:uid="{00000000-0005-0000-0000-0000DA080000}"/>
    <cellStyle name="Comma 32 2 2 3 3" xfId="2298" xr:uid="{00000000-0005-0000-0000-0000DB080000}"/>
    <cellStyle name="Comma 32 2 2 3 4" xfId="2299" xr:uid="{00000000-0005-0000-0000-0000DC080000}"/>
    <cellStyle name="Comma 32 2 2 3 5" xfId="2300" xr:uid="{00000000-0005-0000-0000-0000DD080000}"/>
    <cellStyle name="Comma 32 2 2 3 6" xfId="2301" xr:uid="{00000000-0005-0000-0000-0000DE080000}"/>
    <cellStyle name="Comma 32 2 2 4" xfId="2302" xr:uid="{00000000-0005-0000-0000-0000DF080000}"/>
    <cellStyle name="Comma 32 2 2 5" xfId="2303" xr:uid="{00000000-0005-0000-0000-0000E0080000}"/>
    <cellStyle name="Comma 32 2 2 6" xfId="2304" xr:uid="{00000000-0005-0000-0000-0000E1080000}"/>
    <cellStyle name="Comma 32 2 2 7" xfId="2305" xr:uid="{00000000-0005-0000-0000-0000E2080000}"/>
    <cellStyle name="Comma 32 2 2 8" xfId="2306" xr:uid="{00000000-0005-0000-0000-0000E3080000}"/>
    <cellStyle name="Comma 32 2 3" xfId="2307" xr:uid="{00000000-0005-0000-0000-0000E4080000}"/>
    <cellStyle name="Comma 32 2 3 2" xfId="2308" xr:uid="{00000000-0005-0000-0000-0000E5080000}"/>
    <cellStyle name="Comma 32 2 3 2 2" xfId="2309" xr:uid="{00000000-0005-0000-0000-0000E6080000}"/>
    <cellStyle name="Comma 32 2 3 2 3" xfId="2310" xr:uid="{00000000-0005-0000-0000-0000E7080000}"/>
    <cellStyle name="Comma 32 2 3 2 4" xfId="2311" xr:uid="{00000000-0005-0000-0000-0000E8080000}"/>
    <cellStyle name="Comma 32 2 3 2 5" xfId="2312" xr:uid="{00000000-0005-0000-0000-0000E9080000}"/>
    <cellStyle name="Comma 32 2 3 2 6" xfId="2313" xr:uid="{00000000-0005-0000-0000-0000EA080000}"/>
    <cellStyle name="Comma 32 2 3 3" xfId="2314" xr:uid="{00000000-0005-0000-0000-0000EB080000}"/>
    <cellStyle name="Comma 32 2 3 3 2" xfId="2315" xr:uid="{00000000-0005-0000-0000-0000EC080000}"/>
    <cellStyle name="Comma 32 2 3 3 3" xfId="2316" xr:uid="{00000000-0005-0000-0000-0000ED080000}"/>
    <cellStyle name="Comma 32 2 3 3 4" xfId="2317" xr:uid="{00000000-0005-0000-0000-0000EE080000}"/>
    <cellStyle name="Comma 32 2 3 3 5" xfId="2318" xr:uid="{00000000-0005-0000-0000-0000EF080000}"/>
    <cellStyle name="Comma 32 2 3 3 6" xfId="2319" xr:uid="{00000000-0005-0000-0000-0000F0080000}"/>
    <cellStyle name="Comma 32 2 3 4" xfId="2320" xr:uid="{00000000-0005-0000-0000-0000F1080000}"/>
    <cellStyle name="Comma 32 2 3 5" xfId="2321" xr:uid="{00000000-0005-0000-0000-0000F2080000}"/>
    <cellStyle name="Comma 32 2 3 6" xfId="2322" xr:uid="{00000000-0005-0000-0000-0000F3080000}"/>
    <cellStyle name="Comma 32 2 3 7" xfId="2323" xr:uid="{00000000-0005-0000-0000-0000F4080000}"/>
    <cellStyle name="Comma 32 2 3 8" xfId="2324" xr:uid="{00000000-0005-0000-0000-0000F5080000}"/>
    <cellStyle name="Comma 32 2 4" xfId="2325" xr:uid="{00000000-0005-0000-0000-0000F6080000}"/>
    <cellStyle name="Comma 32 2 4 2" xfId="2326" xr:uid="{00000000-0005-0000-0000-0000F7080000}"/>
    <cellStyle name="Comma 32 2 4 2 2" xfId="2327" xr:uid="{00000000-0005-0000-0000-0000F8080000}"/>
    <cellStyle name="Comma 32 2 4 2 3" xfId="2328" xr:uid="{00000000-0005-0000-0000-0000F9080000}"/>
    <cellStyle name="Comma 32 2 4 2 4" xfId="2329" xr:uid="{00000000-0005-0000-0000-0000FA080000}"/>
    <cellStyle name="Comma 32 2 4 2 5" xfId="2330" xr:uid="{00000000-0005-0000-0000-0000FB080000}"/>
    <cellStyle name="Comma 32 2 4 2 6" xfId="2331" xr:uid="{00000000-0005-0000-0000-0000FC080000}"/>
    <cellStyle name="Comma 32 2 4 3" xfId="2332" xr:uid="{00000000-0005-0000-0000-0000FD080000}"/>
    <cellStyle name="Comma 32 2 4 3 2" xfId="2333" xr:uid="{00000000-0005-0000-0000-0000FE080000}"/>
    <cellStyle name="Comma 32 2 4 3 3" xfId="2334" xr:uid="{00000000-0005-0000-0000-0000FF080000}"/>
    <cellStyle name="Comma 32 2 4 3 4" xfId="2335" xr:uid="{00000000-0005-0000-0000-000000090000}"/>
    <cellStyle name="Comma 32 2 4 3 5" xfId="2336" xr:uid="{00000000-0005-0000-0000-000001090000}"/>
    <cellStyle name="Comma 32 2 4 3 6" xfId="2337" xr:uid="{00000000-0005-0000-0000-000002090000}"/>
    <cellStyle name="Comma 32 2 4 4" xfId="2338" xr:uid="{00000000-0005-0000-0000-000003090000}"/>
    <cellStyle name="Comma 32 2 4 5" xfId="2339" xr:uid="{00000000-0005-0000-0000-000004090000}"/>
    <cellStyle name="Comma 32 2 4 6" xfId="2340" xr:uid="{00000000-0005-0000-0000-000005090000}"/>
    <cellStyle name="Comma 32 2 4 7" xfId="2341" xr:uid="{00000000-0005-0000-0000-000006090000}"/>
    <cellStyle name="Comma 32 2 4 8" xfId="2342" xr:uid="{00000000-0005-0000-0000-000007090000}"/>
    <cellStyle name="Comma 32 2 5" xfId="2343" xr:uid="{00000000-0005-0000-0000-000008090000}"/>
    <cellStyle name="Comma 32 2 5 2" xfId="2344" xr:uid="{00000000-0005-0000-0000-000009090000}"/>
    <cellStyle name="Comma 32 2 5 3" xfId="2345" xr:uid="{00000000-0005-0000-0000-00000A090000}"/>
    <cellStyle name="Comma 32 2 5 4" xfId="2346" xr:uid="{00000000-0005-0000-0000-00000B090000}"/>
    <cellStyle name="Comma 32 2 5 5" xfId="2347" xr:uid="{00000000-0005-0000-0000-00000C090000}"/>
    <cellStyle name="Comma 32 2 5 6" xfId="2348" xr:uid="{00000000-0005-0000-0000-00000D090000}"/>
    <cellStyle name="Comma 32 2 6" xfId="2349" xr:uid="{00000000-0005-0000-0000-00000E090000}"/>
    <cellStyle name="Comma 32 2 6 2" xfId="2350" xr:uid="{00000000-0005-0000-0000-00000F090000}"/>
    <cellStyle name="Comma 32 2 6 3" xfId="2351" xr:uid="{00000000-0005-0000-0000-000010090000}"/>
    <cellStyle name="Comma 32 2 6 4" xfId="2352" xr:uid="{00000000-0005-0000-0000-000011090000}"/>
    <cellStyle name="Comma 32 2 6 5" xfId="2353" xr:uid="{00000000-0005-0000-0000-000012090000}"/>
    <cellStyle name="Comma 32 2 6 6" xfId="2354" xr:uid="{00000000-0005-0000-0000-000013090000}"/>
    <cellStyle name="Comma 32 2 7" xfId="2355" xr:uid="{00000000-0005-0000-0000-000014090000}"/>
    <cellStyle name="Comma 32 2 8" xfId="2356" xr:uid="{00000000-0005-0000-0000-000015090000}"/>
    <cellStyle name="Comma 32 2 9" xfId="2357" xr:uid="{00000000-0005-0000-0000-000016090000}"/>
    <cellStyle name="Comma 32 3" xfId="2358" xr:uid="{00000000-0005-0000-0000-000017090000}"/>
    <cellStyle name="Comma 32 3 2" xfId="2359" xr:uid="{00000000-0005-0000-0000-000018090000}"/>
    <cellStyle name="Comma 32 3 2 2" xfId="2360" xr:uid="{00000000-0005-0000-0000-000019090000}"/>
    <cellStyle name="Comma 32 3 2 3" xfId="2361" xr:uid="{00000000-0005-0000-0000-00001A090000}"/>
    <cellStyle name="Comma 32 3 2 4" xfId="2362" xr:uid="{00000000-0005-0000-0000-00001B090000}"/>
    <cellStyle name="Comma 32 3 2 5" xfId="2363" xr:uid="{00000000-0005-0000-0000-00001C090000}"/>
    <cellStyle name="Comma 32 3 2 6" xfId="2364" xr:uid="{00000000-0005-0000-0000-00001D090000}"/>
    <cellStyle name="Comma 32 3 3" xfId="2365" xr:uid="{00000000-0005-0000-0000-00001E090000}"/>
    <cellStyle name="Comma 32 3 3 2" xfId="2366" xr:uid="{00000000-0005-0000-0000-00001F090000}"/>
    <cellStyle name="Comma 32 3 3 3" xfId="2367" xr:uid="{00000000-0005-0000-0000-000020090000}"/>
    <cellStyle name="Comma 32 3 3 4" xfId="2368" xr:uid="{00000000-0005-0000-0000-000021090000}"/>
    <cellStyle name="Comma 32 3 3 5" xfId="2369" xr:uid="{00000000-0005-0000-0000-000022090000}"/>
    <cellStyle name="Comma 32 3 3 6" xfId="2370" xr:uid="{00000000-0005-0000-0000-000023090000}"/>
    <cellStyle name="Comma 32 3 4" xfId="2371" xr:uid="{00000000-0005-0000-0000-000024090000}"/>
    <cellStyle name="Comma 32 3 5" xfId="2372" xr:uid="{00000000-0005-0000-0000-000025090000}"/>
    <cellStyle name="Comma 32 3 6" xfId="2373" xr:uid="{00000000-0005-0000-0000-000026090000}"/>
    <cellStyle name="Comma 32 3 7" xfId="2374" xr:uid="{00000000-0005-0000-0000-000027090000}"/>
    <cellStyle name="Comma 32 3 8" xfId="2375" xr:uid="{00000000-0005-0000-0000-000028090000}"/>
    <cellStyle name="Comma 32 4" xfId="2376" xr:uid="{00000000-0005-0000-0000-000029090000}"/>
    <cellStyle name="Comma 32 4 2" xfId="2377" xr:uid="{00000000-0005-0000-0000-00002A090000}"/>
    <cellStyle name="Comma 32 4 2 2" xfId="2378" xr:uid="{00000000-0005-0000-0000-00002B090000}"/>
    <cellStyle name="Comma 32 4 2 3" xfId="2379" xr:uid="{00000000-0005-0000-0000-00002C090000}"/>
    <cellStyle name="Comma 32 4 2 4" xfId="2380" xr:uid="{00000000-0005-0000-0000-00002D090000}"/>
    <cellStyle name="Comma 32 4 2 5" xfId="2381" xr:uid="{00000000-0005-0000-0000-00002E090000}"/>
    <cellStyle name="Comma 32 4 2 6" xfId="2382" xr:uid="{00000000-0005-0000-0000-00002F090000}"/>
    <cellStyle name="Comma 32 4 3" xfId="2383" xr:uid="{00000000-0005-0000-0000-000030090000}"/>
    <cellStyle name="Comma 32 4 3 2" xfId="2384" xr:uid="{00000000-0005-0000-0000-000031090000}"/>
    <cellStyle name="Comma 32 4 3 3" xfId="2385" xr:uid="{00000000-0005-0000-0000-000032090000}"/>
    <cellStyle name="Comma 32 4 3 4" xfId="2386" xr:uid="{00000000-0005-0000-0000-000033090000}"/>
    <cellStyle name="Comma 32 4 3 5" xfId="2387" xr:uid="{00000000-0005-0000-0000-000034090000}"/>
    <cellStyle name="Comma 32 4 3 6" xfId="2388" xr:uid="{00000000-0005-0000-0000-000035090000}"/>
    <cellStyle name="Comma 32 4 4" xfId="2389" xr:uid="{00000000-0005-0000-0000-000036090000}"/>
    <cellStyle name="Comma 32 4 5" xfId="2390" xr:uid="{00000000-0005-0000-0000-000037090000}"/>
    <cellStyle name="Comma 32 4 6" xfId="2391" xr:uid="{00000000-0005-0000-0000-000038090000}"/>
    <cellStyle name="Comma 32 4 7" xfId="2392" xr:uid="{00000000-0005-0000-0000-000039090000}"/>
    <cellStyle name="Comma 32 4 8" xfId="2393" xr:uid="{00000000-0005-0000-0000-00003A090000}"/>
    <cellStyle name="Comma 32 5" xfId="2394" xr:uid="{00000000-0005-0000-0000-00003B090000}"/>
    <cellStyle name="Comma 32 5 2" xfId="2395" xr:uid="{00000000-0005-0000-0000-00003C090000}"/>
    <cellStyle name="Comma 32 5 2 2" xfId="2396" xr:uid="{00000000-0005-0000-0000-00003D090000}"/>
    <cellStyle name="Comma 32 5 2 3" xfId="2397" xr:uid="{00000000-0005-0000-0000-00003E090000}"/>
    <cellStyle name="Comma 32 5 2 4" xfId="2398" xr:uid="{00000000-0005-0000-0000-00003F090000}"/>
    <cellStyle name="Comma 32 5 2 5" xfId="2399" xr:uid="{00000000-0005-0000-0000-000040090000}"/>
    <cellStyle name="Comma 32 5 2 6" xfId="2400" xr:uid="{00000000-0005-0000-0000-000041090000}"/>
    <cellStyle name="Comma 32 5 3" xfId="2401" xr:uid="{00000000-0005-0000-0000-000042090000}"/>
    <cellStyle name="Comma 32 5 3 2" xfId="2402" xr:uid="{00000000-0005-0000-0000-000043090000}"/>
    <cellStyle name="Comma 32 5 3 3" xfId="2403" xr:uid="{00000000-0005-0000-0000-000044090000}"/>
    <cellStyle name="Comma 32 5 3 4" xfId="2404" xr:uid="{00000000-0005-0000-0000-000045090000}"/>
    <cellStyle name="Comma 32 5 3 5" xfId="2405" xr:uid="{00000000-0005-0000-0000-000046090000}"/>
    <cellStyle name="Comma 32 5 3 6" xfId="2406" xr:uid="{00000000-0005-0000-0000-000047090000}"/>
    <cellStyle name="Comma 32 5 4" xfId="2407" xr:uid="{00000000-0005-0000-0000-000048090000}"/>
    <cellStyle name="Comma 32 5 5" xfId="2408" xr:uid="{00000000-0005-0000-0000-000049090000}"/>
    <cellStyle name="Comma 32 5 6" xfId="2409" xr:uid="{00000000-0005-0000-0000-00004A090000}"/>
    <cellStyle name="Comma 32 5 7" xfId="2410" xr:uid="{00000000-0005-0000-0000-00004B090000}"/>
    <cellStyle name="Comma 32 5 8" xfId="2411" xr:uid="{00000000-0005-0000-0000-00004C090000}"/>
    <cellStyle name="Comma 32 6" xfId="2412" xr:uid="{00000000-0005-0000-0000-00004D090000}"/>
    <cellStyle name="Comma 32 6 2" xfId="2413" xr:uid="{00000000-0005-0000-0000-00004E090000}"/>
    <cellStyle name="Comma 32 6 3" xfId="2414" xr:uid="{00000000-0005-0000-0000-00004F090000}"/>
    <cellStyle name="Comma 32 6 4" xfId="2415" xr:uid="{00000000-0005-0000-0000-000050090000}"/>
    <cellStyle name="Comma 32 6 5" xfId="2416" xr:uid="{00000000-0005-0000-0000-000051090000}"/>
    <cellStyle name="Comma 32 6 6" xfId="2417" xr:uid="{00000000-0005-0000-0000-000052090000}"/>
    <cellStyle name="Comma 32 7" xfId="2418" xr:uid="{00000000-0005-0000-0000-000053090000}"/>
    <cellStyle name="Comma 32 7 2" xfId="2419" xr:uid="{00000000-0005-0000-0000-000054090000}"/>
    <cellStyle name="Comma 32 7 3" xfId="2420" xr:uid="{00000000-0005-0000-0000-000055090000}"/>
    <cellStyle name="Comma 32 7 4" xfId="2421" xr:uid="{00000000-0005-0000-0000-000056090000}"/>
    <cellStyle name="Comma 32 7 5" xfId="2422" xr:uid="{00000000-0005-0000-0000-000057090000}"/>
    <cellStyle name="Comma 32 7 6" xfId="2423" xr:uid="{00000000-0005-0000-0000-000058090000}"/>
    <cellStyle name="Comma 32 8" xfId="2424" xr:uid="{00000000-0005-0000-0000-000059090000}"/>
    <cellStyle name="Comma 32 9" xfId="2425" xr:uid="{00000000-0005-0000-0000-00005A090000}"/>
    <cellStyle name="Comma 33" xfId="2426" xr:uid="{00000000-0005-0000-0000-00005B090000}"/>
    <cellStyle name="Comma 34" xfId="2427" xr:uid="{00000000-0005-0000-0000-00005C090000}"/>
    <cellStyle name="Comma 34 10" xfId="2428" xr:uid="{00000000-0005-0000-0000-00005D090000}"/>
    <cellStyle name="Comma 34 11" xfId="2429" xr:uid="{00000000-0005-0000-0000-00005E090000}"/>
    <cellStyle name="Comma 34 2" xfId="2430" xr:uid="{00000000-0005-0000-0000-00005F090000}"/>
    <cellStyle name="Comma 34 2 2" xfId="2431" xr:uid="{00000000-0005-0000-0000-000060090000}"/>
    <cellStyle name="Comma 34 2 2 2" xfId="2432" xr:uid="{00000000-0005-0000-0000-000061090000}"/>
    <cellStyle name="Comma 34 2 2 3" xfId="2433" xr:uid="{00000000-0005-0000-0000-000062090000}"/>
    <cellStyle name="Comma 34 2 2 4" xfId="2434" xr:uid="{00000000-0005-0000-0000-000063090000}"/>
    <cellStyle name="Comma 34 2 2 5" xfId="2435" xr:uid="{00000000-0005-0000-0000-000064090000}"/>
    <cellStyle name="Comma 34 2 2 6" xfId="2436" xr:uid="{00000000-0005-0000-0000-000065090000}"/>
    <cellStyle name="Comma 34 2 3" xfId="2437" xr:uid="{00000000-0005-0000-0000-000066090000}"/>
    <cellStyle name="Comma 34 2 3 2" xfId="2438" xr:uid="{00000000-0005-0000-0000-000067090000}"/>
    <cellStyle name="Comma 34 2 3 3" xfId="2439" xr:uid="{00000000-0005-0000-0000-000068090000}"/>
    <cellStyle name="Comma 34 2 3 4" xfId="2440" xr:uid="{00000000-0005-0000-0000-000069090000}"/>
    <cellStyle name="Comma 34 2 3 5" xfId="2441" xr:uid="{00000000-0005-0000-0000-00006A090000}"/>
    <cellStyle name="Comma 34 2 3 6" xfId="2442" xr:uid="{00000000-0005-0000-0000-00006B090000}"/>
    <cellStyle name="Comma 34 2 4" xfId="2443" xr:uid="{00000000-0005-0000-0000-00006C090000}"/>
    <cellStyle name="Comma 34 2 5" xfId="2444" xr:uid="{00000000-0005-0000-0000-00006D090000}"/>
    <cellStyle name="Comma 34 2 6" xfId="2445" xr:uid="{00000000-0005-0000-0000-00006E090000}"/>
    <cellStyle name="Comma 34 2 7" xfId="2446" xr:uid="{00000000-0005-0000-0000-00006F090000}"/>
    <cellStyle name="Comma 34 2 8" xfId="2447" xr:uid="{00000000-0005-0000-0000-000070090000}"/>
    <cellStyle name="Comma 34 3" xfId="2448" xr:uid="{00000000-0005-0000-0000-000071090000}"/>
    <cellStyle name="Comma 34 3 2" xfId="2449" xr:uid="{00000000-0005-0000-0000-000072090000}"/>
    <cellStyle name="Comma 34 3 2 2" xfId="2450" xr:uid="{00000000-0005-0000-0000-000073090000}"/>
    <cellStyle name="Comma 34 3 2 3" xfId="2451" xr:uid="{00000000-0005-0000-0000-000074090000}"/>
    <cellStyle name="Comma 34 3 2 4" xfId="2452" xr:uid="{00000000-0005-0000-0000-000075090000}"/>
    <cellStyle name="Comma 34 3 2 5" xfId="2453" xr:uid="{00000000-0005-0000-0000-000076090000}"/>
    <cellStyle name="Comma 34 3 2 6" xfId="2454" xr:uid="{00000000-0005-0000-0000-000077090000}"/>
    <cellStyle name="Comma 34 3 3" xfId="2455" xr:uid="{00000000-0005-0000-0000-000078090000}"/>
    <cellStyle name="Comma 34 3 3 2" xfId="2456" xr:uid="{00000000-0005-0000-0000-000079090000}"/>
    <cellStyle name="Comma 34 3 3 3" xfId="2457" xr:uid="{00000000-0005-0000-0000-00007A090000}"/>
    <cellStyle name="Comma 34 3 3 4" xfId="2458" xr:uid="{00000000-0005-0000-0000-00007B090000}"/>
    <cellStyle name="Comma 34 3 3 5" xfId="2459" xr:uid="{00000000-0005-0000-0000-00007C090000}"/>
    <cellStyle name="Comma 34 3 3 6" xfId="2460" xr:uid="{00000000-0005-0000-0000-00007D090000}"/>
    <cellStyle name="Comma 34 3 4" xfId="2461" xr:uid="{00000000-0005-0000-0000-00007E090000}"/>
    <cellStyle name="Comma 34 3 5" xfId="2462" xr:uid="{00000000-0005-0000-0000-00007F090000}"/>
    <cellStyle name="Comma 34 3 6" xfId="2463" xr:uid="{00000000-0005-0000-0000-000080090000}"/>
    <cellStyle name="Comma 34 3 7" xfId="2464" xr:uid="{00000000-0005-0000-0000-000081090000}"/>
    <cellStyle name="Comma 34 3 8" xfId="2465" xr:uid="{00000000-0005-0000-0000-000082090000}"/>
    <cellStyle name="Comma 34 4" xfId="2466" xr:uid="{00000000-0005-0000-0000-000083090000}"/>
    <cellStyle name="Comma 34 4 2" xfId="2467" xr:uid="{00000000-0005-0000-0000-000084090000}"/>
    <cellStyle name="Comma 34 4 2 2" xfId="2468" xr:uid="{00000000-0005-0000-0000-000085090000}"/>
    <cellStyle name="Comma 34 4 2 3" xfId="2469" xr:uid="{00000000-0005-0000-0000-000086090000}"/>
    <cellStyle name="Comma 34 4 2 4" xfId="2470" xr:uid="{00000000-0005-0000-0000-000087090000}"/>
    <cellStyle name="Comma 34 4 2 5" xfId="2471" xr:uid="{00000000-0005-0000-0000-000088090000}"/>
    <cellStyle name="Comma 34 4 2 6" xfId="2472" xr:uid="{00000000-0005-0000-0000-000089090000}"/>
    <cellStyle name="Comma 34 4 3" xfId="2473" xr:uid="{00000000-0005-0000-0000-00008A090000}"/>
    <cellStyle name="Comma 34 4 3 2" xfId="2474" xr:uid="{00000000-0005-0000-0000-00008B090000}"/>
    <cellStyle name="Comma 34 4 3 3" xfId="2475" xr:uid="{00000000-0005-0000-0000-00008C090000}"/>
    <cellStyle name="Comma 34 4 3 4" xfId="2476" xr:uid="{00000000-0005-0000-0000-00008D090000}"/>
    <cellStyle name="Comma 34 4 3 5" xfId="2477" xr:uid="{00000000-0005-0000-0000-00008E090000}"/>
    <cellStyle name="Comma 34 4 3 6" xfId="2478" xr:uid="{00000000-0005-0000-0000-00008F090000}"/>
    <cellStyle name="Comma 34 4 4" xfId="2479" xr:uid="{00000000-0005-0000-0000-000090090000}"/>
    <cellStyle name="Comma 34 4 5" xfId="2480" xr:uid="{00000000-0005-0000-0000-000091090000}"/>
    <cellStyle name="Comma 34 4 6" xfId="2481" xr:uid="{00000000-0005-0000-0000-000092090000}"/>
    <cellStyle name="Comma 34 4 7" xfId="2482" xr:uid="{00000000-0005-0000-0000-000093090000}"/>
    <cellStyle name="Comma 34 4 8" xfId="2483" xr:uid="{00000000-0005-0000-0000-000094090000}"/>
    <cellStyle name="Comma 34 5" xfId="2484" xr:uid="{00000000-0005-0000-0000-000095090000}"/>
    <cellStyle name="Comma 34 5 2" xfId="2485" xr:uid="{00000000-0005-0000-0000-000096090000}"/>
    <cellStyle name="Comma 34 5 3" xfId="2486" xr:uid="{00000000-0005-0000-0000-000097090000}"/>
    <cellStyle name="Comma 34 5 4" xfId="2487" xr:uid="{00000000-0005-0000-0000-000098090000}"/>
    <cellStyle name="Comma 34 5 5" xfId="2488" xr:uid="{00000000-0005-0000-0000-000099090000}"/>
    <cellStyle name="Comma 34 5 6" xfId="2489" xr:uid="{00000000-0005-0000-0000-00009A090000}"/>
    <cellStyle name="Comma 34 6" xfId="2490" xr:uid="{00000000-0005-0000-0000-00009B090000}"/>
    <cellStyle name="Comma 34 6 2" xfId="2491" xr:uid="{00000000-0005-0000-0000-00009C090000}"/>
    <cellStyle name="Comma 34 6 3" xfId="2492" xr:uid="{00000000-0005-0000-0000-00009D090000}"/>
    <cellStyle name="Comma 34 6 4" xfId="2493" xr:uid="{00000000-0005-0000-0000-00009E090000}"/>
    <cellStyle name="Comma 34 6 5" xfId="2494" xr:uid="{00000000-0005-0000-0000-00009F090000}"/>
    <cellStyle name="Comma 34 6 6" xfId="2495" xr:uid="{00000000-0005-0000-0000-0000A0090000}"/>
    <cellStyle name="Comma 34 7" xfId="2496" xr:uid="{00000000-0005-0000-0000-0000A1090000}"/>
    <cellStyle name="Comma 34 8" xfId="2497" xr:uid="{00000000-0005-0000-0000-0000A2090000}"/>
    <cellStyle name="Comma 34 9" xfId="2498" xr:uid="{00000000-0005-0000-0000-0000A3090000}"/>
    <cellStyle name="Comma 35" xfId="2499" xr:uid="{00000000-0005-0000-0000-0000A4090000}"/>
    <cellStyle name="Comma 35 10" xfId="2500" xr:uid="{00000000-0005-0000-0000-0000A5090000}"/>
    <cellStyle name="Comma 35 11" xfId="2501" xr:uid="{00000000-0005-0000-0000-0000A6090000}"/>
    <cellStyle name="Comma 35 2" xfId="2502" xr:uid="{00000000-0005-0000-0000-0000A7090000}"/>
    <cellStyle name="Comma 35 2 2" xfId="2503" xr:uid="{00000000-0005-0000-0000-0000A8090000}"/>
    <cellStyle name="Comma 35 2 2 2" xfId="2504" xr:uid="{00000000-0005-0000-0000-0000A9090000}"/>
    <cellStyle name="Comma 35 2 2 3" xfId="2505" xr:uid="{00000000-0005-0000-0000-0000AA090000}"/>
    <cellStyle name="Comma 35 2 2 4" xfId="2506" xr:uid="{00000000-0005-0000-0000-0000AB090000}"/>
    <cellStyle name="Comma 35 2 2 5" xfId="2507" xr:uid="{00000000-0005-0000-0000-0000AC090000}"/>
    <cellStyle name="Comma 35 2 2 6" xfId="2508" xr:uid="{00000000-0005-0000-0000-0000AD090000}"/>
    <cellStyle name="Comma 35 2 3" xfId="2509" xr:uid="{00000000-0005-0000-0000-0000AE090000}"/>
    <cellStyle name="Comma 35 2 3 2" xfId="2510" xr:uid="{00000000-0005-0000-0000-0000AF090000}"/>
    <cellStyle name="Comma 35 2 3 3" xfId="2511" xr:uid="{00000000-0005-0000-0000-0000B0090000}"/>
    <cellStyle name="Comma 35 2 3 4" xfId="2512" xr:uid="{00000000-0005-0000-0000-0000B1090000}"/>
    <cellStyle name="Comma 35 2 3 5" xfId="2513" xr:uid="{00000000-0005-0000-0000-0000B2090000}"/>
    <cellStyle name="Comma 35 2 3 6" xfId="2514" xr:uid="{00000000-0005-0000-0000-0000B3090000}"/>
    <cellStyle name="Comma 35 2 4" xfId="2515" xr:uid="{00000000-0005-0000-0000-0000B4090000}"/>
    <cellStyle name="Comma 35 2 5" xfId="2516" xr:uid="{00000000-0005-0000-0000-0000B5090000}"/>
    <cellStyle name="Comma 35 2 6" xfId="2517" xr:uid="{00000000-0005-0000-0000-0000B6090000}"/>
    <cellStyle name="Comma 35 2 7" xfId="2518" xr:uid="{00000000-0005-0000-0000-0000B7090000}"/>
    <cellStyle name="Comma 35 2 8" xfId="2519" xr:uid="{00000000-0005-0000-0000-0000B8090000}"/>
    <cellStyle name="Comma 35 3" xfId="2520" xr:uid="{00000000-0005-0000-0000-0000B9090000}"/>
    <cellStyle name="Comma 35 3 2" xfId="2521" xr:uid="{00000000-0005-0000-0000-0000BA090000}"/>
    <cellStyle name="Comma 35 3 2 2" xfId="2522" xr:uid="{00000000-0005-0000-0000-0000BB090000}"/>
    <cellStyle name="Comma 35 3 2 3" xfId="2523" xr:uid="{00000000-0005-0000-0000-0000BC090000}"/>
    <cellStyle name="Comma 35 3 2 4" xfId="2524" xr:uid="{00000000-0005-0000-0000-0000BD090000}"/>
    <cellStyle name="Comma 35 3 2 5" xfId="2525" xr:uid="{00000000-0005-0000-0000-0000BE090000}"/>
    <cellStyle name="Comma 35 3 2 6" xfId="2526" xr:uid="{00000000-0005-0000-0000-0000BF090000}"/>
    <cellStyle name="Comma 35 3 3" xfId="2527" xr:uid="{00000000-0005-0000-0000-0000C0090000}"/>
    <cellStyle name="Comma 35 3 3 2" xfId="2528" xr:uid="{00000000-0005-0000-0000-0000C1090000}"/>
    <cellStyle name="Comma 35 3 3 3" xfId="2529" xr:uid="{00000000-0005-0000-0000-0000C2090000}"/>
    <cellStyle name="Comma 35 3 3 4" xfId="2530" xr:uid="{00000000-0005-0000-0000-0000C3090000}"/>
    <cellStyle name="Comma 35 3 3 5" xfId="2531" xr:uid="{00000000-0005-0000-0000-0000C4090000}"/>
    <cellStyle name="Comma 35 3 3 6" xfId="2532" xr:uid="{00000000-0005-0000-0000-0000C5090000}"/>
    <cellStyle name="Comma 35 3 4" xfId="2533" xr:uid="{00000000-0005-0000-0000-0000C6090000}"/>
    <cellStyle name="Comma 35 3 5" xfId="2534" xr:uid="{00000000-0005-0000-0000-0000C7090000}"/>
    <cellStyle name="Comma 35 3 6" xfId="2535" xr:uid="{00000000-0005-0000-0000-0000C8090000}"/>
    <cellStyle name="Comma 35 3 7" xfId="2536" xr:uid="{00000000-0005-0000-0000-0000C9090000}"/>
    <cellStyle name="Comma 35 3 8" xfId="2537" xr:uid="{00000000-0005-0000-0000-0000CA090000}"/>
    <cellStyle name="Comma 35 4" xfId="2538" xr:uid="{00000000-0005-0000-0000-0000CB090000}"/>
    <cellStyle name="Comma 35 4 2" xfId="2539" xr:uid="{00000000-0005-0000-0000-0000CC090000}"/>
    <cellStyle name="Comma 35 4 2 2" xfId="2540" xr:uid="{00000000-0005-0000-0000-0000CD090000}"/>
    <cellStyle name="Comma 35 4 2 3" xfId="2541" xr:uid="{00000000-0005-0000-0000-0000CE090000}"/>
    <cellStyle name="Comma 35 4 2 4" xfId="2542" xr:uid="{00000000-0005-0000-0000-0000CF090000}"/>
    <cellStyle name="Comma 35 4 2 5" xfId="2543" xr:uid="{00000000-0005-0000-0000-0000D0090000}"/>
    <cellStyle name="Comma 35 4 2 6" xfId="2544" xr:uid="{00000000-0005-0000-0000-0000D1090000}"/>
    <cellStyle name="Comma 35 4 3" xfId="2545" xr:uid="{00000000-0005-0000-0000-0000D2090000}"/>
    <cellStyle name="Comma 35 4 3 2" xfId="2546" xr:uid="{00000000-0005-0000-0000-0000D3090000}"/>
    <cellStyle name="Comma 35 4 3 3" xfId="2547" xr:uid="{00000000-0005-0000-0000-0000D4090000}"/>
    <cellStyle name="Comma 35 4 3 4" xfId="2548" xr:uid="{00000000-0005-0000-0000-0000D5090000}"/>
    <cellStyle name="Comma 35 4 3 5" xfId="2549" xr:uid="{00000000-0005-0000-0000-0000D6090000}"/>
    <cellStyle name="Comma 35 4 3 6" xfId="2550" xr:uid="{00000000-0005-0000-0000-0000D7090000}"/>
    <cellStyle name="Comma 35 4 4" xfId="2551" xr:uid="{00000000-0005-0000-0000-0000D8090000}"/>
    <cellStyle name="Comma 35 4 5" xfId="2552" xr:uid="{00000000-0005-0000-0000-0000D9090000}"/>
    <cellStyle name="Comma 35 4 6" xfId="2553" xr:uid="{00000000-0005-0000-0000-0000DA090000}"/>
    <cellStyle name="Comma 35 4 7" xfId="2554" xr:uid="{00000000-0005-0000-0000-0000DB090000}"/>
    <cellStyle name="Comma 35 4 8" xfId="2555" xr:uid="{00000000-0005-0000-0000-0000DC090000}"/>
    <cellStyle name="Comma 35 5" xfId="2556" xr:uid="{00000000-0005-0000-0000-0000DD090000}"/>
    <cellStyle name="Comma 35 5 2" xfId="2557" xr:uid="{00000000-0005-0000-0000-0000DE090000}"/>
    <cellStyle name="Comma 35 5 3" xfId="2558" xr:uid="{00000000-0005-0000-0000-0000DF090000}"/>
    <cellStyle name="Comma 35 5 4" xfId="2559" xr:uid="{00000000-0005-0000-0000-0000E0090000}"/>
    <cellStyle name="Comma 35 5 5" xfId="2560" xr:uid="{00000000-0005-0000-0000-0000E1090000}"/>
    <cellStyle name="Comma 35 5 6" xfId="2561" xr:uid="{00000000-0005-0000-0000-0000E2090000}"/>
    <cellStyle name="Comma 35 6" xfId="2562" xr:uid="{00000000-0005-0000-0000-0000E3090000}"/>
    <cellStyle name="Comma 35 6 2" xfId="2563" xr:uid="{00000000-0005-0000-0000-0000E4090000}"/>
    <cellStyle name="Comma 35 6 3" xfId="2564" xr:uid="{00000000-0005-0000-0000-0000E5090000}"/>
    <cellStyle name="Comma 35 6 4" xfId="2565" xr:uid="{00000000-0005-0000-0000-0000E6090000}"/>
    <cellStyle name="Comma 35 6 5" xfId="2566" xr:uid="{00000000-0005-0000-0000-0000E7090000}"/>
    <cellStyle name="Comma 35 6 6" xfId="2567" xr:uid="{00000000-0005-0000-0000-0000E8090000}"/>
    <cellStyle name="Comma 35 7" xfId="2568" xr:uid="{00000000-0005-0000-0000-0000E9090000}"/>
    <cellStyle name="Comma 35 8" xfId="2569" xr:uid="{00000000-0005-0000-0000-0000EA090000}"/>
    <cellStyle name="Comma 35 9" xfId="2570" xr:uid="{00000000-0005-0000-0000-0000EB090000}"/>
    <cellStyle name="Comma 36" xfId="2571" xr:uid="{00000000-0005-0000-0000-0000EC090000}"/>
    <cellStyle name="Comma 36 10" xfId="2572" xr:uid="{00000000-0005-0000-0000-0000ED090000}"/>
    <cellStyle name="Comma 36 11" xfId="2573" xr:uid="{00000000-0005-0000-0000-0000EE090000}"/>
    <cellStyle name="Comma 36 12" xfId="2574" xr:uid="{00000000-0005-0000-0000-0000EF090000}"/>
    <cellStyle name="Comma 36 2" xfId="2575" xr:uid="{00000000-0005-0000-0000-0000F0090000}"/>
    <cellStyle name="Comma 36 2 10" xfId="2576" xr:uid="{00000000-0005-0000-0000-0000F1090000}"/>
    <cellStyle name="Comma 36 2 11" xfId="2577" xr:uid="{00000000-0005-0000-0000-0000F2090000}"/>
    <cellStyle name="Comma 36 2 2" xfId="2578" xr:uid="{00000000-0005-0000-0000-0000F3090000}"/>
    <cellStyle name="Comma 36 2 2 2" xfId="2579" xr:uid="{00000000-0005-0000-0000-0000F4090000}"/>
    <cellStyle name="Comma 36 2 2 2 2" xfId="2580" xr:uid="{00000000-0005-0000-0000-0000F5090000}"/>
    <cellStyle name="Comma 36 2 2 2 3" xfId="2581" xr:uid="{00000000-0005-0000-0000-0000F6090000}"/>
    <cellStyle name="Comma 36 2 2 2 4" xfId="2582" xr:uid="{00000000-0005-0000-0000-0000F7090000}"/>
    <cellStyle name="Comma 36 2 2 2 5" xfId="2583" xr:uid="{00000000-0005-0000-0000-0000F8090000}"/>
    <cellStyle name="Comma 36 2 2 2 6" xfId="2584" xr:uid="{00000000-0005-0000-0000-0000F9090000}"/>
    <cellStyle name="Comma 36 2 2 3" xfId="2585" xr:uid="{00000000-0005-0000-0000-0000FA090000}"/>
    <cellStyle name="Comma 36 2 2 3 2" xfId="2586" xr:uid="{00000000-0005-0000-0000-0000FB090000}"/>
    <cellStyle name="Comma 36 2 2 3 3" xfId="2587" xr:uid="{00000000-0005-0000-0000-0000FC090000}"/>
    <cellStyle name="Comma 36 2 2 3 4" xfId="2588" xr:uid="{00000000-0005-0000-0000-0000FD090000}"/>
    <cellStyle name="Comma 36 2 2 3 5" xfId="2589" xr:uid="{00000000-0005-0000-0000-0000FE090000}"/>
    <cellStyle name="Comma 36 2 2 3 6" xfId="2590" xr:uid="{00000000-0005-0000-0000-0000FF090000}"/>
    <cellStyle name="Comma 36 2 2 4" xfId="2591" xr:uid="{00000000-0005-0000-0000-0000000A0000}"/>
    <cellStyle name="Comma 36 2 2 5" xfId="2592" xr:uid="{00000000-0005-0000-0000-0000010A0000}"/>
    <cellStyle name="Comma 36 2 2 6" xfId="2593" xr:uid="{00000000-0005-0000-0000-0000020A0000}"/>
    <cellStyle name="Comma 36 2 2 7" xfId="2594" xr:uid="{00000000-0005-0000-0000-0000030A0000}"/>
    <cellStyle name="Comma 36 2 2 8" xfId="2595" xr:uid="{00000000-0005-0000-0000-0000040A0000}"/>
    <cellStyle name="Comma 36 2 3" xfId="2596" xr:uid="{00000000-0005-0000-0000-0000050A0000}"/>
    <cellStyle name="Comma 36 2 3 2" xfId="2597" xr:uid="{00000000-0005-0000-0000-0000060A0000}"/>
    <cellStyle name="Comma 36 2 3 2 2" xfId="2598" xr:uid="{00000000-0005-0000-0000-0000070A0000}"/>
    <cellStyle name="Comma 36 2 3 2 3" xfId="2599" xr:uid="{00000000-0005-0000-0000-0000080A0000}"/>
    <cellStyle name="Comma 36 2 3 2 4" xfId="2600" xr:uid="{00000000-0005-0000-0000-0000090A0000}"/>
    <cellStyle name="Comma 36 2 3 2 5" xfId="2601" xr:uid="{00000000-0005-0000-0000-00000A0A0000}"/>
    <cellStyle name="Comma 36 2 3 2 6" xfId="2602" xr:uid="{00000000-0005-0000-0000-00000B0A0000}"/>
    <cellStyle name="Comma 36 2 3 3" xfId="2603" xr:uid="{00000000-0005-0000-0000-00000C0A0000}"/>
    <cellStyle name="Comma 36 2 3 3 2" xfId="2604" xr:uid="{00000000-0005-0000-0000-00000D0A0000}"/>
    <cellStyle name="Comma 36 2 3 3 3" xfId="2605" xr:uid="{00000000-0005-0000-0000-00000E0A0000}"/>
    <cellStyle name="Comma 36 2 3 3 4" xfId="2606" xr:uid="{00000000-0005-0000-0000-00000F0A0000}"/>
    <cellStyle name="Comma 36 2 3 3 5" xfId="2607" xr:uid="{00000000-0005-0000-0000-0000100A0000}"/>
    <cellStyle name="Comma 36 2 3 3 6" xfId="2608" xr:uid="{00000000-0005-0000-0000-0000110A0000}"/>
    <cellStyle name="Comma 36 2 3 4" xfId="2609" xr:uid="{00000000-0005-0000-0000-0000120A0000}"/>
    <cellStyle name="Comma 36 2 3 5" xfId="2610" xr:uid="{00000000-0005-0000-0000-0000130A0000}"/>
    <cellStyle name="Comma 36 2 3 6" xfId="2611" xr:uid="{00000000-0005-0000-0000-0000140A0000}"/>
    <cellStyle name="Comma 36 2 3 7" xfId="2612" xr:uid="{00000000-0005-0000-0000-0000150A0000}"/>
    <cellStyle name="Comma 36 2 3 8" xfId="2613" xr:uid="{00000000-0005-0000-0000-0000160A0000}"/>
    <cellStyle name="Comma 36 2 4" xfId="2614" xr:uid="{00000000-0005-0000-0000-0000170A0000}"/>
    <cellStyle name="Comma 36 2 4 2" xfId="2615" xr:uid="{00000000-0005-0000-0000-0000180A0000}"/>
    <cellStyle name="Comma 36 2 4 2 2" xfId="2616" xr:uid="{00000000-0005-0000-0000-0000190A0000}"/>
    <cellStyle name="Comma 36 2 4 2 3" xfId="2617" xr:uid="{00000000-0005-0000-0000-00001A0A0000}"/>
    <cellStyle name="Comma 36 2 4 2 4" xfId="2618" xr:uid="{00000000-0005-0000-0000-00001B0A0000}"/>
    <cellStyle name="Comma 36 2 4 2 5" xfId="2619" xr:uid="{00000000-0005-0000-0000-00001C0A0000}"/>
    <cellStyle name="Comma 36 2 4 2 6" xfId="2620" xr:uid="{00000000-0005-0000-0000-00001D0A0000}"/>
    <cellStyle name="Comma 36 2 4 3" xfId="2621" xr:uid="{00000000-0005-0000-0000-00001E0A0000}"/>
    <cellStyle name="Comma 36 2 4 3 2" xfId="2622" xr:uid="{00000000-0005-0000-0000-00001F0A0000}"/>
    <cellStyle name="Comma 36 2 4 3 3" xfId="2623" xr:uid="{00000000-0005-0000-0000-0000200A0000}"/>
    <cellStyle name="Comma 36 2 4 3 4" xfId="2624" xr:uid="{00000000-0005-0000-0000-0000210A0000}"/>
    <cellStyle name="Comma 36 2 4 3 5" xfId="2625" xr:uid="{00000000-0005-0000-0000-0000220A0000}"/>
    <cellStyle name="Comma 36 2 4 3 6" xfId="2626" xr:uid="{00000000-0005-0000-0000-0000230A0000}"/>
    <cellStyle name="Comma 36 2 4 4" xfId="2627" xr:uid="{00000000-0005-0000-0000-0000240A0000}"/>
    <cellStyle name="Comma 36 2 4 5" xfId="2628" xr:uid="{00000000-0005-0000-0000-0000250A0000}"/>
    <cellStyle name="Comma 36 2 4 6" xfId="2629" xr:uid="{00000000-0005-0000-0000-0000260A0000}"/>
    <cellStyle name="Comma 36 2 4 7" xfId="2630" xr:uid="{00000000-0005-0000-0000-0000270A0000}"/>
    <cellStyle name="Comma 36 2 4 8" xfId="2631" xr:uid="{00000000-0005-0000-0000-0000280A0000}"/>
    <cellStyle name="Comma 36 2 5" xfId="2632" xr:uid="{00000000-0005-0000-0000-0000290A0000}"/>
    <cellStyle name="Comma 36 2 5 2" xfId="2633" xr:uid="{00000000-0005-0000-0000-00002A0A0000}"/>
    <cellStyle name="Comma 36 2 5 3" xfId="2634" xr:uid="{00000000-0005-0000-0000-00002B0A0000}"/>
    <cellStyle name="Comma 36 2 5 4" xfId="2635" xr:uid="{00000000-0005-0000-0000-00002C0A0000}"/>
    <cellStyle name="Comma 36 2 5 5" xfId="2636" xr:uid="{00000000-0005-0000-0000-00002D0A0000}"/>
    <cellStyle name="Comma 36 2 5 6" xfId="2637" xr:uid="{00000000-0005-0000-0000-00002E0A0000}"/>
    <cellStyle name="Comma 36 2 6" xfId="2638" xr:uid="{00000000-0005-0000-0000-00002F0A0000}"/>
    <cellStyle name="Comma 36 2 6 2" xfId="2639" xr:uid="{00000000-0005-0000-0000-0000300A0000}"/>
    <cellStyle name="Comma 36 2 6 3" xfId="2640" xr:uid="{00000000-0005-0000-0000-0000310A0000}"/>
    <cellStyle name="Comma 36 2 6 4" xfId="2641" xr:uid="{00000000-0005-0000-0000-0000320A0000}"/>
    <cellStyle name="Comma 36 2 6 5" xfId="2642" xr:uid="{00000000-0005-0000-0000-0000330A0000}"/>
    <cellStyle name="Comma 36 2 6 6" xfId="2643" xr:uid="{00000000-0005-0000-0000-0000340A0000}"/>
    <cellStyle name="Comma 36 2 7" xfId="2644" xr:uid="{00000000-0005-0000-0000-0000350A0000}"/>
    <cellStyle name="Comma 36 2 8" xfId="2645" xr:uid="{00000000-0005-0000-0000-0000360A0000}"/>
    <cellStyle name="Comma 36 2 9" xfId="2646" xr:uid="{00000000-0005-0000-0000-0000370A0000}"/>
    <cellStyle name="Comma 36 3" xfId="2647" xr:uid="{00000000-0005-0000-0000-0000380A0000}"/>
    <cellStyle name="Comma 36 3 2" xfId="2648" xr:uid="{00000000-0005-0000-0000-0000390A0000}"/>
    <cellStyle name="Comma 36 3 2 2" xfId="2649" xr:uid="{00000000-0005-0000-0000-00003A0A0000}"/>
    <cellStyle name="Comma 36 3 2 3" xfId="2650" xr:uid="{00000000-0005-0000-0000-00003B0A0000}"/>
    <cellStyle name="Comma 36 3 2 4" xfId="2651" xr:uid="{00000000-0005-0000-0000-00003C0A0000}"/>
    <cellStyle name="Comma 36 3 2 5" xfId="2652" xr:uid="{00000000-0005-0000-0000-00003D0A0000}"/>
    <cellStyle name="Comma 36 3 2 6" xfId="2653" xr:uid="{00000000-0005-0000-0000-00003E0A0000}"/>
    <cellStyle name="Comma 36 3 3" xfId="2654" xr:uid="{00000000-0005-0000-0000-00003F0A0000}"/>
    <cellStyle name="Comma 36 3 3 2" xfId="2655" xr:uid="{00000000-0005-0000-0000-0000400A0000}"/>
    <cellStyle name="Comma 36 3 3 3" xfId="2656" xr:uid="{00000000-0005-0000-0000-0000410A0000}"/>
    <cellStyle name="Comma 36 3 3 4" xfId="2657" xr:uid="{00000000-0005-0000-0000-0000420A0000}"/>
    <cellStyle name="Comma 36 3 3 5" xfId="2658" xr:uid="{00000000-0005-0000-0000-0000430A0000}"/>
    <cellStyle name="Comma 36 3 3 6" xfId="2659" xr:uid="{00000000-0005-0000-0000-0000440A0000}"/>
    <cellStyle name="Comma 36 3 4" xfId="2660" xr:uid="{00000000-0005-0000-0000-0000450A0000}"/>
    <cellStyle name="Comma 36 3 5" xfId="2661" xr:uid="{00000000-0005-0000-0000-0000460A0000}"/>
    <cellStyle name="Comma 36 3 6" xfId="2662" xr:uid="{00000000-0005-0000-0000-0000470A0000}"/>
    <cellStyle name="Comma 36 3 7" xfId="2663" xr:uid="{00000000-0005-0000-0000-0000480A0000}"/>
    <cellStyle name="Comma 36 3 8" xfId="2664" xr:uid="{00000000-0005-0000-0000-0000490A0000}"/>
    <cellStyle name="Comma 36 4" xfId="2665" xr:uid="{00000000-0005-0000-0000-00004A0A0000}"/>
    <cellStyle name="Comma 36 4 2" xfId="2666" xr:uid="{00000000-0005-0000-0000-00004B0A0000}"/>
    <cellStyle name="Comma 36 4 2 2" xfId="2667" xr:uid="{00000000-0005-0000-0000-00004C0A0000}"/>
    <cellStyle name="Comma 36 4 2 3" xfId="2668" xr:uid="{00000000-0005-0000-0000-00004D0A0000}"/>
    <cellStyle name="Comma 36 4 2 4" xfId="2669" xr:uid="{00000000-0005-0000-0000-00004E0A0000}"/>
    <cellStyle name="Comma 36 4 2 5" xfId="2670" xr:uid="{00000000-0005-0000-0000-00004F0A0000}"/>
    <cellStyle name="Comma 36 4 2 6" xfId="2671" xr:uid="{00000000-0005-0000-0000-0000500A0000}"/>
    <cellStyle name="Comma 36 4 3" xfId="2672" xr:uid="{00000000-0005-0000-0000-0000510A0000}"/>
    <cellStyle name="Comma 36 4 3 2" xfId="2673" xr:uid="{00000000-0005-0000-0000-0000520A0000}"/>
    <cellStyle name="Comma 36 4 3 3" xfId="2674" xr:uid="{00000000-0005-0000-0000-0000530A0000}"/>
    <cellStyle name="Comma 36 4 3 4" xfId="2675" xr:uid="{00000000-0005-0000-0000-0000540A0000}"/>
    <cellStyle name="Comma 36 4 3 5" xfId="2676" xr:uid="{00000000-0005-0000-0000-0000550A0000}"/>
    <cellStyle name="Comma 36 4 3 6" xfId="2677" xr:uid="{00000000-0005-0000-0000-0000560A0000}"/>
    <cellStyle name="Comma 36 4 4" xfId="2678" xr:uid="{00000000-0005-0000-0000-0000570A0000}"/>
    <cellStyle name="Comma 36 4 5" xfId="2679" xr:uid="{00000000-0005-0000-0000-0000580A0000}"/>
    <cellStyle name="Comma 36 4 6" xfId="2680" xr:uid="{00000000-0005-0000-0000-0000590A0000}"/>
    <cellStyle name="Comma 36 4 7" xfId="2681" xr:uid="{00000000-0005-0000-0000-00005A0A0000}"/>
    <cellStyle name="Comma 36 4 8" xfId="2682" xr:uid="{00000000-0005-0000-0000-00005B0A0000}"/>
    <cellStyle name="Comma 36 5" xfId="2683" xr:uid="{00000000-0005-0000-0000-00005C0A0000}"/>
    <cellStyle name="Comma 36 5 2" xfId="2684" xr:uid="{00000000-0005-0000-0000-00005D0A0000}"/>
    <cellStyle name="Comma 36 5 2 2" xfId="2685" xr:uid="{00000000-0005-0000-0000-00005E0A0000}"/>
    <cellStyle name="Comma 36 5 2 3" xfId="2686" xr:uid="{00000000-0005-0000-0000-00005F0A0000}"/>
    <cellStyle name="Comma 36 5 2 4" xfId="2687" xr:uid="{00000000-0005-0000-0000-0000600A0000}"/>
    <cellStyle name="Comma 36 5 2 5" xfId="2688" xr:uid="{00000000-0005-0000-0000-0000610A0000}"/>
    <cellStyle name="Comma 36 5 2 6" xfId="2689" xr:uid="{00000000-0005-0000-0000-0000620A0000}"/>
    <cellStyle name="Comma 36 5 3" xfId="2690" xr:uid="{00000000-0005-0000-0000-0000630A0000}"/>
    <cellStyle name="Comma 36 5 3 2" xfId="2691" xr:uid="{00000000-0005-0000-0000-0000640A0000}"/>
    <cellStyle name="Comma 36 5 3 3" xfId="2692" xr:uid="{00000000-0005-0000-0000-0000650A0000}"/>
    <cellStyle name="Comma 36 5 3 4" xfId="2693" xr:uid="{00000000-0005-0000-0000-0000660A0000}"/>
    <cellStyle name="Comma 36 5 3 5" xfId="2694" xr:uid="{00000000-0005-0000-0000-0000670A0000}"/>
    <cellStyle name="Comma 36 5 3 6" xfId="2695" xr:uid="{00000000-0005-0000-0000-0000680A0000}"/>
    <cellStyle name="Comma 36 5 4" xfId="2696" xr:uid="{00000000-0005-0000-0000-0000690A0000}"/>
    <cellStyle name="Comma 36 5 5" xfId="2697" xr:uid="{00000000-0005-0000-0000-00006A0A0000}"/>
    <cellStyle name="Comma 36 5 6" xfId="2698" xr:uid="{00000000-0005-0000-0000-00006B0A0000}"/>
    <cellStyle name="Comma 36 5 7" xfId="2699" xr:uid="{00000000-0005-0000-0000-00006C0A0000}"/>
    <cellStyle name="Comma 36 5 8" xfId="2700" xr:uid="{00000000-0005-0000-0000-00006D0A0000}"/>
    <cellStyle name="Comma 36 6" xfId="2701" xr:uid="{00000000-0005-0000-0000-00006E0A0000}"/>
    <cellStyle name="Comma 36 6 2" xfId="2702" xr:uid="{00000000-0005-0000-0000-00006F0A0000}"/>
    <cellStyle name="Comma 36 6 3" xfId="2703" xr:uid="{00000000-0005-0000-0000-0000700A0000}"/>
    <cellStyle name="Comma 36 6 4" xfId="2704" xr:uid="{00000000-0005-0000-0000-0000710A0000}"/>
    <cellStyle name="Comma 36 6 5" xfId="2705" xr:uid="{00000000-0005-0000-0000-0000720A0000}"/>
    <cellStyle name="Comma 36 6 6" xfId="2706" xr:uid="{00000000-0005-0000-0000-0000730A0000}"/>
    <cellStyle name="Comma 36 7" xfId="2707" xr:uid="{00000000-0005-0000-0000-0000740A0000}"/>
    <cellStyle name="Comma 36 7 2" xfId="2708" xr:uid="{00000000-0005-0000-0000-0000750A0000}"/>
    <cellStyle name="Comma 36 7 3" xfId="2709" xr:uid="{00000000-0005-0000-0000-0000760A0000}"/>
    <cellStyle name="Comma 36 7 4" xfId="2710" xr:uid="{00000000-0005-0000-0000-0000770A0000}"/>
    <cellStyle name="Comma 36 7 5" xfId="2711" xr:uid="{00000000-0005-0000-0000-0000780A0000}"/>
    <cellStyle name="Comma 36 7 6" xfId="2712" xr:uid="{00000000-0005-0000-0000-0000790A0000}"/>
    <cellStyle name="Comma 36 8" xfId="2713" xr:uid="{00000000-0005-0000-0000-00007A0A0000}"/>
    <cellStyle name="Comma 36 9" xfId="2714" xr:uid="{00000000-0005-0000-0000-00007B0A0000}"/>
    <cellStyle name="Comma 37" xfId="2715" xr:uid="{00000000-0005-0000-0000-00007C0A0000}"/>
    <cellStyle name="Comma 37 10" xfId="2716" xr:uid="{00000000-0005-0000-0000-00007D0A0000}"/>
    <cellStyle name="Comma 37 11" xfId="2717" xr:uid="{00000000-0005-0000-0000-00007E0A0000}"/>
    <cellStyle name="Comma 37 12" xfId="2718" xr:uid="{00000000-0005-0000-0000-00007F0A0000}"/>
    <cellStyle name="Comma 37 2" xfId="2719" xr:uid="{00000000-0005-0000-0000-0000800A0000}"/>
    <cellStyle name="Comma 37 2 10" xfId="2720" xr:uid="{00000000-0005-0000-0000-0000810A0000}"/>
    <cellStyle name="Comma 37 2 11" xfId="2721" xr:uid="{00000000-0005-0000-0000-0000820A0000}"/>
    <cellStyle name="Comma 37 2 2" xfId="2722" xr:uid="{00000000-0005-0000-0000-0000830A0000}"/>
    <cellStyle name="Comma 37 2 2 2" xfId="2723" xr:uid="{00000000-0005-0000-0000-0000840A0000}"/>
    <cellStyle name="Comma 37 2 2 2 2" xfId="2724" xr:uid="{00000000-0005-0000-0000-0000850A0000}"/>
    <cellStyle name="Comma 37 2 2 2 3" xfId="2725" xr:uid="{00000000-0005-0000-0000-0000860A0000}"/>
    <cellStyle name="Comma 37 2 2 2 4" xfId="2726" xr:uid="{00000000-0005-0000-0000-0000870A0000}"/>
    <cellStyle name="Comma 37 2 2 2 5" xfId="2727" xr:uid="{00000000-0005-0000-0000-0000880A0000}"/>
    <cellStyle name="Comma 37 2 2 2 6" xfId="2728" xr:uid="{00000000-0005-0000-0000-0000890A0000}"/>
    <cellStyle name="Comma 37 2 2 3" xfId="2729" xr:uid="{00000000-0005-0000-0000-00008A0A0000}"/>
    <cellStyle name="Comma 37 2 2 3 2" xfId="2730" xr:uid="{00000000-0005-0000-0000-00008B0A0000}"/>
    <cellStyle name="Comma 37 2 2 3 3" xfId="2731" xr:uid="{00000000-0005-0000-0000-00008C0A0000}"/>
    <cellStyle name="Comma 37 2 2 3 4" xfId="2732" xr:uid="{00000000-0005-0000-0000-00008D0A0000}"/>
    <cellStyle name="Comma 37 2 2 3 5" xfId="2733" xr:uid="{00000000-0005-0000-0000-00008E0A0000}"/>
    <cellStyle name="Comma 37 2 2 3 6" xfId="2734" xr:uid="{00000000-0005-0000-0000-00008F0A0000}"/>
    <cellStyle name="Comma 37 2 2 4" xfId="2735" xr:uid="{00000000-0005-0000-0000-0000900A0000}"/>
    <cellStyle name="Comma 37 2 2 5" xfId="2736" xr:uid="{00000000-0005-0000-0000-0000910A0000}"/>
    <cellStyle name="Comma 37 2 2 6" xfId="2737" xr:uid="{00000000-0005-0000-0000-0000920A0000}"/>
    <cellStyle name="Comma 37 2 2 7" xfId="2738" xr:uid="{00000000-0005-0000-0000-0000930A0000}"/>
    <cellStyle name="Comma 37 2 2 8" xfId="2739" xr:uid="{00000000-0005-0000-0000-0000940A0000}"/>
    <cellStyle name="Comma 37 2 3" xfId="2740" xr:uid="{00000000-0005-0000-0000-0000950A0000}"/>
    <cellStyle name="Comma 37 2 3 2" xfId="2741" xr:uid="{00000000-0005-0000-0000-0000960A0000}"/>
    <cellStyle name="Comma 37 2 3 2 2" xfId="2742" xr:uid="{00000000-0005-0000-0000-0000970A0000}"/>
    <cellStyle name="Comma 37 2 3 2 3" xfId="2743" xr:uid="{00000000-0005-0000-0000-0000980A0000}"/>
    <cellStyle name="Comma 37 2 3 2 4" xfId="2744" xr:uid="{00000000-0005-0000-0000-0000990A0000}"/>
    <cellStyle name="Comma 37 2 3 2 5" xfId="2745" xr:uid="{00000000-0005-0000-0000-00009A0A0000}"/>
    <cellStyle name="Comma 37 2 3 2 6" xfId="2746" xr:uid="{00000000-0005-0000-0000-00009B0A0000}"/>
    <cellStyle name="Comma 37 2 3 3" xfId="2747" xr:uid="{00000000-0005-0000-0000-00009C0A0000}"/>
    <cellStyle name="Comma 37 2 3 3 2" xfId="2748" xr:uid="{00000000-0005-0000-0000-00009D0A0000}"/>
    <cellStyle name="Comma 37 2 3 3 3" xfId="2749" xr:uid="{00000000-0005-0000-0000-00009E0A0000}"/>
    <cellStyle name="Comma 37 2 3 3 4" xfId="2750" xr:uid="{00000000-0005-0000-0000-00009F0A0000}"/>
    <cellStyle name="Comma 37 2 3 3 5" xfId="2751" xr:uid="{00000000-0005-0000-0000-0000A00A0000}"/>
    <cellStyle name="Comma 37 2 3 3 6" xfId="2752" xr:uid="{00000000-0005-0000-0000-0000A10A0000}"/>
    <cellStyle name="Comma 37 2 3 4" xfId="2753" xr:uid="{00000000-0005-0000-0000-0000A20A0000}"/>
    <cellStyle name="Comma 37 2 3 5" xfId="2754" xr:uid="{00000000-0005-0000-0000-0000A30A0000}"/>
    <cellStyle name="Comma 37 2 3 6" xfId="2755" xr:uid="{00000000-0005-0000-0000-0000A40A0000}"/>
    <cellStyle name="Comma 37 2 3 7" xfId="2756" xr:uid="{00000000-0005-0000-0000-0000A50A0000}"/>
    <cellStyle name="Comma 37 2 3 8" xfId="2757" xr:uid="{00000000-0005-0000-0000-0000A60A0000}"/>
    <cellStyle name="Comma 37 2 4" xfId="2758" xr:uid="{00000000-0005-0000-0000-0000A70A0000}"/>
    <cellStyle name="Comma 37 2 4 2" xfId="2759" xr:uid="{00000000-0005-0000-0000-0000A80A0000}"/>
    <cellStyle name="Comma 37 2 4 2 2" xfId="2760" xr:uid="{00000000-0005-0000-0000-0000A90A0000}"/>
    <cellStyle name="Comma 37 2 4 2 3" xfId="2761" xr:uid="{00000000-0005-0000-0000-0000AA0A0000}"/>
    <cellStyle name="Comma 37 2 4 2 4" xfId="2762" xr:uid="{00000000-0005-0000-0000-0000AB0A0000}"/>
    <cellStyle name="Comma 37 2 4 2 5" xfId="2763" xr:uid="{00000000-0005-0000-0000-0000AC0A0000}"/>
    <cellStyle name="Comma 37 2 4 2 6" xfId="2764" xr:uid="{00000000-0005-0000-0000-0000AD0A0000}"/>
    <cellStyle name="Comma 37 2 4 3" xfId="2765" xr:uid="{00000000-0005-0000-0000-0000AE0A0000}"/>
    <cellStyle name="Comma 37 2 4 3 2" xfId="2766" xr:uid="{00000000-0005-0000-0000-0000AF0A0000}"/>
    <cellStyle name="Comma 37 2 4 3 3" xfId="2767" xr:uid="{00000000-0005-0000-0000-0000B00A0000}"/>
    <cellStyle name="Comma 37 2 4 3 4" xfId="2768" xr:uid="{00000000-0005-0000-0000-0000B10A0000}"/>
    <cellStyle name="Comma 37 2 4 3 5" xfId="2769" xr:uid="{00000000-0005-0000-0000-0000B20A0000}"/>
    <cellStyle name="Comma 37 2 4 3 6" xfId="2770" xr:uid="{00000000-0005-0000-0000-0000B30A0000}"/>
    <cellStyle name="Comma 37 2 4 4" xfId="2771" xr:uid="{00000000-0005-0000-0000-0000B40A0000}"/>
    <cellStyle name="Comma 37 2 4 5" xfId="2772" xr:uid="{00000000-0005-0000-0000-0000B50A0000}"/>
    <cellStyle name="Comma 37 2 4 6" xfId="2773" xr:uid="{00000000-0005-0000-0000-0000B60A0000}"/>
    <cellStyle name="Comma 37 2 4 7" xfId="2774" xr:uid="{00000000-0005-0000-0000-0000B70A0000}"/>
    <cellStyle name="Comma 37 2 4 8" xfId="2775" xr:uid="{00000000-0005-0000-0000-0000B80A0000}"/>
    <cellStyle name="Comma 37 2 5" xfId="2776" xr:uid="{00000000-0005-0000-0000-0000B90A0000}"/>
    <cellStyle name="Comma 37 2 5 2" xfId="2777" xr:uid="{00000000-0005-0000-0000-0000BA0A0000}"/>
    <cellStyle name="Comma 37 2 5 3" xfId="2778" xr:uid="{00000000-0005-0000-0000-0000BB0A0000}"/>
    <cellStyle name="Comma 37 2 5 4" xfId="2779" xr:uid="{00000000-0005-0000-0000-0000BC0A0000}"/>
    <cellStyle name="Comma 37 2 5 5" xfId="2780" xr:uid="{00000000-0005-0000-0000-0000BD0A0000}"/>
    <cellStyle name="Comma 37 2 5 6" xfId="2781" xr:uid="{00000000-0005-0000-0000-0000BE0A0000}"/>
    <cellStyle name="Comma 37 2 6" xfId="2782" xr:uid="{00000000-0005-0000-0000-0000BF0A0000}"/>
    <cellStyle name="Comma 37 2 6 2" xfId="2783" xr:uid="{00000000-0005-0000-0000-0000C00A0000}"/>
    <cellStyle name="Comma 37 2 6 3" xfId="2784" xr:uid="{00000000-0005-0000-0000-0000C10A0000}"/>
    <cellStyle name="Comma 37 2 6 4" xfId="2785" xr:uid="{00000000-0005-0000-0000-0000C20A0000}"/>
    <cellStyle name="Comma 37 2 6 5" xfId="2786" xr:uid="{00000000-0005-0000-0000-0000C30A0000}"/>
    <cellStyle name="Comma 37 2 6 6" xfId="2787" xr:uid="{00000000-0005-0000-0000-0000C40A0000}"/>
    <cellStyle name="Comma 37 2 7" xfId="2788" xr:uid="{00000000-0005-0000-0000-0000C50A0000}"/>
    <cellStyle name="Comma 37 2 8" xfId="2789" xr:uid="{00000000-0005-0000-0000-0000C60A0000}"/>
    <cellStyle name="Comma 37 2 9" xfId="2790" xr:uid="{00000000-0005-0000-0000-0000C70A0000}"/>
    <cellStyle name="Comma 37 3" xfId="2791" xr:uid="{00000000-0005-0000-0000-0000C80A0000}"/>
    <cellStyle name="Comma 37 3 2" xfId="2792" xr:uid="{00000000-0005-0000-0000-0000C90A0000}"/>
    <cellStyle name="Comma 37 3 2 2" xfId="2793" xr:uid="{00000000-0005-0000-0000-0000CA0A0000}"/>
    <cellStyle name="Comma 37 3 2 3" xfId="2794" xr:uid="{00000000-0005-0000-0000-0000CB0A0000}"/>
    <cellStyle name="Comma 37 3 2 4" xfId="2795" xr:uid="{00000000-0005-0000-0000-0000CC0A0000}"/>
    <cellStyle name="Comma 37 3 2 5" xfId="2796" xr:uid="{00000000-0005-0000-0000-0000CD0A0000}"/>
    <cellStyle name="Comma 37 3 2 6" xfId="2797" xr:uid="{00000000-0005-0000-0000-0000CE0A0000}"/>
    <cellStyle name="Comma 37 3 3" xfId="2798" xr:uid="{00000000-0005-0000-0000-0000CF0A0000}"/>
    <cellStyle name="Comma 37 3 3 2" xfId="2799" xr:uid="{00000000-0005-0000-0000-0000D00A0000}"/>
    <cellStyle name="Comma 37 3 3 3" xfId="2800" xr:uid="{00000000-0005-0000-0000-0000D10A0000}"/>
    <cellStyle name="Comma 37 3 3 4" xfId="2801" xr:uid="{00000000-0005-0000-0000-0000D20A0000}"/>
    <cellStyle name="Comma 37 3 3 5" xfId="2802" xr:uid="{00000000-0005-0000-0000-0000D30A0000}"/>
    <cellStyle name="Comma 37 3 3 6" xfId="2803" xr:uid="{00000000-0005-0000-0000-0000D40A0000}"/>
    <cellStyle name="Comma 37 3 4" xfId="2804" xr:uid="{00000000-0005-0000-0000-0000D50A0000}"/>
    <cellStyle name="Comma 37 3 5" xfId="2805" xr:uid="{00000000-0005-0000-0000-0000D60A0000}"/>
    <cellStyle name="Comma 37 3 6" xfId="2806" xr:uid="{00000000-0005-0000-0000-0000D70A0000}"/>
    <cellStyle name="Comma 37 3 7" xfId="2807" xr:uid="{00000000-0005-0000-0000-0000D80A0000}"/>
    <cellStyle name="Comma 37 3 8" xfId="2808" xr:uid="{00000000-0005-0000-0000-0000D90A0000}"/>
    <cellStyle name="Comma 37 4" xfId="2809" xr:uid="{00000000-0005-0000-0000-0000DA0A0000}"/>
    <cellStyle name="Comma 37 4 2" xfId="2810" xr:uid="{00000000-0005-0000-0000-0000DB0A0000}"/>
    <cellStyle name="Comma 37 4 2 2" xfId="2811" xr:uid="{00000000-0005-0000-0000-0000DC0A0000}"/>
    <cellStyle name="Comma 37 4 2 3" xfId="2812" xr:uid="{00000000-0005-0000-0000-0000DD0A0000}"/>
    <cellStyle name="Comma 37 4 2 4" xfId="2813" xr:uid="{00000000-0005-0000-0000-0000DE0A0000}"/>
    <cellStyle name="Comma 37 4 2 5" xfId="2814" xr:uid="{00000000-0005-0000-0000-0000DF0A0000}"/>
    <cellStyle name="Comma 37 4 2 6" xfId="2815" xr:uid="{00000000-0005-0000-0000-0000E00A0000}"/>
    <cellStyle name="Comma 37 4 3" xfId="2816" xr:uid="{00000000-0005-0000-0000-0000E10A0000}"/>
    <cellStyle name="Comma 37 4 3 2" xfId="2817" xr:uid="{00000000-0005-0000-0000-0000E20A0000}"/>
    <cellStyle name="Comma 37 4 3 3" xfId="2818" xr:uid="{00000000-0005-0000-0000-0000E30A0000}"/>
    <cellStyle name="Comma 37 4 3 4" xfId="2819" xr:uid="{00000000-0005-0000-0000-0000E40A0000}"/>
    <cellStyle name="Comma 37 4 3 5" xfId="2820" xr:uid="{00000000-0005-0000-0000-0000E50A0000}"/>
    <cellStyle name="Comma 37 4 3 6" xfId="2821" xr:uid="{00000000-0005-0000-0000-0000E60A0000}"/>
    <cellStyle name="Comma 37 4 4" xfId="2822" xr:uid="{00000000-0005-0000-0000-0000E70A0000}"/>
    <cellStyle name="Comma 37 4 5" xfId="2823" xr:uid="{00000000-0005-0000-0000-0000E80A0000}"/>
    <cellStyle name="Comma 37 4 6" xfId="2824" xr:uid="{00000000-0005-0000-0000-0000E90A0000}"/>
    <cellStyle name="Comma 37 4 7" xfId="2825" xr:uid="{00000000-0005-0000-0000-0000EA0A0000}"/>
    <cellStyle name="Comma 37 4 8" xfId="2826" xr:uid="{00000000-0005-0000-0000-0000EB0A0000}"/>
    <cellStyle name="Comma 37 5" xfId="2827" xr:uid="{00000000-0005-0000-0000-0000EC0A0000}"/>
    <cellStyle name="Comma 37 5 2" xfId="2828" xr:uid="{00000000-0005-0000-0000-0000ED0A0000}"/>
    <cellStyle name="Comma 37 5 2 2" xfId="2829" xr:uid="{00000000-0005-0000-0000-0000EE0A0000}"/>
    <cellStyle name="Comma 37 5 2 3" xfId="2830" xr:uid="{00000000-0005-0000-0000-0000EF0A0000}"/>
    <cellStyle name="Comma 37 5 2 4" xfId="2831" xr:uid="{00000000-0005-0000-0000-0000F00A0000}"/>
    <cellStyle name="Comma 37 5 2 5" xfId="2832" xr:uid="{00000000-0005-0000-0000-0000F10A0000}"/>
    <cellStyle name="Comma 37 5 2 6" xfId="2833" xr:uid="{00000000-0005-0000-0000-0000F20A0000}"/>
    <cellStyle name="Comma 37 5 3" xfId="2834" xr:uid="{00000000-0005-0000-0000-0000F30A0000}"/>
    <cellStyle name="Comma 37 5 3 2" xfId="2835" xr:uid="{00000000-0005-0000-0000-0000F40A0000}"/>
    <cellStyle name="Comma 37 5 3 3" xfId="2836" xr:uid="{00000000-0005-0000-0000-0000F50A0000}"/>
    <cellStyle name="Comma 37 5 3 4" xfId="2837" xr:uid="{00000000-0005-0000-0000-0000F60A0000}"/>
    <cellStyle name="Comma 37 5 3 5" xfId="2838" xr:uid="{00000000-0005-0000-0000-0000F70A0000}"/>
    <cellStyle name="Comma 37 5 3 6" xfId="2839" xr:uid="{00000000-0005-0000-0000-0000F80A0000}"/>
    <cellStyle name="Comma 37 5 4" xfId="2840" xr:uid="{00000000-0005-0000-0000-0000F90A0000}"/>
    <cellStyle name="Comma 37 5 5" xfId="2841" xr:uid="{00000000-0005-0000-0000-0000FA0A0000}"/>
    <cellStyle name="Comma 37 5 6" xfId="2842" xr:uid="{00000000-0005-0000-0000-0000FB0A0000}"/>
    <cellStyle name="Comma 37 5 7" xfId="2843" xr:uid="{00000000-0005-0000-0000-0000FC0A0000}"/>
    <cellStyle name="Comma 37 5 8" xfId="2844" xr:uid="{00000000-0005-0000-0000-0000FD0A0000}"/>
    <cellStyle name="Comma 37 6" xfId="2845" xr:uid="{00000000-0005-0000-0000-0000FE0A0000}"/>
    <cellStyle name="Comma 37 6 2" xfId="2846" xr:uid="{00000000-0005-0000-0000-0000FF0A0000}"/>
    <cellStyle name="Comma 37 6 3" xfId="2847" xr:uid="{00000000-0005-0000-0000-0000000B0000}"/>
    <cellStyle name="Comma 37 6 4" xfId="2848" xr:uid="{00000000-0005-0000-0000-0000010B0000}"/>
    <cellStyle name="Comma 37 6 5" xfId="2849" xr:uid="{00000000-0005-0000-0000-0000020B0000}"/>
    <cellStyle name="Comma 37 6 6" xfId="2850" xr:uid="{00000000-0005-0000-0000-0000030B0000}"/>
    <cellStyle name="Comma 37 7" xfId="2851" xr:uid="{00000000-0005-0000-0000-0000040B0000}"/>
    <cellStyle name="Comma 37 7 2" xfId="2852" xr:uid="{00000000-0005-0000-0000-0000050B0000}"/>
    <cellStyle name="Comma 37 7 3" xfId="2853" xr:uid="{00000000-0005-0000-0000-0000060B0000}"/>
    <cellStyle name="Comma 37 7 4" xfId="2854" xr:uid="{00000000-0005-0000-0000-0000070B0000}"/>
    <cellStyle name="Comma 37 7 5" xfId="2855" xr:uid="{00000000-0005-0000-0000-0000080B0000}"/>
    <cellStyle name="Comma 37 7 6" xfId="2856" xr:uid="{00000000-0005-0000-0000-0000090B0000}"/>
    <cellStyle name="Comma 37 8" xfId="2857" xr:uid="{00000000-0005-0000-0000-00000A0B0000}"/>
    <cellStyle name="Comma 37 9" xfId="2858" xr:uid="{00000000-0005-0000-0000-00000B0B0000}"/>
    <cellStyle name="Comma 38" xfId="2859" xr:uid="{00000000-0005-0000-0000-00000C0B0000}"/>
    <cellStyle name="Comma 39" xfId="2860" xr:uid="{00000000-0005-0000-0000-00000D0B0000}"/>
    <cellStyle name="Comma 39 2" xfId="2861" xr:uid="{00000000-0005-0000-0000-00000E0B0000}"/>
    <cellStyle name="Comma 4" xfId="2862" xr:uid="{00000000-0005-0000-0000-00000F0B0000}"/>
    <cellStyle name="Comma 4 10" xfId="2863" xr:uid="{00000000-0005-0000-0000-0000100B0000}"/>
    <cellStyle name="Comma 4 11" xfId="2864" xr:uid="{00000000-0005-0000-0000-0000110B0000}"/>
    <cellStyle name="Comma 4 12" xfId="2865" xr:uid="{00000000-0005-0000-0000-0000120B0000}"/>
    <cellStyle name="Comma 4 13" xfId="2866" xr:uid="{00000000-0005-0000-0000-0000130B0000}"/>
    <cellStyle name="Comma 4 14" xfId="2867" xr:uid="{00000000-0005-0000-0000-0000140B0000}"/>
    <cellStyle name="Comma 4 2" xfId="2868" xr:uid="{00000000-0005-0000-0000-0000150B0000}"/>
    <cellStyle name="Comma 4 2 2" xfId="2869" xr:uid="{00000000-0005-0000-0000-0000160B0000}"/>
    <cellStyle name="Comma 4 2 2 2" xfId="2870" xr:uid="{00000000-0005-0000-0000-0000170B0000}"/>
    <cellStyle name="Comma 4 2 2 2 10" xfId="2871" xr:uid="{00000000-0005-0000-0000-0000180B0000}"/>
    <cellStyle name="Comma 4 2 2 2 11" xfId="2872" xr:uid="{00000000-0005-0000-0000-0000190B0000}"/>
    <cellStyle name="Comma 4 2 2 2 2" xfId="2873" xr:uid="{00000000-0005-0000-0000-00001A0B0000}"/>
    <cellStyle name="Comma 4 2 2 2 2 2" xfId="2874" xr:uid="{00000000-0005-0000-0000-00001B0B0000}"/>
    <cellStyle name="Comma 4 2 2 2 2 2 2" xfId="2875" xr:uid="{00000000-0005-0000-0000-00001C0B0000}"/>
    <cellStyle name="Comma 4 2 2 2 2 2 3" xfId="2876" xr:uid="{00000000-0005-0000-0000-00001D0B0000}"/>
    <cellStyle name="Comma 4 2 2 2 2 2 4" xfId="2877" xr:uid="{00000000-0005-0000-0000-00001E0B0000}"/>
    <cellStyle name="Comma 4 2 2 2 2 2 5" xfId="2878" xr:uid="{00000000-0005-0000-0000-00001F0B0000}"/>
    <cellStyle name="Comma 4 2 2 2 2 2 6" xfId="2879" xr:uid="{00000000-0005-0000-0000-0000200B0000}"/>
    <cellStyle name="Comma 4 2 2 2 2 3" xfId="2880" xr:uid="{00000000-0005-0000-0000-0000210B0000}"/>
    <cellStyle name="Comma 4 2 2 2 2 3 2" xfId="2881" xr:uid="{00000000-0005-0000-0000-0000220B0000}"/>
    <cellStyle name="Comma 4 2 2 2 2 3 3" xfId="2882" xr:uid="{00000000-0005-0000-0000-0000230B0000}"/>
    <cellStyle name="Comma 4 2 2 2 2 3 4" xfId="2883" xr:uid="{00000000-0005-0000-0000-0000240B0000}"/>
    <cellStyle name="Comma 4 2 2 2 2 3 5" xfId="2884" xr:uid="{00000000-0005-0000-0000-0000250B0000}"/>
    <cellStyle name="Comma 4 2 2 2 2 3 6" xfId="2885" xr:uid="{00000000-0005-0000-0000-0000260B0000}"/>
    <cellStyle name="Comma 4 2 2 2 2 4" xfId="2886" xr:uid="{00000000-0005-0000-0000-0000270B0000}"/>
    <cellStyle name="Comma 4 2 2 2 2 5" xfId="2887" xr:uid="{00000000-0005-0000-0000-0000280B0000}"/>
    <cellStyle name="Comma 4 2 2 2 2 6" xfId="2888" xr:uid="{00000000-0005-0000-0000-0000290B0000}"/>
    <cellStyle name="Comma 4 2 2 2 2 7" xfId="2889" xr:uid="{00000000-0005-0000-0000-00002A0B0000}"/>
    <cellStyle name="Comma 4 2 2 2 2 8" xfId="2890" xr:uid="{00000000-0005-0000-0000-00002B0B0000}"/>
    <cellStyle name="Comma 4 2 2 2 3" xfId="2891" xr:uid="{00000000-0005-0000-0000-00002C0B0000}"/>
    <cellStyle name="Comma 4 2 2 2 3 2" xfId="2892" xr:uid="{00000000-0005-0000-0000-00002D0B0000}"/>
    <cellStyle name="Comma 4 2 2 2 3 2 2" xfId="2893" xr:uid="{00000000-0005-0000-0000-00002E0B0000}"/>
    <cellStyle name="Comma 4 2 2 2 3 2 3" xfId="2894" xr:uid="{00000000-0005-0000-0000-00002F0B0000}"/>
    <cellStyle name="Comma 4 2 2 2 3 2 4" xfId="2895" xr:uid="{00000000-0005-0000-0000-0000300B0000}"/>
    <cellStyle name="Comma 4 2 2 2 3 2 5" xfId="2896" xr:uid="{00000000-0005-0000-0000-0000310B0000}"/>
    <cellStyle name="Comma 4 2 2 2 3 2 6" xfId="2897" xr:uid="{00000000-0005-0000-0000-0000320B0000}"/>
    <cellStyle name="Comma 4 2 2 2 3 3" xfId="2898" xr:uid="{00000000-0005-0000-0000-0000330B0000}"/>
    <cellStyle name="Comma 4 2 2 2 3 3 2" xfId="2899" xr:uid="{00000000-0005-0000-0000-0000340B0000}"/>
    <cellStyle name="Comma 4 2 2 2 3 3 3" xfId="2900" xr:uid="{00000000-0005-0000-0000-0000350B0000}"/>
    <cellStyle name="Comma 4 2 2 2 3 3 4" xfId="2901" xr:uid="{00000000-0005-0000-0000-0000360B0000}"/>
    <cellStyle name="Comma 4 2 2 2 3 3 5" xfId="2902" xr:uid="{00000000-0005-0000-0000-0000370B0000}"/>
    <cellStyle name="Comma 4 2 2 2 3 3 6" xfId="2903" xr:uid="{00000000-0005-0000-0000-0000380B0000}"/>
    <cellStyle name="Comma 4 2 2 2 3 4" xfId="2904" xr:uid="{00000000-0005-0000-0000-0000390B0000}"/>
    <cellStyle name="Comma 4 2 2 2 3 5" xfId="2905" xr:uid="{00000000-0005-0000-0000-00003A0B0000}"/>
    <cellStyle name="Comma 4 2 2 2 3 6" xfId="2906" xr:uid="{00000000-0005-0000-0000-00003B0B0000}"/>
    <cellStyle name="Comma 4 2 2 2 3 7" xfId="2907" xr:uid="{00000000-0005-0000-0000-00003C0B0000}"/>
    <cellStyle name="Comma 4 2 2 2 3 8" xfId="2908" xr:uid="{00000000-0005-0000-0000-00003D0B0000}"/>
    <cellStyle name="Comma 4 2 2 2 4" xfId="2909" xr:uid="{00000000-0005-0000-0000-00003E0B0000}"/>
    <cellStyle name="Comma 4 2 2 2 4 2" xfId="2910" xr:uid="{00000000-0005-0000-0000-00003F0B0000}"/>
    <cellStyle name="Comma 4 2 2 2 4 2 2" xfId="2911" xr:uid="{00000000-0005-0000-0000-0000400B0000}"/>
    <cellStyle name="Comma 4 2 2 2 4 2 3" xfId="2912" xr:uid="{00000000-0005-0000-0000-0000410B0000}"/>
    <cellStyle name="Comma 4 2 2 2 4 2 4" xfId="2913" xr:uid="{00000000-0005-0000-0000-0000420B0000}"/>
    <cellStyle name="Comma 4 2 2 2 4 2 5" xfId="2914" xr:uid="{00000000-0005-0000-0000-0000430B0000}"/>
    <cellStyle name="Comma 4 2 2 2 4 2 6" xfId="2915" xr:uid="{00000000-0005-0000-0000-0000440B0000}"/>
    <cellStyle name="Comma 4 2 2 2 4 3" xfId="2916" xr:uid="{00000000-0005-0000-0000-0000450B0000}"/>
    <cellStyle name="Comma 4 2 2 2 4 3 2" xfId="2917" xr:uid="{00000000-0005-0000-0000-0000460B0000}"/>
    <cellStyle name="Comma 4 2 2 2 4 3 3" xfId="2918" xr:uid="{00000000-0005-0000-0000-0000470B0000}"/>
    <cellStyle name="Comma 4 2 2 2 4 3 4" xfId="2919" xr:uid="{00000000-0005-0000-0000-0000480B0000}"/>
    <cellStyle name="Comma 4 2 2 2 4 3 5" xfId="2920" xr:uid="{00000000-0005-0000-0000-0000490B0000}"/>
    <cellStyle name="Comma 4 2 2 2 4 3 6" xfId="2921" xr:uid="{00000000-0005-0000-0000-00004A0B0000}"/>
    <cellStyle name="Comma 4 2 2 2 4 4" xfId="2922" xr:uid="{00000000-0005-0000-0000-00004B0B0000}"/>
    <cellStyle name="Comma 4 2 2 2 4 5" xfId="2923" xr:uid="{00000000-0005-0000-0000-00004C0B0000}"/>
    <cellStyle name="Comma 4 2 2 2 4 6" xfId="2924" xr:uid="{00000000-0005-0000-0000-00004D0B0000}"/>
    <cellStyle name="Comma 4 2 2 2 4 7" xfId="2925" xr:uid="{00000000-0005-0000-0000-00004E0B0000}"/>
    <cellStyle name="Comma 4 2 2 2 4 8" xfId="2926" xr:uid="{00000000-0005-0000-0000-00004F0B0000}"/>
    <cellStyle name="Comma 4 2 2 2 5" xfId="2927" xr:uid="{00000000-0005-0000-0000-0000500B0000}"/>
    <cellStyle name="Comma 4 2 2 2 5 2" xfId="2928" xr:uid="{00000000-0005-0000-0000-0000510B0000}"/>
    <cellStyle name="Comma 4 2 2 2 5 3" xfId="2929" xr:uid="{00000000-0005-0000-0000-0000520B0000}"/>
    <cellStyle name="Comma 4 2 2 2 5 4" xfId="2930" xr:uid="{00000000-0005-0000-0000-0000530B0000}"/>
    <cellStyle name="Comma 4 2 2 2 5 5" xfId="2931" xr:uid="{00000000-0005-0000-0000-0000540B0000}"/>
    <cellStyle name="Comma 4 2 2 2 5 6" xfId="2932" xr:uid="{00000000-0005-0000-0000-0000550B0000}"/>
    <cellStyle name="Comma 4 2 2 2 6" xfId="2933" xr:uid="{00000000-0005-0000-0000-0000560B0000}"/>
    <cellStyle name="Comma 4 2 2 2 6 2" xfId="2934" xr:uid="{00000000-0005-0000-0000-0000570B0000}"/>
    <cellStyle name="Comma 4 2 2 2 6 3" xfId="2935" xr:uid="{00000000-0005-0000-0000-0000580B0000}"/>
    <cellStyle name="Comma 4 2 2 2 6 4" xfId="2936" xr:uid="{00000000-0005-0000-0000-0000590B0000}"/>
    <cellStyle name="Comma 4 2 2 2 6 5" xfId="2937" xr:uid="{00000000-0005-0000-0000-00005A0B0000}"/>
    <cellStyle name="Comma 4 2 2 2 6 6" xfId="2938" xr:uid="{00000000-0005-0000-0000-00005B0B0000}"/>
    <cellStyle name="Comma 4 2 2 2 7" xfId="2939" xr:uid="{00000000-0005-0000-0000-00005C0B0000}"/>
    <cellStyle name="Comma 4 2 2 2 8" xfId="2940" xr:uid="{00000000-0005-0000-0000-00005D0B0000}"/>
    <cellStyle name="Comma 4 2 2 2 9" xfId="2941" xr:uid="{00000000-0005-0000-0000-00005E0B0000}"/>
    <cellStyle name="Comma 4 2 3" xfId="2942" xr:uid="{00000000-0005-0000-0000-00005F0B0000}"/>
    <cellStyle name="Comma 4 2 3 2" xfId="2943" xr:uid="{00000000-0005-0000-0000-0000600B0000}"/>
    <cellStyle name="Comma 4 2 4" xfId="2944" xr:uid="{00000000-0005-0000-0000-0000610B0000}"/>
    <cellStyle name="Comma 4 2 5" xfId="2945" xr:uid="{00000000-0005-0000-0000-0000620B0000}"/>
    <cellStyle name="Comma 4 3" xfId="2946" xr:uid="{00000000-0005-0000-0000-0000630B0000}"/>
    <cellStyle name="Comma 4 3 2" xfId="2947" xr:uid="{00000000-0005-0000-0000-0000640B0000}"/>
    <cellStyle name="Comma 4 3 2 2" xfId="2948" xr:uid="{00000000-0005-0000-0000-0000650B0000}"/>
    <cellStyle name="Comma 4 3 3" xfId="2949" xr:uid="{00000000-0005-0000-0000-0000660B0000}"/>
    <cellStyle name="Comma 4 4" xfId="2950" xr:uid="{00000000-0005-0000-0000-0000670B0000}"/>
    <cellStyle name="Comma 4 4 2" xfId="2951" xr:uid="{00000000-0005-0000-0000-0000680B0000}"/>
    <cellStyle name="Comma 4 5" xfId="2952" xr:uid="{00000000-0005-0000-0000-0000690B0000}"/>
    <cellStyle name="Comma 4 5 2" xfId="2953" xr:uid="{00000000-0005-0000-0000-00006A0B0000}"/>
    <cellStyle name="Comma 4 5 2 10" xfId="2954" xr:uid="{00000000-0005-0000-0000-00006B0B0000}"/>
    <cellStyle name="Comma 4 5 2 11" xfId="2955" xr:uid="{00000000-0005-0000-0000-00006C0B0000}"/>
    <cellStyle name="Comma 4 5 2 2" xfId="2956" xr:uid="{00000000-0005-0000-0000-00006D0B0000}"/>
    <cellStyle name="Comma 4 5 2 2 2" xfId="2957" xr:uid="{00000000-0005-0000-0000-00006E0B0000}"/>
    <cellStyle name="Comma 4 5 2 2 2 2" xfId="2958" xr:uid="{00000000-0005-0000-0000-00006F0B0000}"/>
    <cellStyle name="Comma 4 5 2 2 2 3" xfId="2959" xr:uid="{00000000-0005-0000-0000-0000700B0000}"/>
    <cellStyle name="Comma 4 5 2 2 2 4" xfId="2960" xr:uid="{00000000-0005-0000-0000-0000710B0000}"/>
    <cellStyle name="Comma 4 5 2 2 2 5" xfId="2961" xr:uid="{00000000-0005-0000-0000-0000720B0000}"/>
    <cellStyle name="Comma 4 5 2 2 2 6" xfId="2962" xr:uid="{00000000-0005-0000-0000-0000730B0000}"/>
    <cellStyle name="Comma 4 5 2 2 3" xfId="2963" xr:uid="{00000000-0005-0000-0000-0000740B0000}"/>
    <cellStyle name="Comma 4 5 2 2 3 2" xfId="2964" xr:uid="{00000000-0005-0000-0000-0000750B0000}"/>
    <cellStyle name="Comma 4 5 2 2 3 3" xfId="2965" xr:uid="{00000000-0005-0000-0000-0000760B0000}"/>
    <cellStyle name="Comma 4 5 2 2 3 4" xfId="2966" xr:uid="{00000000-0005-0000-0000-0000770B0000}"/>
    <cellStyle name="Comma 4 5 2 2 3 5" xfId="2967" xr:uid="{00000000-0005-0000-0000-0000780B0000}"/>
    <cellStyle name="Comma 4 5 2 2 3 6" xfId="2968" xr:uid="{00000000-0005-0000-0000-0000790B0000}"/>
    <cellStyle name="Comma 4 5 2 2 4" xfId="2969" xr:uid="{00000000-0005-0000-0000-00007A0B0000}"/>
    <cellStyle name="Comma 4 5 2 2 5" xfId="2970" xr:uid="{00000000-0005-0000-0000-00007B0B0000}"/>
    <cellStyle name="Comma 4 5 2 2 6" xfId="2971" xr:uid="{00000000-0005-0000-0000-00007C0B0000}"/>
    <cellStyle name="Comma 4 5 2 2 7" xfId="2972" xr:uid="{00000000-0005-0000-0000-00007D0B0000}"/>
    <cellStyle name="Comma 4 5 2 2 8" xfId="2973" xr:uid="{00000000-0005-0000-0000-00007E0B0000}"/>
    <cellStyle name="Comma 4 5 2 3" xfId="2974" xr:uid="{00000000-0005-0000-0000-00007F0B0000}"/>
    <cellStyle name="Comma 4 5 2 3 2" xfId="2975" xr:uid="{00000000-0005-0000-0000-0000800B0000}"/>
    <cellStyle name="Comma 4 5 2 3 2 2" xfId="2976" xr:uid="{00000000-0005-0000-0000-0000810B0000}"/>
    <cellStyle name="Comma 4 5 2 3 2 3" xfId="2977" xr:uid="{00000000-0005-0000-0000-0000820B0000}"/>
    <cellStyle name="Comma 4 5 2 3 2 4" xfId="2978" xr:uid="{00000000-0005-0000-0000-0000830B0000}"/>
    <cellStyle name="Comma 4 5 2 3 2 5" xfId="2979" xr:uid="{00000000-0005-0000-0000-0000840B0000}"/>
    <cellStyle name="Comma 4 5 2 3 2 6" xfId="2980" xr:uid="{00000000-0005-0000-0000-0000850B0000}"/>
    <cellStyle name="Comma 4 5 2 3 3" xfId="2981" xr:uid="{00000000-0005-0000-0000-0000860B0000}"/>
    <cellStyle name="Comma 4 5 2 3 3 2" xfId="2982" xr:uid="{00000000-0005-0000-0000-0000870B0000}"/>
    <cellStyle name="Comma 4 5 2 3 3 3" xfId="2983" xr:uid="{00000000-0005-0000-0000-0000880B0000}"/>
    <cellStyle name="Comma 4 5 2 3 3 4" xfId="2984" xr:uid="{00000000-0005-0000-0000-0000890B0000}"/>
    <cellStyle name="Comma 4 5 2 3 3 5" xfId="2985" xr:uid="{00000000-0005-0000-0000-00008A0B0000}"/>
    <cellStyle name="Comma 4 5 2 3 3 6" xfId="2986" xr:uid="{00000000-0005-0000-0000-00008B0B0000}"/>
    <cellStyle name="Comma 4 5 2 3 4" xfId="2987" xr:uid="{00000000-0005-0000-0000-00008C0B0000}"/>
    <cellStyle name="Comma 4 5 2 3 5" xfId="2988" xr:uid="{00000000-0005-0000-0000-00008D0B0000}"/>
    <cellStyle name="Comma 4 5 2 3 6" xfId="2989" xr:uid="{00000000-0005-0000-0000-00008E0B0000}"/>
    <cellStyle name="Comma 4 5 2 3 7" xfId="2990" xr:uid="{00000000-0005-0000-0000-00008F0B0000}"/>
    <cellStyle name="Comma 4 5 2 3 8" xfId="2991" xr:uid="{00000000-0005-0000-0000-0000900B0000}"/>
    <cellStyle name="Comma 4 5 2 4" xfId="2992" xr:uid="{00000000-0005-0000-0000-0000910B0000}"/>
    <cellStyle name="Comma 4 5 2 4 2" xfId="2993" xr:uid="{00000000-0005-0000-0000-0000920B0000}"/>
    <cellStyle name="Comma 4 5 2 4 2 2" xfId="2994" xr:uid="{00000000-0005-0000-0000-0000930B0000}"/>
    <cellStyle name="Comma 4 5 2 4 2 3" xfId="2995" xr:uid="{00000000-0005-0000-0000-0000940B0000}"/>
    <cellStyle name="Comma 4 5 2 4 2 4" xfId="2996" xr:uid="{00000000-0005-0000-0000-0000950B0000}"/>
    <cellStyle name="Comma 4 5 2 4 2 5" xfId="2997" xr:uid="{00000000-0005-0000-0000-0000960B0000}"/>
    <cellStyle name="Comma 4 5 2 4 2 6" xfId="2998" xr:uid="{00000000-0005-0000-0000-0000970B0000}"/>
    <cellStyle name="Comma 4 5 2 4 3" xfId="2999" xr:uid="{00000000-0005-0000-0000-0000980B0000}"/>
    <cellStyle name="Comma 4 5 2 4 3 2" xfId="3000" xr:uid="{00000000-0005-0000-0000-0000990B0000}"/>
    <cellStyle name="Comma 4 5 2 4 3 3" xfId="3001" xr:uid="{00000000-0005-0000-0000-00009A0B0000}"/>
    <cellStyle name="Comma 4 5 2 4 3 4" xfId="3002" xr:uid="{00000000-0005-0000-0000-00009B0B0000}"/>
    <cellStyle name="Comma 4 5 2 4 3 5" xfId="3003" xr:uid="{00000000-0005-0000-0000-00009C0B0000}"/>
    <cellStyle name="Comma 4 5 2 4 3 6" xfId="3004" xr:uid="{00000000-0005-0000-0000-00009D0B0000}"/>
    <cellStyle name="Comma 4 5 2 4 4" xfId="3005" xr:uid="{00000000-0005-0000-0000-00009E0B0000}"/>
    <cellStyle name="Comma 4 5 2 4 5" xfId="3006" xr:uid="{00000000-0005-0000-0000-00009F0B0000}"/>
    <cellStyle name="Comma 4 5 2 4 6" xfId="3007" xr:uid="{00000000-0005-0000-0000-0000A00B0000}"/>
    <cellStyle name="Comma 4 5 2 4 7" xfId="3008" xr:uid="{00000000-0005-0000-0000-0000A10B0000}"/>
    <cellStyle name="Comma 4 5 2 4 8" xfId="3009" xr:uid="{00000000-0005-0000-0000-0000A20B0000}"/>
    <cellStyle name="Comma 4 5 2 5" xfId="3010" xr:uid="{00000000-0005-0000-0000-0000A30B0000}"/>
    <cellStyle name="Comma 4 5 2 5 2" xfId="3011" xr:uid="{00000000-0005-0000-0000-0000A40B0000}"/>
    <cellStyle name="Comma 4 5 2 5 3" xfId="3012" xr:uid="{00000000-0005-0000-0000-0000A50B0000}"/>
    <cellStyle name="Comma 4 5 2 5 4" xfId="3013" xr:uid="{00000000-0005-0000-0000-0000A60B0000}"/>
    <cellStyle name="Comma 4 5 2 5 5" xfId="3014" xr:uid="{00000000-0005-0000-0000-0000A70B0000}"/>
    <cellStyle name="Comma 4 5 2 5 6" xfId="3015" xr:uid="{00000000-0005-0000-0000-0000A80B0000}"/>
    <cellStyle name="Comma 4 5 2 6" xfId="3016" xr:uid="{00000000-0005-0000-0000-0000A90B0000}"/>
    <cellStyle name="Comma 4 5 2 6 2" xfId="3017" xr:uid="{00000000-0005-0000-0000-0000AA0B0000}"/>
    <cellStyle name="Comma 4 5 2 6 3" xfId="3018" xr:uid="{00000000-0005-0000-0000-0000AB0B0000}"/>
    <cellStyle name="Comma 4 5 2 6 4" xfId="3019" xr:uid="{00000000-0005-0000-0000-0000AC0B0000}"/>
    <cellStyle name="Comma 4 5 2 6 5" xfId="3020" xr:uid="{00000000-0005-0000-0000-0000AD0B0000}"/>
    <cellStyle name="Comma 4 5 2 6 6" xfId="3021" xr:uid="{00000000-0005-0000-0000-0000AE0B0000}"/>
    <cellStyle name="Comma 4 5 2 7" xfId="3022" xr:uid="{00000000-0005-0000-0000-0000AF0B0000}"/>
    <cellStyle name="Comma 4 5 2 8" xfId="3023" xr:uid="{00000000-0005-0000-0000-0000B00B0000}"/>
    <cellStyle name="Comma 4 5 2 9" xfId="3024" xr:uid="{00000000-0005-0000-0000-0000B10B0000}"/>
    <cellStyle name="Comma 4 6" xfId="3025" xr:uid="{00000000-0005-0000-0000-0000B20B0000}"/>
    <cellStyle name="Comma 4 6 2" xfId="3026" xr:uid="{00000000-0005-0000-0000-0000B30B0000}"/>
    <cellStyle name="Comma 4 7" xfId="3027" xr:uid="{00000000-0005-0000-0000-0000B40B0000}"/>
    <cellStyle name="Comma 4 8" xfId="3028" xr:uid="{00000000-0005-0000-0000-0000B50B0000}"/>
    <cellStyle name="Comma 4 9" xfId="3029" xr:uid="{00000000-0005-0000-0000-0000B60B0000}"/>
    <cellStyle name="Comma 40" xfId="3030" xr:uid="{00000000-0005-0000-0000-0000B70B0000}"/>
    <cellStyle name="Comma 40 2" xfId="3031" xr:uid="{00000000-0005-0000-0000-0000B80B0000}"/>
    <cellStyle name="Comma 41" xfId="3032" xr:uid="{00000000-0005-0000-0000-0000B90B0000}"/>
    <cellStyle name="Comma 42" xfId="3033" xr:uid="{00000000-0005-0000-0000-0000BA0B0000}"/>
    <cellStyle name="Comma 43" xfId="3034" xr:uid="{00000000-0005-0000-0000-0000BB0B0000}"/>
    <cellStyle name="Comma 44" xfId="3035" xr:uid="{00000000-0005-0000-0000-0000BC0B0000}"/>
    <cellStyle name="Comma 45" xfId="3036" xr:uid="{00000000-0005-0000-0000-0000BD0B0000}"/>
    <cellStyle name="Comma 46" xfId="44" xr:uid="{00000000-0005-0000-0000-0000BE0B0000}"/>
    <cellStyle name="Comma 47" xfId="40904" xr:uid="{00000000-0005-0000-0000-0000BF0B0000}"/>
    <cellStyle name="Comma 48" xfId="40908" xr:uid="{00000000-0005-0000-0000-0000C00B0000}"/>
    <cellStyle name="Comma 49" xfId="40910" xr:uid="{00000000-0005-0000-0000-0000C10B0000}"/>
    <cellStyle name="Comma 5" xfId="3037" xr:uid="{00000000-0005-0000-0000-0000C20B0000}"/>
    <cellStyle name="Comma 5 10" xfId="3038" xr:uid="{00000000-0005-0000-0000-0000C30B0000}"/>
    <cellStyle name="Comma 5 11" xfId="3039" xr:uid="{00000000-0005-0000-0000-0000C40B0000}"/>
    <cellStyle name="Comma 5 12" xfId="3040" xr:uid="{00000000-0005-0000-0000-0000C50B0000}"/>
    <cellStyle name="Comma 5 2" xfId="3041" xr:uid="{00000000-0005-0000-0000-0000C60B0000}"/>
    <cellStyle name="Comma 5 2 2" xfId="3042" xr:uid="{00000000-0005-0000-0000-0000C70B0000}"/>
    <cellStyle name="Comma 5 2 2 2" xfId="3043" xr:uid="{00000000-0005-0000-0000-0000C80B0000}"/>
    <cellStyle name="Comma 5 2 2 2 10" xfId="3044" xr:uid="{00000000-0005-0000-0000-0000C90B0000}"/>
    <cellStyle name="Comma 5 2 2 2 11" xfId="3045" xr:uid="{00000000-0005-0000-0000-0000CA0B0000}"/>
    <cellStyle name="Comma 5 2 2 2 2" xfId="3046" xr:uid="{00000000-0005-0000-0000-0000CB0B0000}"/>
    <cellStyle name="Comma 5 2 2 2 2 2" xfId="3047" xr:uid="{00000000-0005-0000-0000-0000CC0B0000}"/>
    <cellStyle name="Comma 5 2 2 2 2 2 2" xfId="3048" xr:uid="{00000000-0005-0000-0000-0000CD0B0000}"/>
    <cellStyle name="Comma 5 2 2 2 2 2 3" xfId="3049" xr:uid="{00000000-0005-0000-0000-0000CE0B0000}"/>
    <cellStyle name="Comma 5 2 2 2 2 2 4" xfId="3050" xr:uid="{00000000-0005-0000-0000-0000CF0B0000}"/>
    <cellStyle name="Comma 5 2 2 2 2 2 5" xfId="3051" xr:uid="{00000000-0005-0000-0000-0000D00B0000}"/>
    <cellStyle name="Comma 5 2 2 2 2 2 6" xfId="3052" xr:uid="{00000000-0005-0000-0000-0000D10B0000}"/>
    <cellStyle name="Comma 5 2 2 2 2 3" xfId="3053" xr:uid="{00000000-0005-0000-0000-0000D20B0000}"/>
    <cellStyle name="Comma 5 2 2 2 2 3 2" xfId="3054" xr:uid="{00000000-0005-0000-0000-0000D30B0000}"/>
    <cellStyle name="Comma 5 2 2 2 2 3 3" xfId="3055" xr:uid="{00000000-0005-0000-0000-0000D40B0000}"/>
    <cellStyle name="Comma 5 2 2 2 2 3 4" xfId="3056" xr:uid="{00000000-0005-0000-0000-0000D50B0000}"/>
    <cellStyle name="Comma 5 2 2 2 2 3 5" xfId="3057" xr:uid="{00000000-0005-0000-0000-0000D60B0000}"/>
    <cellStyle name="Comma 5 2 2 2 2 3 6" xfId="3058" xr:uid="{00000000-0005-0000-0000-0000D70B0000}"/>
    <cellStyle name="Comma 5 2 2 2 2 4" xfId="3059" xr:uid="{00000000-0005-0000-0000-0000D80B0000}"/>
    <cellStyle name="Comma 5 2 2 2 2 5" xfId="3060" xr:uid="{00000000-0005-0000-0000-0000D90B0000}"/>
    <cellStyle name="Comma 5 2 2 2 2 6" xfId="3061" xr:uid="{00000000-0005-0000-0000-0000DA0B0000}"/>
    <cellStyle name="Comma 5 2 2 2 2 7" xfId="3062" xr:uid="{00000000-0005-0000-0000-0000DB0B0000}"/>
    <cellStyle name="Comma 5 2 2 2 2 8" xfId="3063" xr:uid="{00000000-0005-0000-0000-0000DC0B0000}"/>
    <cellStyle name="Comma 5 2 2 2 3" xfId="3064" xr:uid="{00000000-0005-0000-0000-0000DD0B0000}"/>
    <cellStyle name="Comma 5 2 2 2 3 2" xfId="3065" xr:uid="{00000000-0005-0000-0000-0000DE0B0000}"/>
    <cellStyle name="Comma 5 2 2 2 3 2 2" xfId="3066" xr:uid="{00000000-0005-0000-0000-0000DF0B0000}"/>
    <cellStyle name="Comma 5 2 2 2 3 2 3" xfId="3067" xr:uid="{00000000-0005-0000-0000-0000E00B0000}"/>
    <cellStyle name="Comma 5 2 2 2 3 2 4" xfId="3068" xr:uid="{00000000-0005-0000-0000-0000E10B0000}"/>
    <cellStyle name="Comma 5 2 2 2 3 2 5" xfId="3069" xr:uid="{00000000-0005-0000-0000-0000E20B0000}"/>
    <cellStyle name="Comma 5 2 2 2 3 2 6" xfId="3070" xr:uid="{00000000-0005-0000-0000-0000E30B0000}"/>
    <cellStyle name="Comma 5 2 2 2 3 3" xfId="3071" xr:uid="{00000000-0005-0000-0000-0000E40B0000}"/>
    <cellStyle name="Comma 5 2 2 2 3 3 2" xfId="3072" xr:uid="{00000000-0005-0000-0000-0000E50B0000}"/>
    <cellStyle name="Comma 5 2 2 2 3 3 3" xfId="3073" xr:uid="{00000000-0005-0000-0000-0000E60B0000}"/>
    <cellStyle name="Comma 5 2 2 2 3 3 4" xfId="3074" xr:uid="{00000000-0005-0000-0000-0000E70B0000}"/>
    <cellStyle name="Comma 5 2 2 2 3 3 5" xfId="3075" xr:uid="{00000000-0005-0000-0000-0000E80B0000}"/>
    <cellStyle name="Comma 5 2 2 2 3 3 6" xfId="3076" xr:uid="{00000000-0005-0000-0000-0000E90B0000}"/>
    <cellStyle name="Comma 5 2 2 2 3 4" xfId="3077" xr:uid="{00000000-0005-0000-0000-0000EA0B0000}"/>
    <cellStyle name="Comma 5 2 2 2 3 5" xfId="3078" xr:uid="{00000000-0005-0000-0000-0000EB0B0000}"/>
    <cellStyle name="Comma 5 2 2 2 3 6" xfId="3079" xr:uid="{00000000-0005-0000-0000-0000EC0B0000}"/>
    <cellStyle name="Comma 5 2 2 2 3 7" xfId="3080" xr:uid="{00000000-0005-0000-0000-0000ED0B0000}"/>
    <cellStyle name="Comma 5 2 2 2 3 8" xfId="3081" xr:uid="{00000000-0005-0000-0000-0000EE0B0000}"/>
    <cellStyle name="Comma 5 2 2 2 4" xfId="3082" xr:uid="{00000000-0005-0000-0000-0000EF0B0000}"/>
    <cellStyle name="Comma 5 2 2 2 4 2" xfId="3083" xr:uid="{00000000-0005-0000-0000-0000F00B0000}"/>
    <cellStyle name="Comma 5 2 2 2 4 2 2" xfId="3084" xr:uid="{00000000-0005-0000-0000-0000F10B0000}"/>
    <cellStyle name="Comma 5 2 2 2 4 2 3" xfId="3085" xr:uid="{00000000-0005-0000-0000-0000F20B0000}"/>
    <cellStyle name="Comma 5 2 2 2 4 2 4" xfId="3086" xr:uid="{00000000-0005-0000-0000-0000F30B0000}"/>
    <cellStyle name="Comma 5 2 2 2 4 2 5" xfId="3087" xr:uid="{00000000-0005-0000-0000-0000F40B0000}"/>
    <cellStyle name="Comma 5 2 2 2 4 2 6" xfId="3088" xr:uid="{00000000-0005-0000-0000-0000F50B0000}"/>
    <cellStyle name="Comma 5 2 2 2 4 3" xfId="3089" xr:uid="{00000000-0005-0000-0000-0000F60B0000}"/>
    <cellStyle name="Comma 5 2 2 2 4 3 2" xfId="3090" xr:uid="{00000000-0005-0000-0000-0000F70B0000}"/>
    <cellStyle name="Comma 5 2 2 2 4 3 3" xfId="3091" xr:uid="{00000000-0005-0000-0000-0000F80B0000}"/>
    <cellStyle name="Comma 5 2 2 2 4 3 4" xfId="3092" xr:uid="{00000000-0005-0000-0000-0000F90B0000}"/>
    <cellStyle name="Comma 5 2 2 2 4 3 5" xfId="3093" xr:uid="{00000000-0005-0000-0000-0000FA0B0000}"/>
    <cellStyle name="Comma 5 2 2 2 4 3 6" xfId="3094" xr:uid="{00000000-0005-0000-0000-0000FB0B0000}"/>
    <cellStyle name="Comma 5 2 2 2 4 4" xfId="3095" xr:uid="{00000000-0005-0000-0000-0000FC0B0000}"/>
    <cellStyle name="Comma 5 2 2 2 4 5" xfId="3096" xr:uid="{00000000-0005-0000-0000-0000FD0B0000}"/>
    <cellStyle name="Comma 5 2 2 2 4 6" xfId="3097" xr:uid="{00000000-0005-0000-0000-0000FE0B0000}"/>
    <cellStyle name="Comma 5 2 2 2 4 7" xfId="3098" xr:uid="{00000000-0005-0000-0000-0000FF0B0000}"/>
    <cellStyle name="Comma 5 2 2 2 4 8" xfId="3099" xr:uid="{00000000-0005-0000-0000-0000000C0000}"/>
    <cellStyle name="Comma 5 2 2 2 5" xfId="3100" xr:uid="{00000000-0005-0000-0000-0000010C0000}"/>
    <cellStyle name="Comma 5 2 2 2 5 2" xfId="3101" xr:uid="{00000000-0005-0000-0000-0000020C0000}"/>
    <cellStyle name="Comma 5 2 2 2 5 3" xfId="3102" xr:uid="{00000000-0005-0000-0000-0000030C0000}"/>
    <cellStyle name="Comma 5 2 2 2 5 4" xfId="3103" xr:uid="{00000000-0005-0000-0000-0000040C0000}"/>
    <cellStyle name="Comma 5 2 2 2 5 5" xfId="3104" xr:uid="{00000000-0005-0000-0000-0000050C0000}"/>
    <cellStyle name="Comma 5 2 2 2 5 6" xfId="3105" xr:uid="{00000000-0005-0000-0000-0000060C0000}"/>
    <cellStyle name="Comma 5 2 2 2 6" xfId="3106" xr:uid="{00000000-0005-0000-0000-0000070C0000}"/>
    <cellStyle name="Comma 5 2 2 2 6 2" xfId="3107" xr:uid="{00000000-0005-0000-0000-0000080C0000}"/>
    <cellStyle name="Comma 5 2 2 2 6 3" xfId="3108" xr:uid="{00000000-0005-0000-0000-0000090C0000}"/>
    <cellStyle name="Comma 5 2 2 2 6 4" xfId="3109" xr:uid="{00000000-0005-0000-0000-00000A0C0000}"/>
    <cellStyle name="Comma 5 2 2 2 6 5" xfId="3110" xr:uid="{00000000-0005-0000-0000-00000B0C0000}"/>
    <cellStyle name="Comma 5 2 2 2 6 6" xfId="3111" xr:uid="{00000000-0005-0000-0000-00000C0C0000}"/>
    <cellStyle name="Comma 5 2 2 2 7" xfId="3112" xr:uid="{00000000-0005-0000-0000-00000D0C0000}"/>
    <cellStyle name="Comma 5 2 2 2 8" xfId="3113" xr:uid="{00000000-0005-0000-0000-00000E0C0000}"/>
    <cellStyle name="Comma 5 2 2 2 9" xfId="3114" xr:uid="{00000000-0005-0000-0000-00000F0C0000}"/>
    <cellStyle name="Comma 5 2 3" xfId="3115" xr:uid="{00000000-0005-0000-0000-0000100C0000}"/>
    <cellStyle name="Comma 5 3" xfId="3116" xr:uid="{00000000-0005-0000-0000-0000110C0000}"/>
    <cellStyle name="Comma 5 3 2" xfId="3117" xr:uid="{00000000-0005-0000-0000-0000120C0000}"/>
    <cellStyle name="Comma 5 3 3" xfId="3118" xr:uid="{00000000-0005-0000-0000-0000130C0000}"/>
    <cellStyle name="Comma 5 3 4" xfId="3119" xr:uid="{00000000-0005-0000-0000-0000140C0000}"/>
    <cellStyle name="Comma 5 3 5" xfId="3120" xr:uid="{00000000-0005-0000-0000-0000150C0000}"/>
    <cellStyle name="Comma 5 4" xfId="3121" xr:uid="{00000000-0005-0000-0000-0000160C0000}"/>
    <cellStyle name="Comma 5 5" xfId="3122" xr:uid="{00000000-0005-0000-0000-0000170C0000}"/>
    <cellStyle name="Comma 5 5 2" xfId="3123" xr:uid="{00000000-0005-0000-0000-0000180C0000}"/>
    <cellStyle name="Comma 5 6" xfId="3124" xr:uid="{00000000-0005-0000-0000-0000190C0000}"/>
    <cellStyle name="Comma 5 7" xfId="3125" xr:uid="{00000000-0005-0000-0000-00001A0C0000}"/>
    <cellStyle name="Comma 5 8" xfId="3126" xr:uid="{00000000-0005-0000-0000-00001B0C0000}"/>
    <cellStyle name="Comma 5 9" xfId="3127" xr:uid="{00000000-0005-0000-0000-00001C0C0000}"/>
    <cellStyle name="Comma 50" xfId="40912" xr:uid="{4662820F-8C5B-448D-8460-158BDED65424}"/>
    <cellStyle name="Comma 6" xfId="13" xr:uid="{00000000-0005-0000-0000-00001D0C0000}"/>
    <cellStyle name="Comma 6 10" xfId="3128" xr:uid="{00000000-0005-0000-0000-00001E0C0000}"/>
    <cellStyle name="Comma 6 10 2" xfId="3129" xr:uid="{00000000-0005-0000-0000-00001F0C0000}"/>
    <cellStyle name="Comma 6 10 2 2" xfId="3130" xr:uid="{00000000-0005-0000-0000-0000200C0000}"/>
    <cellStyle name="Comma 6 10 2 3" xfId="3131" xr:uid="{00000000-0005-0000-0000-0000210C0000}"/>
    <cellStyle name="Comma 6 10 2 4" xfId="3132" xr:uid="{00000000-0005-0000-0000-0000220C0000}"/>
    <cellStyle name="Comma 6 10 2 5" xfId="3133" xr:uid="{00000000-0005-0000-0000-0000230C0000}"/>
    <cellStyle name="Comma 6 10 2 6" xfId="3134" xr:uid="{00000000-0005-0000-0000-0000240C0000}"/>
    <cellStyle name="Comma 6 10 3" xfId="3135" xr:uid="{00000000-0005-0000-0000-0000250C0000}"/>
    <cellStyle name="Comma 6 10 3 2" xfId="3136" xr:uid="{00000000-0005-0000-0000-0000260C0000}"/>
    <cellStyle name="Comma 6 10 3 3" xfId="3137" xr:uid="{00000000-0005-0000-0000-0000270C0000}"/>
    <cellStyle name="Comma 6 10 3 4" xfId="3138" xr:uid="{00000000-0005-0000-0000-0000280C0000}"/>
    <cellStyle name="Comma 6 10 3 5" xfId="3139" xr:uid="{00000000-0005-0000-0000-0000290C0000}"/>
    <cellStyle name="Comma 6 10 3 6" xfId="3140" xr:uid="{00000000-0005-0000-0000-00002A0C0000}"/>
    <cellStyle name="Comma 6 10 4" xfId="3141" xr:uid="{00000000-0005-0000-0000-00002B0C0000}"/>
    <cellStyle name="Comma 6 10 5" xfId="3142" xr:uid="{00000000-0005-0000-0000-00002C0C0000}"/>
    <cellStyle name="Comma 6 10 6" xfId="3143" xr:uid="{00000000-0005-0000-0000-00002D0C0000}"/>
    <cellStyle name="Comma 6 10 7" xfId="3144" xr:uid="{00000000-0005-0000-0000-00002E0C0000}"/>
    <cellStyle name="Comma 6 10 8" xfId="3145" xr:uid="{00000000-0005-0000-0000-00002F0C0000}"/>
    <cellStyle name="Comma 6 11" xfId="3146" xr:uid="{00000000-0005-0000-0000-0000300C0000}"/>
    <cellStyle name="Comma 6 11 2" xfId="3147" xr:uid="{00000000-0005-0000-0000-0000310C0000}"/>
    <cellStyle name="Comma 6 11 3" xfId="3148" xr:uid="{00000000-0005-0000-0000-0000320C0000}"/>
    <cellStyle name="Comma 6 11 4" xfId="3149" xr:uid="{00000000-0005-0000-0000-0000330C0000}"/>
    <cellStyle name="Comma 6 11 5" xfId="3150" xr:uid="{00000000-0005-0000-0000-0000340C0000}"/>
    <cellStyle name="Comma 6 11 6" xfId="3151" xr:uid="{00000000-0005-0000-0000-0000350C0000}"/>
    <cellStyle name="Comma 6 12" xfId="3152" xr:uid="{00000000-0005-0000-0000-0000360C0000}"/>
    <cellStyle name="Comma 6 12 2" xfId="3153" xr:uid="{00000000-0005-0000-0000-0000370C0000}"/>
    <cellStyle name="Comma 6 12 3" xfId="3154" xr:uid="{00000000-0005-0000-0000-0000380C0000}"/>
    <cellStyle name="Comma 6 12 4" xfId="3155" xr:uid="{00000000-0005-0000-0000-0000390C0000}"/>
    <cellStyle name="Comma 6 12 5" xfId="3156" xr:uid="{00000000-0005-0000-0000-00003A0C0000}"/>
    <cellStyle name="Comma 6 12 6" xfId="3157" xr:uid="{00000000-0005-0000-0000-00003B0C0000}"/>
    <cellStyle name="Comma 6 13" xfId="3158" xr:uid="{00000000-0005-0000-0000-00003C0C0000}"/>
    <cellStyle name="Comma 6 14" xfId="3159" xr:uid="{00000000-0005-0000-0000-00003D0C0000}"/>
    <cellStyle name="Comma 6 15" xfId="3160" xr:uid="{00000000-0005-0000-0000-00003E0C0000}"/>
    <cellStyle name="Comma 6 16" xfId="3161" xr:uid="{00000000-0005-0000-0000-00003F0C0000}"/>
    <cellStyle name="Comma 6 17" xfId="3162" xr:uid="{00000000-0005-0000-0000-0000400C0000}"/>
    <cellStyle name="Comma 6 2" xfId="3163" xr:uid="{00000000-0005-0000-0000-0000410C0000}"/>
    <cellStyle name="Comma 6 2 10" xfId="3164" xr:uid="{00000000-0005-0000-0000-0000420C0000}"/>
    <cellStyle name="Comma 6 2 11" xfId="3165" xr:uid="{00000000-0005-0000-0000-0000430C0000}"/>
    <cellStyle name="Comma 6 2 12" xfId="3166" xr:uid="{00000000-0005-0000-0000-0000440C0000}"/>
    <cellStyle name="Comma 6 2 13" xfId="3167" xr:uid="{00000000-0005-0000-0000-0000450C0000}"/>
    <cellStyle name="Comma 6 2 14" xfId="3168" xr:uid="{00000000-0005-0000-0000-0000460C0000}"/>
    <cellStyle name="Comma 6 2 2" xfId="3169" xr:uid="{00000000-0005-0000-0000-0000470C0000}"/>
    <cellStyle name="Comma 6 2 2 10" xfId="3170" xr:uid="{00000000-0005-0000-0000-0000480C0000}"/>
    <cellStyle name="Comma 6 2 2 11" xfId="3171" xr:uid="{00000000-0005-0000-0000-0000490C0000}"/>
    <cellStyle name="Comma 6 2 2 12" xfId="3172" xr:uid="{00000000-0005-0000-0000-00004A0C0000}"/>
    <cellStyle name="Comma 6 2 2 2" xfId="3173" xr:uid="{00000000-0005-0000-0000-00004B0C0000}"/>
    <cellStyle name="Comma 6 2 2 3" xfId="3174" xr:uid="{00000000-0005-0000-0000-00004C0C0000}"/>
    <cellStyle name="Comma 6 2 2 3 2" xfId="3175" xr:uid="{00000000-0005-0000-0000-00004D0C0000}"/>
    <cellStyle name="Comma 6 2 2 3 2 2" xfId="3176" xr:uid="{00000000-0005-0000-0000-00004E0C0000}"/>
    <cellStyle name="Comma 6 2 2 3 2 3" xfId="3177" xr:uid="{00000000-0005-0000-0000-00004F0C0000}"/>
    <cellStyle name="Comma 6 2 2 3 2 4" xfId="3178" xr:uid="{00000000-0005-0000-0000-0000500C0000}"/>
    <cellStyle name="Comma 6 2 2 3 2 5" xfId="3179" xr:uid="{00000000-0005-0000-0000-0000510C0000}"/>
    <cellStyle name="Comma 6 2 2 3 2 6" xfId="3180" xr:uid="{00000000-0005-0000-0000-0000520C0000}"/>
    <cellStyle name="Comma 6 2 2 3 3" xfId="3181" xr:uid="{00000000-0005-0000-0000-0000530C0000}"/>
    <cellStyle name="Comma 6 2 2 3 3 2" xfId="3182" xr:uid="{00000000-0005-0000-0000-0000540C0000}"/>
    <cellStyle name="Comma 6 2 2 3 3 3" xfId="3183" xr:uid="{00000000-0005-0000-0000-0000550C0000}"/>
    <cellStyle name="Comma 6 2 2 3 3 4" xfId="3184" xr:uid="{00000000-0005-0000-0000-0000560C0000}"/>
    <cellStyle name="Comma 6 2 2 3 3 5" xfId="3185" xr:uid="{00000000-0005-0000-0000-0000570C0000}"/>
    <cellStyle name="Comma 6 2 2 3 3 6" xfId="3186" xr:uid="{00000000-0005-0000-0000-0000580C0000}"/>
    <cellStyle name="Comma 6 2 2 3 4" xfId="3187" xr:uid="{00000000-0005-0000-0000-0000590C0000}"/>
    <cellStyle name="Comma 6 2 2 3 5" xfId="3188" xr:uid="{00000000-0005-0000-0000-00005A0C0000}"/>
    <cellStyle name="Comma 6 2 2 3 6" xfId="3189" xr:uid="{00000000-0005-0000-0000-00005B0C0000}"/>
    <cellStyle name="Comma 6 2 2 3 7" xfId="3190" xr:uid="{00000000-0005-0000-0000-00005C0C0000}"/>
    <cellStyle name="Comma 6 2 2 3 8" xfId="3191" xr:uid="{00000000-0005-0000-0000-00005D0C0000}"/>
    <cellStyle name="Comma 6 2 2 4" xfId="3192" xr:uid="{00000000-0005-0000-0000-00005E0C0000}"/>
    <cellStyle name="Comma 6 2 2 4 2" xfId="3193" xr:uid="{00000000-0005-0000-0000-00005F0C0000}"/>
    <cellStyle name="Comma 6 2 2 4 2 2" xfId="3194" xr:uid="{00000000-0005-0000-0000-0000600C0000}"/>
    <cellStyle name="Comma 6 2 2 4 2 3" xfId="3195" xr:uid="{00000000-0005-0000-0000-0000610C0000}"/>
    <cellStyle name="Comma 6 2 2 4 2 4" xfId="3196" xr:uid="{00000000-0005-0000-0000-0000620C0000}"/>
    <cellStyle name="Comma 6 2 2 4 2 5" xfId="3197" xr:uid="{00000000-0005-0000-0000-0000630C0000}"/>
    <cellStyle name="Comma 6 2 2 4 2 6" xfId="3198" xr:uid="{00000000-0005-0000-0000-0000640C0000}"/>
    <cellStyle name="Comma 6 2 2 4 3" xfId="3199" xr:uid="{00000000-0005-0000-0000-0000650C0000}"/>
    <cellStyle name="Comma 6 2 2 4 3 2" xfId="3200" xr:uid="{00000000-0005-0000-0000-0000660C0000}"/>
    <cellStyle name="Comma 6 2 2 4 3 3" xfId="3201" xr:uid="{00000000-0005-0000-0000-0000670C0000}"/>
    <cellStyle name="Comma 6 2 2 4 3 4" xfId="3202" xr:uid="{00000000-0005-0000-0000-0000680C0000}"/>
    <cellStyle name="Comma 6 2 2 4 3 5" xfId="3203" xr:uid="{00000000-0005-0000-0000-0000690C0000}"/>
    <cellStyle name="Comma 6 2 2 4 3 6" xfId="3204" xr:uid="{00000000-0005-0000-0000-00006A0C0000}"/>
    <cellStyle name="Comma 6 2 2 4 4" xfId="3205" xr:uid="{00000000-0005-0000-0000-00006B0C0000}"/>
    <cellStyle name="Comma 6 2 2 4 5" xfId="3206" xr:uid="{00000000-0005-0000-0000-00006C0C0000}"/>
    <cellStyle name="Comma 6 2 2 4 6" xfId="3207" xr:uid="{00000000-0005-0000-0000-00006D0C0000}"/>
    <cellStyle name="Comma 6 2 2 4 7" xfId="3208" xr:uid="{00000000-0005-0000-0000-00006E0C0000}"/>
    <cellStyle name="Comma 6 2 2 4 8" xfId="3209" xr:uid="{00000000-0005-0000-0000-00006F0C0000}"/>
    <cellStyle name="Comma 6 2 2 5" xfId="3210" xr:uid="{00000000-0005-0000-0000-0000700C0000}"/>
    <cellStyle name="Comma 6 2 2 5 2" xfId="3211" xr:uid="{00000000-0005-0000-0000-0000710C0000}"/>
    <cellStyle name="Comma 6 2 2 5 2 2" xfId="3212" xr:uid="{00000000-0005-0000-0000-0000720C0000}"/>
    <cellStyle name="Comma 6 2 2 5 2 3" xfId="3213" xr:uid="{00000000-0005-0000-0000-0000730C0000}"/>
    <cellStyle name="Comma 6 2 2 5 2 4" xfId="3214" xr:uid="{00000000-0005-0000-0000-0000740C0000}"/>
    <cellStyle name="Comma 6 2 2 5 2 5" xfId="3215" xr:uid="{00000000-0005-0000-0000-0000750C0000}"/>
    <cellStyle name="Comma 6 2 2 5 2 6" xfId="3216" xr:uid="{00000000-0005-0000-0000-0000760C0000}"/>
    <cellStyle name="Comma 6 2 2 5 3" xfId="3217" xr:uid="{00000000-0005-0000-0000-0000770C0000}"/>
    <cellStyle name="Comma 6 2 2 5 3 2" xfId="3218" xr:uid="{00000000-0005-0000-0000-0000780C0000}"/>
    <cellStyle name="Comma 6 2 2 5 3 3" xfId="3219" xr:uid="{00000000-0005-0000-0000-0000790C0000}"/>
    <cellStyle name="Comma 6 2 2 5 3 4" xfId="3220" xr:uid="{00000000-0005-0000-0000-00007A0C0000}"/>
    <cellStyle name="Comma 6 2 2 5 3 5" xfId="3221" xr:uid="{00000000-0005-0000-0000-00007B0C0000}"/>
    <cellStyle name="Comma 6 2 2 5 3 6" xfId="3222" xr:uid="{00000000-0005-0000-0000-00007C0C0000}"/>
    <cellStyle name="Comma 6 2 2 5 4" xfId="3223" xr:uid="{00000000-0005-0000-0000-00007D0C0000}"/>
    <cellStyle name="Comma 6 2 2 5 5" xfId="3224" xr:uid="{00000000-0005-0000-0000-00007E0C0000}"/>
    <cellStyle name="Comma 6 2 2 5 6" xfId="3225" xr:uid="{00000000-0005-0000-0000-00007F0C0000}"/>
    <cellStyle name="Comma 6 2 2 5 7" xfId="3226" xr:uid="{00000000-0005-0000-0000-0000800C0000}"/>
    <cellStyle name="Comma 6 2 2 5 8" xfId="3227" xr:uid="{00000000-0005-0000-0000-0000810C0000}"/>
    <cellStyle name="Comma 6 2 2 6" xfId="3228" xr:uid="{00000000-0005-0000-0000-0000820C0000}"/>
    <cellStyle name="Comma 6 2 2 6 2" xfId="3229" xr:uid="{00000000-0005-0000-0000-0000830C0000}"/>
    <cellStyle name="Comma 6 2 2 6 3" xfId="3230" xr:uid="{00000000-0005-0000-0000-0000840C0000}"/>
    <cellStyle name="Comma 6 2 2 6 4" xfId="3231" xr:uid="{00000000-0005-0000-0000-0000850C0000}"/>
    <cellStyle name="Comma 6 2 2 6 5" xfId="3232" xr:uid="{00000000-0005-0000-0000-0000860C0000}"/>
    <cellStyle name="Comma 6 2 2 6 6" xfId="3233" xr:uid="{00000000-0005-0000-0000-0000870C0000}"/>
    <cellStyle name="Comma 6 2 2 7" xfId="3234" xr:uid="{00000000-0005-0000-0000-0000880C0000}"/>
    <cellStyle name="Comma 6 2 2 7 2" xfId="3235" xr:uid="{00000000-0005-0000-0000-0000890C0000}"/>
    <cellStyle name="Comma 6 2 2 7 3" xfId="3236" xr:uid="{00000000-0005-0000-0000-00008A0C0000}"/>
    <cellStyle name="Comma 6 2 2 7 4" xfId="3237" xr:uid="{00000000-0005-0000-0000-00008B0C0000}"/>
    <cellStyle name="Comma 6 2 2 7 5" xfId="3238" xr:uid="{00000000-0005-0000-0000-00008C0C0000}"/>
    <cellStyle name="Comma 6 2 2 7 6" xfId="3239" xr:uid="{00000000-0005-0000-0000-00008D0C0000}"/>
    <cellStyle name="Comma 6 2 2 8" xfId="3240" xr:uid="{00000000-0005-0000-0000-00008E0C0000}"/>
    <cellStyle name="Comma 6 2 2 9" xfId="3241" xr:uid="{00000000-0005-0000-0000-00008F0C0000}"/>
    <cellStyle name="Comma 6 2 3" xfId="3242" xr:uid="{00000000-0005-0000-0000-0000900C0000}"/>
    <cellStyle name="Comma 6 2 3 10" xfId="3243" xr:uid="{00000000-0005-0000-0000-0000910C0000}"/>
    <cellStyle name="Comma 6 2 3 11" xfId="3244" xr:uid="{00000000-0005-0000-0000-0000920C0000}"/>
    <cellStyle name="Comma 6 2 3 2" xfId="3245" xr:uid="{00000000-0005-0000-0000-0000930C0000}"/>
    <cellStyle name="Comma 6 2 3 2 2" xfId="3246" xr:uid="{00000000-0005-0000-0000-0000940C0000}"/>
    <cellStyle name="Comma 6 2 3 2 2 2" xfId="3247" xr:uid="{00000000-0005-0000-0000-0000950C0000}"/>
    <cellStyle name="Comma 6 2 3 2 2 3" xfId="3248" xr:uid="{00000000-0005-0000-0000-0000960C0000}"/>
    <cellStyle name="Comma 6 2 3 2 2 4" xfId="3249" xr:uid="{00000000-0005-0000-0000-0000970C0000}"/>
    <cellStyle name="Comma 6 2 3 2 2 5" xfId="3250" xr:uid="{00000000-0005-0000-0000-0000980C0000}"/>
    <cellStyle name="Comma 6 2 3 2 2 6" xfId="3251" xr:uid="{00000000-0005-0000-0000-0000990C0000}"/>
    <cellStyle name="Comma 6 2 3 2 3" xfId="3252" xr:uid="{00000000-0005-0000-0000-00009A0C0000}"/>
    <cellStyle name="Comma 6 2 3 2 3 2" xfId="3253" xr:uid="{00000000-0005-0000-0000-00009B0C0000}"/>
    <cellStyle name="Comma 6 2 3 2 3 3" xfId="3254" xr:uid="{00000000-0005-0000-0000-00009C0C0000}"/>
    <cellStyle name="Comma 6 2 3 2 3 4" xfId="3255" xr:uid="{00000000-0005-0000-0000-00009D0C0000}"/>
    <cellStyle name="Comma 6 2 3 2 3 5" xfId="3256" xr:uid="{00000000-0005-0000-0000-00009E0C0000}"/>
    <cellStyle name="Comma 6 2 3 2 3 6" xfId="3257" xr:uid="{00000000-0005-0000-0000-00009F0C0000}"/>
    <cellStyle name="Comma 6 2 3 2 4" xfId="3258" xr:uid="{00000000-0005-0000-0000-0000A00C0000}"/>
    <cellStyle name="Comma 6 2 3 2 5" xfId="3259" xr:uid="{00000000-0005-0000-0000-0000A10C0000}"/>
    <cellStyle name="Comma 6 2 3 2 6" xfId="3260" xr:uid="{00000000-0005-0000-0000-0000A20C0000}"/>
    <cellStyle name="Comma 6 2 3 2 7" xfId="3261" xr:uid="{00000000-0005-0000-0000-0000A30C0000}"/>
    <cellStyle name="Comma 6 2 3 2 8" xfId="3262" xr:uid="{00000000-0005-0000-0000-0000A40C0000}"/>
    <cellStyle name="Comma 6 2 3 3" xfId="3263" xr:uid="{00000000-0005-0000-0000-0000A50C0000}"/>
    <cellStyle name="Comma 6 2 3 3 2" xfId="3264" xr:uid="{00000000-0005-0000-0000-0000A60C0000}"/>
    <cellStyle name="Comma 6 2 3 3 2 2" xfId="3265" xr:uid="{00000000-0005-0000-0000-0000A70C0000}"/>
    <cellStyle name="Comma 6 2 3 3 2 3" xfId="3266" xr:uid="{00000000-0005-0000-0000-0000A80C0000}"/>
    <cellStyle name="Comma 6 2 3 3 2 4" xfId="3267" xr:uid="{00000000-0005-0000-0000-0000A90C0000}"/>
    <cellStyle name="Comma 6 2 3 3 2 5" xfId="3268" xr:uid="{00000000-0005-0000-0000-0000AA0C0000}"/>
    <cellStyle name="Comma 6 2 3 3 2 6" xfId="3269" xr:uid="{00000000-0005-0000-0000-0000AB0C0000}"/>
    <cellStyle name="Comma 6 2 3 3 3" xfId="3270" xr:uid="{00000000-0005-0000-0000-0000AC0C0000}"/>
    <cellStyle name="Comma 6 2 3 3 3 2" xfId="3271" xr:uid="{00000000-0005-0000-0000-0000AD0C0000}"/>
    <cellStyle name="Comma 6 2 3 3 3 3" xfId="3272" xr:uid="{00000000-0005-0000-0000-0000AE0C0000}"/>
    <cellStyle name="Comma 6 2 3 3 3 4" xfId="3273" xr:uid="{00000000-0005-0000-0000-0000AF0C0000}"/>
    <cellStyle name="Comma 6 2 3 3 3 5" xfId="3274" xr:uid="{00000000-0005-0000-0000-0000B00C0000}"/>
    <cellStyle name="Comma 6 2 3 3 3 6" xfId="3275" xr:uid="{00000000-0005-0000-0000-0000B10C0000}"/>
    <cellStyle name="Comma 6 2 3 3 4" xfId="3276" xr:uid="{00000000-0005-0000-0000-0000B20C0000}"/>
    <cellStyle name="Comma 6 2 3 3 5" xfId="3277" xr:uid="{00000000-0005-0000-0000-0000B30C0000}"/>
    <cellStyle name="Comma 6 2 3 3 6" xfId="3278" xr:uid="{00000000-0005-0000-0000-0000B40C0000}"/>
    <cellStyle name="Comma 6 2 3 3 7" xfId="3279" xr:uid="{00000000-0005-0000-0000-0000B50C0000}"/>
    <cellStyle name="Comma 6 2 3 3 8" xfId="3280" xr:uid="{00000000-0005-0000-0000-0000B60C0000}"/>
    <cellStyle name="Comma 6 2 3 4" xfId="3281" xr:uid="{00000000-0005-0000-0000-0000B70C0000}"/>
    <cellStyle name="Comma 6 2 3 4 2" xfId="3282" xr:uid="{00000000-0005-0000-0000-0000B80C0000}"/>
    <cellStyle name="Comma 6 2 3 4 2 2" xfId="3283" xr:uid="{00000000-0005-0000-0000-0000B90C0000}"/>
    <cellStyle name="Comma 6 2 3 4 2 3" xfId="3284" xr:uid="{00000000-0005-0000-0000-0000BA0C0000}"/>
    <cellStyle name="Comma 6 2 3 4 2 4" xfId="3285" xr:uid="{00000000-0005-0000-0000-0000BB0C0000}"/>
    <cellStyle name="Comma 6 2 3 4 2 5" xfId="3286" xr:uid="{00000000-0005-0000-0000-0000BC0C0000}"/>
    <cellStyle name="Comma 6 2 3 4 2 6" xfId="3287" xr:uid="{00000000-0005-0000-0000-0000BD0C0000}"/>
    <cellStyle name="Comma 6 2 3 4 3" xfId="3288" xr:uid="{00000000-0005-0000-0000-0000BE0C0000}"/>
    <cellStyle name="Comma 6 2 3 4 3 2" xfId="3289" xr:uid="{00000000-0005-0000-0000-0000BF0C0000}"/>
    <cellStyle name="Comma 6 2 3 4 3 3" xfId="3290" xr:uid="{00000000-0005-0000-0000-0000C00C0000}"/>
    <cellStyle name="Comma 6 2 3 4 3 4" xfId="3291" xr:uid="{00000000-0005-0000-0000-0000C10C0000}"/>
    <cellStyle name="Comma 6 2 3 4 3 5" xfId="3292" xr:uid="{00000000-0005-0000-0000-0000C20C0000}"/>
    <cellStyle name="Comma 6 2 3 4 3 6" xfId="3293" xr:uid="{00000000-0005-0000-0000-0000C30C0000}"/>
    <cellStyle name="Comma 6 2 3 4 4" xfId="3294" xr:uid="{00000000-0005-0000-0000-0000C40C0000}"/>
    <cellStyle name="Comma 6 2 3 4 5" xfId="3295" xr:uid="{00000000-0005-0000-0000-0000C50C0000}"/>
    <cellStyle name="Comma 6 2 3 4 6" xfId="3296" xr:uid="{00000000-0005-0000-0000-0000C60C0000}"/>
    <cellStyle name="Comma 6 2 3 4 7" xfId="3297" xr:uid="{00000000-0005-0000-0000-0000C70C0000}"/>
    <cellStyle name="Comma 6 2 3 4 8" xfId="3298" xr:uid="{00000000-0005-0000-0000-0000C80C0000}"/>
    <cellStyle name="Comma 6 2 3 5" xfId="3299" xr:uid="{00000000-0005-0000-0000-0000C90C0000}"/>
    <cellStyle name="Comma 6 2 3 5 2" xfId="3300" xr:uid="{00000000-0005-0000-0000-0000CA0C0000}"/>
    <cellStyle name="Comma 6 2 3 5 3" xfId="3301" xr:uid="{00000000-0005-0000-0000-0000CB0C0000}"/>
    <cellStyle name="Comma 6 2 3 5 4" xfId="3302" xr:uid="{00000000-0005-0000-0000-0000CC0C0000}"/>
    <cellStyle name="Comma 6 2 3 5 5" xfId="3303" xr:uid="{00000000-0005-0000-0000-0000CD0C0000}"/>
    <cellStyle name="Comma 6 2 3 5 6" xfId="3304" xr:uid="{00000000-0005-0000-0000-0000CE0C0000}"/>
    <cellStyle name="Comma 6 2 3 6" xfId="3305" xr:uid="{00000000-0005-0000-0000-0000CF0C0000}"/>
    <cellStyle name="Comma 6 2 3 6 2" xfId="3306" xr:uid="{00000000-0005-0000-0000-0000D00C0000}"/>
    <cellStyle name="Comma 6 2 3 6 3" xfId="3307" xr:uid="{00000000-0005-0000-0000-0000D10C0000}"/>
    <cellStyle name="Comma 6 2 3 6 4" xfId="3308" xr:uid="{00000000-0005-0000-0000-0000D20C0000}"/>
    <cellStyle name="Comma 6 2 3 6 5" xfId="3309" xr:uid="{00000000-0005-0000-0000-0000D30C0000}"/>
    <cellStyle name="Comma 6 2 3 6 6" xfId="3310" xr:uid="{00000000-0005-0000-0000-0000D40C0000}"/>
    <cellStyle name="Comma 6 2 3 7" xfId="3311" xr:uid="{00000000-0005-0000-0000-0000D50C0000}"/>
    <cellStyle name="Comma 6 2 3 8" xfId="3312" xr:uid="{00000000-0005-0000-0000-0000D60C0000}"/>
    <cellStyle name="Comma 6 2 3 9" xfId="3313" xr:uid="{00000000-0005-0000-0000-0000D70C0000}"/>
    <cellStyle name="Comma 6 2 4" xfId="3314" xr:uid="{00000000-0005-0000-0000-0000D80C0000}"/>
    <cellStyle name="Comma 6 2 5" xfId="3315" xr:uid="{00000000-0005-0000-0000-0000D90C0000}"/>
    <cellStyle name="Comma 6 2 5 2" xfId="3316" xr:uid="{00000000-0005-0000-0000-0000DA0C0000}"/>
    <cellStyle name="Comma 6 2 5 2 2" xfId="3317" xr:uid="{00000000-0005-0000-0000-0000DB0C0000}"/>
    <cellStyle name="Comma 6 2 5 2 3" xfId="3318" xr:uid="{00000000-0005-0000-0000-0000DC0C0000}"/>
    <cellStyle name="Comma 6 2 5 2 4" xfId="3319" xr:uid="{00000000-0005-0000-0000-0000DD0C0000}"/>
    <cellStyle name="Comma 6 2 5 2 5" xfId="3320" xr:uid="{00000000-0005-0000-0000-0000DE0C0000}"/>
    <cellStyle name="Comma 6 2 5 2 6" xfId="3321" xr:uid="{00000000-0005-0000-0000-0000DF0C0000}"/>
    <cellStyle name="Comma 6 2 5 3" xfId="3322" xr:uid="{00000000-0005-0000-0000-0000E00C0000}"/>
    <cellStyle name="Comma 6 2 5 3 2" xfId="3323" xr:uid="{00000000-0005-0000-0000-0000E10C0000}"/>
    <cellStyle name="Comma 6 2 5 3 3" xfId="3324" xr:uid="{00000000-0005-0000-0000-0000E20C0000}"/>
    <cellStyle name="Comma 6 2 5 3 4" xfId="3325" xr:uid="{00000000-0005-0000-0000-0000E30C0000}"/>
    <cellStyle name="Comma 6 2 5 3 5" xfId="3326" xr:uid="{00000000-0005-0000-0000-0000E40C0000}"/>
    <cellStyle name="Comma 6 2 5 3 6" xfId="3327" xr:uid="{00000000-0005-0000-0000-0000E50C0000}"/>
    <cellStyle name="Comma 6 2 5 4" xfId="3328" xr:uid="{00000000-0005-0000-0000-0000E60C0000}"/>
    <cellStyle name="Comma 6 2 5 5" xfId="3329" xr:uid="{00000000-0005-0000-0000-0000E70C0000}"/>
    <cellStyle name="Comma 6 2 5 6" xfId="3330" xr:uid="{00000000-0005-0000-0000-0000E80C0000}"/>
    <cellStyle name="Comma 6 2 5 7" xfId="3331" xr:uid="{00000000-0005-0000-0000-0000E90C0000}"/>
    <cellStyle name="Comma 6 2 5 8" xfId="3332" xr:uid="{00000000-0005-0000-0000-0000EA0C0000}"/>
    <cellStyle name="Comma 6 2 6" xfId="3333" xr:uid="{00000000-0005-0000-0000-0000EB0C0000}"/>
    <cellStyle name="Comma 6 2 6 2" xfId="3334" xr:uid="{00000000-0005-0000-0000-0000EC0C0000}"/>
    <cellStyle name="Comma 6 2 6 2 2" xfId="3335" xr:uid="{00000000-0005-0000-0000-0000ED0C0000}"/>
    <cellStyle name="Comma 6 2 6 2 3" xfId="3336" xr:uid="{00000000-0005-0000-0000-0000EE0C0000}"/>
    <cellStyle name="Comma 6 2 6 2 4" xfId="3337" xr:uid="{00000000-0005-0000-0000-0000EF0C0000}"/>
    <cellStyle name="Comma 6 2 6 2 5" xfId="3338" xr:uid="{00000000-0005-0000-0000-0000F00C0000}"/>
    <cellStyle name="Comma 6 2 6 2 6" xfId="3339" xr:uid="{00000000-0005-0000-0000-0000F10C0000}"/>
    <cellStyle name="Comma 6 2 6 3" xfId="3340" xr:uid="{00000000-0005-0000-0000-0000F20C0000}"/>
    <cellStyle name="Comma 6 2 6 3 2" xfId="3341" xr:uid="{00000000-0005-0000-0000-0000F30C0000}"/>
    <cellStyle name="Comma 6 2 6 3 3" xfId="3342" xr:uid="{00000000-0005-0000-0000-0000F40C0000}"/>
    <cellStyle name="Comma 6 2 6 3 4" xfId="3343" xr:uid="{00000000-0005-0000-0000-0000F50C0000}"/>
    <cellStyle name="Comma 6 2 6 3 5" xfId="3344" xr:uid="{00000000-0005-0000-0000-0000F60C0000}"/>
    <cellStyle name="Comma 6 2 6 3 6" xfId="3345" xr:uid="{00000000-0005-0000-0000-0000F70C0000}"/>
    <cellStyle name="Comma 6 2 6 4" xfId="3346" xr:uid="{00000000-0005-0000-0000-0000F80C0000}"/>
    <cellStyle name="Comma 6 2 6 5" xfId="3347" xr:uid="{00000000-0005-0000-0000-0000F90C0000}"/>
    <cellStyle name="Comma 6 2 6 6" xfId="3348" xr:uid="{00000000-0005-0000-0000-0000FA0C0000}"/>
    <cellStyle name="Comma 6 2 6 7" xfId="3349" xr:uid="{00000000-0005-0000-0000-0000FB0C0000}"/>
    <cellStyle name="Comma 6 2 6 8" xfId="3350" xr:uid="{00000000-0005-0000-0000-0000FC0C0000}"/>
    <cellStyle name="Comma 6 2 7" xfId="3351" xr:uid="{00000000-0005-0000-0000-0000FD0C0000}"/>
    <cellStyle name="Comma 6 2 7 2" xfId="3352" xr:uid="{00000000-0005-0000-0000-0000FE0C0000}"/>
    <cellStyle name="Comma 6 2 7 2 2" xfId="3353" xr:uid="{00000000-0005-0000-0000-0000FF0C0000}"/>
    <cellStyle name="Comma 6 2 7 2 3" xfId="3354" xr:uid="{00000000-0005-0000-0000-0000000D0000}"/>
    <cellStyle name="Comma 6 2 7 2 4" xfId="3355" xr:uid="{00000000-0005-0000-0000-0000010D0000}"/>
    <cellStyle name="Comma 6 2 7 2 5" xfId="3356" xr:uid="{00000000-0005-0000-0000-0000020D0000}"/>
    <cellStyle name="Comma 6 2 7 2 6" xfId="3357" xr:uid="{00000000-0005-0000-0000-0000030D0000}"/>
    <cellStyle name="Comma 6 2 7 3" xfId="3358" xr:uid="{00000000-0005-0000-0000-0000040D0000}"/>
    <cellStyle name="Comma 6 2 7 3 2" xfId="3359" xr:uid="{00000000-0005-0000-0000-0000050D0000}"/>
    <cellStyle name="Comma 6 2 7 3 3" xfId="3360" xr:uid="{00000000-0005-0000-0000-0000060D0000}"/>
    <cellStyle name="Comma 6 2 7 3 4" xfId="3361" xr:uid="{00000000-0005-0000-0000-0000070D0000}"/>
    <cellStyle name="Comma 6 2 7 3 5" xfId="3362" xr:uid="{00000000-0005-0000-0000-0000080D0000}"/>
    <cellStyle name="Comma 6 2 7 3 6" xfId="3363" xr:uid="{00000000-0005-0000-0000-0000090D0000}"/>
    <cellStyle name="Comma 6 2 7 4" xfId="3364" xr:uid="{00000000-0005-0000-0000-00000A0D0000}"/>
    <cellStyle name="Comma 6 2 7 5" xfId="3365" xr:uid="{00000000-0005-0000-0000-00000B0D0000}"/>
    <cellStyle name="Comma 6 2 7 6" xfId="3366" xr:uid="{00000000-0005-0000-0000-00000C0D0000}"/>
    <cellStyle name="Comma 6 2 7 7" xfId="3367" xr:uid="{00000000-0005-0000-0000-00000D0D0000}"/>
    <cellStyle name="Comma 6 2 7 8" xfId="3368" xr:uid="{00000000-0005-0000-0000-00000E0D0000}"/>
    <cellStyle name="Comma 6 2 8" xfId="3369" xr:uid="{00000000-0005-0000-0000-00000F0D0000}"/>
    <cellStyle name="Comma 6 2 8 2" xfId="3370" xr:uid="{00000000-0005-0000-0000-0000100D0000}"/>
    <cellStyle name="Comma 6 2 8 3" xfId="3371" xr:uid="{00000000-0005-0000-0000-0000110D0000}"/>
    <cellStyle name="Comma 6 2 8 4" xfId="3372" xr:uid="{00000000-0005-0000-0000-0000120D0000}"/>
    <cellStyle name="Comma 6 2 8 5" xfId="3373" xr:uid="{00000000-0005-0000-0000-0000130D0000}"/>
    <cellStyle name="Comma 6 2 8 6" xfId="3374" xr:uid="{00000000-0005-0000-0000-0000140D0000}"/>
    <cellStyle name="Comma 6 2 9" xfId="3375" xr:uid="{00000000-0005-0000-0000-0000150D0000}"/>
    <cellStyle name="Comma 6 2 9 2" xfId="3376" xr:uid="{00000000-0005-0000-0000-0000160D0000}"/>
    <cellStyle name="Comma 6 2 9 3" xfId="3377" xr:uid="{00000000-0005-0000-0000-0000170D0000}"/>
    <cellStyle name="Comma 6 2 9 4" xfId="3378" xr:uid="{00000000-0005-0000-0000-0000180D0000}"/>
    <cellStyle name="Comma 6 2 9 5" xfId="3379" xr:uid="{00000000-0005-0000-0000-0000190D0000}"/>
    <cellStyle name="Comma 6 2 9 6" xfId="3380" xr:uid="{00000000-0005-0000-0000-00001A0D0000}"/>
    <cellStyle name="Comma 6 3" xfId="3381" xr:uid="{00000000-0005-0000-0000-00001B0D0000}"/>
    <cellStyle name="Comma 6 3 10" xfId="3382" xr:uid="{00000000-0005-0000-0000-00001C0D0000}"/>
    <cellStyle name="Comma 6 3 11" xfId="3383" xr:uid="{00000000-0005-0000-0000-00001D0D0000}"/>
    <cellStyle name="Comma 6 3 12" xfId="3384" xr:uid="{00000000-0005-0000-0000-00001E0D0000}"/>
    <cellStyle name="Comma 6 3 13" xfId="3385" xr:uid="{00000000-0005-0000-0000-00001F0D0000}"/>
    <cellStyle name="Comma 6 3 14" xfId="3386" xr:uid="{00000000-0005-0000-0000-0000200D0000}"/>
    <cellStyle name="Comma 6 3 2" xfId="3387" xr:uid="{00000000-0005-0000-0000-0000210D0000}"/>
    <cellStyle name="Comma 6 3 2 10" xfId="3388" xr:uid="{00000000-0005-0000-0000-0000220D0000}"/>
    <cellStyle name="Comma 6 3 2 11" xfId="3389" xr:uid="{00000000-0005-0000-0000-0000230D0000}"/>
    <cellStyle name="Comma 6 3 2 2" xfId="3390" xr:uid="{00000000-0005-0000-0000-0000240D0000}"/>
    <cellStyle name="Comma 6 3 2 2 2" xfId="3391" xr:uid="{00000000-0005-0000-0000-0000250D0000}"/>
    <cellStyle name="Comma 6 3 2 2 2 2" xfId="3392" xr:uid="{00000000-0005-0000-0000-0000260D0000}"/>
    <cellStyle name="Comma 6 3 2 2 2 3" xfId="3393" xr:uid="{00000000-0005-0000-0000-0000270D0000}"/>
    <cellStyle name="Comma 6 3 2 2 2 4" xfId="3394" xr:uid="{00000000-0005-0000-0000-0000280D0000}"/>
    <cellStyle name="Comma 6 3 2 2 2 5" xfId="3395" xr:uid="{00000000-0005-0000-0000-0000290D0000}"/>
    <cellStyle name="Comma 6 3 2 2 2 6" xfId="3396" xr:uid="{00000000-0005-0000-0000-00002A0D0000}"/>
    <cellStyle name="Comma 6 3 2 2 3" xfId="3397" xr:uid="{00000000-0005-0000-0000-00002B0D0000}"/>
    <cellStyle name="Comma 6 3 2 2 3 2" xfId="3398" xr:uid="{00000000-0005-0000-0000-00002C0D0000}"/>
    <cellStyle name="Comma 6 3 2 2 3 3" xfId="3399" xr:uid="{00000000-0005-0000-0000-00002D0D0000}"/>
    <cellStyle name="Comma 6 3 2 2 3 4" xfId="3400" xr:uid="{00000000-0005-0000-0000-00002E0D0000}"/>
    <cellStyle name="Comma 6 3 2 2 3 5" xfId="3401" xr:uid="{00000000-0005-0000-0000-00002F0D0000}"/>
    <cellStyle name="Comma 6 3 2 2 3 6" xfId="3402" xr:uid="{00000000-0005-0000-0000-0000300D0000}"/>
    <cellStyle name="Comma 6 3 2 2 4" xfId="3403" xr:uid="{00000000-0005-0000-0000-0000310D0000}"/>
    <cellStyle name="Comma 6 3 2 2 5" xfId="3404" xr:uid="{00000000-0005-0000-0000-0000320D0000}"/>
    <cellStyle name="Comma 6 3 2 2 6" xfId="3405" xr:uid="{00000000-0005-0000-0000-0000330D0000}"/>
    <cellStyle name="Comma 6 3 2 2 7" xfId="3406" xr:uid="{00000000-0005-0000-0000-0000340D0000}"/>
    <cellStyle name="Comma 6 3 2 2 8" xfId="3407" xr:uid="{00000000-0005-0000-0000-0000350D0000}"/>
    <cellStyle name="Comma 6 3 2 3" xfId="3408" xr:uid="{00000000-0005-0000-0000-0000360D0000}"/>
    <cellStyle name="Comma 6 3 2 3 2" xfId="3409" xr:uid="{00000000-0005-0000-0000-0000370D0000}"/>
    <cellStyle name="Comma 6 3 2 3 2 2" xfId="3410" xr:uid="{00000000-0005-0000-0000-0000380D0000}"/>
    <cellStyle name="Comma 6 3 2 3 2 3" xfId="3411" xr:uid="{00000000-0005-0000-0000-0000390D0000}"/>
    <cellStyle name="Comma 6 3 2 3 2 4" xfId="3412" xr:uid="{00000000-0005-0000-0000-00003A0D0000}"/>
    <cellStyle name="Comma 6 3 2 3 2 5" xfId="3413" xr:uid="{00000000-0005-0000-0000-00003B0D0000}"/>
    <cellStyle name="Comma 6 3 2 3 2 6" xfId="3414" xr:uid="{00000000-0005-0000-0000-00003C0D0000}"/>
    <cellStyle name="Comma 6 3 2 3 3" xfId="3415" xr:uid="{00000000-0005-0000-0000-00003D0D0000}"/>
    <cellStyle name="Comma 6 3 2 3 3 2" xfId="3416" xr:uid="{00000000-0005-0000-0000-00003E0D0000}"/>
    <cellStyle name="Comma 6 3 2 3 3 3" xfId="3417" xr:uid="{00000000-0005-0000-0000-00003F0D0000}"/>
    <cellStyle name="Comma 6 3 2 3 3 4" xfId="3418" xr:uid="{00000000-0005-0000-0000-0000400D0000}"/>
    <cellStyle name="Comma 6 3 2 3 3 5" xfId="3419" xr:uid="{00000000-0005-0000-0000-0000410D0000}"/>
    <cellStyle name="Comma 6 3 2 3 3 6" xfId="3420" xr:uid="{00000000-0005-0000-0000-0000420D0000}"/>
    <cellStyle name="Comma 6 3 2 3 4" xfId="3421" xr:uid="{00000000-0005-0000-0000-0000430D0000}"/>
    <cellStyle name="Comma 6 3 2 3 5" xfId="3422" xr:uid="{00000000-0005-0000-0000-0000440D0000}"/>
    <cellStyle name="Comma 6 3 2 3 6" xfId="3423" xr:uid="{00000000-0005-0000-0000-0000450D0000}"/>
    <cellStyle name="Comma 6 3 2 3 7" xfId="3424" xr:uid="{00000000-0005-0000-0000-0000460D0000}"/>
    <cellStyle name="Comma 6 3 2 3 8" xfId="3425" xr:uid="{00000000-0005-0000-0000-0000470D0000}"/>
    <cellStyle name="Comma 6 3 2 4" xfId="3426" xr:uid="{00000000-0005-0000-0000-0000480D0000}"/>
    <cellStyle name="Comma 6 3 2 4 2" xfId="3427" xr:uid="{00000000-0005-0000-0000-0000490D0000}"/>
    <cellStyle name="Comma 6 3 2 4 2 2" xfId="3428" xr:uid="{00000000-0005-0000-0000-00004A0D0000}"/>
    <cellStyle name="Comma 6 3 2 4 2 3" xfId="3429" xr:uid="{00000000-0005-0000-0000-00004B0D0000}"/>
    <cellStyle name="Comma 6 3 2 4 2 4" xfId="3430" xr:uid="{00000000-0005-0000-0000-00004C0D0000}"/>
    <cellStyle name="Comma 6 3 2 4 2 5" xfId="3431" xr:uid="{00000000-0005-0000-0000-00004D0D0000}"/>
    <cellStyle name="Comma 6 3 2 4 2 6" xfId="3432" xr:uid="{00000000-0005-0000-0000-00004E0D0000}"/>
    <cellStyle name="Comma 6 3 2 4 3" xfId="3433" xr:uid="{00000000-0005-0000-0000-00004F0D0000}"/>
    <cellStyle name="Comma 6 3 2 4 3 2" xfId="3434" xr:uid="{00000000-0005-0000-0000-0000500D0000}"/>
    <cellStyle name="Comma 6 3 2 4 3 3" xfId="3435" xr:uid="{00000000-0005-0000-0000-0000510D0000}"/>
    <cellStyle name="Comma 6 3 2 4 3 4" xfId="3436" xr:uid="{00000000-0005-0000-0000-0000520D0000}"/>
    <cellStyle name="Comma 6 3 2 4 3 5" xfId="3437" xr:uid="{00000000-0005-0000-0000-0000530D0000}"/>
    <cellStyle name="Comma 6 3 2 4 3 6" xfId="3438" xr:uid="{00000000-0005-0000-0000-0000540D0000}"/>
    <cellStyle name="Comma 6 3 2 4 4" xfId="3439" xr:uid="{00000000-0005-0000-0000-0000550D0000}"/>
    <cellStyle name="Comma 6 3 2 4 5" xfId="3440" xr:uid="{00000000-0005-0000-0000-0000560D0000}"/>
    <cellStyle name="Comma 6 3 2 4 6" xfId="3441" xr:uid="{00000000-0005-0000-0000-0000570D0000}"/>
    <cellStyle name="Comma 6 3 2 4 7" xfId="3442" xr:uid="{00000000-0005-0000-0000-0000580D0000}"/>
    <cellStyle name="Comma 6 3 2 4 8" xfId="3443" xr:uid="{00000000-0005-0000-0000-0000590D0000}"/>
    <cellStyle name="Comma 6 3 2 5" xfId="3444" xr:uid="{00000000-0005-0000-0000-00005A0D0000}"/>
    <cellStyle name="Comma 6 3 2 5 2" xfId="3445" xr:uid="{00000000-0005-0000-0000-00005B0D0000}"/>
    <cellStyle name="Comma 6 3 2 5 3" xfId="3446" xr:uid="{00000000-0005-0000-0000-00005C0D0000}"/>
    <cellStyle name="Comma 6 3 2 5 4" xfId="3447" xr:uid="{00000000-0005-0000-0000-00005D0D0000}"/>
    <cellStyle name="Comma 6 3 2 5 5" xfId="3448" xr:uid="{00000000-0005-0000-0000-00005E0D0000}"/>
    <cellStyle name="Comma 6 3 2 5 6" xfId="3449" xr:uid="{00000000-0005-0000-0000-00005F0D0000}"/>
    <cellStyle name="Comma 6 3 2 6" xfId="3450" xr:uid="{00000000-0005-0000-0000-0000600D0000}"/>
    <cellStyle name="Comma 6 3 2 6 2" xfId="3451" xr:uid="{00000000-0005-0000-0000-0000610D0000}"/>
    <cellStyle name="Comma 6 3 2 6 3" xfId="3452" xr:uid="{00000000-0005-0000-0000-0000620D0000}"/>
    <cellStyle name="Comma 6 3 2 6 4" xfId="3453" xr:uid="{00000000-0005-0000-0000-0000630D0000}"/>
    <cellStyle name="Comma 6 3 2 6 5" xfId="3454" xr:uid="{00000000-0005-0000-0000-0000640D0000}"/>
    <cellStyle name="Comma 6 3 2 6 6" xfId="3455" xr:uid="{00000000-0005-0000-0000-0000650D0000}"/>
    <cellStyle name="Comma 6 3 2 7" xfId="3456" xr:uid="{00000000-0005-0000-0000-0000660D0000}"/>
    <cellStyle name="Comma 6 3 2 8" xfId="3457" xr:uid="{00000000-0005-0000-0000-0000670D0000}"/>
    <cellStyle name="Comma 6 3 2 9" xfId="3458" xr:uid="{00000000-0005-0000-0000-0000680D0000}"/>
    <cellStyle name="Comma 6 3 3" xfId="3459" xr:uid="{00000000-0005-0000-0000-0000690D0000}"/>
    <cellStyle name="Comma 6 3 3 10" xfId="3460" xr:uid="{00000000-0005-0000-0000-00006A0D0000}"/>
    <cellStyle name="Comma 6 3 3 11" xfId="3461" xr:uid="{00000000-0005-0000-0000-00006B0D0000}"/>
    <cellStyle name="Comma 6 3 3 2" xfId="3462" xr:uid="{00000000-0005-0000-0000-00006C0D0000}"/>
    <cellStyle name="Comma 6 3 3 2 2" xfId="3463" xr:uid="{00000000-0005-0000-0000-00006D0D0000}"/>
    <cellStyle name="Comma 6 3 3 2 2 2" xfId="3464" xr:uid="{00000000-0005-0000-0000-00006E0D0000}"/>
    <cellStyle name="Comma 6 3 3 2 2 3" xfId="3465" xr:uid="{00000000-0005-0000-0000-00006F0D0000}"/>
    <cellStyle name="Comma 6 3 3 2 2 4" xfId="3466" xr:uid="{00000000-0005-0000-0000-0000700D0000}"/>
    <cellStyle name="Comma 6 3 3 2 2 5" xfId="3467" xr:uid="{00000000-0005-0000-0000-0000710D0000}"/>
    <cellStyle name="Comma 6 3 3 2 2 6" xfId="3468" xr:uid="{00000000-0005-0000-0000-0000720D0000}"/>
    <cellStyle name="Comma 6 3 3 2 3" xfId="3469" xr:uid="{00000000-0005-0000-0000-0000730D0000}"/>
    <cellStyle name="Comma 6 3 3 2 3 2" xfId="3470" xr:uid="{00000000-0005-0000-0000-0000740D0000}"/>
    <cellStyle name="Comma 6 3 3 2 3 3" xfId="3471" xr:uid="{00000000-0005-0000-0000-0000750D0000}"/>
    <cellStyle name="Comma 6 3 3 2 3 4" xfId="3472" xr:uid="{00000000-0005-0000-0000-0000760D0000}"/>
    <cellStyle name="Comma 6 3 3 2 3 5" xfId="3473" xr:uid="{00000000-0005-0000-0000-0000770D0000}"/>
    <cellStyle name="Comma 6 3 3 2 3 6" xfId="3474" xr:uid="{00000000-0005-0000-0000-0000780D0000}"/>
    <cellStyle name="Comma 6 3 3 2 4" xfId="3475" xr:uid="{00000000-0005-0000-0000-0000790D0000}"/>
    <cellStyle name="Comma 6 3 3 2 5" xfId="3476" xr:uid="{00000000-0005-0000-0000-00007A0D0000}"/>
    <cellStyle name="Comma 6 3 3 2 6" xfId="3477" xr:uid="{00000000-0005-0000-0000-00007B0D0000}"/>
    <cellStyle name="Comma 6 3 3 2 7" xfId="3478" xr:uid="{00000000-0005-0000-0000-00007C0D0000}"/>
    <cellStyle name="Comma 6 3 3 2 8" xfId="3479" xr:uid="{00000000-0005-0000-0000-00007D0D0000}"/>
    <cellStyle name="Comma 6 3 3 3" xfId="3480" xr:uid="{00000000-0005-0000-0000-00007E0D0000}"/>
    <cellStyle name="Comma 6 3 3 3 2" xfId="3481" xr:uid="{00000000-0005-0000-0000-00007F0D0000}"/>
    <cellStyle name="Comma 6 3 3 3 2 2" xfId="3482" xr:uid="{00000000-0005-0000-0000-0000800D0000}"/>
    <cellStyle name="Comma 6 3 3 3 2 3" xfId="3483" xr:uid="{00000000-0005-0000-0000-0000810D0000}"/>
    <cellStyle name="Comma 6 3 3 3 2 4" xfId="3484" xr:uid="{00000000-0005-0000-0000-0000820D0000}"/>
    <cellStyle name="Comma 6 3 3 3 2 5" xfId="3485" xr:uid="{00000000-0005-0000-0000-0000830D0000}"/>
    <cellStyle name="Comma 6 3 3 3 2 6" xfId="3486" xr:uid="{00000000-0005-0000-0000-0000840D0000}"/>
    <cellStyle name="Comma 6 3 3 3 3" xfId="3487" xr:uid="{00000000-0005-0000-0000-0000850D0000}"/>
    <cellStyle name="Comma 6 3 3 3 3 2" xfId="3488" xr:uid="{00000000-0005-0000-0000-0000860D0000}"/>
    <cellStyle name="Comma 6 3 3 3 3 3" xfId="3489" xr:uid="{00000000-0005-0000-0000-0000870D0000}"/>
    <cellStyle name="Comma 6 3 3 3 3 4" xfId="3490" xr:uid="{00000000-0005-0000-0000-0000880D0000}"/>
    <cellStyle name="Comma 6 3 3 3 3 5" xfId="3491" xr:uid="{00000000-0005-0000-0000-0000890D0000}"/>
    <cellStyle name="Comma 6 3 3 3 3 6" xfId="3492" xr:uid="{00000000-0005-0000-0000-00008A0D0000}"/>
    <cellStyle name="Comma 6 3 3 3 4" xfId="3493" xr:uid="{00000000-0005-0000-0000-00008B0D0000}"/>
    <cellStyle name="Comma 6 3 3 3 5" xfId="3494" xr:uid="{00000000-0005-0000-0000-00008C0D0000}"/>
    <cellStyle name="Comma 6 3 3 3 6" xfId="3495" xr:uid="{00000000-0005-0000-0000-00008D0D0000}"/>
    <cellStyle name="Comma 6 3 3 3 7" xfId="3496" xr:uid="{00000000-0005-0000-0000-00008E0D0000}"/>
    <cellStyle name="Comma 6 3 3 3 8" xfId="3497" xr:uid="{00000000-0005-0000-0000-00008F0D0000}"/>
    <cellStyle name="Comma 6 3 3 4" xfId="3498" xr:uid="{00000000-0005-0000-0000-0000900D0000}"/>
    <cellStyle name="Comma 6 3 3 4 2" xfId="3499" xr:uid="{00000000-0005-0000-0000-0000910D0000}"/>
    <cellStyle name="Comma 6 3 3 4 2 2" xfId="3500" xr:uid="{00000000-0005-0000-0000-0000920D0000}"/>
    <cellStyle name="Comma 6 3 3 4 2 3" xfId="3501" xr:uid="{00000000-0005-0000-0000-0000930D0000}"/>
    <cellStyle name="Comma 6 3 3 4 2 4" xfId="3502" xr:uid="{00000000-0005-0000-0000-0000940D0000}"/>
    <cellStyle name="Comma 6 3 3 4 2 5" xfId="3503" xr:uid="{00000000-0005-0000-0000-0000950D0000}"/>
    <cellStyle name="Comma 6 3 3 4 2 6" xfId="3504" xr:uid="{00000000-0005-0000-0000-0000960D0000}"/>
    <cellStyle name="Comma 6 3 3 4 3" xfId="3505" xr:uid="{00000000-0005-0000-0000-0000970D0000}"/>
    <cellStyle name="Comma 6 3 3 4 3 2" xfId="3506" xr:uid="{00000000-0005-0000-0000-0000980D0000}"/>
    <cellStyle name="Comma 6 3 3 4 3 3" xfId="3507" xr:uid="{00000000-0005-0000-0000-0000990D0000}"/>
    <cellStyle name="Comma 6 3 3 4 3 4" xfId="3508" xr:uid="{00000000-0005-0000-0000-00009A0D0000}"/>
    <cellStyle name="Comma 6 3 3 4 3 5" xfId="3509" xr:uid="{00000000-0005-0000-0000-00009B0D0000}"/>
    <cellStyle name="Comma 6 3 3 4 3 6" xfId="3510" xr:uid="{00000000-0005-0000-0000-00009C0D0000}"/>
    <cellStyle name="Comma 6 3 3 4 4" xfId="3511" xr:uid="{00000000-0005-0000-0000-00009D0D0000}"/>
    <cellStyle name="Comma 6 3 3 4 5" xfId="3512" xr:uid="{00000000-0005-0000-0000-00009E0D0000}"/>
    <cellStyle name="Comma 6 3 3 4 6" xfId="3513" xr:uid="{00000000-0005-0000-0000-00009F0D0000}"/>
    <cellStyle name="Comma 6 3 3 4 7" xfId="3514" xr:uid="{00000000-0005-0000-0000-0000A00D0000}"/>
    <cellStyle name="Comma 6 3 3 4 8" xfId="3515" xr:uid="{00000000-0005-0000-0000-0000A10D0000}"/>
    <cellStyle name="Comma 6 3 3 5" xfId="3516" xr:uid="{00000000-0005-0000-0000-0000A20D0000}"/>
    <cellStyle name="Comma 6 3 3 5 2" xfId="3517" xr:uid="{00000000-0005-0000-0000-0000A30D0000}"/>
    <cellStyle name="Comma 6 3 3 5 3" xfId="3518" xr:uid="{00000000-0005-0000-0000-0000A40D0000}"/>
    <cellStyle name="Comma 6 3 3 5 4" xfId="3519" xr:uid="{00000000-0005-0000-0000-0000A50D0000}"/>
    <cellStyle name="Comma 6 3 3 5 5" xfId="3520" xr:uid="{00000000-0005-0000-0000-0000A60D0000}"/>
    <cellStyle name="Comma 6 3 3 5 6" xfId="3521" xr:uid="{00000000-0005-0000-0000-0000A70D0000}"/>
    <cellStyle name="Comma 6 3 3 6" xfId="3522" xr:uid="{00000000-0005-0000-0000-0000A80D0000}"/>
    <cellStyle name="Comma 6 3 3 6 2" xfId="3523" xr:uid="{00000000-0005-0000-0000-0000A90D0000}"/>
    <cellStyle name="Comma 6 3 3 6 3" xfId="3524" xr:uid="{00000000-0005-0000-0000-0000AA0D0000}"/>
    <cellStyle name="Comma 6 3 3 6 4" xfId="3525" xr:uid="{00000000-0005-0000-0000-0000AB0D0000}"/>
    <cellStyle name="Comma 6 3 3 6 5" xfId="3526" xr:uid="{00000000-0005-0000-0000-0000AC0D0000}"/>
    <cellStyle name="Comma 6 3 3 6 6" xfId="3527" xr:uid="{00000000-0005-0000-0000-0000AD0D0000}"/>
    <cellStyle name="Comma 6 3 3 7" xfId="3528" xr:uid="{00000000-0005-0000-0000-0000AE0D0000}"/>
    <cellStyle name="Comma 6 3 3 8" xfId="3529" xr:uid="{00000000-0005-0000-0000-0000AF0D0000}"/>
    <cellStyle name="Comma 6 3 3 9" xfId="3530" xr:uid="{00000000-0005-0000-0000-0000B00D0000}"/>
    <cellStyle name="Comma 6 3 4" xfId="3531" xr:uid="{00000000-0005-0000-0000-0000B10D0000}"/>
    <cellStyle name="Comma 6 3 4 10" xfId="3532" xr:uid="{00000000-0005-0000-0000-0000B20D0000}"/>
    <cellStyle name="Comma 6 3 4 11" xfId="3533" xr:uid="{00000000-0005-0000-0000-0000B30D0000}"/>
    <cellStyle name="Comma 6 3 4 2" xfId="3534" xr:uid="{00000000-0005-0000-0000-0000B40D0000}"/>
    <cellStyle name="Comma 6 3 4 2 2" xfId="3535" xr:uid="{00000000-0005-0000-0000-0000B50D0000}"/>
    <cellStyle name="Comma 6 3 4 2 2 2" xfId="3536" xr:uid="{00000000-0005-0000-0000-0000B60D0000}"/>
    <cellStyle name="Comma 6 3 4 2 2 3" xfId="3537" xr:uid="{00000000-0005-0000-0000-0000B70D0000}"/>
    <cellStyle name="Comma 6 3 4 2 2 4" xfId="3538" xr:uid="{00000000-0005-0000-0000-0000B80D0000}"/>
    <cellStyle name="Comma 6 3 4 2 2 5" xfId="3539" xr:uid="{00000000-0005-0000-0000-0000B90D0000}"/>
    <cellStyle name="Comma 6 3 4 2 2 6" xfId="3540" xr:uid="{00000000-0005-0000-0000-0000BA0D0000}"/>
    <cellStyle name="Comma 6 3 4 2 3" xfId="3541" xr:uid="{00000000-0005-0000-0000-0000BB0D0000}"/>
    <cellStyle name="Comma 6 3 4 2 3 2" xfId="3542" xr:uid="{00000000-0005-0000-0000-0000BC0D0000}"/>
    <cellStyle name="Comma 6 3 4 2 3 3" xfId="3543" xr:uid="{00000000-0005-0000-0000-0000BD0D0000}"/>
    <cellStyle name="Comma 6 3 4 2 3 4" xfId="3544" xr:uid="{00000000-0005-0000-0000-0000BE0D0000}"/>
    <cellStyle name="Comma 6 3 4 2 3 5" xfId="3545" xr:uid="{00000000-0005-0000-0000-0000BF0D0000}"/>
    <cellStyle name="Comma 6 3 4 2 3 6" xfId="3546" xr:uid="{00000000-0005-0000-0000-0000C00D0000}"/>
    <cellStyle name="Comma 6 3 4 2 4" xfId="3547" xr:uid="{00000000-0005-0000-0000-0000C10D0000}"/>
    <cellStyle name="Comma 6 3 4 2 5" xfId="3548" xr:uid="{00000000-0005-0000-0000-0000C20D0000}"/>
    <cellStyle name="Comma 6 3 4 2 6" xfId="3549" xr:uid="{00000000-0005-0000-0000-0000C30D0000}"/>
    <cellStyle name="Comma 6 3 4 2 7" xfId="3550" xr:uid="{00000000-0005-0000-0000-0000C40D0000}"/>
    <cellStyle name="Comma 6 3 4 2 8" xfId="3551" xr:uid="{00000000-0005-0000-0000-0000C50D0000}"/>
    <cellStyle name="Comma 6 3 4 3" xfId="3552" xr:uid="{00000000-0005-0000-0000-0000C60D0000}"/>
    <cellStyle name="Comma 6 3 4 3 2" xfId="3553" xr:uid="{00000000-0005-0000-0000-0000C70D0000}"/>
    <cellStyle name="Comma 6 3 4 3 2 2" xfId="3554" xr:uid="{00000000-0005-0000-0000-0000C80D0000}"/>
    <cellStyle name="Comma 6 3 4 3 2 3" xfId="3555" xr:uid="{00000000-0005-0000-0000-0000C90D0000}"/>
    <cellStyle name="Comma 6 3 4 3 2 4" xfId="3556" xr:uid="{00000000-0005-0000-0000-0000CA0D0000}"/>
    <cellStyle name="Comma 6 3 4 3 2 5" xfId="3557" xr:uid="{00000000-0005-0000-0000-0000CB0D0000}"/>
    <cellStyle name="Comma 6 3 4 3 2 6" xfId="3558" xr:uid="{00000000-0005-0000-0000-0000CC0D0000}"/>
    <cellStyle name="Comma 6 3 4 3 3" xfId="3559" xr:uid="{00000000-0005-0000-0000-0000CD0D0000}"/>
    <cellStyle name="Comma 6 3 4 3 3 2" xfId="3560" xr:uid="{00000000-0005-0000-0000-0000CE0D0000}"/>
    <cellStyle name="Comma 6 3 4 3 3 3" xfId="3561" xr:uid="{00000000-0005-0000-0000-0000CF0D0000}"/>
    <cellStyle name="Comma 6 3 4 3 3 4" xfId="3562" xr:uid="{00000000-0005-0000-0000-0000D00D0000}"/>
    <cellStyle name="Comma 6 3 4 3 3 5" xfId="3563" xr:uid="{00000000-0005-0000-0000-0000D10D0000}"/>
    <cellStyle name="Comma 6 3 4 3 3 6" xfId="3564" xr:uid="{00000000-0005-0000-0000-0000D20D0000}"/>
    <cellStyle name="Comma 6 3 4 3 4" xfId="3565" xr:uid="{00000000-0005-0000-0000-0000D30D0000}"/>
    <cellStyle name="Comma 6 3 4 3 5" xfId="3566" xr:uid="{00000000-0005-0000-0000-0000D40D0000}"/>
    <cellStyle name="Comma 6 3 4 3 6" xfId="3567" xr:uid="{00000000-0005-0000-0000-0000D50D0000}"/>
    <cellStyle name="Comma 6 3 4 3 7" xfId="3568" xr:uid="{00000000-0005-0000-0000-0000D60D0000}"/>
    <cellStyle name="Comma 6 3 4 3 8" xfId="3569" xr:uid="{00000000-0005-0000-0000-0000D70D0000}"/>
    <cellStyle name="Comma 6 3 4 4" xfId="3570" xr:uid="{00000000-0005-0000-0000-0000D80D0000}"/>
    <cellStyle name="Comma 6 3 4 4 2" xfId="3571" xr:uid="{00000000-0005-0000-0000-0000D90D0000}"/>
    <cellStyle name="Comma 6 3 4 4 2 2" xfId="3572" xr:uid="{00000000-0005-0000-0000-0000DA0D0000}"/>
    <cellStyle name="Comma 6 3 4 4 2 3" xfId="3573" xr:uid="{00000000-0005-0000-0000-0000DB0D0000}"/>
    <cellStyle name="Comma 6 3 4 4 2 4" xfId="3574" xr:uid="{00000000-0005-0000-0000-0000DC0D0000}"/>
    <cellStyle name="Comma 6 3 4 4 2 5" xfId="3575" xr:uid="{00000000-0005-0000-0000-0000DD0D0000}"/>
    <cellStyle name="Comma 6 3 4 4 2 6" xfId="3576" xr:uid="{00000000-0005-0000-0000-0000DE0D0000}"/>
    <cellStyle name="Comma 6 3 4 4 3" xfId="3577" xr:uid="{00000000-0005-0000-0000-0000DF0D0000}"/>
    <cellStyle name="Comma 6 3 4 4 3 2" xfId="3578" xr:uid="{00000000-0005-0000-0000-0000E00D0000}"/>
    <cellStyle name="Comma 6 3 4 4 3 3" xfId="3579" xr:uid="{00000000-0005-0000-0000-0000E10D0000}"/>
    <cellStyle name="Comma 6 3 4 4 3 4" xfId="3580" xr:uid="{00000000-0005-0000-0000-0000E20D0000}"/>
    <cellStyle name="Comma 6 3 4 4 3 5" xfId="3581" xr:uid="{00000000-0005-0000-0000-0000E30D0000}"/>
    <cellStyle name="Comma 6 3 4 4 3 6" xfId="3582" xr:uid="{00000000-0005-0000-0000-0000E40D0000}"/>
    <cellStyle name="Comma 6 3 4 4 4" xfId="3583" xr:uid="{00000000-0005-0000-0000-0000E50D0000}"/>
    <cellStyle name="Comma 6 3 4 4 5" xfId="3584" xr:uid="{00000000-0005-0000-0000-0000E60D0000}"/>
    <cellStyle name="Comma 6 3 4 4 6" xfId="3585" xr:uid="{00000000-0005-0000-0000-0000E70D0000}"/>
    <cellStyle name="Comma 6 3 4 4 7" xfId="3586" xr:uid="{00000000-0005-0000-0000-0000E80D0000}"/>
    <cellStyle name="Comma 6 3 4 4 8" xfId="3587" xr:uid="{00000000-0005-0000-0000-0000E90D0000}"/>
    <cellStyle name="Comma 6 3 4 5" xfId="3588" xr:uid="{00000000-0005-0000-0000-0000EA0D0000}"/>
    <cellStyle name="Comma 6 3 4 5 2" xfId="3589" xr:uid="{00000000-0005-0000-0000-0000EB0D0000}"/>
    <cellStyle name="Comma 6 3 4 5 3" xfId="3590" xr:uid="{00000000-0005-0000-0000-0000EC0D0000}"/>
    <cellStyle name="Comma 6 3 4 5 4" xfId="3591" xr:uid="{00000000-0005-0000-0000-0000ED0D0000}"/>
    <cellStyle name="Comma 6 3 4 5 5" xfId="3592" xr:uid="{00000000-0005-0000-0000-0000EE0D0000}"/>
    <cellStyle name="Comma 6 3 4 5 6" xfId="3593" xr:uid="{00000000-0005-0000-0000-0000EF0D0000}"/>
    <cellStyle name="Comma 6 3 4 6" xfId="3594" xr:uid="{00000000-0005-0000-0000-0000F00D0000}"/>
    <cellStyle name="Comma 6 3 4 6 2" xfId="3595" xr:uid="{00000000-0005-0000-0000-0000F10D0000}"/>
    <cellStyle name="Comma 6 3 4 6 3" xfId="3596" xr:uid="{00000000-0005-0000-0000-0000F20D0000}"/>
    <cellStyle name="Comma 6 3 4 6 4" xfId="3597" xr:uid="{00000000-0005-0000-0000-0000F30D0000}"/>
    <cellStyle name="Comma 6 3 4 6 5" xfId="3598" xr:uid="{00000000-0005-0000-0000-0000F40D0000}"/>
    <cellStyle name="Comma 6 3 4 6 6" xfId="3599" xr:uid="{00000000-0005-0000-0000-0000F50D0000}"/>
    <cellStyle name="Comma 6 3 4 7" xfId="3600" xr:uid="{00000000-0005-0000-0000-0000F60D0000}"/>
    <cellStyle name="Comma 6 3 4 8" xfId="3601" xr:uid="{00000000-0005-0000-0000-0000F70D0000}"/>
    <cellStyle name="Comma 6 3 4 9" xfId="3602" xr:uid="{00000000-0005-0000-0000-0000F80D0000}"/>
    <cellStyle name="Comma 6 3 5" xfId="3603" xr:uid="{00000000-0005-0000-0000-0000F90D0000}"/>
    <cellStyle name="Comma 6 3 5 2" xfId="3604" xr:uid="{00000000-0005-0000-0000-0000FA0D0000}"/>
    <cellStyle name="Comma 6 3 5 2 2" xfId="3605" xr:uid="{00000000-0005-0000-0000-0000FB0D0000}"/>
    <cellStyle name="Comma 6 3 5 2 3" xfId="3606" xr:uid="{00000000-0005-0000-0000-0000FC0D0000}"/>
    <cellStyle name="Comma 6 3 5 2 4" xfId="3607" xr:uid="{00000000-0005-0000-0000-0000FD0D0000}"/>
    <cellStyle name="Comma 6 3 5 2 5" xfId="3608" xr:uid="{00000000-0005-0000-0000-0000FE0D0000}"/>
    <cellStyle name="Comma 6 3 5 2 6" xfId="3609" xr:uid="{00000000-0005-0000-0000-0000FF0D0000}"/>
    <cellStyle name="Comma 6 3 5 3" xfId="3610" xr:uid="{00000000-0005-0000-0000-0000000E0000}"/>
    <cellStyle name="Comma 6 3 5 3 2" xfId="3611" xr:uid="{00000000-0005-0000-0000-0000010E0000}"/>
    <cellStyle name="Comma 6 3 5 3 3" xfId="3612" xr:uid="{00000000-0005-0000-0000-0000020E0000}"/>
    <cellStyle name="Comma 6 3 5 3 4" xfId="3613" xr:uid="{00000000-0005-0000-0000-0000030E0000}"/>
    <cellStyle name="Comma 6 3 5 3 5" xfId="3614" xr:uid="{00000000-0005-0000-0000-0000040E0000}"/>
    <cellStyle name="Comma 6 3 5 3 6" xfId="3615" xr:uid="{00000000-0005-0000-0000-0000050E0000}"/>
    <cellStyle name="Comma 6 3 5 4" xfId="3616" xr:uid="{00000000-0005-0000-0000-0000060E0000}"/>
    <cellStyle name="Comma 6 3 5 5" xfId="3617" xr:uid="{00000000-0005-0000-0000-0000070E0000}"/>
    <cellStyle name="Comma 6 3 5 6" xfId="3618" xr:uid="{00000000-0005-0000-0000-0000080E0000}"/>
    <cellStyle name="Comma 6 3 5 7" xfId="3619" xr:uid="{00000000-0005-0000-0000-0000090E0000}"/>
    <cellStyle name="Comma 6 3 5 8" xfId="3620" xr:uid="{00000000-0005-0000-0000-00000A0E0000}"/>
    <cellStyle name="Comma 6 3 6" xfId="3621" xr:uid="{00000000-0005-0000-0000-00000B0E0000}"/>
    <cellStyle name="Comma 6 3 6 2" xfId="3622" xr:uid="{00000000-0005-0000-0000-00000C0E0000}"/>
    <cellStyle name="Comma 6 3 6 2 2" xfId="3623" xr:uid="{00000000-0005-0000-0000-00000D0E0000}"/>
    <cellStyle name="Comma 6 3 6 2 3" xfId="3624" xr:uid="{00000000-0005-0000-0000-00000E0E0000}"/>
    <cellStyle name="Comma 6 3 6 2 4" xfId="3625" xr:uid="{00000000-0005-0000-0000-00000F0E0000}"/>
    <cellStyle name="Comma 6 3 6 2 5" xfId="3626" xr:uid="{00000000-0005-0000-0000-0000100E0000}"/>
    <cellStyle name="Comma 6 3 6 2 6" xfId="3627" xr:uid="{00000000-0005-0000-0000-0000110E0000}"/>
    <cellStyle name="Comma 6 3 6 3" xfId="3628" xr:uid="{00000000-0005-0000-0000-0000120E0000}"/>
    <cellStyle name="Comma 6 3 6 3 2" xfId="3629" xr:uid="{00000000-0005-0000-0000-0000130E0000}"/>
    <cellStyle name="Comma 6 3 6 3 3" xfId="3630" xr:uid="{00000000-0005-0000-0000-0000140E0000}"/>
    <cellStyle name="Comma 6 3 6 3 4" xfId="3631" xr:uid="{00000000-0005-0000-0000-0000150E0000}"/>
    <cellStyle name="Comma 6 3 6 3 5" xfId="3632" xr:uid="{00000000-0005-0000-0000-0000160E0000}"/>
    <cellStyle name="Comma 6 3 6 3 6" xfId="3633" xr:uid="{00000000-0005-0000-0000-0000170E0000}"/>
    <cellStyle name="Comma 6 3 6 4" xfId="3634" xr:uid="{00000000-0005-0000-0000-0000180E0000}"/>
    <cellStyle name="Comma 6 3 6 5" xfId="3635" xr:uid="{00000000-0005-0000-0000-0000190E0000}"/>
    <cellStyle name="Comma 6 3 6 6" xfId="3636" xr:uid="{00000000-0005-0000-0000-00001A0E0000}"/>
    <cellStyle name="Comma 6 3 6 7" xfId="3637" xr:uid="{00000000-0005-0000-0000-00001B0E0000}"/>
    <cellStyle name="Comma 6 3 6 8" xfId="3638" xr:uid="{00000000-0005-0000-0000-00001C0E0000}"/>
    <cellStyle name="Comma 6 3 7" xfId="3639" xr:uid="{00000000-0005-0000-0000-00001D0E0000}"/>
    <cellStyle name="Comma 6 3 7 2" xfId="3640" xr:uid="{00000000-0005-0000-0000-00001E0E0000}"/>
    <cellStyle name="Comma 6 3 7 2 2" xfId="3641" xr:uid="{00000000-0005-0000-0000-00001F0E0000}"/>
    <cellStyle name="Comma 6 3 7 2 3" xfId="3642" xr:uid="{00000000-0005-0000-0000-0000200E0000}"/>
    <cellStyle name="Comma 6 3 7 2 4" xfId="3643" xr:uid="{00000000-0005-0000-0000-0000210E0000}"/>
    <cellStyle name="Comma 6 3 7 2 5" xfId="3644" xr:uid="{00000000-0005-0000-0000-0000220E0000}"/>
    <cellStyle name="Comma 6 3 7 2 6" xfId="3645" xr:uid="{00000000-0005-0000-0000-0000230E0000}"/>
    <cellStyle name="Comma 6 3 7 3" xfId="3646" xr:uid="{00000000-0005-0000-0000-0000240E0000}"/>
    <cellStyle name="Comma 6 3 7 3 2" xfId="3647" xr:uid="{00000000-0005-0000-0000-0000250E0000}"/>
    <cellStyle name="Comma 6 3 7 3 3" xfId="3648" xr:uid="{00000000-0005-0000-0000-0000260E0000}"/>
    <cellStyle name="Comma 6 3 7 3 4" xfId="3649" xr:uid="{00000000-0005-0000-0000-0000270E0000}"/>
    <cellStyle name="Comma 6 3 7 3 5" xfId="3650" xr:uid="{00000000-0005-0000-0000-0000280E0000}"/>
    <cellStyle name="Comma 6 3 7 3 6" xfId="3651" xr:uid="{00000000-0005-0000-0000-0000290E0000}"/>
    <cellStyle name="Comma 6 3 7 4" xfId="3652" xr:uid="{00000000-0005-0000-0000-00002A0E0000}"/>
    <cellStyle name="Comma 6 3 7 5" xfId="3653" xr:uid="{00000000-0005-0000-0000-00002B0E0000}"/>
    <cellStyle name="Comma 6 3 7 6" xfId="3654" xr:uid="{00000000-0005-0000-0000-00002C0E0000}"/>
    <cellStyle name="Comma 6 3 7 7" xfId="3655" xr:uid="{00000000-0005-0000-0000-00002D0E0000}"/>
    <cellStyle name="Comma 6 3 7 8" xfId="3656" xr:uid="{00000000-0005-0000-0000-00002E0E0000}"/>
    <cellStyle name="Comma 6 3 8" xfId="3657" xr:uid="{00000000-0005-0000-0000-00002F0E0000}"/>
    <cellStyle name="Comma 6 3 8 2" xfId="3658" xr:uid="{00000000-0005-0000-0000-0000300E0000}"/>
    <cellStyle name="Comma 6 3 8 3" xfId="3659" xr:uid="{00000000-0005-0000-0000-0000310E0000}"/>
    <cellStyle name="Comma 6 3 8 4" xfId="3660" xr:uid="{00000000-0005-0000-0000-0000320E0000}"/>
    <cellStyle name="Comma 6 3 8 5" xfId="3661" xr:uid="{00000000-0005-0000-0000-0000330E0000}"/>
    <cellStyle name="Comma 6 3 8 6" xfId="3662" xr:uid="{00000000-0005-0000-0000-0000340E0000}"/>
    <cellStyle name="Comma 6 3 9" xfId="3663" xr:uid="{00000000-0005-0000-0000-0000350E0000}"/>
    <cellStyle name="Comma 6 3 9 2" xfId="3664" xr:uid="{00000000-0005-0000-0000-0000360E0000}"/>
    <cellStyle name="Comma 6 3 9 3" xfId="3665" xr:uid="{00000000-0005-0000-0000-0000370E0000}"/>
    <cellStyle name="Comma 6 3 9 4" xfId="3666" xr:uid="{00000000-0005-0000-0000-0000380E0000}"/>
    <cellStyle name="Comma 6 3 9 5" xfId="3667" xr:uid="{00000000-0005-0000-0000-0000390E0000}"/>
    <cellStyle name="Comma 6 3 9 6" xfId="3668" xr:uid="{00000000-0005-0000-0000-00003A0E0000}"/>
    <cellStyle name="Comma 6 4" xfId="3669" xr:uid="{00000000-0005-0000-0000-00003B0E0000}"/>
    <cellStyle name="Comma 6 4 10" xfId="3670" xr:uid="{00000000-0005-0000-0000-00003C0E0000}"/>
    <cellStyle name="Comma 6 4 11" xfId="3671" xr:uid="{00000000-0005-0000-0000-00003D0E0000}"/>
    <cellStyle name="Comma 6 4 12" xfId="3672" xr:uid="{00000000-0005-0000-0000-00003E0E0000}"/>
    <cellStyle name="Comma 6 4 13" xfId="3673" xr:uid="{00000000-0005-0000-0000-00003F0E0000}"/>
    <cellStyle name="Comma 6 4 2" xfId="3674" xr:uid="{00000000-0005-0000-0000-0000400E0000}"/>
    <cellStyle name="Comma 6 4 2 10" xfId="3675" xr:uid="{00000000-0005-0000-0000-0000410E0000}"/>
    <cellStyle name="Comma 6 4 2 11" xfId="3676" xr:uid="{00000000-0005-0000-0000-0000420E0000}"/>
    <cellStyle name="Comma 6 4 2 2" xfId="3677" xr:uid="{00000000-0005-0000-0000-0000430E0000}"/>
    <cellStyle name="Comma 6 4 2 2 2" xfId="3678" xr:uid="{00000000-0005-0000-0000-0000440E0000}"/>
    <cellStyle name="Comma 6 4 2 2 2 2" xfId="3679" xr:uid="{00000000-0005-0000-0000-0000450E0000}"/>
    <cellStyle name="Comma 6 4 2 2 2 3" xfId="3680" xr:uid="{00000000-0005-0000-0000-0000460E0000}"/>
    <cellStyle name="Comma 6 4 2 2 2 4" xfId="3681" xr:uid="{00000000-0005-0000-0000-0000470E0000}"/>
    <cellStyle name="Comma 6 4 2 2 2 5" xfId="3682" xr:uid="{00000000-0005-0000-0000-0000480E0000}"/>
    <cellStyle name="Comma 6 4 2 2 2 6" xfId="3683" xr:uid="{00000000-0005-0000-0000-0000490E0000}"/>
    <cellStyle name="Comma 6 4 2 2 3" xfId="3684" xr:uid="{00000000-0005-0000-0000-00004A0E0000}"/>
    <cellStyle name="Comma 6 4 2 2 3 2" xfId="3685" xr:uid="{00000000-0005-0000-0000-00004B0E0000}"/>
    <cellStyle name="Comma 6 4 2 2 3 3" xfId="3686" xr:uid="{00000000-0005-0000-0000-00004C0E0000}"/>
    <cellStyle name="Comma 6 4 2 2 3 4" xfId="3687" xr:uid="{00000000-0005-0000-0000-00004D0E0000}"/>
    <cellStyle name="Comma 6 4 2 2 3 5" xfId="3688" xr:uid="{00000000-0005-0000-0000-00004E0E0000}"/>
    <cellStyle name="Comma 6 4 2 2 3 6" xfId="3689" xr:uid="{00000000-0005-0000-0000-00004F0E0000}"/>
    <cellStyle name="Comma 6 4 2 2 4" xfId="3690" xr:uid="{00000000-0005-0000-0000-0000500E0000}"/>
    <cellStyle name="Comma 6 4 2 2 5" xfId="3691" xr:uid="{00000000-0005-0000-0000-0000510E0000}"/>
    <cellStyle name="Comma 6 4 2 2 6" xfId="3692" xr:uid="{00000000-0005-0000-0000-0000520E0000}"/>
    <cellStyle name="Comma 6 4 2 2 7" xfId="3693" xr:uid="{00000000-0005-0000-0000-0000530E0000}"/>
    <cellStyle name="Comma 6 4 2 2 8" xfId="3694" xr:uid="{00000000-0005-0000-0000-0000540E0000}"/>
    <cellStyle name="Comma 6 4 2 3" xfId="3695" xr:uid="{00000000-0005-0000-0000-0000550E0000}"/>
    <cellStyle name="Comma 6 4 2 3 2" xfId="3696" xr:uid="{00000000-0005-0000-0000-0000560E0000}"/>
    <cellStyle name="Comma 6 4 2 3 2 2" xfId="3697" xr:uid="{00000000-0005-0000-0000-0000570E0000}"/>
    <cellStyle name="Comma 6 4 2 3 2 3" xfId="3698" xr:uid="{00000000-0005-0000-0000-0000580E0000}"/>
    <cellStyle name="Comma 6 4 2 3 2 4" xfId="3699" xr:uid="{00000000-0005-0000-0000-0000590E0000}"/>
    <cellStyle name="Comma 6 4 2 3 2 5" xfId="3700" xr:uid="{00000000-0005-0000-0000-00005A0E0000}"/>
    <cellStyle name="Comma 6 4 2 3 2 6" xfId="3701" xr:uid="{00000000-0005-0000-0000-00005B0E0000}"/>
    <cellStyle name="Comma 6 4 2 3 3" xfId="3702" xr:uid="{00000000-0005-0000-0000-00005C0E0000}"/>
    <cellStyle name="Comma 6 4 2 3 3 2" xfId="3703" xr:uid="{00000000-0005-0000-0000-00005D0E0000}"/>
    <cellStyle name="Comma 6 4 2 3 3 3" xfId="3704" xr:uid="{00000000-0005-0000-0000-00005E0E0000}"/>
    <cellStyle name="Comma 6 4 2 3 3 4" xfId="3705" xr:uid="{00000000-0005-0000-0000-00005F0E0000}"/>
    <cellStyle name="Comma 6 4 2 3 3 5" xfId="3706" xr:uid="{00000000-0005-0000-0000-0000600E0000}"/>
    <cellStyle name="Comma 6 4 2 3 3 6" xfId="3707" xr:uid="{00000000-0005-0000-0000-0000610E0000}"/>
    <cellStyle name="Comma 6 4 2 3 4" xfId="3708" xr:uid="{00000000-0005-0000-0000-0000620E0000}"/>
    <cellStyle name="Comma 6 4 2 3 5" xfId="3709" xr:uid="{00000000-0005-0000-0000-0000630E0000}"/>
    <cellStyle name="Comma 6 4 2 3 6" xfId="3710" xr:uid="{00000000-0005-0000-0000-0000640E0000}"/>
    <cellStyle name="Comma 6 4 2 3 7" xfId="3711" xr:uid="{00000000-0005-0000-0000-0000650E0000}"/>
    <cellStyle name="Comma 6 4 2 3 8" xfId="3712" xr:uid="{00000000-0005-0000-0000-0000660E0000}"/>
    <cellStyle name="Comma 6 4 2 4" xfId="3713" xr:uid="{00000000-0005-0000-0000-0000670E0000}"/>
    <cellStyle name="Comma 6 4 2 4 2" xfId="3714" xr:uid="{00000000-0005-0000-0000-0000680E0000}"/>
    <cellStyle name="Comma 6 4 2 4 2 2" xfId="3715" xr:uid="{00000000-0005-0000-0000-0000690E0000}"/>
    <cellStyle name="Comma 6 4 2 4 2 3" xfId="3716" xr:uid="{00000000-0005-0000-0000-00006A0E0000}"/>
    <cellStyle name="Comma 6 4 2 4 2 4" xfId="3717" xr:uid="{00000000-0005-0000-0000-00006B0E0000}"/>
    <cellStyle name="Comma 6 4 2 4 2 5" xfId="3718" xr:uid="{00000000-0005-0000-0000-00006C0E0000}"/>
    <cellStyle name="Comma 6 4 2 4 2 6" xfId="3719" xr:uid="{00000000-0005-0000-0000-00006D0E0000}"/>
    <cellStyle name="Comma 6 4 2 4 3" xfId="3720" xr:uid="{00000000-0005-0000-0000-00006E0E0000}"/>
    <cellStyle name="Comma 6 4 2 4 3 2" xfId="3721" xr:uid="{00000000-0005-0000-0000-00006F0E0000}"/>
    <cellStyle name="Comma 6 4 2 4 3 3" xfId="3722" xr:uid="{00000000-0005-0000-0000-0000700E0000}"/>
    <cellStyle name="Comma 6 4 2 4 3 4" xfId="3723" xr:uid="{00000000-0005-0000-0000-0000710E0000}"/>
    <cellStyle name="Comma 6 4 2 4 3 5" xfId="3724" xr:uid="{00000000-0005-0000-0000-0000720E0000}"/>
    <cellStyle name="Comma 6 4 2 4 3 6" xfId="3725" xr:uid="{00000000-0005-0000-0000-0000730E0000}"/>
    <cellStyle name="Comma 6 4 2 4 4" xfId="3726" xr:uid="{00000000-0005-0000-0000-0000740E0000}"/>
    <cellStyle name="Comma 6 4 2 4 5" xfId="3727" xr:uid="{00000000-0005-0000-0000-0000750E0000}"/>
    <cellStyle name="Comma 6 4 2 4 6" xfId="3728" xr:uid="{00000000-0005-0000-0000-0000760E0000}"/>
    <cellStyle name="Comma 6 4 2 4 7" xfId="3729" xr:uid="{00000000-0005-0000-0000-0000770E0000}"/>
    <cellStyle name="Comma 6 4 2 4 8" xfId="3730" xr:uid="{00000000-0005-0000-0000-0000780E0000}"/>
    <cellStyle name="Comma 6 4 2 5" xfId="3731" xr:uid="{00000000-0005-0000-0000-0000790E0000}"/>
    <cellStyle name="Comma 6 4 2 5 2" xfId="3732" xr:uid="{00000000-0005-0000-0000-00007A0E0000}"/>
    <cellStyle name="Comma 6 4 2 5 3" xfId="3733" xr:uid="{00000000-0005-0000-0000-00007B0E0000}"/>
    <cellStyle name="Comma 6 4 2 5 4" xfId="3734" xr:uid="{00000000-0005-0000-0000-00007C0E0000}"/>
    <cellStyle name="Comma 6 4 2 5 5" xfId="3735" xr:uid="{00000000-0005-0000-0000-00007D0E0000}"/>
    <cellStyle name="Comma 6 4 2 5 6" xfId="3736" xr:uid="{00000000-0005-0000-0000-00007E0E0000}"/>
    <cellStyle name="Comma 6 4 2 6" xfId="3737" xr:uid="{00000000-0005-0000-0000-00007F0E0000}"/>
    <cellStyle name="Comma 6 4 2 6 2" xfId="3738" xr:uid="{00000000-0005-0000-0000-0000800E0000}"/>
    <cellStyle name="Comma 6 4 2 6 3" xfId="3739" xr:uid="{00000000-0005-0000-0000-0000810E0000}"/>
    <cellStyle name="Comma 6 4 2 6 4" xfId="3740" xr:uid="{00000000-0005-0000-0000-0000820E0000}"/>
    <cellStyle name="Comma 6 4 2 6 5" xfId="3741" xr:uid="{00000000-0005-0000-0000-0000830E0000}"/>
    <cellStyle name="Comma 6 4 2 6 6" xfId="3742" xr:uid="{00000000-0005-0000-0000-0000840E0000}"/>
    <cellStyle name="Comma 6 4 2 7" xfId="3743" xr:uid="{00000000-0005-0000-0000-0000850E0000}"/>
    <cellStyle name="Comma 6 4 2 8" xfId="3744" xr:uid="{00000000-0005-0000-0000-0000860E0000}"/>
    <cellStyle name="Comma 6 4 2 9" xfId="3745" xr:uid="{00000000-0005-0000-0000-0000870E0000}"/>
    <cellStyle name="Comma 6 4 3" xfId="3746" xr:uid="{00000000-0005-0000-0000-0000880E0000}"/>
    <cellStyle name="Comma 6 4 3 10" xfId="3747" xr:uid="{00000000-0005-0000-0000-0000890E0000}"/>
    <cellStyle name="Comma 6 4 3 11" xfId="3748" xr:uid="{00000000-0005-0000-0000-00008A0E0000}"/>
    <cellStyle name="Comma 6 4 3 2" xfId="3749" xr:uid="{00000000-0005-0000-0000-00008B0E0000}"/>
    <cellStyle name="Comma 6 4 3 2 2" xfId="3750" xr:uid="{00000000-0005-0000-0000-00008C0E0000}"/>
    <cellStyle name="Comma 6 4 3 2 2 2" xfId="3751" xr:uid="{00000000-0005-0000-0000-00008D0E0000}"/>
    <cellStyle name="Comma 6 4 3 2 2 3" xfId="3752" xr:uid="{00000000-0005-0000-0000-00008E0E0000}"/>
    <cellStyle name="Comma 6 4 3 2 2 4" xfId="3753" xr:uid="{00000000-0005-0000-0000-00008F0E0000}"/>
    <cellStyle name="Comma 6 4 3 2 2 5" xfId="3754" xr:uid="{00000000-0005-0000-0000-0000900E0000}"/>
    <cellStyle name="Comma 6 4 3 2 2 6" xfId="3755" xr:uid="{00000000-0005-0000-0000-0000910E0000}"/>
    <cellStyle name="Comma 6 4 3 2 3" xfId="3756" xr:uid="{00000000-0005-0000-0000-0000920E0000}"/>
    <cellStyle name="Comma 6 4 3 2 3 2" xfId="3757" xr:uid="{00000000-0005-0000-0000-0000930E0000}"/>
    <cellStyle name="Comma 6 4 3 2 3 3" xfId="3758" xr:uid="{00000000-0005-0000-0000-0000940E0000}"/>
    <cellStyle name="Comma 6 4 3 2 3 4" xfId="3759" xr:uid="{00000000-0005-0000-0000-0000950E0000}"/>
    <cellStyle name="Comma 6 4 3 2 3 5" xfId="3760" xr:uid="{00000000-0005-0000-0000-0000960E0000}"/>
    <cellStyle name="Comma 6 4 3 2 3 6" xfId="3761" xr:uid="{00000000-0005-0000-0000-0000970E0000}"/>
    <cellStyle name="Comma 6 4 3 2 4" xfId="3762" xr:uid="{00000000-0005-0000-0000-0000980E0000}"/>
    <cellStyle name="Comma 6 4 3 2 5" xfId="3763" xr:uid="{00000000-0005-0000-0000-0000990E0000}"/>
    <cellStyle name="Comma 6 4 3 2 6" xfId="3764" xr:uid="{00000000-0005-0000-0000-00009A0E0000}"/>
    <cellStyle name="Comma 6 4 3 2 7" xfId="3765" xr:uid="{00000000-0005-0000-0000-00009B0E0000}"/>
    <cellStyle name="Comma 6 4 3 2 8" xfId="3766" xr:uid="{00000000-0005-0000-0000-00009C0E0000}"/>
    <cellStyle name="Comma 6 4 3 3" xfId="3767" xr:uid="{00000000-0005-0000-0000-00009D0E0000}"/>
    <cellStyle name="Comma 6 4 3 3 2" xfId="3768" xr:uid="{00000000-0005-0000-0000-00009E0E0000}"/>
    <cellStyle name="Comma 6 4 3 3 2 2" xfId="3769" xr:uid="{00000000-0005-0000-0000-00009F0E0000}"/>
    <cellStyle name="Comma 6 4 3 3 2 3" xfId="3770" xr:uid="{00000000-0005-0000-0000-0000A00E0000}"/>
    <cellStyle name="Comma 6 4 3 3 2 4" xfId="3771" xr:uid="{00000000-0005-0000-0000-0000A10E0000}"/>
    <cellStyle name="Comma 6 4 3 3 2 5" xfId="3772" xr:uid="{00000000-0005-0000-0000-0000A20E0000}"/>
    <cellStyle name="Comma 6 4 3 3 2 6" xfId="3773" xr:uid="{00000000-0005-0000-0000-0000A30E0000}"/>
    <cellStyle name="Comma 6 4 3 3 3" xfId="3774" xr:uid="{00000000-0005-0000-0000-0000A40E0000}"/>
    <cellStyle name="Comma 6 4 3 3 3 2" xfId="3775" xr:uid="{00000000-0005-0000-0000-0000A50E0000}"/>
    <cellStyle name="Comma 6 4 3 3 3 3" xfId="3776" xr:uid="{00000000-0005-0000-0000-0000A60E0000}"/>
    <cellStyle name="Comma 6 4 3 3 3 4" xfId="3777" xr:uid="{00000000-0005-0000-0000-0000A70E0000}"/>
    <cellStyle name="Comma 6 4 3 3 3 5" xfId="3778" xr:uid="{00000000-0005-0000-0000-0000A80E0000}"/>
    <cellStyle name="Comma 6 4 3 3 3 6" xfId="3779" xr:uid="{00000000-0005-0000-0000-0000A90E0000}"/>
    <cellStyle name="Comma 6 4 3 3 4" xfId="3780" xr:uid="{00000000-0005-0000-0000-0000AA0E0000}"/>
    <cellStyle name="Comma 6 4 3 3 5" xfId="3781" xr:uid="{00000000-0005-0000-0000-0000AB0E0000}"/>
    <cellStyle name="Comma 6 4 3 3 6" xfId="3782" xr:uid="{00000000-0005-0000-0000-0000AC0E0000}"/>
    <cellStyle name="Comma 6 4 3 3 7" xfId="3783" xr:uid="{00000000-0005-0000-0000-0000AD0E0000}"/>
    <cellStyle name="Comma 6 4 3 3 8" xfId="3784" xr:uid="{00000000-0005-0000-0000-0000AE0E0000}"/>
    <cellStyle name="Comma 6 4 3 4" xfId="3785" xr:uid="{00000000-0005-0000-0000-0000AF0E0000}"/>
    <cellStyle name="Comma 6 4 3 4 2" xfId="3786" xr:uid="{00000000-0005-0000-0000-0000B00E0000}"/>
    <cellStyle name="Comma 6 4 3 4 2 2" xfId="3787" xr:uid="{00000000-0005-0000-0000-0000B10E0000}"/>
    <cellStyle name="Comma 6 4 3 4 2 3" xfId="3788" xr:uid="{00000000-0005-0000-0000-0000B20E0000}"/>
    <cellStyle name="Comma 6 4 3 4 2 4" xfId="3789" xr:uid="{00000000-0005-0000-0000-0000B30E0000}"/>
    <cellStyle name="Comma 6 4 3 4 2 5" xfId="3790" xr:uid="{00000000-0005-0000-0000-0000B40E0000}"/>
    <cellStyle name="Comma 6 4 3 4 2 6" xfId="3791" xr:uid="{00000000-0005-0000-0000-0000B50E0000}"/>
    <cellStyle name="Comma 6 4 3 4 3" xfId="3792" xr:uid="{00000000-0005-0000-0000-0000B60E0000}"/>
    <cellStyle name="Comma 6 4 3 4 3 2" xfId="3793" xr:uid="{00000000-0005-0000-0000-0000B70E0000}"/>
    <cellStyle name="Comma 6 4 3 4 3 3" xfId="3794" xr:uid="{00000000-0005-0000-0000-0000B80E0000}"/>
    <cellStyle name="Comma 6 4 3 4 3 4" xfId="3795" xr:uid="{00000000-0005-0000-0000-0000B90E0000}"/>
    <cellStyle name="Comma 6 4 3 4 3 5" xfId="3796" xr:uid="{00000000-0005-0000-0000-0000BA0E0000}"/>
    <cellStyle name="Comma 6 4 3 4 3 6" xfId="3797" xr:uid="{00000000-0005-0000-0000-0000BB0E0000}"/>
    <cellStyle name="Comma 6 4 3 4 4" xfId="3798" xr:uid="{00000000-0005-0000-0000-0000BC0E0000}"/>
    <cellStyle name="Comma 6 4 3 4 5" xfId="3799" xr:uid="{00000000-0005-0000-0000-0000BD0E0000}"/>
    <cellStyle name="Comma 6 4 3 4 6" xfId="3800" xr:uid="{00000000-0005-0000-0000-0000BE0E0000}"/>
    <cellStyle name="Comma 6 4 3 4 7" xfId="3801" xr:uid="{00000000-0005-0000-0000-0000BF0E0000}"/>
    <cellStyle name="Comma 6 4 3 4 8" xfId="3802" xr:uid="{00000000-0005-0000-0000-0000C00E0000}"/>
    <cellStyle name="Comma 6 4 3 5" xfId="3803" xr:uid="{00000000-0005-0000-0000-0000C10E0000}"/>
    <cellStyle name="Comma 6 4 3 5 2" xfId="3804" xr:uid="{00000000-0005-0000-0000-0000C20E0000}"/>
    <cellStyle name="Comma 6 4 3 5 3" xfId="3805" xr:uid="{00000000-0005-0000-0000-0000C30E0000}"/>
    <cellStyle name="Comma 6 4 3 5 4" xfId="3806" xr:uid="{00000000-0005-0000-0000-0000C40E0000}"/>
    <cellStyle name="Comma 6 4 3 5 5" xfId="3807" xr:uid="{00000000-0005-0000-0000-0000C50E0000}"/>
    <cellStyle name="Comma 6 4 3 5 6" xfId="3808" xr:uid="{00000000-0005-0000-0000-0000C60E0000}"/>
    <cellStyle name="Comma 6 4 3 6" xfId="3809" xr:uid="{00000000-0005-0000-0000-0000C70E0000}"/>
    <cellStyle name="Comma 6 4 3 6 2" xfId="3810" xr:uid="{00000000-0005-0000-0000-0000C80E0000}"/>
    <cellStyle name="Comma 6 4 3 6 3" xfId="3811" xr:uid="{00000000-0005-0000-0000-0000C90E0000}"/>
    <cellStyle name="Comma 6 4 3 6 4" xfId="3812" xr:uid="{00000000-0005-0000-0000-0000CA0E0000}"/>
    <cellStyle name="Comma 6 4 3 6 5" xfId="3813" xr:uid="{00000000-0005-0000-0000-0000CB0E0000}"/>
    <cellStyle name="Comma 6 4 3 6 6" xfId="3814" xr:uid="{00000000-0005-0000-0000-0000CC0E0000}"/>
    <cellStyle name="Comma 6 4 3 7" xfId="3815" xr:uid="{00000000-0005-0000-0000-0000CD0E0000}"/>
    <cellStyle name="Comma 6 4 3 8" xfId="3816" xr:uid="{00000000-0005-0000-0000-0000CE0E0000}"/>
    <cellStyle name="Comma 6 4 3 9" xfId="3817" xr:uid="{00000000-0005-0000-0000-0000CF0E0000}"/>
    <cellStyle name="Comma 6 4 4" xfId="3818" xr:uid="{00000000-0005-0000-0000-0000D00E0000}"/>
    <cellStyle name="Comma 6 4 4 2" xfId="3819" xr:uid="{00000000-0005-0000-0000-0000D10E0000}"/>
    <cellStyle name="Comma 6 4 4 2 2" xfId="3820" xr:uid="{00000000-0005-0000-0000-0000D20E0000}"/>
    <cellStyle name="Comma 6 4 4 2 3" xfId="3821" xr:uid="{00000000-0005-0000-0000-0000D30E0000}"/>
    <cellStyle name="Comma 6 4 4 2 4" xfId="3822" xr:uid="{00000000-0005-0000-0000-0000D40E0000}"/>
    <cellStyle name="Comma 6 4 4 2 5" xfId="3823" xr:uid="{00000000-0005-0000-0000-0000D50E0000}"/>
    <cellStyle name="Comma 6 4 4 2 6" xfId="3824" xr:uid="{00000000-0005-0000-0000-0000D60E0000}"/>
    <cellStyle name="Comma 6 4 4 3" xfId="3825" xr:uid="{00000000-0005-0000-0000-0000D70E0000}"/>
    <cellStyle name="Comma 6 4 4 3 2" xfId="3826" xr:uid="{00000000-0005-0000-0000-0000D80E0000}"/>
    <cellStyle name="Comma 6 4 4 3 3" xfId="3827" xr:uid="{00000000-0005-0000-0000-0000D90E0000}"/>
    <cellStyle name="Comma 6 4 4 3 4" xfId="3828" xr:uid="{00000000-0005-0000-0000-0000DA0E0000}"/>
    <cellStyle name="Comma 6 4 4 3 5" xfId="3829" xr:uid="{00000000-0005-0000-0000-0000DB0E0000}"/>
    <cellStyle name="Comma 6 4 4 3 6" xfId="3830" xr:uid="{00000000-0005-0000-0000-0000DC0E0000}"/>
    <cellStyle name="Comma 6 4 4 4" xfId="3831" xr:uid="{00000000-0005-0000-0000-0000DD0E0000}"/>
    <cellStyle name="Comma 6 4 4 5" xfId="3832" xr:uid="{00000000-0005-0000-0000-0000DE0E0000}"/>
    <cellStyle name="Comma 6 4 4 6" xfId="3833" xr:uid="{00000000-0005-0000-0000-0000DF0E0000}"/>
    <cellStyle name="Comma 6 4 4 7" xfId="3834" xr:uid="{00000000-0005-0000-0000-0000E00E0000}"/>
    <cellStyle name="Comma 6 4 4 8" xfId="3835" xr:uid="{00000000-0005-0000-0000-0000E10E0000}"/>
    <cellStyle name="Comma 6 4 5" xfId="3836" xr:uid="{00000000-0005-0000-0000-0000E20E0000}"/>
    <cellStyle name="Comma 6 4 5 2" xfId="3837" xr:uid="{00000000-0005-0000-0000-0000E30E0000}"/>
    <cellStyle name="Comma 6 4 5 2 2" xfId="3838" xr:uid="{00000000-0005-0000-0000-0000E40E0000}"/>
    <cellStyle name="Comma 6 4 5 2 3" xfId="3839" xr:uid="{00000000-0005-0000-0000-0000E50E0000}"/>
    <cellStyle name="Comma 6 4 5 2 4" xfId="3840" xr:uid="{00000000-0005-0000-0000-0000E60E0000}"/>
    <cellStyle name="Comma 6 4 5 2 5" xfId="3841" xr:uid="{00000000-0005-0000-0000-0000E70E0000}"/>
    <cellStyle name="Comma 6 4 5 2 6" xfId="3842" xr:uid="{00000000-0005-0000-0000-0000E80E0000}"/>
    <cellStyle name="Comma 6 4 5 3" xfId="3843" xr:uid="{00000000-0005-0000-0000-0000E90E0000}"/>
    <cellStyle name="Comma 6 4 5 3 2" xfId="3844" xr:uid="{00000000-0005-0000-0000-0000EA0E0000}"/>
    <cellStyle name="Comma 6 4 5 3 3" xfId="3845" xr:uid="{00000000-0005-0000-0000-0000EB0E0000}"/>
    <cellStyle name="Comma 6 4 5 3 4" xfId="3846" xr:uid="{00000000-0005-0000-0000-0000EC0E0000}"/>
    <cellStyle name="Comma 6 4 5 3 5" xfId="3847" xr:uid="{00000000-0005-0000-0000-0000ED0E0000}"/>
    <cellStyle name="Comma 6 4 5 3 6" xfId="3848" xr:uid="{00000000-0005-0000-0000-0000EE0E0000}"/>
    <cellStyle name="Comma 6 4 5 4" xfId="3849" xr:uid="{00000000-0005-0000-0000-0000EF0E0000}"/>
    <cellStyle name="Comma 6 4 5 5" xfId="3850" xr:uid="{00000000-0005-0000-0000-0000F00E0000}"/>
    <cellStyle name="Comma 6 4 5 6" xfId="3851" xr:uid="{00000000-0005-0000-0000-0000F10E0000}"/>
    <cellStyle name="Comma 6 4 5 7" xfId="3852" xr:uid="{00000000-0005-0000-0000-0000F20E0000}"/>
    <cellStyle name="Comma 6 4 5 8" xfId="3853" xr:uid="{00000000-0005-0000-0000-0000F30E0000}"/>
    <cellStyle name="Comma 6 4 6" xfId="3854" xr:uid="{00000000-0005-0000-0000-0000F40E0000}"/>
    <cellStyle name="Comma 6 4 6 2" xfId="3855" xr:uid="{00000000-0005-0000-0000-0000F50E0000}"/>
    <cellStyle name="Comma 6 4 6 2 2" xfId="3856" xr:uid="{00000000-0005-0000-0000-0000F60E0000}"/>
    <cellStyle name="Comma 6 4 6 2 3" xfId="3857" xr:uid="{00000000-0005-0000-0000-0000F70E0000}"/>
    <cellStyle name="Comma 6 4 6 2 4" xfId="3858" xr:uid="{00000000-0005-0000-0000-0000F80E0000}"/>
    <cellStyle name="Comma 6 4 6 2 5" xfId="3859" xr:uid="{00000000-0005-0000-0000-0000F90E0000}"/>
    <cellStyle name="Comma 6 4 6 2 6" xfId="3860" xr:uid="{00000000-0005-0000-0000-0000FA0E0000}"/>
    <cellStyle name="Comma 6 4 6 3" xfId="3861" xr:uid="{00000000-0005-0000-0000-0000FB0E0000}"/>
    <cellStyle name="Comma 6 4 6 3 2" xfId="3862" xr:uid="{00000000-0005-0000-0000-0000FC0E0000}"/>
    <cellStyle name="Comma 6 4 6 3 3" xfId="3863" xr:uid="{00000000-0005-0000-0000-0000FD0E0000}"/>
    <cellStyle name="Comma 6 4 6 3 4" xfId="3864" xr:uid="{00000000-0005-0000-0000-0000FE0E0000}"/>
    <cellStyle name="Comma 6 4 6 3 5" xfId="3865" xr:uid="{00000000-0005-0000-0000-0000FF0E0000}"/>
    <cellStyle name="Comma 6 4 6 3 6" xfId="3866" xr:uid="{00000000-0005-0000-0000-0000000F0000}"/>
    <cellStyle name="Comma 6 4 6 4" xfId="3867" xr:uid="{00000000-0005-0000-0000-0000010F0000}"/>
    <cellStyle name="Comma 6 4 6 5" xfId="3868" xr:uid="{00000000-0005-0000-0000-0000020F0000}"/>
    <cellStyle name="Comma 6 4 6 6" xfId="3869" xr:uid="{00000000-0005-0000-0000-0000030F0000}"/>
    <cellStyle name="Comma 6 4 6 7" xfId="3870" xr:uid="{00000000-0005-0000-0000-0000040F0000}"/>
    <cellStyle name="Comma 6 4 6 8" xfId="3871" xr:uid="{00000000-0005-0000-0000-0000050F0000}"/>
    <cellStyle name="Comma 6 4 7" xfId="3872" xr:uid="{00000000-0005-0000-0000-0000060F0000}"/>
    <cellStyle name="Comma 6 4 7 2" xfId="3873" xr:uid="{00000000-0005-0000-0000-0000070F0000}"/>
    <cellStyle name="Comma 6 4 7 3" xfId="3874" xr:uid="{00000000-0005-0000-0000-0000080F0000}"/>
    <cellStyle name="Comma 6 4 7 4" xfId="3875" xr:uid="{00000000-0005-0000-0000-0000090F0000}"/>
    <cellStyle name="Comma 6 4 7 5" xfId="3876" xr:uid="{00000000-0005-0000-0000-00000A0F0000}"/>
    <cellStyle name="Comma 6 4 7 6" xfId="3877" xr:uid="{00000000-0005-0000-0000-00000B0F0000}"/>
    <cellStyle name="Comma 6 4 8" xfId="3878" xr:uid="{00000000-0005-0000-0000-00000C0F0000}"/>
    <cellStyle name="Comma 6 4 8 2" xfId="3879" xr:uid="{00000000-0005-0000-0000-00000D0F0000}"/>
    <cellStyle name="Comma 6 4 8 3" xfId="3880" xr:uid="{00000000-0005-0000-0000-00000E0F0000}"/>
    <cellStyle name="Comma 6 4 8 4" xfId="3881" xr:uid="{00000000-0005-0000-0000-00000F0F0000}"/>
    <cellStyle name="Comma 6 4 8 5" xfId="3882" xr:uid="{00000000-0005-0000-0000-0000100F0000}"/>
    <cellStyle name="Comma 6 4 8 6" xfId="3883" xr:uid="{00000000-0005-0000-0000-0000110F0000}"/>
    <cellStyle name="Comma 6 4 9" xfId="3884" xr:uid="{00000000-0005-0000-0000-0000120F0000}"/>
    <cellStyle name="Comma 6 5" xfId="3885" xr:uid="{00000000-0005-0000-0000-0000130F0000}"/>
    <cellStyle name="Comma 6 6" xfId="3886" xr:uid="{00000000-0005-0000-0000-0000140F0000}"/>
    <cellStyle name="Comma 6 6 10" xfId="3887" xr:uid="{00000000-0005-0000-0000-0000150F0000}"/>
    <cellStyle name="Comma 6 6 11" xfId="3888" xr:uid="{00000000-0005-0000-0000-0000160F0000}"/>
    <cellStyle name="Comma 6 6 2" xfId="3889" xr:uid="{00000000-0005-0000-0000-0000170F0000}"/>
    <cellStyle name="Comma 6 6 2 2" xfId="3890" xr:uid="{00000000-0005-0000-0000-0000180F0000}"/>
    <cellStyle name="Comma 6 6 2 2 2" xfId="3891" xr:uid="{00000000-0005-0000-0000-0000190F0000}"/>
    <cellStyle name="Comma 6 6 2 2 3" xfId="3892" xr:uid="{00000000-0005-0000-0000-00001A0F0000}"/>
    <cellStyle name="Comma 6 6 2 2 4" xfId="3893" xr:uid="{00000000-0005-0000-0000-00001B0F0000}"/>
    <cellStyle name="Comma 6 6 2 2 5" xfId="3894" xr:uid="{00000000-0005-0000-0000-00001C0F0000}"/>
    <cellStyle name="Comma 6 6 2 2 6" xfId="3895" xr:uid="{00000000-0005-0000-0000-00001D0F0000}"/>
    <cellStyle name="Comma 6 6 2 3" xfId="3896" xr:uid="{00000000-0005-0000-0000-00001E0F0000}"/>
    <cellStyle name="Comma 6 6 2 3 2" xfId="3897" xr:uid="{00000000-0005-0000-0000-00001F0F0000}"/>
    <cellStyle name="Comma 6 6 2 3 3" xfId="3898" xr:uid="{00000000-0005-0000-0000-0000200F0000}"/>
    <cellStyle name="Comma 6 6 2 3 4" xfId="3899" xr:uid="{00000000-0005-0000-0000-0000210F0000}"/>
    <cellStyle name="Comma 6 6 2 3 5" xfId="3900" xr:uid="{00000000-0005-0000-0000-0000220F0000}"/>
    <cellStyle name="Comma 6 6 2 3 6" xfId="3901" xr:uid="{00000000-0005-0000-0000-0000230F0000}"/>
    <cellStyle name="Comma 6 6 2 4" xfId="3902" xr:uid="{00000000-0005-0000-0000-0000240F0000}"/>
    <cellStyle name="Comma 6 6 2 5" xfId="3903" xr:uid="{00000000-0005-0000-0000-0000250F0000}"/>
    <cellStyle name="Comma 6 6 2 6" xfId="3904" xr:uid="{00000000-0005-0000-0000-0000260F0000}"/>
    <cellStyle name="Comma 6 6 2 7" xfId="3905" xr:uid="{00000000-0005-0000-0000-0000270F0000}"/>
    <cellStyle name="Comma 6 6 2 8" xfId="3906" xr:uid="{00000000-0005-0000-0000-0000280F0000}"/>
    <cellStyle name="Comma 6 6 3" xfId="3907" xr:uid="{00000000-0005-0000-0000-0000290F0000}"/>
    <cellStyle name="Comma 6 6 3 2" xfId="3908" xr:uid="{00000000-0005-0000-0000-00002A0F0000}"/>
    <cellStyle name="Comma 6 6 3 2 2" xfId="3909" xr:uid="{00000000-0005-0000-0000-00002B0F0000}"/>
    <cellStyle name="Comma 6 6 3 2 3" xfId="3910" xr:uid="{00000000-0005-0000-0000-00002C0F0000}"/>
    <cellStyle name="Comma 6 6 3 2 4" xfId="3911" xr:uid="{00000000-0005-0000-0000-00002D0F0000}"/>
    <cellStyle name="Comma 6 6 3 2 5" xfId="3912" xr:uid="{00000000-0005-0000-0000-00002E0F0000}"/>
    <cellStyle name="Comma 6 6 3 2 6" xfId="3913" xr:uid="{00000000-0005-0000-0000-00002F0F0000}"/>
    <cellStyle name="Comma 6 6 3 3" xfId="3914" xr:uid="{00000000-0005-0000-0000-0000300F0000}"/>
    <cellStyle name="Comma 6 6 3 3 2" xfId="3915" xr:uid="{00000000-0005-0000-0000-0000310F0000}"/>
    <cellStyle name="Comma 6 6 3 3 3" xfId="3916" xr:uid="{00000000-0005-0000-0000-0000320F0000}"/>
    <cellStyle name="Comma 6 6 3 3 4" xfId="3917" xr:uid="{00000000-0005-0000-0000-0000330F0000}"/>
    <cellStyle name="Comma 6 6 3 3 5" xfId="3918" xr:uid="{00000000-0005-0000-0000-0000340F0000}"/>
    <cellStyle name="Comma 6 6 3 3 6" xfId="3919" xr:uid="{00000000-0005-0000-0000-0000350F0000}"/>
    <cellStyle name="Comma 6 6 3 4" xfId="3920" xr:uid="{00000000-0005-0000-0000-0000360F0000}"/>
    <cellStyle name="Comma 6 6 3 5" xfId="3921" xr:uid="{00000000-0005-0000-0000-0000370F0000}"/>
    <cellStyle name="Comma 6 6 3 6" xfId="3922" xr:uid="{00000000-0005-0000-0000-0000380F0000}"/>
    <cellStyle name="Comma 6 6 3 7" xfId="3923" xr:uid="{00000000-0005-0000-0000-0000390F0000}"/>
    <cellStyle name="Comma 6 6 3 8" xfId="3924" xr:uid="{00000000-0005-0000-0000-00003A0F0000}"/>
    <cellStyle name="Comma 6 6 4" xfId="3925" xr:uid="{00000000-0005-0000-0000-00003B0F0000}"/>
    <cellStyle name="Comma 6 6 4 2" xfId="3926" xr:uid="{00000000-0005-0000-0000-00003C0F0000}"/>
    <cellStyle name="Comma 6 6 4 2 2" xfId="3927" xr:uid="{00000000-0005-0000-0000-00003D0F0000}"/>
    <cellStyle name="Comma 6 6 4 2 3" xfId="3928" xr:uid="{00000000-0005-0000-0000-00003E0F0000}"/>
    <cellStyle name="Comma 6 6 4 2 4" xfId="3929" xr:uid="{00000000-0005-0000-0000-00003F0F0000}"/>
    <cellStyle name="Comma 6 6 4 2 5" xfId="3930" xr:uid="{00000000-0005-0000-0000-0000400F0000}"/>
    <cellStyle name="Comma 6 6 4 2 6" xfId="3931" xr:uid="{00000000-0005-0000-0000-0000410F0000}"/>
    <cellStyle name="Comma 6 6 4 3" xfId="3932" xr:uid="{00000000-0005-0000-0000-0000420F0000}"/>
    <cellStyle name="Comma 6 6 4 3 2" xfId="3933" xr:uid="{00000000-0005-0000-0000-0000430F0000}"/>
    <cellStyle name="Comma 6 6 4 3 3" xfId="3934" xr:uid="{00000000-0005-0000-0000-0000440F0000}"/>
    <cellStyle name="Comma 6 6 4 3 4" xfId="3935" xr:uid="{00000000-0005-0000-0000-0000450F0000}"/>
    <cellStyle name="Comma 6 6 4 3 5" xfId="3936" xr:uid="{00000000-0005-0000-0000-0000460F0000}"/>
    <cellStyle name="Comma 6 6 4 3 6" xfId="3937" xr:uid="{00000000-0005-0000-0000-0000470F0000}"/>
    <cellStyle name="Comma 6 6 4 4" xfId="3938" xr:uid="{00000000-0005-0000-0000-0000480F0000}"/>
    <cellStyle name="Comma 6 6 4 5" xfId="3939" xr:uid="{00000000-0005-0000-0000-0000490F0000}"/>
    <cellStyle name="Comma 6 6 4 6" xfId="3940" xr:uid="{00000000-0005-0000-0000-00004A0F0000}"/>
    <cellStyle name="Comma 6 6 4 7" xfId="3941" xr:uid="{00000000-0005-0000-0000-00004B0F0000}"/>
    <cellStyle name="Comma 6 6 4 8" xfId="3942" xr:uid="{00000000-0005-0000-0000-00004C0F0000}"/>
    <cellStyle name="Comma 6 6 5" xfId="3943" xr:uid="{00000000-0005-0000-0000-00004D0F0000}"/>
    <cellStyle name="Comma 6 6 5 2" xfId="3944" xr:uid="{00000000-0005-0000-0000-00004E0F0000}"/>
    <cellStyle name="Comma 6 6 5 3" xfId="3945" xr:uid="{00000000-0005-0000-0000-00004F0F0000}"/>
    <cellStyle name="Comma 6 6 5 4" xfId="3946" xr:uid="{00000000-0005-0000-0000-0000500F0000}"/>
    <cellStyle name="Comma 6 6 5 5" xfId="3947" xr:uid="{00000000-0005-0000-0000-0000510F0000}"/>
    <cellStyle name="Comma 6 6 5 6" xfId="3948" xr:uid="{00000000-0005-0000-0000-0000520F0000}"/>
    <cellStyle name="Comma 6 6 6" xfId="3949" xr:uid="{00000000-0005-0000-0000-0000530F0000}"/>
    <cellStyle name="Comma 6 6 6 2" xfId="3950" xr:uid="{00000000-0005-0000-0000-0000540F0000}"/>
    <cellStyle name="Comma 6 6 6 3" xfId="3951" xr:uid="{00000000-0005-0000-0000-0000550F0000}"/>
    <cellStyle name="Comma 6 6 6 4" xfId="3952" xr:uid="{00000000-0005-0000-0000-0000560F0000}"/>
    <cellStyle name="Comma 6 6 6 5" xfId="3953" xr:uid="{00000000-0005-0000-0000-0000570F0000}"/>
    <cellStyle name="Comma 6 6 6 6" xfId="3954" xr:uid="{00000000-0005-0000-0000-0000580F0000}"/>
    <cellStyle name="Comma 6 6 7" xfId="3955" xr:uid="{00000000-0005-0000-0000-0000590F0000}"/>
    <cellStyle name="Comma 6 6 8" xfId="3956" xr:uid="{00000000-0005-0000-0000-00005A0F0000}"/>
    <cellStyle name="Comma 6 6 9" xfId="3957" xr:uid="{00000000-0005-0000-0000-00005B0F0000}"/>
    <cellStyle name="Comma 6 7" xfId="3958" xr:uid="{00000000-0005-0000-0000-00005C0F0000}"/>
    <cellStyle name="Comma 6 8" xfId="3959" xr:uid="{00000000-0005-0000-0000-00005D0F0000}"/>
    <cellStyle name="Comma 6 8 2" xfId="3960" xr:uid="{00000000-0005-0000-0000-00005E0F0000}"/>
    <cellStyle name="Comma 6 8 2 2" xfId="3961" xr:uid="{00000000-0005-0000-0000-00005F0F0000}"/>
    <cellStyle name="Comma 6 8 2 3" xfId="3962" xr:uid="{00000000-0005-0000-0000-0000600F0000}"/>
    <cellStyle name="Comma 6 8 2 4" xfId="3963" xr:uid="{00000000-0005-0000-0000-0000610F0000}"/>
    <cellStyle name="Comma 6 8 2 5" xfId="3964" xr:uid="{00000000-0005-0000-0000-0000620F0000}"/>
    <cellStyle name="Comma 6 8 2 6" xfId="3965" xr:uid="{00000000-0005-0000-0000-0000630F0000}"/>
    <cellStyle name="Comma 6 8 3" xfId="3966" xr:uid="{00000000-0005-0000-0000-0000640F0000}"/>
    <cellStyle name="Comma 6 8 3 2" xfId="3967" xr:uid="{00000000-0005-0000-0000-0000650F0000}"/>
    <cellStyle name="Comma 6 8 3 3" xfId="3968" xr:uid="{00000000-0005-0000-0000-0000660F0000}"/>
    <cellStyle name="Comma 6 8 3 4" xfId="3969" xr:uid="{00000000-0005-0000-0000-0000670F0000}"/>
    <cellStyle name="Comma 6 8 3 5" xfId="3970" xr:uid="{00000000-0005-0000-0000-0000680F0000}"/>
    <cellStyle name="Comma 6 8 3 6" xfId="3971" xr:uid="{00000000-0005-0000-0000-0000690F0000}"/>
    <cellStyle name="Comma 6 8 4" xfId="3972" xr:uid="{00000000-0005-0000-0000-00006A0F0000}"/>
    <cellStyle name="Comma 6 8 5" xfId="3973" xr:uid="{00000000-0005-0000-0000-00006B0F0000}"/>
    <cellStyle name="Comma 6 8 6" xfId="3974" xr:uid="{00000000-0005-0000-0000-00006C0F0000}"/>
    <cellStyle name="Comma 6 8 7" xfId="3975" xr:uid="{00000000-0005-0000-0000-00006D0F0000}"/>
    <cellStyle name="Comma 6 8 8" xfId="3976" xr:uid="{00000000-0005-0000-0000-00006E0F0000}"/>
    <cellStyle name="Comma 6 9" xfId="3977" xr:uid="{00000000-0005-0000-0000-00006F0F0000}"/>
    <cellStyle name="Comma 6 9 2" xfId="3978" xr:uid="{00000000-0005-0000-0000-0000700F0000}"/>
    <cellStyle name="Comma 6 9 2 2" xfId="3979" xr:uid="{00000000-0005-0000-0000-0000710F0000}"/>
    <cellStyle name="Comma 6 9 2 3" xfId="3980" xr:uid="{00000000-0005-0000-0000-0000720F0000}"/>
    <cellStyle name="Comma 6 9 2 4" xfId="3981" xr:uid="{00000000-0005-0000-0000-0000730F0000}"/>
    <cellStyle name="Comma 6 9 2 5" xfId="3982" xr:uid="{00000000-0005-0000-0000-0000740F0000}"/>
    <cellStyle name="Comma 6 9 2 6" xfId="3983" xr:uid="{00000000-0005-0000-0000-0000750F0000}"/>
    <cellStyle name="Comma 6 9 3" xfId="3984" xr:uid="{00000000-0005-0000-0000-0000760F0000}"/>
    <cellStyle name="Comma 6 9 3 2" xfId="3985" xr:uid="{00000000-0005-0000-0000-0000770F0000}"/>
    <cellStyle name="Comma 6 9 3 3" xfId="3986" xr:uid="{00000000-0005-0000-0000-0000780F0000}"/>
    <cellStyle name="Comma 6 9 3 4" xfId="3987" xr:uid="{00000000-0005-0000-0000-0000790F0000}"/>
    <cellStyle name="Comma 6 9 3 5" xfId="3988" xr:uid="{00000000-0005-0000-0000-00007A0F0000}"/>
    <cellStyle name="Comma 6 9 3 6" xfId="3989" xr:uid="{00000000-0005-0000-0000-00007B0F0000}"/>
    <cellStyle name="Comma 6 9 4" xfId="3990" xr:uid="{00000000-0005-0000-0000-00007C0F0000}"/>
    <cellStyle name="Comma 6 9 5" xfId="3991" xr:uid="{00000000-0005-0000-0000-00007D0F0000}"/>
    <cellStyle name="Comma 6 9 6" xfId="3992" xr:uid="{00000000-0005-0000-0000-00007E0F0000}"/>
    <cellStyle name="Comma 6 9 7" xfId="3993" xr:uid="{00000000-0005-0000-0000-00007F0F0000}"/>
    <cellStyle name="Comma 6 9 8" xfId="3994" xr:uid="{00000000-0005-0000-0000-0000800F0000}"/>
    <cellStyle name="Comma 7" xfId="3995" xr:uid="{00000000-0005-0000-0000-0000810F0000}"/>
    <cellStyle name="Comma 7 2" xfId="3996" xr:uid="{00000000-0005-0000-0000-0000820F0000}"/>
    <cellStyle name="Comma 7 2 10" xfId="3997" xr:uid="{00000000-0005-0000-0000-0000830F0000}"/>
    <cellStyle name="Comma 7 2 11" xfId="3998" xr:uid="{00000000-0005-0000-0000-0000840F0000}"/>
    <cellStyle name="Comma 7 2 12" xfId="3999" xr:uid="{00000000-0005-0000-0000-0000850F0000}"/>
    <cellStyle name="Comma 7 2 2" xfId="4000" xr:uid="{00000000-0005-0000-0000-0000860F0000}"/>
    <cellStyle name="Comma 7 2 3" xfId="4001" xr:uid="{00000000-0005-0000-0000-0000870F0000}"/>
    <cellStyle name="Comma 7 2 3 2" xfId="4002" xr:uid="{00000000-0005-0000-0000-0000880F0000}"/>
    <cellStyle name="Comma 7 2 3 2 2" xfId="4003" xr:uid="{00000000-0005-0000-0000-0000890F0000}"/>
    <cellStyle name="Comma 7 2 3 2 3" xfId="4004" xr:uid="{00000000-0005-0000-0000-00008A0F0000}"/>
    <cellStyle name="Comma 7 2 3 2 4" xfId="4005" xr:uid="{00000000-0005-0000-0000-00008B0F0000}"/>
    <cellStyle name="Comma 7 2 3 2 5" xfId="4006" xr:uid="{00000000-0005-0000-0000-00008C0F0000}"/>
    <cellStyle name="Comma 7 2 3 2 6" xfId="4007" xr:uid="{00000000-0005-0000-0000-00008D0F0000}"/>
    <cellStyle name="Comma 7 2 3 3" xfId="4008" xr:uid="{00000000-0005-0000-0000-00008E0F0000}"/>
    <cellStyle name="Comma 7 2 3 3 2" xfId="4009" xr:uid="{00000000-0005-0000-0000-00008F0F0000}"/>
    <cellStyle name="Comma 7 2 3 3 3" xfId="4010" xr:uid="{00000000-0005-0000-0000-0000900F0000}"/>
    <cellStyle name="Comma 7 2 3 3 4" xfId="4011" xr:uid="{00000000-0005-0000-0000-0000910F0000}"/>
    <cellStyle name="Comma 7 2 3 3 5" xfId="4012" xr:uid="{00000000-0005-0000-0000-0000920F0000}"/>
    <cellStyle name="Comma 7 2 3 3 6" xfId="4013" xr:uid="{00000000-0005-0000-0000-0000930F0000}"/>
    <cellStyle name="Comma 7 2 3 4" xfId="4014" xr:uid="{00000000-0005-0000-0000-0000940F0000}"/>
    <cellStyle name="Comma 7 2 3 5" xfId="4015" xr:uid="{00000000-0005-0000-0000-0000950F0000}"/>
    <cellStyle name="Comma 7 2 3 6" xfId="4016" xr:uid="{00000000-0005-0000-0000-0000960F0000}"/>
    <cellStyle name="Comma 7 2 3 7" xfId="4017" xr:uid="{00000000-0005-0000-0000-0000970F0000}"/>
    <cellStyle name="Comma 7 2 3 8" xfId="4018" xr:uid="{00000000-0005-0000-0000-0000980F0000}"/>
    <cellStyle name="Comma 7 2 4" xfId="4019" xr:uid="{00000000-0005-0000-0000-0000990F0000}"/>
    <cellStyle name="Comma 7 2 4 2" xfId="4020" xr:uid="{00000000-0005-0000-0000-00009A0F0000}"/>
    <cellStyle name="Comma 7 2 4 2 2" xfId="4021" xr:uid="{00000000-0005-0000-0000-00009B0F0000}"/>
    <cellStyle name="Comma 7 2 4 2 3" xfId="4022" xr:uid="{00000000-0005-0000-0000-00009C0F0000}"/>
    <cellStyle name="Comma 7 2 4 2 4" xfId="4023" xr:uid="{00000000-0005-0000-0000-00009D0F0000}"/>
    <cellStyle name="Comma 7 2 4 2 5" xfId="4024" xr:uid="{00000000-0005-0000-0000-00009E0F0000}"/>
    <cellStyle name="Comma 7 2 4 2 6" xfId="4025" xr:uid="{00000000-0005-0000-0000-00009F0F0000}"/>
    <cellStyle name="Comma 7 2 4 3" xfId="4026" xr:uid="{00000000-0005-0000-0000-0000A00F0000}"/>
    <cellStyle name="Comma 7 2 4 3 2" xfId="4027" xr:uid="{00000000-0005-0000-0000-0000A10F0000}"/>
    <cellStyle name="Comma 7 2 4 3 3" xfId="4028" xr:uid="{00000000-0005-0000-0000-0000A20F0000}"/>
    <cellStyle name="Comma 7 2 4 3 4" xfId="4029" xr:uid="{00000000-0005-0000-0000-0000A30F0000}"/>
    <cellStyle name="Comma 7 2 4 3 5" xfId="4030" xr:uid="{00000000-0005-0000-0000-0000A40F0000}"/>
    <cellStyle name="Comma 7 2 4 3 6" xfId="4031" xr:uid="{00000000-0005-0000-0000-0000A50F0000}"/>
    <cellStyle name="Comma 7 2 4 4" xfId="4032" xr:uid="{00000000-0005-0000-0000-0000A60F0000}"/>
    <cellStyle name="Comma 7 2 4 5" xfId="4033" xr:uid="{00000000-0005-0000-0000-0000A70F0000}"/>
    <cellStyle name="Comma 7 2 4 6" xfId="4034" xr:uid="{00000000-0005-0000-0000-0000A80F0000}"/>
    <cellStyle name="Comma 7 2 4 7" xfId="4035" xr:uid="{00000000-0005-0000-0000-0000A90F0000}"/>
    <cellStyle name="Comma 7 2 4 8" xfId="4036" xr:uid="{00000000-0005-0000-0000-0000AA0F0000}"/>
    <cellStyle name="Comma 7 2 5" xfId="4037" xr:uid="{00000000-0005-0000-0000-0000AB0F0000}"/>
    <cellStyle name="Comma 7 2 5 2" xfId="4038" xr:uid="{00000000-0005-0000-0000-0000AC0F0000}"/>
    <cellStyle name="Comma 7 2 5 2 2" xfId="4039" xr:uid="{00000000-0005-0000-0000-0000AD0F0000}"/>
    <cellStyle name="Comma 7 2 5 2 3" xfId="4040" xr:uid="{00000000-0005-0000-0000-0000AE0F0000}"/>
    <cellStyle name="Comma 7 2 5 2 4" xfId="4041" xr:uid="{00000000-0005-0000-0000-0000AF0F0000}"/>
    <cellStyle name="Comma 7 2 5 2 5" xfId="4042" xr:uid="{00000000-0005-0000-0000-0000B00F0000}"/>
    <cellStyle name="Comma 7 2 5 2 6" xfId="4043" xr:uid="{00000000-0005-0000-0000-0000B10F0000}"/>
    <cellStyle name="Comma 7 2 5 3" xfId="4044" xr:uid="{00000000-0005-0000-0000-0000B20F0000}"/>
    <cellStyle name="Comma 7 2 5 3 2" xfId="4045" xr:uid="{00000000-0005-0000-0000-0000B30F0000}"/>
    <cellStyle name="Comma 7 2 5 3 3" xfId="4046" xr:uid="{00000000-0005-0000-0000-0000B40F0000}"/>
    <cellStyle name="Comma 7 2 5 3 4" xfId="4047" xr:uid="{00000000-0005-0000-0000-0000B50F0000}"/>
    <cellStyle name="Comma 7 2 5 3 5" xfId="4048" xr:uid="{00000000-0005-0000-0000-0000B60F0000}"/>
    <cellStyle name="Comma 7 2 5 3 6" xfId="4049" xr:uid="{00000000-0005-0000-0000-0000B70F0000}"/>
    <cellStyle name="Comma 7 2 5 4" xfId="4050" xr:uid="{00000000-0005-0000-0000-0000B80F0000}"/>
    <cellStyle name="Comma 7 2 5 5" xfId="4051" xr:uid="{00000000-0005-0000-0000-0000B90F0000}"/>
    <cellStyle name="Comma 7 2 5 6" xfId="4052" xr:uid="{00000000-0005-0000-0000-0000BA0F0000}"/>
    <cellStyle name="Comma 7 2 5 7" xfId="4053" xr:uid="{00000000-0005-0000-0000-0000BB0F0000}"/>
    <cellStyle name="Comma 7 2 5 8" xfId="4054" xr:uid="{00000000-0005-0000-0000-0000BC0F0000}"/>
    <cellStyle name="Comma 7 2 6" xfId="4055" xr:uid="{00000000-0005-0000-0000-0000BD0F0000}"/>
    <cellStyle name="Comma 7 2 6 2" xfId="4056" xr:uid="{00000000-0005-0000-0000-0000BE0F0000}"/>
    <cellStyle name="Comma 7 2 6 3" xfId="4057" xr:uid="{00000000-0005-0000-0000-0000BF0F0000}"/>
    <cellStyle name="Comma 7 2 6 4" xfId="4058" xr:uid="{00000000-0005-0000-0000-0000C00F0000}"/>
    <cellStyle name="Comma 7 2 6 5" xfId="4059" xr:uid="{00000000-0005-0000-0000-0000C10F0000}"/>
    <cellStyle name="Comma 7 2 6 6" xfId="4060" xr:uid="{00000000-0005-0000-0000-0000C20F0000}"/>
    <cellStyle name="Comma 7 2 7" xfId="4061" xr:uid="{00000000-0005-0000-0000-0000C30F0000}"/>
    <cellStyle name="Comma 7 2 7 2" xfId="4062" xr:uid="{00000000-0005-0000-0000-0000C40F0000}"/>
    <cellStyle name="Comma 7 2 7 3" xfId="4063" xr:uid="{00000000-0005-0000-0000-0000C50F0000}"/>
    <cellStyle name="Comma 7 2 7 4" xfId="4064" xr:uid="{00000000-0005-0000-0000-0000C60F0000}"/>
    <cellStyle name="Comma 7 2 7 5" xfId="4065" xr:uid="{00000000-0005-0000-0000-0000C70F0000}"/>
    <cellStyle name="Comma 7 2 7 6" xfId="4066" xr:uid="{00000000-0005-0000-0000-0000C80F0000}"/>
    <cellStyle name="Comma 7 2 8" xfId="4067" xr:uid="{00000000-0005-0000-0000-0000C90F0000}"/>
    <cellStyle name="Comma 7 2 9" xfId="4068" xr:uid="{00000000-0005-0000-0000-0000CA0F0000}"/>
    <cellStyle name="Comma 7 3" xfId="4069" xr:uid="{00000000-0005-0000-0000-0000CB0F0000}"/>
    <cellStyle name="Comma 7 3 10" xfId="4070" xr:uid="{00000000-0005-0000-0000-0000CC0F0000}"/>
    <cellStyle name="Comma 7 3 11" xfId="4071" xr:uid="{00000000-0005-0000-0000-0000CD0F0000}"/>
    <cellStyle name="Comma 7 3 2" xfId="4072" xr:uid="{00000000-0005-0000-0000-0000CE0F0000}"/>
    <cellStyle name="Comma 7 3 2 2" xfId="4073" xr:uid="{00000000-0005-0000-0000-0000CF0F0000}"/>
    <cellStyle name="Comma 7 3 2 2 2" xfId="4074" xr:uid="{00000000-0005-0000-0000-0000D00F0000}"/>
    <cellStyle name="Comma 7 3 2 2 3" xfId="4075" xr:uid="{00000000-0005-0000-0000-0000D10F0000}"/>
    <cellStyle name="Comma 7 3 2 2 4" xfId="4076" xr:uid="{00000000-0005-0000-0000-0000D20F0000}"/>
    <cellStyle name="Comma 7 3 2 2 5" xfId="4077" xr:uid="{00000000-0005-0000-0000-0000D30F0000}"/>
    <cellStyle name="Comma 7 3 2 2 6" xfId="4078" xr:uid="{00000000-0005-0000-0000-0000D40F0000}"/>
    <cellStyle name="Comma 7 3 2 3" xfId="4079" xr:uid="{00000000-0005-0000-0000-0000D50F0000}"/>
    <cellStyle name="Comma 7 3 2 3 2" xfId="4080" xr:uid="{00000000-0005-0000-0000-0000D60F0000}"/>
    <cellStyle name="Comma 7 3 2 3 3" xfId="4081" xr:uid="{00000000-0005-0000-0000-0000D70F0000}"/>
    <cellStyle name="Comma 7 3 2 3 4" xfId="4082" xr:uid="{00000000-0005-0000-0000-0000D80F0000}"/>
    <cellStyle name="Comma 7 3 2 3 5" xfId="4083" xr:uid="{00000000-0005-0000-0000-0000D90F0000}"/>
    <cellStyle name="Comma 7 3 2 3 6" xfId="4084" xr:uid="{00000000-0005-0000-0000-0000DA0F0000}"/>
    <cellStyle name="Comma 7 3 2 4" xfId="4085" xr:uid="{00000000-0005-0000-0000-0000DB0F0000}"/>
    <cellStyle name="Comma 7 3 2 5" xfId="4086" xr:uid="{00000000-0005-0000-0000-0000DC0F0000}"/>
    <cellStyle name="Comma 7 3 2 6" xfId="4087" xr:uid="{00000000-0005-0000-0000-0000DD0F0000}"/>
    <cellStyle name="Comma 7 3 2 7" xfId="4088" xr:uid="{00000000-0005-0000-0000-0000DE0F0000}"/>
    <cellStyle name="Comma 7 3 2 8" xfId="4089" xr:uid="{00000000-0005-0000-0000-0000DF0F0000}"/>
    <cellStyle name="Comma 7 3 3" xfId="4090" xr:uid="{00000000-0005-0000-0000-0000E00F0000}"/>
    <cellStyle name="Comma 7 3 3 2" xfId="4091" xr:uid="{00000000-0005-0000-0000-0000E10F0000}"/>
    <cellStyle name="Comma 7 3 3 2 2" xfId="4092" xr:uid="{00000000-0005-0000-0000-0000E20F0000}"/>
    <cellStyle name="Comma 7 3 3 2 3" xfId="4093" xr:uid="{00000000-0005-0000-0000-0000E30F0000}"/>
    <cellStyle name="Comma 7 3 3 2 4" xfId="4094" xr:uid="{00000000-0005-0000-0000-0000E40F0000}"/>
    <cellStyle name="Comma 7 3 3 2 5" xfId="4095" xr:uid="{00000000-0005-0000-0000-0000E50F0000}"/>
    <cellStyle name="Comma 7 3 3 2 6" xfId="4096" xr:uid="{00000000-0005-0000-0000-0000E60F0000}"/>
    <cellStyle name="Comma 7 3 3 3" xfId="4097" xr:uid="{00000000-0005-0000-0000-0000E70F0000}"/>
    <cellStyle name="Comma 7 3 3 3 2" xfId="4098" xr:uid="{00000000-0005-0000-0000-0000E80F0000}"/>
    <cellStyle name="Comma 7 3 3 3 3" xfId="4099" xr:uid="{00000000-0005-0000-0000-0000E90F0000}"/>
    <cellStyle name="Comma 7 3 3 3 4" xfId="4100" xr:uid="{00000000-0005-0000-0000-0000EA0F0000}"/>
    <cellStyle name="Comma 7 3 3 3 5" xfId="4101" xr:uid="{00000000-0005-0000-0000-0000EB0F0000}"/>
    <cellStyle name="Comma 7 3 3 3 6" xfId="4102" xr:uid="{00000000-0005-0000-0000-0000EC0F0000}"/>
    <cellStyle name="Comma 7 3 3 4" xfId="4103" xr:uid="{00000000-0005-0000-0000-0000ED0F0000}"/>
    <cellStyle name="Comma 7 3 3 5" xfId="4104" xr:uid="{00000000-0005-0000-0000-0000EE0F0000}"/>
    <cellStyle name="Comma 7 3 3 6" xfId="4105" xr:uid="{00000000-0005-0000-0000-0000EF0F0000}"/>
    <cellStyle name="Comma 7 3 3 7" xfId="4106" xr:uid="{00000000-0005-0000-0000-0000F00F0000}"/>
    <cellStyle name="Comma 7 3 3 8" xfId="4107" xr:uid="{00000000-0005-0000-0000-0000F10F0000}"/>
    <cellStyle name="Comma 7 3 4" xfId="4108" xr:uid="{00000000-0005-0000-0000-0000F20F0000}"/>
    <cellStyle name="Comma 7 3 4 2" xfId="4109" xr:uid="{00000000-0005-0000-0000-0000F30F0000}"/>
    <cellStyle name="Comma 7 3 4 2 2" xfId="4110" xr:uid="{00000000-0005-0000-0000-0000F40F0000}"/>
    <cellStyle name="Comma 7 3 4 2 3" xfId="4111" xr:uid="{00000000-0005-0000-0000-0000F50F0000}"/>
    <cellStyle name="Comma 7 3 4 2 4" xfId="4112" xr:uid="{00000000-0005-0000-0000-0000F60F0000}"/>
    <cellStyle name="Comma 7 3 4 2 5" xfId="4113" xr:uid="{00000000-0005-0000-0000-0000F70F0000}"/>
    <cellStyle name="Comma 7 3 4 2 6" xfId="4114" xr:uid="{00000000-0005-0000-0000-0000F80F0000}"/>
    <cellStyle name="Comma 7 3 4 3" xfId="4115" xr:uid="{00000000-0005-0000-0000-0000F90F0000}"/>
    <cellStyle name="Comma 7 3 4 3 2" xfId="4116" xr:uid="{00000000-0005-0000-0000-0000FA0F0000}"/>
    <cellStyle name="Comma 7 3 4 3 3" xfId="4117" xr:uid="{00000000-0005-0000-0000-0000FB0F0000}"/>
    <cellStyle name="Comma 7 3 4 3 4" xfId="4118" xr:uid="{00000000-0005-0000-0000-0000FC0F0000}"/>
    <cellStyle name="Comma 7 3 4 3 5" xfId="4119" xr:uid="{00000000-0005-0000-0000-0000FD0F0000}"/>
    <cellStyle name="Comma 7 3 4 3 6" xfId="4120" xr:uid="{00000000-0005-0000-0000-0000FE0F0000}"/>
    <cellStyle name="Comma 7 3 4 4" xfId="4121" xr:uid="{00000000-0005-0000-0000-0000FF0F0000}"/>
    <cellStyle name="Comma 7 3 4 5" xfId="4122" xr:uid="{00000000-0005-0000-0000-000000100000}"/>
    <cellStyle name="Comma 7 3 4 6" xfId="4123" xr:uid="{00000000-0005-0000-0000-000001100000}"/>
    <cellStyle name="Comma 7 3 4 7" xfId="4124" xr:uid="{00000000-0005-0000-0000-000002100000}"/>
    <cellStyle name="Comma 7 3 4 8" xfId="4125" xr:uid="{00000000-0005-0000-0000-000003100000}"/>
    <cellStyle name="Comma 7 3 5" xfId="4126" xr:uid="{00000000-0005-0000-0000-000004100000}"/>
    <cellStyle name="Comma 7 3 5 2" xfId="4127" xr:uid="{00000000-0005-0000-0000-000005100000}"/>
    <cellStyle name="Comma 7 3 5 3" xfId="4128" xr:uid="{00000000-0005-0000-0000-000006100000}"/>
    <cellStyle name="Comma 7 3 5 4" xfId="4129" xr:uid="{00000000-0005-0000-0000-000007100000}"/>
    <cellStyle name="Comma 7 3 5 5" xfId="4130" xr:uid="{00000000-0005-0000-0000-000008100000}"/>
    <cellStyle name="Comma 7 3 5 6" xfId="4131" xr:uid="{00000000-0005-0000-0000-000009100000}"/>
    <cellStyle name="Comma 7 3 6" xfId="4132" xr:uid="{00000000-0005-0000-0000-00000A100000}"/>
    <cellStyle name="Comma 7 3 6 2" xfId="4133" xr:uid="{00000000-0005-0000-0000-00000B100000}"/>
    <cellStyle name="Comma 7 3 6 3" xfId="4134" xr:uid="{00000000-0005-0000-0000-00000C100000}"/>
    <cellStyle name="Comma 7 3 6 4" xfId="4135" xr:uid="{00000000-0005-0000-0000-00000D100000}"/>
    <cellStyle name="Comma 7 3 6 5" xfId="4136" xr:uid="{00000000-0005-0000-0000-00000E100000}"/>
    <cellStyle name="Comma 7 3 6 6" xfId="4137" xr:uid="{00000000-0005-0000-0000-00000F100000}"/>
    <cellStyle name="Comma 7 3 7" xfId="4138" xr:uid="{00000000-0005-0000-0000-000010100000}"/>
    <cellStyle name="Comma 7 3 8" xfId="4139" xr:uid="{00000000-0005-0000-0000-000011100000}"/>
    <cellStyle name="Comma 7 3 9" xfId="4140" xr:uid="{00000000-0005-0000-0000-000012100000}"/>
    <cellStyle name="Comma 7 4" xfId="4141" xr:uid="{00000000-0005-0000-0000-000013100000}"/>
    <cellStyle name="Comma 7 4 10" xfId="4142" xr:uid="{00000000-0005-0000-0000-000014100000}"/>
    <cellStyle name="Comma 7 4 11" xfId="4143" xr:uid="{00000000-0005-0000-0000-000015100000}"/>
    <cellStyle name="Comma 7 4 2" xfId="4144" xr:uid="{00000000-0005-0000-0000-000016100000}"/>
    <cellStyle name="Comma 7 4 2 2" xfId="4145" xr:uid="{00000000-0005-0000-0000-000017100000}"/>
    <cellStyle name="Comma 7 4 2 2 2" xfId="4146" xr:uid="{00000000-0005-0000-0000-000018100000}"/>
    <cellStyle name="Comma 7 4 2 2 3" xfId="4147" xr:uid="{00000000-0005-0000-0000-000019100000}"/>
    <cellStyle name="Comma 7 4 2 2 4" xfId="4148" xr:uid="{00000000-0005-0000-0000-00001A100000}"/>
    <cellStyle name="Comma 7 4 2 2 5" xfId="4149" xr:uid="{00000000-0005-0000-0000-00001B100000}"/>
    <cellStyle name="Comma 7 4 2 2 6" xfId="4150" xr:uid="{00000000-0005-0000-0000-00001C100000}"/>
    <cellStyle name="Comma 7 4 2 3" xfId="4151" xr:uid="{00000000-0005-0000-0000-00001D100000}"/>
    <cellStyle name="Comma 7 4 2 3 2" xfId="4152" xr:uid="{00000000-0005-0000-0000-00001E100000}"/>
    <cellStyle name="Comma 7 4 2 3 3" xfId="4153" xr:uid="{00000000-0005-0000-0000-00001F100000}"/>
    <cellStyle name="Comma 7 4 2 3 4" xfId="4154" xr:uid="{00000000-0005-0000-0000-000020100000}"/>
    <cellStyle name="Comma 7 4 2 3 5" xfId="4155" xr:uid="{00000000-0005-0000-0000-000021100000}"/>
    <cellStyle name="Comma 7 4 2 3 6" xfId="4156" xr:uid="{00000000-0005-0000-0000-000022100000}"/>
    <cellStyle name="Comma 7 4 2 4" xfId="4157" xr:uid="{00000000-0005-0000-0000-000023100000}"/>
    <cellStyle name="Comma 7 4 2 5" xfId="4158" xr:uid="{00000000-0005-0000-0000-000024100000}"/>
    <cellStyle name="Comma 7 4 2 6" xfId="4159" xr:uid="{00000000-0005-0000-0000-000025100000}"/>
    <cellStyle name="Comma 7 4 2 7" xfId="4160" xr:uid="{00000000-0005-0000-0000-000026100000}"/>
    <cellStyle name="Comma 7 4 2 8" xfId="4161" xr:uid="{00000000-0005-0000-0000-000027100000}"/>
    <cellStyle name="Comma 7 4 3" xfId="4162" xr:uid="{00000000-0005-0000-0000-000028100000}"/>
    <cellStyle name="Comma 7 4 3 2" xfId="4163" xr:uid="{00000000-0005-0000-0000-000029100000}"/>
    <cellStyle name="Comma 7 4 3 2 2" xfId="4164" xr:uid="{00000000-0005-0000-0000-00002A100000}"/>
    <cellStyle name="Comma 7 4 3 2 3" xfId="4165" xr:uid="{00000000-0005-0000-0000-00002B100000}"/>
    <cellStyle name="Comma 7 4 3 2 4" xfId="4166" xr:uid="{00000000-0005-0000-0000-00002C100000}"/>
    <cellStyle name="Comma 7 4 3 2 5" xfId="4167" xr:uid="{00000000-0005-0000-0000-00002D100000}"/>
    <cellStyle name="Comma 7 4 3 2 6" xfId="4168" xr:uid="{00000000-0005-0000-0000-00002E100000}"/>
    <cellStyle name="Comma 7 4 3 3" xfId="4169" xr:uid="{00000000-0005-0000-0000-00002F100000}"/>
    <cellStyle name="Comma 7 4 3 3 2" xfId="4170" xr:uid="{00000000-0005-0000-0000-000030100000}"/>
    <cellStyle name="Comma 7 4 3 3 3" xfId="4171" xr:uid="{00000000-0005-0000-0000-000031100000}"/>
    <cellStyle name="Comma 7 4 3 3 4" xfId="4172" xr:uid="{00000000-0005-0000-0000-000032100000}"/>
    <cellStyle name="Comma 7 4 3 3 5" xfId="4173" xr:uid="{00000000-0005-0000-0000-000033100000}"/>
    <cellStyle name="Comma 7 4 3 3 6" xfId="4174" xr:uid="{00000000-0005-0000-0000-000034100000}"/>
    <cellStyle name="Comma 7 4 3 4" xfId="4175" xr:uid="{00000000-0005-0000-0000-000035100000}"/>
    <cellStyle name="Comma 7 4 3 5" xfId="4176" xr:uid="{00000000-0005-0000-0000-000036100000}"/>
    <cellStyle name="Comma 7 4 3 6" xfId="4177" xr:uid="{00000000-0005-0000-0000-000037100000}"/>
    <cellStyle name="Comma 7 4 3 7" xfId="4178" xr:uid="{00000000-0005-0000-0000-000038100000}"/>
    <cellStyle name="Comma 7 4 3 8" xfId="4179" xr:uid="{00000000-0005-0000-0000-000039100000}"/>
    <cellStyle name="Comma 7 4 4" xfId="4180" xr:uid="{00000000-0005-0000-0000-00003A100000}"/>
    <cellStyle name="Comma 7 4 4 2" xfId="4181" xr:uid="{00000000-0005-0000-0000-00003B100000}"/>
    <cellStyle name="Comma 7 4 4 2 2" xfId="4182" xr:uid="{00000000-0005-0000-0000-00003C100000}"/>
    <cellStyle name="Comma 7 4 4 2 3" xfId="4183" xr:uid="{00000000-0005-0000-0000-00003D100000}"/>
    <cellStyle name="Comma 7 4 4 2 4" xfId="4184" xr:uid="{00000000-0005-0000-0000-00003E100000}"/>
    <cellStyle name="Comma 7 4 4 2 5" xfId="4185" xr:uid="{00000000-0005-0000-0000-00003F100000}"/>
    <cellStyle name="Comma 7 4 4 2 6" xfId="4186" xr:uid="{00000000-0005-0000-0000-000040100000}"/>
    <cellStyle name="Comma 7 4 4 3" xfId="4187" xr:uid="{00000000-0005-0000-0000-000041100000}"/>
    <cellStyle name="Comma 7 4 4 3 2" xfId="4188" xr:uid="{00000000-0005-0000-0000-000042100000}"/>
    <cellStyle name="Comma 7 4 4 3 3" xfId="4189" xr:uid="{00000000-0005-0000-0000-000043100000}"/>
    <cellStyle name="Comma 7 4 4 3 4" xfId="4190" xr:uid="{00000000-0005-0000-0000-000044100000}"/>
    <cellStyle name="Comma 7 4 4 3 5" xfId="4191" xr:uid="{00000000-0005-0000-0000-000045100000}"/>
    <cellStyle name="Comma 7 4 4 3 6" xfId="4192" xr:uid="{00000000-0005-0000-0000-000046100000}"/>
    <cellStyle name="Comma 7 4 4 4" xfId="4193" xr:uid="{00000000-0005-0000-0000-000047100000}"/>
    <cellStyle name="Comma 7 4 4 5" xfId="4194" xr:uid="{00000000-0005-0000-0000-000048100000}"/>
    <cellStyle name="Comma 7 4 4 6" xfId="4195" xr:uid="{00000000-0005-0000-0000-000049100000}"/>
    <cellStyle name="Comma 7 4 4 7" xfId="4196" xr:uid="{00000000-0005-0000-0000-00004A100000}"/>
    <cellStyle name="Comma 7 4 4 8" xfId="4197" xr:uid="{00000000-0005-0000-0000-00004B100000}"/>
    <cellStyle name="Comma 7 4 5" xfId="4198" xr:uid="{00000000-0005-0000-0000-00004C100000}"/>
    <cellStyle name="Comma 7 4 5 2" xfId="4199" xr:uid="{00000000-0005-0000-0000-00004D100000}"/>
    <cellStyle name="Comma 7 4 5 3" xfId="4200" xr:uid="{00000000-0005-0000-0000-00004E100000}"/>
    <cellStyle name="Comma 7 4 5 4" xfId="4201" xr:uid="{00000000-0005-0000-0000-00004F100000}"/>
    <cellStyle name="Comma 7 4 5 5" xfId="4202" xr:uid="{00000000-0005-0000-0000-000050100000}"/>
    <cellStyle name="Comma 7 4 5 6" xfId="4203" xr:uid="{00000000-0005-0000-0000-000051100000}"/>
    <cellStyle name="Comma 7 4 6" xfId="4204" xr:uid="{00000000-0005-0000-0000-000052100000}"/>
    <cellStyle name="Comma 7 4 6 2" xfId="4205" xr:uid="{00000000-0005-0000-0000-000053100000}"/>
    <cellStyle name="Comma 7 4 6 3" xfId="4206" xr:uid="{00000000-0005-0000-0000-000054100000}"/>
    <cellStyle name="Comma 7 4 6 4" xfId="4207" xr:uid="{00000000-0005-0000-0000-000055100000}"/>
    <cellStyle name="Comma 7 4 6 5" xfId="4208" xr:uid="{00000000-0005-0000-0000-000056100000}"/>
    <cellStyle name="Comma 7 4 6 6" xfId="4209" xr:uid="{00000000-0005-0000-0000-000057100000}"/>
    <cellStyle name="Comma 7 4 7" xfId="4210" xr:uid="{00000000-0005-0000-0000-000058100000}"/>
    <cellStyle name="Comma 7 4 8" xfId="4211" xr:uid="{00000000-0005-0000-0000-000059100000}"/>
    <cellStyle name="Comma 7 4 9" xfId="4212" xr:uid="{00000000-0005-0000-0000-00005A100000}"/>
    <cellStyle name="Comma 7 5" xfId="4213" xr:uid="{00000000-0005-0000-0000-00005B100000}"/>
    <cellStyle name="Comma 8" xfId="4214" xr:uid="{00000000-0005-0000-0000-00005C100000}"/>
    <cellStyle name="Comma 8 10" xfId="4215" xr:uid="{00000000-0005-0000-0000-00005D100000}"/>
    <cellStyle name="Comma 8 11" xfId="4216" xr:uid="{00000000-0005-0000-0000-00005E100000}"/>
    <cellStyle name="Comma 8 2" xfId="4217" xr:uid="{00000000-0005-0000-0000-00005F100000}"/>
    <cellStyle name="Comma 8 2 2" xfId="4218" xr:uid="{00000000-0005-0000-0000-000060100000}"/>
    <cellStyle name="Comma 8 2 2 10" xfId="4219" xr:uid="{00000000-0005-0000-0000-000061100000}"/>
    <cellStyle name="Comma 8 2 2 11" xfId="4220" xr:uid="{00000000-0005-0000-0000-000062100000}"/>
    <cellStyle name="Comma 8 2 2 2" xfId="4221" xr:uid="{00000000-0005-0000-0000-000063100000}"/>
    <cellStyle name="Comma 8 2 2 2 2" xfId="4222" xr:uid="{00000000-0005-0000-0000-000064100000}"/>
    <cellStyle name="Comma 8 2 2 2 2 2" xfId="4223" xr:uid="{00000000-0005-0000-0000-000065100000}"/>
    <cellStyle name="Comma 8 2 2 2 2 3" xfId="4224" xr:uid="{00000000-0005-0000-0000-000066100000}"/>
    <cellStyle name="Comma 8 2 2 2 2 4" xfId="4225" xr:uid="{00000000-0005-0000-0000-000067100000}"/>
    <cellStyle name="Comma 8 2 2 2 2 5" xfId="4226" xr:uid="{00000000-0005-0000-0000-000068100000}"/>
    <cellStyle name="Comma 8 2 2 2 2 6" xfId="4227" xr:uid="{00000000-0005-0000-0000-000069100000}"/>
    <cellStyle name="Comma 8 2 2 2 3" xfId="4228" xr:uid="{00000000-0005-0000-0000-00006A100000}"/>
    <cellStyle name="Comma 8 2 2 2 3 2" xfId="4229" xr:uid="{00000000-0005-0000-0000-00006B100000}"/>
    <cellStyle name="Comma 8 2 2 2 3 3" xfId="4230" xr:uid="{00000000-0005-0000-0000-00006C100000}"/>
    <cellStyle name="Comma 8 2 2 2 3 4" xfId="4231" xr:uid="{00000000-0005-0000-0000-00006D100000}"/>
    <cellStyle name="Comma 8 2 2 2 3 5" xfId="4232" xr:uid="{00000000-0005-0000-0000-00006E100000}"/>
    <cellStyle name="Comma 8 2 2 2 3 6" xfId="4233" xr:uid="{00000000-0005-0000-0000-00006F100000}"/>
    <cellStyle name="Comma 8 2 2 2 4" xfId="4234" xr:uid="{00000000-0005-0000-0000-000070100000}"/>
    <cellStyle name="Comma 8 2 2 2 5" xfId="4235" xr:uid="{00000000-0005-0000-0000-000071100000}"/>
    <cellStyle name="Comma 8 2 2 2 6" xfId="4236" xr:uid="{00000000-0005-0000-0000-000072100000}"/>
    <cellStyle name="Comma 8 2 2 2 7" xfId="4237" xr:uid="{00000000-0005-0000-0000-000073100000}"/>
    <cellStyle name="Comma 8 2 2 2 8" xfId="4238" xr:uid="{00000000-0005-0000-0000-000074100000}"/>
    <cellStyle name="Comma 8 2 2 3" xfId="4239" xr:uid="{00000000-0005-0000-0000-000075100000}"/>
    <cellStyle name="Comma 8 2 2 3 2" xfId="4240" xr:uid="{00000000-0005-0000-0000-000076100000}"/>
    <cellStyle name="Comma 8 2 2 3 2 2" xfId="4241" xr:uid="{00000000-0005-0000-0000-000077100000}"/>
    <cellStyle name="Comma 8 2 2 3 2 3" xfId="4242" xr:uid="{00000000-0005-0000-0000-000078100000}"/>
    <cellStyle name="Comma 8 2 2 3 2 4" xfId="4243" xr:uid="{00000000-0005-0000-0000-000079100000}"/>
    <cellStyle name="Comma 8 2 2 3 2 5" xfId="4244" xr:uid="{00000000-0005-0000-0000-00007A100000}"/>
    <cellStyle name="Comma 8 2 2 3 2 6" xfId="4245" xr:uid="{00000000-0005-0000-0000-00007B100000}"/>
    <cellStyle name="Comma 8 2 2 3 3" xfId="4246" xr:uid="{00000000-0005-0000-0000-00007C100000}"/>
    <cellStyle name="Comma 8 2 2 3 3 2" xfId="4247" xr:uid="{00000000-0005-0000-0000-00007D100000}"/>
    <cellStyle name="Comma 8 2 2 3 3 3" xfId="4248" xr:uid="{00000000-0005-0000-0000-00007E100000}"/>
    <cellStyle name="Comma 8 2 2 3 3 4" xfId="4249" xr:uid="{00000000-0005-0000-0000-00007F100000}"/>
    <cellStyle name="Comma 8 2 2 3 3 5" xfId="4250" xr:uid="{00000000-0005-0000-0000-000080100000}"/>
    <cellStyle name="Comma 8 2 2 3 3 6" xfId="4251" xr:uid="{00000000-0005-0000-0000-000081100000}"/>
    <cellStyle name="Comma 8 2 2 3 4" xfId="4252" xr:uid="{00000000-0005-0000-0000-000082100000}"/>
    <cellStyle name="Comma 8 2 2 3 5" xfId="4253" xr:uid="{00000000-0005-0000-0000-000083100000}"/>
    <cellStyle name="Comma 8 2 2 3 6" xfId="4254" xr:uid="{00000000-0005-0000-0000-000084100000}"/>
    <cellStyle name="Comma 8 2 2 3 7" xfId="4255" xr:uid="{00000000-0005-0000-0000-000085100000}"/>
    <cellStyle name="Comma 8 2 2 3 8" xfId="4256" xr:uid="{00000000-0005-0000-0000-000086100000}"/>
    <cellStyle name="Comma 8 2 2 4" xfId="4257" xr:uid="{00000000-0005-0000-0000-000087100000}"/>
    <cellStyle name="Comma 8 2 2 4 2" xfId="4258" xr:uid="{00000000-0005-0000-0000-000088100000}"/>
    <cellStyle name="Comma 8 2 2 4 2 2" xfId="4259" xr:uid="{00000000-0005-0000-0000-000089100000}"/>
    <cellStyle name="Comma 8 2 2 4 2 3" xfId="4260" xr:uid="{00000000-0005-0000-0000-00008A100000}"/>
    <cellStyle name="Comma 8 2 2 4 2 4" xfId="4261" xr:uid="{00000000-0005-0000-0000-00008B100000}"/>
    <cellStyle name="Comma 8 2 2 4 2 5" xfId="4262" xr:uid="{00000000-0005-0000-0000-00008C100000}"/>
    <cellStyle name="Comma 8 2 2 4 2 6" xfId="4263" xr:uid="{00000000-0005-0000-0000-00008D100000}"/>
    <cellStyle name="Comma 8 2 2 4 3" xfId="4264" xr:uid="{00000000-0005-0000-0000-00008E100000}"/>
    <cellStyle name="Comma 8 2 2 4 3 2" xfId="4265" xr:uid="{00000000-0005-0000-0000-00008F100000}"/>
    <cellStyle name="Comma 8 2 2 4 3 3" xfId="4266" xr:uid="{00000000-0005-0000-0000-000090100000}"/>
    <cellStyle name="Comma 8 2 2 4 3 4" xfId="4267" xr:uid="{00000000-0005-0000-0000-000091100000}"/>
    <cellStyle name="Comma 8 2 2 4 3 5" xfId="4268" xr:uid="{00000000-0005-0000-0000-000092100000}"/>
    <cellStyle name="Comma 8 2 2 4 3 6" xfId="4269" xr:uid="{00000000-0005-0000-0000-000093100000}"/>
    <cellStyle name="Comma 8 2 2 4 4" xfId="4270" xr:uid="{00000000-0005-0000-0000-000094100000}"/>
    <cellStyle name="Comma 8 2 2 4 5" xfId="4271" xr:uid="{00000000-0005-0000-0000-000095100000}"/>
    <cellStyle name="Comma 8 2 2 4 6" xfId="4272" xr:uid="{00000000-0005-0000-0000-000096100000}"/>
    <cellStyle name="Comma 8 2 2 4 7" xfId="4273" xr:uid="{00000000-0005-0000-0000-000097100000}"/>
    <cellStyle name="Comma 8 2 2 4 8" xfId="4274" xr:uid="{00000000-0005-0000-0000-000098100000}"/>
    <cellStyle name="Comma 8 2 2 5" xfId="4275" xr:uid="{00000000-0005-0000-0000-000099100000}"/>
    <cellStyle name="Comma 8 2 2 5 2" xfId="4276" xr:uid="{00000000-0005-0000-0000-00009A100000}"/>
    <cellStyle name="Comma 8 2 2 5 3" xfId="4277" xr:uid="{00000000-0005-0000-0000-00009B100000}"/>
    <cellStyle name="Comma 8 2 2 5 4" xfId="4278" xr:uid="{00000000-0005-0000-0000-00009C100000}"/>
    <cellStyle name="Comma 8 2 2 5 5" xfId="4279" xr:uid="{00000000-0005-0000-0000-00009D100000}"/>
    <cellStyle name="Comma 8 2 2 5 6" xfId="4280" xr:uid="{00000000-0005-0000-0000-00009E100000}"/>
    <cellStyle name="Comma 8 2 2 6" xfId="4281" xr:uid="{00000000-0005-0000-0000-00009F100000}"/>
    <cellStyle name="Comma 8 2 2 6 2" xfId="4282" xr:uid="{00000000-0005-0000-0000-0000A0100000}"/>
    <cellStyle name="Comma 8 2 2 6 3" xfId="4283" xr:uid="{00000000-0005-0000-0000-0000A1100000}"/>
    <cellStyle name="Comma 8 2 2 6 4" xfId="4284" xr:uid="{00000000-0005-0000-0000-0000A2100000}"/>
    <cellStyle name="Comma 8 2 2 6 5" xfId="4285" xr:uid="{00000000-0005-0000-0000-0000A3100000}"/>
    <cellStyle name="Comma 8 2 2 6 6" xfId="4286" xr:uid="{00000000-0005-0000-0000-0000A4100000}"/>
    <cellStyle name="Comma 8 2 2 7" xfId="4287" xr:uid="{00000000-0005-0000-0000-0000A5100000}"/>
    <cellStyle name="Comma 8 2 2 8" xfId="4288" xr:uid="{00000000-0005-0000-0000-0000A6100000}"/>
    <cellStyle name="Comma 8 2 2 9" xfId="4289" xr:uid="{00000000-0005-0000-0000-0000A7100000}"/>
    <cellStyle name="Comma 8 3" xfId="4290" xr:uid="{00000000-0005-0000-0000-0000A8100000}"/>
    <cellStyle name="Comma 8 3 10" xfId="4291" xr:uid="{00000000-0005-0000-0000-0000A9100000}"/>
    <cellStyle name="Comma 8 3 11" xfId="4292" xr:uid="{00000000-0005-0000-0000-0000AA100000}"/>
    <cellStyle name="Comma 8 3 2" xfId="4293" xr:uid="{00000000-0005-0000-0000-0000AB100000}"/>
    <cellStyle name="Comma 8 3 2 2" xfId="4294" xr:uid="{00000000-0005-0000-0000-0000AC100000}"/>
    <cellStyle name="Comma 8 3 2 2 2" xfId="4295" xr:uid="{00000000-0005-0000-0000-0000AD100000}"/>
    <cellStyle name="Comma 8 3 2 2 3" xfId="4296" xr:uid="{00000000-0005-0000-0000-0000AE100000}"/>
    <cellStyle name="Comma 8 3 2 2 4" xfId="4297" xr:uid="{00000000-0005-0000-0000-0000AF100000}"/>
    <cellStyle name="Comma 8 3 2 2 5" xfId="4298" xr:uid="{00000000-0005-0000-0000-0000B0100000}"/>
    <cellStyle name="Comma 8 3 2 2 6" xfId="4299" xr:uid="{00000000-0005-0000-0000-0000B1100000}"/>
    <cellStyle name="Comma 8 3 2 3" xfId="4300" xr:uid="{00000000-0005-0000-0000-0000B2100000}"/>
    <cellStyle name="Comma 8 3 2 3 2" xfId="4301" xr:uid="{00000000-0005-0000-0000-0000B3100000}"/>
    <cellStyle name="Comma 8 3 2 3 3" xfId="4302" xr:uid="{00000000-0005-0000-0000-0000B4100000}"/>
    <cellStyle name="Comma 8 3 2 3 4" xfId="4303" xr:uid="{00000000-0005-0000-0000-0000B5100000}"/>
    <cellStyle name="Comma 8 3 2 3 5" xfId="4304" xr:uid="{00000000-0005-0000-0000-0000B6100000}"/>
    <cellStyle name="Comma 8 3 2 3 6" xfId="4305" xr:uid="{00000000-0005-0000-0000-0000B7100000}"/>
    <cellStyle name="Comma 8 3 2 4" xfId="4306" xr:uid="{00000000-0005-0000-0000-0000B8100000}"/>
    <cellStyle name="Comma 8 3 2 5" xfId="4307" xr:uid="{00000000-0005-0000-0000-0000B9100000}"/>
    <cellStyle name="Comma 8 3 2 6" xfId="4308" xr:uid="{00000000-0005-0000-0000-0000BA100000}"/>
    <cellStyle name="Comma 8 3 2 7" xfId="4309" xr:uid="{00000000-0005-0000-0000-0000BB100000}"/>
    <cellStyle name="Comma 8 3 2 8" xfId="4310" xr:uid="{00000000-0005-0000-0000-0000BC100000}"/>
    <cellStyle name="Comma 8 3 3" xfId="4311" xr:uid="{00000000-0005-0000-0000-0000BD100000}"/>
    <cellStyle name="Comma 8 3 3 2" xfId="4312" xr:uid="{00000000-0005-0000-0000-0000BE100000}"/>
    <cellStyle name="Comma 8 3 3 2 2" xfId="4313" xr:uid="{00000000-0005-0000-0000-0000BF100000}"/>
    <cellStyle name="Comma 8 3 3 2 3" xfId="4314" xr:uid="{00000000-0005-0000-0000-0000C0100000}"/>
    <cellStyle name="Comma 8 3 3 2 4" xfId="4315" xr:uid="{00000000-0005-0000-0000-0000C1100000}"/>
    <cellStyle name="Comma 8 3 3 2 5" xfId="4316" xr:uid="{00000000-0005-0000-0000-0000C2100000}"/>
    <cellStyle name="Comma 8 3 3 2 6" xfId="4317" xr:uid="{00000000-0005-0000-0000-0000C3100000}"/>
    <cellStyle name="Comma 8 3 3 3" xfId="4318" xr:uid="{00000000-0005-0000-0000-0000C4100000}"/>
    <cellStyle name="Comma 8 3 3 3 2" xfId="4319" xr:uid="{00000000-0005-0000-0000-0000C5100000}"/>
    <cellStyle name="Comma 8 3 3 3 3" xfId="4320" xr:uid="{00000000-0005-0000-0000-0000C6100000}"/>
    <cellStyle name="Comma 8 3 3 3 4" xfId="4321" xr:uid="{00000000-0005-0000-0000-0000C7100000}"/>
    <cellStyle name="Comma 8 3 3 3 5" xfId="4322" xr:uid="{00000000-0005-0000-0000-0000C8100000}"/>
    <cellStyle name="Comma 8 3 3 3 6" xfId="4323" xr:uid="{00000000-0005-0000-0000-0000C9100000}"/>
    <cellStyle name="Comma 8 3 3 4" xfId="4324" xr:uid="{00000000-0005-0000-0000-0000CA100000}"/>
    <cellStyle name="Comma 8 3 3 5" xfId="4325" xr:uid="{00000000-0005-0000-0000-0000CB100000}"/>
    <cellStyle name="Comma 8 3 3 6" xfId="4326" xr:uid="{00000000-0005-0000-0000-0000CC100000}"/>
    <cellStyle name="Comma 8 3 3 7" xfId="4327" xr:uid="{00000000-0005-0000-0000-0000CD100000}"/>
    <cellStyle name="Comma 8 3 3 8" xfId="4328" xr:uid="{00000000-0005-0000-0000-0000CE100000}"/>
    <cellStyle name="Comma 8 3 4" xfId="4329" xr:uid="{00000000-0005-0000-0000-0000CF100000}"/>
    <cellStyle name="Comma 8 3 4 2" xfId="4330" xr:uid="{00000000-0005-0000-0000-0000D0100000}"/>
    <cellStyle name="Comma 8 3 4 2 2" xfId="4331" xr:uid="{00000000-0005-0000-0000-0000D1100000}"/>
    <cellStyle name="Comma 8 3 4 2 3" xfId="4332" xr:uid="{00000000-0005-0000-0000-0000D2100000}"/>
    <cellStyle name="Comma 8 3 4 2 4" xfId="4333" xr:uid="{00000000-0005-0000-0000-0000D3100000}"/>
    <cellStyle name="Comma 8 3 4 2 5" xfId="4334" xr:uid="{00000000-0005-0000-0000-0000D4100000}"/>
    <cellStyle name="Comma 8 3 4 2 6" xfId="4335" xr:uid="{00000000-0005-0000-0000-0000D5100000}"/>
    <cellStyle name="Comma 8 3 4 3" xfId="4336" xr:uid="{00000000-0005-0000-0000-0000D6100000}"/>
    <cellStyle name="Comma 8 3 4 3 2" xfId="4337" xr:uid="{00000000-0005-0000-0000-0000D7100000}"/>
    <cellStyle name="Comma 8 3 4 3 3" xfId="4338" xr:uid="{00000000-0005-0000-0000-0000D8100000}"/>
    <cellStyle name="Comma 8 3 4 3 4" xfId="4339" xr:uid="{00000000-0005-0000-0000-0000D9100000}"/>
    <cellStyle name="Comma 8 3 4 3 5" xfId="4340" xr:uid="{00000000-0005-0000-0000-0000DA100000}"/>
    <cellStyle name="Comma 8 3 4 3 6" xfId="4341" xr:uid="{00000000-0005-0000-0000-0000DB100000}"/>
    <cellStyle name="Comma 8 3 4 4" xfId="4342" xr:uid="{00000000-0005-0000-0000-0000DC100000}"/>
    <cellStyle name="Comma 8 3 4 5" xfId="4343" xr:uid="{00000000-0005-0000-0000-0000DD100000}"/>
    <cellStyle name="Comma 8 3 4 6" xfId="4344" xr:uid="{00000000-0005-0000-0000-0000DE100000}"/>
    <cellStyle name="Comma 8 3 4 7" xfId="4345" xr:uid="{00000000-0005-0000-0000-0000DF100000}"/>
    <cellStyle name="Comma 8 3 4 8" xfId="4346" xr:uid="{00000000-0005-0000-0000-0000E0100000}"/>
    <cellStyle name="Comma 8 3 5" xfId="4347" xr:uid="{00000000-0005-0000-0000-0000E1100000}"/>
    <cellStyle name="Comma 8 3 5 2" xfId="4348" xr:uid="{00000000-0005-0000-0000-0000E2100000}"/>
    <cellStyle name="Comma 8 3 5 3" xfId="4349" xr:uid="{00000000-0005-0000-0000-0000E3100000}"/>
    <cellStyle name="Comma 8 3 5 4" xfId="4350" xr:uid="{00000000-0005-0000-0000-0000E4100000}"/>
    <cellStyle name="Comma 8 3 5 5" xfId="4351" xr:uid="{00000000-0005-0000-0000-0000E5100000}"/>
    <cellStyle name="Comma 8 3 5 6" xfId="4352" xr:uid="{00000000-0005-0000-0000-0000E6100000}"/>
    <cellStyle name="Comma 8 3 6" xfId="4353" xr:uid="{00000000-0005-0000-0000-0000E7100000}"/>
    <cellStyle name="Comma 8 3 6 2" xfId="4354" xr:uid="{00000000-0005-0000-0000-0000E8100000}"/>
    <cellStyle name="Comma 8 3 6 3" xfId="4355" xr:uid="{00000000-0005-0000-0000-0000E9100000}"/>
    <cellStyle name="Comma 8 3 6 4" xfId="4356" xr:uid="{00000000-0005-0000-0000-0000EA100000}"/>
    <cellStyle name="Comma 8 3 6 5" xfId="4357" xr:uid="{00000000-0005-0000-0000-0000EB100000}"/>
    <cellStyle name="Comma 8 3 6 6" xfId="4358" xr:uid="{00000000-0005-0000-0000-0000EC100000}"/>
    <cellStyle name="Comma 8 3 7" xfId="4359" xr:uid="{00000000-0005-0000-0000-0000ED100000}"/>
    <cellStyle name="Comma 8 3 8" xfId="4360" xr:uid="{00000000-0005-0000-0000-0000EE100000}"/>
    <cellStyle name="Comma 8 3 9" xfId="4361" xr:uid="{00000000-0005-0000-0000-0000EF100000}"/>
    <cellStyle name="Comma 8 4" xfId="4362" xr:uid="{00000000-0005-0000-0000-0000F0100000}"/>
    <cellStyle name="Comma 8 4 10" xfId="4363" xr:uid="{00000000-0005-0000-0000-0000F1100000}"/>
    <cellStyle name="Comma 8 4 11" xfId="4364" xr:uid="{00000000-0005-0000-0000-0000F2100000}"/>
    <cellStyle name="Comma 8 4 2" xfId="4365" xr:uid="{00000000-0005-0000-0000-0000F3100000}"/>
    <cellStyle name="Comma 8 4 2 2" xfId="4366" xr:uid="{00000000-0005-0000-0000-0000F4100000}"/>
    <cellStyle name="Comma 8 4 2 2 2" xfId="4367" xr:uid="{00000000-0005-0000-0000-0000F5100000}"/>
    <cellStyle name="Comma 8 4 2 2 3" xfId="4368" xr:uid="{00000000-0005-0000-0000-0000F6100000}"/>
    <cellStyle name="Comma 8 4 2 2 4" xfId="4369" xr:uid="{00000000-0005-0000-0000-0000F7100000}"/>
    <cellStyle name="Comma 8 4 2 2 5" xfId="4370" xr:uid="{00000000-0005-0000-0000-0000F8100000}"/>
    <cellStyle name="Comma 8 4 2 2 6" xfId="4371" xr:uid="{00000000-0005-0000-0000-0000F9100000}"/>
    <cellStyle name="Comma 8 4 2 3" xfId="4372" xr:uid="{00000000-0005-0000-0000-0000FA100000}"/>
    <cellStyle name="Comma 8 4 2 3 2" xfId="4373" xr:uid="{00000000-0005-0000-0000-0000FB100000}"/>
    <cellStyle name="Comma 8 4 2 3 3" xfId="4374" xr:uid="{00000000-0005-0000-0000-0000FC100000}"/>
    <cellStyle name="Comma 8 4 2 3 4" xfId="4375" xr:uid="{00000000-0005-0000-0000-0000FD100000}"/>
    <cellStyle name="Comma 8 4 2 3 5" xfId="4376" xr:uid="{00000000-0005-0000-0000-0000FE100000}"/>
    <cellStyle name="Comma 8 4 2 3 6" xfId="4377" xr:uid="{00000000-0005-0000-0000-0000FF100000}"/>
    <cellStyle name="Comma 8 4 2 4" xfId="4378" xr:uid="{00000000-0005-0000-0000-000000110000}"/>
    <cellStyle name="Comma 8 4 2 5" xfId="4379" xr:uid="{00000000-0005-0000-0000-000001110000}"/>
    <cellStyle name="Comma 8 4 2 6" xfId="4380" xr:uid="{00000000-0005-0000-0000-000002110000}"/>
    <cellStyle name="Comma 8 4 2 7" xfId="4381" xr:uid="{00000000-0005-0000-0000-000003110000}"/>
    <cellStyle name="Comma 8 4 2 8" xfId="4382" xr:uid="{00000000-0005-0000-0000-000004110000}"/>
    <cellStyle name="Comma 8 4 3" xfId="4383" xr:uid="{00000000-0005-0000-0000-000005110000}"/>
    <cellStyle name="Comma 8 4 3 2" xfId="4384" xr:uid="{00000000-0005-0000-0000-000006110000}"/>
    <cellStyle name="Comma 8 4 3 2 2" xfId="4385" xr:uid="{00000000-0005-0000-0000-000007110000}"/>
    <cellStyle name="Comma 8 4 3 2 3" xfId="4386" xr:uid="{00000000-0005-0000-0000-000008110000}"/>
    <cellStyle name="Comma 8 4 3 2 4" xfId="4387" xr:uid="{00000000-0005-0000-0000-000009110000}"/>
    <cellStyle name="Comma 8 4 3 2 5" xfId="4388" xr:uid="{00000000-0005-0000-0000-00000A110000}"/>
    <cellStyle name="Comma 8 4 3 2 6" xfId="4389" xr:uid="{00000000-0005-0000-0000-00000B110000}"/>
    <cellStyle name="Comma 8 4 3 3" xfId="4390" xr:uid="{00000000-0005-0000-0000-00000C110000}"/>
    <cellStyle name="Comma 8 4 3 3 2" xfId="4391" xr:uid="{00000000-0005-0000-0000-00000D110000}"/>
    <cellStyle name="Comma 8 4 3 3 3" xfId="4392" xr:uid="{00000000-0005-0000-0000-00000E110000}"/>
    <cellStyle name="Comma 8 4 3 3 4" xfId="4393" xr:uid="{00000000-0005-0000-0000-00000F110000}"/>
    <cellStyle name="Comma 8 4 3 3 5" xfId="4394" xr:uid="{00000000-0005-0000-0000-000010110000}"/>
    <cellStyle name="Comma 8 4 3 3 6" xfId="4395" xr:uid="{00000000-0005-0000-0000-000011110000}"/>
    <cellStyle name="Comma 8 4 3 4" xfId="4396" xr:uid="{00000000-0005-0000-0000-000012110000}"/>
    <cellStyle name="Comma 8 4 3 5" xfId="4397" xr:uid="{00000000-0005-0000-0000-000013110000}"/>
    <cellStyle name="Comma 8 4 3 6" xfId="4398" xr:uid="{00000000-0005-0000-0000-000014110000}"/>
    <cellStyle name="Comma 8 4 3 7" xfId="4399" xr:uid="{00000000-0005-0000-0000-000015110000}"/>
    <cellStyle name="Comma 8 4 3 8" xfId="4400" xr:uid="{00000000-0005-0000-0000-000016110000}"/>
    <cellStyle name="Comma 8 4 4" xfId="4401" xr:uid="{00000000-0005-0000-0000-000017110000}"/>
    <cellStyle name="Comma 8 4 4 2" xfId="4402" xr:uid="{00000000-0005-0000-0000-000018110000}"/>
    <cellStyle name="Comma 8 4 4 2 2" xfId="4403" xr:uid="{00000000-0005-0000-0000-000019110000}"/>
    <cellStyle name="Comma 8 4 4 2 3" xfId="4404" xr:uid="{00000000-0005-0000-0000-00001A110000}"/>
    <cellStyle name="Comma 8 4 4 2 4" xfId="4405" xr:uid="{00000000-0005-0000-0000-00001B110000}"/>
    <cellStyle name="Comma 8 4 4 2 5" xfId="4406" xr:uid="{00000000-0005-0000-0000-00001C110000}"/>
    <cellStyle name="Comma 8 4 4 2 6" xfId="4407" xr:uid="{00000000-0005-0000-0000-00001D110000}"/>
    <cellStyle name="Comma 8 4 4 3" xfId="4408" xr:uid="{00000000-0005-0000-0000-00001E110000}"/>
    <cellStyle name="Comma 8 4 4 3 2" xfId="4409" xr:uid="{00000000-0005-0000-0000-00001F110000}"/>
    <cellStyle name="Comma 8 4 4 3 3" xfId="4410" xr:uid="{00000000-0005-0000-0000-000020110000}"/>
    <cellStyle name="Comma 8 4 4 3 4" xfId="4411" xr:uid="{00000000-0005-0000-0000-000021110000}"/>
    <cellStyle name="Comma 8 4 4 3 5" xfId="4412" xr:uid="{00000000-0005-0000-0000-000022110000}"/>
    <cellStyle name="Comma 8 4 4 3 6" xfId="4413" xr:uid="{00000000-0005-0000-0000-000023110000}"/>
    <cellStyle name="Comma 8 4 4 4" xfId="4414" xr:uid="{00000000-0005-0000-0000-000024110000}"/>
    <cellStyle name="Comma 8 4 4 5" xfId="4415" xr:uid="{00000000-0005-0000-0000-000025110000}"/>
    <cellStyle name="Comma 8 4 4 6" xfId="4416" xr:uid="{00000000-0005-0000-0000-000026110000}"/>
    <cellStyle name="Comma 8 4 4 7" xfId="4417" xr:uid="{00000000-0005-0000-0000-000027110000}"/>
    <cellStyle name="Comma 8 4 4 8" xfId="4418" xr:uid="{00000000-0005-0000-0000-000028110000}"/>
    <cellStyle name="Comma 8 4 5" xfId="4419" xr:uid="{00000000-0005-0000-0000-000029110000}"/>
    <cellStyle name="Comma 8 4 5 2" xfId="4420" xr:uid="{00000000-0005-0000-0000-00002A110000}"/>
    <cellStyle name="Comma 8 4 5 3" xfId="4421" xr:uid="{00000000-0005-0000-0000-00002B110000}"/>
    <cellStyle name="Comma 8 4 5 4" xfId="4422" xr:uid="{00000000-0005-0000-0000-00002C110000}"/>
    <cellStyle name="Comma 8 4 5 5" xfId="4423" xr:uid="{00000000-0005-0000-0000-00002D110000}"/>
    <cellStyle name="Comma 8 4 5 6" xfId="4424" xr:uid="{00000000-0005-0000-0000-00002E110000}"/>
    <cellStyle name="Comma 8 4 6" xfId="4425" xr:uid="{00000000-0005-0000-0000-00002F110000}"/>
    <cellStyle name="Comma 8 4 6 2" xfId="4426" xr:uid="{00000000-0005-0000-0000-000030110000}"/>
    <cellStyle name="Comma 8 4 6 3" xfId="4427" xr:uid="{00000000-0005-0000-0000-000031110000}"/>
    <cellStyle name="Comma 8 4 6 4" xfId="4428" xr:uid="{00000000-0005-0000-0000-000032110000}"/>
    <cellStyle name="Comma 8 4 6 5" xfId="4429" xr:uid="{00000000-0005-0000-0000-000033110000}"/>
    <cellStyle name="Comma 8 4 6 6" xfId="4430" xr:uid="{00000000-0005-0000-0000-000034110000}"/>
    <cellStyle name="Comma 8 4 7" xfId="4431" xr:uid="{00000000-0005-0000-0000-000035110000}"/>
    <cellStyle name="Comma 8 4 8" xfId="4432" xr:uid="{00000000-0005-0000-0000-000036110000}"/>
    <cellStyle name="Comma 8 4 9" xfId="4433" xr:uid="{00000000-0005-0000-0000-000037110000}"/>
    <cellStyle name="Comma 8 5" xfId="4434" xr:uid="{00000000-0005-0000-0000-000038110000}"/>
    <cellStyle name="Comma 8 6" xfId="4435" xr:uid="{00000000-0005-0000-0000-000039110000}"/>
    <cellStyle name="Comma 8 7" xfId="4436" xr:uid="{00000000-0005-0000-0000-00003A110000}"/>
    <cellStyle name="Comma 8 8" xfId="4437" xr:uid="{00000000-0005-0000-0000-00003B110000}"/>
    <cellStyle name="Comma 8 9" xfId="4438" xr:uid="{00000000-0005-0000-0000-00003C110000}"/>
    <cellStyle name="Comma 9" xfId="4439" xr:uid="{00000000-0005-0000-0000-00003D110000}"/>
    <cellStyle name="Comma 9 10" xfId="4440" xr:uid="{00000000-0005-0000-0000-00003E110000}"/>
    <cellStyle name="Comma 9 10 2" xfId="4441" xr:uid="{00000000-0005-0000-0000-00003F110000}"/>
    <cellStyle name="Comma 9 10 3" xfId="4442" xr:uid="{00000000-0005-0000-0000-000040110000}"/>
    <cellStyle name="Comma 9 10 4" xfId="4443" xr:uid="{00000000-0005-0000-0000-000041110000}"/>
    <cellStyle name="Comma 9 10 5" xfId="4444" xr:uid="{00000000-0005-0000-0000-000042110000}"/>
    <cellStyle name="Comma 9 10 6" xfId="4445" xr:uid="{00000000-0005-0000-0000-000043110000}"/>
    <cellStyle name="Comma 9 11" xfId="4446" xr:uid="{00000000-0005-0000-0000-000044110000}"/>
    <cellStyle name="Comma 9 12" xfId="4447" xr:uid="{00000000-0005-0000-0000-000045110000}"/>
    <cellStyle name="Comma 9 13" xfId="4448" xr:uid="{00000000-0005-0000-0000-000046110000}"/>
    <cellStyle name="Comma 9 14" xfId="4449" xr:uid="{00000000-0005-0000-0000-000047110000}"/>
    <cellStyle name="Comma 9 15" xfId="4450" xr:uid="{00000000-0005-0000-0000-000048110000}"/>
    <cellStyle name="Comma 9 2" xfId="4451" xr:uid="{00000000-0005-0000-0000-000049110000}"/>
    <cellStyle name="Comma 9 2 10" xfId="4452" xr:uid="{00000000-0005-0000-0000-00004A110000}"/>
    <cellStyle name="Comma 9 2 11" xfId="4453" xr:uid="{00000000-0005-0000-0000-00004B110000}"/>
    <cellStyle name="Comma 9 2 12" xfId="4454" xr:uid="{00000000-0005-0000-0000-00004C110000}"/>
    <cellStyle name="Comma 9 2 2" xfId="4455" xr:uid="{00000000-0005-0000-0000-00004D110000}"/>
    <cellStyle name="Comma 9 2 2 10" xfId="4456" xr:uid="{00000000-0005-0000-0000-00004E110000}"/>
    <cellStyle name="Comma 9 2 2 11" xfId="4457" xr:uid="{00000000-0005-0000-0000-00004F110000}"/>
    <cellStyle name="Comma 9 2 2 2" xfId="4458" xr:uid="{00000000-0005-0000-0000-000050110000}"/>
    <cellStyle name="Comma 9 2 2 2 2" xfId="4459" xr:uid="{00000000-0005-0000-0000-000051110000}"/>
    <cellStyle name="Comma 9 2 2 2 2 2" xfId="4460" xr:uid="{00000000-0005-0000-0000-000052110000}"/>
    <cellStyle name="Comma 9 2 2 2 2 3" xfId="4461" xr:uid="{00000000-0005-0000-0000-000053110000}"/>
    <cellStyle name="Comma 9 2 2 2 2 4" xfId="4462" xr:uid="{00000000-0005-0000-0000-000054110000}"/>
    <cellStyle name="Comma 9 2 2 2 2 5" xfId="4463" xr:uid="{00000000-0005-0000-0000-000055110000}"/>
    <cellStyle name="Comma 9 2 2 2 2 6" xfId="4464" xr:uid="{00000000-0005-0000-0000-000056110000}"/>
    <cellStyle name="Comma 9 2 2 2 3" xfId="4465" xr:uid="{00000000-0005-0000-0000-000057110000}"/>
    <cellStyle name="Comma 9 2 2 2 3 2" xfId="4466" xr:uid="{00000000-0005-0000-0000-000058110000}"/>
    <cellStyle name="Comma 9 2 2 2 3 3" xfId="4467" xr:uid="{00000000-0005-0000-0000-000059110000}"/>
    <cellStyle name="Comma 9 2 2 2 3 4" xfId="4468" xr:uid="{00000000-0005-0000-0000-00005A110000}"/>
    <cellStyle name="Comma 9 2 2 2 3 5" xfId="4469" xr:uid="{00000000-0005-0000-0000-00005B110000}"/>
    <cellStyle name="Comma 9 2 2 2 3 6" xfId="4470" xr:uid="{00000000-0005-0000-0000-00005C110000}"/>
    <cellStyle name="Comma 9 2 2 2 4" xfId="4471" xr:uid="{00000000-0005-0000-0000-00005D110000}"/>
    <cellStyle name="Comma 9 2 2 2 5" xfId="4472" xr:uid="{00000000-0005-0000-0000-00005E110000}"/>
    <cellStyle name="Comma 9 2 2 2 6" xfId="4473" xr:uid="{00000000-0005-0000-0000-00005F110000}"/>
    <cellStyle name="Comma 9 2 2 2 7" xfId="4474" xr:uid="{00000000-0005-0000-0000-000060110000}"/>
    <cellStyle name="Comma 9 2 2 2 8" xfId="4475" xr:uid="{00000000-0005-0000-0000-000061110000}"/>
    <cellStyle name="Comma 9 2 2 3" xfId="4476" xr:uid="{00000000-0005-0000-0000-000062110000}"/>
    <cellStyle name="Comma 9 2 2 3 2" xfId="4477" xr:uid="{00000000-0005-0000-0000-000063110000}"/>
    <cellStyle name="Comma 9 2 2 3 2 2" xfId="4478" xr:uid="{00000000-0005-0000-0000-000064110000}"/>
    <cellStyle name="Comma 9 2 2 3 2 3" xfId="4479" xr:uid="{00000000-0005-0000-0000-000065110000}"/>
    <cellStyle name="Comma 9 2 2 3 2 4" xfId="4480" xr:uid="{00000000-0005-0000-0000-000066110000}"/>
    <cellStyle name="Comma 9 2 2 3 2 5" xfId="4481" xr:uid="{00000000-0005-0000-0000-000067110000}"/>
    <cellStyle name="Comma 9 2 2 3 2 6" xfId="4482" xr:uid="{00000000-0005-0000-0000-000068110000}"/>
    <cellStyle name="Comma 9 2 2 3 3" xfId="4483" xr:uid="{00000000-0005-0000-0000-000069110000}"/>
    <cellStyle name="Comma 9 2 2 3 3 2" xfId="4484" xr:uid="{00000000-0005-0000-0000-00006A110000}"/>
    <cellStyle name="Comma 9 2 2 3 3 3" xfId="4485" xr:uid="{00000000-0005-0000-0000-00006B110000}"/>
    <cellStyle name="Comma 9 2 2 3 3 4" xfId="4486" xr:uid="{00000000-0005-0000-0000-00006C110000}"/>
    <cellStyle name="Comma 9 2 2 3 3 5" xfId="4487" xr:uid="{00000000-0005-0000-0000-00006D110000}"/>
    <cellStyle name="Comma 9 2 2 3 3 6" xfId="4488" xr:uid="{00000000-0005-0000-0000-00006E110000}"/>
    <cellStyle name="Comma 9 2 2 3 4" xfId="4489" xr:uid="{00000000-0005-0000-0000-00006F110000}"/>
    <cellStyle name="Comma 9 2 2 3 5" xfId="4490" xr:uid="{00000000-0005-0000-0000-000070110000}"/>
    <cellStyle name="Comma 9 2 2 3 6" xfId="4491" xr:uid="{00000000-0005-0000-0000-000071110000}"/>
    <cellStyle name="Comma 9 2 2 3 7" xfId="4492" xr:uid="{00000000-0005-0000-0000-000072110000}"/>
    <cellStyle name="Comma 9 2 2 3 8" xfId="4493" xr:uid="{00000000-0005-0000-0000-000073110000}"/>
    <cellStyle name="Comma 9 2 2 4" xfId="4494" xr:uid="{00000000-0005-0000-0000-000074110000}"/>
    <cellStyle name="Comma 9 2 2 4 2" xfId="4495" xr:uid="{00000000-0005-0000-0000-000075110000}"/>
    <cellStyle name="Comma 9 2 2 4 2 2" xfId="4496" xr:uid="{00000000-0005-0000-0000-000076110000}"/>
    <cellStyle name="Comma 9 2 2 4 2 3" xfId="4497" xr:uid="{00000000-0005-0000-0000-000077110000}"/>
    <cellStyle name="Comma 9 2 2 4 2 4" xfId="4498" xr:uid="{00000000-0005-0000-0000-000078110000}"/>
    <cellStyle name="Comma 9 2 2 4 2 5" xfId="4499" xr:uid="{00000000-0005-0000-0000-000079110000}"/>
    <cellStyle name="Comma 9 2 2 4 2 6" xfId="4500" xr:uid="{00000000-0005-0000-0000-00007A110000}"/>
    <cellStyle name="Comma 9 2 2 4 3" xfId="4501" xr:uid="{00000000-0005-0000-0000-00007B110000}"/>
    <cellStyle name="Comma 9 2 2 4 3 2" xfId="4502" xr:uid="{00000000-0005-0000-0000-00007C110000}"/>
    <cellStyle name="Comma 9 2 2 4 3 3" xfId="4503" xr:uid="{00000000-0005-0000-0000-00007D110000}"/>
    <cellStyle name="Comma 9 2 2 4 3 4" xfId="4504" xr:uid="{00000000-0005-0000-0000-00007E110000}"/>
    <cellStyle name="Comma 9 2 2 4 3 5" xfId="4505" xr:uid="{00000000-0005-0000-0000-00007F110000}"/>
    <cellStyle name="Comma 9 2 2 4 3 6" xfId="4506" xr:uid="{00000000-0005-0000-0000-000080110000}"/>
    <cellStyle name="Comma 9 2 2 4 4" xfId="4507" xr:uid="{00000000-0005-0000-0000-000081110000}"/>
    <cellStyle name="Comma 9 2 2 4 5" xfId="4508" xr:uid="{00000000-0005-0000-0000-000082110000}"/>
    <cellStyle name="Comma 9 2 2 4 6" xfId="4509" xr:uid="{00000000-0005-0000-0000-000083110000}"/>
    <cellStyle name="Comma 9 2 2 4 7" xfId="4510" xr:uid="{00000000-0005-0000-0000-000084110000}"/>
    <cellStyle name="Comma 9 2 2 4 8" xfId="4511" xr:uid="{00000000-0005-0000-0000-000085110000}"/>
    <cellStyle name="Comma 9 2 2 5" xfId="4512" xr:uid="{00000000-0005-0000-0000-000086110000}"/>
    <cellStyle name="Comma 9 2 2 5 2" xfId="4513" xr:uid="{00000000-0005-0000-0000-000087110000}"/>
    <cellStyle name="Comma 9 2 2 5 3" xfId="4514" xr:uid="{00000000-0005-0000-0000-000088110000}"/>
    <cellStyle name="Comma 9 2 2 5 4" xfId="4515" xr:uid="{00000000-0005-0000-0000-000089110000}"/>
    <cellStyle name="Comma 9 2 2 5 5" xfId="4516" xr:uid="{00000000-0005-0000-0000-00008A110000}"/>
    <cellStyle name="Comma 9 2 2 5 6" xfId="4517" xr:uid="{00000000-0005-0000-0000-00008B110000}"/>
    <cellStyle name="Comma 9 2 2 6" xfId="4518" xr:uid="{00000000-0005-0000-0000-00008C110000}"/>
    <cellStyle name="Comma 9 2 2 6 2" xfId="4519" xr:uid="{00000000-0005-0000-0000-00008D110000}"/>
    <cellStyle name="Comma 9 2 2 6 3" xfId="4520" xr:uid="{00000000-0005-0000-0000-00008E110000}"/>
    <cellStyle name="Comma 9 2 2 6 4" xfId="4521" xr:uid="{00000000-0005-0000-0000-00008F110000}"/>
    <cellStyle name="Comma 9 2 2 6 5" xfId="4522" xr:uid="{00000000-0005-0000-0000-000090110000}"/>
    <cellStyle name="Comma 9 2 2 6 6" xfId="4523" xr:uid="{00000000-0005-0000-0000-000091110000}"/>
    <cellStyle name="Comma 9 2 2 7" xfId="4524" xr:uid="{00000000-0005-0000-0000-000092110000}"/>
    <cellStyle name="Comma 9 2 2 8" xfId="4525" xr:uid="{00000000-0005-0000-0000-000093110000}"/>
    <cellStyle name="Comma 9 2 2 9" xfId="4526" xr:uid="{00000000-0005-0000-0000-000094110000}"/>
    <cellStyle name="Comma 9 2 3" xfId="4527" xr:uid="{00000000-0005-0000-0000-000095110000}"/>
    <cellStyle name="Comma 9 2 3 2" xfId="4528" xr:uid="{00000000-0005-0000-0000-000096110000}"/>
    <cellStyle name="Comma 9 2 3 2 2" xfId="4529" xr:uid="{00000000-0005-0000-0000-000097110000}"/>
    <cellStyle name="Comma 9 2 3 2 3" xfId="4530" xr:uid="{00000000-0005-0000-0000-000098110000}"/>
    <cellStyle name="Comma 9 2 3 2 4" xfId="4531" xr:uid="{00000000-0005-0000-0000-000099110000}"/>
    <cellStyle name="Comma 9 2 3 2 5" xfId="4532" xr:uid="{00000000-0005-0000-0000-00009A110000}"/>
    <cellStyle name="Comma 9 2 3 2 6" xfId="4533" xr:uid="{00000000-0005-0000-0000-00009B110000}"/>
    <cellStyle name="Comma 9 2 3 3" xfId="4534" xr:uid="{00000000-0005-0000-0000-00009C110000}"/>
    <cellStyle name="Comma 9 2 3 3 2" xfId="4535" xr:uid="{00000000-0005-0000-0000-00009D110000}"/>
    <cellStyle name="Comma 9 2 3 3 3" xfId="4536" xr:uid="{00000000-0005-0000-0000-00009E110000}"/>
    <cellStyle name="Comma 9 2 3 3 4" xfId="4537" xr:uid="{00000000-0005-0000-0000-00009F110000}"/>
    <cellStyle name="Comma 9 2 3 3 5" xfId="4538" xr:uid="{00000000-0005-0000-0000-0000A0110000}"/>
    <cellStyle name="Comma 9 2 3 3 6" xfId="4539" xr:uid="{00000000-0005-0000-0000-0000A1110000}"/>
    <cellStyle name="Comma 9 2 3 4" xfId="4540" xr:uid="{00000000-0005-0000-0000-0000A2110000}"/>
    <cellStyle name="Comma 9 2 3 5" xfId="4541" xr:uid="{00000000-0005-0000-0000-0000A3110000}"/>
    <cellStyle name="Comma 9 2 3 6" xfId="4542" xr:uid="{00000000-0005-0000-0000-0000A4110000}"/>
    <cellStyle name="Comma 9 2 3 7" xfId="4543" xr:uid="{00000000-0005-0000-0000-0000A5110000}"/>
    <cellStyle name="Comma 9 2 3 8" xfId="4544" xr:uid="{00000000-0005-0000-0000-0000A6110000}"/>
    <cellStyle name="Comma 9 2 4" xfId="4545" xr:uid="{00000000-0005-0000-0000-0000A7110000}"/>
    <cellStyle name="Comma 9 2 4 2" xfId="4546" xr:uid="{00000000-0005-0000-0000-0000A8110000}"/>
    <cellStyle name="Comma 9 2 4 2 2" xfId="4547" xr:uid="{00000000-0005-0000-0000-0000A9110000}"/>
    <cellStyle name="Comma 9 2 4 2 3" xfId="4548" xr:uid="{00000000-0005-0000-0000-0000AA110000}"/>
    <cellStyle name="Comma 9 2 4 2 4" xfId="4549" xr:uid="{00000000-0005-0000-0000-0000AB110000}"/>
    <cellStyle name="Comma 9 2 4 2 5" xfId="4550" xr:uid="{00000000-0005-0000-0000-0000AC110000}"/>
    <cellStyle name="Comma 9 2 4 2 6" xfId="4551" xr:uid="{00000000-0005-0000-0000-0000AD110000}"/>
    <cellStyle name="Comma 9 2 4 3" xfId="4552" xr:uid="{00000000-0005-0000-0000-0000AE110000}"/>
    <cellStyle name="Comma 9 2 4 3 2" xfId="4553" xr:uid="{00000000-0005-0000-0000-0000AF110000}"/>
    <cellStyle name="Comma 9 2 4 3 3" xfId="4554" xr:uid="{00000000-0005-0000-0000-0000B0110000}"/>
    <cellStyle name="Comma 9 2 4 3 4" xfId="4555" xr:uid="{00000000-0005-0000-0000-0000B1110000}"/>
    <cellStyle name="Comma 9 2 4 3 5" xfId="4556" xr:uid="{00000000-0005-0000-0000-0000B2110000}"/>
    <cellStyle name="Comma 9 2 4 3 6" xfId="4557" xr:uid="{00000000-0005-0000-0000-0000B3110000}"/>
    <cellStyle name="Comma 9 2 4 4" xfId="4558" xr:uid="{00000000-0005-0000-0000-0000B4110000}"/>
    <cellStyle name="Comma 9 2 4 5" xfId="4559" xr:uid="{00000000-0005-0000-0000-0000B5110000}"/>
    <cellStyle name="Comma 9 2 4 6" xfId="4560" xr:uid="{00000000-0005-0000-0000-0000B6110000}"/>
    <cellStyle name="Comma 9 2 4 7" xfId="4561" xr:uid="{00000000-0005-0000-0000-0000B7110000}"/>
    <cellStyle name="Comma 9 2 4 8" xfId="4562" xr:uid="{00000000-0005-0000-0000-0000B8110000}"/>
    <cellStyle name="Comma 9 2 5" xfId="4563" xr:uid="{00000000-0005-0000-0000-0000B9110000}"/>
    <cellStyle name="Comma 9 2 5 2" xfId="4564" xr:uid="{00000000-0005-0000-0000-0000BA110000}"/>
    <cellStyle name="Comma 9 2 5 2 2" xfId="4565" xr:uid="{00000000-0005-0000-0000-0000BB110000}"/>
    <cellStyle name="Comma 9 2 5 2 3" xfId="4566" xr:uid="{00000000-0005-0000-0000-0000BC110000}"/>
    <cellStyle name="Comma 9 2 5 2 4" xfId="4567" xr:uid="{00000000-0005-0000-0000-0000BD110000}"/>
    <cellStyle name="Comma 9 2 5 2 5" xfId="4568" xr:uid="{00000000-0005-0000-0000-0000BE110000}"/>
    <cellStyle name="Comma 9 2 5 2 6" xfId="4569" xr:uid="{00000000-0005-0000-0000-0000BF110000}"/>
    <cellStyle name="Comma 9 2 5 3" xfId="4570" xr:uid="{00000000-0005-0000-0000-0000C0110000}"/>
    <cellStyle name="Comma 9 2 5 3 2" xfId="4571" xr:uid="{00000000-0005-0000-0000-0000C1110000}"/>
    <cellStyle name="Comma 9 2 5 3 3" xfId="4572" xr:uid="{00000000-0005-0000-0000-0000C2110000}"/>
    <cellStyle name="Comma 9 2 5 3 4" xfId="4573" xr:uid="{00000000-0005-0000-0000-0000C3110000}"/>
    <cellStyle name="Comma 9 2 5 3 5" xfId="4574" xr:uid="{00000000-0005-0000-0000-0000C4110000}"/>
    <cellStyle name="Comma 9 2 5 3 6" xfId="4575" xr:uid="{00000000-0005-0000-0000-0000C5110000}"/>
    <cellStyle name="Comma 9 2 5 4" xfId="4576" xr:uid="{00000000-0005-0000-0000-0000C6110000}"/>
    <cellStyle name="Comma 9 2 5 5" xfId="4577" xr:uid="{00000000-0005-0000-0000-0000C7110000}"/>
    <cellStyle name="Comma 9 2 5 6" xfId="4578" xr:uid="{00000000-0005-0000-0000-0000C8110000}"/>
    <cellStyle name="Comma 9 2 5 7" xfId="4579" xr:uid="{00000000-0005-0000-0000-0000C9110000}"/>
    <cellStyle name="Comma 9 2 5 8" xfId="4580" xr:uid="{00000000-0005-0000-0000-0000CA110000}"/>
    <cellStyle name="Comma 9 2 6" xfId="4581" xr:uid="{00000000-0005-0000-0000-0000CB110000}"/>
    <cellStyle name="Comma 9 2 6 2" xfId="4582" xr:uid="{00000000-0005-0000-0000-0000CC110000}"/>
    <cellStyle name="Comma 9 2 6 3" xfId="4583" xr:uid="{00000000-0005-0000-0000-0000CD110000}"/>
    <cellStyle name="Comma 9 2 6 4" xfId="4584" xr:uid="{00000000-0005-0000-0000-0000CE110000}"/>
    <cellStyle name="Comma 9 2 6 5" xfId="4585" xr:uid="{00000000-0005-0000-0000-0000CF110000}"/>
    <cellStyle name="Comma 9 2 6 6" xfId="4586" xr:uid="{00000000-0005-0000-0000-0000D0110000}"/>
    <cellStyle name="Comma 9 2 7" xfId="4587" xr:uid="{00000000-0005-0000-0000-0000D1110000}"/>
    <cellStyle name="Comma 9 2 7 2" xfId="4588" xr:uid="{00000000-0005-0000-0000-0000D2110000}"/>
    <cellStyle name="Comma 9 2 7 3" xfId="4589" xr:uid="{00000000-0005-0000-0000-0000D3110000}"/>
    <cellStyle name="Comma 9 2 7 4" xfId="4590" xr:uid="{00000000-0005-0000-0000-0000D4110000}"/>
    <cellStyle name="Comma 9 2 7 5" xfId="4591" xr:uid="{00000000-0005-0000-0000-0000D5110000}"/>
    <cellStyle name="Comma 9 2 7 6" xfId="4592" xr:uid="{00000000-0005-0000-0000-0000D6110000}"/>
    <cellStyle name="Comma 9 2 8" xfId="4593" xr:uid="{00000000-0005-0000-0000-0000D7110000}"/>
    <cellStyle name="Comma 9 2 9" xfId="4594" xr:uid="{00000000-0005-0000-0000-0000D8110000}"/>
    <cellStyle name="Comma 9 3" xfId="4595" xr:uid="{00000000-0005-0000-0000-0000D9110000}"/>
    <cellStyle name="Comma 9 3 10" xfId="4596" xr:uid="{00000000-0005-0000-0000-0000DA110000}"/>
    <cellStyle name="Comma 9 3 11" xfId="4597" xr:uid="{00000000-0005-0000-0000-0000DB110000}"/>
    <cellStyle name="Comma 9 3 12" xfId="4598" xr:uid="{00000000-0005-0000-0000-0000DC110000}"/>
    <cellStyle name="Comma 9 3 2" xfId="4599" xr:uid="{00000000-0005-0000-0000-0000DD110000}"/>
    <cellStyle name="Comma 9 3 2 10" xfId="4600" xr:uid="{00000000-0005-0000-0000-0000DE110000}"/>
    <cellStyle name="Comma 9 3 2 11" xfId="4601" xr:uid="{00000000-0005-0000-0000-0000DF110000}"/>
    <cellStyle name="Comma 9 3 2 2" xfId="4602" xr:uid="{00000000-0005-0000-0000-0000E0110000}"/>
    <cellStyle name="Comma 9 3 2 2 2" xfId="4603" xr:uid="{00000000-0005-0000-0000-0000E1110000}"/>
    <cellStyle name="Comma 9 3 2 2 2 2" xfId="4604" xr:uid="{00000000-0005-0000-0000-0000E2110000}"/>
    <cellStyle name="Comma 9 3 2 2 2 3" xfId="4605" xr:uid="{00000000-0005-0000-0000-0000E3110000}"/>
    <cellStyle name="Comma 9 3 2 2 2 4" xfId="4606" xr:uid="{00000000-0005-0000-0000-0000E4110000}"/>
    <cellStyle name="Comma 9 3 2 2 2 5" xfId="4607" xr:uid="{00000000-0005-0000-0000-0000E5110000}"/>
    <cellStyle name="Comma 9 3 2 2 2 6" xfId="4608" xr:uid="{00000000-0005-0000-0000-0000E6110000}"/>
    <cellStyle name="Comma 9 3 2 2 3" xfId="4609" xr:uid="{00000000-0005-0000-0000-0000E7110000}"/>
    <cellStyle name="Comma 9 3 2 2 3 2" xfId="4610" xr:uid="{00000000-0005-0000-0000-0000E8110000}"/>
    <cellStyle name="Comma 9 3 2 2 3 3" xfId="4611" xr:uid="{00000000-0005-0000-0000-0000E9110000}"/>
    <cellStyle name="Comma 9 3 2 2 3 4" xfId="4612" xr:uid="{00000000-0005-0000-0000-0000EA110000}"/>
    <cellStyle name="Comma 9 3 2 2 3 5" xfId="4613" xr:uid="{00000000-0005-0000-0000-0000EB110000}"/>
    <cellStyle name="Comma 9 3 2 2 3 6" xfId="4614" xr:uid="{00000000-0005-0000-0000-0000EC110000}"/>
    <cellStyle name="Comma 9 3 2 2 4" xfId="4615" xr:uid="{00000000-0005-0000-0000-0000ED110000}"/>
    <cellStyle name="Comma 9 3 2 2 5" xfId="4616" xr:uid="{00000000-0005-0000-0000-0000EE110000}"/>
    <cellStyle name="Comma 9 3 2 2 6" xfId="4617" xr:uid="{00000000-0005-0000-0000-0000EF110000}"/>
    <cellStyle name="Comma 9 3 2 2 7" xfId="4618" xr:uid="{00000000-0005-0000-0000-0000F0110000}"/>
    <cellStyle name="Comma 9 3 2 2 8" xfId="4619" xr:uid="{00000000-0005-0000-0000-0000F1110000}"/>
    <cellStyle name="Comma 9 3 2 3" xfId="4620" xr:uid="{00000000-0005-0000-0000-0000F2110000}"/>
    <cellStyle name="Comma 9 3 2 3 2" xfId="4621" xr:uid="{00000000-0005-0000-0000-0000F3110000}"/>
    <cellStyle name="Comma 9 3 2 3 2 2" xfId="4622" xr:uid="{00000000-0005-0000-0000-0000F4110000}"/>
    <cellStyle name="Comma 9 3 2 3 2 3" xfId="4623" xr:uid="{00000000-0005-0000-0000-0000F5110000}"/>
    <cellStyle name="Comma 9 3 2 3 2 4" xfId="4624" xr:uid="{00000000-0005-0000-0000-0000F6110000}"/>
    <cellStyle name="Comma 9 3 2 3 2 5" xfId="4625" xr:uid="{00000000-0005-0000-0000-0000F7110000}"/>
    <cellStyle name="Comma 9 3 2 3 2 6" xfId="4626" xr:uid="{00000000-0005-0000-0000-0000F8110000}"/>
    <cellStyle name="Comma 9 3 2 3 3" xfId="4627" xr:uid="{00000000-0005-0000-0000-0000F9110000}"/>
    <cellStyle name="Comma 9 3 2 3 3 2" xfId="4628" xr:uid="{00000000-0005-0000-0000-0000FA110000}"/>
    <cellStyle name="Comma 9 3 2 3 3 3" xfId="4629" xr:uid="{00000000-0005-0000-0000-0000FB110000}"/>
    <cellStyle name="Comma 9 3 2 3 3 4" xfId="4630" xr:uid="{00000000-0005-0000-0000-0000FC110000}"/>
    <cellStyle name="Comma 9 3 2 3 3 5" xfId="4631" xr:uid="{00000000-0005-0000-0000-0000FD110000}"/>
    <cellStyle name="Comma 9 3 2 3 3 6" xfId="4632" xr:uid="{00000000-0005-0000-0000-0000FE110000}"/>
    <cellStyle name="Comma 9 3 2 3 4" xfId="4633" xr:uid="{00000000-0005-0000-0000-0000FF110000}"/>
    <cellStyle name="Comma 9 3 2 3 5" xfId="4634" xr:uid="{00000000-0005-0000-0000-000000120000}"/>
    <cellStyle name="Comma 9 3 2 3 6" xfId="4635" xr:uid="{00000000-0005-0000-0000-000001120000}"/>
    <cellStyle name="Comma 9 3 2 3 7" xfId="4636" xr:uid="{00000000-0005-0000-0000-000002120000}"/>
    <cellStyle name="Comma 9 3 2 3 8" xfId="4637" xr:uid="{00000000-0005-0000-0000-000003120000}"/>
    <cellStyle name="Comma 9 3 2 4" xfId="4638" xr:uid="{00000000-0005-0000-0000-000004120000}"/>
    <cellStyle name="Comma 9 3 2 4 2" xfId="4639" xr:uid="{00000000-0005-0000-0000-000005120000}"/>
    <cellStyle name="Comma 9 3 2 4 2 2" xfId="4640" xr:uid="{00000000-0005-0000-0000-000006120000}"/>
    <cellStyle name="Comma 9 3 2 4 2 3" xfId="4641" xr:uid="{00000000-0005-0000-0000-000007120000}"/>
    <cellStyle name="Comma 9 3 2 4 2 4" xfId="4642" xr:uid="{00000000-0005-0000-0000-000008120000}"/>
    <cellStyle name="Comma 9 3 2 4 2 5" xfId="4643" xr:uid="{00000000-0005-0000-0000-000009120000}"/>
    <cellStyle name="Comma 9 3 2 4 2 6" xfId="4644" xr:uid="{00000000-0005-0000-0000-00000A120000}"/>
    <cellStyle name="Comma 9 3 2 4 3" xfId="4645" xr:uid="{00000000-0005-0000-0000-00000B120000}"/>
    <cellStyle name="Comma 9 3 2 4 3 2" xfId="4646" xr:uid="{00000000-0005-0000-0000-00000C120000}"/>
    <cellStyle name="Comma 9 3 2 4 3 3" xfId="4647" xr:uid="{00000000-0005-0000-0000-00000D120000}"/>
    <cellStyle name="Comma 9 3 2 4 3 4" xfId="4648" xr:uid="{00000000-0005-0000-0000-00000E120000}"/>
    <cellStyle name="Comma 9 3 2 4 3 5" xfId="4649" xr:uid="{00000000-0005-0000-0000-00000F120000}"/>
    <cellStyle name="Comma 9 3 2 4 3 6" xfId="4650" xr:uid="{00000000-0005-0000-0000-000010120000}"/>
    <cellStyle name="Comma 9 3 2 4 4" xfId="4651" xr:uid="{00000000-0005-0000-0000-000011120000}"/>
    <cellStyle name="Comma 9 3 2 4 5" xfId="4652" xr:uid="{00000000-0005-0000-0000-000012120000}"/>
    <cellStyle name="Comma 9 3 2 4 6" xfId="4653" xr:uid="{00000000-0005-0000-0000-000013120000}"/>
    <cellStyle name="Comma 9 3 2 4 7" xfId="4654" xr:uid="{00000000-0005-0000-0000-000014120000}"/>
    <cellStyle name="Comma 9 3 2 4 8" xfId="4655" xr:uid="{00000000-0005-0000-0000-000015120000}"/>
    <cellStyle name="Comma 9 3 2 5" xfId="4656" xr:uid="{00000000-0005-0000-0000-000016120000}"/>
    <cellStyle name="Comma 9 3 2 5 2" xfId="4657" xr:uid="{00000000-0005-0000-0000-000017120000}"/>
    <cellStyle name="Comma 9 3 2 5 3" xfId="4658" xr:uid="{00000000-0005-0000-0000-000018120000}"/>
    <cellStyle name="Comma 9 3 2 5 4" xfId="4659" xr:uid="{00000000-0005-0000-0000-000019120000}"/>
    <cellStyle name="Comma 9 3 2 5 5" xfId="4660" xr:uid="{00000000-0005-0000-0000-00001A120000}"/>
    <cellStyle name="Comma 9 3 2 5 6" xfId="4661" xr:uid="{00000000-0005-0000-0000-00001B120000}"/>
    <cellStyle name="Comma 9 3 2 6" xfId="4662" xr:uid="{00000000-0005-0000-0000-00001C120000}"/>
    <cellStyle name="Comma 9 3 2 6 2" xfId="4663" xr:uid="{00000000-0005-0000-0000-00001D120000}"/>
    <cellStyle name="Comma 9 3 2 6 3" xfId="4664" xr:uid="{00000000-0005-0000-0000-00001E120000}"/>
    <cellStyle name="Comma 9 3 2 6 4" xfId="4665" xr:uid="{00000000-0005-0000-0000-00001F120000}"/>
    <cellStyle name="Comma 9 3 2 6 5" xfId="4666" xr:uid="{00000000-0005-0000-0000-000020120000}"/>
    <cellStyle name="Comma 9 3 2 6 6" xfId="4667" xr:uid="{00000000-0005-0000-0000-000021120000}"/>
    <cellStyle name="Comma 9 3 2 7" xfId="4668" xr:uid="{00000000-0005-0000-0000-000022120000}"/>
    <cellStyle name="Comma 9 3 2 8" xfId="4669" xr:uid="{00000000-0005-0000-0000-000023120000}"/>
    <cellStyle name="Comma 9 3 2 9" xfId="4670" xr:uid="{00000000-0005-0000-0000-000024120000}"/>
    <cellStyle name="Comma 9 3 3" xfId="4671" xr:uid="{00000000-0005-0000-0000-000025120000}"/>
    <cellStyle name="Comma 9 3 3 2" xfId="4672" xr:uid="{00000000-0005-0000-0000-000026120000}"/>
    <cellStyle name="Comma 9 3 3 2 2" xfId="4673" xr:uid="{00000000-0005-0000-0000-000027120000}"/>
    <cellStyle name="Comma 9 3 3 2 3" xfId="4674" xr:uid="{00000000-0005-0000-0000-000028120000}"/>
    <cellStyle name="Comma 9 3 3 2 4" xfId="4675" xr:uid="{00000000-0005-0000-0000-000029120000}"/>
    <cellStyle name="Comma 9 3 3 2 5" xfId="4676" xr:uid="{00000000-0005-0000-0000-00002A120000}"/>
    <cellStyle name="Comma 9 3 3 2 6" xfId="4677" xr:uid="{00000000-0005-0000-0000-00002B120000}"/>
    <cellStyle name="Comma 9 3 3 3" xfId="4678" xr:uid="{00000000-0005-0000-0000-00002C120000}"/>
    <cellStyle name="Comma 9 3 3 3 2" xfId="4679" xr:uid="{00000000-0005-0000-0000-00002D120000}"/>
    <cellStyle name="Comma 9 3 3 3 3" xfId="4680" xr:uid="{00000000-0005-0000-0000-00002E120000}"/>
    <cellStyle name="Comma 9 3 3 3 4" xfId="4681" xr:uid="{00000000-0005-0000-0000-00002F120000}"/>
    <cellStyle name="Comma 9 3 3 3 5" xfId="4682" xr:uid="{00000000-0005-0000-0000-000030120000}"/>
    <cellStyle name="Comma 9 3 3 3 6" xfId="4683" xr:uid="{00000000-0005-0000-0000-000031120000}"/>
    <cellStyle name="Comma 9 3 3 4" xfId="4684" xr:uid="{00000000-0005-0000-0000-000032120000}"/>
    <cellStyle name="Comma 9 3 3 5" xfId="4685" xr:uid="{00000000-0005-0000-0000-000033120000}"/>
    <cellStyle name="Comma 9 3 3 6" xfId="4686" xr:uid="{00000000-0005-0000-0000-000034120000}"/>
    <cellStyle name="Comma 9 3 3 7" xfId="4687" xr:uid="{00000000-0005-0000-0000-000035120000}"/>
    <cellStyle name="Comma 9 3 3 8" xfId="4688" xr:uid="{00000000-0005-0000-0000-000036120000}"/>
    <cellStyle name="Comma 9 3 4" xfId="4689" xr:uid="{00000000-0005-0000-0000-000037120000}"/>
    <cellStyle name="Comma 9 3 4 2" xfId="4690" xr:uid="{00000000-0005-0000-0000-000038120000}"/>
    <cellStyle name="Comma 9 3 4 2 2" xfId="4691" xr:uid="{00000000-0005-0000-0000-000039120000}"/>
    <cellStyle name="Comma 9 3 4 2 3" xfId="4692" xr:uid="{00000000-0005-0000-0000-00003A120000}"/>
    <cellStyle name="Comma 9 3 4 2 4" xfId="4693" xr:uid="{00000000-0005-0000-0000-00003B120000}"/>
    <cellStyle name="Comma 9 3 4 2 5" xfId="4694" xr:uid="{00000000-0005-0000-0000-00003C120000}"/>
    <cellStyle name="Comma 9 3 4 2 6" xfId="4695" xr:uid="{00000000-0005-0000-0000-00003D120000}"/>
    <cellStyle name="Comma 9 3 4 3" xfId="4696" xr:uid="{00000000-0005-0000-0000-00003E120000}"/>
    <cellStyle name="Comma 9 3 4 3 2" xfId="4697" xr:uid="{00000000-0005-0000-0000-00003F120000}"/>
    <cellStyle name="Comma 9 3 4 3 3" xfId="4698" xr:uid="{00000000-0005-0000-0000-000040120000}"/>
    <cellStyle name="Comma 9 3 4 3 4" xfId="4699" xr:uid="{00000000-0005-0000-0000-000041120000}"/>
    <cellStyle name="Comma 9 3 4 3 5" xfId="4700" xr:uid="{00000000-0005-0000-0000-000042120000}"/>
    <cellStyle name="Comma 9 3 4 3 6" xfId="4701" xr:uid="{00000000-0005-0000-0000-000043120000}"/>
    <cellStyle name="Comma 9 3 4 4" xfId="4702" xr:uid="{00000000-0005-0000-0000-000044120000}"/>
    <cellStyle name="Comma 9 3 4 5" xfId="4703" xr:uid="{00000000-0005-0000-0000-000045120000}"/>
    <cellStyle name="Comma 9 3 4 6" xfId="4704" xr:uid="{00000000-0005-0000-0000-000046120000}"/>
    <cellStyle name="Comma 9 3 4 7" xfId="4705" xr:uid="{00000000-0005-0000-0000-000047120000}"/>
    <cellStyle name="Comma 9 3 4 8" xfId="4706" xr:uid="{00000000-0005-0000-0000-000048120000}"/>
    <cellStyle name="Comma 9 3 5" xfId="4707" xr:uid="{00000000-0005-0000-0000-000049120000}"/>
    <cellStyle name="Comma 9 3 5 2" xfId="4708" xr:uid="{00000000-0005-0000-0000-00004A120000}"/>
    <cellStyle name="Comma 9 3 5 2 2" xfId="4709" xr:uid="{00000000-0005-0000-0000-00004B120000}"/>
    <cellStyle name="Comma 9 3 5 2 3" xfId="4710" xr:uid="{00000000-0005-0000-0000-00004C120000}"/>
    <cellStyle name="Comma 9 3 5 2 4" xfId="4711" xr:uid="{00000000-0005-0000-0000-00004D120000}"/>
    <cellStyle name="Comma 9 3 5 2 5" xfId="4712" xr:uid="{00000000-0005-0000-0000-00004E120000}"/>
    <cellStyle name="Comma 9 3 5 2 6" xfId="4713" xr:uid="{00000000-0005-0000-0000-00004F120000}"/>
    <cellStyle name="Comma 9 3 5 3" xfId="4714" xr:uid="{00000000-0005-0000-0000-000050120000}"/>
    <cellStyle name="Comma 9 3 5 3 2" xfId="4715" xr:uid="{00000000-0005-0000-0000-000051120000}"/>
    <cellStyle name="Comma 9 3 5 3 3" xfId="4716" xr:uid="{00000000-0005-0000-0000-000052120000}"/>
    <cellStyle name="Comma 9 3 5 3 4" xfId="4717" xr:uid="{00000000-0005-0000-0000-000053120000}"/>
    <cellStyle name="Comma 9 3 5 3 5" xfId="4718" xr:uid="{00000000-0005-0000-0000-000054120000}"/>
    <cellStyle name="Comma 9 3 5 3 6" xfId="4719" xr:uid="{00000000-0005-0000-0000-000055120000}"/>
    <cellStyle name="Comma 9 3 5 4" xfId="4720" xr:uid="{00000000-0005-0000-0000-000056120000}"/>
    <cellStyle name="Comma 9 3 5 5" xfId="4721" xr:uid="{00000000-0005-0000-0000-000057120000}"/>
    <cellStyle name="Comma 9 3 5 6" xfId="4722" xr:uid="{00000000-0005-0000-0000-000058120000}"/>
    <cellStyle name="Comma 9 3 5 7" xfId="4723" xr:uid="{00000000-0005-0000-0000-000059120000}"/>
    <cellStyle name="Comma 9 3 5 8" xfId="4724" xr:uid="{00000000-0005-0000-0000-00005A120000}"/>
    <cellStyle name="Comma 9 3 6" xfId="4725" xr:uid="{00000000-0005-0000-0000-00005B120000}"/>
    <cellStyle name="Comma 9 3 6 2" xfId="4726" xr:uid="{00000000-0005-0000-0000-00005C120000}"/>
    <cellStyle name="Comma 9 3 6 3" xfId="4727" xr:uid="{00000000-0005-0000-0000-00005D120000}"/>
    <cellStyle name="Comma 9 3 6 4" xfId="4728" xr:uid="{00000000-0005-0000-0000-00005E120000}"/>
    <cellStyle name="Comma 9 3 6 5" xfId="4729" xr:uid="{00000000-0005-0000-0000-00005F120000}"/>
    <cellStyle name="Comma 9 3 6 6" xfId="4730" xr:uid="{00000000-0005-0000-0000-000060120000}"/>
    <cellStyle name="Comma 9 3 7" xfId="4731" xr:uid="{00000000-0005-0000-0000-000061120000}"/>
    <cellStyle name="Comma 9 3 7 2" xfId="4732" xr:uid="{00000000-0005-0000-0000-000062120000}"/>
    <cellStyle name="Comma 9 3 7 3" xfId="4733" xr:uid="{00000000-0005-0000-0000-000063120000}"/>
    <cellStyle name="Comma 9 3 7 4" xfId="4734" xr:uid="{00000000-0005-0000-0000-000064120000}"/>
    <cellStyle name="Comma 9 3 7 5" xfId="4735" xr:uid="{00000000-0005-0000-0000-000065120000}"/>
    <cellStyle name="Comma 9 3 7 6" xfId="4736" xr:uid="{00000000-0005-0000-0000-000066120000}"/>
    <cellStyle name="Comma 9 3 8" xfId="4737" xr:uid="{00000000-0005-0000-0000-000067120000}"/>
    <cellStyle name="Comma 9 3 9" xfId="4738" xr:uid="{00000000-0005-0000-0000-000068120000}"/>
    <cellStyle name="Comma 9 4" xfId="4739" xr:uid="{00000000-0005-0000-0000-000069120000}"/>
    <cellStyle name="Comma 9 4 10" xfId="4740" xr:uid="{00000000-0005-0000-0000-00006A120000}"/>
    <cellStyle name="Comma 9 4 11" xfId="4741" xr:uid="{00000000-0005-0000-0000-00006B120000}"/>
    <cellStyle name="Comma 9 4 2" xfId="4742" xr:uid="{00000000-0005-0000-0000-00006C120000}"/>
    <cellStyle name="Comma 9 4 2 2" xfId="4743" xr:uid="{00000000-0005-0000-0000-00006D120000}"/>
    <cellStyle name="Comma 9 4 2 2 2" xfId="4744" xr:uid="{00000000-0005-0000-0000-00006E120000}"/>
    <cellStyle name="Comma 9 4 2 2 3" xfId="4745" xr:uid="{00000000-0005-0000-0000-00006F120000}"/>
    <cellStyle name="Comma 9 4 2 2 4" xfId="4746" xr:uid="{00000000-0005-0000-0000-000070120000}"/>
    <cellStyle name="Comma 9 4 2 2 5" xfId="4747" xr:uid="{00000000-0005-0000-0000-000071120000}"/>
    <cellStyle name="Comma 9 4 2 2 6" xfId="4748" xr:uid="{00000000-0005-0000-0000-000072120000}"/>
    <cellStyle name="Comma 9 4 2 3" xfId="4749" xr:uid="{00000000-0005-0000-0000-000073120000}"/>
    <cellStyle name="Comma 9 4 2 3 2" xfId="4750" xr:uid="{00000000-0005-0000-0000-000074120000}"/>
    <cellStyle name="Comma 9 4 2 3 3" xfId="4751" xr:uid="{00000000-0005-0000-0000-000075120000}"/>
    <cellStyle name="Comma 9 4 2 3 4" xfId="4752" xr:uid="{00000000-0005-0000-0000-000076120000}"/>
    <cellStyle name="Comma 9 4 2 3 5" xfId="4753" xr:uid="{00000000-0005-0000-0000-000077120000}"/>
    <cellStyle name="Comma 9 4 2 3 6" xfId="4754" xr:uid="{00000000-0005-0000-0000-000078120000}"/>
    <cellStyle name="Comma 9 4 2 4" xfId="4755" xr:uid="{00000000-0005-0000-0000-000079120000}"/>
    <cellStyle name="Comma 9 4 2 5" xfId="4756" xr:uid="{00000000-0005-0000-0000-00007A120000}"/>
    <cellStyle name="Comma 9 4 2 6" xfId="4757" xr:uid="{00000000-0005-0000-0000-00007B120000}"/>
    <cellStyle name="Comma 9 4 2 7" xfId="4758" xr:uid="{00000000-0005-0000-0000-00007C120000}"/>
    <cellStyle name="Comma 9 4 2 8" xfId="4759" xr:uid="{00000000-0005-0000-0000-00007D120000}"/>
    <cellStyle name="Comma 9 4 3" xfId="4760" xr:uid="{00000000-0005-0000-0000-00007E120000}"/>
    <cellStyle name="Comma 9 4 3 2" xfId="4761" xr:uid="{00000000-0005-0000-0000-00007F120000}"/>
    <cellStyle name="Comma 9 4 3 2 2" xfId="4762" xr:uid="{00000000-0005-0000-0000-000080120000}"/>
    <cellStyle name="Comma 9 4 3 2 3" xfId="4763" xr:uid="{00000000-0005-0000-0000-000081120000}"/>
    <cellStyle name="Comma 9 4 3 2 4" xfId="4764" xr:uid="{00000000-0005-0000-0000-000082120000}"/>
    <cellStyle name="Comma 9 4 3 2 5" xfId="4765" xr:uid="{00000000-0005-0000-0000-000083120000}"/>
    <cellStyle name="Comma 9 4 3 2 6" xfId="4766" xr:uid="{00000000-0005-0000-0000-000084120000}"/>
    <cellStyle name="Comma 9 4 3 3" xfId="4767" xr:uid="{00000000-0005-0000-0000-000085120000}"/>
    <cellStyle name="Comma 9 4 3 3 2" xfId="4768" xr:uid="{00000000-0005-0000-0000-000086120000}"/>
    <cellStyle name="Comma 9 4 3 3 3" xfId="4769" xr:uid="{00000000-0005-0000-0000-000087120000}"/>
    <cellStyle name="Comma 9 4 3 3 4" xfId="4770" xr:uid="{00000000-0005-0000-0000-000088120000}"/>
    <cellStyle name="Comma 9 4 3 3 5" xfId="4771" xr:uid="{00000000-0005-0000-0000-000089120000}"/>
    <cellStyle name="Comma 9 4 3 3 6" xfId="4772" xr:uid="{00000000-0005-0000-0000-00008A120000}"/>
    <cellStyle name="Comma 9 4 3 4" xfId="4773" xr:uid="{00000000-0005-0000-0000-00008B120000}"/>
    <cellStyle name="Comma 9 4 3 5" xfId="4774" xr:uid="{00000000-0005-0000-0000-00008C120000}"/>
    <cellStyle name="Comma 9 4 3 6" xfId="4775" xr:uid="{00000000-0005-0000-0000-00008D120000}"/>
    <cellStyle name="Comma 9 4 3 7" xfId="4776" xr:uid="{00000000-0005-0000-0000-00008E120000}"/>
    <cellStyle name="Comma 9 4 3 8" xfId="4777" xr:uid="{00000000-0005-0000-0000-00008F120000}"/>
    <cellStyle name="Comma 9 4 4" xfId="4778" xr:uid="{00000000-0005-0000-0000-000090120000}"/>
    <cellStyle name="Comma 9 4 4 2" xfId="4779" xr:uid="{00000000-0005-0000-0000-000091120000}"/>
    <cellStyle name="Comma 9 4 4 2 2" xfId="4780" xr:uid="{00000000-0005-0000-0000-000092120000}"/>
    <cellStyle name="Comma 9 4 4 2 3" xfId="4781" xr:uid="{00000000-0005-0000-0000-000093120000}"/>
    <cellStyle name="Comma 9 4 4 2 4" xfId="4782" xr:uid="{00000000-0005-0000-0000-000094120000}"/>
    <cellStyle name="Comma 9 4 4 2 5" xfId="4783" xr:uid="{00000000-0005-0000-0000-000095120000}"/>
    <cellStyle name="Comma 9 4 4 2 6" xfId="4784" xr:uid="{00000000-0005-0000-0000-000096120000}"/>
    <cellStyle name="Comma 9 4 4 3" xfId="4785" xr:uid="{00000000-0005-0000-0000-000097120000}"/>
    <cellStyle name="Comma 9 4 4 3 2" xfId="4786" xr:uid="{00000000-0005-0000-0000-000098120000}"/>
    <cellStyle name="Comma 9 4 4 3 3" xfId="4787" xr:uid="{00000000-0005-0000-0000-000099120000}"/>
    <cellStyle name="Comma 9 4 4 3 4" xfId="4788" xr:uid="{00000000-0005-0000-0000-00009A120000}"/>
    <cellStyle name="Comma 9 4 4 3 5" xfId="4789" xr:uid="{00000000-0005-0000-0000-00009B120000}"/>
    <cellStyle name="Comma 9 4 4 3 6" xfId="4790" xr:uid="{00000000-0005-0000-0000-00009C120000}"/>
    <cellStyle name="Comma 9 4 4 4" xfId="4791" xr:uid="{00000000-0005-0000-0000-00009D120000}"/>
    <cellStyle name="Comma 9 4 4 5" xfId="4792" xr:uid="{00000000-0005-0000-0000-00009E120000}"/>
    <cellStyle name="Comma 9 4 4 6" xfId="4793" xr:uid="{00000000-0005-0000-0000-00009F120000}"/>
    <cellStyle name="Comma 9 4 4 7" xfId="4794" xr:uid="{00000000-0005-0000-0000-0000A0120000}"/>
    <cellStyle name="Comma 9 4 4 8" xfId="4795" xr:uid="{00000000-0005-0000-0000-0000A1120000}"/>
    <cellStyle name="Comma 9 4 5" xfId="4796" xr:uid="{00000000-0005-0000-0000-0000A2120000}"/>
    <cellStyle name="Comma 9 4 5 2" xfId="4797" xr:uid="{00000000-0005-0000-0000-0000A3120000}"/>
    <cellStyle name="Comma 9 4 5 3" xfId="4798" xr:uid="{00000000-0005-0000-0000-0000A4120000}"/>
    <cellStyle name="Comma 9 4 5 4" xfId="4799" xr:uid="{00000000-0005-0000-0000-0000A5120000}"/>
    <cellStyle name="Comma 9 4 5 5" xfId="4800" xr:uid="{00000000-0005-0000-0000-0000A6120000}"/>
    <cellStyle name="Comma 9 4 5 6" xfId="4801" xr:uid="{00000000-0005-0000-0000-0000A7120000}"/>
    <cellStyle name="Comma 9 4 6" xfId="4802" xr:uid="{00000000-0005-0000-0000-0000A8120000}"/>
    <cellStyle name="Comma 9 4 6 2" xfId="4803" xr:uid="{00000000-0005-0000-0000-0000A9120000}"/>
    <cellStyle name="Comma 9 4 6 3" xfId="4804" xr:uid="{00000000-0005-0000-0000-0000AA120000}"/>
    <cellStyle name="Comma 9 4 6 4" xfId="4805" xr:uid="{00000000-0005-0000-0000-0000AB120000}"/>
    <cellStyle name="Comma 9 4 6 5" xfId="4806" xr:uid="{00000000-0005-0000-0000-0000AC120000}"/>
    <cellStyle name="Comma 9 4 6 6" xfId="4807" xr:uid="{00000000-0005-0000-0000-0000AD120000}"/>
    <cellStyle name="Comma 9 4 7" xfId="4808" xr:uid="{00000000-0005-0000-0000-0000AE120000}"/>
    <cellStyle name="Comma 9 4 8" xfId="4809" xr:uid="{00000000-0005-0000-0000-0000AF120000}"/>
    <cellStyle name="Comma 9 4 9" xfId="4810" xr:uid="{00000000-0005-0000-0000-0000B0120000}"/>
    <cellStyle name="Comma 9 5" xfId="4811" xr:uid="{00000000-0005-0000-0000-0000B1120000}"/>
    <cellStyle name="Comma 9 6" xfId="4812" xr:uid="{00000000-0005-0000-0000-0000B2120000}"/>
    <cellStyle name="Comma 9 6 2" xfId="4813" xr:uid="{00000000-0005-0000-0000-0000B3120000}"/>
    <cellStyle name="Comma 9 6 2 2" xfId="4814" xr:uid="{00000000-0005-0000-0000-0000B4120000}"/>
    <cellStyle name="Comma 9 6 2 3" xfId="4815" xr:uid="{00000000-0005-0000-0000-0000B5120000}"/>
    <cellStyle name="Comma 9 6 2 4" xfId="4816" xr:uid="{00000000-0005-0000-0000-0000B6120000}"/>
    <cellStyle name="Comma 9 6 2 5" xfId="4817" xr:uid="{00000000-0005-0000-0000-0000B7120000}"/>
    <cellStyle name="Comma 9 6 2 6" xfId="4818" xr:uid="{00000000-0005-0000-0000-0000B8120000}"/>
    <cellStyle name="Comma 9 6 3" xfId="4819" xr:uid="{00000000-0005-0000-0000-0000B9120000}"/>
    <cellStyle name="Comma 9 6 3 2" xfId="4820" xr:uid="{00000000-0005-0000-0000-0000BA120000}"/>
    <cellStyle name="Comma 9 6 3 3" xfId="4821" xr:uid="{00000000-0005-0000-0000-0000BB120000}"/>
    <cellStyle name="Comma 9 6 3 4" xfId="4822" xr:uid="{00000000-0005-0000-0000-0000BC120000}"/>
    <cellStyle name="Comma 9 6 3 5" xfId="4823" xr:uid="{00000000-0005-0000-0000-0000BD120000}"/>
    <cellStyle name="Comma 9 6 3 6" xfId="4824" xr:uid="{00000000-0005-0000-0000-0000BE120000}"/>
    <cellStyle name="Comma 9 6 4" xfId="4825" xr:uid="{00000000-0005-0000-0000-0000BF120000}"/>
    <cellStyle name="Comma 9 6 5" xfId="4826" xr:uid="{00000000-0005-0000-0000-0000C0120000}"/>
    <cellStyle name="Comma 9 6 6" xfId="4827" xr:uid="{00000000-0005-0000-0000-0000C1120000}"/>
    <cellStyle name="Comma 9 6 7" xfId="4828" xr:uid="{00000000-0005-0000-0000-0000C2120000}"/>
    <cellStyle name="Comma 9 6 8" xfId="4829" xr:uid="{00000000-0005-0000-0000-0000C3120000}"/>
    <cellStyle name="Comma 9 7" xfId="4830" xr:uid="{00000000-0005-0000-0000-0000C4120000}"/>
    <cellStyle name="Comma 9 7 2" xfId="4831" xr:uid="{00000000-0005-0000-0000-0000C5120000}"/>
    <cellStyle name="Comma 9 7 2 2" xfId="4832" xr:uid="{00000000-0005-0000-0000-0000C6120000}"/>
    <cellStyle name="Comma 9 7 2 3" xfId="4833" xr:uid="{00000000-0005-0000-0000-0000C7120000}"/>
    <cellStyle name="Comma 9 7 2 4" xfId="4834" xr:uid="{00000000-0005-0000-0000-0000C8120000}"/>
    <cellStyle name="Comma 9 7 2 5" xfId="4835" xr:uid="{00000000-0005-0000-0000-0000C9120000}"/>
    <cellStyle name="Comma 9 7 2 6" xfId="4836" xr:uid="{00000000-0005-0000-0000-0000CA120000}"/>
    <cellStyle name="Comma 9 7 3" xfId="4837" xr:uid="{00000000-0005-0000-0000-0000CB120000}"/>
    <cellStyle name="Comma 9 7 3 2" xfId="4838" xr:uid="{00000000-0005-0000-0000-0000CC120000}"/>
    <cellStyle name="Comma 9 7 3 3" xfId="4839" xr:uid="{00000000-0005-0000-0000-0000CD120000}"/>
    <cellStyle name="Comma 9 7 3 4" xfId="4840" xr:uid="{00000000-0005-0000-0000-0000CE120000}"/>
    <cellStyle name="Comma 9 7 3 5" xfId="4841" xr:uid="{00000000-0005-0000-0000-0000CF120000}"/>
    <cellStyle name="Comma 9 7 3 6" xfId="4842" xr:uid="{00000000-0005-0000-0000-0000D0120000}"/>
    <cellStyle name="Comma 9 7 4" xfId="4843" xr:uid="{00000000-0005-0000-0000-0000D1120000}"/>
    <cellStyle name="Comma 9 7 5" xfId="4844" xr:uid="{00000000-0005-0000-0000-0000D2120000}"/>
    <cellStyle name="Comma 9 7 6" xfId="4845" xr:uid="{00000000-0005-0000-0000-0000D3120000}"/>
    <cellStyle name="Comma 9 7 7" xfId="4846" xr:uid="{00000000-0005-0000-0000-0000D4120000}"/>
    <cellStyle name="Comma 9 7 8" xfId="4847" xr:uid="{00000000-0005-0000-0000-0000D5120000}"/>
    <cellStyle name="Comma 9 8" xfId="4848" xr:uid="{00000000-0005-0000-0000-0000D6120000}"/>
    <cellStyle name="Comma 9 8 2" xfId="4849" xr:uid="{00000000-0005-0000-0000-0000D7120000}"/>
    <cellStyle name="Comma 9 8 2 2" xfId="4850" xr:uid="{00000000-0005-0000-0000-0000D8120000}"/>
    <cellStyle name="Comma 9 8 2 3" xfId="4851" xr:uid="{00000000-0005-0000-0000-0000D9120000}"/>
    <cellStyle name="Comma 9 8 2 4" xfId="4852" xr:uid="{00000000-0005-0000-0000-0000DA120000}"/>
    <cellStyle name="Comma 9 8 2 5" xfId="4853" xr:uid="{00000000-0005-0000-0000-0000DB120000}"/>
    <cellStyle name="Comma 9 8 2 6" xfId="4854" xr:uid="{00000000-0005-0000-0000-0000DC120000}"/>
    <cellStyle name="Comma 9 8 3" xfId="4855" xr:uid="{00000000-0005-0000-0000-0000DD120000}"/>
    <cellStyle name="Comma 9 8 3 2" xfId="4856" xr:uid="{00000000-0005-0000-0000-0000DE120000}"/>
    <cellStyle name="Comma 9 8 3 3" xfId="4857" xr:uid="{00000000-0005-0000-0000-0000DF120000}"/>
    <cellStyle name="Comma 9 8 3 4" xfId="4858" xr:uid="{00000000-0005-0000-0000-0000E0120000}"/>
    <cellStyle name="Comma 9 8 3 5" xfId="4859" xr:uid="{00000000-0005-0000-0000-0000E1120000}"/>
    <cellStyle name="Comma 9 8 3 6" xfId="4860" xr:uid="{00000000-0005-0000-0000-0000E2120000}"/>
    <cellStyle name="Comma 9 8 4" xfId="4861" xr:uid="{00000000-0005-0000-0000-0000E3120000}"/>
    <cellStyle name="Comma 9 8 5" xfId="4862" xr:uid="{00000000-0005-0000-0000-0000E4120000}"/>
    <cellStyle name="Comma 9 8 6" xfId="4863" xr:uid="{00000000-0005-0000-0000-0000E5120000}"/>
    <cellStyle name="Comma 9 8 7" xfId="4864" xr:uid="{00000000-0005-0000-0000-0000E6120000}"/>
    <cellStyle name="Comma 9 8 8" xfId="4865" xr:uid="{00000000-0005-0000-0000-0000E7120000}"/>
    <cellStyle name="Comma 9 9" xfId="4866" xr:uid="{00000000-0005-0000-0000-0000E8120000}"/>
    <cellStyle name="Comma 9 9 2" xfId="4867" xr:uid="{00000000-0005-0000-0000-0000E9120000}"/>
    <cellStyle name="Comma 9 9 3" xfId="4868" xr:uid="{00000000-0005-0000-0000-0000EA120000}"/>
    <cellStyle name="Comma 9 9 4" xfId="4869" xr:uid="{00000000-0005-0000-0000-0000EB120000}"/>
    <cellStyle name="Comma 9 9 5" xfId="4870" xr:uid="{00000000-0005-0000-0000-0000EC120000}"/>
    <cellStyle name="Comma 9 9 6" xfId="4871" xr:uid="{00000000-0005-0000-0000-0000ED120000}"/>
    <cellStyle name="Currency 2" xfId="4872" xr:uid="{00000000-0005-0000-0000-0000EE120000}"/>
    <cellStyle name="Euro" xfId="4873" xr:uid="{00000000-0005-0000-0000-0000EF120000}"/>
    <cellStyle name="Euro 2" xfId="4874" xr:uid="{00000000-0005-0000-0000-0000F0120000}"/>
    <cellStyle name="Good" xfId="40913" builtinId="26"/>
    <cellStyle name="Hyperlink 2" xfId="4875" xr:uid="{00000000-0005-0000-0000-0000F1120000}"/>
    <cellStyle name="Hyperlink 2 2" xfId="4876" xr:uid="{00000000-0005-0000-0000-0000F2120000}"/>
    <cellStyle name="Hyperlink 2 3" xfId="4877" xr:uid="{00000000-0005-0000-0000-0000F3120000}"/>
    <cellStyle name="Milliers_Feuille de travail1" xfId="14" xr:uid="{00000000-0005-0000-0000-0000F4120000}"/>
    <cellStyle name="Normal" xfId="0" builtinId="0"/>
    <cellStyle name="Normal 10" xfId="4878" xr:uid="{00000000-0005-0000-0000-0000F6120000}"/>
    <cellStyle name="Normal 10 10" xfId="4879" xr:uid="{00000000-0005-0000-0000-0000F7120000}"/>
    <cellStyle name="Normal 10 10 2" xfId="4880" xr:uid="{00000000-0005-0000-0000-0000F8120000}"/>
    <cellStyle name="Normal 10 11" xfId="4881" xr:uid="{00000000-0005-0000-0000-0000F9120000}"/>
    <cellStyle name="Normal 10 11 2" xfId="4882" xr:uid="{00000000-0005-0000-0000-0000FA120000}"/>
    <cellStyle name="Normal 10 12" xfId="4883" xr:uid="{00000000-0005-0000-0000-0000FB120000}"/>
    <cellStyle name="Normal 10 12 2" xfId="4884" xr:uid="{00000000-0005-0000-0000-0000FC120000}"/>
    <cellStyle name="Normal 10 13" xfId="4885" xr:uid="{00000000-0005-0000-0000-0000FD120000}"/>
    <cellStyle name="Normal 10 13 2" xfId="4886" xr:uid="{00000000-0005-0000-0000-0000FE120000}"/>
    <cellStyle name="Normal 10 14" xfId="4887" xr:uid="{00000000-0005-0000-0000-0000FF120000}"/>
    <cellStyle name="Normal 10 14 2" xfId="4888" xr:uid="{00000000-0005-0000-0000-000000130000}"/>
    <cellStyle name="Normal 10 15" xfId="4889" xr:uid="{00000000-0005-0000-0000-000001130000}"/>
    <cellStyle name="Normal 10 15 2" xfId="4890" xr:uid="{00000000-0005-0000-0000-000002130000}"/>
    <cellStyle name="Normal 10 16" xfId="4891" xr:uid="{00000000-0005-0000-0000-000003130000}"/>
    <cellStyle name="Normal 10 16 2" xfId="4892" xr:uid="{00000000-0005-0000-0000-000004130000}"/>
    <cellStyle name="Normal 10 17" xfId="4893" xr:uid="{00000000-0005-0000-0000-000005130000}"/>
    <cellStyle name="Normal 10 17 10" xfId="4894" xr:uid="{00000000-0005-0000-0000-000006130000}"/>
    <cellStyle name="Normal 10 17 11" xfId="4895" xr:uid="{00000000-0005-0000-0000-000007130000}"/>
    <cellStyle name="Normal 10 17 12" xfId="4896" xr:uid="{00000000-0005-0000-0000-000008130000}"/>
    <cellStyle name="Normal 10 17 2" xfId="4897" xr:uid="{00000000-0005-0000-0000-000009130000}"/>
    <cellStyle name="Normal 10 17 3" xfId="4898" xr:uid="{00000000-0005-0000-0000-00000A130000}"/>
    <cellStyle name="Normal 10 17 3 2" xfId="4899" xr:uid="{00000000-0005-0000-0000-00000B130000}"/>
    <cellStyle name="Normal 10 17 3 2 2" xfId="4900" xr:uid="{00000000-0005-0000-0000-00000C130000}"/>
    <cellStyle name="Normal 10 17 3 2 3" xfId="4901" xr:uid="{00000000-0005-0000-0000-00000D130000}"/>
    <cellStyle name="Normal 10 17 3 2 4" xfId="4902" xr:uid="{00000000-0005-0000-0000-00000E130000}"/>
    <cellStyle name="Normal 10 17 3 2 5" xfId="4903" xr:uid="{00000000-0005-0000-0000-00000F130000}"/>
    <cellStyle name="Normal 10 17 3 2 6" xfId="4904" xr:uid="{00000000-0005-0000-0000-000010130000}"/>
    <cellStyle name="Normal 10 17 3 3" xfId="4905" xr:uid="{00000000-0005-0000-0000-000011130000}"/>
    <cellStyle name="Normal 10 17 3 3 2" xfId="4906" xr:uid="{00000000-0005-0000-0000-000012130000}"/>
    <cellStyle name="Normal 10 17 3 3 3" xfId="4907" xr:uid="{00000000-0005-0000-0000-000013130000}"/>
    <cellStyle name="Normal 10 17 3 3 4" xfId="4908" xr:uid="{00000000-0005-0000-0000-000014130000}"/>
    <cellStyle name="Normal 10 17 3 3 5" xfId="4909" xr:uid="{00000000-0005-0000-0000-000015130000}"/>
    <cellStyle name="Normal 10 17 3 3 6" xfId="4910" xr:uid="{00000000-0005-0000-0000-000016130000}"/>
    <cellStyle name="Normal 10 17 3 4" xfId="4911" xr:uid="{00000000-0005-0000-0000-000017130000}"/>
    <cellStyle name="Normal 10 17 3 5" xfId="4912" xr:uid="{00000000-0005-0000-0000-000018130000}"/>
    <cellStyle name="Normal 10 17 3 6" xfId="4913" xr:uid="{00000000-0005-0000-0000-000019130000}"/>
    <cellStyle name="Normal 10 17 3 7" xfId="4914" xr:uid="{00000000-0005-0000-0000-00001A130000}"/>
    <cellStyle name="Normal 10 17 3 8" xfId="4915" xr:uid="{00000000-0005-0000-0000-00001B130000}"/>
    <cellStyle name="Normal 10 17 4" xfId="4916" xr:uid="{00000000-0005-0000-0000-00001C130000}"/>
    <cellStyle name="Normal 10 17 4 2" xfId="4917" xr:uid="{00000000-0005-0000-0000-00001D130000}"/>
    <cellStyle name="Normal 10 17 4 2 2" xfId="4918" xr:uid="{00000000-0005-0000-0000-00001E130000}"/>
    <cellStyle name="Normal 10 17 4 2 3" xfId="4919" xr:uid="{00000000-0005-0000-0000-00001F130000}"/>
    <cellStyle name="Normal 10 17 4 2 4" xfId="4920" xr:uid="{00000000-0005-0000-0000-000020130000}"/>
    <cellStyle name="Normal 10 17 4 2 5" xfId="4921" xr:uid="{00000000-0005-0000-0000-000021130000}"/>
    <cellStyle name="Normal 10 17 4 2 6" xfId="4922" xr:uid="{00000000-0005-0000-0000-000022130000}"/>
    <cellStyle name="Normal 10 17 4 3" xfId="4923" xr:uid="{00000000-0005-0000-0000-000023130000}"/>
    <cellStyle name="Normal 10 17 4 3 2" xfId="4924" xr:uid="{00000000-0005-0000-0000-000024130000}"/>
    <cellStyle name="Normal 10 17 4 3 3" xfId="4925" xr:uid="{00000000-0005-0000-0000-000025130000}"/>
    <cellStyle name="Normal 10 17 4 3 4" xfId="4926" xr:uid="{00000000-0005-0000-0000-000026130000}"/>
    <cellStyle name="Normal 10 17 4 3 5" xfId="4927" xr:uid="{00000000-0005-0000-0000-000027130000}"/>
    <cellStyle name="Normal 10 17 4 3 6" xfId="4928" xr:uid="{00000000-0005-0000-0000-000028130000}"/>
    <cellStyle name="Normal 10 17 4 4" xfId="4929" xr:uid="{00000000-0005-0000-0000-000029130000}"/>
    <cellStyle name="Normal 10 17 4 5" xfId="4930" xr:uid="{00000000-0005-0000-0000-00002A130000}"/>
    <cellStyle name="Normal 10 17 4 6" xfId="4931" xr:uid="{00000000-0005-0000-0000-00002B130000}"/>
    <cellStyle name="Normal 10 17 4 7" xfId="4932" xr:uid="{00000000-0005-0000-0000-00002C130000}"/>
    <cellStyle name="Normal 10 17 4 8" xfId="4933" xr:uid="{00000000-0005-0000-0000-00002D130000}"/>
    <cellStyle name="Normal 10 17 5" xfId="4934" xr:uid="{00000000-0005-0000-0000-00002E130000}"/>
    <cellStyle name="Normal 10 17 5 2" xfId="4935" xr:uid="{00000000-0005-0000-0000-00002F130000}"/>
    <cellStyle name="Normal 10 17 5 2 2" xfId="4936" xr:uid="{00000000-0005-0000-0000-000030130000}"/>
    <cellStyle name="Normal 10 17 5 2 3" xfId="4937" xr:uid="{00000000-0005-0000-0000-000031130000}"/>
    <cellStyle name="Normal 10 17 5 2 4" xfId="4938" xr:uid="{00000000-0005-0000-0000-000032130000}"/>
    <cellStyle name="Normal 10 17 5 2 5" xfId="4939" xr:uid="{00000000-0005-0000-0000-000033130000}"/>
    <cellStyle name="Normal 10 17 5 2 6" xfId="4940" xr:uid="{00000000-0005-0000-0000-000034130000}"/>
    <cellStyle name="Normal 10 17 5 3" xfId="4941" xr:uid="{00000000-0005-0000-0000-000035130000}"/>
    <cellStyle name="Normal 10 17 5 3 2" xfId="4942" xr:uid="{00000000-0005-0000-0000-000036130000}"/>
    <cellStyle name="Normal 10 17 5 3 3" xfId="4943" xr:uid="{00000000-0005-0000-0000-000037130000}"/>
    <cellStyle name="Normal 10 17 5 3 4" xfId="4944" xr:uid="{00000000-0005-0000-0000-000038130000}"/>
    <cellStyle name="Normal 10 17 5 3 5" xfId="4945" xr:uid="{00000000-0005-0000-0000-000039130000}"/>
    <cellStyle name="Normal 10 17 5 3 6" xfId="4946" xr:uid="{00000000-0005-0000-0000-00003A130000}"/>
    <cellStyle name="Normal 10 17 5 4" xfId="4947" xr:uid="{00000000-0005-0000-0000-00003B130000}"/>
    <cellStyle name="Normal 10 17 5 5" xfId="4948" xr:uid="{00000000-0005-0000-0000-00003C130000}"/>
    <cellStyle name="Normal 10 17 5 6" xfId="4949" xr:uid="{00000000-0005-0000-0000-00003D130000}"/>
    <cellStyle name="Normal 10 17 5 7" xfId="4950" xr:uid="{00000000-0005-0000-0000-00003E130000}"/>
    <cellStyle name="Normal 10 17 5 8" xfId="4951" xr:uid="{00000000-0005-0000-0000-00003F130000}"/>
    <cellStyle name="Normal 10 17 6" xfId="4952" xr:uid="{00000000-0005-0000-0000-000040130000}"/>
    <cellStyle name="Normal 10 17 6 2" xfId="4953" xr:uid="{00000000-0005-0000-0000-000041130000}"/>
    <cellStyle name="Normal 10 17 6 3" xfId="4954" xr:uid="{00000000-0005-0000-0000-000042130000}"/>
    <cellStyle name="Normal 10 17 6 4" xfId="4955" xr:uid="{00000000-0005-0000-0000-000043130000}"/>
    <cellStyle name="Normal 10 17 6 5" xfId="4956" xr:uid="{00000000-0005-0000-0000-000044130000}"/>
    <cellStyle name="Normal 10 17 6 6" xfId="4957" xr:uid="{00000000-0005-0000-0000-000045130000}"/>
    <cellStyle name="Normal 10 17 7" xfId="4958" xr:uid="{00000000-0005-0000-0000-000046130000}"/>
    <cellStyle name="Normal 10 17 7 2" xfId="4959" xr:uid="{00000000-0005-0000-0000-000047130000}"/>
    <cellStyle name="Normal 10 17 7 3" xfId="4960" xr:uid="{00000000-0005-0000-0000-000048130000}"/>
    <cellStyle name="Normal 10 17 7 4" xfId="4961" xr:uid="{00000000-0005-0000-0000-000049130000}"/>
    <cellStyle name="Normal 10 17 7 5" xfId="4962" xr:uid="{00000000-0005-0000-0000-00004A130000}"/>
    <cellStyle name="Normal 10 17 7 6" xfId="4963" xr:uid="{00000000-0005-0000-0000-00004B130000}"/>
    <cellStyle name="Normal 10 17 8" xfId="4964" xr:uid="{00000000-0005-0000-0000-00004C130000}"/>
    <cellStyle name="Normal 10 17 9" xfId="4965" xr:uid="{00000000-0005-0000-0000-00004D130000}"/>
    <cellStyle name="Normal 10 18" xfId="4966" xr:uid="{00000000-0005-0000-0000-00004E130000}"/>
    <cellStyle name="Normal 10 18 10" xfId="4967" xr:uid="{00000000-0005-0000-0000-00004F130000}"/>
    <cellStyle name="Normal 10 18 11" xfId="4968" xr:uid="{00000000-0005-0000-0000-000050130000}"/>
    <cellStyle name="Normal 10 18 2" xfId="4969" xr:uid="{00000000-0005-0000-0000-000051130000}"/>
    <cellStyle name="Normal 10 18 2 2" xfId="4970" xr:uid="{00000000-0005-0000-0000-000052130000}"/>
    <cellStyle name="Normal 10 18 2 2 2" xfId="4971" xr:uid="{00000000-0005-0000-0000-000053130000}"/>
    <cellStyle name="Normal 10 18 2 2 3" xfId="4972" xr:uid="{00000000-0005-0000-0000-000054130000}"/>
    <cellStyle name="Normal 10 18 2 2 4" xfId="4973" xr:uid="{00000000-0005-0000-0000-000055130000}"/>
    <cellStyle name="Normal 10 18 2 2 5" xfId="4974" xr:uid="{00000000-0005-0000-0000-000056130000}"/>
    <cellStyle name="Normal 10 18 2 2 6" xfId="4975" xr:uid="{00000000-0005-0000-0000-000057130000}"/>
    <cellStyle name="Normal 10 18 2 3" xfId="4976" xr:uid="{00000000-0005-0000-0000-000058130000}"/>
    <cellStyle name="Normal 10 18 2 3 2" xfId="4977" xr:uid="{00000000-0005-0000-0000-000059130000}"/>
    <cellStyle name="Normal 10 18 2 3 3" xfId="4978" xr:uid="{00000000-0005-0000-0000-00005A130000}"/>
    <cellStyle name="Normal 10 18 2 3 4" xfId="4979" xr:uid="{00000000-0005-0000-0000-00005B130000}"/>
    <cellStyle name="Normal 10 18 2 3 5" xfId="4980" xr:uid="{00000000-0005-0000-0000-00005C130000}"/>
    <cellStyle name="Normal 10 18 2 3 6" xfId="4981" xr:uid="{00000000-0005-0000-0000-00005D130000}"/>
    <cellStyle name="Normal 10 18 2 4" xfId="4982" xr:uid="{00000000-0005-0000-0000-00005E130000}"/>
    <cellStyle name="Normal 10 18 2 5" xfId="4983" xr:uid="{00000000-0005-0000-0000-00005F130000}"/>
    <cellStyle name="Normal 10 18 2 6" xfId="4984" xr:uid="{00000000-0005-0000-0000-000060130000}"/>
    <cellStyle name="Normal 10 18 2 7" xfId="4985" xr:uid="{00000000-0005-0000-0000-000061130000}"/>
    <cellStyle name="Normal 10 18 2 8" xfId="4986" xr:uid="{00000000-0005-0000-0000-000062130000}"/>
    <cellStyle name="Normal 10 18 3" xfId="4987" xr:uid="{00000000-0005-0000-0000-000063130000}"/>
    <cellStyle name="Normal 10 18 3 2" xfId="4988" xr:uid="{00000000-0005-0000-0000-000064130000}"/>
    <cellStyle name="Normal 10 18 3 2 2" xfId="4989" xr:uid="{00000000-0005-0000-0000-000065130000}"/>
    <cellStyle name="Normal 10 18 3 2 3" xfId="4990" xr:uid="{00000000-0005-0000-0000-000066130000}"/>
    <cellStyle name="Normal 10 18 3 2 4" xfId="4991" xr:uid="{00000000-0005-0000-0000-000067130000}"/>
    <cellStyle name="Normal 10 18 3 2 5" xfId="4992" xr:uid="{00000000-0005-0000-0000-000068130000}"/>
    <cellStyle name="Normal 10 18 3 2 6" xfId="4993" xr:uid="{00000000-0005-0000-0000-000069130000}"/>
    <cellStyle name="Normal 10 18 3 3" xfId="4994" xr:uid="{00000000-0005-0000-0000-00006A130000}"/>
    <cellStyle name="Normal 10 18 3 3 2" xfId="4995" xr:uid="{00000000-0005-0000-0000-00006B130000}"/>
    <cellStyle name="Normal 10 18 3 3 3" xfId="4996" xr:uid="{00000000-0005-0000-0000-00006C130000}"/>
    <cellStyle name="Normal 10 18 3 3 4" xfId="4997" xr:uid="{00000000-0005-0000-0000-00006D130000}"/>
    <cellStyle name="Normal 10 18 3 3 5" xfId="4998" xr:uid="{00000000-0005-0000-0000-00006E130000}"/>
    <cellStyle name="Normal 10 18 3 3 6" xfId="4999" xr:uid="{00000000-0005-0000-0000-00006F130000}"/>
    <cellStyle name="Normal 10 18 3 4" xfId="5000" xr:uid="{00000000-0005-0000-0000-000070130000}"/>
    <cellStyle name="Normal 10 18 3 5" xfId="5001" xr:uid="{00000000-0005-0000-0000-000071130000}"/>
    <cellStyle name="Normal 10 18 3 6" xfId="5002" xr:uid="{00000000-0005-0000-0000-000072130000}"/>
    <cellStyle name="Normal 10 18 3 7" xfId="5003" xr:uid="{00000000-0005-0000-0000-000073130000}"/>
    <cellStyle name="Normal 10 18 3 8" xfId="5004" xr:uid="{00000000-0005-0000-0000-000074130000}"/>
    <cellStyle name="Normal 10 18 4" xfId="5005" xr:uid="{00000000-0005-0000-0000-000075130000}"/>
    <cellStyle name="Normal 10 18 4 2" xfId="5006" xr:uid="{00000000-0005-0000-0000-000076130000}"/>
    <cellStyle name="Normal 10 18 4 2 2" xfId="5007" xr:uid="{00000000-0005-0000-0000-000077130000}"/>
    <cellStyle name="Normal 10 18 4 2 3" xfId="5008" xr:uid="{00000000-0005-0000-0000-000078130000}"/>
    <cellStyle name="Normal 10 18 4 2 4" xfId="5009" xr:uid="{00000000-0005-0000-0000-000079130000}"/>
    <cellStyle name="Normal 10 18 4 2 5" xfId="5010" xr:uid="{00000000-0005-0000-0000-00007A130000}"/>
    <cellStyle name="Normal 10 18 4 2 6" xfId="5011" xr:uid="{00000000-0005-0000-0000-00007B130000}"/>
    <cellStyle name="Normal 10 18 4 3" xfId="5012" xr:uid="{00000000-0005-0000-0000-00007C130000}"/>
    <cellStyle name="Normal 10 18 4 3 2" xfId="5013" xr:uid="{00000000-0005-0000-0000-00007D130000}"/>
    <cellStyle name="Normal 10 18 4 3 3" xfId="5014" xr:uid="{00000000-0005-0000-0000-00007E130000}"/>
    <cellStyle name="Normal 10 18 4 3 4" xfId="5015" xr:uid="{00000000-0005-0000-0000-00007F130000}"/>
    <cellStyle name="Normal 10 18 4 3 5" xfId="5016" xr:uid="{00000000-0005-0000-0000-000080130000}"/>
    <cellStyle name="Normal 10 18 4 3 6" xfId="5017" xr:uid="{00000000-0005-0000-0000-000081130000}"/>
    <cellStyle name="Normal 10 18 4 4" xfId="5018" xr:uid="{00000000-0005-0000-0000-000082130000}"/>
    <cellStyle name="Normal 10 18 4 5" xfId="5019" xr:uid="{00000000-0005-0000-0000-000083130000}"/>
    <cellStyle name="Normal 10 18 4 6" xfId="5020" xr:uid="{00000000-0005-0000-0000-000084130000}"/>
    <cellStyle name="Normal 10 18 4 7" xfId="5021" xr:uid="{00000000-0005-0000-0000-000085130000}"/>
    <cellStyle name="Normal 10 18 4 8" xfId="5022" xr:uid="{00000000-0005-0000-0000-000086130000}"/>
    <cellStyle name="Normal 10 18 5" xfId="5023" xr:uid="{00000000-0005-0000-0000-000087130000}"/>
    <cellStyle name="Normal 10 18 5 2" xfId="5024" xr:uid="{00000000-0005-0000-0000-000088130000}"/>
    <cellStyle name="Normal 10 18 5 3" xfId="5025" xr:uid="{00000000-0005-0000-0000-000089130000}"/>
    <cellStyle name="Normal 10 18 5 4" xfId="5026" xr:uid="{00000000-0005-0000-0000-00008A130000}"/>
    <cellStyle name="Normal 10 18 5 5" xfId="5027" xr:uid="{00000000-0005-0000-0000-00008B130000}"/>
    <cellStyle name="Normal 10 18 5 6" xfId="5028" xr:uid="{00000000-0005-0000-0000-00008C130000}"/>
    <cellStyle name="Normal 10 18 6" xfId="5029" xr:uid="{00000000-0005-0000-0000-00008D130000}"/>
    <cellStyle name="Normal 10 18 6 2" xfId="5030" xr:uid="{00000000-0005-0000-0000-00008E130000}"/>
    <cellStyle name="Normal 10 18 6 3" xfId="5031" xr:uid="{00000000-0005-0000-0000-00008F130000}"/>
    <cellStyle name="Normal 10 18 6 4" xfId="5032" xr:uid="{00000000-0005-0000-0000-000090130000}"/>
    <cellStyle name="Normal 10 18 6 5" xfId="5033" xr:uid="{00000000-0005-0000-0000-000091130000}"/>
    <cellStyle name="Normal 10 18 6 6" xfId="5034" xr:uid="{00000000-0005-0000-0000-000092130000}"/>
    <cellStyle name="Normal 10 18 7" xfId="5035" xr:uid="{00000000-0005-0000-0000-000093130000}"/>
    <cellStyle name="Normal 10 18 8" xfId="5036" xr:uid="{00000000-0005-0000-0000-000094130000}"/>
    <cellStyle name="Normal 10 18 9" xfId="5037" xr:uid="{00000000-0005-0000-0000-000095130000}"/>
    <cellStyle name="Normal 10 19" xfId="5038" xr:uid="{00000000-0005-0000-0000-000096130000}"/>
    <cellStyle name="Normal 10 19 2" xfId="5039" xr:uid="{00000000-0005-0000-0000-000097130000}"/>
    <cellStyle name="Normal 10 19 2 2" xfId="5040" xr:uid="{00000000-0005-0000-0000-000098130000}"/>
    <cellStyle name="Normal 10 19 2 3" xfId="5041" xr:uid="{00000000-0005-0000-0000-000099130000}"/>
    <cellStyle name="Normal 10 19 2 4" xfId="5042" xr:uid="{00000000-0005-0000-0000-00009A130000}"/>
    <cellStyle name="Normal 10 19 2 5" xfId="5043" xr:uid="{00000000-0005-0000-0000-00009B130000}"/>
    <cellStyle name="Normal 10 19 2 6" xfId="5044" xr:uid="{00000000-0005-0000-0000-00009C130000}"/>
    <cellStyle name="Normal 10 19 3" xfId="5045" xr:uid="{00000000-0005-0000-0000-00009D130000}"/>
    <cellStyle name="Normal 10 19 3 2" xfId="5046" xr:uid="{00000000-0005-0000-0000-00009E130000}"/>
    <cellStyle name="Normal 10 19 3 3" xfId="5047" xr:uid="{00000000-0005-0000-0000-00009F130000}"/>
    <cellStyle name="Normal 10 19 3 4" xfId="5048" xr:uid="{00000000-0005-0000-0000-0000A0130000}"/>
    <cellStyle name="Normal 10 19 3 5" xfId="5049" xr:uid="{00000000-0005-0000-0000-0000A1130000}"/>
    <cellStyle name="Normal 10 19 3 6" xfId="5050" xr:uid="{00000000-0005-0000-0000-0000A2130000}"/>
    <cellStyle name="Normal 10 19 4" xfId="5051" xr:uid="{00000000-0005-0000-0000-0000A3130000}"/>
    <cellStyle name="Normal 10 19 5" xfId="5052" xr:uid="{00000000-0005-0000-0000-0000A4130000}"/>
    <cellStyle name="Normal 10 19 6" xfId="5053" xr:uid="{00000000-0005-0000-0000-0000A5130000}"/>
    <cellStyle name="Normal 10 19 7" xfId="5054" xr:uid="{00000000-0005-0000-0000-0000A6130000}"/>
    <cellStyle name="Normal 10 19 8" xfId="5055" xr:uid="{00000000-0005-0000-0000-0000A7130000}"/>
    <cellStyle name="Normal 10 2" xfId="15" xr:uid="{00000000-0005-0000-0000-0000A8130000}"/>
    <cellStyle name="Normal 10 2 2" xfId="5056" xr:uid="{00000000-0005-0000-0000-0000A9130000}"/>
    <cellStyle name="Normal 10 2 3 2" xfId="16" xr:uid="{00000000-0005-0000-0000-0000AA130000}"/>
    <cellStyle name="Normal 10 20" xfId="5057" xr:uid="{00000000-0005-0000-0000-0000AB130000}"/>
    <cellStyle name="Normal 10 20 2" xfId="5058" xr:uid="{00000000-0005-0000-0000-0000AC130000}"/>
    <cellStyle name="Normal 10 20 2 2" xfId="5059" xr:uid="{00000000-0005-0000-0000-0000AD130000}"/>
    <cellStyle name="Normal 10 20 2 3" xfId="5060" xr:uid="{00000000-0005-0000-0000-0000AE130000}"/>
    <cellStyle name="Normal 10 20 2 4" xfId="5061" xr:uid="{00000000-0005-0000-0000-0000AF130000}"/>
    <cellStyle name="Normal 10 20 2 5" xfId="5062" xr:uid="{00000000-0005-0000-0000-0000B0130000}"/>
    <cellStyle name="Normal 10 20 2 6" xfId="5063" xr:uid="{00000000-0005-0000-0000-0000B1130000}"/>
    <cellStyle name="Normal 10 20 3" xfId="5064" xr:uid="{00000000-0005-0000-0000-0000B2130000}"/>
    <cellStyle name="Normal 10 20 3 2" xfId="5065" xr:uid="{00000000-0005-0000-0000-0000B3130000}"/>
    <cellStyle name="Normal 10 20 3 3" xfId="5066" xr:uid="{00000000-0005-0000-0000-0000B4130000}"/>
    <cellStyle name="Normal 10 20 3 4" xfId="5067" xr:uid="{00000000-0005-0000-0000-0000B5130000}"/>
    <cellStyle name="Normal 10 20 3 5" xfId="5068" xr:uid="{00000000-0005-0000-0000-0000B6130000}"/>
    <cellStyle name="Normal 10 20 3 6" xfId="5069" xr:uid="{00000000-0005-0000-0000-0000B7130000}"/>
    <cellStyle name="Normal 10 20 4" xfId="5070" xr:uid="{00000000-0005-0000-0000-0000B8130000}"/>
    <cellStyle name="Normal 10 20 5" xfId="5071" xr:uid="{00000000-0005-0000-0000-0000B9130000}"/>
    <cellStyle name="Normal 10 20 6" xfId="5072" xr:uid="{00000000-0005-0000-0000-0000BA130000}"/>
    <cellStyle name="Normal 10 20 7" xfId="5073" xr:uid="{00000000-0005-0000-0000-0000BB130000}"/>
    <cellStyle name="Normal 10 20 8" xfId="5074" xr:uid="{00000000-0005-0000-0000-0000BC130000}"/>
    <cellStyle name="Normal 10 21" xfId="5075" xr:uid="{00000000-0005-0000-0000-0000BD130000}"/>
    <cellStyle name="Normal 10 21 2" xfId="5076" xr:uid="{00000000-0005-0000-0000-0000BE130000}"/>
    <cellStyle name="Normal 10 21 2 2" xfId="5077" xr:uid="{00000000-0005-0000-0000-0000BF130000}"/>
    <cellStyle name="Normal 10 21 2 3" xfId="5078" xr:uid="{00000000-0005-0000-0000-0000C0130000}"/>
    <cellStyle name="Normal 10 21 2 4" xfId="5079" xr:uid="{00000000-0005-0000-0000-0000C1130000}"/>
    <cellStyle name="Normal 10 21 2 5" xfId="5080" xr:uid="{00000000-0005-0000-0000-0000C2130000}"/>
    <cellStyle name="Normal 10 21 2 6" xfId="5081" xr:uid="{00000000-0005-0000-0000-0000C3130000}"/>
    <cellStyle name="Normal 10 21 3" xfId="5082" xr:uid="{00000000-0005-0000-0000-0000C4130000}"/>
    <cellStyle name="Normal 10 21 3 2" xfId="5083" xr:uid="{00000000-0005-0000-0000-0000C5130000}"/>
    <cellStyle name="Normal 10 21 3 3" xfId="5084" xr:uid="{00000000-0005-0000-0000-0000C6130000}"/>
    <cellStyle name="Normal 10 21 3 4" xfId="5085" xr:uid="{00000000-0005-0000-0000-0000C7130000}"/>
    <cellStyle name="Normal 10 21 3 5" xfId="5086" xr:uid="{00000000-0005-0000-0000-0000C8130000}"/>
    <cellStyle name="Normal 10 21 3 6" xfId="5087" xr:uid="{00000000-0005-0000-0000-0000C9130000}"/>
    <cellStyle name="Normal 10 21 4" xfId="5088" xr:uid="{00000000-0005-0000-0000-0000CA130000}"/>
    <cellStyle name="Normal 10 21 5" xfId="5089" xr:uid="{00000000-0005-0000-0000-0000CB130000}"/>
    <cellStyle name="Normal 10 21 6" xfId="5090" xr:uid="{00000000-0005-0000-0000-0000CC130000}"/>
    <cellStyle name="Normal 10 21 7" xfId="5091" xr:uid="{00000000-0005-0000-0000-0000CD130000}"/>
    <cellStyle name="Normal 10 21 8" xfId="5092" xr:uid="{00000000-0005-0000-0000-0000CE130000}"/>
    <cellStyle name="Normal 10 22" xfId="5093" xr:uid="{00000000-0005-0000-0000-0000CF130000}"/>
    <cellStyle name="Normal 10 22 2" xfId="5094" xr:uid="{00000000-0005-0000-0000-0000D0130000}"/>
    <cellStyle name="Normal 10 22 3" xfId="5095" xr:uid="{00000000-0005-0000-0000-0000D1130000}"/>
    <cellStyle name="Normal 10 22 4" xfId="5096" xr:uid="{00000000-0005-0000-0000-0000D2130000}"/>
    <cellStyle name="Normal 10 22 5" xfId="5097" xr:uid="{00000000-0005-0000-0000-0000D3130000}"/>
    <cellStyle name="Normal 10 22 6" xfId="5098" xr:uid="{00000000-0005-0000-0000-0000D4130000}"/>
    <cellStyle name="Normal 10 23" xfId="5099" xr:uid="{00000000-0005-0000-0000-0000D5130000}"/>
    <cellStyle name="Normal 10 23 2" xfId="5100" xr:uid="{00000000-0005-0000-0000-0000D6130000}"/>
    <cellStyle name="Normal 10 23 3" xfId="5101" xr:uid="{00000000-0005-0000-0000-0000D7130000}"/>
    <cellStyle name="Normal 10 23 4" xfId="5102" xr:uid="{00000000-0005-0000-0000-0000D8130000}"/>
    <cellStyle name="Normal 10 23 5" xfId="5103" xr:uid="{00000000-0005-0000-0000-0000D9130000}"/>
    <cellStyle name="Normal 10 23 6" xfId="5104" xr:uid="{00000000-0005-0000-0000-0000DA130000}"/>
    <cellStyle name="Normal 10 24" xfId="5105" xr:uid="{00000000-0005-0000-0000-0000DB130000}"/>
    <cellStyle name="Normal 10 25" xfId="5106" xr:uid="{00000000-0005-0000-0000-0000DC130000}"/>
    <cellStyle name="Normal 10 26" xfId="5107" xr:uid="{00000000-0005-0000-0000-0000DD130000}"/>
    <cellStyle name="Normal 10 27" xfId="5108" xr:uid="{00000000-0005-0000-0000-0000DE130000}"/>
    <cellStyle name="Normal 10 28" xfId="5109" xr:uid="{00000000-0005-0000-0000-0000DF130000}"/>
    <cellStyle name="Normal 10 3" xfId="5110" xr:uid="{00000000-0005-0000-0000-0000E0130000}"/>
    <cellStyle name="Normal 10 3 2" xfId="5111" xr:uid="{00000000-0005-0000-0000-0000E1130000}"/>
    <cellStyle name="Normal 10 4" xfId="5112" xr:uid="{00000000-0005-0000-0000-0000E2130000}"/>
    <cellStyle name="Normal 10 4 2" xfId="5113" xr:uid="{00000000-0005-0000-0000-0000E3130000}"/>
    <cellStyle name="Normal 10 5" xfId="5114" xr:uid="{00000000-0005-0000-0000-0000E4130000}"/>
    <cellStyle name="Normal 10 5 2" xfId="5115" xr:uid="{00000000-0005-0000-0000-0000E5130000}"/>
    <cellStyle name="Normal 10 6" xfId="5116" xr:uid="{00000000-0005-0000-0000-0000E6130000}"/>
    <cellStyle name="Normal 10 6 2" xfId="5117" xr:uid="{00000000-0005-0000-0000-0000E7130000}"/>
    <cellStyle name="Normal 10 7" xfId="5118" xr:uid="{00000000-0005-0000-0000-0000E8130000}"/>
    <cellStyle name="Normal 10 7 2" xfId="5119" xr:uid="{00000000-0005-0000-0000-0000E9130000}"/>
    <cellStyle name="Normal 10 8" xfId="5120" xr:uid="{00000000-0005-0000-0000-0000EA130000}"/>
    <cellStyle name="Normal 10 8 2" xfId="5121" xr:uid="{00000000-0005-0000-0000-0000EB130000}"/>
    <cellStyle name="Normal 10 9" xfId="5122" xr:uid="{00000000-0005-0000-0000-0000EC130000}"/>
    <cellStyle name="Normal 10 9 2" xfId="5123" xr:uid="{00000000-0005-0000-0000-0000ED130000}"/>
    <cellStyle name="Normal 11" xfId="5124" xr:uid="{00000000-0005-0000-0000-0000EE130000}"/>
    <cellStyle name="Normal 11 10" xfId="5125" xr:uid="{00000000-0005-0000-0000-0000EF130000}"/>
    <cellStyle name="Normal 11 10 2" xfId="5126" xr:uid="{00000000-0005-0000-0000-0000F0130000}"/>
    <cellStyle name="Normal 11 11" xfId="5127" xr:uid="{00000000-0005-0000-0000-0000F1130000}"/>
    <cellStyle name="Normal 11 11 2" xfId="5128" xr:uid="{00000000-0005-0000-0000-0000F2130000}"/>
    <cellStyle name="Normal 11 12" xfId="5129" xr:uid="{00000000-0005-0000-0000-0000F3130000}"/>
    <cellStyle name="Normal 11 12 2" xfId="5130" xr:uid="{00000000-0005-0000-0000-0000F4130000}"/>
    <cellStyle name="Normal 11 13" xfId="5131" xr:uid="{00000000-0005-0000-0000-0000F5130000}"/>
    <cellStyle name="Normal 11 13 2" xfId="5132" xr:uid="{00000000-0005-0000-0000-0000F6130000}"/>
    <cellStyle name="Normal 11 14" xfId="5133" xr:uid="{00000000-0005-0000-0000-0000F7130000}"/>
    <cellStyle name="Normal 11 14 2" xfId="5134" xr:uid="{00000000-0005-0000-0000-0000F8130000}"/>
    <cellStyle name="Normal 11 15" xfId="5135" xr:uid="{00000000-0005-0000-0000-0000F9130000}"/>
    <cellStyle name="Normal 11 15 2" xfId="5136" xr:uid="{00000000-0005-0000-0000-0000FA130000}"/>
    <cellStyle name="Normal 11 16" xfId="5137" xr:uid="{00000000-0005-0000-0000-0000FB130000}"/>
    <cellStyle name="Normal 11 16 2" xfId="5138" xr:uid="{00000000-0005-0000-0000-0000FC130000}"/>
    <cellStyle name="Normal 11 17" xfId="5139" xr:uid="{00000000-0005-0000-0000-0000FD130000}"/>
    <cellStyle name="Normal 11 17 10" xfId="5140" xr:uid="{00000000-0005-0000-0000-0000FE130000}"/>
    <cellStyle name="Normal 11 17 11" xfId="5141" xr:uid="{00000000-0005-0000-0000-0000FF130000}"/>
    <cellStyle name="Normal 11 17 12" xfId="5142" xr:uid="{00000000-0005-0000-0000-000000140000}"/>
    <cellStyle name="Normal 11 17 2" xfId="5143" xr:uid="{00000000-0005-0000-0000-000001140000}"/>
    <cellStyle name="Normal 11 17 3" xfId="5144" xr:uid="{00000000-0005-0000-0000-000002140000}"/>
    <cellStyle name="Normal 11 17 3 2" xfId="5145" xr:uid="{00000000-0005-0000-0000-000003140000}"/>
    <cellStyle name="Normal 11 17 3 2 2" xfId="5146" xr:uid="{00000000-0005-0000-0000-000004140000}"/>
    <cellStyle name="Normal 11 17 3 2 3" xfId="5147" xr:uid="{00000000-0005-0000-0000-000005140000}"/>
    <cellStyle name="Normal 11 17 3 2 4" xfId="5148" xr:uid="{00000000-0005-0000-0000-000006140000}"/>
    <cellStyle name="Normal 11 17 3 2 5" xfId="5149" xr:uid="{00000000-0005-0000-0000-000007140000}"/>
    <cellStyle name="Normal 11 17 3 2 6" xfId="5150" xr:uid="{00000000-0005-0000-0000-000008140000}"/>
    <cellStyle name="Normal 11 17 3 3" xfId="5151" xr:uid="{00000000-0005-0000-0000-000009140000}"/>
    <cellStyle name="Normal 11 17 3 3 2" xfId="5152" xr:uid="{00000000-0005-0000-0000-00000A140000}"/>
    <cellStyle name="Normal 11 17 3 3 3" xfId="5153" xr:uid="{00000000-0005-0000-0000-00000B140000}"/>
    <cellStyle name="Normal 11 17 3 3 4" xfId="5154" xr:uid="{00000000-0005-0000-0000-00000C140000}"/>
    <cellStyle name="Normal 11 17 3 3 5" xfId="5155" xr:uid="{00000000-0005-0000-0000-00000D140000}"/>
    <cellStyle name="Normal 11 17 3 3 6" xfId="5156" xr:uid="{00000000-0005-0000-0000-00000E140000}"/>
    <cellStyle name="Normal 11 17 3 4" xfId="5157" xr:uid="{00000000-0005-0000-0000-00000F140000}"/>
    <cellStyle name="Normal 11 17 3 5" xfId="5158" xr:uid="{00000000-0005-0000-0000-000010140000}"/>
    <cellStyle name="Normal 11 17 3 6" xfId="5159" xr:uid="{00000000-0005-0000-0000-000011140000}"/>
    <cellStyle name="Normal 11 17 3 7" xfId="5160" xr:uid="{00000000-0005-0000-0000-000012140000}"/>
    <cellStyle name="Normal 11 17 3 8" xfId="5161" xr:uid="{00000000-0005-0000-0000-000013140000}"/>
    <cellStyle name="Normal 11 17 4" xfId="5162" xr:uid="{00000000-0005-0000-0000-000014140000}"/>
    <cellStyle name="Normal 11 17 4 2" xfId="5163" xr:uid="{00000000-0005-0000-0000-000015140000}"/>
    <cellStyle name="Normal 11 17 4 2 2" xfId="5164" xr:uid="{00000000-0005-0000-0000-000016140000}"/>
    <cellStyle name="Normal 11 17 4 2 3" xfId="5165" xr:uid="{00000000-0005-0000-0000-000017140000}"/>
    <cellStyle name="Normal 11 17 4 2 4" xfId="5166" xr:uid="{00000000-0005-0000-0000-000018140000}"/>
    <cellStyle name="Normal 11 17 4 2 5" xfId="5167" xr:uid="{00000000-0005-0000-0000-000019140000}"/>
    <cellStyle name="Normal 11 17 4 2 6" xfId="5168" xr:uid="{00000000-0005-0000-0000-00001A140000}"/>
    <cellStyle name="Normal 11 17 4 3" xfId="5169" xr:uid="{00000000-0005-0000-0000-00001B140000}"/>
    <cellStyle name="Normal 11 17 4 3 2" xfId="5170" xr:uid="{00000000-0005-0000-0000-00001C140000}"/>
    <cellStyle name="Normal 11 17 4 3 3" xfId="5171" xr:uid="{00000000-0005-0000-0000-00001D140000}"/>
    <cellStyle name="Normal 11 17 4 3 4" xfId="5172" xr:uid="{00000000-0005-0000-0000-00001E140000}"/>
    <cellStyle name="Normal 11 17 4 3 5" xfId="5173" xr:uid="{00000000-0005-0000-0000-00001F140000}"/>
    <cellStyle name="Normal 11 17 4 3 6" xfId="5174" xr:uid="{00000000-0005-0000-0000-000020140000}"/>
    <cellStyle name="Normal 11 17 4 4" xfId="5175" xr:uid="{00000000-0005-0000-0000-000021140000}"/>
    <cellStyle name="Normal 11 17 4 5" xfId="5176" xr:uid="{00000000-0005-0000-0000-000022140000}"/>
    <cellStyle name="Normal 11 17 4 6" xfId="5177" xr:uid="{00000000-0005-0000-0000-000023140000}"/>
    <cellStyle name="Normal 11 17 4 7" xfId="5178" xr:uid="{00000000-0005-0000-0000-000024140000}"/>
    <cellStyle name="Normal 11 17 4 8" xfId="5179" xr:uid="{00000000-0005-0000-0000-000025140000}"/>
    <cellStyle name="Normal 11 17 5" xfId="5180" xr:uid="{00000000-0005-0000-0000-000026140000}"/>
    <cellStyle name="Normal 11 17 5 2" xfId="5181" xr:uid="{00000000-0005-0000-0000-000027140000}"/>
    <cellStyle name="Normal 11 17 5 2 2" xfId="5182" xr:uid="{00000000-0005-0000-0000-000028140000}"/>
    <cellStyle name="Normal 11 17 5 2 3" xfId="5183" xr:uid="{00000000-0005-0000-0000-000029140000}"/>
    <cellStyle name="Normal 11 17 5 2 4" xfId="5184" xr:uid="{00000000-0005-0000-0000-00002A140000}"/>
    <cellStyle name="Normal 11 17 5 2 5" xfId="5185" xr:uid="{00000000-0005-0000-0000-00002B140000}"/>
    <cellStyle name="Normal 11 17 5 2 6" xfId="5186" xr:uid="{00000000-0005-0000-0000-00002C140000}"/>
    <cellStyle name="Normal 11 17 5 3" xfId="5187" xr:uid="{00000000-0005-0000-0000-00002D140000}"/>
    <cellStyle name="Normal 11 17 5 3 2" xfId="5188" xr:uid="{00000000-0005-0000-0000-00002E140000}"/>
    <cellStyle name="Normal 11 17 5 3 3" xfId="5189" xr:uid="{00000000-0005-0000-0000-00002F140000}"/>
    <cellStyle name="Normal 11 17 5 3 4" xfId="5190" xr:uid="{00000000-0005-0000-0000-000030140000}"/>
    <cellStyle name="Normal 11 17 5 3 5" xfId="5191" xr:uid="{00000000-0005-0000-0000-000031140000}"/>
    <cellStyle name="Normal 11 17 5 3 6" xfId="5192" xr:uid="{00000000-0005-0000-0000-000032140000}"/>
    <cellStyle name="Normal 11 17 5 4" xfId="5193" xr:uid="{00000000-0005-0000-0000-000033140000}"/>
    <cellStyle name="Normal 11 17 5 5" xfId="5194" xr:uid="{00000000-0005-0000-0000-000034140000}"/>
    <cellStyle name="Normal 11 17 5 6" xfId="5195" xr:uid="{00000000-0005-0000-0000-000035140000}"/>
    <cellStyle name="Normal 11 17 5 7" xfId="5196" xr:uid="{00000000-0005-0000-0000-000036140000}"/>
    <cellStyle name="Normal 11 17 5 8" xfId="5197" xr:uid="{00000000-0005-0000-0000-000037140000}"/>
    <cellStyle name="Normal 11 17 6" xfId="5198" xr:uid="{00000000-0005-0000-0000-000038140000}"/>
    <cellStyle name="Normal 11 17 6 2" xfId="5199" xr:uid="{00000000-0005-0000-0000-000039140000}"/>
    <cellStyle name="Normal 11 17 6 3" xfId="5200" xr:uid="{00000000-0005-0000-0000-00003A140000}"/>
    <cellStyle name="Normal 11 17 6 4" xfId="5201" xr:uid="{00000000-0005-0000-0000-00003B140000}"/>
    <cellStyle name="Normal 11 17 6 5" xfId="5202" xr:uid="{00000000-0005-0000-0000-00003C140000}"/>
    <cellStyle name="Normal 11 17 6 6" xfId="5203" xr:uid="{00000000-0005-0000-0000-00003D140000}"/>
    <cellStyle name="Normal 11 17 7" xfId="5204" xr:uid="{00000000-0005-0000-0000-00003E140000}"/>
    <cellStyle name="Normal 11 17 7 2" xfId="5205" xr:uid="{00000000-0005-0000-0000-00003F140000}"/>
    <cellStyle name="Normal 11 17 7 3" xfId="5206" xr:uid="{00000000-0005-0000-0000-000040140000}"/>
    <cellStyle name="Normal 11 17 7 4" xfId="5207" xr:uid="{00000000-0005-0000-0000-000041140000}"/>
    <cellStyle name="Normal 11 17 7 5" xfId="5208" xr:uid="{00000000-0005-0000-0000-000042140000}"/>
    <cellStyle name="Normal 11 17 7 6" xfId="5209" xr:uid="{00000000-0005-0000-0000-000043140000}"/>
    <cellStyle name="Normal 11 17 8" xfId="5210" xr:uid="{00000000-0005-0000-0000-000044140000}"/>
    <cellStyle name="Normal 11 17 9" xfId="5211" xr:uid="{00000000-0005-0000-0000-000045140000}"/>
    <cellStyle name="Normal 11 18" xfId="5212" xr:uid="{00000000-0005-0000-0000-000046140000}"/>
    <cellStyle name="Normal 11 18 10" xfId="5213" xr:uid="{00000000-0005-0000-0000-000047140000}"/>
    <cellStyle name="Normal 11 18 11" xfId="5214" xr:uid="{00000000-0005-0000-0000-000048140000}"/>
    <cellStyle name="Normal 11 18 2" xfId="5215" xr:uid="{00000000-0005-0000-0000-000049140000}"/>
    <cellStyle name="Normal 11 18 2 2" xfId="5216" xr:uid="{00000000-0005-0000-0000-00004A140000}"/>
    <cellStyle name="Normal 11 18 2 2 2" xfId="5217" xr:uid="{00000000-0005-0000-0000-00004B140000}"/>
    <cellStyle name="Normal 11 18 2 2 3" xfId="5218" xr:uid="{00000000-0005-0000-0000-00004C140000}"/>
    <cellStyle name="Normal 11 18 2 2 4" xfId="5219" xr:uid="{00000000-0005-0000-0000-00004D140000}"/>
    <cellStyle name="Normal 11 18 2 2 5" xfId="5220" xr:uid="{00000000-0005-0000-0000-00004E140000}"/>
    <cellStyle name="Normal 11 18 2 2 6" xfId="5221" xr:uid="{00000000-0005-0000-0000-00004F140000}"/>
    <cellStyle name="Normal 11 18 2 3" xfId="5222" xr:uid="{00000000-0005-0000-0000-000050140000}"/>
    <cellStyle name="Normal 11 18 2 3 2" xfId="5223" xr:uid="{00000000-0005-0000-0000-000051140000}"/>
    <cellStyle name="Normal 11 18 2 3 3" xfId="5224" xr:uid="{00000000-0005-0000-0000-000052140000}"/>
    <cellStyle name="Normal 11 18 2 3 4" xfId="5225" xr:uid="{00000000-0005-0000-0000-000053140000}"/>
    <cellStyle name="Normal 11 18 2 3 5" xfId="5226" xr:uid="{00000000-0005-0000-0000-000054140000}"/>
    <cellStyle name="Normal 11 18 2 3 6" xfId="5227" xr:uid="{00000000-0005-0000-0000-000055140000}"/>
    <cellStyle name="Normal 11 18 2 4" xfId="5228" xr:uid="{00000000-0005-0000-0000-000056140000}"/>
    <cellStyle name="Normal 11 18 2 5" xfId="5229" xr:uid="{00000000-0005-0000-0000-000057140000}"/>
    <cellStyle name="Normal 11 18 2 6" xfId="5230" xr:uid="{00000000-0005-0000-0000-000058140000}"/>
    <cellStyle name="Normal 11 18 2 7" xfId="5231" xr:uid="{00000000-0005-0000-0000-000059140000}"/>
    <cellStyle name="Normal 11 18 2 8" xfId="5232" xr:uid="{00000000-0005-0000-0000-00005A140000}"/>
    <cellStyle name="Normal 11 18 3" xfId="5233" xr:uid="{00000000-0005-0000-0000-00005B140000}"/>
    <cellStyle name="Normal 11 18 3 2" xfId="5234" xr:uid="{00000000-0005-0000-0000-00005C140000}"/>
    <cellStyle name="Normal 11 18 3 2 2" xfId="5235" xr:uid="{00000000-0005-0000-0000-00005D140000}"/>
    <cellStyle name="Normal 11 18 3 2 3" xfId="5236" xr:uid="{00000000-0005-0000-0000-00005E140000}"/>
    <cellStyle name="Normal 11 18 3 2 4" xfId="5237" xr:uid="{00000000-0005-0000-0000-00005F140000}"/>
    <cellStyle name="Normal 11 18 3 2 5" xfId="5238" xr:uid="{00000000-0005-0000-0000-000060140000}"/>
    <cellStyle name="Normal 11 18 3 2 6" xfId="5239" xr:uid="{00000000-0005-0000-0000-000061140000}"/>
    <cellStyle name="Normal 11 18 3 3" xfId="5240" xr:uid="{00000000-0005-0000-0000-000062140000}"/>
    <cellStyle name="Normal 11 18 3 3 2" xfId="5241" xr:uid="{00000000-0005-0000-0000-000063140000}"/>
    <cellStyle name="Normal 11 18 3 3 3" xfId="5242" xr:uid="{00000000-0005-0000-0000-000064140000}"/>
    <cellStyle name="Normal 11 18 3 3 4" xfId="5243" xr:uid="{00000000-0005-0000-0000-000065140000}"/>
    <cellStyle name="Normal 11 18 3 3 5" xfId="5244" xr:uid="{00000000-0005-0000-0000-000066140000}"/>
    <cellStyle name="Normal 11 18 3 3 6" xfId="5245" xr:uid="{00000000-0005-0000-0000-000067140000}"/>
    <cellStyle name="Normal 11 18 3 4" xfId="5246" xr:uid="{00000000-0005-0000-0000-000068140000}"/>
    <cellStyle name="Normal 11 18 3 5" xfId="5247" xr:uid="{00000000-0005-0000-0000-000069140000}"/>
    <cellStyle name="Normal 11 18 3 6" xfId="5248" xr:uid="{00000000-0005-0000-0000-00006A140000}"/>
    <cellStyle name="Normal 11 18 3 7" xfId="5249" xr:uid="{00000000-0005-0000-0000-00006B140000}"/>
    <cellStyle name="Normal 11 18 3 8" xfId="5250" xr:uid="{00000000-0005-0000-0000-00006C140000}"/>
    <cellStyle name="Normal 11 18 4" xfId="5251" xr:uid="{00000000-0005-0000-0000-00006D140000}"/>
    <cellStyle name="Normal 11 18 4 2" xfId="5252" xr:uid="{00000000-0005-0000-0000-00006E140000}"/>
    <cellStyle name="Normal 11 18 4 2 2" xfId="5253" xr:uid="{00000000-0005-0000-0000-00006F140000}"/>
    <cellStyle name="Normal 11 18 4 2 3" xfId="5254" xr:uid="{00000000-0005-0000-0000-000070140000}"/>
    <cellStyle name="Normal 11 18 4 2 4" xfId="5255" xr:uid="{00000000-0005-0000-0000-000071140000}"/>
    <cellStyle name="Normal 11 18 4 2 5" xfId="5256" xr:uid="{00000000-0005-0000-0000-000072140000}"/>
    <cellStyle name="Normal 11 18 4 2 6" xfId="5257" xr:uid="{00000000-0005-0000-0000-000073140000}"/>
    <cellStyle name="Normal 11 18 4 3" xfId="5258" xr:uid="{00000000-0005-0000-0000-000074140000}"/>
    <cellStyle name="Normal 11 18 4 3 2" xfId="5259" xr:uid="{00000000-0005-0000-0000-000075140000}"/>
    <cellStyle name="Normal 11 18 4 3 3" xfId="5260" xr:uid="{00000000-0005-0000-0000-000076140000}"/>
    <cellStyle name="Normal 11 18 4 3 4" xfId="5261" xr:uid="{00000000-0005-0000-0000-000077140000}"/>
    <cellStyle name="Normal 11 18 4 3 5" xfId="5262" xr:uid="{00000000-0005-0000-0000-000078140000}"/>
    <cellStyle name="Normal 11 18 4 3 6" xfId="5263" xr:uid="{00000000-0005-0000-0000-000079140000}"/>
    <cellStyle name="Normal 11 18 4 4" xfId="5264" xr:uid="{00000000-0005-0000-0000-00007A140000}"/>
    <cellStyle name="Normal 11 18 4 5" xfId="5265" xr:uid="{00000000-0005-0000-0000-00007B140000}"/>
    <cellStyle name="Normal 11 18 4 6" xfId="5266" xr:uid="{00000000-0005-0000-0000-00007C140000}"/>
    <cellStyle name="Normal 11 18 4 7" xfId="5267" xr:uid="{00000000-0005-0000-0000-00007D140000}"/>
    <cellStyle name="Normal 11 18 4 8" xfId="5268" xr:uid="{00000000-0005-0000-0000-00007E140000}"/>
    <cellStyle name="Normal 11 18 5" xfId="5269" xr:uid="{00000000-0005-0000-0000-00007F140000}"/>
    <cellStyle name="Normal 11 18 5 2" xfId="5270" xr:uid="{00000000-0005-0000-0000-000080140000}"/>
    <cellStyle name="Normal 11 18 5 3" xfId="5271" xr:uid="{00000000-0005-0000-0000-000081140000}"/>
    <cellStyle name="Normal 11 18 5 4" xfId="5272" xr:uid="{00000000-0005-0000-0000-000082140000}"/>
    <cellStyle name="Normal 11 18 5 5" xfId="5273" xr:uid="{00000000-0005-0000-0000-000083140000}"/>
    <cellStyle name="Normal 11 18 5 6" xfId="5274" xr:uid="{00000000-0005-0000-0000-000084140000}"/>
    <cellStyle name="Normal 11 18 6" xfId="5275" xr:uid="{00000000-0005-0000-0000-000085140000}"/>
    <cellStyle name="Normal 11 18 6 2" xfId="5276" xr:uid="{00000000-0005-0000-0000-000086140000}"/>
    <cellStyle name="Normal 11 18 6 3" xfId="5277" xr:uid="{00000000-0005-0000-0000-000087140000}"/>
    <cellStyle name="Normal 11 18 6 4" xfId="5278" xr:uid="{00000000-0005-0000-0000-000088140000}"/>
    <cellStyle name="Normal 11 18 6 5" xfId="5279" xr:uid="{00000000-0005-0000-0000-000089140000}"/>
    <cellStyle name="Normal 11 18 6 6" xfId="5280" xr:uid="{00000000-0005-0000-0000-00008A140000}"/>
    <cellStyle name="Normal 11 18 7" xfId="5281" xr:uid="{00000000-0005-0000-0000-00008B140000}"/>
    <cellStyle name="Normal 11 18 8" xfId="5282" xr:uid="{00000000-0005-0000-0000-00008C140000}"/>
    <cellStyle name="Normal 11 18 9" xfId="5283" xr:uid="{00000000-0005-0000-0000-00008D140000}"/>
    <cellStyle name="Normal 11 19" xfId="5284" xr:uid="{00000000-0005-0000-0000-00008E140000}"/>
    <cellStyle name="Normal 11 19 2" xfId="5285" xr:uid="{00000000-0005-0000-0000-00008F140000}"/>
    <cellStyle name="Normal 11 19 2 2" xfId="5286" xr:uid="{00000000-0005-0000-0000-000090140000}"/>
    <cellStyle name="Normal 11 19 2 3" xfId="5287" xr:uid="{00000000-0005-0000-0000-000091140000}"/>
    <cellStyle name="Normal 11 19 2 4" xfId="5288" xr:uid="{00000000-0005-0000-0000-000092140000}"/>
    <cellStyle name="Normal 11 19 2 5" xfId="5289" xr:uid="{00000000-0005-0000-0000-000093140000}"/>
    <cellStyle name="Normal 11 19 2 6" xfId="5290" xr:uid="{00000000-0005-0000-0000-000094140000}"/>
    <cellStyle name="Normal 11 19 3" xfId="5291" xr:uid="{00000000-0005-0000-0000-000095140000}"/>
    <cellStyle name="Normal 11 19 3 2" xfId="5292" xr:uid="{00000000-0005-0000-0000-000096140000}"/>
    <cellStyle name="Normal 11 19 3 3" xfId="5293" xr:uid="{00000000-0005-0000-0000-000097140000}"/>
    <cellStyle name="Normal 11 19 3 4" xfId="5294" xr:uid="{00000000-0005-0000-0000-000098140000}"/>
    <cellStyle name="Normal 11 19 3 5" xfId="5295" xr:uid="{00000000-0005-0000-0000-000099140000}"/>
    <cellStyle name="Normal 11 19 3 6" xfId="5296" xr:uid="{00000000-0005-0000-0000-00009A140000}"/>
    <cellStyle name="Normal 11 19 4" xfId="5297" xr:uid="{00000000-0005-0000-0000-00009B140000}"/>
    <cellStyle name="Normal 11 19 5" xfId="5298" xr:uid="{00000000-0005-0000-0000-00009C140000}"/>
    <cellStyle name="Normal 11 19 6" xfId="5299" xr:uid="{00000000-0005-0000-0000-00009D140000}"/>
    <cellStyle name="Normal 11 19 7" xfId="5300" xr:uid="{00000000-0005-0000-0000-00009E140000}"/>
    <cellStyle name="Normal 11 19 8" xfId="5301" xr:uid="{00000000-0005-0000-0000-00009F140000}"/>
    <cellStyle name="Normal 11 2" xfId="5302" xr:uid="{00000000-0005-0000-0000-0000A0140000}"/>
    <cellStyle name="Normal 11 2 2" xfId="5303" xr:uid="{00000000-0005-0000-0000-0000A1140000}"/>
    <cellStyle name="Normal 11 20" xfId="5304" xr:uid="{00000000-0005-0000-0000-0000A2140000}"/>
    <cellStyle name="Normal 11 20 2" xfId="5305" xr:uid="{00000000-0005-0000-0000-0000A3140000}"/>
    <cellStyle name="Normal 11 20 2 2" xfId="5306" xr:uid="{00000000-0005-0000-0000-0000A4140000}"/>
    <cellStyle name="Normal 11 20 2 3" xfId="5307" xr:uid="{00000000-0005-0000-0000-0000A5140000}"/>
    <cellStyle name="Normal 11 20 2 4" xfId="5308" xr:uid="{00000000-0005-0000-0000-0000A6140000}"/>
    <cellStyle name="Normal 11 20 2 5" xfId="5309" xr:uid="{00000000-0005-0000-0000-0000A7140000}"/>
    <cellStyle name="Normal 11 20 2 6" xfId="5310" xr:uid="{00000000-0005-0000-0000-0000A8140000}"/>
    <cellStyle name="Normal 11 20 3" xfId="5311" xr:uid="{00000000-0005-0000-0000-0000A9140000}"/>
    <cellStyle name="Normal 11 20 3 2" xfId="5312" xr:uid="{00000000-0005-0000-0000-0000AA140000}"/>
    <cellStyle name="Normal 11 20 3 3" xfId="5313" xr:uid="{00000000-0005-0000-0000-0000AB140000}"/>
    <cellStyle name="Normal 11 20 3 4" xfId="5314" xr:uid="{00000000-0005-0000-0000-0000AC140000}"/>
    <cellStyle name="Normal 11 20 3 5" xfId="5315" xr:uid="{00000000-0005-0000-0000-0000AD140000}"/>
    <cellStyle name="Normal 11 20 3 6" xfId="5316" xr:uid="{00000000-0005-0000-0000-0000AE140000}"/>
    <cellStyle name="Normal 11 20 4" xfId="5317" xr:uid="{00000000-0005-0000-0000-0000AF140000}"/>
    <cellStyle name="Normal 11 20 5" xfId="5318" xr:uid="{00000000-0005-0000-0000-0000B0140000}"/>
    <cellStyle name="Normal 11 20 6" xfId="5319" xr:uid="{00000000-0005-0000-0000-0000B1140000}"/>
    <cellStyle name="Normal 11 20 7" xfId="5320" xr:uid="{00000000-0005-0000-0000-0000B2140000}"/>
    <cellStyle name="Normal 11 20 8" xfId="5321" xr:uid="{00000000-0005-0000-0000-0000B3140000}"/>
    <cellStyle name="Normal 11 21" xfId="5322" xr:uid="{00000000-0005-0000-0000-0000B4140000}"/>
    <cellStyle name="Normal 11 21 2" xfId="5323" xr:uid="{00000000-0005-0000-0000-0000B5140000}"/>
    <cellStyle name="Normal 11 21 2 2" xfId="5324" xr:uid="{00000000-0005-0000-0000-0000B6140000}"/>
    <cellStyle name="Normal 11 21 2 3" xfId="5325" xr:uid="{00000000-0005-0000-0000-0000B7140000}"/>
    <cellStyle name="Normal 11 21 2 4" xfId="5326" xr:uid="{00000000-0005-0000-0000-0000B8140000}"/>
    <cellStyle name="Normal 11 21 2 5" xfId="5327" xr:uid="{00000000-0005-0000-0000-0000B9140000}"/>
    <cellStyle name="Normal 11 21 2 6" xfId="5328" xr:uid="{00000000-0005-0000-0000-0000BA140000}"/>
    <cellStyle name="Normal 11 21 3" xfId="5329" xr:uid="{00000000-0005-0000-0000-0000BB140000}"/>
    <cellStyle name="Normal 11 21 3 2" xfId="5330" xr:uid="{00000000-0005-0000-0000-0000BC140000}"/>
    <cellStyle name="Normal 11 21 3 3" xfId="5331" xr:uid="{00000000-0005-0000-0000-0000BD140000}"/>
    <cellStyle name="Normal 11 21 3 4" xfId="5332" xr:uid="{00000000-0005-0000-0000-0000BE140000}"/>
    <cellStyle name="Normal 11 21 3 5" xfId="5333" xr:uid="{00000000-0005-0000-0000-0000BF140000}"/>
    <cellStyle name="Normal 11 21 3 6" xfId="5334" xr:uid="{00000000-0005-0000-0000-0000C0140000}"/>
    <cellStyle name="Normal 11 21 4" xfId="5335" xr:uid="{00000000-0005-0000-0000-0000C1140000}"/>
    <cellStyle name="Normal 11 21 5" xfId="5336" xr:uid="{00000000-0005-0000-0000-0000C2140000}"/>
    <cellStyle name="Normal 11 21 6" xfId="5337" xr:uid="{00000000-0005-0000-0000-0000C3140000}"/>
    <cellStyle name="Normal 11 21 7" xfId="5338" xr:uid="{00000000-0005-0000-0000-0000C4140000}"/>
    <cellStyle name="Normal 11 21 8" xfId="5339" xr:uid="{00000000-0005-0000-0000-0000C5140000}"/>
    <cellStyle name="Normal 11 22" xfId="5340" xr:uid="{00000000-0005-0000-0000-0000C6140000}"/>
    <cellStyle name="Normal 11 22 2" xfId="5341" xr:uid="{00000000-0005-0000-0000-0000C7140000}"/>
    <cellStyle name="Normal 11 22 3" xfId="5342" xr:uid="{00000000-0005-0000-0000-0000C8140000}"/>
    <cellStyle name="Normal 11 22 4" xfId="5343" xr:uid="{00000000-0005-0000-0000-0000C9140000}"/>
    <cellStyle name="Normal 11 22 5" xfId="5344" xr:uid="{00000000-0005-0000-0000-0000CA140000}"/>
    <cellStyle name="Normal 11 22 6" xfId="5345" xr:uid="{00000000-0005-0000-0000-0000CB140000}"/>
    <cellStyle name="Normal 11 23" xfId="5346" xr:uid="{00000000-0005-0000-0000-0000CC140000}"/>
    <cellStyle name="Normal 11 23 2" xfId="5347" xr:uid="{00000000-0005-0000-0000-0000CD140000}"/>
    <cellStyle name="Normal 11 23 3" xfId="5348" xr:uid="{00000000-0005-0000-0000-0000CE140000}"/>
    <cellStyle name="Normal 11 23 4" xfId="5349" xr:uid="{00000000-0005-0000-0000-0000CF140000}"/>
    <cellStyle name="Normal 11 23 5" xfId="5350" xr:uid="{00000000-0005-0000-0000-0000D0140000}"/>
    <cellStyle name="Normal 11 23 6" xfId="5351" xr:uid="{00000000-0005-0000-0000-0000D1140000}"/>
    <cellStyle name="Normal 11 24" xfId="5352" xr:uid="{00000000-0005-0000-0000-0000D2140000}"/>
    <cellStyle name="Normal 11 25" xfId="5353" xr:uid="{00000000-0005-0000-0000-0000D3140000}"/>
    <cellStyle name="Normal 11 26" xfId="5354" xr:uid="{00000000-0005-0000-0000-0000D4140000}"/>
    <cellStyle name="Normal 11 27" xfId="5355" xr:uid="{00000000-0005-0000-0000-0000D5140000}"/>
    <cellStyle name="Normal 11 28" xfId="5356" xr:uid="{00000000-0005-0000-0000-0000D6140000}"/>
    <cellStyle name="Normal 11 3" xfId="5357" xr:uid="{00000000-0005-0000-0000-0000D7140000}"/>
    <cellStyle name="Normal 11 3 2" xfId="5358" xr:uid="{00000000-0005-0000-0000-0000D8140000}"/>
    <cellStyle name="Normal 11 4" xfId="5359" xr:uid="{00000000-0005-0000-0000-0000D9140000}"/>
    <cellStyle name="Normal 11 4 2" xfId="5360" xr:uid="{00000000-0005-0000-0000-0000DA140000}"/>
    <cellStyle name="Normal 11 5" xfId="5361" xr:uid="{00000000-0005-0000-0000-0000DB140000}"/>
    <cellStyle name="Normal 11 5 2" xfId="5362" xr:uid="{00000000-0005-0000-0000-0000DC140000}"/>
    <cellStyle name="Normal 11 6" xfId="5363" xr:uid="{00000000-0005-0000-0000-0000DD140000}"/>
    <cellStyle name="Normal 11 6 2" xfId="5364" xr:uid="{00000000-0005-0000-0000-0000DE140000}"/>
    <cellStyle name="Normal 11 7" xfId="5365" xr:uid="{00000000-0005-0000-0000-0000DF140000}"/>
    <cellStyle name="Normal 11 7 2" xfId="5366" xr:uid="{00000000-0005-0000-0000-0000E0140000}"/>
    <cellStyle name="Normal 11 8" xfId="5367" xr:uid="{00000000-0005-0000-0000-0000E1140000}"/>
    <cellStyle name="Normal 11 8 2" xfId="5368" xr:uid="{00000000-0005-0000-0000-0000E2140000}"/>
    <cellStyle name="Normal 11 9" xfId="5369" xr:uid="{00000000-0005-0000-0000-0000E3140000}"/>
    <cellStyle name="Normal 11 9 2" xfId="5370" xr:uid="{00000000-0005-0000-0000-0000E4140000}"/>
    <cellStyle name="Normal 115" xfId="17" xr:uid="{00000000-0005-0000-0000-0000E5140000}"/>
    <cellStyle name="Normal 118 3" xfId="18" xr:uid="{00000000-0005-0000-0000-0000E6140000}"/>
    <cellStyle name="Normal 12" xfId="19" xr:uid="{00000000-0005-0000-0000-0000E7140000}"/>
    <cellStyle name="Normal 12 10" xfId="5371" xr:uid="{00000000-0005-0000-0000-0000E8140000}"/>
    <cellStyle name="Normal 12 10 2" xfId="5372" xr:uid="{00000000-0005-0000-0000-0000E9140000}"/>
    <cellStyle name="Normal 12 10 2 2" xfId="5373" xr:uid="{00000000-0005-0000-0000-0000EA140000}"/>
    <cellStyle name="Normal 12 10 2 3" xfId="5374" xr:uid="{00000000-0005-0000-0000-0000EB140000}"/>
    <cellStyle name="Normal 12 10 2 4" xfId="5375" xr:uid="{00000000-0005-0000-0000-0000EC140000}"/>
    <cellStyle name="Normal 12 10 2 5" xfId="5376" xr:uid="{00000000-0005-0000-0000-0000ED140000}"/>
    <cellStyle name="Normal 12 10 2 6" xfId="5377" xr:uid="{00000000-0005-0000-0000-0000EE140000}"/>
    <cellStyle name="Normal 12 10 3" xfId="5378" xr:uid="{00000000-0005-0000-0000-0000EF140000}"/>
    <cellStyle name="Normal 12 10 3 2" xfId="5379" xr:uid="{00000000-0005-0000-0000-0000F0140000}"/>
    <cellStyle name="Normal 12 10 3 3" xfId="5380" xr:uid="{00000000-0005-0000-0000-0000F1140000}"/>
    <cellStyle name="Normal 12 10 3 4" xfId="5381" xr:uid="{00000000-0005-0000-0000-0000F2140000}"/>
    <cellStyle name="Normal 12 10 3 5" xfId="5382" xr:uid="{00000000-0005-0000-0000-0000F3140000}"/>
    <cellStyle name="Normal 12 10 3 6" xfId="5383" xr:uid="{00000000-0005-0000-0000-0000F4140000}"/>
    <cellStyle name="Normal 12 10 4" xfId="5384" xr:uid="{00000000-0005-0000-0000-0000F5140000}"/>
    <cellStyle name="Normal 12 10 5" xfId="5385" xr:uid="{00000000-0005-0000-0000-0000F6140000}"/>
    <cellStyle name="Normal 12 10 6" xfId="5386" xr:uid="{00000000-0005-0000-0000-0000F7140000}"/>
    <cellStyle name="Normal 12 10 7" xfId="5387" xr:uid="{00000000-0005-0000-0000-0000F8140000}"/>
    <cellStyle name="Normal 12 10 8" xfId="5388" xr:uid="{00000000-0005-0000-0000-0000F9140000}"/>
    <cellStyle name="Normal 12 11" xfId="5389" xr:uid="{00000000-0005-0000-0000-0000FA140000}"/>
    <cellStyle name="Normal 12 11 2" xfId="5390" xr:uid="{00000000-0005-0000-0000-0000FB140000}"/>
    <cellStyle name="Normal 12 11 2 2" xfId="5391" xr:uid="{00000000-0005-0000-0000-0000FC140000}"/>
    <cellStyle name="Normal 12 11 2 3" xfId="5392" xr:uid="{00000000-0005-0000-0000-0000FD140000}"/>
    <cellStyle name="Normal 12 11 2 4" xfId="5393" xr:uid="{00000000-0005-0000-0000-0000FE140000}"/>
    <cellStyle name="Normal 12 11 2 5" xfId="5394" xr:uid="{00000000-0005-0000-0000-0000FF140000}"/>
    <cellStyle name="Normal 12 11 2 6" xfId="5395" xr:uid="{00000000-0005-0000-0000-000000150000}"/>
    <cellStyle name="Normal 12 11 3" xfId="5396" xr:uid="{00000000-0005-0000-0000-000001150000}"/>
    <cellStyle name="Normal 12 11 3 2" xfId="5397" xr:uid="{00000000-0005-0000-0000-000002150000}"/>
    <cellStyle name="Normal 12 11 3 3" xfId="5398" xr:uid="{00000000-0005-0000-0000-000003150000}"/>
    <cellStyle name="Normal 12 11 3 4" xfId="5399" xr:uid="{00000000-0005-0000-0000-000004150000}"/>
    <cellStyle name="Normal 12 11 3 5" xfId="5400" xr:uid="{00000000-0005-0000-0000-000005150000}"/>
    <cellStyle name="Normal 12 11 3 6" xfId="5401" xr:uid="{00000000-0005-0000-0000-000006150000}"/>
    <cellStyle name="Normal 12 11 4" xfId="5402" xr:uid="{00000000-0005-0000-0000-000007150000}"/>
    <cellStyle name="Normal 12 11 5" xfId="5403" xr:uid="{00000000-0005-0000-0000-000008150000}"/>
    <cellStyle name="Normal 12 11 6" xfId="5404" xr:uid="{00000000-0005-0000-0000-000009150000}"/>
    <cellStyle name="Normal 12 11 7" xfId="5405" xr:uid="{00000000-0005-0000-0000-00000A150000}"/>
    <cellStyle name="Normal 12 11 8" xfId="5406" xr:uid="{00000000-0005-0000-0000-00000B150000}"/>
    <cellStyle name="Normal 12 12" xfId="5407" xr:uid="{00000000-0005-0000-0000-00000C150000}"/>
    <cellStyle name="Normal 12 12 2" xfId="5408" xr:uid="{00000000-0005-0000-0000-00000D150000}"/>
    <cellStyle name="Normal 12 12 2 2" xfId="5409" xr:uid="{00000000-0005-0000-0000-00000E150000}"/>
    <cellStyle name="Normal 12 12 2 3" xfId="5410" xr:uid="{00000000-0005-0000-0000-00000F150000}"/>
    <cellStyle name="Normal 12 12 2 4" xfId="5411" xr:uid="{00000000-0005-0000-0000-000010150000}"/>
    <cellStyle name="Normal 12 12 2 5" xfId="5412" xr:uid="{00000000-0005-0000-0000-000011150000}"/>
    <cellStyle name="Normal 12 12 2 6" xfId="5413" xr:uid="{00000000-0005-0000-0000-000012150000}"/>
    <cellStyle name="Normal 12 12 3" xfId="5414" xr:uid="{00000000-0005-0000-0000-000013150000}"/>
    <cellStyle name="Normal 12 12 3 2" xfId="5415" xr:uid="{00000000-0005-0000-0000-000014150000}"/>
    <cellStyle name="Normal 12 12 3 3" xfId="5416" xr:uid="{00000000-0005-0000-0000-000015150000}"/>
    <cellStyle name="Normal 12 12 3 4" xfId="5417" xr:uid="{00000000-0005-0000-0000-000016150000}"/>
    <cellStyle name="Normal 12 12 3 5" xfId="5418" xr:uid="{00000000-0005-0000-0000-000017150000}"/>
    <cellStyle name="Normal 12 12 3 6" xfId="5419" xr:uid="{00000000-0005-0000-0000-000018150000}"/>
    <cellStyle name="Normal 12 12 4" xfId="5420" xr:uid="{00000000-0005-0000-0000-000019150000}"/>
    <cellStyle name="Normal 12 12 5" xfId="5421" xr:uid="{00000000-0005-0000-0000-00001A150000}"/>
    <cellStyle name="Normal 12 12 6" xfId="5422" xr:uid="{00000000-0005-0000-0000-00001B150000}"/>
    <cellStyle name="Normal 12 12 7" xfId="5423" xr:uid="{00000000-0005-0000-0000-00001C150000}"/>
    <cellStyle name="Normal 12 12 8" xfId="5424" xr:uid="{00000000-0005-0000-0000-00001D150000}"/>
    <cellStyle name="Normal 12 13" xfId="5425" xr:uid="{00000000-0005-0000-0000-00001E150000}"/>
    <cellStyle name="Normal 12 13 2" xfId="5426" xr:uid="{00000000-0005-0000-0000-00001F150000}"/>
    <cellStyle name="Normal 12 13 3" xfId="5427" xr:uid="{00000000-0005-0000-0000-000020150000}"/>
    <cellStyle name="Normal 12 13 4" xfId="5428" xr:uid="{00000000-0005-0000-0000-000021150000}"/>
    <cellStyle name="Normal 12 13 5" xfId="5429" xr:uid="{00000000-0005-0000-0000-000022150000}"/>
    <cellStyle name="Normal 12 13 6" xfId="5430" xr:uid="{00000000-0005-0000-0000-000023150000}"/>
    <cellStyle name="Normal 12 14" xfId="5431" xr:uid="{00000000-0005-0000-0000-000024150000}"/>
    <cellStyle name="Normal 12 14 2" xfId="5432" xr:uid="{00000000-0005-0000-0000-000025150000}"/>
    <cellStyle name="Normal 12 14 3" xfId="5433" xr:uid="{00000000-0005-0000-0000-000026150000}"/>
    <cellStyle name="Normal 12 14 4" xfId="5434" xr:uid="{00000000-0005-0000-0000-000027150000}"/>
    <cellStyle name="Normal 12 14 5" xfId="5435" xr:uid="{00000000-0005-0000-0000-000028150000}"/>
    <cellStyle name="Normal 12 14 6" xfId="5436" xr:uid="{00000000-0005-0000-0000-000029150000}"/>
    <cellStyle name="Normal 12 15" xfId="5437" xr:uid="{00000000-0005-0000-0000-00002A150000}"/>
    <cellStyle name="Normal 12 16" xfId="5438" xr:uid="{00000000-0005-0000-0000-00002B150000}"/>
    <cellStyle name="Normal 12 17" xfId="5439" xr:uid="{00000000-0005-0000-0000-00002C150000}"/>
    <cellStyle name="Normal 12 18" xfId="5440" xr:uid="{00000000-0005-0000-0000-00002D150000}"/>
    <cellStyle name="Normal 12 19" xfId="5441" xr:uid="{00000000-0005-0000-0000-00002E150000}"/>
    <cellStyle name="Normal 12 2" xfId="5442" xr:uid="{00000000-0005-0000-0000-00002F150000}"/>
    <cellStyle name="Normal 12 2 10" xfId="5443" xr:uid="{00000000-0005-0000-0000-000030150000}"/>
    <cellStyle name="Normal 12 2 10 2" xfId="5444" xr:uid="{00000000-0005-0000-0000-000031150000}"/>
    <cellStyle name="Normal 12 2 10 3" xfId="5445" xr:uid="{00000000-0005-0000-0000-000032150000}"/>
    <cellStyle name="Normal 12 2 10 4" xfId="5446" xr:uid="{00000000-0005-0000-0000-000033150000}"/>
    <cellStyle name="Normal 12 2 10 5" xfId="5447" xr:uid="{00000000-0005-0000-0000-000034150000}"/>
    <cellStyle name="Normal 12 2 10 6" xfId="5448" xr:uid="{00000000-0005-0000-0000-000035150000}"/>
    <cellStyle name="Normal 12 2 11" xfId="5449" xr:uid="{00000000-0005-0000-0000-000036150000}"/>
    <cellStyle name="Normal 12 2 12" xfId="5450" xr:uid="{00000000-0005-0000-0000-000037150000}"/>
    <cellStyle name="Normal 12 2 13" xfId="5451" xr:uid="{00000000-0005-0000-0000-000038150000}"/>
    <cellStyle name="Normal 12 2 14" xfId="5452" xr:uid="{00000000-0005-0000-0000-000039150000}"/>
    <cellStyle name="Normal 12 2 15" xfId="5453" xr:uid="{00000000-0005-0000-0000-00003A150000}"/>
    <cellStyle name="Normal 12 2 2" xfId="5454" xr:uid="{00000000-0005-0000-0000-00003B150000}"/>
    <cellStyle name="Normal 12 2 2 10" xfId="5455" xr:uid="{00000000-0005-0000-0000-00003C150000}"/>
    <cellStyle name="Normal 12 2 2 11" xfId="5456" xr:uid="{00000000-0005-0000-0000-00003D150000}"/>
    <cellStyle name="Normal 12 2 2 12" xfId="5457" xr:uid="{00000000-0005-0000-0000-00003E150000}"/>
    <cellStyle name="Normal 12 2 2 13" xfId="5458" xr:uid="{00000000-0005-0000-0000-00003F150000}"/>
    <cellStyle name="Normal 12 2 2 14" xfId="5459" xr:uid="{00000000-0005-0000-0000-000040150000}"/>
    <cellStyle name="Normal 12 2 2 2" xfId="5460" xr:uid="{00000000-0005-0000-0000-000041150000}"/>
    <cellStyle name="Normal 12 2 2 2 10" xfId="5461" xr:uid="{00000000-0005-0000-0000-000042150000}"/>
    <cellStyle name="Normal 12 2 2 2 11" xfId="5462" xr:uid="{00000000-0005-0000-0000-000043150000}"/>
    <cellStyle name="Normal 12 2 2 2 12" xfId="5463" xr:uid="{00000000-0005-0000-0000-000044150000}"/>
    <cellStyle name="Normal 12 2 2 2 2" xfId="5464" xr:uid="{00000000-0005-0000-0000-000045150000}"/>
    <cellStyle name="Normal 12 2 2 2 2 10" xfId="5465" xr:uid="{00000000-0005-0000-0000-000046150000}"/>
    <cellStyle name="Normal 12 2 2 2 2 11" xfId="5466" xr:uid="{00000000-0005-0000-0000-000047150000}"/>
    <cellStyle name="Normal 12 2 2 2 2 2" xfId="5467" xr:uid="{00000000-0005-0000-0000-000048150000}"/>
    <cellStyle name="Normal 12 2 2 2 2 2 2" xfId="5468" xr:uid="{00000000-0005-0000-0000-000049150000}"/>
    <cellStyle name="Normal 12 2 2 2 2 2 2 2" xfId="5469" xr:uid="{00000000-0005-0000-0000-00004A150000}"/>
    <cellStyle name="Normal 12 2 2 2 2 2 2 3" xfId="5470" xr:uid="{00000000-0005-0000-0000-00004B150000}"/>
    <cellStyle name="Normal 12 2 2 2 2 2 2 4" xfId="5471" xr:uid="{00000000-0005-0000-0000-00004C150000}"/>
    <cellStyle name="Normal 12 2 2 2 2 2 2 5" xfId="5472" xr:uid="{00000000-0005-0000-0000-00004D150000}"/>
    <cellStyle name="Normal 12 2 2 2 2 2 2 6" xfId="5473" xr:uid="{00000000-0005-0000-0000-00004E150000}"/>
    <cellStyle name="Normal 12 2 2 2 2 2 3" xfId="5474" xr:uid="{00000000-0005-0000-0000-00004F150000}"/>
    <cellStyle name="Normal 12 2 2 2 2 2 3 2" xfId="5475" xr:uid="{00000000-0005-0000-0000-000050150000}"/>
    <cellStyle name="Normal 12 2 2 2 2 2 3 3" xfId="5476" xr:uid="{00000000-0005-0000-0000-000051150000}"/>
    <cellStyle name="Normal 12 2 2 2 2 2 3 4" xfId="5477" xr:uid="{00000000-0005-0000-0000-000052150000}"/>
    <cellStyle name="Normal 12 2 2 2 2 2 3 5" xfId="5478" xr:uid="{00000000-0005-0000-0000-000053150000}"/>
    <cellStyle name="Normal 12 2 2 2 2 2 3 6" xfId="5479" xr:uid="{00000000-0005-0000-0000-000054150000}"/>
    <cellStyle name="Normal 12 2 2 2 2 2 4" xfId="5480" xr:uid="{00000000-0005-0000-0000-000055150000}"/>
    <cellStyle name="Normal 12 2 2 2 2 2 5" xfId="5481" xr:uid="{00000000-0005-0000-0000-000056150000}"/>
    <cellStyle name="Normal 12 2 2 2 2 2 6" xfId="5482" xr:uid="{00000000-0005-0000-0000-000057150000}"/>
    <cellStyle name="Normal 12 2 2 2 2 2 7" xfId="5483" xr:uid="{00000000-0005-0000-0000-000058150000}"/>
    <cellStyle name="Normal 12 2 2 2 2 2 8" xfId="5484" xr:uid="{00000000-0005-0000-0000-000059150000}"/>
    <cellStyle name="Normal 12 2 2 2 2 3" xfId="5485" xr:uid="{00000000-0005-0000-0000-00005A150000}"/>
    <cellStyle name="Normal 12 2 2 2 2 3 2" xfId="5486" xr:uid="{00000000-0005-0000-0000-00005B150000}"/>
    <cellStyle name="Normal 12 2 2 2 2 3 2 2" xfId="5487" xr:uid="{00000000-0005-0000-0000-00005C150000}"/>
    <cellStyle name="Normal 12 2 2 2 2 3 2 3" xfId="5488" xr:uid="{00000000-0005-0000-0000-00005D150000}"/>
    <cellStyle name="Normal 12 2 2 2 2 3 2 4" xfId="5489" xr:uid="{00000000-0005-0000-0000-00005E150000}"/>
    <cellStyle name="Normal 12 2 2 2 2 3 2 5" xfId="5490" xr:uid="{00000000-0005-0000-0000-00005F150000}"/>
    <cellStyle name="Normal 12 2 2 2 2 3 2 6" xfId="5491" xr:uid="{00000000-0005-0000-0000-000060150000}"/>
    <cellStyle name="Normal 12 2 2 2 2 3 3" xfId="5492" xr:uid="{00000000-0005-0000-0000-000061150000}"/>
    <cellStyle name="Normal 12 2 2 2 2 3 3 2" xfId="5493" xr:uid="{00000000-0005-0000-0000-000062150000}"/>
    <cellStyle name="Normal 12 2 2 2 2 3 3 3" xfId="5494" xr:uid="{00000000-0005-0000-0000-000063150000}"/>
    <cellStyle name="Normal 12 2 2 2 2 3 3 4" xfId="5495" xr:uid="{00000000-0005-0000-0000-000064150000}"/>
    <cellStyle name="Normal 12 2 2 2 2 3 3 5" xfId="5496" xr:uid="{00000000-0005-0000-0000-000065150000}"/>
    <cellStyle name="Normal 12 2 2 2 2 3 3 6" xfId="5497" xr:uid="{00000000-0005-0000-0000-000066150000}"/>
    <cellStyle name="Normal 12 2 2 2 2 3 4" xfId="5498" xr:uid="{00000000-0005-0000-0000-000067150000}"/>
    <cellStyle name="Normal 12 2 2 2 2 3 5" xfId="5499" xr:uid="{00000000-0005-0000-0000-000068150000}"/>
    <cellStyle name="Normal 12 2 2 2 2 3 6" xfId="5500" xr:uid="{00000000-0005-0000-0000-000069150000}"/>
    <cellStyle name="Normal 12 2 2 2 2 3 7" xfId="5501" xr:uid="{00000000-0005-0000-0000-00006A150000}"/>
    <cellStyle name="Normal 12 2 2 2 2 3 8" xfId="5502" xr:uid="{00000000-0005-0000-0000-00006B150000}"/>
    <cellStyle name="Normal 12 2 2 2 2 4" xfId="5503" xr:uid="{00000000-0005-0000-0000-00006C150000}"/>
    <cellStyle name="Normal 12 2 2 2 2 4 2" xfId="5504" xr:uid="{00000000-0005-0000-0000-00006D150000}"/>
    <cellStyle name="Normal 12 2 2 2 2 4 2 2" xfId="5505" xr:uid="{00000000-0005-0000-0000-00006E150000}"/>
    <cellStyle name="Normal 12 2 2 2 2 4 2 3" xfId="5506" xr:uid="{00000000-0005-0000-0000-00006F150000}"/>
    <cellStyle name="Normal 12 2 2 2 2 4 2 4" xfId="5507" xr:uid="{00000000-0005-0000-0000-000070150000}"/>
    <cellStyle name="Normal 12 2 2 2 2 4 2 5" xfId="5508" xr:uid="{00000000-0005-0000-0000-000071150000}"/>
    <cellStyle name="Normal 12 2 2 2 2 4 2 6" xfId="5509" xr:uid="{00000000-0005-0000-0000-000072150000}"/>
    <cellStyle name="Normal 12 2 2 2 2 4 3" xfId="5510" xr:uid="{00000000-0005-0000-0000-000073150000}"/>
    <cellStyle name="Normal 12 2 2 2 2 4 3 2" xfId="5511" xr:uid="{00000000-0005-0000-0000-000074150000}"/>
    <cellStyle name="Normal 12 2 2 2 2 4 3 3" xfId="5512" xr:uid="{00000000-0005-0000-0000-000075150000}"/>
    <cellStyle name="Normal 12 2 2 2 2 4 3 4" xfId="5513" xr:uid="{00000000-0005-0000-0000-000076150000}"/>
    <cellStyle name="Normal 12 2 2 2 2 4 3 5" xfId="5514" xr:uid="{00000000-0005-0000-0000-000077150000}"/>
    <cellStyle name="Normal 12 2 2 2 2 4 3 6" xfId="5515" xr:uid="{00000000-0005-0000-0000-000078150000}"/>
    <cellStyle name="Normal 12 2 2 2 2 4 4" xfId="5516" xr:uid="{00000000-0005-0000-0000-000079150000}"/>
    <cellStyle name="Normal 12 2 2 2 2 4 5" xfId="5517" xr:uid="{00000000-0005-0000-0000-00007A150000}"/>
    <cellStyle name="Normal 12 2 2 2 2 4 6" xfId="5518" xr:uid="{00000000-0005-0000-0000-00007B150000}"/>
    <cellStyle name="Normal 12 2 2 2 2 4 7" xfId="5519" xr:uid="{00000000-0005-0000-0000-00007C150000}"/>
    <cellStyle name="Normal 12 2 2 2 2 4 8" xfId="5520" xr:uid="{00000000-0005-0000-0000-00007D150000}"/>
    <cellStyle name="Normal 12 2 2 2 2 5" xfId="5521" xr:uid="{00000000-0005-0000-0000-00007E150000}"/>
    <cellStyle name="Normal 12 2 2 2 2 5 2" xfId="5522" xr:uid="{00000000-0005-0000-0000-00007F150000}"/>
    <cellStyle name="Normal 12 2 2 2 2 5 3" xfId="5523" xr:uid="{00000000-0005-0000-0000-000080150000}"/>
    <cellStyle name="Normal 12 2 2 2 2 5 4" xfId="5524" xr:uid="{00000000-0005-0000-0000-000081150000}"/>
    <cellStyle name="Normal 12 2 2 2 2 5 5" xfId="5525" xr:uid="{00000000-0005-0000-0000-000082150000}"/>
    <cellStyle name="Normal 12 2 2 2 2 5 6" xfId="5526" xr:uid="{00000000-0005-0000-0000-000083150000}"/>
    <cellStyle name="Normal 12 2 2 2 2 6" xfId="5527" xr:uid="{00000000-0005-0000-0000-000084150000}"/>
    <cellStyle name="Normal 12 2 2 2 2 6 2" xfId="5528" xr:uid="{00000000-0005-0000-0000-000085150000}"/>
    <cellStyle name="Normal 12 2 2 2 2 6 3" xfId="5529" xr:uid="{00000000-0005-0000-0000-000086150000}"/>
    <cellStyle name="Normal 12 2 2 2 2 6 4" xfId="5530" xr:uid="{00000000-0005-0000-0000-000087150000}"/>
    <cellStyle name="Normal 12 2 2 2 2 6 5" xfId="5531" xr:uid="{00000000-0005-0000-0000-000088150000}"/>
    <cellStyle name="Normal 12 2 2 2 2 6 6" xfId="5532" xr:uid="{00000000-0005-0000-0000-000089150000}"/>
    <cellStyle name="Normal 12 2 2 2 2 7" xfId="5533" xr:uid="{00000000-0005-0000-0000-00008A150000}"/>
    <cellStyle name="Normal 12 2 2 2 2 8" xfId="5534" xr:uid="{00000000-0005-0000-0000-00008B150000}"/>
    <cellStyle name="Normal 12 2 2 2 2 9" xfId="5535" xr:uid="{00000000-0005-0000-0000-00008C150000}"/>
    <cellStyle name="Normal 12 2 2 2 3" xfId="5536" xr:uid="{00000000-0005-0000-0000-00008D150000}"/>
    <cellStyle name="Normal 12 2 2 2 3 2" xfId="5537" xr:uid="{00000000-0005-0000-0000-00008E150000}"/>
    <cellStyle name="Normal 12 2 2 2 3 2 2" xfId="5538" xr:uid="{00000000-0005-0000-0000-00008F150000}"/>
    <cellStyle name="Normal 12 2 2 2 3 2 3" xfId="5539" xr:uid="{00000000-0005-0000-0000-000090150000}"/>
    <cellStyle name="Normal 12 2 2 2 3 2 4" xfId="5540" xr:uid="{00000000-0005-0000-0000-000091150000}"/>
    <cellStyle name="Normal 12 2 2 2 3 2 5" xfId="5541" xr:uid="{00000000-0005-0000-0000-000092150000}"/>
    <cellStyle name="Normal 12 2 2 2 3 2 6" xfId="5542" xr:uid="{00000000-0005-0000-0000-000093150000}"/>
    <cellStyle name="Normal 12 2 2 2 3 3" xfId="5543" xr:uid="{00000000-0005-0000-0000-000094150000}"/>
    <cellStyle name="Normal 12 2 2 2 3 3 2" xfId="5544" xr:uid="{00000000-0005-0000-0000-000095150000}"/>
    <cellStyle name="Normal 12 2 2 2 3 3 3" xfId="5545" xr:uid="{00000000-0005-0000-0000-000096150000}"/>
    <cellStyle name="Normal 12 2 2 2 3 3 4" xfId="5546" xr:uid="{00000000-0005-0000-0000-000097150000}"/>
    <cellStyle name="Normal 12 2 2 2 3 3 5" xfId="5547" xr:uid="{00000000-0005-0000-0000-000098150000}"/>
    <cellStyle name="Normal 12 2 2 2 3 3 6" xfId="5548" xr:uid="{00000000-0005-0000-0000-000099150000}"/>
    <cellStyle name="Normal 12 2 2 2 3 4" xfId="5549" xr:uid="{00000000-0005-0000-0000-00009A150000}"/>
    <cellStyle name="Normal 12 2 2 2 3 5" xfId="5550" xr:uid="{00000000-0005-0000-0000-00009B150000}"/>
    <cellStyle name="Normal 12 2 2 2 3 6" xfId="5551" xr:uid="{00000000-0005-0000-0000-00009C150000}"/>
    <cellStyle name="Normal 12 2 2 2 3 7" xfId="5552" xr:uid="{00000000-0005-0000-0000-00009D150000}"/>
    <cellStyle name="Normal 12 2 2 2 3 8" xfId="5553" xr:uid="{00000000-0005-0000-0000-00009E150000}"/>
    <cellStyle name="Normal 12 2 2 2 4" xfId="5554" xr:uid="{00000000-0005-0000-0000-00009F150000}"/>
    <cellStyle name="Normal 12 2 2 2 4 2" xfId="5555" xr:uid="{00000000-0005-0000-0000-0000A0150000}"/>
    <cellStyle name="Normal 12 2 2 2 4 2 2" xfId="5556" xr:uid="{00000000-0005-0000-0000-0000A1150000}"/>
    <cellStyle name="Normal 12 2 2 2 4 2 3" xfId="5557" xr:uid="{00000000-0005-0000-0000-0000A2150000}"/>
    <cellStyle name="Normal 12 2 2 2 4 2 4" xfId="5558" xr:uid="{00000000-0005-0000-0000-0000A3150000}"/>
    <cellStyle name="Normal 12 2 2 2 4 2 5" xfId="5559" xr:uid="{00000000-0005-0000-0000-0000A4150000}"/>
    <cellStyle name="Normal 12 2 2 2 4 2 6" xfId="5560" xr:uid="{00000000-0005-0000-0000-0000A5150000}"/>
    <cellStyle name="Normal 12 2 2 2 4 3" xfId="5561" xr:uid="{00000000-0005-0000-0000-0000A6150000}"/>
    <cellStyle name="Normal 12 2 2 2 4 3 2" xfId="5562" xr:uid="{00000000-0005-0000-0000-0000A7150000}"/>
    <cellStyle name="Normal 12 2 2 2 4 3 3" xfId="5563" xr:uid="{00000000-0005-0000-0000-0000A8150000}"/>
    <cellStyle name="Normal 12 2 2 2 4 3 4" xfId="5564" xr:uid="{00000000-0005-0000-0000-0000A9150000}"/>
    <cellStyle name="Normal 12 2 2 2 4 3 5" xfId="5565" xr:uid="{00000000-0005-0000-0000-0000AA150000}"/>
    <cellStyle name="Normal 12 2 2 2 4 3 6" xfId="5566" xr:uid="{00000000-0005-0000-0000-0000AB150000}"/>
    <cellStyle name="Normal 12 2 2 2 4 4" xfId="5567" xr:uid="{00000000-0005-0000-0000-0000AC150000}"/>
    <cellStyle name="Normal 12 2 2 2 4 5" xfId="5568" xr:uid="{00000000-0005-0000-0000-0000AD150000}"/>
    <cellStyle name="Normal 12 2 2 2 4 6" xfId="5569" xr:uid="{00000000-0005-0000-0000-0000AE150000}"/>
    <cellStyle name="Normal 12 2 2 2 4 7" xfId="5570" xr:uid="{00000000-0005-0000-0000-0000AF150000}"/>
    <cellStyle name="Normal 12 2 2 2 4 8" xfId="5571" xr:uid="{00000000-0005-0000-0000-0000B0150000}"/>
    <cellStyle name="Normal 12 2 2 2 5" xfId="5572" xr:uid="{00000000-0005-0000-0000-0000B1150000}"/>
    <cellStyle name="Normal 12 2 2 2 5 2" xfId="5573" xr:uid="{00000000-0005-0000-0000-0000B2150000}"/>
    <cellStyle name="Normal 12 2 2 2 5 2 2" xfId="5574" xr:uid="{00000000-0005-0000-0000-0000B3150000}"/>
    <cellStyle name="Normal 12 2 2 2 5 2 3" xfId="5575" xr:uid="{00000000-0005-0000-0000-0000B4150000}"/>
    <cellStyle name="Normal 12 2 2 2 5 2 4" xfId="5576" xr:uid="{00000000-0005-0000-0000-0000B5150000}"/>
    <cellStyle name="Normal 12 2 2 2 5 2 5" xfId="5577" xr:uid="{00000000-0005-0000-0000-0000B6150000}"/>
    <cellStyle name="Normal 12 2 2 2 5 2 6" xfId="5578" xr:uid="{00000000-0005-0000-0000-0000B7150000}"/>
    <cellStyle name="Normal 12 2 2 2 5 3" xfId="5579" xr:uid="{00000000-0005-0000-0000-0000B8150000}"/>
    <cellStyle name="Normal 12 2 2 2 5 3 2" xfId="5580" xr:uid="{00000000-0005-0000-0000-0000B9150000}"/>
    <cellStyle name="Normal 12 2 2 2 5 3 3" xfId="5581" xr:uid="{00000000-0005-0000-0000-0000BA150000}"/>
    <cellStyle name="Normal 12 2 2 2 5 3 4" xfId="5582" xr:uid="{00000000-0005-0000-0000-0000BB150000}"/>
    <cellStyle name="Normal 12 2 2 2 5 3 5" xfId="5583" xr:uid="{00000000-0005-0000-0000-0000BC150000}"/>
    <cellStyle name="Normal 12 2 2 2 5 3 6" xfId="5584" xr:uid="{00000000-0005-0000-0000-0000BD150000}"/>
    <cellStyle name="Normal 12 2 2 2 5 4" xfId="5585" xr:uid="{00000000-0005-0000-0000-0000BE150000}"/>
    <cellStyle name="Normal 12 2 2 2 5 5" xfId="5586" xr:uid="{00000000-0005-0000-0000-0000BF150000}"/>
    <cellStyle name="Normal 12 2 2 2 5 6" xfId="5587" xr:uid="{00000000-0005-0000-0000-0000C0150000}"/>
    <cellStyle name="Normal 12 2 2 2 5 7" xfId="5588" xr:uid="{00000000-0005-0000-0000-0000C1150000}"/>
    <cellStyle name="Normal 12 2 2 2 5 8" xfId="5589" xr:uid="{00000000-0005-0000-0000-0000C2150000}"/>
    <cellStyle name="Normal 12 2 2 2 6" xfId="5590" xr:uid="{00000000-0005-0000-0000-0000C3150000}"/>
    <cellStyle name="Normal 12 2 2 2 6 2" xfId="5591" xr:uid="{00000000-0005-0000-0000-0000C4150000}"/>
    <cellStyle name="Normal 12 2 2 2 6 3" xfId="5592" xr:uid="{00000000-0005-0000-0000-0000C5150000}"/>
    <cellStyle name="Normal 12 2 2 2 6 4" xfId="5593" xr:uid="{00000000-0005-0000-0000-0000C6150000}"/>
    <cellStyle name="Normal 12 2 2 2 6 5" xfId="5594" xr:uid="{00000000-0005-0000-0000-0000C7150000}"/>
    <cellStyle name="Normal 12 2 2 2 6 6" xfId="5595" xr:uid="{00000000-0005-0000-0000-0000C8150000}"/>
    <cellStyle name="Normal 12 2 2 2 7" xfId="5596" xr:uid="{00000000-0005-0000-0000-0000C9150000}"/>
    <cellStyle name="Normal 12 2 2 2 7 2" xfId="5597" xr:uid="{00000000-0005-0000-0000-0000CA150000}"/>
    <cellStyle name="Normal 12 2 2 2 7 3" xfId="5598" xr:uid="{00000000-0005-0000-0000-0000CB150000}"/>
    <cellStyle name="Normal 12 2 2 2 7 4" xfId="5599" xr:uid="{00000000-0005-0000-0000-0000CC150000}"/>
    <cellStyle name="Normal 12 2 2 2 7 5" xfId="5600" xr:uid="{00000000-0005-0000-0000-0000CD150000}"/>
    <cellStyle name="Normal 12 2 2 2 7 6" xfId="5601" xr:uid="{00000000-0005-0000-0000-0000CE150000}"/>
    <cellStyle name="Normal 12 2 2 2 8" xfId="5602" xr:uid="{00000000-0005-0000-0000-0000CF150000}"/>
    <cellStyle name="Normal 12 2 2 2 9" xfId="5603" xr:uid="{00000000-0005-0000-0000-0000D0150000}"/>
    <cellStyle name="Normal 12 2 2 3" xfId="5604" xr:uid="{00000000-0005-0000-0000-0000D1150000}"/>
    <cellStyle name="Normal 12 2 2 3 10" xfId="5605" xr:uid="{00000000-0005-0000-0000-0000D2150000}"/>
    <cellStyle name="Normal 12 2 2 3 11" xfId="5606" xr:uid="{00000000-0005-0000-0000-0000D3150000}"/>
    <cellStyle name="Normal 12 2 2 3 12" xfId="5607" xr:uid="{00000000-0005-0000-0000-0000D4150000}"/>
    <cellStyle name="Normal 12 2 2 3 2" xfId="5608" xr:uid="{00000000-0005-0000-0000-0000D5150000}"/>
    <cellStyle name="Normal 12 2 2 3 2 10" xfId="5609" xr:uid="{00000000-0005-0000-0000-0000D6150000}"/>
    <cellStyle name="Normal 12 2 2 3 2 11" xfId="5610" xr:uid="{00000000-0005-0000-0000-0000D7150000}"/>
    <cellStyle name="Normal 12 2 2 3 2 2" xfId="5611" xr:uid="{00000000-0005-0000-0000-0000D8150000}"/>
    <cellStyle name="Normal 12 2 2 3 2 2 2" xfId="5612" xr:uid="{00000000-0005-0000-0000-0000D9150000}"/>
    <cellStyle name="Normal 12 2 2 3 2 2 2 2" xfId="5613" xr:uid="{00000000-0005-0000-0000-0000DA150000}"/>
    <cellStyle name="Normal 12 2 2 3 2 2 2 3" xfId="5614" xr:uid="{00000000-0005-0000-0000-0000DB150000}"/>
    <cellStyle name="Normal 12 2 2 3 2 2 2 4" xfId="5615" xr:uid="{00000000-0005-0000-0000-0000DC150000}"/>
    <cellStyle name="Normal 12 2 2 3 2 2 2 5" xfId="5616" xr:uid="{00000000-0005-0000-0000-0000DD150000}"/>
    <cellStyle name="Normal 12 2 2 3 2 2 2 6" xfId="5617" xr:uid="{00000000-0005-0000-0000-0000DE150000}"/>
    <cellStyle name="Normal 12 2 2 3 2 2 3" xfId="5618" xr:uid="{00000000-0005-0000-0000-0000DF150000}"/>
    <cellStyle name="Normal 12 2 2 3 2 2 3 2" xfId="5619" xr:uid="{00000000-0005-0000-0000-0000E0150000}"/>
    <cellStyle name="Normal 12 2 2 3 2 2 3 3" xfId="5620" xr:uid="{00000000-0005-0000-0000-0000E1150000}"/>
    <cellStyle name="Normal 12 2 2 3 2 2 3 4" xfId="5621" xr:uid="{00000000-0005-0000-0000-0000E2150000}"/>
    <cellStyle name="Normal 12 2 2 3 2 2 3 5" xfId="5622" xr:uid="{00000000-0005-0000-0000-0000E3150000}"/>
    <cellStyle name="Normal 12 2 2 3 2 2 3 6" xfId="5623" xr:uid="{00000000-0005-0000-0000-0000E4150000}"/>
    <cellStyle name="Normal 12 2 2 3 2 2 4" xfId="5624" xr:uid="{00000000-0005-0000-0000-0000E5150000}"/>
    <cellStyle name="Normal 12 2 2 3 2 2 5" xfId="5625" xr:uid="{00000000-0005-0000-0000-0000E6150000}"/>
    <cellStyle name="Normal 12 2 2 3 2 2 6" xfId="5626" xr:uid="{00000000-0005-0000-0000-0000E7150000}"/>
    <cellStyle name="Normal 12 2 2 3 2 2 7" xfId="5627" xr:uid="{00000000-0005-0000-0000-0000E8150000}"/>
    <cellStyle name="Normal 12 2 2 3 2 2 8" xfId="5628" xr:uid="{00000000-0005-0000-0000-0000E9150000}"/>
    <cellStyle name="Normal 12 2 2 3 2 3" xfId="5629" xr:uid="{00000000-0005-0000-0000-0000EA150000}"/>
    <cellStyle name="Normal 12 2 2 3 2 3 2" xfId="5630" xr:uid="{00000000-0005-0000-0000-0000EB150000}"/>
    <cellStyle name="Normal 12 2 2 3 2 3 2 2" xfId="5631" xr:uid="{00000000-0005-0000-0000-0000EC150000}"/>
    <cellStyle name="Normal 12 2 2 3 2 3 2 3" xfId="5632" xr:uid="{00000000-0005-0000-0000-0000ED150000}"/>
    <cellStyle name="Normal 12 2 2 3 2 3 2 4" xfId="5633" xr:uid="{00000000-0005-0000-0000-0000EE150000}"/>
    <cellStyle name="Normal 12 2 2 3 2 3 2 5" xfId="5634" xr:uid="{00000000-0005-0000-0000-0000EF150000}"/>
    <cellStyle name="Normal 12 2 2 3 2 3 2 6" xfId="5635" xr:uid="{00000000-0005-0000-0000-0000F0150000}"/>
    <cellStyle name="Normal 12 2 2 3 2 3 3" xfId="5636" xr:uid="{00000000-0005-0000-0000-0000F1150000}"/>
    <cellStyle name="Normal 12 2 2 3 2 3 3 2" xfId="5637" xr:uid="{00000000-0005-0000-0000-0000F2150000}"/>
    <cellStyle name="Normal 12 2 2 3 2 3 3 3" xfId="5638" xr:uid="{00000000-0005-0000-0000-0000F3150000}"/>
    <cellStyle name="Normal 12 2 2 3 2 3 3 4" xfId="5639" xr:uid="{00000000-0005-0000-0000-0000F4150000}"/>
    <cellStyle name="Normal 12 2 2 3 2 3 3 5" xfId="5640" xr:uid="{00000000-0005-0000-0000-0000F5150000}"/>
    <cellStyle name="Normal 12 2 2 3 2 3 3 6" xfId="5641" xr:uid="{00000000-0005-0000-0000-0000F6150000}"/>
    <cellStyle name="Normal 12 2 2 3 2 3 4" xfId="5642" xr:uid="{00000000-0005-0000-0000-0000F7150000}"/>
    <cellStyle name="Normal 12 2 2 3 2 3 5" xfId="5643" xr:uid="{00000000-0005-0000-0000-0000F8150000}"/>
    <cellStyle name="Normal 12 2 2 3 2 3 6" xfId="5644" xr:uid="{00000000-0005-0000-0000-0000F9150000}"/>
    <cellStyle name="Normal 12 2 2 3 2 3 7" xfId="5645" xr:uid="{00000000-0005-0000-0000-0000FA150000}"/>
    <cellStyle name="Normal 12 2 2 3 2 3 8" xfId="5646" xr:uid="{00000000-0005-0000-0000-0000FB150000}"/>
    <cellStyle name="Normal 12 2 2 3 2 4" xfId="5647" xr:uid="{00000000-0005-0000-0000-0000FC150000}"/>
    <cellStyle name="Normal 12 2 2 3 2 4 2" xfId="5648" xr:uid="{00000000-0005-0000-0000-0000FD150000}"/>
    <cellStyle name="Normal 12 2 2 3 2 4 2 2" xfId="5649" xr:uid="{00000000-0005-0000-0000-0000FE150000}"/>
    <cellStyle name="Normal 12 2 2 3 2 4 2 3" xfId="5650" xr:uid="{00000000-0005-0000-0000-0000FF150000}"/>
    <cellStyle name="Normal 12 2 2 3 2 4 2 4" xfId="5651" xr:uid="{00000000-0005-0000-0000-000000160000}"/>
    <cellStyle name="Normal 12 2 2 3 2 4 2 5" xfId="5652" xr:uid="{00000000-0005-0000-0000-000001160000}"/>
    <cellStyle name="Normal 12 2 2 3 2 4 2 6" xfId="5653" xr:uid="{00000000-0005-0000-0000-000002160000}"/>
    <cellStyle name="Normal 12 2 2 3 2 4 3" xfId="5654" xr:uid="{00000000-0005-0000-0000-000003160000}"/>
    <cellStyle name="Normal 12 2 2 3 2 4 3 2" xfId="5655" xr:uid="{00000000-0005-0000-0000-000004160000}"/>
    <cellStyle name="Normal 12 2 2 3 2 4 3 3" xfId="5656" xr:uid="{00000000-0005-0000-0000-000005160000}"/>
    <cellStyle name="Normal 12 2 2 3 2 4 3 4" xfId="5657" xr:uid="{00000000-0005-0000-0000-000006160000}"/>
    <cellStyle name="Normal 12 2 2 3 2 4 3 5" xfId="5658" xr:uid="{00000000-0005-0000-0000-000007160000}"/>
    <cellStyle name="Normal 12 2 2 3 2 4 3 6" xfId="5659" xr:uid="{00000000-0005-0000-0000-000008160000}"/>
    <cellStyle name="Normal 12 2 2 3 2 4 4" xfId="5660" xr:uid="{00000000-0005-0000-0000-000009160000}"/>
    <cellStyle name="Normal 12 2 2 3 2 4 5" xfId="5661" xr:uid="{00000000-0005-0000-0000-00000A160000}"/>
    <cellStyle name="Normal 12 2 2 3 2 4 6" xfId="5662" xr:uid="{00000000-0005-0000-0000-00000B160000}"/>
    <cellStyle name="Normal 12 2 2 3 2 4 7" xfId="5663" xr:uid="{00000000-0005-0000-0000-00000C160000}"/>
    <cellStyle name="Normal 12 2 2 3 2 4 8" xfId="5664" xr:uid="{00000000-0005-0000-0000-00000D160000}"/>
    <cellStyle name="Normal 12 2 2 3 2 5" xfId="5665" xr:uid="{00000000-0005-0000-0000-00000E160000}"/>
    <cellStyle name="Normal 12 2 2 3 2 5 2" xfId="5666" xr:uid="{00000000-0005-0000-0000-00000F160000}"/>
    <cellStyle name="Normal 12 2 2 3 2 5 3" xfId="5667" xr:uid="{00000000-0005-0000-0000-000010160000}"/>
    <cellStyle name="Normal 12 2 2 3 2 5 4" xfId="5668" xr:uid="{00000000-0005-0000-0000-000011160000}"/>
    <cellStyle name="Normal 12 2 2 3 2 5 5" xfId="5669" xr:uid="{00000000-0005-0000-0000-000012160000}"/>
    <cellStyle name="Normal 12 2 2 3 2 5 6" xfId="5670" xr:uid="{00000000-0005-0000-0000-000013160000}"/>
    <cellStyle name="Normal 12 2 2 3 2 6" xfId="5671" xr:uid="{00000000-0005-0000-0000-000014160000}"/>
    <cellStyle name="Normal 12 2 2 3 2 6 2" xfId="5672" xr:uid="{00000000-0005-0000-0000-000015160000}"/>
    <cellStyle name="Normal 12 2 2 3 2 6 3" xfId="5673" xr:uid="{00000000-0005-0000-0000-000016160000}"/>
    <cellStyle name="Normal 12 2 2 3 2 6 4" xfId="5674" xr:uid="{00000000-0005-0000-0000-000017160000}"/>
    <cellStyle name="Normal 12 2 2 3 2 6 5" xfId="5675" xr:uid="{00000000-0005-0000-0000-000018160000}"/>
    <cellStyle name="Normal 12 2 2 3 2 6 6" xfId="5676" xr:uid="{00000000-0005-0000-0000-000019160000}"/>
    <cellStyle name="Normal 12 2 2 3 2 7" xfId="5677" xr:uid="{00000000-0005-0000-0000-00001A160000}"/>
    <cellStyle name="Normal 12 2 2 3 2 8" xfId="5678" xr:uid="{00000000-0005-0000-0000-00001B160000}"/>
    <cellStyle name="Normal 12 2 2 3 2 9" xfId="5679" xr:uid="{00000000-0005-0000-0000-00001C160000}"/>
    <cellStyle name="Normal 12 2 2 3 3" xfId="5680" xr:uid="{00000000-0005-0000-0000-00001D160000}"/>
    <cellStyle name="Normal 12 2 2 3 3 2" xfId="5681" xr:uid="{00000000-0005-0000-0000-00001E160000}"/>
    <cellStyle name="Normal 12 2 2 3 3 2 2" xfId="5682" xr:uid="{00000000-0005-0000-0000-00001F160000}"/>
    <cellStyle name="Normal 12 2 2 3 3 2 3" xfId="5683" xr:uid="{00000000-0005-0000-0000-000020160000}"/>
    <cellStyle name="Normal 12 2 2 3 3 2 4" xfId="5684" xr:uid="{00000000-0005-0000-0000-000021160000}"/>
    <cellStyle name="Normal 12 2 2 3 3 2 5" xfId="5685" xr:uid="{00000000-0005-0000-0000-000022160000}"/>
    <cellStyle name="Normal 12 2 2 3 3 2 6" xfId="5686" xr:uid="{00000000-0005-0000-0000-000023160000}"/>
    <cellStyle name="Normal 12 2 2 3 3 3" xfId="5687" xr:uid="{00000000-0005-0000-0000-000024160000}"/>
    <cellStyle name="Normal 12 2 2 3 3 3 2" xfId="5688" xr:uid="{00000000-0005-0000-0000-000025160000}"/>
    <cellStyle name="Normal 12 2 2 3 3 3 3" xfId="5689" xr:uid="{00000000-0005-0000-0000-000026160000}"/>
    <cellStyle name="Normal 12 2 2 3 3 3 4" xfId="5690" xr:uid="{00000000-0005-0000-0000-000027160000}"/>
    <cellStyle name="Normal 12 2 2 3 3 3 5" xfId="5691" xr:uid="{00000000-0005-0000-0000-000028160000}"/>
    <cellStyle name="Normal 12 2 2 3 3 3 6" xfId="5692" xr:uid="{00000000-0005-0000-0000-000029160000}"/>
    <cellStyle name="Normal 12 2 2 3 3 4" xfId="5693" xr:uid="{00000000-0005-0000-0000-00002A160000}"/>
    <cellStyle name="Normal 12 2 2 3 3 5" xfId="5694" xr:uid="{00000000-0005-0000-0000-00002B160000}"/>
    <cellStyle name="Normal 12 2 2 3 3 6" xfId="5695" xr:uid="{00000000-0005-0000-0000-00002C160000}"/>
    <cellStyle name="Normal 12 2 2 3 3 7" xfId="5696" xr:uid="{00000000-0005-0000-0000-00002D160000}"/>
    <cellStyle name="Normal 12 2 2 3 3 8" xfId="5697" xr:uid="{00000000-0005-0000-0000-00002E160000}"/>
    <cellStyle name="Normal 12 2 2 3 4" xfId="5698" xr:uid="{00000000-0005-0000-0000-00002F160000}"/>
    <cellStyle name="Normal 12 2 2 3 4 2" xfId="5699" xr:uid="{00000000-0005-0000-0000-000030160000}"/>
    <cellStyle name="Normal 12 2 2 3 4 2 2" xfId="5700" xr:uid="{00000000-0005-0000-0000-000031160000}"/>
    <cellStyle name="Normal 12 2 2 3 4 2 3" xfId="5701" xr:uid="{00000000-0005-0000-0000-000032160000}"/>
    <cellStyle name="Normal 12 2 2 3 4 2 4" xfId="5702" xr:uid="{00000000-0005-0000-0000-000033160000}"/>
    <cellStyle name="Normal 12 2 2 3 4 2 5" xfId="5703" xr:uid="{00000000-0005-0000-0000-000034160000}"/>
    <cellStyle name="Normal 12 2 2 3 4 2 6" xfId="5704" xr:uid="{00000000-0005-0000-0000-000035160000}"/>
    <cellStyle name="Normal 12 2 2 3 4 3" xfId="5705" xr:uid="{00000000-0005-0000-0000-000036160000}"/>
    <cellStyle name="Normal 12 2 2 3 4 3 2" xfId="5706" xr:uid="{00000000-0005-0000-0000-000037160000}"/>
    <cellStyle name="Normal 12 2 2 3 4 3 3" xfId="5707" xr:uid="{00000000-0005-0000-0000-000038160000}"/>
    <cellStyle name="Normal 12 2 2 3 4 3 4" xfId="5708" xr:uid="{00000000-0005-0000-0000-000039160000}"/>
    <cellStyle name="Normal 12 2 2 3 4 3 5" xfId="5709" xr:uid="{00000000-0005-0000-0000-00003A160000}"/>
    <cellStyle name="Normal 12 2 2 3 4 3 6" xfId="5710" xr:uid="{00000000-0005-0000-0000-00003B160000}"/>
    <cellStyle name="Normal 12 2 2 3 4 4" xfId="5711" xr:uid="{00000000-0005-0000-0000-00003C160000}"/>
    <cellStyle name="Normal 12 2 2 3 4 5" xfId="5712" xr:uid="{00000000-0005-0000-0000-00003D160000}"/>
    <cellStyle name="Normal 12 2 2 3 4 6" xfId="5713" xr:uid="{00000000-0005-0000-0000-00003E160000}"/>
    <cellStyle name="Normal 12 2 2 3 4 7" xfId="5714" xr:uid="{00000000-0005-0000-0000-00003F160000}"/>
    <cellStyle name="Normal 12 2 2 3 4 8" xfId="5715" xr:uid="{00000000-0005-0000-0000-000040160000}"/>
    <cellStyle name="Normal 12 2 2 3 5" xfId="5716" xr:uid="{00000000-0005-0000-0000-000041160000}"/>
    <cellStyle name="Normal 12 2 2 3 5 2" xfId="5717" xr:uid="{00000000-0005-0000-0000-000042160000}"/>
    <cellStyle name="Normal 12 2 2 3 5 2 2" xfId="5718" xr:uid="{00000000-0005-0000-0000-000043160000}"/>
    <cellStyle name="Normal 12 2 2 3 5 2 3" xfId="5719" xr:uid="{00000000-0005-0000-0000-000044160000}"/>
    <cellStyle name="Normal 12 2 2 3 5 2 4" xfId="5720" xr:uid="{00000000-0005-0000-0000-000045160000}"/>
    <cellStyle name="Normal 12 2 2 3 5 2 5" xfId="5721" xr:uid="{00000000-0005-0000-0000-000046160000}"/>
    <cellStyle name="Normal 12 2 2 3 5 2 6" xfId="5722" xr:uid="{00000000-0005-0000-0000-000047160000}"/>
    <cellStyle name="Normal 12 2 2 3 5 3" xfId="5723" xr:uid="{00000000-0005-0000-0000-000048160000}"/>
    <cellStyle name="Normal 12 2 2 3 5 3 2" xfId="5724" xr:uid="{00000000-0005-0000-0000-000049160000}"/>
    <cellStyle name="Normal 12 2 2 3 5 3 3" xfId="5725" xr:uid="{00000000-0005-0000-0000-00004A160000}"/>
    <cellStyle name="Normal 12 2 2 3 5 3 4" xfId="5726" xr:uid="{00000000-0005-0000-0000-00004B160000}"/>
    <cellStyle name="Normal 12 2 2 3 5 3 5" xfId="5727" xr:uid="{00000000-0005-0000-0000-00004C160000}"/>
    <cellStyle name="Normal 12 2 2 3 5 3 6" xfId="5728" xr:uid="{00000000-0005-0000-0000-00004D160000}"/>
    <cellStyle name="Normal 12 2 2 3 5 4" xfId="5729" xr:uid="{00000000-0005-0000-0000-00004E160000}"/>
    <cellStyle name="Normal 12 2 2 3 5 5" xfId="5730" xr:uid="{00000000-0005-0000-0000-00004F160000}"/>
    <cellStyle name="Normal 12 2 2 3 5 6" xfId="5731" xr:uid="{00000000-0005-0000-0000-000050160000}"/>
    <cellStyle name="Normal 12 2 2 3 5 7" xfId="5732" xr:uid="{00000000-0005-0000-0000-000051160000}"/>
    <cellStyle name="Normal 12 2 2 3 5 8" xfId="5733" xr:uid="{00000000-0005-0000-0000-000052160000}"/>
    <cellStyle name="Normal 12 2 2 3 6" xfId="5734" xr:uid="{00000000-0005-0000-0000-000053160000}"/>
    <cellStyle name="Normal 12 2 2 3 6 2" xfId="5735" xr:uid="{00000000-0005-0000-0000-000054160000}"/>
    <cellStyle name="Normal 12 2 2 3 6 3" xfId="5736" xr:uid="{00000000-0005-0000-0000-000055160000}"/>
    <cellStyle name="Normal 12 2 2 3 6 4" xfId="5737" xr:uid="{00000000-0005-0000-0000-000056160000}"/>
    <cellStyle name="Normal 12 2 2 3 6 5" xfId="5738" xr:uid="{00000000-0005-0000-0000-000057160000}"/>
    <cellStyle name="Normal 12 2 2 3 6 6" xfId="5739" xr:uid="{00000000-0005-0000-0000-000058160000}"/>
    <cellStyle name="Normal 12 2 2 3 7" xfId="5740" xr:uid="{00000000-0005-0000-0000-000059160000}"/>
    <cellStyle name="Normal 12 2 2 3 7 2" xfId="5741" xr:uid="{00000000-0005-0000-0000-00005A160000}"/>
    <cellStyle name="Normal 12 2 2 3 7 3" xfId="5742" xr:uid="{00000000-0005-0000-0000-00005B160000}"/>
    <cellStyle name="Normal 12 2 2 3 7 4" xfId="5743" xr:uid="{00000000-0005-0000-0000-00005C160000}"/>
    <cellStyle name="Normal 12 2 2 3 7 5" xfId="5744" xr:uid="{00000000-0005-0000-0000-00005D160000}"/>
    <cellStyle name="Normal 12 2 2 3 7 6" xfId="5745" xr:uid="{00000000-0005-0000-0000-00005E160000}"/>
    <cellStyle name="Normal 12 2 2 3 8" xfId="5746" xr:uid="{00000000-0005-0000-0000-00005F160000}"/>
    <cellStyle name="Normal 12 2 2 3 9" xfId="5747" xr:uid="{00000000-0005-0000-0000-000060160000}"/>
    <cellStyle name="Normal 12 2 2 4" xfId="5748" xr:uid="{00000000-0005-0000-0000-000061160000}"/>
    <cellStyle name="Normal 12 2 2 4 10" xfId="5749" xr:uid="{00000000-0005-0000-0000-000062160000}"/>
    <cellStyle name="Normal 12 2 2 4 11" xfId="5750" xr:uid="{00000000-0005-0000-0000-000063160000}"/>
    <cellStyle name="Normal 12 2 2 4 2" xfId="5751" xr:uid="{00000000-0005-0000-0000-000064160000}"/>
    <cellStyle name="Normal 12 2 2 4 2 2" xfId="5752" xr:uid="{00000000-0005-0000-0000-000065160000}"/>
    <cellStyle name="Normal 12 2 2 4 2 2 2" xfId="5753" xr:uid="{00000000-0005-0000-0000-000066160000}"/>
    <cellStyle name="Normal 12 2 2 4 2 2 3" xfId="5754" xr:uid="{00000000-0005-0000-0000-000067160000}"/>
    <cellStyle name="Normal 12 2 2 4 2 2 4" xfId="5755" xr:uid="{00000000-0005-0000-0000-000068160000}"/>
    <cellStyle name="Normal 12 2 2 4 2 2 5" xfId="5756" xr:uid="{00000000-0005-0000-0000-000069160000}"/>
    <cellStyle name="Normal 12 2 2 4 2 2 6" xfId="5757" xr:uid="{00000000-0005-0000-0000-00006A160000}"/>
    <cellStyle name="Normal 12 2 2 4 2 3" xfId="5758" xr:uid="{00000000-0005-0000-0000-00006B160000}"/>
    <cellStyle name="Normal 12 2 2 4 2 3 2" xfId="5759" xr:uid="{00000000-0005-0000-0000-00006C160000}"/>
    <cellStyle name="Normal 12 2 2 4 2 3 3" xfId="5760" xr:uid="{00000000-0005-0000-0000-00006D160000}"/>
    <cellStyle name="Normal 12 2 2 4 2 3 4" xfId="5761" xr:uid="{00000000-0005-0000-0000-00006E160000}"/>
    <cellStyle name="Normal 12 2 2 4 2 3 5" xfId="5762" xr:uid="{00000000-0005-0000-0000-00006F160000}"/>
    <cellStyle name="Normal 12 2 2 4 2 3 6" xfId="5763" xr:uid="{00000000-0005-0000-0000-000070160000}"/>
    <cellStyle name="Normal 12 2 2 4 2 4" xfId="5764" xr:uid="{00000000-0005-0000-0000-000071160000}"/>
    <cellStyle name="Normal 12 2 2 4 2 5" xfId="5765" xr:uid="{00000000-0005-0000-0000-000072160000}"/>
    <cellStyle name="Normal 12 2 2 4 2 6" xfId="5766" xr:uid="{00000000-0005-0000-0000-000073160000}"/>
    <cellStyle name="Normal 12 2 2 4 2 7" xfId="5767" xr:uid="{00000000-0005-0000-0000-000074160000}"/>
    <cellStyle name="Normal 12 2 2 4 2 8" xfId="5768" xr:uid="{00000000-0005-0000-0000-000075160000}"/>
    <cellStyle name="Normal 12 2 2 4 3" xfId="5769" xr:uid="{00000000-0005-0000-0000-000076160000}"/>
    <cellStyle name="Normal 12 2 2 4 3 2" xfId="5770" xr:uid="{00000000-0005-0000-0000-000077160000}"/>
    <cellStyle name="Normal 12 2 2 4 3 2 2" xfId="5771" xr:uid="{00000000-0005-0000-0000-000078160000}"/>
    <cellStyle name="Normal 12 2 2 4 3 2 3" xfId="5772" xr:uid="{00000000-0005-0000-0000-000079160000}"/>
    <cellStyle name="Normal 12 2 2 4 3 2 4" xfId="5773" xr:uid="{00000000-0005-0000-0000-00007A160000}"/>
    <cellStyle name="Normal 12 2 2 4 3 2 5" xfId="5774" xr:uid="{00000000-0005-0000-0000-00007B160000}"/>
    <cellStyle name="Normal 12 2 2 4 3 2 6" xfId="5775" xr:uid="{00000000-0005-0000-0000-00007C160000}"/>
    <cellStyle name="Normal 12 2 2 4 3 3" xfId="5776" xr:uid="{00000000-0005-0000-0000-00007D160000}"/>
    <cellStyle name="Normal 12 2 2 4 3 3 2" xfId="5777" xr:uid="{00000000-0005-0000-0000-00007E160000}"/>
    <cellStyle name="Normal 12 2 2 4 3 3 3" xfId="5778" xr:uid="{00000000-0005-0000-0000-00007F160000}"/>
    <cellStyle name="Normal 12 2 2 4 3 3 4" xfId="5779" xr:uid="{00000000-0005-0000-0000-000080160000}"/>
    <cellStyle name="Normal 12 2 2 4 3 3 5" xfId="5780" xr:uid="{00000000-0005-0000-0000-000081160000}"/>
    <cellStyle name="Normal 12 2 2 4 3 3 6" xfId="5781" xr:uid="{00000000-0005-0000-0000-000082160000}"/>
    <cellStyle name="Normal 12 2 2 4 3 4" xfId="5782" xr:uid="{00000000-0005-0000-0000-000083160000}"/>
    <cellStyle name="Normal 12 2 2 4 3 5" xfId="5783" xr:uid="{00000000-0005-0000-0000-000084160000}"/>
    <cellStyle name="Normal 12 2 2 4 3 6" xfId="5784" xr:uid="{00000000-0005-0000-0000-000085160000}"/>
    <cellStyle name="Normal 12 2 2 4 3 7" xfId="5785" xr:uid="{00000000-0005-0000-0000-000086160000}"/>
    <cellStyle name="Normal 12 2 2 4 3 8" xfId="5786" xr:uid="{00000000-0005-0000-0000-000087160000}"/>
    <cellStyle name="Normal 12 2 2 4 4" xfId="5787" xr:uid="{00000000-0005-0000-0000-000088160000}"/>
    <cellStyle name="Normal 12 2 2 4 4 2" xfId="5788" xr:uid="{00000000-0005-0000-0000-000089160000}"/>
    <cellStyle name="Normal 12 2 2 4 4 2 2" xfId="5789" xr:uid="{00000000-0005-0000-0000-00008A160000}"/>
    <cellStyle name="Normal 12 2 2 4 4 2 3" xfId="5790" xr:uid="{00000000-0005-0000-0000-00008B160000}"/>
    <cellStyle name="Normal 12 2 2 4 4 2 4" xfId="5791" xr:uid="{00000000-0005-0000-0000-00008C160000}"/>
    <cellStyle name="Normal 12 2 2 4 4 2 5" xfId="5792" xr:uid="{00000000-0005-0000-0000-00008D160000}"/>
    <cellStyle name="Normal 12 2 2 4 4 2 6" xfId="5793" xr:uid="{00000000-0005-0000-0000-00008E160000}"/>
    <cellStyle name="Normal 12 2 2 4 4 3" xfId="5794" xr:uid="{00000000-0005-0000-0000-00008F160000}"/>
    <cellStyle name="Normal 12 2 2 4 4 3 2" xfId="5795" xr:uid="{00000000-0005-0000-0000-000090160000}"/>
    <cellStyle name="Normal 12 2 2 4 4 3 3" xfId="5796" xr:uid="{00000000-0005-0000-0000-000091160000}"/>
    <cellStyle name="Normal 12 2 2 4 4 3 4" xfId="5797" xr:uid="{00000000-0005-0000-0000-000092160000}"/>
    <cellStyle name="Normal 12 2 2 4 4 3 5" xfId="5798" xr:uid="{00000000-0005-0000-0000-000093160000}"/>
    <cellStyle name="Normal 12 2 2 4 4 3 6" xfId="5799" xr:uid="{00000000-0005-0000-0000-000094160000}"/>
    <cellStyle name="Normal 12 2 2 4 4 4" xfId="5800" xr:uid="{00000000-0005-0000-0000-000095160000}"/>
    <cellStyle name="Normal 12 2 2 4 4 5" xfId="5801" xr:uid="{00000000-0005-0000-0000-000096160000}"/>
    <cellStyle name="Normal 12 2 2 4 4 6" xfId="5802" xr:uid="{00000000-0005-0000-0000-000097160000}"/>
    <cellStyle name="Normal 12 2 2 4 4 7" xfId="5803" xr:uid="{00000000-0005-0000-0000-000098160000}"/>
    <cellStyle name="Normal 12 2 2 4 4 8" xfId="5804" xr:uid="{00000000-0005-0000-0000-000099160000}"/>
    <cellStyle name="Normal 12 2 2 4 5" xfId="5805" xr:uid="{00000000-0005-0000-0000-00009A160000}"/>
    <cellStyle name="Normal 12 2 2 4 5 2" xfId="5806" xr:uid="{00000000-0005-0000-0000-00009B160000}"/>
    <cellStyle name="Normal 12 2 2 4 5 3" xfId="5807" xr:uid="{00000000-0005-0000-0000-00009C160000}"/>
    <cellStyle name="Normal 12 2 2 4 5 4" xfId="5808" xr:uid="{00000000-0005-0000-0000-00009D160000}"/>
    <cellStyle name="Normal 12 2 2 4 5 5" xfId="5809" xr:uid="{00000000-0005-0000-0000-00009E160000}"/>
    <cellStyle name="Normal 12 2 2 4 5 6" xfId="5810" xr:uid="{00000000-0005-0000-0000-00009F160000}"/>
    <cellStyle name="Normal 12 2 2 4 6" xfId="5811" xr:uid="{00000000-0005-0000-0000-0000A0160000}"/>
    <cellStyle name="Normal 12 2 2 4 6 2" xfId="5812" xr:uid="{00000000-0005-0000-0000-0000A1160000}"/>
    <cellStyle name="Normal 12 2 2 4 6 3" xfId="5813" xr:uid="{00000000-0005-0000-0000-0000A2160000}"/>
    <cellStyle name="Normal 12 2 2 4 6 4" xfId="5814" xr:uid="{00000000-0005-0000-0000-0000A3160000}"/>
    <cellStyle name="Normal 12 2 2 4 6 5" xfId="5815" xr:uid="{00000000-0005-0000-0000-0000A4160000}"/>
    <cellStyle name="Normal 12 2 2 4 6 6" xfId="5816" xr:uid="{00000000-0005-0000-0000-0000A5160000}"/>
    <cellStyle name="Normal 12 2 2 4 7" xfId="5817" xr:uid="{00000000-0005-0000-0000-0000A6160000}"/>
    <cellStyle name="Normal 12 2 2 4 8" xfId="5818" xr:uid="{00000000-0005-0000-0000-0000A7160000}"/>
    <cellStyle name="Normal 12 2 2 4 9" xfId="5819" xr:uid="{00000000-0005-0000-0000-0000A8160000}"/>
    <cellStyle name="Normal 12 2 2 5" xfId="5820" xr:uid="{00000000-0005-0000-0000-0000A9160000}"/>
    <cellStyle name="Normal 12 2 2 5 2" xfId="5821" xr:uid="{00000000-0005-0000-0000-0000AA160000}"/>
    <cellStyle name="Normal 12 2 2 5 2 2" xfId="5822" xr:uid="{00000000-0005-0000-0000-0000AB160000}"/>
    <cellStyle name="Normal 12 2 2 5 2 3" xfId="5823" xr:uid="{00000000-0005-0000-0000-0000AC160000}"/>
    <cellStyle name="Normal 12 2 2 5 2 4" xfId="5824" xr:uid="{00000000-0005-0000-0000-0000AD160000}"/>
    <cellStyle name="Normal 12 2 2 5 2 5" xfId="5825" xr:uid="{00000000-0005-0000-0000-0000AE160000}"/>
    <cellStyle name="Normal 12 2 2 5 2 6" xfId="5826" xr:uid="{00000000-0005-0000-0000-0000AF160000}"/>
    <cellStyle name="Normal 12 2 2 5 3" xfId="5827" xr:uid="{00000000-0005-0000-0000-0000B0160000}"/>
    <cellStyle name="Normal 12 2 2 5 3 2" xfId="5828" xr:uid="{00000000-0005-0000-0000-0000B1160000}"/>
    <cellStyle name="Normal 12 2 2 5 3 3" xfId="5829" xr:uid="{00000000-0005-0000-0000-0000B2160000}"/>
    <cellStyle name="Normal 12 2 2 5 3 4" xfId="5830" xr:uid="{00000000-0005-0000-0000-0000B3160000}"/>
    <cellStyle name="Normal 12 2 2 5 3 5" xfId="5831" xr:uid="{00000000-0005-0000-0000-0000B4160000}"/>
    <cellStyle name="Normal 12 2 2 5 3 6" xfId="5832" xr:uid="{00000000-0005-0000-0000-0000B5160000}"/>
    <cellStyle name="Normal 12 2 2 5 4" xfId="5833" xr:uid="{00000000-0005-0000-0000-0000B6160000}"/>
    <cellStyle name="Normal 12 2 2 5 5" xfId="5834" xr:uid="{00000000-0005-0000-0000-0000B7160000}"/>
    <cellStyle name="Normal 12 2 2 5 6" xfId="5835" xr:uid="{00000000-0005-0000-0000-0000B8160000}"/>
    <cellStyle name="Normal 12 2 2 5 7" xfId="5836" xr:uid="{00000000-0005-0000-0000-0000B9160000}"/>
    <cellStyle name="Normal 12 2 2 5 8" xfId="5837" xr:uid="{00000000-0005-0000-0000-0000BA160000}"/>
    <cellStyle name="Normal 12 2 2 6" xfId="5838" xr:uid="{00000000-0005-0000-0000-0000BB160000}"/>
    <cellStyle name="Normal 12 2 2 6 2" xfId="5839" xr:uid="{00000000-0005-0000-0000-0000BC160000}"/>
    <cellStyle name="Normal 12 2 2 6 2 2" xfId="5840" xr:uid="{00000000-0005-0000-0000-0000BD160000}"/>
    <cellStyle name="Normal 12 2 2 6 2 3" xfId="5841" xr:uid="{00000000-0005-0000-0000-0000BE160000}"/>
    <cellStyle name="Normal 12 2 2 6 2 4" xfId="5842" xr:uid="{00000000-0005-0000-0000-0000BF160000}"/>
    <cellStyle name="Normal 12 2 2 6 2 5" xfId="5843" xr:uid="{00000000-0005-0000-0000-0000C0160000}"/>
    <cellStyle name="Normal 12 2 2 6 2 6" xfId="5844" xr:uid="{00000000-0005-0000-0000-0000C1160000}"/>
    <cellStyle name="Normal 12 2 2 6 3" xfId="5845" xr:uid="{00000000-0005-0000-0000-0000C2160000}"/>
    <cellStyle name="Normal 12 2 2 6 3 2" xfId="5846" xr:uid="{00000000-0005-0000-0000-0000C3160000}"/>
    <cellStyle name="Normal 12 2 2 6 3 3" xfId="5847" xr:uid="{00000000-0005-0000-0000-0000C4160000}"/>
    <cellStyle name="Normal 12 2 2 6 3 4" xfId="5848" xr:uid="{00000000-0005-0000-0000-0000C5160000}"/>
    <cellStyle name="Normal 12 2 2 6 3 5" xfId="5849" xr:uid="{00000000-0005-0000-0000-0000C6160000}"/>
    <cellStyle name="Normal 12 2 2 6 3 6" xfId="5850" xr:uid="{00000000-0005-0000-0000-0000C7160000}"/>
    <cellStyle name="Normal 12 2 2 6 4" xfId="5851" xr:uid="{00000000-0005-0000-0000-0000C8160000}"/>
    <cellStyle name="Normal 12 2 2 6 5" xfId="5852" xr:uid="{00000000-0005-0000-0000-0000C9160000}"/>
    <cellStyle name="Normal 12 2 2 6 6" xfId="5853" xr:uid="{00000000-0005-0000-0000-0000CA160000}"/>
    <cellStyle name="Normal 12 2 2 6 7" xfId="5854" xr:uid="{00000000-0005-0000-0000-0000CB160000}"/>
    <cellStyle name="Normal 12 2 2 6 8" xfId="5855" xr:uid="{00000000-0005-0000-0000-0000CC160000}"/>
    <cellStyle name="Normal 12 2 2 7" xfId="5856" xr:uid="{00000000-0005-0000-0000-0000CD160000}"/>
    <cellStyle name="Normal 12 2 2 7 2" xfId="5857" xr:uid="{00000000-0005-0000-0000-0000CE160000}"/>
    <cellStyle name="Normal 12 2 2 7 2 2" xfId="5858" xr:uid="{00000000-0005-0000-0000-0000CF160000}"/>
    <cellStyle name="Normal 12 2 2 7 2 3" xfId="5859" xr:uid="{00000000-0005-0000-0000-0000D0160000}"/>
    <cellStyle name="Normal 12 2 2 7 2 4" xfId="5860" xr:uid="{00000000-0005-0000-0000-0000D1160000}"/>
    <cellStyle name="Normal 12 2 2 7 2 5" xfId="5861" xr:uid="{00000000-0005-0000-0000-0000D2160000}"/>
    <cellStyle name="Normal 12 2 2 7 2 6" xfId="5862" xr:uid="{00000000-0005-0000-0000-0000D3160000}"/>
    <cellStyle name="Normal 12 2 2 7 3" xfId="5863" xr:uid="{00000000-0005-0000-0000-0000D4160000}"/>
    <cellStyle name="Normal 12 2 2 7 3 2" xfId="5864" xr:uid="{00000000-0005-0000-0000-0000D5160000}"/>
    <cellStyle name="Normal 12 2 2 7 3 3" xfId="5865" xr:uid="{00000000-0005-0000-0000-0000D6160000}"/>
    <cellStyle name="Normal 12 2 2 7 3 4" xfId="5866" xr:uid="{00000000-0005-0000-0000-0000D7160000}"/>
    <cellStyle name="Normal 12 2 2 7 3 5" xfId="5867" xr:uid="{00000000-0005-0000-0000-0000D8160000}"/>
    <cellStyle name="Normal 12 2 2 7 3 6" xfId="5868" xr:uid="{00000000-0005-0000-0000-0000D9160000}"/>
    <cellStyle name="Normal 12 2 2 7 4" xfId="5869" xr:uid="{00000000-0005-0000-0000-0000DA160000}"/>
    <cellStyle name="Normal 12 2 2 7 5" xfId="5870" xr:uid="{00000000-0005-0000-0000-0000DB160000}"/>
    <cellStyle name="Normal 12 2 2 7 6" xfId="5871" xr:uid="{00000000-0005-0000-0000-0000DC160000}"/>
    <cellStyle name="Normal 12 2 2 7 7" xfId="5872" xr:uid="{00000000-0005-0000-0000-0000DD160000}"/>
    <cellStyle name="Normal 12 2 2 7 8" xfId="5873" xr:uid="{00000000-0005-0000-0000-0000DE160000}"/>
    <cellStyle name="Normal 12 2 2 8" xfId="5874" xr:uid="{00000000-0005-0000-0000-0000DF160000}"/>
    <cellStyle name="Normal 12 2 2 8 2" xfId="5875" xr:uid="{00000000-0005-0000-0000-0000E0160000}"/>
    <cellStyle name="Normal 12 2 2 8 3" xfId="5876" xr:uid="{00000000-0005-0000-0000-0000E1160000}"/>
    <cellStyle name="Normal 12 2 2 8 4" xfId="5877" xr:uid="{00000000-0005-0000-0000-0000E2160000}"/>
    <cellStyle name="Normal 12 2 2 8 5" xfId="5878" xr:uid="{00000000-0005-0000-0000-0000E3160000}"/>
    <cellStyle name="Normal 12 2 2 8 6" xfId="5879" xr:uid="{00000000-0005-0000-0000-0000E4160000}"/>
    <cellStyle name="Normal 12 2 2 9" xfId="5880" xr:uid="{00000000-0005-0000-0000-0000E5160000}"/>
    <cellStyle name="Normal 12 2 2 9 2" xfId="5881" xr:uid="{00000000-0005-0000-0000-0000E6160000}"/>
    <cellStyle name="Normal 12 2 2 9 3" xfId="5882" xr:uid="{00000000-0005-0000-0000-0000E7160000}"/>
    <cellStyle name="Normal 12 2 2 9 4" xfId="5883" xr:uid="{00000000-0005-0000-0000-0000E8160000}"/>
    <cellStyle name="Normal 12 2 2 9 5" xfId="5884" xr:uid="{00000000-0005-0000-0000-0000E9160000}"/>
    <cellStyle name="Normal 12 2 2 9 6" xfId="5885" xr:uid="{00000000-0005-0000-0000-0000EA160000}"/>
    <cellStyle name="Normal 12 2 3" xfId="5886" xr:uid="{00000000-0005-0000-0000-0000EB160000}"/>
    <cellStyle name="Normal 12 2 3 10" xfId="5887" xr:uid="{00000000-0005-0000-0000-0000EC160000}"/>
    <cellStyle name="Normal 12 2 3 11" xfId="5888" xr:uid="{00000000-0005-0000-0000-0000ED160000}"/>
    <cellStyle name="Normal 12 2 3 12" xfId="5889" xr:uid="{00000000-0005-0000-0000-0000EE160000}"/>
    <cellStyle name="Normal 12 2 3 2" xfId="5890" xr:uid="{00000000-0005-0000-0000-0000EF160000}"/>
    <cellStyle name="Normal 12 2 3 2 10" xfId="5891" xr:uid="{00000000-0005-0000-0000-0000F0160000}"/>
    <cellStyle name="Normal 12 2 3 2 11" xfId="5892" xr:uid="{00000000-0005-0000-0000-0000F1160000}"/>
    <cellStyle name="Normal 12 2 3 2 2" xfId="5893" xr:uid="{00000000-0005-0000-0000-0000F2160000}"/>
    <cellStyle name="Normal 12 2 3 2 2 2" xfId="5894" xr:uid="{00000000-0005-0000-0000-0000F3160000}"/>
    <cellStyle name="Normal 12 2 3 2 2 2 2" xfId="5895" xr:uid="{00000000-0005-0000-0000-0000F4160000}"/>
    <cellStyle name="Normal 12 2 3 2 2 2 3" xfId="5896" xr:uid="{00000000-0005-0000-0000-0000F5160000}"/>
    <cellStyle name="Normal 12 2 3 2 2 2 4" xfId="5897" xr:uid="{00000000-0005-0000-0000-0000F6160000}"/>
    <cellStyle name="Normal 12 2 3 2 2 2 5" xfId="5898" xr:uid="{00000000-0005-0000-0000-0000F7160000}"/>
    <cellStyle name="Normal 12 2 3 2 2 2 6" xfId="5899" xr:uid="{00000000-0005-0000-0000-0000F8160000}"/>
    <cellStyle name="Normal 12 2 3 2 2 3" xfId="5900" xr:uid="{00000000-0005-0000-0000-0000F9160000}"/>
    <cellStyle name="Normal 12 2 3 2 2 3 2" xfId="5901" xr:uid="{00000000-0005-0000-0000-0000FA160000}"/>
    <cellStyle name="Normal 12 2 3 2 2 3 3" xfId="5902" xr:uid="{00000000-0005-0000-0000-0000FB160000}"/>
    <cellStyle name="Normal 12 2 3 2 2 3 4" xfId="5903" xr:uid="{00000000-0005-0000-0000-0000FC160000}"/>
    <cellStyle name="Normal 12 2 3 2 2 3 5" xfId="5904" xr:uid="{00000000-0005-0000-0000-0000FD160000}"/>
    <cellStyle name="Normal 12 2 3 2 2 3 6" xfId="5905" xr:uid="{00000000-0005-0000-0000-0000FE160000}"/>
    <cellStyle name="Normal 12 2 3 2 2 4" xfId="5906" xr:uid="{00000000-0005-0000-0000-0000FF160000}"/>
    <cellStyle name="Normal 12 2 3 2 2 5" xfId="5907" xr:uid="{00000000-0005-0000-0000-000000170000}"/>
    <cellStyle name="Normal 12 2 3 2 2 6" xfId="5908" xr:uid="{00000000-0005-0000-0000-000001170000}"/>
    <cellStyle name="Normal 12 2 3 2 2 7" xfId="5909" xr:uid="{00000000-0005-0000-0000-000002170000}"/>
    <cellStyle name="Normal 12 2 3 2 2 8" xfId="5910" xr:uid="{00000000-0005-0000-0000-000003170000}"/>
    <cellStyle name="Normal 12 2 3 2 3" xfId="5911" xr:uid="{00000000-0005-0000-0000-000004170000}"/>
    <cellStyle name="Normal 12 2 3 2 3 2" xfId="5912" xr:uid="{00000000-0005-0000-0000-000005170000}"/>
    <cellStyle name="Normal 12 2 3 2 3 2 2" xfId="5913" xr:uid="{00000000-0005-0000-0000-000006170000}"/>
    <cellStyle name="Normal 12 2 3 2 3 2 3" xfId="5914" xr:uid="{00000000-0005-0000-0000-000007170000}"/>
    <cellStyle name="Normal 12 2 3 2 3 2 4" xfId="5915" xr:uid="{00000000-0005-0000-0000-000008170000}"/>
    <cellStyle name="Normal 12 2 3 2 3 2 5" xfId="5916" xr:uid="{00000000-0005-0000-0000-000009170000}"/>
    <cellStyle name="Normal 12 2 3 2 3 2 6" xfId="5917" xr:uid="{00000000-0005-0000-0000-00000A170000}"/>
    <cellStyle name="Normal 12 2 3 2 3 3" xfId="5918" xr:uid="{00000000-0005-0000-0000-00000B170000}"/>
    <cellStyle name="Normal 12 2 3 2 3 3 2" xfId="5919" xr:uid="{00000000-0005-0000-0000-00000C170000}"/>
    <cellStyle name="Normal 12 2 3 2 3 3 3" xfId="5920" xr:uid="{00000000-0005-0000-0000-00000D170000}"/>
    <cellStyle name="Normal 12 2 3 2 3 3 4" xfId="5921" xr:uid="{00000000-0005-0000-0000-00000E170000}"/>
    <cellStyle name="Normal 12 2 3 2 3 3 5" xfId="5922" xr:uid="{00000000-0005-0000-0000-00000F170000}"/>
    <cellStyle name="Normal 12 2 3 2 3 3 6" xfId="5923" xr:uid="{00000000-0005-0000-0000-000010170000}"/>
    <cellStyle name="Normal 12 2 3 2 3 4" xfId="5924" xr:uid="{00000000-0005-0000-0000-000011170000}"/>
    <cellStyle name="Normal 12 2 3 2 3 5" xfId="5925" xr:uid="{00000000-0005-0000-0000-000012170000}"/>
    <cellStyle name="Normal 12 2 3 2 3 6" xfId="5926" xr:uid="{00000000-0005-0000-0000-000013170000}"/>
    <cellStyle name="Normal 12 2 3 2 3 7" xfId="5927" xr:uid="{00000000-0005-0000-0000-000014170000}"/>
    <cellStyle name="Normal 12 2 3 2 3 8" xfId="5928" xr:uid="{00000000-0005-0000-0000-000015170000}"/>
    <cellStyle name="Normal 12 2 3 2 4" xfId="5929" xr:uid="{00000000-0005-0000-0000-000016170000}"/>
    <cellStyle name="Normal 12 2 3 2 4 2" xfId="5930" xr:uid="{00000000-0005-0000-0000-000017170000}"/>
    <cellStyle name="Normal 12 2 3 2 4 2 2" xfId="5931" xr:uid="{00000000-0005-0000-0000-000018170000}"/>
    <cellStyle name="Normal 12 2 3 2 4 2 3" xfId="5932" xr:uid="{00000000-0005-0000-0000-000019170000}"/>
    <cellStyle name="Normal 12 2 3 2 4 2 4" xfId="5933" xr:uid="{00000000-0005-0000-0000-00001A170000}"/>
    <cellStyle name="Normal 12 2 3 2 4 2 5" xfId="5934" xr:uid="{00000000-0005-0000-0000-00001B170000}"/>
    <cellStyle name="Normal 12 2 3 2 4 2 6" xfId="5935" xr:uid="{00000000-0005-0000-0000-00001C170000}"/>
    <cellStyle name="Normal 12 2 3 2 4 3" xfId="5936" xr:uid="{00000000-0005-0000-0000-00001D170000}"/>
    <cellStyle name="Normal 12 2 3 2 4 3 2" xfId="5937" xr:uid="{00000000-0005-0000-0000-00001E170000}"/>
    <cellStyle name="Normal 12 2 3 2 4 3 3" xfId="5938" xr:uid="{00000000-0005-0000-0000-00001F170000}"/>
    <cellStyle name="Normal 12 2 3 2 4 3 4" xfId="5939" xr:uid="{00000000-0005-0000-0000-000020170000}"/>
    <cellStyle name="Normal 12 2 3 2 4 3 5" xfId="5940" xr:uid="{00000000-0005-0000-0000-000021170000}"/>
    <cellStyle name="Normal 12 2 3 2 4 3 6" xfId="5941" xr:uid="{00000000-0005-0000-0000-000022170000}"/>
    <cellStyle name="Normal 12 2 3 2 4 4" xfId="5942" xr:uid="{00000000-0005-0000-0000-000023170000}"/>
    <cellStyle name="Normal 12 2 3 2 4 5" xfId="5943" xr:uid="{00000000-0005-0000-0000-000024170000}"/>
    <cellStyle name="Normal 12 2 3 2 4 6" xfId="5944" xr:uid="{00000000-0005-0000-0000-000025170000}"/>
    <cellStyle name="Normal 12 2 3 2 4 7" xfId="5945" xr:uid="{00000000-0005-0000-0000-000026170000}"/>
    <cellStyle name="Normal 12 2 3 2 4 8" xfId="5946" xr:uid="{00000000-0005-0000-0000-000027170000}"/>
    <cellStyle name="Normal 12 2 3 2 5" xfId="5947" xr:uid="{00000000-0005-0000-0000-000028170000}"/>
    <cellStyle name="Normal 12 2 3 2 5 2" xfId="5948" xr:uid="{00000000-0005-0000-0000-000029170000}"/>
    <cellStyle name="Normal 12 2 3 2 5 3" xfId="5949" xr:uid="{00000000-0005-0000-0000-00002A170000}"/>
    <cellStyle name="Normal 12 2 3 2 5 4" xfId="5950" xr:uid="{00000000-0005-0000-0000-00002B170000}"/>
    <cellStyle name="Normal 12 2 3 2 5 5" xfId="5951" xr:uid="{00000000-0005-0000-0000-00002C170000}"/>
    <cellStyle name="Normal 12 2 3 2 5 6" xfId="5952" xr:uid="{00000000-0005-0000-0000-00002D170000}"/>
    <cellStyle name="Normal 12 2 3 2 6" xfId="5953" xr:uid="{00000000-0005-0000-0000-00002E170000}"/>
    <cellStyle name="Normal 12 2 3 2 6 2" xfId="5954" xr:uid="{00000000-0005-0000-0000-00002F170000}"/>
    <cellStyle name="Normal 12 2 3 2 6 3" xfId="5955" xr:uid="{00000000-0005-0000-0000-000030170000}"/>
    <cellStyle name="Normal 12 2 3 2 6 4" xfId="5956" xr:uid="{00000000-0005-0000-0000-000031170000}"/>
    <cellStyle name="Normal 12 2 3 2 6 5" xfId="5957" xr:uid="{00000000-0005-0000-0000-000032170000}"/>
    <cellStyle name="Normal 12 2 3 2 6 6" xfId="5958" xr:uid="{00000000-0005-0000-0000-000033170000}"/>
    <cellStyle name="Normal 12 2 3 2 7" xfId="5959" xr:uid="{00000000-0005-0000-0000-000034170000}"/>
    <cellStyle name="Normal 12 2 3 2 8" xfId="5960" xr:uid="{00000000-0005-0000-0000-000035170000}"/>
    <cellStyle name="Normal 12 2 3 2 9" xfId="5961" xr:uid="{00000000-0005-0000-0000-000036170000}"/>
    <cellStyle name="Normal 12 2 3 3" xfId="5962" xr:uid="{00000000-0005-0000-0000-000037170000}"/>
    <cellStyle name="Normal 12 2 3 3 2" xfId="5963" xr:uid="{00000000-0005-0000-0000-000038170000}"/>
    <cellStyle name="Normal 12 2 3 3 2 2" xfId="5964" xr:uid="{00000000-0005-0000-0000-000039170000}"/>
    <cellStyle name="Normal 12 2 3 3 2 3" xfId="5965" xr:uid="{00000000-0005-0000-0000-00003A170000}"/>
    <cellStyle name="Normal 12 2 3 3 2 4" xfId="5966" xr:uid="{00000000-0005-0000-0000-00003B170000}"/>
    <cellStyle name="Normal 12 2 3 3 2 5" xfId="5967" xr:uid="{00000000-0005-0000-0000-00003C170000}"/>
    <cellStyle name="Normal 12 2 3 3 2 6" xfId="5968" xr:uid="{00000000-0005-0000-0000-00003D170000}"/>
    <cellStyle name="Normal 12 2 3 3 3" xfId="5969" xr:uid="{00000000-0005-0000-0000-00003E170000}"/>
    <cellStyle name="Normal 12 2 3 3 3 2" xfId="5970" xr:uid="{00000000-0005-0000-0000-00003F170000}"/>
    <cellStyle name="Normal 12 2 3 3 3 3" xfId="5971" xr:uid="{00000000-0005-0000-0000-000040170000}"/>
    <cellStyle name="Normal 12 2 3 3 3 4" xfId="5972" xr:uid="{00000000-0005-0000-0000-000041170000}"/>
    <cellStyle name="Normal 12 2 3 3 3 5" xfId="5973" xr:uid="{00000000-0005-0000-0000-000042170000}"/>
    <cellStyle name="Normal 12 2 3 3 3 6" xfId="5974" xr:uid="{00000000-0005-0000-0000-000043170000}"/>
    <cellStyle name="Normal 12 2 3 3 4" xfId="5975" xr:uid="{00000000-0005-0000-0000-000044170000}"/>
    <cellStyle name="Normal 12 2 3 3 5" xfId="5976" xr:uid="{00000000-0005-0000-0000-000045170000}"/>
    <cellStyle name="Normal 12 2 3 3 6" xfId="5977" xr:uid="{00000000-0005-0000-0000-000046170000}"/>
    <cellStyle name="Normal 12 2 3 3 7" xfId="5978" xr:uid="{00000000-0005-0000-0000-000047170000}"/>
    <cellStyle name="Normal 12 2 3 3 8" xfId="5979" xr:uid="{00000000-0005-0000-0000-000048170000}"/>
    <cellStyle name="Normal 12 2 3 4" xfId="5980" xr:uid="{00000000-0005-0000-0000-000049170000}"/>
    <cellStyle name="Normal 12 2 3 4 2" xfId="5981" xr:uid="{00000000-0005-0000-0000-00004A170000}"/>
    <cellStyle name="Normal 12 2 3 4 2 2" xfId="5982" xr:uid="{00000000-0005-0000-0000-00004B170000}"/>
    <cellStyle name="Normal 12 2 3 4 2 3" xfId="5983" xr:uid="{00000000-0005-0000-0000-00004C170000}"/>
    <cellStyle name="Normal 12 2 3 4 2 4" xfId="5984" xr:uid="{00000000-0005-0000-0000-00004D170000}"/>
    <cellStyle name="Normal 12 2 3 4 2 5" xfId="5985" xr:uid="{00000000-0005-0000-0000-00004E170000}"/>
    <cellStyle name="Normal 12 2 3 4 2 6" xfId="5986" xr:uid="{00000000-0005-0000-0000-00004F170000}"/>
    <cellStyle name="Normal 12 2 3 4 3" xfId="5987" xr:uid="{00000000-0005-0000-0000-000050170000}"/>
    <cellStyle name="Normal 12 2 3 4 3 2" xfId="5988" xr:uid="{00000000-0005-0000-0000-000051170000}"/>
    <cellStyle name="Normal 12 2 3 4 3 3" xfId="5989" xr:uid="{00000000-0005-0000-0000-000052170000}"/>
    <cellStyle name="Normal 12 2 3 4 3 4" xfId="5990" xr:uid="{00000000-0005-0000-0000-000053170000}"/>
    <cellStyle name="Normal 12 2 3 4 3 5" xfId="5991" xr:uid="{00000000-0005-0000-0000-000054170000}"/>
    <cellStyle name="Normal 12 2 3 4 3 6" xfId="5992" xr:uid="{00000000-0005-0000-0000-000055170000}"/>
    <cellStyle name="Normal 12 2 3 4 4" xfId="5993" xr:uid="{00000000-0005-0000-0000-000056170000}"/>
    <cellStyle name="Normal 12 2 3 4 5" xfId="5994" xr:uid="{00000000-0005-0000-0000-000057170000}"/>
    <cellStyle name="Normal 12 2 3 4 6" xfId="5995" xr:uid="{00000000-0005-0000-0000-000058170000}"/>
    <cellStyle name="Normal 12 2 3 4 7" xfId="5996" xr:uid="{00000000-0005-0000-0000-000059170000}"/>
    <cellStyle name="Normal 12 2 3 4 8" xfId="5997" xr:uid="{00000000-0005-0000-0000-00005A170000}"/>
    <cellStyle name="Normal 12 2 3 5" xfId="5998" xr:uid="{00000000-0005-0000-0000-00005B170000}"/>
    <cellStyle name="Normal 12 2 3 5 2" xfId="5999" xr:uid="{00000000-0005-0000-0000-00005C170000}"/>
    <cellStyle name="Normal 12 2 3 5 2 2" xfId="6000" xr:uid="{00000000-0005-0000-0000-00005D170000}"/>
    <cellStyle name="Normal 12 2 3 5 2 3" xfId="6001" xr:uid="{00000000-0005-0000-0000-00005E170000}"/>
    <cellStyle name="Normal 12 2 3 5 2 4" xfId="6002" xr:uid="{00000000-0005-0000-0000-00005F170000}"/>
    <cellStyle name="Normal 12 2 3 5 2 5" xfId="6003" xr:uid="{00000000-0005-0000-0000-000060170000}"/>
    <cellStyle name="Normal 12 2 3 5 2 6" xfId="6004" xr:uid="{00000000-0005-0000-0000-000061170000}"/>
    <cellStyle name="Normal 12 2 3 5 3" xfId="6005" xr:uid="{00000000-0005-0000-0000-000062170000}"/>
    <cellStyle name="Normal 12 2 3 5 3 2" xfId="6006" xr:uid="{00000000-0005-0000-0000-000063170000}"/>
    <cellStyle name="Normal 12 2 3 5 3 3" xfId="6007" xr:uid="{00000000-0005-0000-0000-000064170000}"/>
    <cellStyle name="Normal 12 2 3 5 3 4" xfId="6008" xr:uid="{00000000-0005-0000-0000-000065170000}"/>
    <cellStyle name="Normal 12 2 3 5 3 5" xfId="6009" xr:uid="{00000000-0005-0000-0000-000066170000}"/>
    <cellStyle name="Normal 12 2 3 5 3 6" xfId="6010" xr:uid="{00000000-0005-0000-0000-000067170000}"/>
    <cellStyle name="Normal 12 2 3 5 4" xfId="6011" xr:uid="{00000000-0005-0000-0000-000068170000}"/>
    <cellStyle name="Normal 12 2 3 5 5" xfId="6012" xr:uid="{00000000-0005-0000-0000-000069170000}"/>
    <cellStyle name="Normal 12 2 3 5 6" xfId="6013" xr:uid="{00000000-0005-0000-0000-00006A170000}"/>
    <cellStyle name="Normal 12 2 3 5 7" xfId="6014" xr:uid="{00000000-0005-0000-0000-00006B170000}"/>
    <cellStyle name="Normal 12 2 3 5 8" xfId="6015" xr:uid="{00000000-0005-0000-0000-00006C170000}"/>
    <cellStyle name="Normal 12 2 3 6" xfId="6016" xr:uid="{00000000-0005-0000-0000-00006D170000}"/>
    <cellStyle name="Normal 12 2 3 6 2" xfId="6017" xr:uid="{00000000-0005-0000-0000-00006E170000}"/>
    <cellStyle name="Normal 12 2 3 6 3" xfId="6018" xr:uid="{00000000-0005-0000-0000-00006F170000}"/>
    <cellStyle name="Normal 12 2 3 6 4" xfId="6019" xr:uid="{00000000-0005-0000-0000-000070170000}"/>
    <cellStyle name="Normal 12 2 3 6 5" xfId="6020" xr:uid="{00000000-0005-0000-0000-000071170000}"/>
    <cellStyle name="Normal 12 2 3 6 6" xfId="6021" xr:uid="{00000000-0005-0000-0000-000072170000}"/>
    <cellStyle name="Normal 12 2 3 7" xfId="6022" xr:uid="{00000000-0005-0000-0000-000073170000}"/>
    <cellStyle name="Normal 12 2 3 7 2" xfId="6023" xr:uid="{00000000-0005-0000-0000-000074170000}"/>
    <cellStyle name="Normal 12 2 3 7 3" xfId="6024" xr:uid="{00000000-0005-0000-0000-000075170000}"/>
    <cellStyle name="Normal 12 2 3 7 4" xfId="6025" xr:uid="{00000000-0005-0000-0000-000076170000}"/>
    <cellStyle name="Normal 12 2 3 7 5" xfId="6026" xr:uid="{00000000-0005-0000-0000-000077170000}"/>
    <cellStyle name="Normal 12 2 3 7 6" xfId="6027" xr:uid="{00000000-0005-0000-0000-000078170000}"/>
    <cellStyle name="Normal 12 2 3 8" xfId="6028" xr:uid="{00000000-0005-0000-0000-000079170000}"/>
    <cellStyle name="Normal 12 2 3 9" xfId="6029" xr:uid="{00000000-0005-0000-0000-00007A170000}"/>
    <cellStyle name="Normal 12 2 4" xfId="6030" xr:uid="{00000000-0005-0000-0000-00007B170000}"/>
    <cellStyle name="Normal 12 2 4 10" xfId="6031" xr:uid="{00000000-0005-0000-0000-00007C170000}"/>
    <cellStyle name="Normal 12 2 4 11" xfId="6032" xr:uid="{00000000-0005-0000-0000-00007D170000}"/>
    <cellStyle name="Normal 12 2 4 12" xfId="6033" xr:uid="{00000000-0005-0000-0000-00007E170000}"/>
    <cellStyle name="Normal 12 2 4 2" xfId="6034" xr:uid="{00000000-0005-0000-0000-00007F170000}"/>
    <cellStyle name="Normal 12 2 4 2 10" xfId="6035" xr:uid="{00000000-0005-0000-0000-000080170000}"/>
    <cellStyle name="Normal 12 2 4 2 11" xfId="6036" xr:uid="{00000000-0005-0000-0000-000081170000}"/>
    <cellStyle name="Normal 12 2 4 2 2" xfId="6037" xr:uid="{00000000-0005-0000-0000-000082170000}"/>
    <cellStyle name="Normal 12 2 4 2 2 2" xfId="6038" xr:uid="{00000000-0005-0000-0000-000083170000}"/>
    <cellStyle name="Normal 12 2 4 2 2 2 2" xfId="6039" xr:uid="{00000000-0005-0000-0000-000084170000}"/>
    <cellStyle name="Normal 12 2 4 2 2 2 3" xfId="6040" xr:uid="{00000000-0005-0000-0000-000085170000}"/>
    <cellStyle name="Normal 12 2 4 2 2 2 4" xfId="6041" xr:uid="{00000000-0005-0000-0000-000086170000}"/>
    <cellStyle name="Normal 12 2 4 2 2 2 5" xfId="6042" xr:uid="{00000000-0005-0000-0000-000087170000}"/>
    <cellStyle name="Normal 12 2 4 2 2 2 6" xfId="6043" xr:uid="{00000000-0005-0000-0000-000088170000}"/>
    <cellStyle name="Normal 12 2 4 2 2 3" xfId="6044" xr:uid="{00000000-0005-0000-0000-000089170000}"/>
    <cellStyle name="Normal 12 2 4 2 2 3 2" xfId="6045" xr:uid="{00000000-0005-0000-0000-00008A170000}"/>
    <cellStyle name="Normal 12 2 4 2 2 3 3" xfId="6046" xr:uid="{00000000-0005-0000-0000-00008B170000}"/>
    <cellStyle name="Normal 12 2 4 2 2 3 4" xfId="6047" xr:uid="{00000000-0005-0000-0000-00008C170000}"/>
    <cellStyle name="Normal 12 2 4 2 2 3 5" xfId="6048" xr:uid="{00000000-0005-0000-0000-00008D170000}"/>
    <cellStyle name="Normal 12 2 4 2 2 3 6" xfId="6049" xr:uid="{00000000-0005-0000-0000-00008E170000}"/>
    <cellStyle name="Normal 12 2 4 2 2 4" xfId="6050" xr:uid="{00000000-0005-0000-0000-00008F170000}"/>
    <cellStyle name="Normal 12 2 4 2 2 5" xfId="6051" xr:uid="{00000000-0005-0000-0000-000090170000}"/>
    <cellStyle name="Normal 12 2 4 2 2 6" xfId="6052" xr:uid="{00000000-0005-0000-0000-000091170000}"/>
    <cellStyle name="Normal 12 2 4 2 2 7" xfId="6053" xr:uid="{00000000-0005-0000-0000-000092170000}"/>
    <cellStyle name="Normal 12 2 4 2 2 8" xfId="6054" xr:uid="{00000000-0005-0000-0000-000093170000}"/>
    <cellStyle name="Normal 12 2 4 2 3" xfId="6055" xr:uid="{00000000-0005-0000-0000-000094170000}"/>
    <cellStyle name="Normal 12 2 4 2 3 2" xfId="6056" xr:uid="{00000000-0005-0000-0000-000095170000}"/>
    <cellStyle name="Normal 12 2 4 2 3 2 2" xfId="6057" xr:uid="{00000000-0005-0000-0000-000096170000}"/>
    <cellStyle name="Normal 12 2 4 2 3 2 3" xfId="6058" xr:uid="{00000000-0005-0000-0000-000097170000}"/>
    <cellStyle name="Normal 12 2 4 2 3 2 4" xfId="6059" xr:uid="{00000000-0005-0000-0000-000098170000}"/>
    <cellStyle name="Normal 12 2 4 2 3 2 5" xfId="6060" xr:uid="{00000000-0005-0000-0000-000099170000}"/>
    <cellStyle name="Normal 12 2 4 2 3 2 6" xfId="6061" xr:uid="{00000000-0005-0000-0000-00009A170000}"/>
    <cellStyle name="Normal 12 2 4 2 3 3" xfId="6062" xr:uid="{00000000-0005-0000-0000-00009B170000}"/>
    <cellStyle name="Normal 12 2 4 2 3 3 2" xfId="6063" xr:uid="{00000000-0005-0000-0000-00009C170000}"/>
    <cellStyle name="Normal 12 2 4 2 3 3 3" xfId="6064" xr:uid="{00000000-0005-0000-0000-00009D170000}"/>
    <cellStyle name="Normal 12 2 4 2 3 3 4" xfId="6065" xr:uid="{00000000-0005-0000-0000-00009E170000}"/>
    <cellStyle name="Normal 12 2 4 2 3 3 5" xfId="6066" xr:uid="{00000000-0005-0000-0000-00009F170000}"/>
    <cellStyle name="Normal 12 2 4 2 3 3 6" xfId="6067" xr:uid="{00000000-0005-0000-0000-0000A0170000}"/>
    <cellStyle name="Normal 12 2 4 2 3 4" xfId="6068" xr:uid="{00000000-0005-0000-0000-0000A1170000}"/>
    <cellStyle name="Normal 12 2 4 2 3 5" xfId="6069" xr:uid="{00000000-0005-0000-0000-0000A2170000}"/>
    <cellStyle name="Normal 12 2 4 2 3 6" xfId="6070" xr:uid="{00000000-0005-0000-0000-0000A3170000}"/>
    <cellStyle name="Normal 12 2 4 2 3 7" xfId="6071" xr:uid="{00000000-0005-0000-0000-0000A4170000}"/>
    <cellStyle name="Normal 12 2 4 2 3 8" xfId="6072" xr:uid="{00000000-0005-0000-0000-0000A5170000}"/>
    <cellStyle name="Normal 12 2 4 2 4" xfId="6073" xr:uid="{00000000-0005-0000-0000-0000A6170000}"/>
    <cellStyle name="Normal 12 2 4 2 4 2" xfId="6074" xr:uid="{00000000-0005-0000-0000-0000A7170000}"/>
    <cellStyle name="Normal 12 2 4 2 4 2 2" xfId="6075" xr:uid="{00000000-0005-0000-0000-0000A8170000}"/>
    <cellStyle name="Normal 12 2 4 2 4 2 3" xfId="6076" xr:uid="{00000000-0005-0000-0000-0000A9170000}"/>
    <cellStyle name="Normal 12 2 4 2 4 2 4" xfId="6077" xr:uid="{00000000-0005-0000-0000-0000AA170000}"/>
    <cellStyle name="Normal 12 2 4 2 4 2 5" xfId="6078" xr:uid="{00000000-0005-0000-0000-0000AB170000}"/>
    <cellStyle name="Normal 12 2 4 2 4 2 6" xfId="6079" xr:uid="{00000000-0005-0000-0000-0000AC170000}"/>
    <cellStyle name="Normal 12 2 4 2 4 3" xfId="6080" xr:uid="{00000000-0005-0000-0000-0000AD170000}"/>
    <cellStyle name="Normal 12 2 4 2 4 3 2" xfId="6081" xr:uid="{00000000-0005-0000-0000-0000AE170000}"/>
    <cellStyle name="Normal 12 2 4 2 4 3 3" xfId="6082" xr:uid="{00000000-0005-0000-0000-0000AF170000}"/>
    <cellStyle name="Normal 12 2 4 2 4 3 4" xfId="6083" xr:uid="{00000000-0005-0000-0000-0000B0170000}"/>
    <cellStyle name="Normal 12 2 4 2 4 3 5" xfId="6084" xr:uid="{00000000-0005-0000-0000-0000B1170000}"/>
    <cellStyle name="Normal 12 2 4 2 4 3 6" xfId="6085" xr:uid="{00000000-0005-0000-0000-0000B2170000}"/>
    <cellStyle name="Normal 12 2 4 2 4 4" xfId="6086" xr:uid="{00000000-0005-0000-0000-0000B3170000}"/>
    <cellStyle name="Normal 12 2 4 2 4 5" xfId="6087" xr:uid="{00000000-0005-0000-0000-0000B4170000}"/>
    <cellStyle name="Normal 12 2 4 2 4 6" xfId="6088" xr:uid="{00000000-0005-0000-0000-0000B5170000}"/>
    <cellStyle name="Normal 12 2 4 2 4 7" xfId="6089" xr:uid="{00000000-0005-0000-0000-0000B6170000}"/>
    <cellStyle name="Normal 12 2 4 2 4 8" xfId="6090" xr:uid="{00000000-0005-0000-0000-0000B7170000}"/>
    <cellStyle name="Normal 12 2 4 2 5" xfId="6091" xr:uid="{00000000-0005-0000-0000-0000B8170000}"/>
    <cellStyle name="Normal 12 2 4 2 5 2" xfId="6092" xr:uid="{00000000-0005-0000-0000-0000B9170000}"/>
    <cellStyle name="Normal 12 2 4 2 5 3" xfId="6093" xr:uid="{00000000-0005-0000-0000-0000BA170000}"/>
    <cellStyle name="Normal 12 2 4 2 5 4" xfId="6094" xr:uid="{00000000-0005-0000-0000-0000BB170000}"/>
    <cellStyle name="Normal 12 2 4 2 5 5" xfId="6095" xr:uid="{00000000-0005-0000-0000-0000BC170000}"/>
    <cellStyle name="Normal 12 2 4 2 5 6" xfId="6096" xr:uid="{00000000-0005-0000-0000-0000BD170000}"/>
    <cellStyle name="Normal 12 2 4 2 6" xfId="6097" xr:uid="{00000000-0005-0000-0000-0000BE170000}"/>
    <cellStyle name="Normal 12 2 4 2 6 2" xfId="6098" xr:uid="{00000000-0005-0000-0000-0000BF170000}"/>
    <cellStyle name="Normal 12 2 4 2 6 3" xfId="6099" xr:uid="{00000000-0005-0000-0000-0000C0170000}"/>
    <cellStyle name="Normal 12 2 4 2 6 4" xfId="6100" xr:uid="{00000000-0005-0000-0000-0000C1170000}"/>
    <cellStyle name="Normal 12 2 4 2 6 5" xfId="6101" xr:uid="{00000000-0005-0000-0000-0000C2170000}"/>
    <cellStyle name="Normal 12 2 4 2 6 6" xfId="6102" xr:uid="{00000000-0005-0000-0000-0000C3170000}"/>
    <cellStyle name="Normal 12 2 4 2 7" xfId="6103" xr:uid="{00000000-0005-0000-0000-0000C4170000}"/>
    <cellStyle name="Normal 12 2 4 2 8" xfId="6104" xr:uid="{00000000-0005-0000-0000-0000C5170000}"/>
    <cellStyle name="Normal 12 2 4 2 9" xfId="6105" xr:uid="{00000000-0005-0000-0000-0000C6170000}"/>
    <cellStyle name="Normal 12 2 4 3" xfId="6106" xr:uid="{00000000-0005-0000-0000-0000C7170000}"/>
    <cellStyle name="Normal 12 2 4 3 2" xfId="6107" xr:uid="{00000000-0005-0000-0000-0000C8170000}"/>
    <cellStyle name="Normal 12 2 4 3 2 2" xfId="6108" xr:uid="{00000000-0005-0000-0000-0000C9170000}"/>
    <cellStyle name="Normal 12 2 4 3 2 3" xfId="6109" xr:uid="{00000000-0005-0000-0000-0000CA170000}"/>
    <cellStyle name="Normal 12 2 4 3 2 4" xfId="6110" xr:uid="{00000000-0005-0000-0000-0000CB170000}"/>
    <cellStyle name="Normal 12 2 4 3 2 5" xfId="6111" xr:uid="{00000000-0005-0000-0000-0000CC170000}"/>
    <cellStyle name="Normal 12 2 4 3 2 6" xfId="6112" xr:uid="{00000000-0005-0000-0000-0000CD170000}"/>
    <cellStyle name="Normal 12 2 4 3 3" xfId="6113" xr:uid="{00000000-0005-0000-0000-0000CE170000}"/>
    <cellStyle name="Normal 12 2 4 3 3 2" xfId="6114" xr:uid="{00000000-0005-0000-0000-0000CF170000}"/>
    <cellStyle name="Normal 12 2 4 3 3 3" xfId="6115" xr:uid="{00000000-0005-0000-0000-0000D0170000}"/>
    <cellStyle name="Normal 12 2 4 3 3 4" xfId="6116" xr:uid="{00000000-0005-0000-0000-0000D1170000}"/>
    <cellStyle name="Normal 12 2 4 3 3 5" xfId="6117" xr:uid="{00000000-0005-0000-0000-0000D2170000}"/>
    <cellStyle name="Normal 12 2 4 3 3 6" xfId="6118" xr:uid="{00000000-0005-0000-0000-0000D3170000}"/>
    <cellStyle name="Normal 12 2 4 3 4" xfId="6119" xr:uid="{00000000-0005-0000-0000-0000D4170000}"/>
    <cellStyle name="Normal 12 2 4 3 5" xfId="6120" xr:uid="{00000000-0005-0000-0000-0000D5170000}"/>
    <cellStyle name="Normal 12 2 4 3 6" xfId="6121" xr:uid="{00000000-0005-0000-0000-0000D6170000}"/>
    <cellStyle name="Normal 12 2 4 3 7" xfId="6122" xr:uid="{00000000-0005-0000-0000-0000D7170000}"/>
    <cellStyle name="Normal 12 2 4 3 8" xfId="6123" xr:uid="{00000000-0005-0000-0000-0000D8170000}"/>
    <cellStyle name="Normal 12 2 4 4" xfId="6124" xr:uid="{00000000-0005-0000-0000-0000D9170000}"/>
    <cellStyle name="Normal 12 2 4 4 2" xfId="6125" xr:uid="{00000000-0005-0000-0000-0000DA170000}"/>
    <cellStyle name="Normal 12 2 4 4 2 2" xfId="6126" xr:uid="{00000000-0005-0000-0000-0000DB170000}"/>
    <cellStyle name="Normal 12 2 4 4 2 3" xfId="6127" xr:uid="{00000000-0005-0000-0000-0000DC170000}"/>
    <cellStyle name="Normal 12 2 4 4 2 4" xfId="6128" xr:uid="{00000000-0005-0000-0000-0000DD170000}"/>
    <cellStyle name="Normal 12 2 4 4 2 5" xfId="6129" xr:uid="{00000000-0005-0000-0000-0000DE170000}"/>
    <cellStyle name="Normal 12 2 4 4 2 6" xfId="6130" xr:uid="{00000000-0005-0000-0000-0000DF170000}"/>
    <cellStyle name="Normal 12 2 4 4 3" xfId="6131" xr:uid="{00000000-0005-0000-0000-0000E0170000}"/>
    <cellStyle name="Normal 12 2 4 4 3 2" xfId="6132" xr:uid="{00000000-0005-0000-0000-0000E1170000}"/>
    <cellStyle name="Normal 12 2 4 4 3 3" xfId="6133" xr:uid="{00000000-0005-0000-0000-0000E2170000}"/>
    <cellStyle name="Normal 12 2 4 4 3 4" xfId="6134" xr:uid="{00000000-0005-0000-0000-0000E3170000}"/>
    <cellStyle name="Normal 12 2 4 4 3 5" xfId="6135" xr:uid="{00000000-0005-0000-0000-0000E4170000}"/>
    <cellStyle name="Normal 12 2 4 4 3 6" xfId="6136" xr:uid="{00000000-0005-0000-0000-0000E5170000}"/>
    <cellStyle name="Normal 12 2 4 4 4" xfId="6137" xr:uid="{00000000-0005-0000-0000-0000E6170000}"/>
    <cellStyle name="Normal 12 2 4 4 5" xfId="6138" xr:uid="{00000000-0005-0000-0000-0000E7170000}"/>
    <cellStyle name="Normal 12 2 4 4 6" xfId="6139" xr:uid="{00000000-0005-0000-0000-0000E8170000}"/>
    <cellStyle name="Normal 12 2 4 4 7" xfId="6140" xr:uid="{00000000-0005-0000-0000-0000E9170000}"/>
    <cellStyle name="Normal 12 2 4 4 8" xfId="6141" xr:uid="{00000000-0005-0000-0000-0000EA170000}"/>
    <cellStyle name="Normal 12 2 4 5" xfId="6142" xr:uid="{00000000-0005-0000-0000-0000EB170000}"/>
    <cellStyle name="Normal 12 2 4 5 2" xfId="6143" xr:uid="{00000000-0005-0000-0000-0000EC170000}"/>
    <cellStyle name="Normal 12 2 4 5 2 2" xfId="6144" xr:uid="{00000000-0005-0000-0000-0000ED170000}"/>
    <cellStyle name="Normal 12 2 4 5 2 3" xfId="6145" xr:uid="{00000000-0005-0000-0000-0000EE170000}"/>
    <cellStyle name="Normal 12 2 4 5 2 4" xfId="6146" xr:uid="{00000000-0005-0000-0000-0000EF170000}"/>
    <cellStyle name="Normal 12 2 4 5 2 5" xfId="6147" xr:uid="{00000000-0005-0000-0000-0000F0170000}"/>
    <cellStyle name="Normal 12 2 4 5 2 6" xfId="6148" xr:uid="{00000000-0005-0000-0000-0000F1170000}"/>
    <cellStyle name="Normal 12 2 4 5 3" xfId="6149" xr:uid="{00000000-0005-0000-0000-0000F2170000}"/>
    <cellStyle name="Normal 12 2 4 5 3 2" xfId="6150" xr:uid="{00000000-0005-0000-0000-0000F3170000}"/>
    <cellStyle name="Normal 12 2 4 5 3 3" xfId="6151" xr:uid="{00000000-0005-0000-0000-0000F4170000}"/>
    <cellStyle name="Normal 12 2 4 5 3 4" xfId="6152" xr:uid="{00000000-0005-0000-0000-0000F5170000}"/>
    <cellStyle name="Normal 12 2 4 5 3 5" xfId="6153" xr:uid="{00000000-0005-0000-0000-0000F6170000}"/>
    <cellStyle name="Normal 12 2 4 5 3 6" xfId="6154" xr:uid="{00000000-0005-0000-0000-0000F7170000}"/>
    <cellStyle name="Normal 12 2 4 5 4" xfId="6155" xr:uid="{00000000-0005-0000-0000-0000F8170000}"/>
    <cellStyle name="Normal 12 2 4 5 5" xfId="6156" xr:uid="{00000000-0005-0000-0000-0000F9170000}"/>
    <cellStyle name="Normal 12 2 4 5 6" xfId="6157" xr:uid="{00000000-0005-0000-0000-0000FA170000}"/>
    <cellStyle name="Normal 12 2 4 5 7" xfId="6158" xr:uid="{00000000-0005-0000-0000-0000FB170000}"/>
    <cellStyle name="Normal 12 2 4 5 8" xfId="6159" xr:uid="{00000000-0005-0000-0000-0000FC170000}"/>
    <cellStyle name="Normal 12 2 4 6" xfId="6160" xr:uid="{00000000-0005-0000-0000-0000FD170000}"/>
    <cellStyle name="Normal 12 2 4 6 2" xfId="6161" xr:uid="{00000000-0005-0000-0000-0000FE170000}"/>
    <cellStyle name="Normal 12 2 4 6 3" xfId="6162" xr:uid="{00000000-0005-0000-0000-0000FF170000}"/>
    <cellStyle name="Normal 12 2 4 6 4" xfId="6163" xr:uid="{00000000-0005-0000-0000-000000180000}"/>
    <cellStyle name="Normal 12 2 4 6 5" xfId="6164" xr:uid="{00000000-0005-0000-0000-000001180000}"/>
    <cellStyle name="Normal 12 2 4 6 6" xfId="6165" xr:uid="{00000000-0005-0000-0000-000002180000}"/>
    <cellStyle name="Normal 12 2 4 7" xfId="6166" xr:uid="{00000000-0005-0000-0000-000003180000}"/>
    <cellStyle name="Normal 12 2 4 7 2" xfId="6167" xr:uid="{00000000-0005-0000-0000-000004180000}"/>
    <cellStyle name="Normal 12 2 4 7 3" xfId="6168" xr:uid="{00000000-0005-0000-0000-000005180000}"/>
    <cellStyle name="Normal 12 2 4 7 4" xfId="6169" xr:uid="{00000000-0005-0000-0000-000006180000}"/>
    <cellStyle name="Normal 12 2 4 7 5" xfId="6170" xr:uid="{00000000-0005-0000-0000-000007180000}"/>
    <cellStyle name="Normal 12 2 4 7 6" xfId="6171" xr:uid="{00000000-0005-0000-0000-000008180000}"/>
    <cellStyle name="Normal 12 2 4 8" xfId="6172" xr:uid="{00000000-0005-0000-0000-000009180000}"/>
    <cellStyle name="Normal 12 2 4 9" xfId="6173" xr:uid="{00000000-0005-0000-0000-00000A180000}"/>
    <cellStyle name="Normal 12 2 5" xfId="6174" xr:uid="{00000000-0005-0000-0000-00000B180000}"/>
    <cellStyle name="Normal 12 2 5 10" xfId="6175" xr:uid="{00000000-0005-0000-0000-00000C180000}"/>
    <cellStyle name="Normal 12 2 5 11" xfId="6176" xr:uid="{00000000-0005-0000-0000-00000D180000}"/>
    <cellStyle name="Normal 12 2 5 2" xfId="6177" xr:uid="{00000000-0005-0000-0000-00000E180000}"/>
    <cellStyle name="Normal 12 2 5 2 2" xfId="6178" xr:uid="{00000000-0005-0000-0000-00000F180000}"/>
    <cellStyle name="Normal 12 2 5 2 2 2" xfId="6179" xr:uid="{00000000-0005-0000-0000-000010180000}"/>
    <cellStyle name="Normal 12 2 5 2 2 3" xfId="6180" xr:uid="{00000000-0005-0000-0000-000011180000}"/>
    <cellStyle name="Normal 12 2 5 2 2 4" xfId="6181" xr:uid="{00000000-0005-0000-0000-000012180000}"/>
    <cellStyle name="Normal 12 2 5 2 2 5" xfId="6182" xr:uid="{00000000-0005-0000-0000-000013180000}"/>
    <cellStyle name="Normal 12 2 5 2 2 6" xfId="6183" xr:uid="{00000000-0005-0000-0000-000014180000}"/>
    <cellStyle name="Normal 12 2 5 2 3" xfId="6184" xr:uid="{00000000-0005-0000-0000-000015180000}"/>
    <cellStyle name="Normal 12 2 5 2 3 2" xfId="6185" xr:uid="{00000000-0005-0000-0000-000016180000}"/>
    <cellStyle name="Normal 12 2 5 2 3 3" xfId="6186" xr:uid="{00000000-0005-0000-0000-000017180000}"/>
    <cellStyle name="Normal 12 2 5 2 3 4" xfId="6187" xr:uid="{00000000-0005-0000-0000-000018180000}"/>
    <cellStyle name="Normal 12 2 5 2 3 5" xfId="6188" xr:uid="{00000000-0005-0000-0000-000019180000}"/>
    <cellStyle name="Normal 12 2 5 2 3 6" xfId="6189" xr:uid="{00000000-0005-0000-0000-00001A180000}"/>
    <cellStyle name="Normal 12 2 5 2 4" xfId="6190" xr:uid="{00000000-0005-0000-0000-00001B180000}"/>
    <cellStyle name="Normal 12 2 5 2 5" xfId="6191" xr:uid="{00000000-0005-0000-0000-00001C180000}"/>
    <cellStyle name="Normal 12 2 5 2 6" xfId="6192" xr:uid="{00000000-0005-0000-0000-00001D180000}"/>
    <cellStyle name="Normal 12 2 5 2 7" xfId="6193" xr:uid="{00000000-0005-0000-0000-00001E180000}"/>
    <cellStyle name="Normal 12 2 5 2 8" xfId="6194" xr:uid="{00000000-0005-0000-0000-00001F180000}"/>
    <cellStyle name="Normal 12 2 5 3" xfId="6195" xr:uid="{00000000-0005-0000-0000-000020180000}"/>
    <cellStyle name="Normal 12 2 5 3 2" xfId="6196" xr:uid="{00000000-0005-0000-0000-000021180000}"/>
    <cellStyle name="Normal 12 2 5 3 2 2" xfId="6197" xr:uid="{00000000-0005-0000-0000-000022180000}"/>
    <cellStyle name="Normal 12 2 5 3 2 3" xfId="6198" xr:uid="{00000000-0005-0000-0000-000023180000}"/>
    <cellStyle name="Normal 12 2 5 3 2 4" xfId="6199" xr:uid="{00000000-0005-0000-0000-000024180000}"/>
    <cellStyle name="Normal 12 2 5 3 2 5" xfId="6200" xr:uid="{00000000-0005-0000-0000-000025180000}"/>
    <cellStyle name="Normal 12 2 5 3 2 6" xfId="6201" xr:uid="{00000000-0005-0000-0000-000026180000}"/>
    <cellStyle name="Normal 12 2 5 3 3" xfId="6202" xr:uid="{00000000-0005-0000-0000-000027180000}"/>
    <cellStyle name="Normal 12 2 5 3 3 2" xfId="6203" xr:uid="{00000000-0005-0000-0000-000028180000}"/>
    <cellStyle name="Normal 12 2 5 3 3 3" xfId="6204" xr:uid="{00000000-0005-0000-0000-000029180000}"/>
    <cellStyle name="Normal 12 2 5 3 3 4" xfId="6205" xr:uid="{00000000-0005-0000-0000-00002A180000}"/>
    <cellStyle name="Normal 12 2 5 3 3 5" xfId="6206" xr:uid="{00000000-0005-0000-0000-00002B180000}"/>
    <cellStyle name="Normal 12 2 5 3 3 6" xfId="6207" xr:uid="{00000000-0005-0000-0000-00002C180000}"/>
    <cellStyle name="Normal 12 2 5 3 4" xfId="6208" xr:uid="{00000000-0005-0000-0000-00002D180000}"/>
    <cellStyle name="Normal 12 2 5 3 5" xfId="6209" xr:uid="{00000000-0005-0000-0000-00002E180000}"/>
    <cellStyle name="Normal 12 2 5 3 6" xfId="6210" xr:uid="{00000000-0005-0000-0000-00002F180000}"/>
    <cellStyle name="Normal 12 2 5 3 7" xfId="6211" xr:uid="{00000000-0005-0000-0000-000030180000}"/>
    <cellStyle name="Normal 12 2 5 3 8" xfId="6212" xr:uid="{00000000-0005-0000-0000-000031180000}"/>
    <cellStyle name="Normal 12 2 5 4" xfId="6213" xr:uid="{00000000-0005-0000-0000-000032180000}"/>
    <cellStyle name="Normal 12 2 5 4 2" xfId="6214" xr:uid="{00000000-0005-0000-0000-000033180000}"/>
    <cellStyle name="Normal 12 2 5 4 2 2" xfId="6215" xr:uid="{00000000-0005-0000-0000-000034180000}"/>
    <cellStyle name="Normal 12 2 5 4 2 3" xfId="6216" xr:uid="{00000000-0005-0000-0000-000035180000}"/>
    <cellStyle name="Normal 12 2 5 4 2 4" xfId="6217" xr:uid="{00000000-0005-0000-0000-000036180000}"/>
    <cellStyle name="Normal 12 2 5 4 2 5" xfId="6218" xr:uid="{00000000-0005-0000-0000-000037180000}"/>
    <cellStyle name="Normal 12 2 5 4 2 6" xfId="6219" xr:uid="{00000000-0005-0000-0000-000038180000}"/>
    <cellStyle name="Normal 12 2 5 4 3" xfId="6220" xr:uid="{00000000-0005-0000-0000-000039180000}"/>
    <cellStyle name="Normal 12 2 5 4 3 2" xfId="6221" xr:uid="{00000000-0005-0000-0000-00003A180000}"/>
    <cellStyle name="Normal 12 2 5 4 3 3" xfId="6222" xr:uid="{00000000-0005-0000-0000-00003B180000}"/>
    <cellStyle name="Normal 12 2 5 4 3 4" xfId="6223" xr:uid="{00000000-0005-0000-0000-00003C180000}"/>
    <cellStyle name="Normal 12 2 5 4 3 5" xfId="6224" xr:uid="{00000000-0005-0000-0000-00003D180000}"/>
    <cellStyle name="Normal 12 2 5 4 3 6" xfId="6225" xr:uid="{00000000-0005-0000-0000-00003E180000}"/>
    <cellStyle name="Normal 12 2 5 4 4" xfId="6226" xr:uid="{00000000-0005-0000-0000-00003F180000}"/>
    <cellStyle name="Normal 12 2 5 4 5" xfId="6227" xr:uid="{00000000-0005-0000-0000-000040180000}"/>
    <cellStyle name="Normal 12 2 5 4 6" xfId="6228" xr:uid="{00000000-0005-0000-0000-000041180000}"/>
    <cellStyle name="Normal 12 2 5 4 7" xfId="6229" xr:uid="{00000000-0005-0000-0000-000042180000}"/>
    <cellStyle name="Normal 12 2 5 4 8" xfId="6230" xr:uid="{00000000-0005-0000-0000-000043180000}"/>
    <cellStyle name="Normal 12 2 5 5" xfId="6231" xr:uid="{00000000-0005-0000-0000-000044180000}"/>
    <cellStyle name="Normal 12 2 5 5 2" xfId="6232" xr:uid="{00000000-0005-0000-0000-000045180000}"/>
    <cellStyle name="Normal 12 2 5 5 3" xfId="6233" xr:uid="{00000000-0005-0000-0000-000046180000}"/>
    <cellStyle name="Normal 12 2 5 5 4" xfId="6234" xr:uid="{00000000-0005-0000-0000-000047180000}"/>
    <cellStyle name="Normal 12 2 5 5 5" xfId="6235" xr:uid="{00000000-0005-0000-0000-000048180000}"/>
    <cellStyle name="Normal 12 2 5 5 6" xfId="6236" xr:uid="{00000000-0005-0000-0000-000049180000}"/>
    <cellStyle name="Normal 12 2 5 6" xfId="6237" xr:uid="{00000000-0005-0000-0000-00004A180000}"/>
    <cellStyle name="Normal 12 2 5 6 2" xfId="6238" xr:uid="{00000000-0005-0000-0000-00004B180000}"/>
    <cellStyle name="Normal 12 2 5 6 3" xfId="6239" xr:uid="{00000000-0005-0000-0000-00004C180000}"/>
    <cellStyle name="Normal 12 2 5 6 4" xfId="6240" xr:uid="{00000000-0005-0000-0000-00004D180000}"/>
    <cellStyle name="Normal 12 2 5 6 5" xfId="6241" xr:uid="{00000000-0005-0000-0000-00004E180000}"/>
    <cellStyle name="Normal 12 2 5 6 6" xfId="6242" xr:uid="{00000000-0005-0000-0000-00004F180000}"/>
    <cellStyle name="Normal 12 2 5 7" xfId="6243" xr:uid="{00000000-0005-0000-0000-000050180000}"/>
    <cellStyle name="Normal 12 2 5 8" xfId="6244" xr:uid="{00000000-0005-0000-0000-000051180000}"/>
    <cellStyle name="Normal 12 2 5 9" xfId="6245" xr:uid="{00000000-0005-0000-0000-000052180000}"/>
    <cellStyle name="Normal 12 2 6" xfId="6246" xr:uid="{00000000-0005-0000-0000-000053180000}"/>
    <cellStyle name="Normal 12 2 6 2" xfId="6247" xr:uid="{00000000-0005-0000-0000-000054180000}"/>
    <cellStyle name="Normal 12 2 6 2 2" xfId="6248" xr:uid="{00000000-0005-0000-0000-000055180000}"/>
    <cellStyle name="Normal 12 2 6 2 3" xfId="6249" xr:uid="{00000000-0005-0000-0000-000056180000}"/>
    <cellStyle name="Normal 12 2 6 2 4" xfId="6250" xr:uid="{00000000-0005-0000-0000-000057180000}"/>
    <cellStyle name="Normal 12 2 6 2 5" xfId="6251" xr:uid="{00000000-0005-0000-0000-000058180000}"/>
    <cellStyle name="Normal 12 2 6 2 6" xfId="6252" xr:uid="{00000000-0005-0000-0000-000059180000}"/>
    <cellStyle name="Normal 12 2 6 3" xfId="6253" xr:uid="{00000000-0005-0000-0000-00005A180000}"/>
    <cellStyle name="Normal 12 2 6 3 2" xfId="6254" xr:uid="{00000000-0005-0000-0000-00005B180000}"/>
    <cellStyle name="Normal 12 2 6 3 3" xfId="6255" xr:uid="{00000000-0005-0000-0000-00005C180000}"/>
    <cellStyle name="Normal 12 2 6 3 4" xfId="6256" xr:uid="{00000000-0005-0000-0000-00005D180000}"/>
    <cellStyle name="Normal 12 2 6 3 5" xfId="6257" xr:uid="{00000000-0005-0000-0000-00005E180000}"/>
    <cellStyle name="Normal 12 2 6 3 6" xfId="6258" xr:uid="{00000000-0005-0000-0000-00005F180000}"/>
    <cellStyle name="Normal 12 2 6 4" xfId="6259" xr:uid="{00000000-0005-0000-0000-000060180000}"/>
    <cellStyle name="Normal 12 2 6 5" xfId="6260" xr:uid="{00000000-0005-0000-0000-000061180000}"/>
    <cellStyle name="Normal 12 2 6 6" xfId="6261" xr:uid="{00000000-0005-0000-0000-000062180000}"/>
    <cellStyle name="Normal 12 2 6 7" xfId="6262" xr:uid="{00000000-0005-0000-0000-000063180000}"/>
    <cellStyle name="Normal 12 2 6 8" xfId="6263" xr:uid="{00000000-0005-0000-0000-000064180000}"/>
    <cellStyle name="Normal 12 2 7" xfId="6264" xr:uid="{00000000-0005-0000-0000-000065180000}"/>
    <cellStyle name="Normal 12 2 7 2" xfId="6265" xr:uid="{00000000-0005-0000-0000-000066180000}"/>
    <cellStyle name="Normal 12 2 7 2 2" xfId="6266" xr:uid="{00000000-0005-0000-0000-000067180000}"/>
    <cellStyle name="Normal 12 2 7 2 3" xfId="6267" xr:uid="{00000000-0005-0000-0000-000068180000}"/>
    <cellStyle name="Normal 12 2 7 2 4" xfId="6268" xr:uid="{00000000-0005-0000-0000-000069180000}"/>
    <cellStyle name="Normal 12 2 7 2 5" xfId="6269" xr:uid="{00000000-0005-0000-0000-00006A180000}"/>
    <cellStyle name="Normal 12 2 7 2 6" xfId="6270" xr:uid="{00000000-0005-0000-0000-00006B180000}"/>
    <cellStyle name="Normal 12 2 7 3" xfId="6271" xr:uid="{00000000-0005-0000-0000-00006C180000}"/>
    <cellStyle name="Normal 12 2 7 3 2" xfId="6272" xr:uid="{00000000-0005-0000-0000-00006D180000}"/>
    <cellStyle name="Normal 12 2 7 3 3" xfId="6273" xr:uid="{00000000-0005-0000-0000-00006E180000}"/>
    <cellStyle name="Normal 12 2 7 3 4" xfId="6274" xr:uid="{00000000-0005-0000-0000-00006F180000}"/>
    <cellStyle name="Normal 12 2 7 3 5" xfId="6275" xr:uid="{00000000-0005-0000-0000-000070180000}"/>
    <cellStyle name="Normal 12 2 7 3 6" xfId="6276" xr:uid="{00000000-0005-0000-0000-000071180000}"/>
    <cellStyle name="Normal 12 2 7 4" xfId="6277" xr:uid="{00000000-0005-0000-0000-000072180000}"/>
    <cellStyle name="Normal 12 2 7 5" xfId="6278" xr:uid="{00000000-0005-0000-0000-000073180000}"/>
    <cellStyle name="Normal 12 2 7 6" xfId="6279" xr:uid="{00000000-0005-0000-0000-000074180000}"/>
    <cellStyle name="Normal 12 2 7 7" xfId="6280" xr:uid="{00000000-0005-0000-0000-000075180000}"/>
    <cellStyle name="Normal 12 2 7 8" xfId="6281" xr:uid="{00000000-0005-0000-0000-000076180000}"/>
    <cellStyle name="Normal 12 2 8" xfId="6282" xr:uid="{00000000-0005-0000-0000-000077180000}"/>
    <cellStyle name="Normal 12 2 8 2" xfId="6283" xr:uid="{00000000-0005-0000-0000-000078180000}"/>
    <cellStyle name="Normal 12 2 8 2 2" xfId="6284" xr:uid="{00000000-0005-0000-0000-000079180000}"/>
    <cellStyle name="Normal 12 2 8 2 3" xfId="6285" xr:uid="{00000000-0005-0000-0000-00007A180000}"/>
    <cellStyle name="Normal 12 2 8 2 4" xfId="6286" xr:uid="{00000000-0005-0000-0000-00007B180000}"/>
    <cellStyle name="Normal 12 2 8 2 5" xfId="6287" xr:uid="{00000000-0005-0000-0000-00007C180000}"/>
    <cellStyle name="Normal 12 2 8 2 6" xfId="6288" xr:uid="{00000000-0005-0000-0000-00007D180000}"/>
    <cellStyle name="Normal 12 2 8 3" xfId="6289" xr:uid="{00000000-0005-0000-0000-00007E180000}"/>
    <cellStyle name="Normal 12 2 8 3 2" xfId="6290" xr:uid="{00000000-0005-0000-0000-00007F180000}"/>
    <cellStyle name="Normal 12 2 8 3 3" xfId="6291" xr:uid="{00000000-0005-0000-0000-000080180000}"/>
    <cellStyle name="Normal 12 2 8 3 4" xfId="6292" xr:uid="{00000000-0005-0000-0000-000081180000}"/>
    <cellStyle name="Normal 12 2 8 3 5" xfId="6293" xr:uid="{00000000-0005-0000-0000-000082180000}"/>
    <cellStyle name="Normal 12 2 8 3 6" xfId="6294" xr:uid="{00000000-0005-0000-0000-000083180000}"/>
    <cellStyle name="Normal 12 2 8 4" xfId="6295" xr:uid="{00000000-0005-0000-0000-000084180000}"/>
    <cellStyle name="Normal 12 2 8 5" xfId="6296" xr:uid="{00000000-0005-0000-0000-000085180000}"/>
    <cellStyle name="Normal 12 2 8 6" xfId="6297" xr:uid="{00000000-0005-0000-0000-000086180000}"/>
    <cellStyle name="Normal 12 2 8 7" xfId="6298" xr:uid="{00000000-0005-0000-0000-000087180000}"/>
    <cellStyle name="Normal 12 2 8 8" xfId="6299" xr:uid="{00000000-0005-0000-0000-000088180000}"/>
    <cellStyle name="Normal 12 2 9" xfId="6300" xr:uid="{00000000-0005-0000-0000-000089180000}"/>
    <cellStyle name="Normal 12 2 9 2" xfId="6301" xr:uid="{00000000-0005-0000-0000-00008A180000}"/>
    <cellStyle name="Normal 12 2 9 3" xfId="6302" xr:uid="{00000000-0005-0000-0000-00008B180000}"/>
    <cellStyle name="Normal 12 2 9 4" xfId="6303" xr:uid="{00000000-0005-0000-0000-00008C180000}"/>
    <cellStyle name="Normal 12 2 9 5" xfId="6304" xr:uid="{00000000-0005-0000-0000-00008D180000}"/>
    <cellStyle name="Normal 12 2 9 6" xfId="6305" xr:uid="{00000000-0005-0000-0000-00008E180000}"/>
    <cellStyle name="Normal 12 3" xfId="6306" xr:uid="{00000000-0005-0000-0000-00008F180000}"/>
    <cellStyle name="Normal 12 3 10" xfId="6307" xr:uid="{00000000-0005-0000-0000-000090180000}"/>
    <cellStyle name="Normal 12 3 10 2" xfId="6308" xr:uid="{00000000-0005-0000-0000-000091180000}"/>
    <cellStyle name="Normal 12 3 10 3" xfId="6309" xr:uid="{00000000-0005-0000-0000-000092180000}"/>
    <cellStyle name="Normal 12 3 10 4" xfId="6310" xr:uid="{00000000-0005-0000-0000-000093180000}"/>
    <cellStyle name="Normal 12 3 10 5" xfId="6311" xr:uid="{00000000-0005-0000-0000-000094180000}"/>
    <cellStyle name="Normal 12 3 10 6" xfId="6312" xr:uid="{00000000-0005-0000-0000-000095180000}"/>
    <cellStyle name="Normal 12 3 11" xfId="6313" xr:uid="{00000000-0005-0000-0000-000096180000}"/>
    <cellStyle name="Normal 12 3 12" xfId="6314" xr:uid="{00000000-0005-0000-0000-000097180000}"/>
    <cellStyle name="Normal 12 3 13" xfId="6315" xr:uid="{00000000-0005-0000-0000-000098180000}"/>
    <cellStyle name="Normal 12 3 14" xfId="6316" xr:uid="{00000000-0005-0000-0000-000099180000}"/>
    <cellStyle name="Normal 12 3 15" xfId="6317" xr:uid="{00000000-0005-0000-0000-00009A180000}"/>
    <cellStyle name="Normal 12 3 2" xfId="6318" xr:uid="{00000000-0005-0000-0000-00009B180000}"/>
    <cellStyle name="Normal 12 3 2 10" xfId="6319" xr:uid="{00000000-0005-0000-0000-00009C180000}"/>
    <cellStyle name="Normal 12 3 2 11" xfId="6320" xr:uid="{00000000-0005-0000-0000-00009D180000}"/>
    <cellStyle name="Normal 12 3 2 12" xfId="6321" xr:uid="{00000000-0005-0000-0000-00009E180000}"/>
    <cellStyle name="Normal 12 3 2 13" xfId="6322" xr:uid="{00000000-0005-0000-0000-00009F180000}"/>
    <cellStyle name="Normal 12 3 2 14" xfId="6323" xr:uid="{00000000-0005-0000-0000-0000A0180000}"/>
    <cellStyle name="Normal 12 3 2 2" xfId="6324" xr:uid="{00000000-0005-0000-0000-0000A1180000}"/>
    <cellStyle name="Normal 12 3 2 2 10" xfId="6325" xr:uid="{00000000-0005-0000-0000-0000A2180000}"/>
    <cellStyle name="Normal 12 3 2 2 11" xfId="6326" xr:uid="{00000000-0005-0000-0000-0000A3180000}"/>
    <cellStyle name="Normal 12 3 2 2 12" xfId="6327" xr:uid="{00000000-0005-0000-0000-0000A4180000}"/>
    <cellStyle name="Normal 12 3 2 2 2" xfId="6328" xr:uid="{00000000-0005-0000-0000-0000A5180000}"/>
    <cellStyle name="Normal 12 3 2 2 2 10" xfId="6329" xr:uid="{00000000-0005-0000-0000-0000A6180000}"/>
    <cellStyle name="Normal 12 3 2 2 2 11" xfId="6330" xr:uid="{00000000-0005-0000-0000-0000A7180000}"/>
    <cellStyle name="Normal 12 3 2 2 2 2" xfId="6331" xr:uid="{00000000-0005-0000-0000-0000A8180000}"/>
    <cellStyle name="Normal 12 3 2 2 2 2 2" xfId="6332" xr:uid="{00000000-0005-0000-0000-0000A9180000}"/>
    <cellStyle name="Normal 12 3 2 2 2 2 2 2" xfId="6333" xr:uid="{00000000-0005-0000-0000-0000AA180000}"/>
    <cellStyle name="Normal 12 3 2 2 2 2 2 3" xfId="6334" xr:uid="{00000000-0005-0000-0000-0000AB180000}"/>
    <cellStyle name="Normal 12 3 2 2 2 2 2 4" xfId="6335" xr:uid="{00000000-0005-0000-0000-0000AC180000}"/>
    <cellStyle name="Normal 12 3 2 2 2 2 2 5" xfId="6336" xr:uid="{00000000-0005-0000-0000-0000AD180000}"/>
    <cellStyle name="Normal 12 3 2 2 2 2 2 6" xfId="6337" xr:uid="{00000000-0005-0000-0000-0000AE180000}"/>
    <cellStyle name="Normal 12 3 2 2 2 2 3" xfId="6338" xr:uid="{00000000-0005-0000-0000-0000AF180000}"/>
    <cellStyle name="Normal 12 3 2 2 2 2 3 2" xfId="6339" xr:uid="{00000000-0005-0000-0000-0000B0180000}"/>
    <cellStyle name="Normal 12 3 2 2 2 2 3 3" xfId="6340" xr:uid="{00000000-0005-0000-0000-0000B1180000}"/>
    <cellStyle name="Normal 12 3 2 2 2 2 3 4" xfId="6341" xr:uid="{00000000-0005-0000-0000-0000B2180000}"/>
    <cellStyle name="Normal 12 3 2 2 2 2 3 5" xfId="6342" xr:uid="{00000000-0005-0000-0000-0000B3180000}"/>
    <cellStyle name="Normal 12 3 2 2 2 2 3 6" xfId="6343" xr:uid="{00000000-0005-0000-0000-0000B4180000}"/>
    <cellStyle name="Normal 12 3 2 2 2 2 4" xfId="6344" xr:uid="{00000000-0005-0000-0000-0000B5180000}"/>
    <cellStyle name="Normal 12 3 2 2 2 2 5" xfId="6345" xr:uid="{00000000-0005-0000-0000-0000B6180000}"/>
    <cellStyle name="Normal 12 3 2 2 2 2 6" xfId="6346" xr:uid="{00000000-0005-0000-0000-0000B7180000}"/>
    <cellStyle name="Normal 12 3 2 2 2 2 7" xfId="6347" xr:uid="{00000000-0005-0000-0000-0000B8180000}"/>
    <cellStyle name="Normal 12 3 2 2 2 2 8" xfId="6348" xr:uid="{00000000-0005-0000-0000-0000B9180000}"/>
    <cellStyle name="Normal 12 3 2 2 2 3" xfId="6349" xr:uid="{00000000-0005-0000-0000-0000BA180000}"/>
    <cellStyle name="Normal 12 3 2 2 2 3 2" xfId="6350" xr:uid="{00000000-0005-0000-0000-0000BB180000}"/>
    <cellStyle name="Normal 12 3 2 2 2 3 2 2" xfId="6351" xr:uid="{00000000-0005-0000-0000-0000BC180000}"/>
    <cellStyle name="Normal 12 3 2 2 2 3 2 3" xfId="6352" xr:uid="{00000000-0005-0000-0000-0000BD180000}"/>
    <cellStyle name="Normal 12 3 2 2 2 3 2 4" xfId="6353" xr:uid="{00000000-0005-0000-0000-0000BE180000}"/>
    <cellStyle name="Normal 12 3 2 2 2 3 2 5" xfId="6354" xr:uid="{00000000-0005-0000-0000-0000BF180000}"/>
    <cellStyle name="Normal 12 3 2 2 2 3 2 6" xfId="6355" xr:uid="{00000000-0005-0000-0000-0000C0180000}"/>
    <cellStyle name="Normal 12 3 2 2 2 3 3" xfId="6356" xr:uid="{00000000-0005-0000-0000-0000C1180000}"/>
    <cellStyle name="Normal 12 3 2 2 2 3 3 2" xfId="6357" xr:uid="{00000000-0005-0000-0000-0000C2180000}"/>
    <cellStyle name="Normal 12 3 2 2 2 3 3 3" xfId="6358" xr:uid="{00000000-0005-0000-0000-0000C3180000}"/>
    <cellStyle name="Normal 12 3 2 2 2 3 3 4" xfId="6359" xr:uid="{00000000-0005-0000-0000-0000C4180000}"/>
    <cellStyle name="Normal 12 3 2 2 2 3 3 5" xfId="6360" xr:uid="{00000000-0005-0000-0000-0000C5180000}"/>
    <cellStyle name="Normal 12 3 2 2 2 3 3 6" xfId="6361" xr:uid="{00000000-0005-0000-0000-0000C6180000}"/>
    <cellStyle name="Normal 12 3 2 2 2 3 4" xfId="6362" xr:uid="{00000000-0005-0000-0000-0000C7180000}"/>
    <cellStyle name="Normal 12 3 2 2 2 3 5" xfId="6363" xr:uid="{00000000-0005-0000-0000-0000C8180000}"/>
    <cellStyle name="Normal 12 3 2 2 2 3 6" xfId="6364" xr:uid="{00000000-0005-0000-0000-0000C9180000}"/>
    <cellStyle name="Normal 12 3 2 2 2 3 7" xfId="6365" xr:uid="{00000000-0005-0000-0000-0000CA180000}"/>
    <cellStyle name="Normal 12 3 2 2 2 3 8" xfId="6366" xr:uid="{00000000-0005-0000-0000-0000CB180000}"/>
    <cellStyle name="Normal 12 3 2 2 2 4" xfId="6367" xr:uid="{00000000-0005-0000-0000-0000CC180000}"/>
    <cellStyle name="Normal 12 3 2 2 2 4 2" xfId="6368" xr:uid="{00000000-0005-0000-0000-0000CD180000}"/>
    <cellStyle name="Normal 12 3 2 2 2 4 2 2" xfId="6369" xr:uid="{00000000-0005-0000-0000-0000CE180000}"/>
    <cellStyle name="Normal 12 3 2 2 2 4 2 3" xfId="6370" xr:uid="{00000000-0005-0000-0000-0000CF180000}"/>
    <cellStyle name="Normal 12 3 2 2 2 4 2 4" xfId="6371" xr:uid="{00000000-0005-0000-0000-0000D0180000}"/>
    <cellStyle name="Normal 12 3 2 2 2 4 2 5" xfId="6372" xr:uid="{00000000-0005-0000-0000-0000D1180000}"/>
    <cellStyle name="Normal 12 3 2 2 2 4 2 6" xfId="6373" xr:uid="{00000000-0005-0000-0000-0000D2180000}"/>
    <cellStyle name="Normal 12 3 2 2 2 4 3" xfId="6374" xr:uid="{00000000-0005-0000-0000-0000D3180000}"/>
    <cellStyle name="Normal 12 3 2 2 2 4 3 2" xfId="6375" xr:uid="{00000000-0005-0000-0000-0000D4180000}"/>
    <cellStyle name="Normal 12 3 2 2 2 4 3 3" xfId="6376" xr:uid="{00000000-0005-0000-0000-0000D5180000}"/>
    <cellStyle name="Normal 12 3 2 2 2 4 3 4" xfId="6377" xr:uid="{00000000-0005-0000-0000-0000D6180000}"/>
    <cellStyle name="Normal 12 3 2 2 2 4 3 5" xfId="6378" xr:uid="{00000000-0005-0000-0000-0000D7180000}"/>
    <cellStyle name="Normal 12 3 2 2 2 4 3 6" xfId="6379" xr:uid="{00000000-0005-0000-0000-0000D8180000}"/>
    <cellStyle name="Normal 12 3 2 2 2 4 4" xfId="6380" xr:uid="{00000000-0005-0000-0000-0000D9180000}"/>
    <cellStyle name="Normal 12 3 2 2 2 4 5" xfId="6381" xr:uid="{00000000-0005-0000-0000-0000DA180000}"/>
    <cellStyle name="Normal 12 3 2 2 2 4 6" xfId="6382" xr:uid="{00000000-0005-0000-0000-0000DB180000}"/>
    <cellStyle name="Normal 12 3 2 2 2 4 7" xfId="6383" xr:uid="{00000000-0005-0000-0000-0000DC180000}"/>
    <cellStyle name="Normal 12 3 2 2 2 4 8" xfId="6384" xr:uid="{00000000-0005-0000-0000-0000DD180000}"/>
    <cellStyle name="Normal 12 3 2 2 2 5" xfId="6385" xr:uid="{00000000-0005-0000-0000-0000DE180000}"/>
    <cellStyle name="Normal 12 3 2 2 2 5 2" xfId="6386" xr:uid="{00000000-0005-0000-0000-0000DF180000}"/>
    <cellStyle name="Normal 12 3 2 2 2 5 3" xfId="6387" xr:uid="{00000000-0005-0000-0000-0000E0180000}"/>
    <cellStyle name="Normal 12 3 2 2 2 5 4" xfId="6388" xr:uid="{00000000-0005-0000-0000-0000E1180000}"/>
    <cellStyle name="Normal 12 3 2 2 2 5 5" xfId="6389" xr:uid="{00000000-0005-0000-0000-0000E2180000}"/>
    <cellStyle name="Normal 12 3 2 2 2 5 6" xfId="6390" xr:uid="{00000000-0005-0000-0000-0000E3180000}"/>
    <cellStyle name="Normal 12 3 2 2 2 6" xfId="6391" xr:uid="{00000000-0005-0000-0000-0000E4180000}"/>
    <cellStyle name="Normal 12 3 2 2 2 6 2" xfId="6392" xr:uid="{00000000-0005-0000-0000-0000E5180000}"/>
    <cellStyle name="Normal 12 3 2 2 2 6 3" xfId="6393" xr:uid="{00000000-0005-0000-0000-0000E6180000}"/>
    <cellStyle name="Normal 12 3 2 2 2 6 4" xfId="6394" xr:uid="{00000000-0005-0000-0000-0000E7180000}"/>
    <cellStyle name="Normal 12 3 2 2 2 6 5" xfId="6395" xr:uid="{00000000-0005-0000-0000-0000E8180000}"/>
    <cellStyle name="Normal 12 3 2 2 2 6 6" xfId="6396" xr:uid="{00000000-0005-0000-0000-0000E9180000}"/>
    <cellStyle name="Normal 12 3 2 2 2 7" xfId="6397" xr:uid="{00000000-0005-0000-0000-0000EA180000}"/>
    <cellStyle name="Normal 12 3 2 2 2 8" xfId="6398" xr:uid="{00000000-0005-0000-0000-0000EB180000}"/>
    <cellStyle name="Normal 12 3 2 2 2 9" xfId="6399" xr:uid="{00000000-0005-0000-0000-0000EC180000}"/>
    <cellStyle name="Normal 12 3 2 2 3" xfId="6400" xr:uid="{00000000-0005-0000-0000-0000ED180000}"/>
    <cellStyle name="Normal 12 3 2 2 3 2" xfId="6401" xr:uid="{00000000-0005-0000-0000-0000EE180000}"/>
    <cellStyle name="Normal 12 3 2 2 3 2 2" xfId="6402" xr:uid="{00000000-0005-0000-0000-0000EF180000}"/>
    <cellStyle name="Normal 12 3 2 2 3 2 3" xfId="6403" xr:uid="{00000000-0005-0000-0000-0000F0180000}"/>
    <cellStyle name="Normal 12 3 2 2 3 2 4" xfId="6404" xr:uid="{00000000-0005-0000-0000-0000F1180000}"/>
    <cellStyle name="Normal 12 3 2 2 3 2 5" xfId="6405" xr:uid="{00000000-0005-0000-0000-0000F2180000}"/>
    <cellStyle name="Normal 12 3 2 2 3 2 6" xfId="6406" xr:uid="{00000000-0005-0000-0000-0000F3180000}"/>
    <cellStyle name="Normal 12 3 2 2 3 3" xfId="6407" xr:uid="{00000000-0005-0000-0000-0000F4180000}"/>
    <cellStyle name="Normal 12 3 2 2 3 3 2" xfId="6408" xr:uid="{00000000-0005-0000-0000-0000F5180000}"/>
    <cellStyle name="Normal 12 3 2 2 3 3 3" xfId="6409" xr:uid="{00000000-0005-0000-0000-0000F6180000}"/>
    <cellStyle name="Normal 12 3 2 2 3 3 4" xfId="6410" xr:uid="{00000000-0005-0000-0000-0000F7180000}"/>
    <cellStyle name="Normal 12 3 2 2 3 3 5" xfId="6411" xr:uid="{00000000-0005-0000-0000-0000F8180000}"/>
    <cellStyle name="Normal 12 3 2 2 3 3 6" xfId="6412" xr:uid="{00000000-0005-0000-0000-0000F9180000}"/>
    <cellStyle name="Normal 12 3 2 2 3 4" xfId="6413" xr:uid="{00000000-0005-0000-0000-0000FA180000}"/>
    <cellStyle name="Normal 12 3 2 2 3 5" xfId="6414" xr:uid="{00000000-0005-0000-0000-0000FB180000}"/>
    <cellStyle name="Normal 12 3 2 2 3 6" xfId="6415" xr:uid="{00000000-0005-0000-0000-0000FC180000}"/>
    <cellStyle name="Normal 12 3 2 2 3 7" xfId="6416" xr:uid="{00000000-0005-0000-0000-0000FD180000}"/>
    <cellStyle name="Normal 12 3 2 2 3 8" xfId="6417" xr:uid="{00000000-0005-0000-0000-0000FE180000}"/>
    <cellStyle name="Normal 12 3 2 2 4" xfId="6418" xr:uid="{00000000-0005-0000-0000-0000FF180000}"/>
    <cellStyle name="Normal 12 3 2 2 4 2" xfId="6419" xr:uid="{00000000-0005-0000-0000-000000190000}"/>
    <cellStyle name="Normal 12 3 2 2 4 2 2" xfId="6420" xr:uid="{00000000-0005-0000-0000-000001190000}"/>
    <cellStyle name="Normal 12 3 2 2 4 2 3" xfId="6421" xr:uid="{00000000-0005-0000-0000-000002190000}"/>
    <cellStyle name="Normal 12 3 2 2 4 2 4" xfId="6422" xr:uid="{00000000-0005-0000-0000-000003190000}"/>
    <cellStyle name="Normal 12 3 2 2 4 2 5" xfId="6423" xr:uid="{00000000-0005-0000-0000-000004190000}"/>
    <cellStyle name="Normal 12 3 2 2 4 2 6" xfId="6424" xr:uid="{00000000-0005-0000-0000-000005190000}"/>
    <cellStyle name="Normal 12 3 2 2 4 3" xfId="6425" xr:uid="{00000000-0005-0000-0000-000006190000}"/>
    <cellStyle name="Normal 12 3 2 2 4 3 2" xfId="6426" xr:uid="{00000000-0005-0000-0000-000007190000}"/>
    <cellStyle name="Normal 12 3 2 2 4 3 3" xfId="6427" xr:uid="{00000000-0005-0000-0000-000008190000}"/>
    <cellStyle name="Normal 12 3 2 2 4 3 4" xfId="6428" xr:uid="{00000000-0005-0000-0000-000009190000}"/>
    <cellStyle name="Normal 12 3 2 2 4 3 5" xfId="6429" xr:uid="{00000000-0005-0000-0000-00000A190000}"/>
    <cellStyle name="Normal 12 3 2 2 4 3 6" xfId="6430" xr:uid="{00000000-0005-0000-0000-00000B190000}"/>
    <cellStyle name="Normal 12 3 2 2 4 4" xfId="6431" xr:uid="{00000000-0005-0000-0000-00000C190000}"/>
    <cellStyle name="Normal 12 3 2 2 4 5" xfId="6432" xr:uid="{00000000-0005-0000-0000-00000D190000}"/>
    <cellStyle name="Normal 12 3 2 2 4 6" xfId="6433" xr:uid="{00000000-0005-0000-0000-00000E190000}"/>
    <cellStyle name="Normal 12 3 2 2 4 7" xfId="6434" xr:uid="{00000000-0005-0000-0000-00000F190000}"/>
    <cellStyle name="Normal 12 3 2 2 4 8" xfId="6435" xr:uid="{00000000-0005-0000-0000-000010190000}"/>
    <cellStyle name="Normal 12 3 2 2 5" xfId="6436" xr:uid="{00000000-0005-0000-0000-000011190000}"/>
    <cellStyle name="Normal 12 3 2 2 5 2" xfId="6437" xr:uid="{00000000-0005-0000-0000-000012190000}"/>
    <cellStyle name="Normal 12 3 2 2 5 2 2" xfId="6438" xr:uid="{00000000-0005-0000-0000-000013190000}"/>
    <cellStyle name="Normal 12 3 2 2 5 2 3" xfId="6439" xr:uid="{00000000-0005-0000-0000-000014190000}"/>
    <cellStyle name="Normal 12 3 2 2 5 2 4" xfId="6440" xr:uid="{00000000-0005-0000-0000-000015190000}"/>
    <cellStyle name="Normal 12 3 2 2 5 2 5" xfId="6441" xr:uid="{00000000-0005-0000-0000-000016190000}"/>
    <cellStyle name="Normal 12 3 2 2 5 2 6" xfId="6442" xr:uid="{00000000-0005-0000-0000-000017190000}"/>
    <cellStyle name="Normal 12 3 2 2 5 3" xfId="6443" xr:uid="{00000000-0005-0000-0000-000018190000}"/>
    <cellStyle name="Normal 12 3 2 2 5 3 2" xfId="6444" xr:uid="{00000000-0005-0000-0000-000019190000}"/>
    <cellStyle name="Normal 12 3 2 2 5 3 3" xfId="6445" xr:uid="{00000000-0005-0000-0000-00001A190000}"/>
    <cellStyle name="Normal 12 3 2 2 5 3 4" xfId="6446" xr:uid="{00000000-0005-0000-0000-00001B190000}"/>
    <cellStyle name="Normal 12 3 2 2 5 3 5" xfId="6447" xr:uid="{00000000-0005-0000-0000-00001C190000}"/>
    <cellStyle name="Normal 12 3 2 2 5 3 6" xfId="6448" xr:uid="{00000000-0005-0000-0000-00001D190000}"/>
    <cellStyle name="Normal 12 3 2 2 5 4" xfId="6449" xr:uid="{00000000-0005-0000-0000-00001E190000}"/>
    <cellStyle name="Normal 12 3 2 2 5 5" xfId="6450" xr:uid="{00000000-0005-0000-0000-00001F190000}"/>
    <cellStyle name="Normal 12 3 2 2 5 6" xfId="6451" xr:uid="{00000000-0005-0000-0000-000020190000}"/>
    <cellStyle name="Normal 12 3 2 2 5 7" xfId="6452" xr:uid="{00000000-0005-0000-0000-000021190000}"/>
    <cellStyle name="Normal 12 3 2 2 5 8" xfId="6453" xr:uid="{00000000-0005-0000-0000-000022190000}"/>
    <cellStyle name="Normal 12 3 2 2 6" xfId="6454" xr:uid="{00000000-0005-0000-0000-000023190000}"/>
    <cellStyle name="Normal 12 3 2 2 6 2" xfId="6455" xr:uid="{00000000-0005-0000-0000-000024190000}"/>
    <cellStyle name="Normal 12 3 2 2 6 3" xfId="6456" xr:uid="{00000000-0005-0000-0000-000025190000}"/>
    <cellStyle name="Normal 12 3 2 2 6 4" xfId="6457" xr:uid="{00000000-0005-0000-0000-000026190000}"/>
    <cellStyle name="Normal 12 3 2 2 6 5" xfId="6458" xr:uid="{00000000-0005-0000-0000-000027190000}"/>
    <cellStyle name="Normal 12 3 2 2 6 6" xfId="6459" xr:uid="{00000000-0005-0000-0000-000028190000}"/>
    <cellStyle name="Normal 12 3 2 2 7" xfId="6460" xr:uid="{00000000-0005-0000-0000-000029190000}"/>
    <cellStyle name="Normal 12 3 2 2 7 2" xfId="6461" xr:uid="{00000000-0005-0000-0000-00002A190000}"/>
    <cellStyle name="Normal 12 3 2 2 7 3" xfId="6462" xr:uid="{00000000-0005-0000-0000-00002B190000}"/>
    <cellStyle name="Normal 12 3 2 2 7 4" xfId="6463" xr:uid="{00000000-0005-0000-0000-00002C190000}"/>
    <cellStyle name="Normal 12 3 2 2 7 5" xfId="6464" xr:uid="{00000000-0005-0000-0000-00002D190000}"/>
    <cellStyle name="Normal 12 3 2 2 7 6" xfId="6465" xr:uid="{00000000-0005-0000-0000-00002E190000}"/>
    <cellStyle name="Normal 12 3 2 2 8" xfId="6466" xr:uid="{00000000-0005-0000-0000-00002F190000}"/>
    <cellStyle name="Normal 12 3 2 2 9" xfId="6467" xr:uid="{00000000-0005-0000-0000-000030190000}"/>
    <cellStyle name="Normal 12 3 2 3" xfId="6468" xr:uid="{00000000-0005-0000-0000-000031190000}"/>
    <cellStyle name="Normal 12 3 2 3 10" xfId="6469" xr:uid="{00000000-0005-0000-0000-000032190000}"/>
    <cellStyle name="Normal 12 3 2 3 11" xfId="6470" xr:uid="{00000000-0005-0000-0000-000033190000}"/>
    <cellStyle name="Normal 12 3 2 3 12" xfId="6471" xr:uid="{00000000-0005-0000-0000-000034190000}"/>
    <cellStyle name="Normal 12 3 2 3 2" xfId="6472" xr:uid="{00000000-0005-0000-0000-000035190000}"/>
    <cellStyle name="Normal 12 3 2 3 2 10" xfId="6473" xr:uid="{00000000-0005-0000-0000-000036190000}"/>
    <cellStyle name="Normal 12 3 2 3 2 11" xfId="6474" xr:uid="{00000000-0005-0000-0000-000037190000}"/>
    <cellStyle name="Normal 12 3 2 3 2 2" xfId="6475" xr:uid="{00000000-0005-0000-0000-000038190000}"/>
    <cellStyle name="Normal 12 3 2 3 2 2 2" xfId="6476" xr:uid="{00000000-0005-0000-0000-000039190000}"/>
    <cellStyle name="Normal 12 3 2 3 2 2 2 2" xfId="6477" xr:uid="{00000000-0005-0000-0000-00003A190000}"/>
    <cellStyle name="Normal 12 3 2 3 2 2 2 3" xfId="6478" xr:uid="{00000000-0005-0000-0000-00003B190000}"/>
    <cellStyle name="Normal 12 3 2 3 2 2 2 4" xfId="6479" xr:uid="{00000000-0005-0000-0000-00003C190000}"/>
    <cellStyle name="Normal 12 3 2 3 2 2 2 5" xfId="6480" xr:uid="{00000000-0005-0000-0000-00003D190000}"/>
    <cellStyle name="Normal 12 3 2 3 2 2 2 6" xfId="6481" xr:uid="{00000000-0005-0000-0000-00003E190000}"/>
    <cellStyle name="Normal 12 3 2 3 2 2 3" xfId="6482" xr:uid="{00000000-0005-0000-0000-00003F190000}"/>
    <cellStyle name="Normal 12 3 2 3 2 2 3 2" xfId="6483" xr:uid="{00000000-0005-0000-0000-000040190000}"/>
    <cellStyle name="Normal 12 3 2 3 2 2 3 3" xfId="6484" xr:uid="{00000000-0005-0000-0000-000041190000}"/>
    <cellStyle name="Normal 12 3 2 3 2 2 3 4" xfId="6485" xr:uid="{00000000-0005-0000-0000-000042190000}"/>
    <cellStyle name="Normal 12 3 2 3 2 2 3 5" xfId="6486" xr:uid="{00000000-0005-0000-0000-000043190000}"/>
    <cellStyle name="Normal 12 3 2 3 2 2 3 6" xfId="6487" xr:uid="{00000000-0005-0000-0000-000044190000}"/>
    <cellStyle name="Normal 12 3 2 3 2 2 4" xfId="6488" xr:uid="{00000000-0005-0000-0000-000045190000}"/>
    <cellStyle name="Normal 12 3 2 3 2 2 5" xfId="6489" xr:uid="{00000000-0005-0000-0000-000046190000}"/>
    <cellStyle name="Normal 12 3 2 3 2 2 6" xfId="6490" xr:uid="{00000000-0005-0000-0000-000047190000}"/>
    <cellStyle name="Normal 12 3 2 3 2 2 7" xfId="6491" xr:uid="{00000000-0005-0000-0000-000048190000}"/>
    <cellStyle name="Normal 12 3 2 3 2 2 8" xfId="6492" xr:uid="{00000000-0005-0000-0000-000049190000}"/>
    <cellStyle name="Normal 12 3 2 3 2 3" xfId="6493" xr:uid="{00000000-0005-0000-0000-00004A190000}"/>
    <cellStyle name="Normal 12 3 2 3 2 3 2" xfId="6494" xr:uid="{00000000-0005-0000-0000-00004B190000}"/>
    <cellStyle name="Normal 12 3 2 3 2 3 2 2" xfId="6495" xr:uid="{00000000-0005-0000-0000-00004C190000}"/>
    <cellStyle name="Normal 12 3 2 3 2 3 2 3" xfId="6496" xr:uid="{00000000-0005-0000-0000-00004D190000}"/>
    <cellStyle name="Normal 12 3 2 3 2 3 2 4" xfId="6497" xr:uid="{00000000-0005-0000-0000-00004E190000}"/>
    <cellStyle name="Normal 12 3 2 3 2 3 2 5" xfId="6498" xr:uid="{00000000-0005-0000-0000-00004F190000}"/>
    <cellStyle name="Normal 12 3 2 3 2 3 2 6" xfId="6499" xr:uid="{00000000-0005-0000-0000-000050190000}"/>
    <cellStyle name="Normal 12 3 2 3 2 3 3" xfId="6500" xr:uid="{00000000-0005-0000-0000-000051190000}"/>
    <cellStyle name="Normal 12 3 2 3 2 3 3 2" xfId="6501" xr:uid="{00000000-0005-0000-0000-000052190000}"/>
    <cellStyle name="Normal 12 3 2 3 2 3 3 3" xfId="6502" xr:uid="{00000000-0005-0000-0000-000053190000}"/>
    <cellStyle name="Normal 12 3 2 3 2 3 3 4" xfId="6503" xr:uid="{00000000-0005-0000-0000-000054190000}"/>
    <cellStyle name="Normal 12 3 2 3 2 3 3 5" xfId="6504" xr:uid="{00000000-0005-0000-0000-000055190000}"/>
    <cellStyle name="Normal 12 3 2 3 2 3 3 6" xfId="6505" xr:uid="{00000000-0005-0000-0000-000056190000}"/>
    <cellStyle name="Normal 12 3 2 3 2 3 4" xfId="6506" xr:uid="{00000000-0005-0000-0000-000057190000}"/>
    <cellStyle name="Normal 12 3 2 3 2 3 5" xfId="6507" xr:uid="{00000000-0005-0000-0000-000058190000}"/>
    <cellStyle name="Normal 12 3 2 3 2 3 6" xfId="6508" xr:uid="{00000000-0005-0000-0000-000059190000}"/>
    <cellStyle name="Normal 12 3 2 3 2 3 7" xfId="6509" xr:uid="{00000000-0005-0000-0000-00005A190000}"/>
    <cellStyle name="Normal 12 3 2 3 2 3 8" xfId="6510" xr:uid="{00000000-0005-0000-0000-00005B190000}"/>
    <cellStyle name="Normal 12 3 2 3 2 4" xfId="6511" xr:uid="{00000000-0005-0000-0000-00005C190000}"/>
    <cellStyle name="Normal 12 3 2 3 2 4 2" xfId="6512" xr:uid="{00000000-0005-0000-0000-00005D190000}"/>
    <cellStyle name="Normal 12 3 2 3 2 4 2 2" xfId="6513" xr:uid="{00000000-0005-0000-0000-00005E190000}"/>
    <cellStyle name="Normal 12 3 2 3 2 4 2 3" xfId="6514" xr:uid="{00000000-0005-0000-0000-00005F190000}"/>
    <cellStyle name="Normal 12 3 2 3 2 4 2 4" xfId="6515" xr:uid="{00000000-0005-0000-0000-000060190000}"/>
    <cellStyle name="Normal 12 3 2 3 2 4 2 5" xfId="6516" xr:uid="{00000000-0005-0000-0000-000061190000}"/>
    <cellStyle name="Normal 12 3 2 3 2 4 2 6" xfId="6517" xr:uid="{00000000-0005-0000-0000-000062190000}"/>
    <cellStyle name="Normal 12 3 2 3 2 4 3" xfId="6518" xr:uid="{00000000-0005-0000-0000-000063190000}"/>
    <cellStyle name="Normal 12 3 2 3 2 4 3 2" xfId="6519" xr:uid="{00000000-0005-0000-0000-000064190000}"/>
    <cellStyle name="Normal 12 3 2 3 2 4 3 3" xfId="6520" xr:uid="{00000000-0005-0000-0000-000065190000}"/>
    <cellStyle name="Normal 12 3 2 3 2 4 3 4" xfId="6521" xr:uid="{00000000-0005-0000-0000-000066190000}"/>
    <cellStyle name="Normal 12 3 2 3 2 4 3 5" xfId="6522" xr:uid="{00000000-0005-0000-0000-000067190000}"/>
    <cellStyle name="Normal 12 3 2 3 2 4 3 6" xfId="6523" xr:uid="{00000000-0005-0000-0000-000068190000}"/>
    <cellStyle name="Normal 12 3 2 3 2 4 4" xfId="6524" xr:uid="{00000000-0005-0000-0000-000069190000}"/>
    <cellStyle name="Normal 12 3 2 3 2 4 5" xfId="6525" xr:uid="{00000000-0005-0000-0000-00006A190000}"/>
    <cellStyle name="Normal 12 3 2 3 2 4 6" xfId="6526" xr:uid="{00000000-0005-0000-0000-00006B190000}"/>
    <cellStyle name="Normal 12 3 2 3 2 4 7" xfId="6527" xr:uid="{00000000-0005-0000-0000-00006C190000}"/>
    <cellStyle name="Normal 12 3 2 3 2 4 8" xfId="6528" xr:uid="{00000000-0005-0000-0000-00006D190000}"/>
    <cellStyle name="Normal 12 3 2 3 2 5" xfId="6529" xr:uid="{00000000-0005-0000-0000-00006E190000}"/>
    <cellStyle name="Normal 12 3 2 3 2 5 2" xfId="6530" xr:uid="{00000000-0005-0000-0000-00006F190000}"/>
    <cellStyle name="Normal 12 3 2 3 2 5 3" xfId="6531" xr:uid="{00000000-0005-0000-0000-000070190000}"/>
    <cellStyle name="Normal 12 3 2 3 2 5 4" xfId="6532" xr:uid="{00000000-0005-0000-0000-000071190000}"/>
    <cellStyle name="Normal 12 3 2 3 2 5 5" xfId="6533" xr:uid="{00000000-0005-0000-0000-000072190000}"/>
    <cellStyle name="Normal 12 3 2 3 2 5 6" xfId="6534" xr:uid="{00000000-0005-0000-0000-000073190000}"/>
    <cellStyle name="Normal 12 3 2 3 2 6" xfId="6535" xr:uid="{00000000-0005-0000-0000-000074190000}"/>
    <cellStyle name="Normal 12 3 2 3 2 6 2" xfId="6536" xr:uid="{00000000-0005-0000-0000-000075190000}"/>
    <cellStyle name="Normal 12 3 2 3 2 6 3" xfId="6537" xr:uid="{00000000-0005-0000-0000-000076190000}"/>
    <cellStyle name="Normal 12 3 2 3 2 6 4" xfId="6538" xr:uid="{00000000-0005-0000-0000-000077190000}"/>
    <cellStyle name="Normal 12 3 2 3 2 6 5" xfId="6539" xr:uid="{00000000-0005-0000-0000-000078190000}"/>
    <cellStyle name="Normal 12 3 2 3 2 6 6" xfId="6540" xr:uid="{00000000-0005-0000-0000-000079190000}"/>
    <cellStyle name="Normal 12 3 2 3 2 7" xfId="6541" xr:uid="{00000000-0005-0000-0000-00007A190000}"/>
    <cellStyle name="Normal 12 3 2 3 2 8" xfId="6542" xr:uid="{00000000-0005-0000-0000-00007B190000}"/>
    <cellStyle name="Normal 12 3 2 3 2 9" xfId="6543" xr:uid="{00000000-0005-0000-0000-00007C190000}"/>
    <cellStyle name="Normal 12 3 2 3 3" xfId="6544" xr:uid="{00000000-0005-0000-0000-00007D190000}"/>
    <cellStyle name="Normal 12 3 2 3 3 2" xfId="6545" xr:uid="{00000000-0005-0000-0000-00007E190000}"/>
    <cellStyle name="Normal 12 3 2 3 3 2 2" xfId="6546" xr:uid="{00000000-0005-0000-0000-00007F190000}"/>
    <cellStyle name="Normal 12 3 2 3 3 2 3" xfId="6547" xr:uid="{00000000-0005-0000-0000-000080190000}"/>
    <cellStyle name="Normal 12 3 2 3 3 2 4" xfId="6548" xr:uid="{00000000-0005-0000-0000-000081190000}"/>
    <cellStyle name="Normal 12 3 2 3 3 2 5" xfId="6549" xr:uid="{00000000-0005-0000-0000-000082190000}"/>
    <cellStyle name="Normal 12 3 2 3 3 2 6" xfId="6550" xr:uid="{00000000-0005-0000-0000-000083190000}"/>
    <cellStyle name="Normal 12 3 2 3 3 3" xfId="6551" xr:uid="{00000000-0005-0000-0000-000084190000}"/>
    <cellStyle name="Normal 12 3 2 3 3 3 2" xfId="6552" xr:uid="{00000000-0005-0000-0000-000085190000}"/>
    <cellStyle name="Normal 12 3 2 3 3 3 3" xfId="6553" xr:uid="{00000000-0005-0000-0000-000086190000}"/>
    <cellStyle name="Normal 12 3 2 3 3 3 4" xfId="6554" xr:uid="{00000000-0005-0000-0000-000087190000}"/>
    <cellStyle name="Normal 12 3 2 3 3 3 5" xfId="6555" xr:uid="{00000000-0005-0000-0000-000088190000}"/>
    <cellStyle name="Normal 12 3 2 3 3 3 6" xfId="6556" xr:uid="{00000000-0005-0000-0000-000089190000}"/>
    <cellStyle name="Normal 12 3 2 3 3 4" xfId="6557" xr:uid="{00000000-0005-0000-0000-00008A190000}"/>
    <cellStyle name="Normal 12 3 2 3 3 5" xfId="6558" xr:uid="{00000000-0005-0000-0000-00008B190000}"/>
    <cellStyle name="Normal 12 3 2 3 3 6" xfId="6559" xr:uid="{00000000-0005-0000-0000-00008C190000}"/>
    <cellStyle name="Normal 12 3 2 3 3 7" xfId="6560" xr:uid="{00000000-0005-0000-0000-00008D190000}"/>
    <cellStyle name="Normal 12 3 2 3 3 8" xfId="6561" xr:uid="{00000000-0005-0000-0000-00008E190000}"/>
    <cellStyle name="Normal 12 3 2 3 4" xfId="6562" xr:uid="{00000000-0005-0000-0000-00008F190000}"/>
    <cellStyle name="Normal 12 3 2 3 4 2" xfId="6563" xr:uid="{00000000-0005-0000-0000-000090190000}"/>
    <cellStyle name="Normal 12 3 2 3 4 2 2" xfId="6564" xr:uid="{00000000-0005-0000-0000-000091190000}"/>
    <cellStyle name="Normal 12 3 2 3 4 2 3" xfId="6565" xr:uid="{00000000-0005-0000-0000-000092190000}"/>
    <cellStyle name="Normal 12 3 2 3 4 2 4" xfId="6566" xr:uid="{00000000-0005-0000-0000-000093190000}"/>
    <cellStyle name="Normal 12 3 2 3 4 2 5" xfId="6567" xr:uid="{00000000-0005-0000-0000-000094190000}"/>
    <cellStyle name="Normal 12 3 2 3 4 2 6" xfId="6568" xr:uid="{00000000-0005-0000-0000-000095190000}"/>
    <cellStyle name="Normal 12 3 2 3 4 3" xfId="6569" xr:uid="{00000000-0005-0000-0000-000096190000}"/>
    <cellStyle name="Normal 12 3 2 3 4 3 2" xfId="6570" xr:uid="{00000000-0005-0000-0000-000097190000}"/>
    <cellStyle name="Normal 12 3 2 3 4 3 3" xfId="6571" xr:uid="{00000000-0005-0000-0000-000098190000}"/>
    <cellStyle name="Normal 12 3 2 3 4 3 4" xfId="6572" xr:uid="{00000000-0005-0000-0000-000099190000}"/>
    <cellStyle name="Normal 12 3 2 3 4 3 5" xfId="6573" xr:uid="{00000000-0005-0000-0000-00009A190000}"/>
    <cellStyle name="Normal 12 3 2 3 4 3 6" xfId="6574" xr:uid="{00000000-0005-0000-0000-00009B190000}"/>
    <cellStyle name="Normal 12 3 2 3 4 4" xfId="6575" xr:uid="{00000000-0005-0000-0000-00009C190000}"/>
    <cellStyle name="Normal 12 3 2 3 4 5" xfId="6576" xr:uid="{00000000-0005-0000-0000-00009D190000}"/>
    <cellStyle name="Normal 12 3 2 3 4 6" xfId="6577" xr:uid="{00000000-0005-0000-0000-00009E190000}"/>
    <cellStyle name="Normal 12 3 2 3 4 7" xfId="6578" xr:uid="{00000000-0005-0000-0000-00009F190000}"/>
    <cellStyle name="Normal 12 3 2 3 4 8" xfId="6579" xr:uid="{00000000-0005-0000-0000-0000A0190000}"/>
    <cellStyle name="Normal 12 3 2 3 5" xfId="6580" xr:uid="{00000000-0005-0000-0000-0000A1190000}"/>
    <cellStyle name="Normal 12 3 2 3 5 2" xfId="6581" xr:uid="{00000000-0005-0000-0000-0000A2190000}"/>
    <cellStyle name="Normal 12 3 2 3 5 2 2" xfId="6582" xr:uid="{00000000-0005-0000-0000-0000A3190000}"/>
    <cellStyle name="Normal 12 3 2 3 5 2 3" xfId="6583" xr:uid="{00000000-0005-0000-0000-0000A4190000}"/>
    <cellStyle name="Normal 12 3 2 3 5 2 4" xfId="6584" xr:uid="{00000000-0005-0000-0000-0000A5190000}"/>
    <cellStyle name="Normal 12 3 2 3 5 2 5" xfId="6585" xr:uid="{00000000-0005-0000-0000-0000A6190000}"/>
    <cellStyle name="Normal 12 3 2 3 5 2 6" xfId="6586" xr:uid="{00000000-0005-0000-0000-0000A7190000}"/>
    <cellStyle name="Normal 12 3 2 3 5 3" xfId="6587" xr:uid="{00000000-0005-0000-0000-0000A8190000}"/>
    <cellStyle name="Normal 12 3 2 3 5 3 2" xfId="6588" xr:uid="{00000000-0005-0000-0000-0000A9190000}"/>
    <cellStyle name="Normal 12 3 2 3 5 3 3" xfId="6589" xr:uid="{00000000-0005-0000-0000-0000AA190000}"/>
    <cellStyle name="Normal 12 3 2 3 5 3 4" xfId="6590" xr:uid="{00000000-0005-0000-0000-0000AB190000}"/>
    <cellStyle name="Normal 12 3 2 3 5 3 5" xfId="6591" xr:uid="{00000000-0005-0000-0000-0000AC190000}"/>
    <cellStyle name="Normal 12 3 2 3 5 3 6" xfId="6592" xr:uid="{00000000-0005-0000-0000-0000AD190000}"/>
    <cellStyle name="Normal 12 3 2 3 5 4" xfId="6593" xr:uid="{00000000-0005-0000-0000-0000AE190000}"/>
    <cellStyle name="Normal 12 3 2 3 5 5" xfId="6594" xr:uid="{00000000-0005-0000-0000-0000AF190000}"/>
    <cellStyle name="Normal 12 3 2 3 5 6" xfId="6595" xr:uid="{00000000-0005-0000-0000-0000B0190000}"/>
    <cellStyle name="Normal 12 3 2 3 5 7" xfId="6596" xr:uid="{00000000-0005-0000-0000-0000B1190000}"/>
    <cellStyle name="Normal 12 3 2 3 5 8" xfId="6597" xr:uid="{00000000-0005-0000-0000-0000B2190000}"/>
    <cellStyle name="Normal 12 3 2 3 6" xfId="6598" xr:uid="{00000000-0005-0000-0000-0000B3190000}"/>
    <cellStyle name="Normal 12 3 2 3 6 2" xfId="6599" xr:uid="{00000000-0005-0000-0000-0000B4190000}"/>
    <cellStyle name="Normal 12 3 2 3 6 3" xfId="6600" xr:uid="{00000000-0005-0000-0000-0000B5190000}"/>
    <cellStyle name="Normal 12 3 2 3 6 4" xfId="6601" xr:uid="{00000000-0005-0000-0000-0000B6190000}"/>
    <cellStyle name="Normal 12 3 2 3 6 5" xfId="6602" xr:uid="{00000000-0005-0000-0000-0000B7190000}"/>
    <cellStyle name="Normal 12 3 2 3 6 6" xfId="6603" xr:uid="{00000000-0005-0000-0000-0000B8190000}"/>
    <cellStyle name="Normal 12 3 2 3 7" xfId="6604" xr:uid="{00000000-0005-0000-0000-0000B9190000}"/>
    <cellStyle name="Normal 12 3 2 3 7 2" xfId="6605" xr:uid="{00000000-0005-0000-0000-0000BA190000}"/>
    <cellStyle name="Normal 12 3 2 3 7 3" xfId="6606" xr:uid="{00000000-0005-0000-0000-0000BB190000}"/>
    <cellStyle name="Normal 12 3 2 3 7 4" xfId="6607" xr:uid="{00000000-0005-0000-0000-0000BC190000}"/>
    <cellStyle name="Normal 12 3 2 3 7 5" xfId="6608" xr:uid="{00000000-0005-0000-0000-0000BD190000}"/>
    <cellStyle name="Normal 12 3 2 3 7 6" xfId="6609" xr:uid="{00000000-0005-0000-0000-0000BE190000}"/>
    <cellStyle name="Normal 12 3 2 3 8" xfId="6610" xr:uid="{00000000-0005-0000-0000-0000BF190000}"/>
    <cellStyle name="Normal 12 3 2 3 9" xfId="6611" xr:uid="{00000000-0005-0000-0000-0000C0190000}"/>
    <cellStyle name="Normal 12 3 2 4" xfId="6612" xr:uid="{00000000-0005-0000-0000-0000C1190000}"/>
    <cellStyle name="Normal 12 3 2 4 10" xfId="6613" xr:uid="{00000000-0005-0000-0000-0000C2190000}"/>
    <cellStyle name="Normal 12 3 2 4 11" xfId="6614" xr:uid="{00000000-0005-0000-0000-0000C3190000}"/>
    <cellStyle name="Normal 12 3 2 4 2" xfId="6615" xr:uid="{00000000-0005-0000-0000-0000C4190000}"/>
    <cellStyle name="Normal 12 3 2 4 2 2" xfId="6616" xr:uid="{00000000-0005-0000-0000-0000C5190000}"/>
    <cellStyle name="Normal 12 3 2 4 2 2 2" xfId="6617" xr:uid="{00000000-0005-0000-0000-0000C6190000}"/>
    <cellStyle name="Normal 12 3 2 4 2 2 3" xfId="6618" xr:uid="{00000000-0005-0000-0000-0000C7190000}"/>
    <cellStyle name="Normal 12 3 2 4 2 2 4" xfId="6619" xr:uid="{00000000-0005-0000-0000-0000C8190000}"/>
    <cellStyle name="Normal 12 3 2 4 2 2 5" xfId="6620" xr:uid="{00000000-0005-0000-0000-0000C9190000}"/>
    <cellStyle name="Normal 12 3 2 4 2 2 6" xfId="6621" xr:uid="{00000000-0005-0000-0000-0000CA190000}"/>
    <cellStyle name="Normal 12 3 2 4 2 3" xfId="6622" xr:uid="{00000000-0005-0000-0000-0000CB190000}"/>
    <cellStyle name="Normal 12 3 2 4 2 3 2" xfId="6623" xr:uid="{00000000-0005-0000-0000-0000CC190000}"/>
    <cellStyle name="Normal 12 3 2 4 2 3 3" xfId="6624" xr:uid="{00000000-0005-0000-0000-0000CD190000}"/>
    <cellStyle name="Normal 12 3 2 4 2 3 4" xfId="6625" xr:uid="{00000000-0005-0000-0000-0000CE190000}"/>
    <cellStyle name="Normal 12 3 2 4 2 3 5" xfId="6626" xr:uid="{00000000-0005-0000-0000-0000CF190000}"/>
    <cellStyle name="Normal 12 3 2 4 2 3 6" xfId="6627" xr:uid="{00000000-0005-0000-0000-0000D0190000}"/>
    <cellStyle name="Normal 12 3 2 4 2 4" xfId="6628" xr:uid="{00000000-0005-0000-0000-0000D1190000}"/>
    <cellStyle name="Normal 12 3 2 4 2 5" xfId="6629" xr:uid="{00000000-0005-0000-0000-0000D2190000}"/>
    <cellStyle name="Normal 12 3 2 4 2 6" xfId="6630" xr:uid="{00000000-0005-0000-0000-0000D3190000}"/>
    <cellStyle name="Normal 12 3 2 4 2 7" xfId="6631" xr:uid="{00000000-0005-0000-0000-0000D4190000}"/>
    <cellStyle name="Normal 12 3 2 4 2 8" xfId="6632" xr:uid="{00000000-0005-0000-0000-0000D5190000}"/>
    <cellStyle name="Normal 12 3 2 4 3" xfId="6633" xr:uid="{00000000-0005-0000-0000-0000D6190000}"/>
    <cellStyle name="Normal 12 3 2 4 3 2" xfId="6634" xr:uid="{00000000-0005-0000-0000-0000D7190000}"/>
    <cellStyle name="Normal 12 3 2 4 3 2 2" xfId="6635" xr:uid="{00000000-0005-0000-0000-0000D8190000}"/>
    <cellStyle name="Normal 12 3 2 4 3 2 3" xfId="6636" xr:uid="{00000000-0005-0000-0000-0000D9190000}"/>
    <cellStyle name="Normal 12 3 2 4 3 2 4" xfId="6637" xr:uid="{00000000-0005-0000-0000-0000DA190000}"/>
    <cellStyle name="Normal 12 3 2 4 3 2 5" xfId="6638" xr:uid="{00000000-0005-0000-0000-0000DB190000}"/>
    <cellStyle name="Normal 12 3 2 4 3 2 6" xfId="6639" xr:uid="{00000000-0005-0000-0000-0000DC190000}"/>
    <cellStyle name="Normal 12 3 2 4 3 3" xfId="6640" xr:uid="{00000000-0005-0000-0000-0000DD190000}"/>
    <cellStyle name="Normal 12 3 2 4 3 3 2" xfId="6641" xr:uid="{00000000-0005-0000-0000-0000DE190000}"/>
    <cellStyle name="Normal 12 3 2 4 3 3 3" xfId="6642" xr:uid="{00000000-0005-0000-0000-0000DF190000}"/>
    <cellStyle name="Normal 12 3 2 4 3 3 4" xfId="6643" xr:uid="{00000000-0005-0000-0000-0000E0190000}"/>
    <cellStyle name="Normal 12 3 2 4 3 3 5" xfId="6644" xr:uid="{00000000-0005-0000-0000-0000E1190000}"/>
    <cellStyle name="Normal 12 3 2 4 3 3 6" xfId="6645" xr:uid="{00000000-0005-0000-0000-0000E2190000}"/>
    <cellStyle name="Normal 12 3 2 4 3 4" xfId="6646" xr:uid="{00000000-0005-0000-0000-0000E3190000}"/>
    <cellStyle name="Normal 12 3 2 4 3 5" xfId="6647" xr:uid="{00000000-0005-0000-0000-0000E4190000}"/>
    <cellStyle name="Normal 12 3 2 4 3 6" xfId="6648" xr:uid="{00000000-0005-0000-0000-0000E5190000}"/>
    <cellStyle name="Normal 12 3 2 4 3 7" xfId="6649" xr:uid="{00000000-0005-0000-0000-0000E6190000}"/>
    <cellStyle name="Normal 12 3 2 4 3 8" xfId="6650" xr:uid="{00000000-0005-0000-0000-0000E7190000}"/>
    <cellStyle name="Normal 12 3 2 4 4" xfId="6651" xr:uid="{00000000-0005-0000-0000-0000E8190000}"/>
    <cellStyle name="Normal 12 3 2 4 4 2" xfId="6652" xr:uid="{00000000-0005-0000-0000-0000E9190000}"/>
    <cellStyle name="Normal 12 3 2 4 4 2 2" xfId="6653" xr:uid="{00000000-0005-0000-0000-0000EA190000}"/>
    <cellStyle name="Normal 12 3 2 4 4 2 3" xfId="6654" xr:uid="{00000000-0005-0000-0000-0000EB190000}"/>
    <cellStyle name="Normal 12 3 2 4 4 2 4" xfId="6655" xr:uid="{00000000-0005-0000-0000-0000EC190000}"/>
    <cellStyle name="Normal 12 3 2 4 4 2 5" xfId="6656" xr:uid="{00000000-0005-0000-0000-0000ED190000}"/>
    <cellStyle name="Normal 12 3 2 4 4 2 6" xfId="6657" xr:uid="{00000000-0005-0000-0000-0000EE190000}"/>
    <cellStyle name="Normal 12 3 2 4 4 3" xfId="6658" xr:uid="{00000000-0005-0000-0000-0000EF190000}"/>
    <cellStyle name="Normal 12 3 2 4 4 3 2" xfId="6659" xr:uid="{00000000-0005-0000-0000-0000F0190000}"/>
    <cellStyle name="Normal 12 3 2 4 4 3 3" xfId="6660" xr:uid="{00000000-0005-0000-0000-0000F1190000}"/>
    <cellStyle name="Normal 12 3 2 4 4 3 4" xfId="6661" xr:uid="{00000000-0005-0000-0000-0000F2190000}"/>
    <cellStyle name="Normal 12 3 2 4 4 3 5" xfId="6662" xr:uid="{00000000-0005-0000-0000-0000F3190000}"/>
    <cellStyle name="Normal 12 3 2 4 4 3 6" xfId="6663" xr:uid="{00000000-0005-0000-0000-0000F4190000}"/>
    <cellStyle name="Normal 12 3 2 4 4 4" xfId="6664" xr:uid="{00000000-0005-0000-0000-0000F5190000}"/>
    <cellStyle name="Normal 12 3 2 4 4 5" xfId="6665" xr:uid="{00000000-0005-0000-0000-0000F6190000}"/>
    <cellStyle name="Normal 12 3 2 4 4 6" xfId="6666" xr:uid="{00000000-0005-0000-0000-0000F7190000}"/>
    <cellStyle name="Normal 12 3 2 4 4 7" xfId="6667" xr:uid="{00000000-0005-0000-0000-0000F8190000}"/>
    <cellStyle name="Normal 12 3 2 4 4 8" xfId="6668" xr:uid="{00000000-0005-0000-0000-0000F9190000}"/>
    <cellStyle name="Normal 12 3 2 4 5" xfId="6669" xr:uid="{00000000-0005-0000-0000-0000FA190000}"/>
    <cellStyle name="Normal 12 3 2 4 5 2" xfId="6670" xr:uid="{00000000-0005-0000-0000-0000FB190000}"/>
    <cellStyle name="Normal 12 3 2 4 5 3" xfId="6671" xr:uid="{00000000-0005-0000-0000-0000FC190000}"/>
    <cellStyle name="Normal 12 3 2 4 5 4" xfId="6672" xr:uid="{00000000-0005-0000-0000-0000FD190000}"/>
    <cellStyle name="Normal 12 3 2 4 5 5" xfId="6673" xr:uid="{00000000-0005-0000-0000-0000FE190000}"/>
    <cellStyle name="Normal 12 3 2 4 5 6" xfId="6674" xr:uid="{00000000-0005-0000-0000-0000FF190000}"/>
    <cellStyle name="Normal 12 3 2 4 6" xfId="6675" xr:uid="{00000000-0005-0000-0000-0000001A0000}"/>
    <cellStyle name="Normal 12 3 2 4 6 2" xfId="6676" xr:uid="{00000000-0005-0000-0000-0000011A0000}"/>
    <cellStyle name="Normal 12 3 2 4 6 3" xfId="6677" xr:uid="{00000000-0005-0000-0000-0000021A0000}"/>
    <cellStyle name="Normal 12 3 2 4 6 4" xfId="6678" xr:uid="{00000000-0005-0000-0000-0000031A0000}"/>
    <cellStyle name="Normal 12 3 2 4 6 5" xfId="6679" xr:uid="{00000000-0005-0000-0000-0000041A0000}"/>
    <cellStyle name="Normal 12 3 2 4 6 6" xfId="6680" xr:uid="{00000000-0005-0000-0000-0000051A0000}"/>
    <cellStyle name="Normal 12 3 2 4 7" xfId="6681" xr:uid="{00000000-0005-0000-0000-0000061A0000}"/>
    <cellStyle name="Normal 12 3 2 4 8" xfId="6682" xr:uid="{00000000-0005-0000-0000-0000071A0000}"/>
    <cellStyle name="Normal 12 3 2 4 9" xfId="6683" xr:uid="{00000000-0005-0000-0000-0000081A0000}"/>
    <cellStyle name="Normal 12 3 2 5" xfId="6684" xr:uid="{00000000-0005-0000-0000-0000091A0000}"/>
    <cellStyle name="Normal 12 3 2 5 2" xfId="6685" xr:uid="{00000000-0005-0000-0000-00000A1A0000}"/>
    <cellStyle name="Normal 12 3 2 5 2 2" xfId="6686" xr:uid="{00000000-0005-0000-0000-00000B1A0000}"/>
    <cellStyle name="Normal 12 3 2 5 2 3" xfId="6687" xr:uid="{00000000-0005-0000-0000-00000C1A0000}"/>
    <cellStyle name="Normal 12 3 2 5 2 4" xfId="6688" xr:uid="{00000000-0005-0000-0000-00000D1A0000}"/>
    <cellStyle name="Normal 12 3 2 5 2 5" xfId="6689" xr:uid="{00000000-0005-0000-0000-00000E1A0000}"/>
    <cellStyle name="Normal 12 3 2 5 2 6" xfId="6690" xr:uid="{00000000-0005-0000-0000-00000F1A0000}"/>
    <cellStyle name="Normal 12 3 2 5 3" xfId="6691" xr:uid="{00000000-0005-0000-0000-0000101A0000}"/>
    <cellStyle name="Normal 12 3 2 5 3 2" xfId="6692" xr:uid="{00000000-0005-0000-0000-0000111A0000}"/>
    <cellStyle name="Normal 12 3 2 5 3 3" xfId="6693" xr:uid="{00000000-0005-0000-0000-0000121A0000}"/>
    <cellStyle name="Normal 12 3 2 5 3 4" xfId="6694" xr:uid="{00000000-0005-0000-0000-0000131A0000}"/>
    <cellStyle name="Normal 12 3 2 5 3 5" xfId="6695" xr:uid="{00000000-0005-0000-0000-0000141A0000}"/>
    <cellStyle name="Normal 12 3 2 5 3 6" xfId="6696" xr:uid="{00000000-0005-0000-0000-0000151A0000}"/>
    <cellStyle name="Normal 12 3 2 5 4" xfId="6697" xr:uid="{00000000-0005-0000-0000-0000161A0000}"/>
    <cellStyle name="Normal 12 3 2 5 5" xfId="6698" xr:uid="{00000000-0005-0000-0000-0000171A0000}"/>
    <cellStyle name="Normal 12 3 2 5 6" xfId="6699" xr:uid="{00000000-0005-0000-0000-0000181A0000}"/>
    <cellStyle name="Normal 12 3 2 5 7" xfId="6700" xr:uid="{00000000-0005-0000-0000-0000191A0000}"/>
    <cellStyle name="Normal 12 3 2 5 8" xfId="6701" xr:uid="{00000000-0005-0000-0000-00001A1A0000}"/>
    <cellStyle name="Normal 12 3 2 6" xfId="6702" xr:uid="{00000000-0005-0000-0000-00001B1A0000}"/>
    <cellStyle name="Normal 12 3 2 6 2" xfId="6703" xr:uid="{00000000-0005-0000-0000-00001C1A0000}"/>
    <cellStyle name="Normal 12 3 2 6 2 2" xfId="6704" xr:uid="{00000000-0005-0000-0000-00001D1A0000}"/>
    <cellStyle name="Normal 12 3 2 6 2 3" xfId="6705" xr:uid="{00000000-0005-0000-0000-00001E1A0000}"/>
    <cellStyle name="Normal 12 3 2 6 2 4" xfId="6706" xr:uid="{00000000-0005-0000-0000-00001F1A0000}"/>
    <cellStyle name="Normal 12 3 2 6 2 5" xfId="6707" xr:uid="{00000000-0005-0000-0000-0000201A0000}"/>
    <cellStyle name="Normal 12 3 2 6 2 6" xfId="6708" xr:uid="{00000000-0005-0000-0000-0000211A0000}"/>
    <cellStyle name="Normal 12 3 2 6 3" xfId="6709" xr:uid="{00000000-0005-0000-0000-0000221A0000}"/>
    <cellStyle name="Normal 12 3 2 6 3 2" xfId="6710" xr:uid="{00000000-0005-0000-0000-0000231A0000}"/>
    <cellStyle name="Normal 12 3 2 6 3 3" xfId="6711" xr:uid="{00000000-0005-0000-0000-0000241A0000}"/>
    <cellStyle name="Normal 12 3 2 6 3 4" xfId="6712" xr:uid="{00000000-0005-0000-0000-0000251A0000}"/>
    <cellStyle name="Normal 12 3 2 6 3 5" xfId="6713" xr:uid="{00000000-0005-0000-0000-0000261A0000}"/>
    <cellStyle name="Normal 12 3 2 6 3 6" xfId="6714" xr:uid="{00000000-0005-0000-0000-0000271A0000}"/>
    <cellStyle name="Normal 12 3 2 6 4" xfId="6715" xr:uid="{00000000-0005-0000-0000-0000281A0000}"/>
    <cellStyle name="Normal 12 3 2 6 5" xfId="6716" xr:uid="{00000000-0005-0000-0000-0000291A0000}"/>
    <cellStyle name="Normal 12 3 2 6 6" xfId="6717" xr:uid="{00000000-0005-0000-0000-00002A1A0000}"/>
    <cellStyle name="Normal 12 3 2 6 7" xfId="6718" xr:uid="{00000000-0005-0000-0000-00002B1A0000}"/>
    <cellStyle name="Normal 12 3 2 6 8" xfId="6719" xr:uid="{00000000-0005-0000-0000-00002C1A0000}"/>
    <cellStyle name="Normal 12 3 2 7" xfId="6720" xr:uid="{00000000-0005-0000-0000-00002D1A0000}"/>
    <cellStyle name="Normal 12 3 2 7 2" xfId="6721" xr:uid="{00000000-0005-0000-0000-00002E1A0000}"/>
    <cellStyle name="Normal 12 3 2 7 2 2" xfId="6722" xr:uid="{00000000-0005-0000-0000-00002F1A0000}"/>
    <cellStyle name="Normal 12 3 2 7 2 3" xfId="6723" xr:uid="{00000000-0005-0000-0000-0000301A0000}"/>
    <cellStyle name="Normal 12 3 2 7 2 4" xfId="6724" xr:uid="{00000000-0005-0000-0000-0000311A0000}"/>
    <cellStyle name="Normal 12 3 2 7 2 5" xfId="6725" xr:uid="{00000000-0005-0000-0000-0000321A0000}"/>
    <cellStyle name="Normal 12 3 2 7 2 6" xfId="6726" xr:uid="{00000000-0005-0000-0000-0000331A0000}"/>
    <cellStyle name="Normal 12 3 2 7 3" xfId="6727" xr:uid="{00000000-0005-0000-0000-0000341A0000}"/>
    <cellStyle name="Normal 12 3 2 7 3 2" xfId="6728" xr:uid="{00000000-0005-0000-0000-0000351A0000}"/>
    <cellStyle name="Normal 12 3 2 7 3 3" xfId="6729" xr:uid="{00000000-0005-0000-0000-0000361A0000}"/>
    <cellStyle name="Normal 12 3 2 7 3 4" xfId="6730" xr:uid="{00000000-0005-0000-0000-0000371A0000}"/>
    <cellStyle name="Normal 12 3 2 7 3 5" xfId="6731" xr:uid="{00000000-0005-0000-0000-0000381A0000}"/>
    <cellStyle name="Normal 12 3 2 7 3 6" xfId="6732" xr:uid="{00000000-0005-0000-0000-0000391A0000}"/>
    <cellStyle name="Normal 12 3 2 7 4" xfId="6733" xr:uid="{00000000-0005-0000-0000-00003A1A0000}"/>
    <cellStyle name="Normal 12 3 2 7 5" xfId="6734" xr:uid="{00000000-0005-0000-0000-00003B1A0000}"/>
    <cellStyle name="Normal 12 3 2 7 6" xfId="6735" xr:uid="{00000000-0005-0000-0000-00003C1A0000}"/>
    <cellStyle name="Normal 12 3 2 7 7" xfId="6736" xr:uid="{00000000-0005-0000-0000-00003D1A0000}"/>
    <cellStyle name="Normal 12 3 2 7 8" xfId="6737" xr:uid="{00000000-0005-0000-0000-00003E1A0000}"/>
    <cellStyle name="Normal 12 3 2 8" xfId="6738" xr:uid="{00000000-0005-0000-0000-00003F1A0000}"/>
    <cellStyle name="Normal 12 3 2 8 2" xfId="6739" xr:uid="{00000000-0005-0000-0000-0000401A0000}"/>
    <cellStyle name="Normal 12 3 2 8 3" xfId="6740" xr:uid="{00000000-0005-0000-0000-0000411A0000}"/>
    <cellStyle name="Normal 12 3 2 8 4" xfId="6741" xr:uid="{00000000-0005-0000-0000-0000421A0000}"/>
    <cellStyle name="Normal 12 3 2 8 5" xfId="6742" xr:uid="{00000000-0005-0000-0000-0000431A0000}"/>
    <cellStyle name="Normal 12 3 2 8 6" xfId="6743" xr:uid="{00000000-0005-0000-0000-0000441A0000}"/>
    <cellStyle name="Normal 12 3 2 9" xfId="6744" xr:uid="{00000000-0005-0000-0000-0000451A0000}"/>
    <cellStyle name="Normal 12 3 2 9 2" xfId="6745" xr:uid="{00000000-0005-0000-0000-0000461A0000}"/>
    <cellStyle name="Normal 12 3 2 9 3" xfId="6746" xr:uid="{00000000-0005-0000-0000-0000471A0000}"/>
    <cellStyle name="Normal 12 3 2 9 4" xfId="6747" xr:uid="{00000000-0005-0000-0000-0000481A0000}"/>
    <cellStyle name="Normal 12 3 2 9 5" xfId="6748" xr:uid="{00000000-0005-0000-0000-0000491A0000}"/>
    <cellStyle name="Normal 12 3 2 9 6" xfId="6749" xr:uid="{00000000-0005-0000-0000-00004A1A0000}"/>
    <cellStyle name="Normal 12 3 3" xfId="6750" xr:uid="{00000000-0005-0000-0000-00004B1A0000}"/>
    <cellStyle name="Normal 12 3 3 10" xfId="6751" xr:uid="{00000000-0005-0000-0000-00004C1A0000}"/>
    <cellStyle name="Normal 12 3 3 11" xfId="6752" xr:uid="{00000000-0005-0000-0000-00004D1A0000}"/>
    <cellStyle name="Normal 12 3 3 12" xfId="6753" xr:uid="{00000000-0005-0000-0000-00004E1A0000}"/>
    <cellStyle name="Normal 12 3 3 2" xfId="6754" xr:uid="{00000000-0005-0000-0000-00004F1A0000}"/>
    <cellStyle name="Normal 12 3 3 2 10" xfId="6755" xr:uid="{00000000-0005-0000-0000-0000501A0000}"/>
    <cellStyle name="Normal 12 3 3 2 11" xfId="6756" xr:uid="{00000000-0005-0000-0000-0000511A0000}"/>
    <cellStyle name="Normal 12 3 3 2 2" xfId="6757" xr:uid="{00000000-0005-0000-0000-0000521A0000}"/>
    <cellStyle name="Normal 12 3 3 2 2 2" xfId="6758" xr:uid="{00000000-0005-0000-0000-0000531A0000}"/>
    <cellStyle name="Normal 12 3 3 2 2 2 2" xfId="6759" xr:uid="{00000000-0005-0000-0000-0000541A0000}"/>
    <cellStyle name="Normal 12 3 3 2 2 2 3" xfId="6760" xr:uid="{00000000-0005-0000-0000-0000551A0000}"/>
    <cellStyle name="Normal 12 3 3 2 2 2 4" xfId="6761" xr:uid="{00000000-0005-0000-0000-0000561A0000}"/>
    <cellStyle name="Normal 12 3 3 2 2 2 5" xfId="6762" xr:uid="{00000000-0005-0000-0000-0000571A0000}"/>
    <cellStyle name="Normal 12 3 3 2 2 2 6" xfId="6763" xr:uid="{00000000-0005-0000-0000-0000581A0000}"/>
    <cellStyle name="Normal 12 3 3 2 2 3" xfId="6764" xr:uid="{00000000-0005-0000-0000-0000591A0000}"/>
    <cellStyle name="Normal 12 3 3 2 2 3 2" xfId="6765" xr:uid="{00000000-0005-0000-0000-00005A1A0000}"/>
    <cellStyle name="Normal 12 3 3 2 2 3 3" xfId="6766" xr:uid="{00000000-0005-0000-0000-00005B1A0000}"/>
    <cellStyle name="Normal 12 3 3 2 2 3 4" xfId="6767" xr:uid="{00000000-0005-0000-0000-00005C1A0000}"/>
    <cellStyle name="Normal 12 3 3 2 2 3 5" xfId="6768" xr:uid="{00000000-0005-0000-0000-00005D1A0000}"/>
    <cellStyle name="Normal 12 3 3 2 2 3 6" xfId="6769" xr:uid="{00000000-0005-0000-0000-00005E1A0000}"/>
    <cellStyle name="Normal 12 3 3 2 2 4" xfId="6770" xr:uid="{00000000-0005-0000-0000-00005F1A0000}"/>
    <cellStyle name="Normal 12 3 3 2 2 5" xfId="6771" xr:uid="{00000000-0005-0000-0000-0000601A0000}"/>
    <cellStyle name="Normal 12 3 3 2 2 6" xfId="6772" xr:uid="{00000000-0005-0000-0000-0000611A0000}"/>
    <cellStyle name="Normal 12 3 3 2 2 7" xfId="6773" xr:uid="{00000000-0005-0000-0000-0000621A0000}"/>
    <cellStyle name="Normal 12 3 3 2 2 8" xfId="6774" xr:uid="{00000000-0005-0000-0000-0000631A0000}"/>
    <cellStyle name="Normal 12 3 3 2 3" xfId="6775" xr:uid="{00000000-0005-0000-0000-0000641A0000}"/>
    <cellStyle name="Normal 12 3 3 2 3 2" xfId="6776" xr:uid="{00000000-0005-0000-0000-0000651A0000}"/>
    <cellStyle name="Normal 12 3 3 2 3 2 2" xfId="6777" xr:uid="{00000000-0005-0000-0000-0000661A0000}"/>
    <cellStyle name="Normal 12 3 3 2 3 2 3" xfId="6778" xr:uid="{00000000-0005-0000-0000-0000671A0000}"/>
    <cellStyle name="Normal 12 3 3 2 3 2 4" xfId="6779" xr:uid="{00000000-0005-0000-0000-0000681A0000}"/>
    <cellStyle name="Normal 12 3 3 2 3 2 5" xfId="6780" xr:uid="{00000000-0005-0000-0000-0000691A0000}"/>
    <cellStyle name="Normal 12 3 3 2 3 2 6" xfId="6781" xr:uid="{00000000-0005-0000-0000-00006A1A0000}"/>
    <cellStyle name="Normal 12 3 3 2 3 3" xfId="6782" xr:uid="{00000000-0005-0000-0000-00006B1A0000}"/>
    <cellStyle name="Normal 12 3 3 2 3 3 2" xfId="6783" xr:uid="{00000000-0005-0000-0000-00006C1A0000}"/>
    <cellStyle name="Normal 12 3 3 2 3 3 3" xfId="6784" xr:uid="{00000000-0005-0000-0000-00006D1A0000}"/>
    <cellStyle name="Normal 12 3 3 2 3 3 4" xfId="6785" xr:uid="{00000000-0005-0000-0000-00006E1A0000}"/>
    <cellStyle name="Normal 12 3 3 2 3 3 5" xfId="6786" xr:uid="{00000000-0005-0000-0000-00006F1A0000}"/>
    <cellStyle name="Normal 12 3 3 2 3 3 6" xfId="6787" xr:uid="{00000000-0005-0000-0000-0000701A0000}"/>
    <cellStyle name="Normal 12 3 3 2 3 4" xfId="6788" xr:uid="{00000000-0005-0000-0000-0000711A0000}"/>
    <cellStyle name="Normal 12 3 3 2 3 5" xfId="6789" xr:uid="{00000000-0005-0000-0000-0000721A0000}"/>
    <cellStyle name="Normal 12 3 3 2 3 6" xfId="6790" xr:uid="{00000000-0005-0000-0000-0000731A0000}"/>
    <cellStyle name="Normal 12 3 3 2 3 7" xfId="6791" xr:uid="{00000000-0005-0000-0000-0000741A0000}"/>
    <cellStyle name="Normal 12 3 3 2 3 8" xfId="6792" xr:uid="{00000000-0005-0000-0000-0000751A0000}"/>
    <cellStyle name="Normal 12 3 3 2 4" xfId="6793" xr:uid="{00000000-0005-0000-0000-0000761A0000}"/>
    <cellStyle name="Normal 12 3 3 2 4 2" xfId="6794" xr:uid="{00000000-0005-0000-0000-0000771A0000}"/>
    <cellStyle name="Normal 12 3 3 2 4 2 2" xfId="6795" xr:uid="{00000000-0005-0000-0000-0000781A0000}"/>
    <cellStyle name="Normal 12 3 3 2 4 2 3" xfId="6796" xr:uid="{00000000-0005-0000-0000-0000791A0000}"/>
    <cellStyle name="Normal 12 3 3 2 4 2 4" xfId="6797" xr:uid="{00000000-0005-0000-0000-00007A1A0000}"/>
    <cellStyle name="Normal 12 3 3 2 4 2 5" xfId="6798" xr:uid="{00000000-0005-0000-0000-00007B1A0000}"/>
    <cellStyle name="Normal 12 3 3 2 4 2 6" xfId="6799" xr:uid="{00000000-0005-0000-0000-00007C1A0000}"/>
    <cellStyle name="Normal 12 3 3 2 4 3" xfId="6800" xr:uid="{00000000-0005-0000-0000-00007D1A0000}"/>
    <cellStyle name="Normal 12 3 3 2 4 3 2" xfId="6801" xr:uid="{00000000-0005-0000-0000-00007E1A0000}"/>
    <cellStyle name="Normal 12 3 3 2 4 3 3" xfId="6802" xr:uid="{00000000-0005-0000-0000-00007F1A0000}"/>
    <cellStyle name="Normal 12 3 3 2 4 3 4" xfId="6803" xr:uid="{00000000-0005-0000-0000-0000801A0000}"/>
    <cellStyle name="Normal 12 3 3 2 4 3 5" xfId="6804" xr:uid="{00000000-0005-0000-0000-0000811A0000}"/>
    <cellStyle name="Normal 12 3 3 2 4 3 6" xfId="6805" xr:uid="{00000000-0005-0000-0000-0000821A0000}"/>
    <cellStyle name="Normal 12 3 3 2 4 4" xfId="6806" xr:uid="{00000000-0005-0000-0000-0000831A0000}"/>
    <cellStyle name="Normal 12 3 3 2 4 5" xfId="6807" xr:uid="{00000000-0005-0000-0000-0000841A0000}"/>
    <cellStyle name="Normal 12 3 3 2 4 6" xfId="6808" xr:uid="{00000000-0005-0000-0000-0000851A0000}"/>
    <cellStyle name="Normal 12 3 3 2 4 7" xfId="6809" xr:uid="{00000000-0005-0000-0000-0000861A0000}"/>
    <cellStyle name="Normal 12 3 3 2 4 8" xfId="6810" xr:uid="{00000000-0005-0000-0000-0000871A0000}"/>
    <cellStyle name="Normal 12 3 3 2 5" xfId="6811" xr:uid="{00000000-0005-0000-0000-0000881A0000}"/>
    <cellStyle name="Normal 12 3 3 2 5 2" xfId="6812" xr:uid="{00000000-0005-0000-0000-0000891A0000}"/>
    <cellStyle name="Normal 12 3 3 2 5 3" xfId="6813" xr:uid="{00000000-0005-0000-0000-00008A1A0000}"/>
    <cellStyle name="Normal 12 3 3 2 5 4" xfId="6814" xr:uid="{00000000-0005-0000-0000-00008B1A0000}"/>
    <cellStyle name="Normal 12 3 3 2 5 5" xfId="6815" xr:uid="{00000000-0005-0000-0000-00008C1A0000}"/>
    <cellStyle name="Normal 12 3 3 2 5 6" xfId="6816" xr:uid="{00000000-0005-0000-0000-00008D1A0000}"/>
    <cellStyle name="Normal 12 3 3 2 6" xfId="6817" xr:uid="{00000000-0005-0000-0000-00008E1A0000}"/>
    <cellStyle name="Normal 12 3 3 2 6 2" xfId="6818" xr:uid="{00000000-0005-0000-0000-00008F1A0000}"/>
    <cellStyle name="Normal 12 3 3 2 6 3" xfId="6819" xr:uid="{00000000-0005-0000-0000-0000901A0000}"/>
    <cellStyle name="Normal 12 3 3 2 6 4" xfId="6820" xr:uid="{00000000-0005-0000-0000-0000911A0000}"/>
    <cellStyle name="Normal 12 3 3 2 6 5" xfId="6821" xr:uid="{00000000-0005-0000-0000-0000921A0000}"/>
    <cellStyle name="Normal 12 3 3 2 6 6" xfId="6822" xr:uid="{00000000-0005-0000-0000-0000931A0000}"/>
    <cellStyle name="Normal 12 3 3 2 7" xfId="6823" xr:uid="{00000000-0005-0000-0000-0000941A0000}"/>
    <cellStyle name="Normal 12 3 3 2 8" xfId="6824" xr:uid="{00000000-0005-0000-0000-0000951A0000}"/>
    <cellStyle name="Normal 12 3 3 2 9" xfId="6825" xr:uid="{00000000-0005-0000-0000-0000961A0000}"/>
    <cellStyle name="Normal 12 3 3 3" xfId="6826" xr:uid="{00000000-0005-0000-0000-0000971A0000}"/>
    <cellStyle name="Normal 12 3 3 3 2" xfId="6827" xr:uid="{00000000-0005-0000-0000-0000981A0000}"/>
    <cellStyle name="Normal 12 3 3 3 2 2" xfId="6828" xr:uid="{00000000-0005-0000-0000-0000991A0000}"/>
    <cellStyle name="Normal 12 3 3 3 2 3" xfId="6829" xr:uid="{00000000-0005-0000-0000-00009A1A0000}"/>
    <cellStyle name="Normal 12 3 3 3 2 4" xfId="6830" xr:uid="{00000000-0005-0000-0000-00009B1A0000}"/>
    <cellStyle name="Normal 12 3 3 3 2 5" xfId="6831" xr:uid="{00000000-0005-0000-0000-00009C1A0000}"/>
    <cellStyle name="Normal 12 3 3 3 2 6" xfId="6832" xr:uid="{00000000-0005-0000-0000-00009D1A0000}"/>
    <cellStyle name="Normal 12 3 3 3 3" xfId="6833" xr:uid="{00000000-0005-0000-0000-00009E1A0000}"/>
    <cellStyle name="Normal 12 3 3 3 3 2" xfId="6834" xr:uid="{00000000-0005-0000-0000-00009F1A0000}"/>
    <cellStyle name="Normal 12 3 3 3 3 3" xfId="6835" xr:uid="{00000000-0005-0000-0000-0000A01A0000}"/>
    <cellStyle name="Normal 12 3 3 3 3 4" xfId="6836" xr:uid="{00000000-0005-0000-0000-0000A11A0000}"/>
    <cellStyle name="Normal 12 3 3 3 3 5" xfId="6837" xr:uid="{00000000-0005-0000-0000-0000A21A0000}"/>
    <cellStyle name="Normal 12 3 3 3 3 6" xfId="6838" xr:uid="{00000000-0005-0000-0000-0000A31A0000}"/>
    <cellStyle name="Normal 12 3 3 3 4" xfId="6839" xr:uid="{00000000-0005-0000-0000-0000A41A0000}"/>
    <cellStyle name="Normal 12 3 3 3 5" xfId="6840" xr:uid="{00000000-0005-0000-0000-0000A51A0000}"/>
    <cellStyle name="Normal 12 3 3 3 6" xfId="6841" xr:uid="{00000000-0005-0000-0000-0000A61A0000}"/>
    <cellStyle name="Normal 12 3 3 3 7" xfId="6842" xr:uid="{00000000-0005-0000-0000-0000A71A0000}"/>
    <cellStyle name="Normal 12 3 3 3 8" xfId="6843" xr:uid="{00000000-0005-0000-0000-0000A81A0000}"/>
    <cellStyle name="Normal 12 3 3 4" xfId="6844" xr:uid="{00000000-0005-0000-0000-0000A91A0000}"/>
    <cellStyle name="Normal 12 3 3 4 2" xfId="6845" xr:uid="{00000000-0005-0000-0000-0000AA1A0000}"/>
    <cellStyle name="Normal 12 3 3 4 2 2" xfId="6846" xr:uid="{00000000-0005-0000-0000-0000AB1A0000}"/>
    <cellStyle name="Normal 12 3 3 4 2 3" xfId="6847" xr:uid="{00000000-0005-0000-0000-0000AC1A0000}"/>
    <cellStyle name="Normal 12 3 3 4 2 4" xfId="6848" xr:uid="{00000000-0005-0000-0000-0000AD1A0000}"/>
    <cellStyle name="Normal 12 3 3 4 2 5" xfId="6849" xr:uid="{00000000-0005-0000-0000-0000AE1A0000}"/>
    <cellStyle name="Normal 12 3 3 4 2 6" xfId="6850" xr:uid="{00000000-0005-0000-0000-0000AF1A0000}"/>
    <cellStyle name="Normal 12 3 3 4 3" xfId="6851" xr:uid="{00000000-0005-0000-0000-0000B01A0000}"/>
    <cellStyle name="Normal 12 3 3 4 3 2" xfId="6852" xr:uid="{00000000-0005-0000-0000-0000B11A0000}"/>
    <cellStyle name="Normal 12 3 3 4 3 3" xfId="6853" xr:uid="{00000000-0005-0000-0000-0000B21A0000}"/>
    <cellStyle name="Normal 12 3 3 4 3 4" xfId="6854" xr:uid="{00000000-0005-0000-0000-0000B31A0000}"/>
    <cellStyle name="Normal 12 3 3 4 3 5" xfId="6855" xr:uid="{00000000-0005-0000-0000-0000B41A0000}"/>
    <cellStyle name="Normal 12 3 3 4 3 6" xfId="6856" xr:uid="{00000000-0005-0000-0000-0000B51A0000}"/>
    <cellStyle name="Normal 12 3 3 4 4" xfId="6857" xr:uid="{00000000-0005-0000-0000-0000B61A0000}"/>
    <cellStyle name="Normal 12 3 3 4 5" xfId="6858" xr:uid="{00000000-0005-0000-0000-0000B71A0000}"/>
    <cellStyle name="Normal 12 3 3 4 6" xfId="6859" xr:uid="{00000000-0005-0000-0000-0000B81A0000}"/>
    <cellStyle name="Normal 12 3 3 4 7" xfId="6860" xr:uid="{00000000-0005-0000-0000-0000B91A0000}"/>
    <cellStyle name="Normal 12 3 3 4 8" xfId="6861" xr:uid="{00000000-0005-0000-0000-0000BA1A0000}"/>
    <cellStyle name="Normal 12 3 3 5" xfId="6862" xr:uid="{00000000-0005-0000-0000-0000BB1A0000}"/>
    <cellStyle name="Normal 12 3 3 5 2" xfId="6863" xr:uid="{00000000-0005-0000-0000-0000BC1A0000}"/>
    <cellStyle name="Normal 12 3 3 5 2 2" xfId="6864" xr:uid="{00000000-0005-0000-0000-0000BD1A0000}"/>
    <cellStyle name="Normal 12 3 3 5 2 3" xfId="6865" xr:uid="{00000000-0005-0000-0000-0000BE1A0000}"/>
    <cellStyle name="Normal 12 3 3 5 2 4" xfId="6866" xr:uid="{00000000-0005-0000-0000-0000BF1A0000}"/>
    <cellStyle name="Normal 12 3 3 5 2 5" xfId="6867" xr:uid="{00000000-0005-0000-0000-0000C01A0000}"/>
    <cellStyle name="Normal 12 3 3 5 2 6" xfId="6868" xr:uid="{00000000-0005-0000-0000-0000C11A0000}"/>
    <cellStyle name="Normal 12 3 3 5 3" xfId="6869" xr:uid="{00000000-0005-0000-0000-0000C21A0000}"/>
    <cellStyle name="Normal 12 3 3 5 3 2" xfId="6870" xr:uid="{00000000-0005-0000-0000-0000C31A0000}"/>
    <cellStyle name="Normal 12 3 3 5 3 3" xfId="6871" xr:uid="{00000000-0005-0000-0000-0000C41A0000}"/>
    <cellStyle name="Normal 12 3 3 5 3 4" xfId="6872" xr:uid="{00000000-0005-0000-0000-0000C51A0000}"/>
    <cellStyle name="Normal 12 3 3 5 3 5" xfId="6873" xr:uid="{00000000-0005-0000-0000-0000C61A0000}"/>
    <cellStyle name="Normal 12 3 3 5 3 6" xfId="6874" xr:uid="{00000000-0005-0000-0000-0000C71A0000}"/>
    <cellStyle name="Normal 12 3 3 5 4" xfId="6875" xr:uid="{00000000-0005-0000-0000-0000C81A0000}"/>
    <cellStyle name="Normal 12 3 3 5 5" xfId="6876" xr:uid="{00000000-0005-0000-0000-0000C91A0000}"/>
    <cellStyle name="Normal 12 3 3 5 6" xfId="6877" xr:uid="{00000000-0005-0000-0000-0000CA1A0000}"/>
    <cellStyle name="Normal 12 3 3 5 7" xfId="6878" xr:uid="{00000000-0005-0000-0000-0000CB1A0000}"/>
    <cellStyle name="Normal 12 3 3 5 8" xfId="6879" xr:uid="{00000000-0005-0000-0000-0000CC1A0000}"/>
    <cellStyle name="Normal 12 3 3 6" xfId="6880" xr:uid="{00000000-0005-0000-0000-0000CD1A0000}"/>
    <cellStyle name="Normal 12 3 3 6 2" xfId="6881" xr:uid="{00000000-0005-0000-0000-0000CE1A0000}"/>
    <cellStyle name="Normal 12 3 3 6 3" xfId="6882" xr:uid="{00000000-0005-0000-0000-0000CF1A0000}"/>
    <cellStyle name="Normal 12 3 3 6 4" xfId="6883" xr:uid="{00000000-0005-0000-0000-0000D01A0000}"/>
    <cellStyle name="Normal 12 3 3 6 5" xfId="6884" xr:uid="{00000000-0005-0000-0000-0000D11A0000}"/>
    <cellStyle name="Normal 12 3 3 6 6" xfId="6885" xr:uid="{00000000-0005-0000-0000-0000D21A0000}"/>
    <cellStyle name="Normal 12 3 3 7" xfId="6886" xr:uid="{00000000-0005-0000-0000-0000D31A0000}"/>
    <cellStyle name="Normal 12 3 3 7 2" xfId="6887" xr:uid="{00000000-0005-0000-0000-0000D41A0000}"/>
    <cellStyle name="Normal 12 3 3 7 3" xfId="6888" xr:uid="{00000000-0005-0000-0000-0000D51A0000}"/>
    <cellStyle name="Normal 12 3 3 7 4" xfId="6889" xr:uid="{00000000-0005-0000-0000-0000D61A0000}"/>
    <cellStyle name="Normal 12 3 3 7 5" xfId="6890" xr:uid="{00000000-0005-0000-0000-0000D71A0000}"/>
    <cellStyle name="Normal 12 3 3 7 6" xfId="6891" xr:uid="{00000000-0005-0000-0000-0000D81A0000}"/>
    <cellStyle name="Normal 12 3 3 8" xfId="6892" xr:uid="{00000000-0005-0000-0000-0000D91A0000}"/>
    <cellStyle name="Normal 12 3 3 9" xfId="6893" xr:uid="{00000000-0005-0000-0000-0000DA1A0000}"/>
    <cellStyle name="Normal 12 3 4" xfId="6894" xr:uid="{00000000-0005-0000-0000-0000DB1A0000}"/>
    <cellStyle name="Normal 12 3 4 10" xfId="6895" xr:uid="{00000000-0005-0000-0000-0000DC1A0000}"/>
    <cellStyle name="Normal 12 3 4 11" xfId="6896" xr:uid="{00000000-0005-0000-0000-0000DD1A0000}"/>
    <cellStyle name="Normal 12 3 4 12" xfId="6897" xr:uid="{00000000-0005-0000-0000-0000DE1A0000}"/>
    <cellStyle name="Normal 12 3 4 2" xfId="6898" xr:uid="{00000000-0005-0000-0000-0000DF1A0000}"/>
    <cellStyle name="Normal 12 3 4 2 10" xfId="6899" xr:uid="{00000000-0005-0000-0000-0000E01A0000}"/>
    <cellStyle name="Normal 12 3 4 2 11" xfId="6900" xr:uid="{00000000-0005-0000-0000-0000E11A0000}"/>
    <cellStyle name="Normal 12 3 4 2 2" xfId="6901" xr:uid="{00000000-0005-0000-0000-0000E21A0000}"/>
    <cellStyle name="Normal 12 3 4 2 2 2" xfId="6902" xr:uid="{00000000-0005-0000-0000-0000E31A0000}"/>
    <cellStyle name="Normal 12 3 4 2 2 2 2" xfId="6903" xr:uid="{00000000-0005-0000-0000-0000E41A0000}"/>
    <cellStyle name="Normal 12 3 4 2 2 2 3" xfId="6904" xr:uid="{00000000-0005-0000-0000-0000E51A0000}"/>
    <cellStyle name="Normal 12 3 4 2 2 2 4" xfId="6905" xr:uid="{00000000-0005-0000-0000-0000E61A0000}"/>
    <cellStyle name="Normal 12 3 4 2 2 2 5" xfId="6906" xr:uid="{00000000-0005-0000-0000-0000E71A0000}"/>
    <cellStyle name="Normal 12 3 4 2 2 2 6" xfId="6907" xr:uid="{00000000-0005-0000-0000-0000E81A0000}"/>
    <cellStyle name="Normal 12 3 4 2 2 3" xfId="6908" xr:uid="{00000000-0005-0000-0000-0000E91A0000}"/>
    <cellStyle name="Normal 12 3 4 2 2 3 2" xfId="6909" xr:uid="{00000000-0005-0000-0000-0000EA1A0000}"/>
    <cellStyle name="Normal 12 3 4 2 2 3 3" xfId="6910" xr:uid="{00000000-0005-0000-0000-0000EB1A0000}"/>
    <cellStyle name="Normal 12 3 4 2 2 3 4" xfId="6911" xr:uid="{00000000-0005-0000-0000-0000EC1A0000}"/>
    <cellStyle name="Normal 12 3 4 2 2 3 5" xfId="6912" xr:uid="{00000000-0005-0000-0000-0000ED1A0000}"/>
    <cellStyle name="Normal 12 3 4 2 2 3 6" xfId="6913" xr:uid="{00000000-0005-0000-0000-0000EE1A0000}"/>
    <cellStyle name="Normal 12 3 4 2 2 4" xfId="6914" xr:uid="{00000000-0005-0000-0000-0000EF1A0000}"/>
    <cellStyle name="Normal 12 3 4 2 2 5" xfId="6915" xr:uid="{00000000-0005-0000-0000-0000F01A0000}"/>
    <cellStyle name="Normal 12 3 4 2 2 6" xfId="6916" xr:uid="{00000000-0005-0000-0000-0000F11A0000}"/>
    <cellStyle name="Normal 12 3 4 2 2 7" xfId="6917" xr:uid="{00000000-0005-0000-0000-0000F21A0000}"/>
    <cellStyle name="Normal 12 3 4 2 2 8" xfId="6918" xr:uid="{00000000-0005-0000-0000-0000F31A0000}"/>
    <cellStyle name="Normal 12 3 4 2 3" xfId="6919" xr:uid="{00000000-0005-0000-0000-0000F41A0000}"/>
    <cellStyle name="Normal 12 3 4 2 3 2" xfId="6920" xr:uid="{00000000-0005-0000-0000-0000F51A0000}"/>
    <cellStyle name="Normal 12 3 4 2 3 2 2" xfId="6921" xr:uid="{00000000-0005-0000-0000-0000F61A0000}"/>
    <cellStyle name="Normal 12 3 4 2 3 2 3" xfId="6922" xr:uid="{00000000-0005-0000-0000-0000F71A0000}"/>
    <cellStyle name="Normal 12 3 4 2 3 2 4" xfId="6923" xr:uid="{00000000-0005-0000-0000-0000F81A0000}"/>
    <cellStyle name="Normal 12 3 4 2 3 2 5" xfId="6924" xr:uid="{00000000-0005-0000-0000-0000F91A0000}"/>
    <cellStyle name="Normal 12 3 4 2 3 2 6" xfId="6925" xr:uid="{00000000-0005-0000-0000-0000FA1A0000}"/>
    <cellStyle name="Normal 12 3 4 2 3 3" xfId="6926" xr:uid="{00000000-0005-0000-0000-0000FB1A0000}"/>
    <cellStyle name="Normal 12 3 4 2 3 3 2" xfId="6927" xr:uid="{00000000-0005-0000-0000-0000FC1A0000}"/>
    <cellStyle name="Normal 12 3 4 2 3 3 3" xfId="6928" xr:uid="{00000000-0005-0000-0000-0000FD1A0000}"/>
    <cellStyle name="Normal 12 3 4 2 3 3 4" xfId="6929" xr:uid="{00000000-0005-0000-0000-0000FE1A0000}"/>
    <cellStyle name="Normal 12 3 4 2 3 3 5" xfId="6930" xr:uid="{00000000-0005-0000-0000-0000FF1A0000}"/>
    <cellStyle name="Normal 12 3 4 2 3 3 6" xfId="6931" xr:uid="{00000000-0005-0000-0000-0000001B0000}"/>
    <cellStyle name="Normal 12 3 4 2 3 4" xfId="6932" xr:uid="{00000000-0005-0000-0000-0000011B0000}"/>
    <cellStyle name="Normal 12 3 4 2 3 5" xfId="6933" xr:uid="{00000000-0005-0000-0000-0000021B0000}"/>
    <cellStyle name="Normal 12 3 4 2 3 6" xfId="6934" xr:uid="{00000000-0005-0000-0000-0000031B0000}"/>
    <cellStyle name="Normal 12 3 4 2 3 7" xfId="6935" xr:uid="{00000000-0005-0000-0000-0000041B0000}"/>
    <cellStyle name="Normal 12 3 4 2 3 8" xfId="6936" xr:uid="{00000000-0005-0000-0000-0000051B0000}"/>
    <cellStyle name="Normal 12 3 4 2 4" xfId="6937" xr:uid="{00000000-0005-0000-0000-0000061B0000}"/>
    <cellStyle name="Normal 12 3 4 2 4 2" xfId="6938" xr:uid="{00000000-0005-0000-0000-0000071B0000}"/>
    <cellStyle name="Normal 12 3 4 2 4 2 2" xfId="6939" xr:uid="{00000000-0005-0000-0000-0000081B0000}"/>
    <cellStyle name="Normal 12 3 4 2 4 2 3" xfId="6940" xr:uid="{00000000-0005-0000-0000-0000091B0000}"/>
    <cellStyle name="Normal 12 3 4 2 4 2 4" xfId="6941" xr:uid="{00000000-0005-0000-0000-00000A1B0000}"/>
    <cellStyle name="Normal 12 3 4 2 4 2 5" xfId="6942" xr:uid="{00000000-0005-0000-0000-00000B1B0000}"/>
    <cellStyle name="Normal 12 3 4 2 4 2 6" xfId="6943" xr:uid="{00000000-0005-0000-0000-00000C1B0000}"/>
    <cellStyle name="Normal 12 3 4 2 4 3" xfId="6944" xr:uid="{00000000-0005-0000-0000-00000D1B0000}"/>
    <cellStyle name="Normal 12 3 4 2 4 3 2" xfId="6945" xr:uid="{00000000-0005-0000-0000-00000E1B0000}"/>
    <cellStyle name="Normal 12 3 4 2 4 3 3" xfId="6946" xr:uid="{00000000-0005-0000-0000-00000F1B0000}"/>
    <cellStyle name="Normal 12 3 4 2 4 3 4" xfId="6947" xr:uid="{00000000-0005-0000-0000-0000101B0000}"/>
    <cellStyle name="Normal 12 3 4 2 4 3 5" xfId="6948" xr:uid="{00000000-0005-0000-0000-0000111B0000}"/>
    <cellStyle name="Normal 12 3 4 2 4 3 6" xfId="6949" xr:uid="{00000000-0005-0000-0000-0000121B0000}"/>
    <cellStyle name="Normal 12 3 4 2 4 4" xfId="6950" xr:uid="{00000000-0005-0000-0000-0000131B0000}"/>
    <cellStyle name="Normal 12 3 4 2 4 5" xfId="6951" xr:uid="{00000000-0005-0000-0000-0000141B0000}"/>
    <cellStyle name="Normal 12 3 4 2 4 6" xfId="6952" xr:uid="{00000000-0005-0000-0000-0000151B0000}"/>
    <cellStyle name="Normal 12 3 4 2 4 7" xfId="6953" xr:uid="{00000000-0005-0000-0000-0000161B0000}"/>
    <cellStyle name="Normal 12 3 4 2 4 8" xfId="6954" xr:uid="{00000000-0005-0000-0000-0000171B0000}"/>
    <cellStyle name="Normal 12 3 4 2 5" xfId="6955" xr:uid="{00000000-0005-0000-0000-0000181B0000}"/>
    <cellStyle name="Normal 12 3 4 2 5 2" xfId="6956" xr:uid="{00000000-0005-0000-0000-0000191B0000}"/>
    <cellStyle name="Normal 12 3 4 2 5 3" xfId="6957" xr:uid="{00000000-0005-0000-0000-00001A1B0000}"/>
    <cellStyle name="Normal 12 3 4 2 5 4" xfId="6958" xr:uid="{00000000-0005-0000-0000-00001B1B0000}"/>
    <cellStyle name="Normal 12 3 4 2 5 5" xfId="6959" xr:uid="{00000000-0005-0000-0000-00001C1B0000}"/>
    <cellStyle name="Normal 12 3 4 2 5 6" xfId="6960" xr:uid="{00000000-0005-0000-0000-00001D1B0000}"/>
    <cellStyle name="Normal 12 3 4 2 6" xfId="6961" xr:uid="{00000000-0005-0000-0000-00001E1B0000}"/>
    <cellStyle name="Normal 12 3 4 2 6 2" xfId="6962" xr:uid="{00000000-0005-0000-0000-00001F1B0000}"/>
    <cellStyle name="Normal 12 3 4 2 6 3" xfId="6963" xr:uid="{00000000-0005-0000-0000-0000201B0000}"/>
    <cellStyle name="Normal 12 3 4 2 6 4" xfId="6964" xr:uid="{00000000-0005-0000-0000-0000211B0000}"/>
    <cellStyle name="Normal 12 3 4 2 6 5" xfId="6965" xr:uid="{00000000-0005-0000-0000-0000221B0000}"/>
    <cellStyle name="Normal 12 3 4 2 6 6" xfId="6966" xr:uid="{00000000-0005-0000-0000-0000231B0000}"/>
    <cellStyle name="Normal 12 3 4 2 7" xfId="6967" xr:uid="{00000000-0005-0000-0000-0000241B0000}"/>
    <cellStyle name="Normal 12 3 4 2 8" xfId="6968" xr:uid="{00000000-0005-0000-0000-0000251B0000}"/>
    <cellStyle name="Normal 12 3 4 2 9" xfId="6969" xr:uid="{00000000-0005-0000-0000-0000261B0000}"/>
    <cellStyle name="Normal 12 3 4 3" xfId="6970" xr:uid="{00000000-0005-0000-0000-0000271B0000}"/>
    <cellStyle name="Normal 12 3 4 3 2" xfId="6971" xr:uid="{00000000-0005-0000-0000-0000281B0000}"/>
    <cellStyle name="Normal 12 3 4 3 2 2" xfId="6972" xr:uid="{00000000-0005-0000-0000-0000291B0000}"/>
    <cellStyle name="Normal 12 3 4 3 2 3" xfId="6973" xr:uid="{00000000-0005-0000-0000-00002A1B0000}"/>
    <cellStyle name="Normal 12 3 4 3 2 4" xfId="6974" xr:uid="{00000000-0005-0000-0000-00002B1B0000}"/>
    <cellStyle name="Normal 12 3 4 3 2 5" xfId="6975" xr:uid="{00000000-0005-0000-0000-00002C1B0000}"/>
    <cellStyle name="Normal 12 3 4 3 2 6" xfId="6976" xr:uid="{00000000-0005-0000-0000-00002D1B0000}"/>
    <cellStyle name="Normal 12 3 4 3 3" xfId="6977" xr:uid="{00000000-0005-0000-0000-00002E1B0000}"/>
    <cellStyle name="Normal 12 3 4 3 3 2" xfId="6978" xr:uid="{00000000-0005-0000-0000-00002F1B0000}"/>
    <cellStyle name="Normal 12 3 4 3 3 3" xfId="6979" xr:uid="{00000000-0005-0000-0000-0000301B0000}"/>
    <cellStyle name="Normal 12 3 4 3 3 4" xfId="6980" xr:uid="{00000000-0005-0000-0000-0000311B0000}"/>
    <cellStyle name="Normal 12 3 4 3 3 5" xfId="6981" xr:uid="{00000000-0005-0000-0000-0000321B0000}"/>
    <cellStyle name="Normal 12 3 4 3 3 6" xfId="6982" xr:uid="{00000000-0005-0000-0000-0000331B0000}"/>
    <cellStyle name="Normal 12 3 4 3 4" xfId="6983" xr:uid="{00000000-0005-0000-0000-0000341B0000}"/>
    <cellStyle name="Normal 12 3 4 3 5" xfId="6984" xr:uid="{00000000-0005-0000-0000-0000351B0000}"/>
    <cellStyle name="Normal 12 3 4 3 6" xfId="6985" xr:uid="{00000000-0005-0000-0000-0000361B0000}"/>
    <cellStyle name="Normal 12 3 4 3 7" xfId="6986" xr:uid="{00000000-0005-0000-0000-0000371B0000}"/>
    <cellStyle name="Normal 12 3 4 3 8" xfId="6987" xr:uid="{00000000-0005-0000-0000-0000381B0000}"/>
    <cellStyle name="Normal 12 3 4 4" xfId="6988" xr:uid="{00000000-0005-0000-0000-0000391B0000}"/>
    <cellStyle name="Normal 12 3 4 4 2" xfId="6989" xr:uid="{00000000-0005-0000-0000-00003A1B0000}"/>
    <cellStyle name="Normal 12 3 4 4 2 2" xfId="6990" xr:uid="{00000000-0005-0000-0000-00003B1B0000}"/>
    <cellStyle name="Normal 12 3 4 4 2 3" xfId="6991" xr:uid="{00000000-0005-0000-0000-00003C1B0000}"/>
    <cellStyle name="Normal 12 3 4 4 2 4" xfId="6992" xr:uid="{00000000-0005-0000-0000-00003D1B0000}"/>
    <cellStyle name="Normal 12 3 4 4 2 5" xfId="6993" xr:uid="{00000000-0005-0000-0000-00003E1B0000}"/>
    <cellStyle name="Normal 12 3 4 4 2 6" xfId="6994" xr:uid="{00000000-0005-0000-0000-00003F1B0000}"/>
    <cellStyle name="Normal 12 3 4 4 3" xfId="6995" xr:uid="{00000000-0005-0000-0000-0000401B0000}"/>
    <cellStyle name="Normal 12 3 4 4 3 2" xfId="6996" xr:uid="{00000000-0005-0000-0000-0000411B0000}"/>
    <cellStyle name="Normal 12 3 4 4 3 3" xfId="6997" xr:uid="{00000000-0005-0000-0000-0000421B0000}"/>
    <cellStyle name="Normal 12 3 4 4 3 4" xfId="6998" xr:uid="{00000000-0005-0000-0000-0000431B0000}"/>
    <cellStyle name="Normal 12 3 4 4 3 5" xfId="6999" xr:uid="{00000000-0005-0000-0000-0000441B0000}"/>
    <cellStyle name="Normal 12 3 4 4 3 6" xfId="7000" xr:uid="{00000000-0005-0000-0000-0000451B0000}"/>
    <cellStyle name="Normal 12 3 4 4 4" xfId="7001" xr:uid="{00000000-0005-0000-0000-0000461B0000}"/>
    <cellStyle name="Normal 12 3 4 4 5" xfId="7002" xr:uid="{00000000-0005-0000-0000-0000471B0000}"/>
    <cellStyle name="Normal 12 3 4 4 6" xfId="7003" xr:uid="{00000000-0005-0000-0000-0000481B0000}"/>
    <cellStyle name="Normal 12 3 4 4 7" xfId="7004" xr:uid="{00000000-0005-0000-0000-0000491B0000}"/>
    <cellStyle name="Normal 12 3 4 4 8" xfId="7005" xr:uid="{00000000-0005-0000-0000-00004A1B0000}"/>
    <cellStyle name="Normal 12 3 4 5" xfId="7006" xr:uid="{00000000-0005-0000-0000-00004B1B0000}"/>
    <cellStyle name="Normal 12 3 4 5 2" xfId="7007" xr:uid="{00000000-0005-0000-0000-00004C1B0000}"/>
    <cellStyle name="Normal 12 3 4 5 2 2" xfId="7008" xr:uid="{00000000-0005-0000-0000-00004D1B0000}"/>
    <cellStyle name="Normal 12 3 4 5 2 3" xfId="7009" xr:uid="{00000000-0005-0000-0000-00004E1B0000}"/>
    <cellStyle name="Normal 12 3 4 5 2 4" xfId="7010" xr:uid="{00000000-0005-0000-0000-00004F1B0000}"/>
    <cellStyle name="Normal 12 3 4 5 2 5" xfId="7011" xr:uid="{00000000-0005-0000-0000-0000501B0000}"/>
    <cellStyle name="Normal 12 3 4 5 2 6" xfId="7012" xr:uid="{00000000-0005-0000-0000-0000511B0000}"/>
    <cellStyle name="Normal 12 3 4 5 3" xfId="7013" xr:uid="{00000000-0005-0000-0000-0000521B0000}"/>
    <cellStyle name="Normal 12 3 4 5 3 2" xfId="7014" xr:uid="{00000000-0005-0000-0000-0000531B0000}"/>
    <cellStyle name="Normal 12 3 4 5 3 3" xfId="7015" xr:uid="{00000000-0005-0000-0000-0000541B0000}"/>
    <cellStyle name="Normal 12 3 4 5 3 4" xfId="7016" xr:uid="{00000000-0005-0000-0000-0000551B0000}"/>
    <cellStyle name="Normal 12 3 4 5 3 5" xfId="7017" xr:uid="{00000000-0005-0000-0000-0000561B0000}"/>
    <cellStyle name="Normal 12 3 4 5 3 6" xfId="7018" xr:uid="{00000000-0005-0000-0000-0000571B0000}"/>
    <cellStyle name="Normal 12 3 4 5 4" xfId="7019" xr:uid="{00000000-0005-0000-0000-0000581B0000}"/>
    <cellStyle name="Normal 12 3 4 5 5" xfId="7020" xr:uid="{00000000-0005-0000-0000-0000591B0000}"/>
    <cellStyle name="Normal 12 3 4 5 6" xfId="7021" xr:uid="{00000000-0005-0000-0000-00005A1B0000}"/>
    <cellStyle name="Normal 12 3 4 5 7" xfId="7022" xr:uid="{00000000-0005-0000-0000-00005B1B0000}"/>
    <cellStyle name="Normal 12 3 4 5 8" xfId="7023" xr:uid="{00000000-0005-0000-0000-00005C1B0000}"/>
    <cellStyle name="Normal 12 3 4 6" xfId="7024" xr:uid="{00000000-0005-0000-0000-00005D1B0000}"/>
    <cellStyle name="Normal 12 3 4 6 2" xfId="7025" xr:uid="{00000000-0005-0000-0000-00005E1B0000}"/>
    <cellStyle name="Normal 12 3 4 6 3" xfId="7026" xr:uid="{00000000-0005-0000-0000-00005F1B0000}"/>
    <cellStyle name="Normal 12 3 4 6 4" xfId="7027" xr:uid="{00000000-0005-0000-0000-0000601B0000}"/>
    <cellStyle name="Normal 12 3 4 6 5" xfId="7028" xr:uid="{00000000-0005-0000-0000-0000611B0000}"/>
    <cellStyle name="Normal 12 3 4 6 6" xfId="7029" xr:uid="{00000000-0005-0000-0000-0000621B0000}"/>
    <cellStyle name="Normal 12 3 4 7" xfId="7030" xr:uid="{00000000-0005-0000-0000-0000631B0000}"/>
    <cellStyle name="Normal 12 3 4 7 2" xfId="7031" xr:uid="{00000000-0005-0000-0000-0000641B0000}"/>
    <cellStyle name="Normal 12 3 4 7 3" xfId="7032" xr:uid="{00000000-0005-0000-0000-0000651B0000}"/>
    <cellStyle name="Normal 12 3 4 7 4" xfId="7033" xr:uid="{00000000-0005-0000-0000-0000661B0000}"/>
    <cellStyle name="Normal 12 3 4 7 5" xfId="7034" xr:uid="{00000000-0005-0000-0000-0000671B0000}"/>
    <cellStyle name="Normal 12 3 4 7 6" xfId="7035" xr:uid="{00000000-0005-0000-0000-0000681B0000}"/>
    <cellStyle name="Normal 12 3 4 8" xfId="7036" xr:uid="{00000000-0005-0000-0000-0000691B0000}"/>
    <cellStyle name="Normal 12 3 4 9" xfId="7037" xr:uid="{00000000-0005-0000-0000-00006A1B0000}"/>
    <cellStyle name="Normal 12 3 5" xfId="7038" xr:uid="{00000000-0005-0000-0000-00006B1B0000}"/>
    <cellStyle name="Normal 12 3 5 10" xfId="7039" xr:uid="{00000000-0005-0000-0000-00006C1B0000}"/>
    <cellStyle name="Normal 12 3 5 11" xfId="7040" xr:uid="{00000000-0005-0000-0000-00006D1B0000}"/>
    <cellStyle name="Normal 12 3 5 2" xfId="7041" xr:uid="{00000000-0005-0000-0000-00006E1B0000}"/>
    <cellStyle name="Normal 12 3 5 2 2" xfId="7042" xr:uid="{00000000-0005-0000-0000-00006F1B0000}"/>
    <cellStyle name="Normal 12 3 5 2 2 2" xfId="7043" xr:uid="{00000000-0005-0000-0000-0000701B0000}"/>
    <cellStyle name="Normal 12 3 5 2 2 3" xfId="7044" xr:uid="{00000000-0005-0000-0000-0000711B0000}"/>
    <cellStyle name="Normal 12 3 5 2 2 4" xfId="7045" xr:uid="{00000000-0005-0000-0000-0000721B0000}"/>
    <cellStyle name="Normal 12 3 5 2 2 5" xfId="7046" xr:uid="{00000000-0005-0000-0000-0000731B0000}"/>
    <cellStyle name="Normal 12 3 5 2 2 6" xfId="7047" xr:uid="{00000000-0005-0000-0000-0000741B0000}"/>
    <cellStyle name="Normal 12 3 5 2 3" xfId="7048" xr:uid="{00000000-0005-0000-0000-0000751B0000}"/>
    <cellStyle name="Normal 12 3 5 2 3 2" xfId="7049" xr:uid="{00000000-0005-0000-0000-0000761B0000}"/>
    <cellStyle name="Normal 12 3 5 2 3 3" xfId="7050" xr:uid="{00000000-0005-0000-0000-0000771B0000}"/>
    <cellStyle name="Normal 12 3 5 2 3 4" xfId="7051" xr:uid="{00000000-0005-0000-0000-0000781B0000}"/>
    <cellStyle name="Normal 12 3 5 2 3 5" xfId="7052" xr:uid="{00000000-0005-0000-0000-0000791B0000}"/>
    <cellStyle name="Normal 12 3 5 2 3 6" xfId="7053" xr:uid="{00000000-0005-0000-0000-00007A1B0000}"/>
    <cellStyle name="Normal 12 3 5 2 4" xfId="7054" xr:uid="{00000000-0005-0000-0000-00007B1B0000}"/>
    <cellStyle name="Normal 12 3 5 2 5" xfId="7055" xr:uid="{00000000-0005-0000-0000-00007C1B0000}"/>
    <cellStyle name="Normal 12 3 5 2 6" xfId="7056" xr:uid="{00000000-0005-0000-0000-00007D1B0000}"/>
    <cellStyle name="Normal 12 3 5 2 7" xfId="7057" xr:uid="{00000000-0005-0000-0000-00007E1B0000}"/>
    <cellStyle name="Normal 12 3 5 2 8" xfId="7058" xr:uid="{00000000-0005-0000-0000-00007F1B0000}"/>
    <cellStyle name="Normal 12 3 5 3" xfId="7059" xr:uid="{00000000-0005-0000-0000-0000801B0000}"/>
    <cellStyle name="Normal 12 3 5 3 2" xfId="7060" xr:uid="{00000000-0005-0000-0000-0000811B0000}"/>
    <cellStyle name="Normal 12 3 5 3 2 2" xfId="7061" xr:uid="{00000000-0005-0000-0000-0000821B0000}"/>
    <cellStyle name="Normal 12 3 5 3 2 3" xfId="7062" xr:uid="{00000000-0005-0000-0000-0000831B0000}"/>
    <cellStyle name="Normal 12 3 5 3 2 4" xfId="7063" xr:uid="{00000000-0005-0000-0000-0000841B0000}"/>
    <cellStyle name="Normal 12 3 5 3 2 5" xfId="7064" xr:uid="{00000000-0005-0000-0000-0000851B0000}"/>
    <cellStyle name="Normal 12 3 5 3 2 6" xfId="7065" xr:uid="{00000000-0005-0000-0000-0000861B0000}"/>
    <cellStyle name="Normal 12 3 5 3 3" xfId="7066" xr:uid="{00000000-0005-0000-0000-0000871B0000}"/>
    <cellStyle name="Normal 12 3 5 3 3 2" xfId="7067" xr:uid="{00000000-0005-0000-0000-0000881B0000}"/>
    <cellStyle name="Normal 12 3 5 3 3 3" xfId="7068" xr:uid="{00000000-0005-0000-0000-0000891B0000}"/>
    <cellStyle name="Normal 12 3 5 3 3 4" xfId="7069" xr:uid="{00000000-0005-0000-0000-00008A1B0000}"/>
    <cellStyle name="Normal 12 3 5 3 3 5" xfId="7070" xr:uid="{00000000-0005-0000-0000-00008B1B0000}"/>
    <cellStyle name="Normal 12 3 5 3 3 6" xfId="7071" xr:uid="{00000000-0005-0000-0000-00008C1B0000}"/>
    <cellStyle name="Normal 12 3 5 3 4" xfId="7072" xr:uid="{00000000-0005-0000-0000-00008D1B0000}"/>
    <cellStyle name="Normal 12 3 5 3 5" xfId="7073" xr:uid="{00000000-0005-0000-0000-00008E1B0000}"/>
    <cellStyle name="Normal 12 3 5 3 6" xfId="7074" xr:uid="{00000000-0005-0000-0000-00008F1B0000}"/>
    <cellStyle name="Normal 12 3 5 3 7" xfId="7075" xr:uid="{00000000-0005-0000-0000-0000901B0000}"/>
    <cellStyle name="Normal 12 3 5 3 8" xfId="7076" xr:uid="{00000000-0005-0000-0000-0000911B0000}"/>
    <cellStyle name="Normal 12 3 5 4" xfId="7077" xr:uid="{00000000-0005-0000-0000-0000921B0000}"/>
    <cellStyle name="Normal 12 3 5 4 2" xfId="7078" xr:uid="{00000000-0005-0000-0000-0000931B0000}"/>
    <cellStyle name="Normal 12 3 5 4 2 2" xfId="7079" xr:uid="{00000000-0005-0000-0000-0000941B0000}"/>
    <cellStyle name="Normal 12 3 5 4 2 3" xfId="7080" xr:uid="{00000000-0005-0000-0000-0000951B0000}"/>
    <cellStyle name="Normal 12 3 5 4 2 4" xfId="7081" xr:uid="{00000000-0005-0000-0000-0000961B0000}"/>
    <cellStyle name="Normal 12 3 5 4 2 5" xfId="7082" xr:uid="{00000000-0005-0000-0000-0000971B0000}"/>
    <cellStyle name="Normal 12 3 5 4 2 6" xfId="7083" xr:uid="{00000000-0005-0000-0000-0000981B0000}"/>
    <cellStyle name="Normal 12 3 5 4 3" xfId="7084" xr:uid="{00000000-0005-0000-0000-0000991B0000}"/>
    <cellStyle name="Normal 12 3 5 4 3 2" xfId="7085" xr:uid="{00000000-0005-0000-0000-00009A1B0000}"/>
    <cellStyle name="Normal 12 3 5 4 3 3" xfId="7086" xr:uid="{00000000-0005-0000-0000-00009B1B0000}"/>
    <cellStyle name="Normal 12 3 5 4 3 4" xfId="7087" xr:uid="{00000000-0005-0000-0000-00009C1B0000}"/>
    <cellStyle name="Normal 12 3 5 4 3 5" xfId="7088" xr:uid="{00000000-0005-0000-0000-00009D1B0000}"/>
    <cellStyle name="Normal 12 3 5 4 3 6" xfId="7089" xr:uid="{00000000-0005-0000-0000-00009E1B0000}"/>
    <cellStyle name="Normal 12 3 5 4 4" xfId="7090" xr:uid="{00000000-0005-0000-0000-00009F1B0000}"/>
    <cellStyle name="Normal 12 3 5 4 5" xfId="7091" xr:uid="{00000000-0005-0000-0000-0000A01B0000}"/>
    <cellStyle name="Normal 12 3 5 4 6" xfId="7092" xr:uid="{00000000-0005-0000-0000-0000A11B0000}"/>
    <cellStyle name="Normal 12 3 5 4 7" xfId="7093" xr:uid="{00000000-0005-0000-0000-0000A21B0000}"/>
    <cellStyle name="Normal 12 3 5 4 8" xfId="7094" xr:uid="{00000000-0005-0000-0000-0000A31B0000}"/>
    <cellStyle name="Normal 12 3 5 5" xfId="7095" xr:uid="{00000000-0005-0000-0000-0000A41B0000}"/>
    <cellStyle name="Normal 12 3 5 5 2" xfId="7096" xr:uid="{00000000-0005-0000-0000-0000A51B0000}"/>
    <cellStyle name="Normal 12 3 5 5 3" xfId="7097" xr:uid="{00000000-0005-0000-0000-0000A61B0000}"/>
    <cellStyle name="Normal 12 3 5 5 4" xfId="7098" xr:uid="{00000000-0005-0000-0000-0000A71B0000}"/>
    <cellStyle name="Normal 12 3 5 5 5" xfId="7099" xr:uid="{00000000-0005-0000-0000-0000A81B0000}"/>
    <cellStyle name="Normal 12 3 5 5 6" xfId="7100" xr:uid="{00000000-0005-0000-0000-0000A91B0000}"/>
    <cellStyle name="Normal 12 3 5 6" xfId="7101" xr:uid="{00000000-0005-0000-0000-0000AA1B0000}"/>
    <cellStyle name="Normal 12 3 5 6 2" xfId="7102" xr:uid="{00000000-0005-0000-0000-0000AB1B0000}"/>
    <cellStyle name="Normal 12 3 5 6 3" xfId="7103" xr:uid="{00000000-0005-0000-0000-0000AC1B0000}"/>
    <cellStyle name="Normal 12 3 5 6 4" xfId="7104" xr:uid="{00000000-0005-0000-0000-0000AD1B0000}"/>
    <cellStyle name="Normal 12 3 5 6 5" xfId="7105" xr:uid="{00000000-0005-0000-0000-0000AE1B0000}"/>
    <cellStyle name="Normal 12 3 5 6 6" xfId="7106" xr:uid="{00000000-0005-0000-0000-0000AF1B0000}"/>
    <cellStyle name="Normal 12 3 5 7" xfId="7107" xr:uid="{00000000-0005-0000-0000-0000B01B0000}"/>
    <cellStyle name="Normal 12 3 5 8" xfId="7108" xr:uid="{00000000-0005-0000-0000-0000B11B0000}"/>
    <cellStyle name="Normal 12 3 5 9" xfId="7109" xr:uid="{00000000-0005-0000-0000-0000B21B0000}"/>
    <cellStyle name="Normal 12 3 6" xfId="7110" xr:uid="{00000000-0005-0000-0000-0000B31B0000}"/>
    <cellStyle name="Normal 12 3 6 2" xfId="7111" xr:uid="{00000000-0005-0000-0000-0000B41B0000}"/>
    <cellStyle name="Normal 12 3 6 2 2" xfId="7112" xr:uid="{00000000-0005-0000-0000-0000B51B0000}"/>
    <cellStyle name="Normal 12 3 6 2 3" xfId="7113" xr:uid="{00000000-0005-0000-0000-0000B61B0000}"/>
    <cellStyle name="Normal 12 3 6 2 4" xfId="7114" xr:uid="{00000000-0005-0000-0000-0000B71B0000}"/>
    <cellStyle name="Normal 12 3 6 2 5" xfId="7115" xr:uid="{00000000-0005-0000-0000-0000B81B0000}"/>
    <cellStyle name="Normal 12 3 6 2 6" xfId="7116" xr:uid="{00000000-0005-0000-0000-0000B91B0000}"/>
    <cellStyle name="Normal 12 3 6 3" xfId="7117" xr:uid="{00000000-0005-0000-0000-0000BA1B0000}"/>
    <cellStyle name="Normal 12 3 6 3 2" xfId="7118" xr:uid="{00000000-0005-0000-0000-0000BB1B0000}"/>
    <cellStyle name="Normal 12 3 6 3 3" xfId="7119" xr:uid="{00000000-0005-0000-0000-0000BC1B0000}"/>
    <cellStyle name="Normal 12 3 6 3 4" xfId="7120" xr:uid="{00000000-0005-0000-0000-0000BD1B0000}"/>
    <cellStyle name="Normal 12 3 6 3 5" xfId="7121" xr:uid="{00000000-0005-0000-0000-0000BE1B0000}"/>
    <cellStyle name="Normal 12 3 6 3 6" xfId="7122" xr:uid="{00000000-0005-0000-0000-0000BF1B0000}"/>
    <cellStyle name="Normal 12 3 6 4" xfId="7123" xr:uid="{00000000-0005-0000-0000-0000C01B0000}"/>
    <cellStyle name="Normal 12 3 6 5" xfId="7124" xr:uid="{00000000-0005-0000-0000-0000C11B0000}"/>
    <cellStyle name="Normal 12 3 6 6" xfId="7125" xr:uid="{00000000-0005-0000-0000-0000C21B0000}"/>
    <cellStyle name="Normal 12 3 6 7" xfId="7126" xr:uid="{00000000-0005-0000-0000-0000C31B0000}"/>
    <cellStyle name="Normal 12 3 6 8" xfId="7127" xr:uid="{00000000-0005-0000-0000-0000C41B0000}"/>
    <cellStyle name="Normal 12 3 7" xfId="7128" xr:uid="{00000000-0005-0000-0000-0000C51B0000}"/>
    <cellStyle name="Normal 12 3 7 2" xfId="7129" xr:uid="{00000000-0005-0000-0000-0000C61B0000}"/>
    <cellStyle name="Normal 12 3 7 2 2" xfId="7130" xr:uid="{00000000-0005-0000-0000-0000C71B0000}"/>
    <cellStyle name="Normal 12 3 7 2 3" xfId="7131" xr:uid="{00000000-0005-0000-0000-0000C81B0000}"/>
    <cellStyle name="Normal 12 3 7 2 4" xfId="7132" xr:uid="{00000000-0005-0000-0000-0000C91B0000}"/>
    <cellStyle name="Normal 12 3 7 2 5" xfId="7133" xr:uid="{00000000-0005-0000-0000-0000CA1B0000}"/>
    <cellStyle name="Normal 12 3 7 2 6" xfId="7134" xr:uid="{00000000-0005-0000-0000-0000CB1B0000}"/>
    <cellStyle name="Normal 12 3 7 3" xfId="7135" xr:uid="{00000000-0005-0000-0000-0000CC1B0000}"/>
    <cellStyle name="Normal 12 3 7 3 2" xfId="7136" xr:uid="{00000000-0005-0000-0000-0000CD1B0000}"/>
    <cellStyle name="Normal 12 3 7 3 3" xfId="7137" xr:uid="{00000000-0005-0000-0000-0000CE1B0000}"/>
    <cellStyle name="Normal 12 3 7 3 4" xfId="7138" xr:uid="{00000000-0005-0000-0000-0000CF1B0000}"/>
    <cellStyle name="Normal 12 3 7 3 5" xfId="7139" xr:uid="{00000000-0005-0000-0000-0000D01B0000}"/>
    <cellStyle name="Normal 12 3 7 3 6" xfId="7140" xr:uid="{00000000-0005-0000-0000-0000D11B0000}"/>
    <cellStyle name="Normal 12 3 7 4" xfId="7141" xr:uid="{00000000-0005-0000-0000-0000D21B0000}"/>
    <cellStyle name="Normal 12 3 7 5" xfId="7142" xr:uid="{00000000-0005-0000-0000-0000D31B0000}"/>
    <cellStyle name="Normal 12 3 7 6" xfId="7143" xr:uid="{00000000-0005-0000-0000-0000D41B0000}"/>
    <cellStyle name="Normal 12 3 7 7" xfId="7144" xr:uid="{00000000-0005-0000-0000-0000D51B0000}"/>
    <cellStyle name="Normal 12 3 7 8" xfId="7145" xr:uid="{00000000-0005-0000-0000-0000D61B0000}"/>
    <cellStyle name="Normal 12 3 8" xfId="7146" xr:uid="{00000000-0005-0000-0000-0000D71B0000}"/>
    <cellStyle name="Normal 12 3 8 2" xfId="7147" xr:uid="{00000000-0005-0000-0000-0000D81B0000}"/>
    <cellStyle name="Normal 12 3 8 2 2" xfId="7148" xr:uid="{00000000-0005-0000-0000-0000D91B0000}"/>
    <cellStyle name="Normal 12 3 8 2 3" xfId="7149" xr:uid="{00000000-0005-0000-0000-0000DA1B0000}"/>
    <cellStyle name="Normal 12 3 8 2 4" xfId="7150" xr:uid="{00000000-0005-0000-0000-0000DB1B0000}"/>
    <cellStyle name="Normal 12 3 8 2 5" xfId="7151" xr:uid="{00000000-0005-0000-0000-0000DC1B0000}"/>
    <cellStyle name="Normal 12 3 8 2 6" xfId="7152" xr:uid="{00000000-0005-0000-0000-0000DD1B0000}"/>
    <cellStyle name="Normal 12 3 8 3" xfId="7153" xr:uid="{00000000-0005-0000-0000-0000DE1B0000}"/>
    <cellStyle name="Normal 12 3 8 3 2" xfId="7154" xr:uid="{00000000-0005-0000-0000-0000DF1B0000}"/>
    <cellStyle name="Normal 12 3 8 3 3" xfId="7155" xr:uid="{00000000-0005-0000-0000-0000E01B0000}"/>
    <cellStyle name="Normal 12 3 8 3 4" xfId="7156" xr:uid="{00000000-0005-0000-0000-0000E11B0000}"/>
    <cellStyle name="Normal 12 3 8 3 5" xfId="7157" xr:uid="{00000000-0005-0000-0000-0000E21B0000}"/>
    <cellStyle name="Normal 12 3 8 3 6" xfId="7158" xr:uid="{00000000-0005-0000-0000-0000E31B0000}"/>
    <cellStyle name="Normal 12 3 8 4" xfId="7159" xr:uid="{00000000-0005-0000-0000-0000E41B0000}"/>
    <cellStyle name="Normal 12 3 8 5" xfId="7160" xr:uid="{00000000-0005-0000-0000-0000E51B0000}"/>
    <cellStyle name="Normal 12 3 8 6" xfId="7161" xr:uid="{00000000-0005-0000-0000-0000E61B0000}"/>
    <cellStyle name="Normal 12 3 8 7" xfId="7162" xr:uid="{00000000-0005-0000-0000-0000E71B0000}"/>
    <cellStyle name="Normal 12 3 8 8" xfId="7163" xr:uid="{00000000-0005-0000-0000-0000E81B0000}"/>
    <cellStyle name="Normal 12 3 9" xfId="7164" xr:uid="{00000000-0005-0000-0000-0000E91B0000}"/>
    <cellStyle name="Normal 12 3 9 2" xfId="7165" xr:uid="{00000000-0005-0000-0000-0000EA1B0000}"/>
    <cellStyle name="Normal 12 3 9 3" xfId="7166" xr:uid="{00000000-0005-0000-0000-0000EB1B0000}"/>
    <cellStyle name="Normal 12 3 9 4" xfId="7167" xr:uid="{00000000-0005-0000-0000-0000EC1B0000}"/>
    <cellStyle name="Normal 12 3 9 5" xfId="7168" xr:uid="{00000000-0005-0000-0000-0000ED1B0000}"/>
    <cellStyle name="Normal 12 3 9 6" xfId="7169" xr:uid="{00000000-0005-0000-0000-0000EE1B0000}"/>
    <cellStyle name="Normal 12 4" xfId="7170" xr:uid="{00000000-0005-0000-0000-0000EF1B0000}"/>
    <cellStyle name="Normal 12 4 10" xfId="7171" xr:uid="{00000000-0005-0000-0000-0000F01B0000}"/>
    <cellStyle name="Normal 12 4 10 2" xfId="7172" xr:uid="{00000000-0005-0000-0000-0000F11B0000}"/>
    <cellStyle name="Normal 12 4 10 3" xfId="7173" xr:uid="{00000000-0005-0000-0000-0000F21B0000}"/>
    <cellStyle name="Normal 12 4 10 4" xfId="7174" xr:uid="{00000000-0005-0000-0000-0000F31B0000}"/>
    <cellStyle name="Normal 12 4 10 5" xfId="7175" xr:uid="{00000000-0005-0000-0000-0000F41B0000}"/>
    <cellStyle name="Normal 12 4 10 6" xfId="7176" xr:uid="{00000000-0005-0000-0000-0000F51B0000}"/>
    <cellStyle name="Normal 12 4 11" xfId="7177" xr:uid="{00000000-0005-0000-0000-0000F61B0000}"/>
    <cellStyle name="Normal 12 4 12" xfId="7178" xr:uid="{00000000-0005-0000-0000-0000F71B0000}"/>
    <cellStyle name="Normal 12 4 13" xfId="7179" xr:uid="{00000000-0005-0000-0000-0000F81B0000}"/>
    <cellStyle name="Normal 12 4 14" xfId="7180" xr:uid="{00000000-0005-0000-0000-0000F91B0000}"/>
    <cellStyle name="Normal 12 4 15" xfId="7181" xr:uid="{00000000-0005-0000-0000-0000FA1B0000}"/>
    <cellStyle name="Normal 12 4 2" xfId="7182" xr:uid="{00000000-0005-0000-0000-0000FB1B0000}"/>
    <cellStyle name="Normal 12 4 2 10" xfId="7183" xr:uid="{00000000-0005-0000-0000-0000FC1B0000}"/>
    <cellStyle name="Normal 12 4 2 11" xfId="7184" xr:uid="{00000000-0005-0000-0000-0000FD1B0000}"/>
    <cellStyle name="Normal 12 4 2 12" xfId="7185" xr:uid="{00000000-0005-0000-0000-0000FE1B0000}"/>
    <cellStyle name="Normal 12 4 2 13" xfId="7186" xr:uid="{00000000-0005-0000-0000-0000FF1B0000}"/>
    <cellStyle name="Normal 12 4 2 14" xfId="7187" xr:uid="{00000000-0005-0000-0000-0000001C0000}"/>
    <cellStyle name="Normal 12 4 2 2" xfId="7188" xr:uid="{00000000-0005-0000-0000-0000011C0000}"/>
    <cellStyle name="Normal 12 4 2 2 10" xfId="7189" xr:uid="{00000000-0005-0000-0000-0000021C0000}"/>
    <cellStyle name="Normal 12 4 2 2 11" xfId="7190" xr:uid="{00000000-0005-0000-0000-0000031C0000}"/>
    <cellStyle name="Normal 12 4 2 2 12" xfId="7191" xr:uid="{00000000-0005-0000-0000-0000041C0000}"/>
    <cellStyle name="Normal 12 4 2 2 2" xfId="7192" xr:uid="{00000000-0005-0000-0000-0000051C0000}"/>
    <cellStyle name="Normal 12 4 2 2 2 10" xfId="7193" xr:uid="{00000000-0005-0000-0000-0000061C0000}"/>
    <cellStyle name="Normal 12 4 2 2 2 11" xfId="7194" xr:uid="{00000000-0005-0000-0000-0000071C0000}"/>
    <cellStyle name="Normal 12 4 2 2 2 2" xfId="7195" xr:uid="{00000000-0005-0000-0000-0000081C0000}"/>
    <cellStyle name="Normal 12 4 2 2 2 2 2" xfId="7196" xr:uid="{00000000-0005-0000-0000-0000091C0000}"/>
    <cellStyle name="Normal 12 4 2 2 2 2 2 2" xfId="7197" xr:uid="{00000000-0005-0000-0000-00000A1C0000}"/>
    <cellStyle name="Normal 12 4 2 2 2 2 2 3" xfId="7198" xr:uid="{00000000-0005-0000-0000-00000B1C0000}"/>
    <cellStyle name="Normal 12 4 2 2 2 2 2 4" xfId="7199" xr:uid="{00000000-0005-0000-0000-00000C1C0000}"/>
    <cellStyle name="Normal 12 4 2 2 2 2 2 5" xfId="7200" xr:uid="{00000000-0005-0000-0000-00000D1C0000}"/>
    <cellStyle name="Normal 12 4 2 2 2 2 2 6" xfId="7201" xr:uid="{00000000-0005-0000-0000-00000E1C0000}"/>
    <cellStyle name="Normal 12 4 2 2 2 2 3" xfId="7202" xr:uid="{00000000-0005-0000-0000-00000F1C0000}"/>
    <cellStyle name="Normal 12 4 2 2 2 2 3 2" xfId="7203" xr:uid="{00000000-0005-0000-0000-0000101C0000}"/>
    <cellStyle name="Normal 12 4 2 2 2 2 3 3" xfId="7204" xr:uid="{00000000-0005-0000-0000-0000111C0000}"/>
    <cellStyle name="Normal 12 4 2 2 2 2 3 4" xfId="7205" xr:uid="{00000000-0005-0000-0000-0000121C0000}"/>
    <cellStyle name="Normal 12 4 2 2 2 2 3 5" xfId="7206" xr:uid="{00000000-0005-0000-0000-0000131C0000}"/>
    <cellStyle name="Normal 12 4 2 2 2 2 3 6" xfId="7207" xr:uid="{00000000-0005-0000-0000-0000141C0000}"/>
    <cellStyle name="Normal 12 4 2 2 2 2 4" xfId="7208" xr:uid="{00000000-0005-0000-0000-0000151C0000}"/>
    <cellStyle name="Normal 12 4 2 2 2 2 5" xfId="7209" xr:uid="{00000000-0005-0000-0000-0000161C0000}"/>
    <cellStyle name="Normal 12 4 2 2 2 2 6" xfId="7210" xr:uid="{00000000-0005-0000-0000-0000171C0000}"/>
    <cellStyle name="Normal 12 4 2 2 2 2 7" xfId="7211" xr:uid="{00000000-0005-0000-0000-0000181C0000}"/>
    <cellStyle name="Normal 12 4 2 2 2 2 8" xfId="7212" xr:uid="{00000000-0005-0000-0000-0000191C0000}"/>
    <cellStyle name="Normal 12 4 2 2 2 3" xfId="7213" xr:uid="{00000000-0005-0000-0000-00001A1C0000}"/>
    <cellStyle name="Normal 12 4 2 2 2 3 2" xfId="7214" xr:uid="{00000000-0005-0000-0000-00001B1C0000}"/>
    <cellStyle name="Normal 12 4 2 2 2 3 2 2" xfId="7215" xr:uid="{00000000-0005-0000-0000-00001C1C0000}"/>
    <cellStyle name="Normal 12 4 2 2 2 3 2 3" xfId="7216" xr:uid="{00000000-0005-0000-0000-00001D1C0000}"/>
    <cellStyle name="Normal 12 4 2 2 2 3 2 4" xfId="7217" xr:uid="{00000000-0005-0000-0000-00001E1C0000}"/>
    <cellStyle name="Normal 12 4 2 2 2 3 2 5" xfId="7218" xr:uid="{00000000-0005-0000-0000-00001F1C0000}"/>
    <cellStyle name="Normal 12 4 2 2 2 3 2 6" xfId="7219" xr:uid="{00000000-0005-0000-0000-0000201C0000}"/>
    <cellStyle name="Normal 12 4 2 2 2 3 3" xfId="7220" xr:uid="{00000000-0005-0000-0000-0000211C0000}"/>
    <cellStyle name="Normal 12 4 2 2 2 3 3 2" xfId="7221" xr:uid="{00000000-0005-0000-0000-0000221C0000}"/>
    <cellStyle name="Normal 12 4 2 2 2 3 3 3" xfId="7222" xr:uid="{00000000-0005-0000-0000-0000231C0000}"/>
    <cellStyle name="Normal 12 4 2 2 2 3 3 4" xfId="7223" xr:uid="{00000000-0005-0000-0000-0000241C0000}"/>
    <cellStyle name="Normal 12 4 2 2 2 3 3 5" xfId="7224" xr:uid="{00000000-0005-0000-0000-0000251C0000}"/>
    <cellStyle name="Normal 12 4 2 2 2 3 3 6" xfId="7225" xr:uid="{00000000-0005-0000-0000-0000261C0000}"/>
    <cellStyle name="Normal 12 4 2 2 2 3 4" xfId="7226" xr:uid="{00000000-0005-0000-0000-0000271C0000}"/>
    <cellStyle name="Normal 12 4 2 2 2 3 5" xfId="7227" xr:uid="{00000000-0005-0000-0000-0000281C0000}"/>
    <cellStyle name="Normal 12 4 2 2 2 3 6" xfId="7228" xr:uid="{00000000-0005-0000-0000-0000291C0000}"/>
    <cellStyle name="Normal 12 4 2 2 2 3 7" xfId="7229" xr:uid="{00000000-0005-0000-0000-00002A1C0000}"/>
    <cellStyle name="Normal 12 4 2 2 2 3 8" xfId="7230" xr:uid="{00000000-0005-0000-0000-00002B1C0000}"/>
    <cellStyle name="Normal 12 4 2 2 2 4" xfId="7231" xr:uid="{00000000-0005-0000-0000-00002C1C0000}"/>
    <cellStyle name="Normal 12 4 2 2 2 4 2" xfId="7232" xr:uid="{00000000-0005-0000-0000-00002D1C0000}"/>
    <cellStyle name="Normal 12 4 2 2 2 4 2 2" xfId="7233" xr:uid="{00000000-0005-0000-0000-00002E1C0000}"/>
    <cellStyle name="Normal 12 4 2 2 2 4 2 3" xfId="7234" xr:uid="{00000000-0005-0000-0000-00002F1C0000}"/>
    <cellStyle name="Normal 12 4 2 2 2 4 2 4" xfId="7235" xr:uid="{00000000-0005-0000-0000-0000301C0000}"/>
    <cellStyle name="Normal 12 4 2 2 2 4 2 5" xfId="7236" xr:uid="{00000000-0005-0000-0000-0000311C0000}"/>
    <cellStyle name="Normal 12 4 2 2 2 4 2 6" xfId="7237" xr:uid="{00000000-0005-0000-0000-0000321C0000}"/>
    <cellStyle name="Normal 12 4 2 2 2 4 3" xfId="7238" xr:uid="{00000000-0005-0000-0000-0000331C0000}"/>
    <cellStyle name="Normal 12 4 2 2 2 4 3 2" xfId="7239" xr:uid="{00000000-0005-0000-0000-0000341C0000}"/>
    <cellStyle name="Normal 12 4 2 2 2 4 3 3" xfId="7240" xr:uid="{00000000-0005-0000-0000-0000351C0000}"/>
    <cellStyle name="Normal 12 4 2 2 2 4 3 4" xfId="7241" xr:uid="{00000000-0005-0000-0000-0000361C0000}"/>
    <cellStyle name="Normal 12 4 2 2 2 4 3 5" xfId="7242" xr:uid="{00000000-0005-0000-0000-0000371C0000}"/>
    <cellStyle name="Normal 12 4 2 2 2 4 3 6" xfId="7243" xr:uid="{00000000-0005-0000-0000-0000381C0000}"/>
    <cellStyle name="Normal 12 4 2 2 2 4 4" xfId="7244" xr:uid="{00000000-0005-0000-0000-0000391C0000}"/>
    <cellStyle name="Normal 12 4 2 2 2 4 5" xfId="7245" xr:uid="{00000000-0005-0000-0000-00003A1C0000}"/>
    <cellStyle name="Normal 12 4 2 2 2 4 6" xfId="7246" xr:uid="{00000000-0005-0000-0000-00003B1C0000}"/>
    <cellStyle name="Normal 12 4 2 2 2 4 7" xfId="7247" xr:uid="{00000000-0005-0000-0000-00003C1C0000}"/>
    <cellStyle name="Normal 12 4 2 2 2 4 8" xfId="7248" xr:uid="{00000000-0005-0000-0000-00003D1C0000}"/>
    <cellStyle name="Normal 12 4 2 2 2 5" xfId="7249" xr:uid="{00000000-0005-0000-0000-00003E1C0000}"/>
    <cellStyle name="Normal 12 4 2 2 2 5 2" xfId="7250" xr:uid="{00000000-0005-0000-0000-00003F1C0000}"/>
    <cellStyle name="Normal 12 4 2 2 2 5 3" xfId="7251" xr:uid="{00000000-0005-0000-0000-0000401C0000}"/>
    <cellStyle name="Normal 12 4 2 2 2 5 4" xfId="7252" xr:uid="{00000000-0005-0000-0000-0000411C0000}"/>
    <cellStyle name="Normal 12 4 2 2 2 5 5" xfId="7253" xr:uid="{00000000-0005-0000-0000-0000421C0000}"/>
    <cellStyle name="Normal 12 4 2 2 2 5 6" xfId="7254" xr:uid="{00000000-0005-0000-0000-0000431C0000}"/>
    <cellStyle name="Normal 12 4 2 2 2 6" xfId="7255" xr:uid="{00000000-0005-0000-0000-0000441C0000}"/>
    <cellStyle name="Normal 12 4 2 2 2 6 2" xfId="7256" xr:uid="{00000000-0005-0000-0000-0000451C0000}"/>
    <cellStyle name="Normal 12 4 2 2 2 6 3" xfId="7257" xr:uid="{00000000-0005-0000-0000-0000461C0000}"/>
    <cellStyle name="Normal 12 4 2 2 2 6 4" xfId="7258" xr:uid="{00000000-0005-0000-0000-0000471C0000}"/>
    <cellStyle name="Normal 12 4 2 2 2 6 5" xfId="7259" xr:uid="{00000000-0005-0000-0000-0000481C0000}"/>
    <cellStyle name="Normal 12 4 2 2 2 6 6" xfId="7260" xr:uid="{00000000-0005-0000-0000-0000491C0000}"/>
    <cellStyle name="Normal 12 4 2 2 2 7" xfId="7261" xr:uid="{00000000-0005-0000-0000-00004A1C0000}"/>
    <cellStyle name="Normal 12 4 2 2 2 8" xfId="7262" xr:uid="{00000000-0005-0000-0000-00004B1C0000}"/>
    <cellStyle name="Normal 12 4 2 2 2 9" xfId="7263" xr:uid="{00000000-0005-0000-0000-00004C1C0000}"/>
    <cellStyle name="Normal 12 4 2 2 3" xfId="7264" xr:uid="{00000000-0005-0000-0000-00004D1C0000}"/>
    <cellStyle name="Normal 12 4 2 2 3 2" xfId="7265" xr:uid="{00000000-0005-0000-0000-00004E1C0000}"/>
    <cellStyle name="Normal 12 4 2 2 3 2 2" xfId="7266" xr:uid="{00000000-0005-0000-0000-00004F1C0000}"/>
    <cellStyle name="Normal 12 4 2 2 3 2 3" xfId="7267" xr:uid="{00000000-0005-0000-0000-0000501C0000}"/>
    <cellStyle name="Normal 12 4 2 2 3 2 4" xfId="7268" xr:uid="{00000000-0005-0000-0000-0000511C0000}"/>
    <cellStyle name="Normal 12 4 2 2 3 2 5" xfId="7269" xr:uid="{00000000-0005-0000-0000-0000521C0000}"/>
    <cellStyle name="Normal 12 4 2 2 3 2 6" xfId="7270" xr:uid="{00000000-0005-0000-0000-0000531C0000}"/>
    <cellStyle name="Normal 12 4 2 2 3 3" xfId="7271" xr:uid="{00000000-0005-0000-0000-0000541C0000}"/>
    <cellStyle name="Normal 12 4 2 2 3 3 2" xfId="7272" xr:uid="{00000000-0005-0000-0000-0000551C0000}"/>
    <cellStyle name="Normal 12 4 2 2 3 3 3" xfId="7273" xr:uid="{00000000-0005-0000-0000-0000561C0000}"/>
    <cellStyle name="Normal 12 4 2 2 3 3 4" xfId="7274" xr:uid="{00000000-0005-0000-0000-0000571C0000}"/>
    <cellStyle name="Normal 12 4 2 2 3 3 5" xfId="7275" xr:uid="{00000000-0005-0000-0000-0000581C0000}"/>
    <cellStyle name="Normal 12 4 2 2 3 3 6" xfId="7276" xr:uid="{00000000-0005-0000-0000-0000591C0000}"/>
    <cellStyle name="Normal 12 4 2 2 3 4" xfId="7277" xr:uid="{00000000-0005-0000-0000-00005A1C0000}"/>
    <cellStyle name="Normal 12 4 2 2 3 5" xfId="7278" xr:uid="{00000000-0005-0000-0000-00005B1C0000}"/>
    <cellStyle name="Normal 12 4 2 2 3 6" xfId="7279" xr:uid="{00000000-0005-0000-0000-00005C1C0000}"/>
    <cellStyle name="Normal 12 4 2 2 3 7" xfId="7280" xr:uid="{00000000-0005-0000-0000-00005D1C0000}"/>
    <cellStyle name="Normal 12 4 2 2 3 8" xfId="7281" xr:uid="{00000000-0005-0000-0000-00005E1C0000}"/>
    <cellStyle name="Normal 12 4 2 2 4" xfId="7282" xr:uid="{00000000-0005-0000-0000-00005F1C0000}"/>
    <cellStyle name="Normal 12 4 2 2 4 2" xfId="7283" xr:uid="{00000000-0005-0000-0000-0000601C0000}"/>
    <cellStyle name="Normal 12 4 2 2 4 2 2" xfId="7284" xr:uid="{00000000-0005-0000-0000-0000611C0000}"/>
    <cellStyle name="Normal 12 4 2 2 4 2 3" xfId="7285" xr:uid="{00000000-0005-0000-0000-0000621C0000}"/>
    <cellStyle name="Normal 12 4 2 2 4 2 4" xfId="7286" xr:uid="{00000000-0005-0000-0000-0000631C0000}"/>
    <cellStyle name="Normal 12 4 2 2 4 2 5" xfId="7287" xr:uid="{00000000-0005-0000-0000-0000641C0000}"/>
    <cellStyle name="Normal 12 4 2 2 4 2 6" xfId="7288" xr:uid="{00000000-0005-0000-0000-0000651C0000}"/>
    <cellStyle name="Normal 12 4 2 2 4 3" xfId="7289" xr:uid="{00000000-0005-0000-0000-0000661C0000}"/>
    <cellStyle name="Normal 12 4 2 2 4 3 2" xfId="7290" xr:uid="{00000000-0005-0000-0000-0000671C0000}"/>
    <cellStyle name="Normal 12 4 2 2 4 3 3" xfId="7291" xr:uid="{00000000-0005-0000-0000-0000681C0000}"/>
    <cellStyle name="Normal 12 4 2 2 4 3 4" xfId="7292" xr:uid="{00000000-0005-0000-0000-0000691C0000}"/>
    <cellStyle name="Normal 12 4 2 2 4 3 5" xfId="7293" xr:uid="{00000000-0005-0000-0000-00006A1C0000}"/>
    <cellStyle name="Normal 12 4 2 2 4 3 6" xfId="7294" xr:uid="{00000000-0005-0000-0000-00006B1C0000}"/>
    <cellStyle name="Normal 12 4 2 2 4 4" xfId="7295" xr:uid="{00000000-0005-0000-0000-00006C1C0000}"/>
    <cellStyle name="Normal 12 4 2 2 4 5" xfId="7296" xr:uid="{00000000-0005-0000-0000-00006D1C0000}"/>
    <cellStyle name="Normal 12 4 2 2 4 6" xfId="7297" xr:uid="{00000000-0005-0000-0000-00006E1C0000}"/>
    <cellStyle name="Normal 12 4 2 2 4 7" xfId="7298" xr:uid="{00000000-0005-0000-0000-00006F1C0000}"/>
    <cellStyle name="Normal 12 4 2 2 4 8" xfId="7299" xr:uid="{00000000-0005-0000-0000-0000701C0000}"/>
    <cellStyle name="Normal 12 4 2 2 5" xfId="7300" xr:uid="{00000000-0005-0000-0000-0000711C0000}"/>
    <cellStyle name="Normal 12 4 2 2 5 2" xfId="7301" xr:uid="{00000000-0005-0000-0000-0000721C0000}"/>
    <cellStyle name="Normal 12 4 2 2 5 2 2" xfId="7302" xr:uid="{00000000-0005-0000-0000-0000731C0000}"/>
    <cellStyle name="Normal 12 4 2 2 5 2 3" xfId="7303" xr:uid="{00000000-0005-0000-0000-0000741C0000}"/>
    <cellStyle name="Normal 12 4 2 2 5 2 4" xfId="7304" xr:uid="{00000000-0005-0000-0000-0000751C0000}"/>
    <cellStyle name="Normal 12 4 2 2 5 2 5" xfId="7305" xr:uid="{00000000-0005-0000-0000-0000761C0000}"/>
    <cellStyle name="Normal 12 4 2 2 5 2 6" xfId="7306" xr:uid="{00000000-0005-0000-0000-0000771C0000}"/>
    <cellStyle name="Normal 12 4 2 2 5 3" xfId="7307" xr:uid="{00000000-0005-0000-0000-0000781C0000}"/>
    <cellStyle name="Normal 12 4 2 2 5 3 2" xfId="7308" xr:uid="{00000000-0005-0000-0000-0000791C0000}"/>
    <cellStyle name="Normal 12 4 2 2 5 3 3" xfId="7309" xr:uid="{00000000-0005-0000-0000-00007A1C0000}"/>
    <cellStyle name="Normal 12 4 2 2 5 3 4" xfId="7310" xr:uid="{00000000-0005-0000-0000-00007B1C0000}"/>
    <cellStyle name="Normal 12 4 2 2 5 3 5" xfId="7311" xr:uid="{00000000-0005-0000-0000-00007C1C0000}"/>
    <cellStyle name="Normal 12 4 2 2 5 3 6" xfId="7312" xr:uid="{00000000-0005-0000-0000-00007D1C0000}"/>
    <cellStyle name="Normal 12 4 2 2 5 4" xfId="7313" xr:uid="{00000000-0005-0000-0000-00007E1C0000}"/>
    <cellStyle name="Normal 12 4 2 2 5 5" xfId="7314" xr:uid="{00000000-0005-0000-0000-00007F1C0000}"/>
    <cellStyle name="Normal 12 4 2 2 5 6" xfId="7315" xr:uid="{00000000-0005-0000-0000-0000801C0000}"/>
    <cellStyle name="Normal 12 4 2 2 5 7" xfId="7316" xr:uid="{00000000-0005-0000-0000-0000811C0000}"/>
    <cellStyle name="Normal 12 4 2 2 5 8" xfId="7317" xr:uid="{00000000-0005-0000-0000-0000821C0000}"/>
    <cellStyle name="Normal 12 4 2 2 6" xfId="7318" xr:uid="{00000000-0005-0000-0000-0000831C0000}"/>
    <cellStyle name="Normal 12 4 2 2 6 2" xfId="7319" xr:uid="{00000000-0005-0000-0000-0000841C0000}"/>
    <cellStyle name="Normal 12 4 2 2 6 3" xfId="7320" xr:uid="{00000000-0005-0000-0000-0000851C0000}"/>
    <cellStyle name="Normal 12 4 2 2 6 4" xfId="7321" xr:uid="{00000000-0005-0000-0000-0000861C0000}"/>
    <cellStyle name="Normal 12 4 2 2 6 5" xfId="7322" xr:uid="{00000000-0005-0000-0000-0000871C0000}"/>
    <cellStyle name="Normal 12 4 2 2 6 6" xfId="7323" xr:uid="{00000000-0005-0000-0000-0000881C0000}"/>
    <cellStyle name="Normal 12 4 2 2 7" xfId="7324" xr:uid="{00000000-0005-0000-0000-0000891C0000}"/>
    <cellStyle name="Normal 12 4 2 2 7 2" xfId="7325" xr:uid="{00000000-0005-0000-0000-00008A1C0000}"/>
    <cellStyle name="Normal 12 4 2 2 7 3" xfId="7326" xr:uid="{00000000-0005-0000-0000-00008B1C0000}"/>
    <cellStyle name="Normal 12 4 2 2 7 4" xfId="7327" xr:uid="{00000000-0005-0000-0000-00008C1C0000}"/>
    <cellStyle name="Normal 12 4 2 2 7 5" xfId="7328" xr:uid="{00000000-0005-0000-0000-00008D1C0000}"/>
    <cellStyle name="Normal 12 4 2 2 7 6" xfId="7329" xr:uid="{00000000-0005-0000-0000-00008E1C0000}"/>
    <cellStyle name="Normal 12 4 2 2 8" xfId="7330" xr:uid="{00000000-0005-0000-0000-00008F1C0000}"/>
    <cellStyle name="Normal 12 4 2 2 9" xfId="7331" xr:uid="{00000000-0005-0000-0000-0000901C0000}"/>
    <cellStyle name="Normal 12 4 2 3" xfId="7332" xr:uid="{00000000-0005-0000-0000-0000911C0000}"/>
    <cellStyle name="Normal 12 4 2 3 10" xfId="7333" xr:uid="{00000000-0005-0000-0000-0000921C0000}"/>
    <cellStyle name="Normal 12 4 2 3 11" xfId="7334" xr:uid="{00000000-0005-0000-0000-0000931C0000}"/>
    <cellStyle name="Normal 12 4 2 3 12" xfId="7335" xr:uid="{00000000-0005-0000-0000-0000941C0000}"/>
    <cellStyle name="Normal 12 4 2 3 2" xfId="7336" xr:uid="{00000000-0005-0000-0000-0000951C0000}"/>
    <cellStyle name="Normal 12 4 2 3 2 10" xfId="7337" xr:uid="{00000000-0005-0000-0000-0000961C0000}"/>
    <cellStyle name="Normal 12 4 2 3 2 11" xfId="7338" xr:uid="{00000000-0005-0000-0000-0000971C0000}"/>
    <cellStyle name="Normal 12 4 2 3 2 2" xfId="7339" xr:uid="{00000000-0005-0000-0000-0000981C0000}"/>
    <cellStyle name="Normal 12 4 2 3 2 2 2" xfId="7340" xr:uid="{00000000-0005-0000-0000-0000991C0000}"/>
    <cellStyle name="Normal 12 4 2 3 2 2 2 2" xfId="7341" xr:uid="{00000000-0005-0000-0000-00009A1C0000}"/>
    <cellStyle name="Normal 12 4 2 3 2 2 2 3" xfId="7342" xr:uid="{00000000-0005-0000-0000-00009B1C0000}"/>
    <cellStyle name="Normal 12 4 2 3 2 2 2 4" xfId="7343" xr:uid="{00000000-0005-0000-0000-00009C1C0000}"/>
    <cellStyle name="Normal 12 4 2 3 2 2 2 5" xfId="7344" xr:uid="{00000000-0005-0000-0000-00009D1C0000}"/>
    <cellStyle name="Normal 12 4 2 3 2 2 2 6" xfId="7345" xr:uid="{00000000-0005-0000-0000-00009E1C0000}"/>
    <cellStyle name="Normal 12 4 2 3 2 2 3" xfId="7346" xr:uid="{00000000-0005-0000-0000-00009F1C0000}"/>
    <cellStyle name="Normal 12 4 2 3 2 2 3 2" xfId="7347" xr:uid="{00000000-0005-0000-0000-0000A01C0000}"/>
    <cellStyle name="Normal 12 4 2 3 2 2 3 3" xfId="7348" xr:uid="{00000000-0005-0000-0000-0000A11C0000}"/>
    <cellStyle name="Normal 12 4 2 3 2 2 3 4" xfId="7349" xr:uid="{00000000-0005-0000-0000-0000A21C0000}"/>
    <cellStyle name="Normal 12 4 2 3 2 2 3 5" xfId="7350" xr:uid="{00000000-0005-0000-0000-0000A31C0000}"/>
    <cellStyle name="Normal 12 4 2 3 2 2 3 6" xfId="7351" xr:uid="{00000000-0005-0000-0000-0000A41C0000}"/>
    <cellStyle name="Normal 12 4 2 3 2 2 4" xfId="7352" xr:uid="{00000000-0005-0000-0000-0000A51C0000}"/>
    <cellStyle name="Normal 12 4 2 3 2 2 5" xfId="7353" xr:uid="{00000000-0005-0000-0000-0000A61C0000}"/>
    <cellStyle name="Normal 12 4 2 3 2 2 6" xfId="7354" xr:uid="{00000000-0005-0000-0000-0000A71C0000}"/>
    <cellStyle name="Normal 12 4 2 3 2 2 7" xfId="7355" xr:uid="{00000000-0005-0000-0000-0000A81C0000}"/>
    <cellStyle name="Normal 12 4 2 3 2 2 8" xfId="7356" xr:uid="{00000000-0005-0000-0000-0000A91C0000}"/>
    <cellStyle name="Normal 12 4 2 3 2 3" xfId="7357" xr:uid="{00000000-0005-0000-0000-0000AA1C0000}"/>
    <cellStyle name="Normal 12 4 2 3 2 3 2" xfId="7358" xr:uid="{00000000-0005-0000-0000-0000AB1C0000}"/>
    <cellStyle name="Normal 12 4 2 3 2 3 2 2" xfId="7359" xr:uid="{00000000-0005-0000-0000-0000AC1C0000}"/>
    <cellStyle name="Normal 12 4 2 3 2 3 2 3" xfId="7360" xr:uid="{00000000-0005-0000-0000-0000AD1C0000}"/>
    <cellStyle name="Normal 12 4 2 3 2 3 2 4" xfId="7361" xr:uid="{00000000-0005-0000-0000-0000AE1C0000}"/>
    <cellStyle name="Normal 12 4 2 3 2 3 2 5" xfId="7362" xr:uid="{00000000-0005-0000-0000-0000AF1C0000}"/>
    <cellStyle name="Normal 12 4 2 3 2 3 2 6" xfId="7363" xr:uid="{00000000-0005-0000-0000-0000B01C0000}"/>
    <cellStyle name="Normal 12 4 2 3 2 3 3" xfId="7364" xr:uid="{00000000-0005-0000-0000-0000B11C0000}"/>
    <cellStyle name="Normal 12 4 2 3 2 3 3 2" xfId="7365" xr:uid="{00000000-0005-0000-0000-0000B21C0000}"/>
    <cellStyle name="Normal 12 4 2 3 2 3 3 3" xfId="7366" xr:uid="{00000000-0005-0000-0000-0000B31C0000}"/>
    <cellStyle name="Normal 12 4 2 3 2 3 3 4" xfId="7367" xr:uid="{00000000-0005-0000-0000-0000B41C0000}"/>
    <cellStyle name="Normal 12 4 2 3 2 3 3 5" xfId="7368" xr:uid="{00000000-0005-0000-0000-0000B51C0000}"/>
    <cellStyle name="Normal 12 4 2 3 2 3 3 6" xfId="7369" xr:uid="{00000000-0005-0000-0000-0000B61C0000}"/>
    <cellStyle name="Normal 12 4 2 3 2 3 4" xfId="7370" xr:uid="{00000000-0005-0000-0000-0000B71C0000}"/>
    <cellStyle name="Normal 12 4 2 3 2 3 5" xfId="7371" xr:uid="{00000000-0005-0000-0000-0000B81C0000}"/>
    <cellStyle name="Normal 12 4 2 3 2 3 6" xfId="7372" xr:uid="{00000000-0005-0000-0000-0000B91C0000}"/>
    <cellStyle name="Normal 12 4 2 3 2 3 7" xfId="7373" xr:uid="{00000000-0005-0000-0000-0000BA1C0000}"/>
    <cellStyle name="Normal 12 4 2 3 2 3 8" xfId="7374" xr:uid="{00000000-0005-0000-0000-0000BB1C0000}"/>
    <cellStyle name="Normal 12 4 2 3 2 4" xfId="7375" xr:uid="{00000000-0005-0000-0000-0000BC1C0000}"/>
    <cellStyle name="Normal 12 4 2 3 2 4 2" xfId="7376" xr:uid="{00000000-0005-0000-0000-0000BD1C0000}"/>
    <cellStyle name="Normal 12 4 2 3 2 4 2 2" xfId="7377" xr:uid="{00000000-0005-0000-0000-0000BE1C0000}"/>
    <cellStyle name="Normal 12 4 2 3 2 4 2 3" xfId="7378" xr:uid="{00000000-0005-0000-0000-0000BF1C0000}"/>
    <cellStyle name="Normal 12 4 2 3 2 4 2 4" xfId="7379" xr:uid="{00000000-0005-0000-0000-0000C01C0000}"/>
    <cellStyle name="Normal 12 4 2 3 2 4 2 5" xfId="7380" xr:uid="{00000000-0005-0000-0000-0000C11C0000}"/>
    <cellStyle name="Normal 12 4 2 3 2 4 2 6" xfId="7381" xr:uid="{00000000-0005-0000-0000-0000C21C0000}"/>
    <cellStyle name="Normal 12 4 2 3 2 4 3" xfId="7382" xr:uid="{00000000-0005-0000-0000-0000C31C0000}"/>
    <cellStyle name="Normal 12 4 2 3 2 4 3 2" xfId="7383" xr:uid="{00000000-0005-0000-0000-0000C41C0000}"/>
    <cellStyle name="Normal 12 4 2 3 2 4 3 3" xfId="7384" xr:uid="{00000000-0005-0000-0000-0000C51C0000}"/>
    <cellStyle name="Normal 12 4 2 3 2 4 3 4" xfId="7385" xr:uid="{00000000-0005-0000-0000-0000C61C0000}"/>
    <cellStyle name="Normal 12 4 2 3 2 4 3 5" xfId="7386" xr:uid="{00000000-0005-0000-0000-0000C71C0000}"/>
    <cellStyle name="Normal 12 4 2 3 2 4 3 6" xfId="7387" xr:uid="{00000000-0005-0000-0000-0000C81C0000}"/>
    <cellStyle name="Normal 12 4 2 3 2 4 4" xfId="7388" xr:uid="{00000000-0005-0000-0000-0000C91C0000}"/>
    <cellStyle name="Normal 12 4 2 3 2 4 5" xfId="7389" xr:uid="{00000000-0005-0000-0000-0000CA1C0000}"/>
    <cellStyle name="Normal 12 4 2 3 2 4 6" xfId="7390" xr:uid="{00000000-0005-0000-0000-0000CB1C0000}"/>
    <cellStyle name="Normal 12 4 2 3 2 4 7" xfId="7391" xr:uid="{00000000-0005-0000-0000-0000CC1C0000}"/>
    <cellStyle name="Normal 12 4 2 3 2 4 8" xfId="7392" xr:uid="{00000000-0005-0000-0000-0000CD1C0000}"/>
    <cellStyle name="Normal 12 4 2 3 2 5" xfId="7393" xr:uid="{00000000-0005-0000-0000-0000CE1C0000}"/>
    <cellStyle name="Normal 12 4 2 3 2 5 2" xfId="7394" xr:uid="{00000000-0005-0000-0000-0000CF1C0000}"/>
    <cellStyle name="Normal 12 4 2 3 2 5 3" xfId="7395" xr:uid="{00000000-0005-0000-0000-0000D01C0000}"/>
    <cellStyle name="Normal 12 4 2 3 2 5 4" xfId="7396" xr:uid="{00000000-0005-0000-0000-0000D11C0000}"/>
    <cellStyle name="Normal 12 4 2 3 2 5 5" xfId="7397" xr:uid="{00000000-0005-0000-0000-0000D21C0000}"/>
    <cellStyle name="Normal 12 4 2 3 2 5 6" xfId="7398" xr:uid="{00000000-0005-0000-0000-0000D31C0000}"/>
    <cellStyle name="Normal 12 4 2 3 2 6" xfId="7399" xr:uid="{00000000-0005-0000-0000-0000D41C0000}"/>
    <cellStyle name="Normal 12 4 2 3 2 6 2" xfId="7400" xr:uid="{00000000-0005-0000-0000-0000D51C0000}"/>
    <cellStyle name="Normal 12 4 2 3 2 6 3" xfId="7401" xr:uid="{00000000-0005-0000-0000-0000D61C0000}"/>
    <cellStyle name="Normal 12 4 2 3 2 6 4" xfId="7402" xr:uid="{00000000-0005-0000-0000-0000D71C0000}"/>
    <cellStyle name="Normal 12 4 2 3 2 6 5" xfId="7403" xr:uid="{00000000-0005-0000-0000-0000D81C0000}"/>
    <cellStyle name="Normal 12 4 2 3 2 6 6" xfId="7404" xr:uid="{00000000-0005-0000-0000-0000D91C0000}"/>
    <cellStyle name="Normal 12 4 2 3 2 7" xfId="7405" xr:uid="{00000000-0005-0000-0000-0000DA1C0000}"/>
    <cellStyle name="Normal 12 4 2 3 2 8" xfId="7406" xr:uid="{00000000-0005-0000-0000-0000DB1C0000}"/>
    <cellStyle name="Normal 12 4 2 3 2 9" xfId="7407" xr:uid="{00000000-0005-0000-0000-0000DC1C0000}"/>
    <cellStyle name="Normal 12 4 2 3 3" xfId="7408" xr:uid="{00000000-0005-0000-0000-0000DD1C0000}"/>
    <cellStyle name="Normal 12 4 2 3 3 2" xfId="7409" xr:uid="{00000000-0005-0000-0000-0000DE1C0000}"/>
    <cellStyle name="Normal 12 4 2 3 3 2 2" xfId="7410" xr:uid="{00000000-0005-0000-0000-0000DF1C0000}"/>
    <cellStyle name="Normal 12 4 2 3 3 2 3" xfId="7411" xr:uid="{00000000-0005-0000-0000-0000E01C0000}"/>
    <cellStyle name="Normal 12 4 2 3 3 2 4" xfId="7412" xr:uid="{00000000-0005-0000-0000-0000E11C0000}"/>
    <cellStyle name="Normal 12 4 2 3 3 2 5" xfId="7413" xr:uid="{00000000-0005-0000-0000-0000E21C0000}"/>
    <cellStyle name="Normal 12 4 2 3 3 2 6" xfId="7414" xr:uid="{00000000-0005-0000-0000-0000E31C0000}"/>
    <cellStyle name="Normal 12 4 2 3 3 3" xfId="7415" xr:uid="{00000000-0005-0000-0000-0000E41C0000}"/>
    <cellStyle name="Normal 12 4 2 3 3 3 2" xfId="7416" xr:uid="{00000000-0005-0000-0000-0000E51C0000}"/>
    <cellStyle name="Normal 12 4 2 3 3 3 3" xfId="7417" xr:uid="{00000000-0005-0000-0000-0000E61C0000}"/>
    <cellStyle name="Normal 12 4 2 3 3 3 4" xfId="7418" xr:uid="{00000000-0005-0000-0000-0000E71C0000}"/>
    <cellStyle name="Normal 12 4 2 3 3 3 5" xfId="7419" xr:uid="{00000000-0005-0000-0000-0000E81C0000}"/>
    <cellStyle name="Normal 12 4 2 3 3 3 6" xfId="7420" xr:uid="{00000000-0005-0000-0000-0000E91C0000}"/>
    <cellStyle name="Normal 12 4 2 3 3 4" xfId="7421" xr:uid="{00000000-0005-0000-0000-0000EA1C0000}"/>
    <cellStyle name="Normal 12 4 2 3 3 5" xfId="7422" xr:uid="{00000000-0005-0000-0000-0000EB1C0000}"/>
    <cellStyle name="Normal 12 4 2 3 3 6" xfId="7423" xr:uid="{00000000-0005-0000-0000-0000EC1C0000}"/>
    <cellStyle name="Normal 12 4 2 3 3 7" xfId="7424" xr:uid="{00000000-0005-0000-0000-0000ED1C0000}"/>
    <cellStyle name="Normal 12 4 2 3 3 8" xfId="7425" xr:uid="{00000000-0005-0000-0000-0000EE1C0000}"/>
    <cellStyle name="Normal 12 4 2 3 4" xfId="7426" xr:uid="{00000000-0005-0000-0000-0000EF1C0000}"/>
    <cellStyle name="Normal 12 4 2 3 4 2" xfId="7427" xr:uid="{00000000-0005-0000-0000-0000F01C0000}"/>
    <cellStyle name="Normal 12 4 2 3 4 2 2" xfId="7428" xr:uid="{00000000-0005-0000-0000-0000F11C0000}"/>
    <cellStyle name="Normal 12 4 2 3 4 2 3" xfId="7429" xr:uid="{00000000-0005-0000-0000-0000F21C0000}"/>
    <cellStyle name="Normal 12 4 2 3 4 2 4" xfId="7430" xr:uid="{00000000-0005-0000-0000-0000F31C0000}"/>
    <cellStyle name="Normal 12 4 2 3 4 2 5" xfId="7431" xr:uid="{00000000-0005-0000-0000-0000F41C0000}"/>
    <cellStyle name="Normal 12 4 2 3 4 2 6" xfId="7432" xr:uid="{00000000-0005-0000-0000-0000F51C0000}"/>
    <cellStyle name="Normal 12 4 2 3 4 3" xfId="7433" xr:uid="{00000000-0005-0000-0000-0000F61C0000}"/>
    <cellStyle name="Normal 12 4 2 3 4 3 2" xfId="7434" xr:uid="{00000000-0005-0000-0000-0000F71C0000}"/>
    <cellStyle name="Normal 12 4 2 3 4 3 3" xfId="7435" xr:uid="{00000000-0005-0000-0000-0000F81C0000}"/>
    <cellStyle name="Normal 12 4 2 3 4 3 4" xfId="7436" xr:uid="{00000000-0005-0000-0000-0000F91C0000}"/>
    <cellStyle name="Normal 12 4 2 3 4 3 5" xfId="7437" xr:uid="{00000000-0005-0000-0000-0000FA1C0000}"/>
    <cellStyle name="Normal 12 4 2 3 4 3 6" xfId="7438" xr:uid="{00000000-0005-0000-0000-0000FB1C0000}"/>
    <cellStyle name="Normal 12 4 2 3 4 4" xfId="7439" xr:uid="{00000000-0005-0000-0000-0000FC1C0000}"/>
    <cellStyle name="Normal 12 4 2 3 4 5" xfId="7440" xr:uid="{00000000-0005-0000-0000-0000FD1C0000}"/>
    <cellStyle name="Normal 12 4 2 3 4 6" xfId="7441" xr:uid="{00000000-0005-0000-0000-0000FE1C0000}"/>
    <cellStyle name="Normal 12 4 2 3 4 7" xfId="7442" xr:uid="{00000000-0005-0000-0000-0000FF1C0000}"/>
    <cellStyle name="Normal 12 4 2 3 4 8" xfId="7443" xr:uid="{00000000-0005-0000-0000-0000001D0000}"/>
    <cellStyle name="Normal 12 4 2 3 5" xfId="7444" xr:uid="{00000000-0005-0000-0000-0000011D0000}"/>
    <cellStyle name="Normal 12 4 2 3 5 2" xfId="7445" xr:uid="{00000000-0005-0000-0000-0000021D0000}"/>
    <cellStyle name="Normal 12 4 2 3 5 2 2" xfId="7446" xr:uid="{00000000-0005-0000-0000-0000031D0000}"/>
    <cellStyle name="Normal 12 4 2 3 5 2 3" xfId="7447" xr:uid="{00000000-0005-0000-0000-0000041D0000}"/>
    <cellStyle name="Normal 12 4 2 3 5 2 4" xfId="7448" xr:uid="{00000000-0005-0000-0000-0000051D0000}"/>
    <cellStyle name="Normal 12 4 2 3 5 2 5" xfId="7449" xr:uid="{00000000-0005-0000-0000-0000061D0000}"/>
    <cellStyle name="Normal 12 4 2 3 5 2 6" xfId="7450" xr:uid="{00000000-0005-0000-0000-0000071D0000}"/>
    <cellStyle name="Normal 12 4 2 3 5 3" xfId="7451" xr:uid="{00000000-0005-0000-0000-0000081D0000}"/>
    <cellStyle name="Normal 12 4 2 3 5 3 2" xfId="7452" xr:uid="{00000000-0005-0000-0000-0000091D0000}"/>
    <cellStyle name="Normal 12 4 2 3 5 3 3" xfId="7453" xr:uid="{00000000-0005-0000-0000-00000A1D0000}"/>
    <cellStyle name="Normal 12 4 2 3 5 3 4" xfId="7454" xr:uid="{00000000-0005-0000-0000-00000B1D0000}"/>
    <cellStyle name="Normal 12 4 2 3 5 3 5" xfId="7455" xr:uid="{00000000-0005-0000-0000-00000C1D0000}"/>
    <cellStyle name="Normal 12 4 2 3 5 3 6" xfId="7456" xr:uid="{00000000-0005-0000-0000-00000D1D0000}"/>
    <cellStyle name="Normal 12 4 2 3 5 4" xfId="7457" xr:uid="{00000000-0005-0000-0000-00000E1D0000}"/>
    <cellStyle name="Normal 12 4 2 3 5 5" xfId="7458" xr:uid="{00000000-0005-0000-0000-00000F1D0000}"/>
    <cellStyle name="Normal 12 4 2 3 5 6" xfId="7459" xr:uid="{00000000-0005-0000-0000-0000101D0000}"/>
    <cellStyle name="Normal 12 4 2 3 5 7" xfId="7460" xr:uid="{00000000-0005-0000-0000-0000111D0000}"/>
    <cellStyle name="Normal 12 4 2 3 5 8" xfId="7461" xr:uid="{00000000-0005-0000-0000-0000121D0000}"/>
    <cellStyle name="Normal 12 4 2 3 6" xfId="7462" xr:uid="{00000000-0005-0000-0000-0000131D0000}"/>
    <cellStyle name="Normal 12 4 2 3 6 2" xfId="7463" xr:uid="{00000000-0005-0000-0000-0000141D0000}"/>
    <cellStyle name="Normal 12 4 2 3 6 3" xfId="7464" xr:uid="{00000000-0005-0000-0000-0000151D0000}"/>
    <cellStyle name="Normal 12 4 2 3 6 4" xfId="7465" xr:uid="{00000000-0005-0000-0000-0000161D0000}"/>
    <cellStyle name="Normal 12 4 2 3 6 5" xfId="7466" xr:uid="{00000000-0005-0000-0000-0000171D0000}"/>
    <cellStyle name="Normal 12 4 2 3 6 6" xfId="7467" xr:uid="{00000000-0005-0000-0000-0000181D0000}"/>
    <cellStyle name="Normal 12 4 2 3 7" xfId="7468" xr:uid="{00000000-0005-0000-0000-0000191D0000}"/>
    <cellStyle name="Normal 12 4 2 3 7 2" xfId="7469" xr:uid="{00000000-0005-0000-0000-00001A1D0000}"/>
    <cellStyle name="Normal 12 4 2 3 7 3" xfId="7470" xr:uid="{00000000-0005-0000-0000-00001B1D0000}"/>
    <cellStyle name="Normal 12 4 2 3 7 4" xfId="7471" xr:uid="{00000000-0005-0000-0000-00001C1D0000}"/>
    <cellStyle name="Normal 12 4 2 3 7 5" xfId="7472" xr:uid="{00000000-0005-0000-0000-00001D1D0000}"/>
    <cellStyle name="Normal 12 4 2 3 7 6" xfId="7473" xr:uid="{00000000-0005-0000-0000-00001E1D0000}"/>
    <cellStyle name="Normal 12 4 2 3 8" xfId="7474" xr:uid="{00000000-0005-0000-0000-00001F1D0000}"/>
    <cellStyle name="Normal 12 4 2 3 9" xfId="7475" xr:uid="{00000000-0005-0000-0000-0000201D0000}"/>
    <cellStyle name="Normal 12 4 2 4" xfId="7476" xr:uid="{00000000-0005-0000-0000-0000211D0000}"/>
    <cellStyle name="Normal 12 4 2 4 10" xfId="7477" xr:uid="{00000000-0005-0000-0000-0000221D0000}"/>
    <cellStyle name="Normal 12 4 2 4 11" xfId="7478" xr:uid="{00000000-0005-0000-0000-0000231D0000}"/>
    <cellStyle name="Normal 12 4 2 4 2" xfId="7479" xr:uid="{00000000-0005-0000-0000-0000241D0000}"/>
    <cellStyle name="Normal 12 4 2 4 2 2" xfId="7480" xr:uid="{00000000-0005-0000-0000-0000251D0000}"/>
    <cellStyle name="Normal 12 4 2 4 2 2 2" xfId="7481" xr:uid="{00000000-0005-0000-0000-0000261D0000}"/>
    <cellStyle name="Normal 12 4 2 4 2 2 3" xfId="7482" xr:uid="{00000000-0005-0000-0000-0000271D0000}"/>
    <cellStyle name="Normal 12 4 2 4 2 2 4" xfId="7483" xr:uid="{00000000-0005-0000-0000-0000281D0000}"/>
    <cellStyle name="Normal 12 4 2 4 2 2 5" xfId="7484" xr:uid="{00000000-0005-0000-0000-0000291D0000}"/>
    <cellStyle name="Normal 12 4 2 4 2 2 6" xfId="7485" xr:uid="{00000000-0005-0000-0000-00002A1D0000}"/>
    <cellStyle name="Normal 12 4 2 4 2 3" xfId="7486" xr:uid="{00000000-0005-0000-0000-00002B1D0000}"/>
    <cellStyle name="Normal 12 4 2 4 2 3 2" xfId="7487" xr:uid="{00000000-0005-0000-0000-00002C1D0000}"/>
    <cellStyle name="Normal 12 4 2 4 2 3 3" xfId="7488" xr:uid="{00000000-0005-0000-0000-00002D1D0000}"/>
    <cellStyle name="Normal 12 4 2 4 2 3 4" xfId="7489" xr:uid="{00000000-0005-0000-0000-00002E1D0000}"/>
    <cellStyle name="Normal 12 4 2 4 2 3 5" xfId="7490" xr:uid="{00000000-0005-0000-0000-00002F1D0000}"/>
    <cellStyle name="Normal 12 4 2 4 2 3 6" xfId="7491" xr:uid="{00000000-0005-0000-0000-0000301D0000}"/>
    <cellStyle name="Normal 12 4 2 4 2 4" xfId="7492" xr:uid="{00000000-0005-0000-0000-0000311D0000}"/>
    <cellStyle name="Normal 12 4 2 4 2 5" xfId="7493" xr:uid="{00000000-0005-0000-0000-0000321D0000}"/>
    <cellStyle name="Normal 12 4 2 4 2 6" xfId="7494" xr:uid="{00000000-0005-0000-0000-0000331D0000}"/>
    <cellStyle name="Normal 12 4 2 4 2 7" xfId="7495" xr:uid="{00000000-0005-0000-0000-0000341D0000}"/>
    <cellStyle name="Normal 12 4 2 4 2 8" xfId="7496" xr:uid="{00000000-0005-0000-0000-0000351D0000}"/>
    <cellStyle name="Normal 12 4 2 4 3" xfId="7497" xr:uid="{00000000-0005-0000-0000-0000361D0000}"/>
    <cellStyle name="Normal 12 4 2 4 3 2" xfId="7498" xr:uid="{00000000-0005-0000-0000-0000371D0000}"/>
    <cellStyle name="Normal 12 4 2 4 3 2 2" xfId="7499" xr:uid="{00000000-0005-0000-0000-0000381D0000}"/>
    <cellStyle name="Normal 12 4 2 4 3 2 3" xfId="7500" xr:uid="{00000000-0005-0000-0000-0000391D0000}"/>
    <cellStyle name="Normal 12 4 2 4 3 2 4" xfId="7501" xr:uid="{00000000-0005-0000-0000-00003A1D0000}"/>
    <cellStyle name="Normal 12 4 2 4 3 2 5" xfId="7502" xr:uid="{00000000-0005-0000-0000-00003B1D0000}"/>
    <cellStyle name="Normal 12 4 2 4 3 2 6" xfId="7503" xr:uid="{00000000-0005-0000-0000-00003C1D0000}"/>
    <cellStyle name="Normal 12 4 2 4 3 3" xfId="7504" xr:uid="{00000000-0005-0000-0000-00003D1D0000}"/>
    <cellStyle name="Normal 12 4 2 4 3 3 2" xfId="7505" xr:uid="{00000000-0005-0000-0000-00003E1D0000}"/>
    <cellStyle name="Normal 12 4 2 4 3 3 3" xfId="7506" xr:uid="{00000000-0005-0000-0000-00003F1D0000}"/>
    <cellStyle name="Normal 12 4 2 4 3 3 4" xfId="7507" xr:uid="{00000000-0005-0000-0000-0000401D0000}"/>
    <cellStyle name="Normal 12 4 2 4 3 3 5" xfId="7508" xr:uid="{00000000-0005-0000-0000-0000411D0000}"/>
    <cellStyle name="Normal 12 4 2 4 3 3 6" xfId="7509" xr:uid="{00000000-0005-0000-0000-0000421D0000}"/>
    <cellStyle name="Normal 12 4 2 4 3 4" xfId="7510" xr:uid="{00000000-0005-0000-0000-0000431D0000}"/>
    <cellStyle name="Normal 12 4 2 4 3 5" xfId="7511" xr:uid="{00000000-0005-0000-0000-0000441D0000}"/>
    <cellStyle name="Normal 12 4 2 4 3 6" xfId="7512" xr:uid="{00000000-0005-0000-0000-0000451D0000}"/>
    <cellStyle name="Normal 12 4 2 4 3 7" xfId="7513" xr:uid="{00000000-0005-0000-0000-0000461D0000}"/>
    <cellStyle name="Normal 12 4 2 4 3 8" xfId="7514" xr:uid="{00000000-0005-0000-0000-0000471D0000}"/>
    <cellStyle name="Normal 12 4 2 4 4" xfId="7515" xr:uid="{00000000-0005-0000-0000-0000481D0000}"/>
    <cellStyle name="Normal 12 4 2 4 4 2" xfId="7516" xr:uid="{00000000-0005-0000-0000-0000491D0000}"/>
    <cellStyle name="Normal 12 4 2 4 4 2 2" xfId="7517" xr:uid="{00000000-0005-0000-0000-00004A1D0000}"/>
    <cellStyle name="Normal 12 4 2 4 4 2 3" xfId="7518" xr:uid="{00000000-0005-0000-0000-00004B1D0000}"/>
    <cellStyle name="Normal 12 4 2 4 4 2 4" xfId="7519" xr:uid="{00000000-0005-0000-0000-00004C1D0000}"/>
    <cellStyle name="Normal 12 4 2 4 4 2 5" xfId="7520" xr:uid="{00000000-0005-0000-0000-00004D1D0000}"/>
    <cellStyle name="Normal 12 4 2 4 4 2 6" xfId="7521" xr:uid="{00000000-0005-0000-0000-00004E1D0000}"/>
    <cellStyle name="Normal 12 4 2 4 4 3" xfId="7522" xr:uid="{00000000-0005-0000-0000-00004F1D0000}"/>
    <cellStyle name="Normal 12 4 2 4 4 3 2" xfId="7523" xr:uid="{00000000-0005-0000-0000-0000501D0000}"/>
    <cellStyle name="Normal 12 4 2 4 4 3 3" xfId="7524" xr:uid="{00000000-0005-0000-0000-0000511D0000}"/>
    <cellStyle name="Normal 12 4 2 4 4 3 4" xfId="7525" xr:uid="{00000000-0005-0000-0000-0000521D0000}"/>
    <cellStyle name="Normal 12 4 2 4 4 3 5" xfId="7526" xr:uid="{00000000-0005-0000-0000-0000531D0000}"/>
    <cellStyle name="Normal 12 4 2 4 4 3 6" xfId="7527" xr:uid="{00000000-0005-0000-0000-0000541D0000}"/>
    <cellStyle name="Normal 12 4 2 4 4 4" xfId="7528" xr:uid="{00000000-0005-0000-0000-0000551D0000}"/>
    <cellStyle name="Normal 12 4 2 4 4 5" xfId="7529" xr:uid="{00000000-0005-0000-0000-0000561D0000}"/>
    <cellStyle name="Normal 12 4 2 4 4 6" xfId="7530" xr:uid="{00000000-0005-0000-0000-0000571D0000}"/>
    <cellStyle name="Normal 12 4 2 4 4 7" xfId="7531" xr:uid="{00000000-0005-0000-0000-0000581D0000}"/>
    <cellStyle name="Normal 12 4 2 4 4 8" xfId="7532" xr:uid="{00000000-0005-0000-0000-0000591D0000}"/>
    <cellStyle name="Normal 12 4 2 4 5" xfId="7533" xr:uid="{00000000-0005-0000-0000-00005A1D0000}"/>
    <cellStyle name="Normal 12 4 2 4 5 2" xfId="7534" xr:uid="{00000000-0005-0000-0000-00005B1D0000}"/>
    <cellStyle name="Normal 12 4 2 4 5 3" xfId="7535" xr:uid="{00000000-0005-0000-0000-00005C1D0000}"/>
    <cellStyle name="Normal 12 4 2 4 5 4" xfId="7536" xr:uid="{00000000-0005-0000-0000-00005D1D0000}"/>
    <cellStyle name="Normal 12 4 2 4 5 5" xfId="7537" xr:uid="{00000000-0005-0000-0000-00005E1D0000}"/>
    <cellStyle name="Normal 12 4 2 4 5 6" xfId="7538" xr:uid="{00000000-0005-0000-0000-00005F1D0000}"/>
    <cellStyle name="Normal 12 4 2 4 6" xfId="7539" xr:uid="{00000000-0005-0000-0000-0000601D0000}"/>
    <cellStyle name="Normal 12 4 2 4 6 2" xfId="7540" xr:uid="{00000000-0005-0000-0000-0000611D0000}"/>
    <cellStyle name="Normal 12 4 2 4 6 3" xfId="7541" xr:uid="{00000000-0005-0000-0000-0000621D0000}"/>
    <cellStyle name="Normal 12 4 2 4 6 4" xfId="7542" xr:uid="{00000000-0005-0000-0000-0000631D0000}"/>
    <cellStyle name="Normal 12 4 2 4 6 5" xfId="7543" xr:uid="{00000000-0005-0000-0000-0000641D0000}"/>
    <cellStyle name="Normal 12 4 2 4 6 6" xfId="7544" xr:uid="{00000000-0005-0000-0000-0000651D0000}"/>
    <cellStyle name="Normal 12 4 2 4 7" xfId="7545" xr:uid="{00000000-0005-0000-0000-0000661D0000}"/>
    <cellStyle name="Normal 12 4 2 4 8" xfId="7546" xr:uid="{00000000-0005-0000-0000-0000671D0000}"/>
    <cellStyle name="Normal 12 4 2 4 9" xfId="7547" xr:uid="{00000000-0005-0000-0000-0000681D0000}"/>
    <cellStyle name="Normal 12 4 2 5" xfId="7548" xr:uid="{00000000-0005-0000-0000-0000691D0000}"/>
    <cellStyle name="Normal 12 4 2 5 2" xfId="7549" xr:uid="{00000000-0005-0000-0000-00006A1D0000}"/>
    <cellStyle name="Normal 12 4 2 5 2 2" xfId="7550" xr:uid="{00000000-0005-0000-0000-00006B1D0000}"/>
    <cellStyle name="Normal 12 4 2 5 2 3" xfId="7551" xr:uid="{00000000-0005-0000-0000-00006C1D0000}"/>
    <cellStyle name="Normal 12 4 2 5 2 4" xfId="7552" xr:uid="{00000000-0005-0000-0000-00006D1D0000}"/>
    <cellStyle name="Normal 12 4 2 5 2 5" xfId="7553" xr:uid="{00000000-0005-0000-0000-00006E1D0000}"/>
    <cellStyle name="Normal 12 4 2 5 2 6" xfId="7554" xr:uid="{00000000-0005-0000-0000-00006F1D0000}"/>
    <cellStyle name="Normal 12 4 2 5 3" xfId="7555" xr:uid="{00000000-0005-0000-0000-0000701D0000}"/>
    <cellStyle name="Normal 12 4 2 5 3 2" xfId="7556" xr:uid="{00000000-0005-0000-0000-0000711D0000}"/>
    <cellStyle name="Normal 12 4 2 5 3 3" xfId="7557" xr:uid="{00000000-0005-0000-0000-0000721D0000}"/>
    <cellStyle name="Normal 12 4 2 5 3 4" xfId="7558" xr:uid="{00000000-0005-0000-0000-0000731D0000}"/>
    <cellStyle name="Normal 12 4 2 5 3 5" xfId="7559" xr:uid="{00000000-0005-0000-0000-0000741D0000}"/>
    <cellStyle name="Normal 12 4 2 5 3 6" xfId="7560" xr:uid="{00000000-0005-0000-0000-0000751D0000}"/>
    <cellStyle name="Normal 12 4 2 5 4" xfId="7561" xr:uid="{00000000-0005-0000-0000-0000761D0000}"/>
    <cellStyle name="Normal 12 4 2 5 5" xfId="7562" xr:uid="{00000000-0005-0000-0000-0000771D0000}"/>
    <cellStyle name="Normal 12 4 2 5 6" xfId="7563" xr:uid="{00000000-0005-0000-0000-0000781D0000}"/>
    <cellStyle name="Normal 12 4 2 5 7" xfId="7564" xr:uid="{00000000-0005-0000-0000-0000791D0000}"/>
    <cellStyle name="Normal 12 4 2 5 8" xfId="7565" xr:uid="{00000000-0005-0000-0000-00007A1D0000}"/>
    <cellStyle name="Normal 12 4 2 6" xfId="7566" xr:uid="{00000000-0005-0000-0000-00007B1D0000}"/>
    <cellStyle name="Normal 12 4 2 6 2" xfId="7567" xr:uid="{00000000-0005-0000-0000-00007C1D0000}"/>
    <cellStyle name="Normal 12 4 2 6 2 2" xfId="7568" xr:uid="{00000000-0005-0000-0000-00007D1D0000}"/>
    <cellStyle name="Normal 12 4 2 6 2 3" xfId="7569" xr:uid="{00000000-0005-0000-0000-00007E1D0000}"/>
    <cellStyle name="Normal 12 4 2 6 2 4" xfId="7570" xr:uid="{00000000-0005-0000-0000-00007F1D0000}"/>
    <cellStyle name="Normal 12 4 2 6 2 5" xfId="7571" xr:uid="{00000000-0005-0000-0000-0000801D0000}"/>
    <cellStyle name="Normal 12 4 2 6 2 6" xfId="7572" xr:uid="{00000000-0005-0000-0000-0000811D0000}"/>
    <cellStyle name="Normal 12 4 2 6 3" xfId="7573" xr:uid="{00000000-0005-0000-0000-0000821D0000}"/>
    <cellStyle name="Normal 12 4 2 6 3 2" xfId="7574" xr:uid="{00000000-0005-0000-0000-0000831D0000}"/>
    <cellStyle name="Normal 12 4 2 6 3 3" xfId="7575" xr:uid="{00000000-0005-0000-0000-0000841D0000}"/>
    <cellStyle name="Normal 12 4 2 6 3 4" xfId="7576" xr:uid="{00000000-0005-0000-0000-0000851D0000}"/>
    <cellStyle name="Normal 12 4 2 6 3 5" xfId="7577" xr:uid="{00000000-0005-0000-0000-0000861D0000}"/>
    <cellStyle name="Normal 12 4 2 6 3 6" xfId="7578" xr:uid="{00000000-0005-0000-0000-0000871D0000}"/>
    <cellStyle name="Normal 12 4 2 6 4" xfId="7579" xr:uid="{00000000-0005-0000-0000-0000881D0000}"/>
    <cellStyle name="Normal 12 4 2 6 5" xfId="7580" xr:uid="{00000000-0005-0000-0000-0000891D0000}"/>
    <cellStyle name="Normal 12 4 2 6 6" xfId="7581" xr:uid="{00000000-0005-0000-0000-00008A1D0000}"/>
    <cellStyle name="Normal 12 4 2 6 7" xfId="7582" xr:uid="{00000000-0005-0000-0000-00008B1D0000}"/>
    <cellStyle name="Normal 12 4 2 6 8" xfId="7583" xr:uid="{00000000-0005-0000-0000-00008C1D0000}"/>
    <cellStyle name="Normal 12 4 2 7" xfId="7584" xr:uid="{00000000-0005-0000-0000-00008D1D0000}"/>
    <cellStyle name="Normal 12 4 2 7 2" xfId="7585" xr:uid="{00000000-0005-0000-0000-00008E1D0000}"/>
    <cellStyle name="Normal 12 4 2 7 2 2" xfId="7586" xr:uid="{00000000-0005-0000-0000-00008F1D0000}"/>
    <cellStyle name="Normal 12 4 2 7 2 3" xfId="7587" xr:uid="{00000000-0005-0000-0000-0000901D0000}"/>
    <cellStyle name="Normal 12 4 2 7 2 4" xfId="7588" xr:uid="{00000000-0005-0000-0000-0000911D0000}"/>
    <cellStyle name="Normal 12 4 2 7 2 5" xfId="7589" xr:uid="{00000000-0005-0000-0000-0000921D0000}"/>
    <cellStyle name="Normal 12 4 2 7 2 6" xfId="7590" xr:uid="{00000000-0005-0000-0000-0000931D0000}"/>
    <cellStyle name="Normal 12 4 2 7 3" xfId="7591" xr:uid="{00000000-0005-0000-0000-0000941D0000}"/>
    <cellStyle name="Normal 12 4 2 7 3 2" xfId="7592" xr:uid="{00000000-0005-0000-0000-0000951D0000}"/>
    <cellStyle name="Normal 12 4 2 7 3 3" xfId="7593" xr:uid="{00000000-0005-0000-0000-0000961D0000}"/>
    <cellStyle name="Normal 12 4 2 7 3 4" xfId="7594" xr:uid="{00000000-0005-0000-0000-0000971D0000}"/>
    <cellStyle name="Normal 12 4 2 7 3 5" xfId="7595" xr:uid="{00000000-0005-0000-0000-0000981D0000}"/>
    <cellStyle name="Normal 12 4 2 7 3 6" xfId="7596" xr:uid="{00000000-0005-0000-0000-0000991D0000}"/>
    <cellStyle name="Normal 12 4 2 7 4" xfId="7597" xr:uid="{00000000-0005-0000-0000-00009A1D0000}"/>
    <cellStyle name="Normal 12 4 2 7 5" xfId="7598" xr:uid="{00000000-0005-0000-0000-00009B1D0000}"/>
    <cellStyle name="Normal 12 4 2 7 6" xfId="7599" xr:uid="{00000000-0005-0000-0000-00009C1D0000}"/>
    <cellStyle name="Normal 12 4 2 7 7" xfId="7600" xr:uid="{00000000-0005-0000-0000-00009D1D0000}"/>
    <cellStyle name="Normal 12 4 2 7 8" xfId="7601" xr:uid="{00000000-0005-0000-0000-00009E1D0000}"/>
    <cellStyle name="Normal 12 4 2 8" xfId="7602" xr:uid="{00000000-0005-0000-0000-00009F1D0000}"/>
    <cellStyle name="Normal 12 4 2 8 2" xfId="7603" xr:uid="{00000000-0005-0000-0000-0000A01D0000}"/>
    <cellStyle name="Normal 12 4 2 8 3" xfId="7604" xr:uid="{00000000-0005-0000-0000-0000A11D0000}"/>
    <cellStyle name="Normal 12 4 2 8 4" xfId="7605" xr:uid="{00000000-0005-0000-0000-0000A21D0000}"/>
    <cellStyle name="Normal 12 4 2 8 5" xfId="7606" xr:uid="{00000000-0005-0000-0000-0000A31D0000}"/>
    <cellStyle name="Normal 12 4 2 8 6" xfId="7607" xr:uid="{00000000-0005-0000-0000-0000A41D0000}"/>
    <cellStyle name="Normal 12 4 2 9" xfId="7608" xr:uid="{00000000-0005-0000-0000-0000A51D0000}"/>
    <cellStyle name="Normal 12 4 2 9 2" xfId="7609" xr:uid="{00000000-0005-0000-0000-0000A61D0000}"/>
    <cellStyle name="Normal 12 4 2 9 3" xfId="7610" xr:uid="{00000000-0005-0000-0000-0000A71D0000}"/>
    <cellStyle name="Normal 12 4 2 9 4" xfId="7611" xr:uid="{00000000-0005-0000-0000-0000A81D0000}"/>
    <cellStyle name="Normal 12 4 2 9 5" xfId="7612" xr:uid="{00000000-0005-0000-0000-0000A91D0000}"/>
    <cellStyle name="Normal 12 4 2 9 6" xfId="7613" xr:uid="{00000000-0005-0000-0000-0000AA1D0000}"/>
    <cellStyle name="Normal 12 4 3" xfId="7614" xr:uid="{00000000-0005-0000-0000-0000AB1D0000}"/>
    <cellStyle name="Normal 12 4 3 10" xfId="7615" xr:uid="{00000000-0005-0000-0000-0000AC1D0000}"/>
    <cellStyle name="Normal 12 4 3 11" xfId="7616" xr:uid="{00000000-0005-0000-0000-0000AD1D0000}"/>
    <cellStyle name="Normal 12 4 3 12" xfId="7617" xr:uid="{00000000-0005-0000-0000-0000AE1D0000}"/>
    <cellStyle name="Normal 12 4 3 2" xfId="7618" xr:uid="{00000000-0005-0000-0000-0000AF1D0000}"/>
    <cellStyle name="Normal 12 4 3 2 10" xfId="7619" xr:uid="{00000000-0005-0000-0000-0000B01D0000}"/>
    <cellStyle name="Normal 12 4 3 2 11" xfId="7620" xr:uid="{00000000-0005-0000-0000-0000B11D0000}"/>
    <cellStyle name="Normal 12 4 3 2 2" xfId="7621" xr:uid="{00000000-0005-0000-0000-0000B21D0000}"/>
    <cellStyle name="Normal 12 4 3 2 2 2" xfId="7622" xr:uid="{00000000-0005-0000-0000-0000B31D0000}"/>
    <cellStyle name="Normal 12 4 3 2 2 2 2" xfId="7623" xr:uid="{00000000-0005-0000-0000-0000B41D0000}"/>
    <cellStyle name="Normal 12 4 3 2 2 2 3" xfId="7624" xr:uid="{00000000-0005-0000-0000-0000B51D0000}"/>
    <cellStyle name="Normal 12 4 3 2 2 2 4" xfId="7625" xr:uid="{00000000-0005-0000-0000-0000B61D0000}"/>
    <cellStyle name="Normal 12 4 3 2 2 2 5" xfId="7626" xr:uid="{00000000-0005-0000-0000-0000B71D0000}"/>
    <cellStyle name="Normal 12 4 3 2 2 2 6" xfId="7627" xr:uid="{00000000-0005-0000-0000-0000B81D0000}"/>
    <cellStyle name="Normal 12 4 3 2 2 3" xfId="7628" xr:uid="{00000000-0005-0000-0000-0000B91D0000}"/>
    <cellStyle name="Normal 12 4 3 2 2 3 2" xfId="7629" xr:uid="{00000000-0005-0000-0000-0000BA1D0000}"/>
    <cellStyle name="Normal 12 4 3 2 2 3 3" xfId="7630" xr:uid="{00000000-0005-0000-0000-0000BB1D0000}"/>
    <cellStyle name="Normal 12 4 3 2 2 3 4" xfId="7631" xr:uid="{00000000-0005-0000-0000-0000BC1D0000}"/>
    <cellStyle name="Normal 12 4 3 2 2 3 5" xfId="7632" xr:uid="{00000000-0005-0000-0000-0000BD1D0000}"/>
    <cellStyle name="Normal 12 4 3 2 2 3 6" xfId="7633" xr:uid="{00000000-0005-0000-0000-0000BE1D0000}"/>
    <cellStyle name="Normal 12 4 3 2 2 4" xfId="7634" xr:uid="{00000000-0005-0000-0000-0000BF1D0000}"/>
    <cellStyle name="Normal 12 4 3 2 2 5" xfId="7635" xr:uid="{00000000-0005-0000-0000-0000C01D0000}"/>
    <cellStyle name="Normal 12 4 3 2 2 6" xfId="7636" xr:uid="{00000000-0005-0000-0000-0000C11D0000}"/>
    <cellStyle name="Normal 12 4 3 2 2 7" xfId="7637" xr:uid="{00000000-0005-0000-0000-0000C21D0000}"/>
    <cellStyle name="Normal 12 4 3 2 2 8" xfId="7638" xr:uid="{00000000-0005-0000-0000-0000C31D0000}"/>
    <cellStyle name="Normal 12 4 3 2 3" xfId="7639" xr:uid="{00000000-0005-0000-0000-0000C41D0000}"/>
    <cellStyle name="Normal 12 4 3 2 3 2" xfId="7640" xr:uid="{00000000-0005-0000-0000-0000C51D0000}"/>
    <cellStyle name="Normal 12 4 3 2 3 2 2" xfId="7641" xr:uid="{00000000-0005-0000-0000-0000C61D0000}"/>
    <cellStyle name="Normal 12 4 3 2 3 2 3" xfId="7642" xr:uid="{00000000-0005-0000-0000-0000C71D0000}"/>
    <cellStyle name="Normal 12 4 3 2 3 2 4" xfId="7643" xr:uid="{00000000-0005-0000-0000-0000C81D0000}"/>
    <cellStyle name="Normal 12 4 3 2 3 2 5" xfId="7644" xr:uid="{00000000-0005-0000-0000-0000C91D0000}"/>
    <cellStyle name="Normal 12 4 3 2 3 2 6" xfId="7645" xr:uid="{00000000-0005-0000-0000-0000CA1D0000}"/>
    <cellStyle name="Normal 12 4 3 2 3 3" xfId="7646" xr:uid="{00000000-0005-0000-0000-0000CB1D0000}"/>
    <cellStyle name="Normal 12 4 3 2 3 3 2" xfId="7647" xr:uid="{00000000-0005-0000-0000-0000CC1D0000}"/>
    <cellStyle name="Normal 12 4 3 2 3 3 3" xfId="7648" xr:uid="{00000000-0005-0000-0000-0000CD1D0000}"/>
    <cellStyle name="Normal 12 4 3 2 3 3 4" xfId="7649" xr:uid="{00000000-0005-0000-0000-0000CE1D0000}"/>
    <cellStyle name="Normal 12 4 3 2 3 3 5" xfId="7650" xr:uid="{00000000-0005-0000-0000-0000CF1D0000}"/>
    <cellStyle name="Normal 12 4 3 2 3 3 6" xfId="7651" xr:uid="{00000000-0005-0000-0000-0000D01D0000}"/>
    <cellStyle name="Normal 12 4 3 2 3 4" xfId="7652" xr:uid="{00000000-0005-0000-0000-0000D11D0000}"/>
    <cellStyle name="Normal 12 4 3 2 3 5" xfId="7653" xr:uid="{00000000-0005-0000-0000-0000D21D0000}"/>
    <cellStyle name="Normal 12 4 3 2 3 6" xfId="7654" xr:uid="{00000000-0005-0000-0000-0000D31D0000}"/>
    <cellStyle name="Normal 12 4 3 2 3 7" xfId="7655" xr:uid="{00000000-0005-0000-0000-0000D41D0000}"/>
    <cellStyle name="Normal 12 4 3 2 3 8" xfId="7656" xr:uid="{00000000-0005-0000-0000-0000D51D0000}"/>
    <cellStyle name="Normal 12 4 3 2 4" xfId="7657" xr:uid="{00000000-0005-0000-0000-0000D61D0000}"/>
    <cellStyle name="Normal 12 4 3 2 4 2" xfId="7658" xr:uid="{00000000-0005-0000-0000-0000D71D0000}"/>
    <cellStyle name="Normal 12 4 3 2 4 2 2" xfId="7659" xr:uid="{00000000-0005-0000-0000-0000D81D0000}"/>
    <cellStyle name="Normal 12 4 3 2 4 2 3" xfId="7660" xr:uid="{00000000-0005-0000-0000-0000D91D0000}"/>
    <cellStyle name="Normal 12 4 3 2 4 2 4" xfId="7661" xr:uid="{00000000-0005-0000-0000-0000DA1D0000}"/>
    <cellStyle name="Normal 12 4 3 2 4 2 5" xfId="7662" xr:uid="{00000000-0005-0000-0000-0000DB1D0000}"/>
    <cellStyle name="Normal 12 4 3 2 4 2 6" xfId="7663" xr:uid="{00000000-0005-0000-0000-0000DC1D0000}"/>
    <cellStyle name="Normal 12 4 3 2 4 3" xfId="7664" xr:uid="{00000000-0005-0000-0000-0000DD1D0000}"/>
    <cellStyle name="Normal 12 4 3 2 4 3 2" xfId="7665" xr:uid="{00000000-0005-0000-0000-0000DE1D0000}"/>
    <cellStyle name="Normal 12 4 3 2 4 3 3" xfId="7666" xr:uid="{00000000-0005-0000-0000-0000DF1D0000}"/>
    <cellStyle name="Normal 12 4 3 2 4 3 4" xfId="7667" xr:uid="{00000000-0005-0000-0000-0000E01D0000}"/>
    <cellStyle name="Normal 12 4 3 2 4 3 5" xfId="7668" xr:uid="{00000000-0005-0000-0000-0000E11D0000}"/>
    <cellStyle name="Normal 12 4 3 2 4 3 6" xfId="7669" xr:uid="{00000000-0005-0000-0000-0000E21D0000}"/>
    <cellStyle name="Normal 12 4 3 2 4 4" xfId="7670" xr:uid="{00000000-0005-0000-0000-0000E31D0000}"/>
    <cellStyle name="Normal 12 4 3 2 4 5" xfId="7671" xr:uid="{00000000-0005-0000-0000-0000E41D0000}"/>
    <cellStyle name="Normal 12 4 3 2 4 6" xfId="7672" xr:uid="{00000000-0005-0000-0000-0000E51D0000}"/>
    <cellStyle name="Normal 12 4 3 2 4 7" xfId="7673" xr:uid="{00000000-0005-0000-0000-0000E61D0000}"/>
    <cellStyle name="Normal 12 4 3 2 4 8" xfId="7674" xr:uid="{00000000-0005-0000-0000-0000E71D0000}"/>
    <cellStyle name="Normal 12 4 3 2 5" xfId="7675" xr:uid="{00000000-0005-0000-0000-0000E81D0000}"/>
    <cellStyle name="Normal 12 4 3 2 5 2" xfId="7676" xr:uid="{00000000-0005-0000-0000-0000E91D0000}"/>
    <cellStyle name="Normal 12 4 3 2 5 3" xfId="7677" xr:uid="{00000000-0005-0000-0000-0000EA1D0000}"/>
    <cellStyle name="Normal 12 4 3 2 5 4" xfId="7678" xr:uid="{00000000-0005-0000-0000-0000EB1D0000}"/>
    <cellStyle name="Normal 12 4 3 2 5 5" xfId="7679" xr:uid="{00000000-0005-0000-0000-0000EC1D0000}"/>
    <cellStyle name="Normal 12 4 3 2 5 6" xfId="7680" xr:uid="{00000000-0005-0000-0000-0000ED1D0000}"/>
    <cellStyle name="Normal 12 4 3 2 6" xfId="7681" xr:uid="{00000000-0005-0000-0000-0000EE1D0000}"/>
    <cellStyle name="Normal 12 4 3 2 6 2" xfId="7682" xr:uid="{00000000-0005-0000-0000-0000EF1D0000}"/>
    <cellStyle name="Normal 12 4 3 2 6 3" xfId="7683" xr:uid="{00000000-0005-0000-0000-0000F01D0000}"/>
    <cellStyle name="Normal 12 4 3 2 6 4" xfId="7684" xr:uid="{00000000-0005-0000-0000-0000F11D0000}"/>
    <cellStyle name="Normal 12 4 3 2 6 5" xfId="7685" xr:uid="{00000000-0005-0000-0000-0000F21D0000}"/>
    <cellStyle name="Normal 12 4 3 2 6 6" xfId="7686" xr:uid="{00000000-0005-0000-0000-0000F31D0000}"/>
    <cellStyle name="Normal 12 4 3 2 7" xfId="7687" xr:uid="{00000000-0005-0000-0000-0000F41D0000}"/>
    <cellStyle name="Normal 12 4 3 2 8" xfId="7688" xr:uid="{00000000-0005-0000-0000-0000F51D0000}"/>
    <cellStyle name="Normal 12 4 3 2 9" xfId="7689" xr:uid="{00000000-0005-0000-0000-0000F61D0000}"/>
    <cellStyle name="Normal 12 4 3 3" xfId="7690" xr:uid="{00000000-0005-0000-0000-0000F71D0000}"/>
    <cellStyle name="Normal 12 4 3 3 2" xfId="7691" xr:uid="{00000000-0005-0000-0000-0000F81D0000}"/>
    <cellStyle name="Normal 12 4 3 3 2 2" xfId="7692" xr:uid="{00000000-0005-0000-0000-0000F91D0000}"/>
    <cellStyle name="Normal 12 4 3 3 2 3" xfId="7693" xr:uid="{00000000-0005-0000-0000-0000FA1D0000}"/>
    <cellStyle name="Normal 12 4 3 3 2 4" xfId="7694" xr:uid="{00000000-0005-0000-0000-0000FB1D0000}"/>
    <cellStyle name="Normal 12 4 3 3 2 5" xfId="7695" xr:uid="{00000000-0005-0000-0000-0000FC1D0000}"/>
    <cellStyle name="Normal 12 4 3 3 2 6" xfId="7696" xr:uid="{00000000-0005-0000-0000-0000FD1D0000}"/>
    <cellStyle name="Normal 12 4 3 3 3" xfId="7697" xr:uid="{00000000-0005-0000-0000-0000FE1D0000}"/>
    <cellStyle name="Normal 12 4 3 3 3 2" xfId="7698" xr:uid="{00000000-0005-0000-0000-0000FF1D0000}"/>
    <cellStyle name="Normal 12 4 3 3 3 3" xfId="7699" xr:uid="{00000000-0005-0000-0000-0000001E0000}"/>
    <cellStyle name="Normal 12 4 3 3 3 4" xfId="7700" xr:uid="{00000000-0005-0000-0000-0000011E0000}"/>
    <cellStyle name="Normal 12 4 3 3 3 5" xfId="7701" xr:uid="{00000000-0005-0000-0000-0000021E0000}"/>
    <cellStyle name="Normal 12 4 3 3 3 6" xfId="7702" xr:uid="{00000000-0005-0000-0000-0000031E0000}"/>
    <cellStyle name="Normal 12 4 3 3 4" xfId="7703" xr:uid="{00000000-0005-0000-0000-0000041E0000}"/>
    <cellStyle name="Normal 12 4 3 3 5" xfId="7704" xr:uid="{00000000-0005-0000-0000-0000051E0000}"/>
    <cellStyle name="Normal 12 4 3 3 6" xfId="7705" xr:uid="{00000000-0005-0000-0000-0000061E0000}"/>
    <cellStyle name="Normal 12 4 3 3 7" xfId="7706" xr:uid="{00000000-0005-0000-0000-0000071E0000}"/>
    <cellStyle name="Normal 12 4 3 3 8" xfId="7707" xr:uid="{00000000-0005-0000-0000-0000081E0000}"/>
    <cellStyle name="Normal 12 4 3 4" xfId="7708" xr:uid="{00000000-0005-0000-0000-0000091E0000}"/>
    <cellStyle name="Normal 12 4 3 4 2" xfId="7709" xr:uid="{00000000-0005-0000-0000-00000A1E0000}"/>
    <cellStyle name="Normal 12 4 3 4 2 2" xfId="7710" xr:uid="{00000000-0005-0000-0000-00000B1E0000}"/>
    <cellStyle name="Normal 12 4 3 4 2 3" xfId="7711" xr:uid="{00000000-0005-0000-0000-00000C1E0000}"/>
    <cellStyle name="Normal 12 4 3 4 2 4" xfId="7712" xr:uid="{00000000-0005-0000-0000-00000D1E0000}"/>
    <cellStyle name="Normal 12 4 3 4 2 5" xfId="7713" xr:uid="{00000000-0005-0000-0000-00000E1E0000}"/>
    <cellStyle name="Normal 12 4 3 4 2 6" xfId="7714" xr:uid="{00000000-0005-0000-0000-00000F1E0000}"/>
    <cellStyle name="Normal 12 4 3 4 3" xfId="7715" xr:uid="{00000000-0005-0000-0000-0000101E0000}"/>
    <cellStyle name="Normal 12 4 3 4 3 2" xfId="7716" xr:uid="{00000000-0005-0000-0000-0000111E0000}"/>
    <cellStyle name="Normal 12 4 3 4 3 3" xfId="7717" xr:uid="{00000000-0005-0000-0000-0000121E0000}"/>
    <cellStyle name="Normal 12 4 3 4 3 4" xfId="7718" xr:uid="{00000000-0005-0000-0000-0000131E0000}"/>
    <cellStyle name="Normal 12 4 3 4 3 5" xfId="7719" xr:uid="{00000000-0005-0000-0000-0000141E0000}"/>
    <cellStyle name="Normal 12 4 3 4 3 6" xfId="7720" xr:uid="{00000000-0005-0000-0000-0000151E0000}"/>
    <cellStyle name="Normal 12 4 3 4 4" xfId="7721" xr:uid="{00000000-0005-0000-0000-0000161E0000}"/>
    <cellStyle name="Normal 12 4 3 4 5" xfId="7722" xr:uid="{00000000-0005-0000-0000-0000171E0000}"/>
    <cellStyle name="Normal 12 4 3 4 6" xfId="7723" xr:uid="{00000000-0005-0000-0000-0000181E0000}"/>
    <cellStyle name="Normal 12 4 3 4 7" xfId="7724" xr:uid="{00000000-0005-0000-0000-0000191E0000}"/>
    <cellStyle name="Normal 12 4 3 4 8" xfId="7725" xr:uid="{00000000-0005-0000-0000-00001A1E0000}"/>
    <cellStyle name="Normal 12 4 3 5" xfId="7726" xr:uid="{00000000-0005-0000-0000-00001B1E0000}"/>
    <cellStyle name="Normal 12 4 3 5 2" xfId="7727" xr:uid="{00000000-0005-0000-0000-00001C1E0000}"/>
    <cellStyle name="Normal 12 4 3 5 2 2" xfId="7728" xr:uid="{00000000-0005-0000-0000-00001D1E0000}"/>
    <cellStyle name="Normal 12 4 3 5 2 3" xfId="7729" xr:uid="{00000000-0005-0000-0000-00001E1E0000}"/>
    <cellStyle name="Normal 12 4 3 5 2 4" xfId="7730" xr:uid="{00000000-0005-0000-0000-00001F1E0000}"/>
    <cellStyle name="Normal 12 4 3 5 2 5" xfId="7731" xr:uid="{00000000-0005-0000-0000-0000201E0000}"/>
    <cellStyle name="Normal 12 4 3 5 2 6" xfId="7732" xr:uid="{00000000-0005-0000-0000-0000211E0000}"/>
    <cellStyle name="Normal 12 4 3 5 3" xfId="7733" xr:uid="{00000000-0005-0000-0000-0000221E0000}"/>
    <cellStyle name="Normal 12 4 3 5 3 2" xfId="7734" xr:uid="{00000000-0005-0000-0000-0000231E0000}"/>
    <cellStyle name="Normal 12 4 3 5 3 3" xfId="7735" xr:uid="{00000000-0005-0000-0000-0000241E0000}"/>
    <cellStyle name="Normal 12 4 3 5 3 4" xfId="7736" xr:uid="{00000000-0005-0000-0000-0000251E0000}"/>
    <cellStyle name="Normal 12 4 3 5 3 5" xfId="7737" xr:uid="{00000000-0005-0000-0000-0000261E0000}"/>
    <cellStyle name="Normal 12 4 3 5 3 6" xfId="7738" xr:uid="{00000000-0005-0000-0000-0000271E0000}"/>
    <cellStyle name="Normal 12 4 3 5 4" xfId="7739" xr:uid="{00000000-0005-0000-0000-0000281E0000}"/>
    <cellStyle name="Normal 12 4 3 5 5" xfId="7740" xr:uid="{00000000-0005-0000-0000-0000291E0000}"/>
    <cellStyle name="Normal 12 4 3 5 6" xfId="7741" xr:uid="{00000000-0005-0000-0000-00002A1E0000}"/>
    <cellStyle name="Normal 12 4 3 5 7" xfId="7742" xr:uid="{00000000-0005-0000-0000-00002B1E0000}"/>
    <cellStyle name="Normal 12 4 3 5 8" xfId="7743" xr:uid="{00000000-0005-0000-0000-00002C1E0000}"/>
    <cellStyle name="Normal 12 4 3 6" xfId="7744" xr:uid="{00000000-0005-0000-0000-00002D1E0000}"/>
    <cellStyle name="Normal 12 4 3 6 2" xfId="7745" xr:uid="{00000000-0005-0000-0000-00002E1E0000}"/>
    <cellStyle name="Normal 12 4 3 6 3" xfId="7746" xr:uid="{00000000-0005-0000-0000-00002F1E0000}"/>
    <cellStyle name="Normal 12 4 3 6 4" xfId="7747" xr:uid="{00000000-0005-0000-0000-0000301E0000}"/>
    <cellStyle name="Normal 12 4 3 6 5" xfId="7748" xr:uid="{00000000-0005-0000-0000-0000311E0000}"/>
    <cellStyle name="Normal 12 4 3 6 6" xfId="7749" xr:uid="{00000000-0005-0000-0000-0000321E0000}"/>
    <cellStyle name="Normal 12 4 3 7" xfId="7750" xr:uid="{00000000-0005-0000-0000-0000331E0000}"/>
    <cellStyle name="Normal 12 4 3 7 2" xfId="7751" xr:uid="{00000000-0005-0000-0000-0000341E0000}"/>
    <cellStyle name="Normal 12 4 3 7 3" xfId="7752" xr:uid="{00000000-0005-0000-0000-0000351E0000}"/>
    <cellStyle name="Normal 12 4 3 7 4" xfId="7753" xr:uid="{00000000-0005-0000-0000-0000361E0000}"/>
    <cellStyle name="Normal 12 4 3 7 5" xfId="7754" xr:uid="{00000000-0005-0000-0000-0000371E0000}"/>
    <cellStyle name="Normal 12 4 3 7 6" xfId="7755" xr:uid="{00000000-0005-0000-0000-0000381E0000}"/>
    <cellStyle name="Normal 12 4 3 8" xfId="7756" xr:uid="{00000000-0005-0000-0000-0000391E0000}"/>
    <cellStyle name="Normal 12 4 3 9" xfId="7757" xr:uid="{00000000-0005-0000-0000-00003A1E0000}"/>
    <cellStyle name="Normal 12 4 4" xfId="7758" xr:uid="{00000000-0005-0000-0000-00003B1E0000}"/>
    <cellStyle name="Normal 12 4 4 10" xfId="7759" xr:uid="{00000000-0005-0000-0000-00003C1E0000}"/>
    <cellStyle name="Normal 12 4 4 11" xfId="7760" xr:uid="{00000000-0005-0000-0000-00003D1E0000}"/>
    <cellStyle name="Normal 12 4 4 12" xfId="7761" xr:uid="{00000000-0005-0000-0000-00003E1E0000}"/>
    <cellStyle name="Normal 12 4 4 2" xfId="7762" xr:uid="{00000000-0005-0000-0000-00003F1E0000}"/>
    <cellStyle name="Normal 12 4 4 2 10" xfId="7763" xr:uid="{00000000-0005-0000-0000-0000401E0000}"/>
    <cellStyle name="Normal 12 4 4 2 11" xfId="7764" xr:uid="{00000000-0005-0000-0000-0000411E0000}"/>
    <cellStyle name="Normal 12 4 4 2 2" xfId="7765" xr:uid="{00000000-0005-0000-0000-0000421E0000}"/>
    <cellStyle name="Normal 12 4 4 2 2 2" xfId="7766" xr:uid="{00000000-0005-0000-0000-0000431E0000}"/>
    <cellStyle name="Normal 12 4 4 2 2 2 2" xfId="7767" xr:uid="{00000000-0005-0000-0000-0000441E0000}"/>
    <cellStyle name="Normal 12 4 4 2 2 2 3" xfId="7768" xr:uid="{00000000-0005-0000-0000-0000451E0000}"/>
    <cellStyle name="Normal 12 4 4 2 2 2 4" xfId="7769" xr:uid="{00000000-0005-0000-0000-0000461E0000}"/>
    <cellStyle name="Normal 12 4 4 2 2 2 5" xfId="7770" xr:uid="{00000000-0005-0000-0000-0000471E0000}"/>
    <cellStyle name="Normal 12 4 4 2 2 2 6" xfId="7771" xr:uid="{00000000-0005-0000-0000-0000481E0000}"/>
    <cellStyle name="Normal 12 4 4 2 2 3" xfId="7772" xr:uid="{00000000-0005-0000-0000-0000491E0000}"/>
    <cellStyle name="Normal 12 4 4 2 2 3 2" xfId="7773" xr:uid="{00000000-0005-0000-0000-00004A1E0000}"/>
    <cellStyle name="Normal 12 4 4 2 2 3 3" xfId="7774" xr:uid="{00000000-0005-0000-0000-00004B1E0000}"/>
    <cellStyle name="Normal 12 4 4 2 2 3 4" xfId="7775" xr:uid="{00000000-0005-0000-0000-00004C1E0000}"/>
    <cellStyle name="Normal 12 4 4 2 2 3 5" xfId="7776" xr:uid="{00000000-0005-0000-0000-00004D1E0000}"/>
    <cellStyle name="Normal 12 4 4 2 2 3 6" xfId="7777" xr:uid="{00000000-0005-0000-0000-00004E1E0000}"/>
    <cellStyle name="Normal 12 4 4 2 2 4" xfId="7778" xr:uid="{00000000-0005-0000-0000-00004F1E0000}"/>
    <cellStyle name="Normal 12 4 4 2 2 5" xfId="7779" xr:uid="{00000000-0005-0000-0000-0000501E0000}"/>
    <cellStyle name="Normal 12 4 4 2 2 6" xfId="7780" xr:uid="{00000000-0005-0000-0000-0000511E0000}"/>
    <cellStyle name="Normal 12 4 4 2 2 7" xfId="7781" xr:uid="{00000000-0005-0000-0000-0000521E0000}"/>
    <cellStyle name="Normal 12 4 4 2 2 8" xfId="7782" xr:uid="{00000000-0005-0000-0000-0000531E0000}"/>
    <cellStyle name="Normal 12 4 4 2 3" xfId="7783" xr:uid="{00000000-0005-0000-0000-0000541E0000}"/>
    <cellStyle name="Normal 12 4 4 2 3 2" xfId="7784" xr:uid="{00000000-0005-0000-0000-0000551E0000}"/>
    <cellStyle name="Normal 12 4 4 2 3 2 2" xfId="7785" xr:uid="{00000000-0005-0000-0000-0000561E0000}"/>
    <cellStyle name="Normal 12 4 4 2 3 2 3" xfId="7786" xr:uid="{00000000-0005-0000-0000-0000571E0000}"/>
    <cellStyle name="Normal 12 4 4 2 3 2 4" xfId="7787" xr:uid="{00000000-0005-0000-0000-0000581E0000}"/>
    <cellStyle name="Normal 12 4 4 2 3 2 5" xfId="7788" xr:uid="{00000000-0005-0000-0000-0000591E0000}"/>
    <cellStyle name="Normal 12 4 4 2 3 2 6" xfId="7789" xr:uid="{00000000-0005-0000-0000-00005A1E0000}"/>
    <cellStyle name="Normal 12 4 4 2 3 3" xfId="7790" xr:uid="{00000000-0005-0000-0000-00005B1E0000}"/>
    <cellStyle name="Normal 12 4 4 2 3 3 2" xfId="7791" xr:uid="{00000000-0005-0000-0000-00005C1E0000}"/>
    <cellStyle name="Normal 12 4 4 2 3 3 3" xfId="7792" xr:uid="{00000000-0005-0000-0000-00005D1E0000}"/>
    <cellStyle name="Normal 12 4 4 2 3 3 4" xfId="7793" xr:uid="{00000000-0005-0000-0000-00005E1E0000}"/>
    <cellStyle name="Normal 12 4 4 2 3 3 5" xfId="7794" xr:uid="{00000000-0005-0000-0000-00005F1E0000}"/>
    <cellStyle name="Normal 12 4 4 2 3 3 6" xfId="7795" xr:uid="{00000000-0005-0000-0000-0000601E0000}"/>
    <cellStyle name="Normal 12 4 4 2 3 4" xfId="7796" xr:uid="{00000000-0005-0000-0000-0000611E0000}"/>
    <cellStyle name="Normal 12 4 4 2 3 5" xfId="7797" xr:uid="{00000000-0005-0000-0000-0000621E0000}"/>
    <cellStyle name="Normal 12 4 4 2 3 6" xfId="7798" xr:uid="{00000000-0005-0000-0000-0000631E0000}"/>
    <cellStyle name="Normal 12 4 4 2 3 7" xfId="7799" xr:uid="{00000000-0005-0000-0000-0000641E0000}"/>
    <cellStyle name="Normal 12 4 4 2 3 8" xfId="7800" xr:uid="{00000000-0005-0000-0000-0000651E0000}"/>
    <cellStyle name="Normal 12 4 4 2 4" xfId="7801" xr:uid="{00000000-0005-0000-0000-0000661E0000}"/>
    <cellStyle name="Normal 12 4 4 2 4 2" xfId="7802" xr:uid="{00000000-0005-0000-0000-0000671E0000}"/>
    <cellStyle name="Normal 12 4 4 2 4 2 2" xfId="7803" xr:uid="{00000000-0005-0000-0000-0000681E0000}"/>
    <cellStyle name="Normal 12 4 4 2 4 2 3" xfId="7804" xr:uid="{00000000-0005-0000-0000-0000691E0000}"/>
    <cellStyle name="Normal 12 4 4 2 4 2 4" xfId="7805" xr:uid="{00000000-0005-0000-0000-00006A1E0000}"/>
    <cellStyle name="Normal 12 4 4 2 4 2 5" xfId="7806" xr:uid="{00000000-0005-0000-0000-00006B1E0000}"/>
    <cellStyle name="Normal 12 4 4 2 4 2 6" xfId="7807" xr:uid="{00000000-0005-0000-0000-00006C1E0000}"/>
    <cellStyle name="Normal 12 4 4 2 4 3" xfId="7808" xr:uid="{00000000-0005-0000-0000-00006D1E0000}"/>
    <cellStyle name="Normal 12 4 4 2 4 3 2" xfId="7809" xr:uid="{00000000-0005-0000-0000-00006E1E0000}"/>
    <cellStyle name="Normal 12 4 4 2 4 3 3" xfId="7810" xr:uid="{00000000-0005-0000-0000-00006F1E0000}"/>
    <cellStyle name="Normal 12 4 4 2 4 3 4" xfId="7811" xr:uid="{00000000-0005-0000-0000-0000701E0000}"/>
    <cellStyle name="Normal 12 4 4 2 4 3 5" xfId="7812" xr:uid="{00000000-0005-0000-0000-0000711E0000}"/>
    <cellStyle name="Normal 12 4 4 2 4 3 6" xfId="7813" xr:uid="{00000000-0005-0000-0000-0000721E0000}"/>
    <cellStyle name="Normal 12 4 4 2 4 4" xfId="7814" xr:uid="{00000000-0005-0000-0000-0000731E0000}"/>
    <cellStyle name="Normal 12 4 4 2 4 5" xfId="7815" xr:uid="{00000000-0005-0000-0000-0000741E0000}"/>
    <cellStyle name="Normal 12 4 4 2 4 6" xfId="7816" xr:uid="{00000000-0005-0000-0000-0000751E0000}"/>
    <cellStyle name="Normal 12 4 4 2 4 7" xfId="7817" xr:uid="{00000000-0005-0000-0000-0000761E0000}"/>
    <cellStyle name="Normal 12 4 4 2 4 8" xfId="7818" xr:uid="{00000000-0005-0000-0000-0000771E0000}"/>
    <cellStyle name="Normal 12 4 4 2 5" xfId="7819" xr:uid="{00000000-0005-0000-0000-0000781E0000}"/>
    <cellStyle name="Normal 12 4 4 2 5 2" xfId="7820" xr:uid="{00000000-0005-0000-0000-0000791E0000}"/>
    <cellStyle name="Normal 12 4 4 2 5 3" xfId="7821" xr:uid="{00000000-0005-0000-0000-00007A1E0000}"/>
    <cellStyle name="Normal 12 4 4 2 5 4" xfId="7822" xr:uid="{00000000-0005-0000-0000-00007B1E0000}"/>
    <cellStyle name="Normal 12 4 4 2 5 5" xfId="7823" xr:uid="{00000000-0005-0000-0000-00007C1E0000}"/>
    <cellStyle name="Normal 12 4 4 2 5 6" xfId="7824" xr:uid="{00000000-0005-0000-0000-00007D1E0000}"/>
    <cellStyle name="Normal 12 4 4 2 6" xfId="7825" xr:uid="{00000000-0005-0000-0000-00007E1E0000}"/>
    <cellStyle name="Normal 12 4 4 2 6 2" xfId="7826" xr:uid="{00000000-0005-0000-0000-00007F1E0000}"/>
    <cellStyle name="Normal 12 4 4 2 6 3" xfId="7827" xr:uid="{00000000-0005-0000-0000-0000801E0000}"/>
    <cellStyle name="Normal 12 4 4 2 6 4" xfId="7828" xr:uid="{00000000-0005-0000-0000-0000811E0000}"/>
    <cellStyle name="Normal 12 4 4 2 6 5" xfId="7829" xr:uid="{00000000-0005-0000-0000-0000821E0000}"/>
    <cellStyle name="Normal 12 4 4 2 6 6" xfId="7830" xr:uid="{00000000-0005-0000-0000-0000831E0000}"/>
    <cellStyle name="Normal 12 4 4 2 7" xfId="7831" xr:uid="{00000000-0005-0000-0000-0000841E0000}"/>
    <cellStyle name="Normal 12 4 4 2 8" xfId="7832" xr:uid="{00000000-0005-0000-0000-0000851E0000}"/>
    <cellStyle name="Normal 12 4 4 2 9" xfId="7833" xr:uid="{00000000-0005-0000-0000-0000861E0000}"/>
    <cellStyle name="Normal 12 4 4 3" xfId="7834" xr:uid="{00000000-0005-0000-0000-0000871E0000}"/>
    <cellStyle name="Normal 12 4 4 3 2" xfId="7835" xr:uid="{00000000-0005-0000-0000-0000881E0000}"/>
    <cellStyle name="Normal 12 4 4 3 2 2" xfId="7836" xr:uid="{00000000-0005-0000-0000-0000891E0000}"/>
    <cellStyle name="Normal 12 4 4 3 2 3" xfId="7837" xr:uid="{00000000-0005-0000-0000-00008A1E0000}"/>
    <cellStyle name="Normal 12 4 4 3 2 4" xfId="7838" xr:uid="{00000000-0005-0000-0000-00008B1E0000}"/>
    <cellStyle name="Normal 12 4 4 3 2 5" xfId="7839" xr:uid="{00000000-0005-0000-0000-00008C1E0000}"/>
    <cellStyle name="Normal 12 4 4 3 2 6" xfId="7840" xr:uid="{00000000-0005-0000-0000-00008D1E0000}"/>
    <cellStyle name="Normal 12 4 4 3 3" xfId="7841" xr:uid="{00000000-0005-0000-0000-00008E1E0000}"/>
    <cellStyle name="Normal 12 4 4 3 3 2" xfId="7842" xr:uid="{00000000-0005-0000-0000-00008F1E0000}"/>
    <cellStyle name="Normal 12 4 4 3 3 3" xfId="7843" xr:uid="{00000000-0005-0000-0000-0000901E0000}"/>
    <cellStyle name="Normal 12 4 4 3 3 4" xfId="7844" xr:uid="{00000000-0005-0000-0000-0000911E0000}"/>
    <cellStyle name="Normal 12 4 4 3 3 5" xfId="7845" xr:uid="{00000000-0005-0000-0000-0000921E0000}"/>
    <cellStyle name="Normal 12 4 4 3 3 6" xfId="7846" xr:uid="{00000000-0005-0000-0000-0000931E0000}"/>
    <cellStyle name="Normal 12 4 4 3 4" xfId="7847" xr:uid="{00000000-0005-0000-0000-0000941E0000}"/>
    <cellStyle name="Normal 12 4 4 3 5" xfId="7848" xr:uid="{00000000-0005-0000-0000-0000951E0000}"/>
    <cellStyle name="Normal 12 4 4 3 6" xfId="7849" xr:uid="{00000000-0005-0000-0000-0000961E0000}"/>
    <cellStyle name="Normal 12 4 4 3 7" xfId="7850" xr:uid="{00000000-0005-0000-0000-0000971E0000}"/>
    <cellStyle name="Normal 12 4 4 3 8" xfId="7851" xr:uid="{00000000-0005-0000-0000-0000981E0000}"/>
    <cellStyle name="Normal 12 4 4 4" xfId="7852" xr:uid="{00000000-0005-0000-0000-0000991E0000}"/>
    <cellStyle name="Normal 12 4 4 4 2" xfId="7853" xr:uid="{00000000-0005-0000-0000-00009A1E0000}"/>
    <cellStyle name="Normal 12 4 4 4 2 2" xfId="7854" xr:uid="{00000000-0005-0000-0000-00009B1E0000}"/>
    <cellStyle name="Normal 12 4 4 4 2 3" xfId="7855" xr:uid="{00000000-0005-0000-0000-00009C1E0000}"/>
    <cellStyle name="Normal 12 4 4 4 2 4" xfId="7856" xr:uid="{00000000-0005-0000-0000-00009D1E0000}"/>
    <cellStyle name="Normal 12 4 4 4 2 5" xfId="7857" xr:uid="{00000000-0005-0000-0000-00009E1E0000}"/>
    <cellStyle name="Normal 12 4 4 4 2 6" xfId="7858" xr:uid="{00000000-0005-0000-0000-00009F1E0000}"/>
    <cellStyle name="Normal 12 4 4 4 3" xfId="7859" xr:uid="{00000000-0005-0000-0000-0000A01E0000}"/>
    <cellStyle name="Normal 12 4 4 4 3 2" xfId="7860" xr:uid="{00000000-0005-0000-0000-0000A11E0000}"/>
    <cellStyle name="Normal 12 4 4 4 3 3" xfId="7861" xr:uid="{00000000-0005-0000-0000-0000A21E0000}"/>
    <cellStyle name="Normal 12 4 4 4 3 4" xfId="7862" xr:uid="{00000000-0005-0000-0000-0000A31E0000}"/>
    <cellStyle name="Normal 12 4 4 4 3 5" xfId="7863" xr:uid="{00000000-0005-0000-0000-0000A41E0000}"/>
    <cellStyle name="Normal 12 4 4 4 3 6" xfId="7864" xr:uid="{00000000-0005-0000-0000-0000A51E0000}"/>
    <cellStyle name="Normal 12 4 4 4 4" xfId="7865" xr:uid="{00000000-0005-0000-0000-0000A61E0000}"/>
    <cellStyle name="Normal 12 4 4 4 5" xfId="7866" xr:uid="{00000000-0005-0000-0000-0000A71E0000}"/>
    <cellStyle name="Normal 12 4 4 4 6" xfId="7867" xr:uid="{00000000-0005-0000-0000-0000A81E0000}"/>
    <cellStyle name="Normal 12 4 4 4 7" xfId="7868" xr:uid="{00000000-0005-0000-0000-0000A91E0000}"/>
    <cellStyle name="Normal 12 4 4 4 8" xfId="7869" xr:uid="{00000000-0005-0000-0000-0000AA1E0000}"/>
    <cellStyle name="Normal 12 4 4 5" xfId="7870" xr:uid="{00000000-0005-0000-0000-0000AB1E0000}"/>
    <cellStyle name="Normal 12 4 4 5 2" xfId="7871" xr:uid="{00000000-0005-0000-0000-0000AC1E0000}"/>
    <cellStyle name="Normal 12 4 4 5 2 2" xfId="7872" xr:uid="{00000000-0005-0000-0000-0000AD1E0000}"/>
    <cellStyle name="Normal 12 4 4 5 2 3" xfId="7873" xr:uid="{00000000-0005-0000-0000-0000AE1E0000}"/>
    <cellStyle name="Normal 12 4 4 5 2 4" xfId="7874" xr:uid="{00000000-0005-0000-0000-0000AF1E0000}"/>
    <cellStyle name="Normal 12 4 4 5 2 5" xfId="7875" xr:uid="{00000000-0005-0000-0000-0000B01E0000}"/>
    <cellStyle name="Normal 12 4 4 5 2 6" xfId="7876" xr:uid="{00000000-0005-0000-0000-0000B11E0000}"/>
    <cellStyle name="Normal 12 4 4 5 3" xfId="7877" xr:uid="{00000000-0005-0000-0000-0000B21E0000}"/>
    <cellStyle name="Normal 12 4 4 5 3 2" xfId="7878" xr:uid="{00000000-0005-0000-0000-0000B31E0000}"/>
    <cellStyle name="Normal 12 4 4 5 3 3" xfId="7879" xr:uid="{00000000-0005-0000-0000-0000B41E0000}"/>
    <cellStyle name="Normal 12 4 4 5 3 4" xfId="7880" xr:uid="{00000000-0005-0000-0000-0000B51E0000}"/>
    <cellStyle name="Normal 12 4 4 5 3 5" xfId="7881" xr:uid="{00000000-0005-0000-0000-0000B61E0000}"/>
    <cellStyle name="Normal 12 4 4 5 3 6" xfId="7882" xr:uid="{00000000-0005-0000-0000-0000B71E0000}"/>
    <cellStyle name="Normal 12 4 4 5 4" xfId="7883" xr:uid="{00000000-0005-0000-0000-0000B81E0000}"/>
    <cellStyle name="Normal 12 4 4 5 5" xfId="7884" xr:uid="{00000000-0005-0000-0000-0000B91E0000}"/>
    <cellStyle name="Normal 12 4 4 5 6" xfId="7885" xr:uid="{00000000-0005-0000-0000-0000BA1E0000}"/>
    <cellStyle name="Normal 12 4 4 5 7" xfId="7886" xr:uid="{00000000-0005-0000-0000-0000BB1E0000}"/>
    <cellStyle name="Normal 12 4 4 5 8" xfId="7887" xr:uid="{00000000-0005-0000-0000-0000BC1E0000}"/>
    <cellStyle name="Normal 12 4 4 6" xfId="7888" xr:uid="{00000000-0005-0000-0000-0000BD1E0000}"/>
    <cellStyle name="Normal 12 4 4 6 2" xfId="7889" xr:uid="{00000000-0005-0000-0000-0000BE1E0000}"/>
    <cellStyle name="Normal 12 4 4 6 3" xfId="7890" xr:uid="{00000000-0005-0000-0000-0000BF1E0000}"/>
    <cellStyle name="Normal 12 4 4 6 4" xfId="7891" xr:uid="{00000000-0005-0000-0000-0000C01E0000}"/>
    <cellStyle name="Normal 12 4 4 6 5" xfId="7892" xr:uid="{00000000-0005-0000-0000-0000C11E0000}"/>
    <cellStyle name="Normal 12 4 4 6 6" xfId="7893" xr:uid="{00000000-0005-0000-0000-0000C21E0000}"/>
    <cellStyle name="Normal 12 4 4 7" xfId="7894" xr:uid="{00000000-0005-0000-0000-0000C31E0000}"/>
    <cellStyle name="Normal 12 4 4 7 2" xfId="7895" xr:uid="{00000000-0005-0000-0000-0000C41E0000}"/>
    <cellStyle name="Normal 12 4 4 7 3" xfId="7896" xr:uid="{00000000-0005-0000-0000-0000C51E0000}"/>
    <cellStyle name="Normal 12 4 4 7 4" xfId="7897" xr:uid="{00000000-0005-0000-0000-0000C61E0000}"/>
    <cellStyle name="Normal 12 4 4 7 5" xfId="7898" xr:uid="{00000000-0005-0000-0000-0000C71E0000}"/>
    <cellStyle name="Normal 12 4 4 7 6" xfId="7899" xr:uid="{00000000-0005-0000-0000-0000C81E0000}"/>
    <cellStyle name="Normal 12 4 4 8" xfId="7900" xr:uid="{00000000-0005-0000-0000-0000C91E0000}"/>
    <cellStyle name="Normal 12 4 4 9" xfId="7901" xr:uid="{00000000-0005-0000-0000-0000CA1E0000}"/>
    <cellStyle name="Normal 12 4 5" xfId="7902" xr:uid="{00000000-0005-0000-0000-0000CB1E0000}"/>
    <cellStyle name="Normal 12 4 5 10" xfId="7903" xr:uid="{00000000-0005-0000-0000-0000CC1E0000}"/>
    <cellStyle name="Normal 12 4 5 11" xfId="7904" xr:uid="{00000000-0005-0000-0000-0000CD1E0000}"/>
    <cellStyle name="Normal 12 4 5 2" xfId="7905" xr:uid="{00000000-0005-0000-0000-0000CE1E0000}"/>
    <cellStyle name="Normal 12 4 5 2 2" xfId="7906" xr:uid="{00000000-0005-0000-0000-0000CF1E0000}"/>
    <cellStyle name="Normal 12 4 5 2 2 2" xfId="7907" xr:uid="{00000000-0005-0000-0000-0000D01E0000}"/>
    <cellStyle name="Normal 12 4 5 2 2 3" xfId="7908" xr:uid="{00000000-0005-0000-0000-0000D11E0000}"/>
    <cellStyle name="Normal 12 4 5 2 2 4" xfId="7909" xr:uid="{00000000-0005-0000-0000-0000D21E0000}"/>
    <cellStyle name="Normal 12 4 5 2 2 5" xfId="7910" xr:uid="{00000000-0005-0000-0000-0000D31E0000}"/>
    <cellStyle name="Normal 12 4 5 2 2 6" xfId="7911" xr:uid="{00000000-0005-0000-0000-0000D41E0000}"/>
    <cellStyle name="Normal 12 4 5 2 3" xfId="7912" xr:uid="{00000000-0005-0000-0000-0000D51E0000}"/>
    <cellStyle name="Normal 12 4 5 2 3 2" xfId="7913" xr:uid="{00000000-0005-0000-0000-0000D61E0000}"/>
    <cellStyle name="Normal 12 4 5 2 3 3" xfId="7914" xr:uid="{00000000-0005-0000-0000-0000D71E0000}"/>
    <cellStyle name="Normal 12 4 5 2 3 4" xfId="7915" xr:uid="{00000000-0005-0000-0000-0000D81E0000}"/>
    <cellStyle name="Normal 12 4 5 2 3 5" xfId="7916" xr:uid="{00000000-0005-0000-0000-0000D91E0000}"/>
    <cellStyle name="Normal 12 4 5 2 3 6" xfId="7917" xr:uid="{00000000-0005-0000-0000-0000DA1E0000}"/>
    <cellStyle name="Normal 12 4 5 2 4" xfId="7918" xr:uid="{00000000-0005-0000-0000-0000DB1E0000}"/>
    <cellStyle name="Normal 12 4 5 2 5" xfId="7919" xr:uid="{00000000-0005-0000-0000-0000DC1E0000}"/>
    <cellStyle name="Normal 12 4 5 2 6" xfId="7920" xr:uid="{00000000-0005-0000-0000-0000DD1E0000}"/>
    <cellStyle name="Normal 12 4 5 2 7" xfId="7921" xr:uid="{00000000-0005-0000-0000-0000DE1E0000}"/>
    <cellStyle name="Normal 12 4 5 2 8" xfId="7922" xr:uid="{00000000-0005-0000-0000-0000DF1E0000}"/>
    <cellStyle name="Normal 12 4 5 3" xfId="7923" xr:uid="{00000000-0005-0000-0000-0000E01E0000}"/>
    <cellStyle name="Normal 12 4 5 3 2" xfId="7924" xr:uid="{00000000-0005-0000-0000-0000E11E0000}"/>
    <cellStyle name="Normal 12 4 5 3 2 2" xfId="7925" xr:uid="{00000000-0005-0000-0000-0000E21E0000}"/>
    <cellStyle name="Normal 12 4 5 3 2 3" xfId="7926" xr:uid="{00000000-0005-0000-0000-0000E31E0000}"/>
    <cellStyle name="Normal 12 4 5 3 2 4" xfId="7927" xr:uid="{00000000-0005-0000-0000-0000E41E0000}"/>
    <cellStyle name="Normal 12 4 5 3 2 5" xfId="7928" xr:uid="{00000000-0005-0000-0000-0000E51E0000}"/>
    <cellStyle name="Normal 12 4 5 3 2 6" xfId="7929" xr:uid="{00000000-0005-0000-0000-0000E61E0000}"/>
    <cellStyle name="Normal 12 4 5 3 3" xfId="7930" xr:uid="{00000000-0005-0000-0000-0000E71E0000}"/>
    <cellStyle name="Normal 12 4 5 3 3 2" xfId="7931" xr:uid="{00000000-0005-0000-0000-0000E81E0000}"/>
    <cellStyle name="Normal 12 4 5 3 3 3" xfId="7932" xr:uid="{00000000-0005-0000-0000-0000E91E0000}"/>
    <cellStyle name="Normal 12 4 5 3 3 4" xfId="7933" xr:uid="{00000000-0005-0000-0000-0000EA1E0000}"/>
    <cellStyle name="Normal 12 4 5 3 3 5" xfId="7934" xr:uid="{00000000-0005-0000-0000-0000EB1E0000}"/>
    <cellStyle name="Normal 12 4 5 3 3 6" xfId="7935" xr:uid="{00000000-0005-0000-0000-0000EC1E0000}"/>
    <cellStyle name="Normal 12 4 5 3 4" xfId="7936" xr:uid="{00000000-0005-0000-0000-0000ED1E0000}"/>
    <cellStyle name="Normal 12 4 5 3 5" xfId="7937" xr:uid="{00000000-0005-0000-0000-0000EE1E0000}"/>
    <cellStyle name="Normal 12 4 5 3 6" xfId="7938" xr:uid="{00000000-0005-0000-0000-0000EF1E0000}"/>
    <cellStyle name="Normal 12 4 5 3 7" xfId="7939" xr:uid="{00000000-0005-0000-0000-0000F01E0000}"/>
    <cellStyle name="Normal 12 4 5 3 8" xfId="7940" xr:uid="{00000000-0005-0000-0000-0000F11E0000}"/>
    <cellStyle name="Normal 12 4 5 4" xfId="7941" xr:uid="{00000000-0005-0000-0000-0000F21E0000}"/>
    <cellStyle name="Normal 12 4 5 4 2" xfId="7942" xr:uid="{00000000-0005-0000-0000-0000F31E0000}"/>
    <cellStyle name="Normal 12 4 5 4 2 2" xfId="7943" xr:uid="{00000000-0005-0000-0000-0000F41E0000}"/>
    <cellStyle name="Normal 12 4 5 4 2 3" xfId="7944" xr:uid="{00000000-0005-0000-0000-0000F51E0000}"/>
    <cellStyle name="Normal 12 4 5 4 2 4" xfId="7945" xr:uid="{00000000-0005-0000-0000-0000F61E0000}"/>
    <cellStyle name="Normal 12 4 5 4 2 5" xfId="7946" xr:uid="{00000000-0005-0000-0000-0000F71E0000}"/>
    <cellStyle name="Normal 12 4 5 4 2 6" xfId="7947" xr:uid="{00000000-0005-0000-0000-0000F81E0000}"/>
    <cellStyle name="Normal 12 4 5 4 3" xfId="7948" xr:uid="{00000000-0005-0000-0000-0000F91E0000}"/>
    <cellStyle name="Normal 12 4 5 4 3 2" xfId="7949" xr:uid="{00000000-0005-0000-0000-0000FA1E0000}"/>
    <cellStyle name="Normal 12 4 5 4 3 3" xfId="7950" xr:uid="{00000000-0005-0000-0000-0000FB1E0000}"/>
    <cellStyle name="Normal 12 4 5 4 3 4" xfId="7951" xr:uid="{00000000-0005-0000-0000-0000FC1E0000}"/>
    <cellStyle name="Normal 12 4 5 4 3 5" xfId="7952" xr:uid="{00000000-0005-0000-0000-0000FD1E0000}"/>
    <cellStyle name="Normal 12 4 5 4 3 6" xfId="7953" xr:uid="{00000000-0005-0000-0000-0000FE1E0000}"/>
    <cellStyle name="Normal 12 4 5 4 4" xfId="7954" xr:uid="{00000000-0005-0000-0000-0000FF1E0000}"/>
    <cellStyle name="Normal 12 4 5 4 5" xfId="7955" xr:uid="{00000000-0005-0000-0000-0000001F0000}"/>
    <cellStyle name="Normal 12 4 5 4 6" xfId="7956" xr:uid="{00000000-0005-0000-0000-0000011F0000}"/>
    <cellStyle name="Normal 12 4 5 4 7" xfId="7957" xr:uid="{00000000-0005-0000-0000-0000021F0000}"/>
    <cellStyle name="Normal 12 4 5 4 8" xfId="7958" xr:uid="{00000000-0005-0000-0000-0000031F0000}"/>
    <cellStyle name="Normal 12 4 5 5" xfId="7959" xr:uid="{00000000-0005-0000-0000-0000041F0000}"/>
    <cellStyle name="Normal 12 4 5 5 2" xfId="7960" xr:uid="{00000000-0005-0000-0000-0000051F0000}"/>
    <cellStyle name="Normal 12 4 5 5 3" xfId="7961" xr:uid="{00000000-0005-0000-0000-0000061F0000}"/>
    <cellStyle name="Normal 12 4 5 5 4" xfId="7962" xr:uid="{00000000-0005-0000-0000-0000071F0000}"/>
    <cellStyle name="Normal 12 4 5 5 5" xfId="7963" xr:uid="{00000000-0005-0000-0000-0000081F0000}"/>
    <cellStyle name="Normal 12 4 5 5 6" xfId="7964" xr:uid="{00000000-0005-0000-0000-0000091F0000}"/>
    <cellStyle name="Normal 12 4 5 6" xfId="7965" xr:uid="{00000000-0005-0000-0000-00000A1F0000}"/>
    <cellStyle name="Normal 12 4 5 6 2" xfId="7966" xr:uid="{00000000-0005-0000-0000-00000B1F0000}"/>
    <cellStyle name="Normal 12 4 5 6 3" xfId="7967" xr:uid="{00000000-0005-0000-0000-00000C1F0000}"/>
    <cellStyle name="Normal 12 4 5 6 4" xfId="7968" xr:uid="{00000000-0005-0000-0000-00000D1F0000}"/>
    <cellStyle name="Normal 12 4 5 6 5" xfId="7969" xr:uid="{00000000-0005-0000-0000-00000E1F0000}"/>
    <cellStyle name="Normal 12 4 5 6 6" xfId="7970" xr:uid="{00000000-0005-0000-0000-00000F1F0000}"/>
    <cellStyle name="Normal 12 4 5 7" xfId="7971" xr:uid="{00000000-0005-0000-0000-0000101F0000}"/>
    <cellStyle name="Normal 12 4 5 8" xfId="7972" xr:uid="{00000000-0005-0000-0000-0000111F0000}"/>
    <cellStyle name="Normal 12 4 5 9" xfId="7973" xr:uid="{00000000-0005-0000-0000-0000121F0000}"/>
    <cellStyle name="Normal 12 4 6" xfId="7974" xr:uid="{00000000-0005-0000-0000-0000131F0000}"/>
    <cellStyle name="Normal 12 4 6 2" xfId="7975" xr:uid="{00000000-0005-0000-0000-0000141F0000}"/>
    <cellStyle name="Normal 12 4 6 2 2" xfId="7976" xr:uid="{00000000-0005-0000-0000-0000151F0000}"/>
    <cellStyle name="Normal 12 4 6 2 3" xfId="7977" xr:uid="{00000000-0005-0000-0000-0000161F0000}"/>
    <cellStyle name="Normal 12 4 6 2 4" xfId="7978" xr:uid="{00000000-0005-0000-0000-0000171F0000}"/>
    <cellStyle name="Normal 12 4 6 2 5" xfId="7979" xr:uid="{00000000-0005-0000-0000-0000181F0000}"/>
    <cellStyle name="Normal 12 4 6 2 6" xfId="7980" xr:uid="{00000000-0005-0000-0000-0000191F0000}"/>
    <cellStyle name="Normal 12 4 6 3" xfId="7981" xr:uid="{00000000-0005-0000-0000-00001A1F0000}"/>
    <cellStyle name="Normal 12 4 6 3 2" xfId="7982" xr:uid="{00000000-0005-0000-0000-00001B1F0000}"/>
    <cellStyle name="Normal 12 4 6 3 3" xfId="7983" xr:uid="{00000000-0005-0000-0000-00001C1F0000}"/>
    <cellStyle name="Normal 12 4 6 3 4" xfId="7984" xr:uid="{00000000-0005-0000-0000-00001D1F0000}"/>
    <cellStyle name="Normal 12 4 6 3 5" xfId="7985" xr:uid="{00000000-0005-0000-0000-00001E1F0000}"/>
    <cellStyle name="Normal 12 4 6 3 6" xfId="7986" xr:uid="{00000000-0005-0000-0000-00001F1F0000}"/>
    <cellStyle name="Normal 12 4 6 4" xfId="7987" xr:uid="{00000000-0005-0000-0000-0000201F0000}"/>
    <cellStyle name="Normal 12 4 6 5" xfId="7988" xr:uid="{00000000-0005-0000-0000-0000211F0000}"/>
    <cellStyle name="Normal 12 4 6 6" xfId="7989" xr:uid="{00000000-0005-0000-0000-0000221F0000}"/>
    <cellStyle name="Normal 12 4 6 7" xfId="7990" xr:uid="{00000000-0005-0000-0000-0000231F0000}"/>
    <cellStyle name="Normal 12 4 6 8" xfId="7991" xr:uid="{00000000-0005-0000-0000-0000241F0000}"/>
    <cellStyle name="Normal 12 4 7" xfId="7992" xr:uid="{00000000-0005-0000-0000-0000251F0000}"/>
    <cellStyle name="Normal 12 4 7 2" xfId="7993" xr:uid="{00000000-0005-0000-0000-0000261F0000}"/>
    <cellStyle name="Normal 12 4 7 2 2" xfId="7994" xr:uid="{00000000-0005-0000-0000-0000271F0000}"/>
    <cellStyle name="Normal 12 4 7 2 3" xfId="7995" xr:uid="{00000000-0005-0000-0000-0000281F0000}"/>
    <cellStyle name="Normal 12 4 7 2 4" xfId="7996" xr:uid="{00000000-0005-0000-0000-0000291F0000}"/>
    <cellStyle name="Normal 12 4 7 2 5" xfId="7997" xr:uid="{00000000-0005-0000-0000-00002A1F0000}"/>
    <cellStyle name="Normal 12 4 7 2 6" xfId="7998" xr:uid="{00000000-0005-0000-0000-00002B1F0000}"/>
    <cellStyle name="Normal 12 4 7 3" xfId="7999" xr:uid="{00000000-0005-0000-0000-00002C1F0000}"/>
    <cellStyle name="Normal 12 4 7 3 2" xfId="8000" xr:uid="{00000000-0005-0000-0000-00002D1F0000}"/>
    <cellStyle name="Normal 12 4 7 3 3" xfId="8001" xr:uid="{00000000-0005-0000-0000-00002E1F0000}"/>
    <cellStyle name="Normal 12 4 7 3 4" xfId="8002" xr:uid="{00000000-0005-0000-0000-00002F1F0000}"/>
    <cellStyle name="Normal 12 4 7 3 5" xfId="8003" xr:uid="{00000000-0005-0000-0000-0000301F0000}"/>
    <cellStyle name="Normal 12 4 7 3 6" xfId="8004" xr:uid="{00000000-0005-0000-0000-0000311F0000}"/>
    <cellStyle name="Normal 12 4 7 4" xfId="8005" xr:uid="{00000000-0005-0000-0000-0000321F0000}"/>
    <cellStyle name="Normal 12 4 7 5" xfId="8006" xr:uid="{00000000-0005-0000-0000-0000331F0000}"/>
    <cellStyle name="Normal 12 4 7 6" xfId="8007" xr:uid="{00000000-0005-0000-0000-0000341F0000}"/>
    <cellStyle name="Normal 12 4 7 7" xfId="8008" xr:uid="{00000000-0005-0000-0000-0000351F0000}"/>
    <cellStyle name="Normal 12 4 7 8" xfId="8009" xr:uid="{00000000-0005-0000-0000-0000361F0000}"/>
    <cellStyle name="Normal 12 4 8" xfId="8010" xr:uid="{00000000-0005-0000-0000-0000371F0000}"/>
    <cellStyle name="Normal 12 4 8 2" xfId="8011" xr:uid="{00000000-0005-0000-0000-0000381F0000}"/>
    <cellStyle name="Normal 12 4 8 2 2" xfId="8012" xr:uid="{00000000-0005-0000-0000-0000391F0000}"/>
    <cellStyle name="Normal 12 4 8 2 3" xfId="8013" xr:uid="{00000000-0005-0000-0000-00003A1F0000}"/>
    <cellStyle name="Normal 12 4 8 2 4" xfId="8014" xr:uid="{00000000-0005-0000-0000-00003B1F0000}"/>
    <cellStyle name="Normal 12 4 8 2 5" xfId="8015" xr:uid="{00000000-0005-0000-0000-00003C1F0000}"/>
    <cellStyle name="Normal 12 4 8 2 6" xfId="8016" xr:uid="{00000000-0005-0000-0000-00003D1F0000}"/>
    <cellStyle name="Normal 12 4 8 3" xfId="8017" xr:uid="{00000000-0005-0000-0000-00003E1F0000}"/>
    <cellStyle name="Normal 12 4 8 3 2" xfId="8018" xr:uid="{00000000-0005-0000-0000-00003F1F0000}"/>
    <cellStyle name="Normal 12 4 8 3 3" xfId="8019" xr:uid="{00000000-0005-0000-0000-0000401F0000}"/>
    <cellStyle name="Normal 12 4 8 3 4" xfId="8020" xr:uid="{00000000-0005-0000-0000-0000411F0000}"/>
    <cellStyle name="Normal 12 4 8 3 5" xfId="8021" xr:uid="{00000000-0005-0000-0000-0000421F0000}"/>
    <cellStyle name="Normal 12 4 8 3 6" xfId="8022" xr:uid="{00000000-0005-0000-0000-0000431F0000}"/>
    <cellStyle name="Normal 12 4 8 4" xfId="8023" xr:uid="{00000000-0005-0000-0000-0000441F0000}"/>
    <cellStyle name="Normal 12 4 8 5" xfId="8024" xr:uid="{00000000-0005-0000-0000-0000451F0000}"/>
    <cellStyle name="Normal 12 4 8 6" xfId="8025" xr:uid="{00000000-0005-0000-0000-0000461F0000}"/>
    <cellStyle name="Normal 12 4 8 7" xfId="8026" xr:uid="{00000000-0005-0000-0000-0000471F0000}"/>
    <cellStyle name="Normal 12 4 8 8" xfId="8027" xr:uid="{00000000-0005-0000-0000-0000481F0000}"/>
    <cellStyle name="Normal 12 4 9" xfId="8028" xr:uid="{00000000-0005-0000-0000-0000491F0000}"/>
    <cellStyle name="Normal 12 4 9 2" xfId="8029" xr:uid="{00000000-0005-0000-0000-00004A1F0000}"/>
    <cellStyle name="Normal 12 4 9 3" xfId="8030" xr:uid="{00000000-0005-0000-0000-00004B1F0000}"/>
    <cellStyle name="Normal 12 4 9 4" xfId="8031" xr:uid="{00000000-0005-0000-0000-00004C1F0000}"/>
    <cellStyle name="Normal 12 4 9 5" xfId="8032" xr:uid="{00000000-0005-0000-0000-00004D1F0000}"/>
    <cellStyle name="Normal 12 4 9 6" xfId="8033" xr:uid="{00000000-0005-0000-0000-00004E1F0000}"/>
    <cellStyle name="Normal 12 5" xfId="8034" xr:uid="{00000000-0005-0000-0000-00004F1F0000}"/>
    <cellStyle name="Normal 12 5 10" xfId="8035" xr:uid="{00000000-0005-0000-0000-0000501F0000}"/>
    <cellStyle name="Normal 12 5 10 2" xfId="8036" xr:uid="{00000000-0005-0000-0000-0000511F0000}"/>
    <cellStyle name="Normal 12 5 10 3" xfId="8037" xr:uid="{00000000-0005-0000-0000-0000521F0000}"/>
    <cellStyle name="Normal 12 5 10 4" xfId="8038" xr:uid="{00000000-0005-0000-0000-0000531F0000}"/>
    <cellStyle name="Normal 12 5 10 5" xfId="8039" xr:uid="{00000000-0005-0000-0000-0000541F0000}"/>
    <cellStyle name="Normal 12 5 10 6" xfId="8040" xr:uid="{00000000-0005-0000-0000-0000551F0000}"/>
    <cellStyle name="Normal 12 5 11" xfId="8041" xr:uid="{00000000-0005-0000-0000-0000561F0000}"/>
    <cellStyle name="Normal 12 5 12" xfId="8042" xr:uid="{00000000-0005-0000-0000-0000571F0000}"/>
    <cellStyle name="Normal 12 5 13" xfId="8043" xr:uid="{00000000-0005-0000-0000-0000581F0000}"/>
    <cellStyle name="Normal 12 5 14" xfId="8044" xr:uid="{00000000-0005-0000-0000-0000591F0000}"/>
    <cellStyle name="Normal 12 5 15" xfId="8045" xr:uid="{00000000-0005-0000-0000-00005A1F0000}"/>
    <cellStyle name="Normal 12 5 2" xfId="8046" xr:uid="{00000000-0005-0000-0000-00005B1F0000}"/>
    <cellStyle name="Normal 12 5 2 10" xfId="8047" xr:uid="{00000000-0005-0000-0000-00005C1F0000}"/>
    <cellStyle name="Normal 12 5 2 11" xfId="8048" xr:uid="{00000000-0005-0000-0000-00005D1F0000}"/>
    <cellStyle name="Normal 12 5 2 12" xfId="8049" xr:uid="{00000000-0005-0000-0000-00005E1F0000}"/>
    <cellStyle name="Normal 12 5 2 13" xfId="8050" xr:uid="{00000000-0005-0000-0000-00005F1F0000}"/>
    <cellStyle name="Normal 12 5 2 14" xfId="8051" xr:uid="{00000000-0005-0000-0000-0000601F0000}"/>
    <cellStyle name="Normal 12 5 2 2" xfId="8052" xr:uid="{00000000-0005-0000-0000-0000611F0000}"/>
    <cellStyle name="Normal 12 5 2 2 10" xfId="8053" xr:uid="{00000000-0005-0000-0000-0000621F0000}"/>
    <cellStyle name="Normal 12 5 2 2 11" xfId="8054" xr:uid="{00000000-0005-0000-0000-0000631F0000}"/>
    <cellStyle name="Normal 12 5 2 2 12" xfId="8055" xr:uid="{00000000-0005-0000-0000-0000641F0000}"/>
    <cellStyle name="Normal 12 5 2 2 2" xfId="8056" xr:uid="{00000000-0005-0000-0000-0000651F0000}"/>
    <cellStyle name="Normal 12 5 2 2 2 10" xfId="8057" xr:uid="{00000000-0005-0000-0000-0000661F0000}"/>
    <cellStyle name="Normal 12 5 2 2 2 11" xfId="8058" xr:uid="{00000000-0005-0000-0000-0000671F0000}"/>
    <cellStyle name="Normal 12 5 2 2 2 2" xfId="8059" xr:uid="{00000000-0005-0000-0000-0000681F0000}"/>
    <cellStyle name="Normal 12 5 2 2 2 2 2" xfId="8060" xr:uid="{00000000-0005-0000-0000-0000691F0000}"/>
    <cellStyle name="Normal 12 5 2 2 2 2 2 2" xfId="8061" xr:uid="{00000000-0005-0000-0000-00006A1F0000}"/>
    <cellStyle name="Normal 12 5 2 2 2 2 2 3" xfId="8062" xr:uid="{00000000-0005-0000-0000-00006B1F0000}"/>
    <cellStyle name="Normal 12 5 2 2 2 2 2 4" xfId="8063" xr:uid="{00000000-0005-0000-0000-00006C1F0000}"/>
    <cellStyle name="Normal 12 5 2 2 2 2 2 5" xfId="8064" xr:uid="{00000000-0005-0000-0000-00006D1F0000}"/>
    <cellStyle name="Normal 12 5 2 2 2 2 2 6" xfId="8065" xr:uid="{00000000-0005-0000-0000-00006E1F0000}"/>
    <cellStyle name="Normal 12 5 2 2 2 2 3" xfId="8066" xr:uid="{00000000-0005-0000-0000-00006F1F0000}"/>
    <cellStyle name="Normal 12 5 2 2 2 2 3 2" xfId="8067" xr:uid="{00000000-0005-0000-0000-0000701F0000}"/>
    <cellStyle name="Normal 12 5 2 2 2 2 3 3" xfId="8068" xr:uid="{00000000-0005-0000-0000-0000711F0000}"/>
    <cellStyle name="Normal 12 5 2 2 2 2 3 4" xfId="8069" xr:uid="{00000000-0005-0000-0000-0000721F0000}"/>
    <cellStyle name="Normal 12 5 2 2 2 2 3 5" xfId="8070" xr:uid="{00000000-0005-0000-0000-0000731F0000}"/>
    <cellStyle name="Normal 12 5 2 2 2 2 3 6" xfId="8071" xr:uid="{00000000-0005-0000-0000-0000741F0000}"/>
    <cellStyle name="Normal 12 5 2 2 2 2 4" xfId="8072" xr:uid="{00000000-0005-0000-0000-0000751F0000}"/>
    <cellStyle name="Normal 12 5 2 2 2 2 5" xfId="8073" xr:uid="{00000000-0005-0000-0000-0000761F0000}"/>
    <cellStyle name="Normal 12 5 2 2 2 2 6" xfId="8074" xr:uid="{00000000-0005-0000-0000-0000771F0000}"/>
    <cellStyle name="Normal 12 5 2 2 2 2 7" xfId="8075" xr:uid="{00000000-0005-0000-0000-0000781F0000}"/>
    <cellStyle name="Normal 12 5 2 2 2 2 8" xfId="8076" xr:uid="{00000000-0005-0000-0000-0000791F0000}"/>
    <cellStyle name="Normal 12 5 2 2 2 3" xfId="8077" xr:uid="{00000000-0005-0000-0000-00007A1F0000}"/>
    <cellStyle name="Normal 12 5 2 2 2 3 2" xfId="8078" xr:uid="{00000000-0005-0000-0000-00007B1F0000}"/>
    <cellStyle name="Normal 12 5 2 2 2 3 2 2" xfId="8079" xr:uid="{00000000-0005-0000-0000-00007C1F0000}"/>
    <cellStyle name="Normal 12 5 2 2 2 3 2 3" xfId="8080" xr:uid="{00000000-0005-0000-0000-00007D1F0000}"/>
    <cellStyle name="Normal 12 5 2 2 2 3 2 4" xfId="8081" xr:uid="{00000000-0005-0000-0000-00007E1F0000}"/>
    <cellStyle name="Normal 12 5 2 2 2 3 2 5" xfId="8082" xr:uid="{00000000-0005-0000-0000-00007F1F0000}"/>
    <cellStyle name="Normal 12 5 2 2 2 3 2 6" xfId="8083" xr:uid="{00000000-0005-0000-0000-0000801F0000}"/>
    <cellStyle name="Normal 12 5 2 2 2 3 3" xfId="8084" xr:uid="{00000000-0005-0000-0000-0000811F0000}"/>
    <cellStyle name="Normal 12 5 2 2 2 3 3 2" xfId="8085" xr:uid="{00000000-0005-0000-0000-0000821F0000}"/>
    <cellStyle name="Normal 12 5 2 2 2 3 3 3" xfId="8086" xr:uid="{00000000-0005-0000-0000-0000831F0000}"/>
    <cellStyle name="Normal 12 5 2 2 2 3 3 4" xfId="8087" xr:uid="{00000000-0005-0000-0000-0000841F0000}"/>
    <cellStyle name="Normal 12 5 2 2 2 3 3 5" xfId="8088" xr:uid="{00000000-0005-0000-0000-0000851F0000}"/>
    <cellStyle name="Normal 12 5 2 2 2 3 3 6" xfId="8089" xr:uid="{00000000-0005-0000-0000-0000861F0000}"/>
    <cellStyle name="Normal 12 5 2 2 2 3 4" xfId="8090" xr:uid="{00000000-0005-0000-0000-0000871F0000}"/>
    <cellStyle name="Normal 12 5 2 2 2 3 5" xfId="8091" xr:uid="{00000000-0005-0000-0000-0000881F0000}"/>
    <cellStyle name="Normal 12 5 2 2 2 3 6" xfId="8092" xr:uid="{00000000-0005-0000-0000-0000891F0000}"/>
    <cellStyle name="Normal 12 5 2 2 2 3 7" xfId="8093" xr:uid="{00000000-0005-0000-0000-00008A1F0000}"/>
    <cellStyle name="Normal 12 5 2 2 2 3 8" xfId="8094" xr:uid="{00000000-0005-0000-0000-00008B1F0000}"/>
    <cellStyle name="Normal 12 5 2 2 2 4" xfId="8095" xr:uid="{00000000-0005-0000-0000-00008C1F0000}"/>
    <cellStyle name="Normal 12 5 2 2 2 4 2" xfId="8096" xr:uid="{00000000-0005-0000-0000-00008D1F0000}"/>
    <cellStyle name="Normal 12 5 2 2 2 4 2 2" xfId="8097" xr:uid="{00000000-0005-0000-0000-00008E1F0000}"/>
    <cellStyle name="Normal 12 5 2 2 2 4 2 3" xfId="8098" xr:uid="{00000000-0005-0000-0000-00008F1F0000}"/>
    <cellStyle name="Normal 12 5 2 2 2 4 2 4" xfId="8099" xr:uid="{00000000-0005-0000-0000-0000901F0000}"/>
    <cellStyle name="Normal 12 5 2 2 2 4 2 5" xfId="8100" xr:uid="{00000000-0005-0000-0000-0000911F0000}"/>
    <cellStyle name="Normal 12 5 2 2 2 4 2 6" xfId="8101" xr:uid="{00000000-0005-0000-0000-0000921F0000}"/>
    <cellStyle name="Normal 12 5 2 2 2 4 3" xfId="8102" xr:uid="{00000000-0005-0000-0000-0000931F0000}"/>
    <cellStyle name="Normal 12 5 2 2 2 4 3 2" xfId="8103" xr:uid="{00000000-0005-0000-0000-0000941F0000}"/>
    <cellStyle name="Normal 12 5 2 2 2 4 3 3" xfId="8104" xr:uid="{00000000-0005-0000-0000-0000951F0000}"/>
    <cellStyle name="Normal 12 5 2 2 2 4 3 4" xfId="8105" xr:uid="{00000000-0005-0000-0000-0000961F0000}"/>
    <cellStyle name="Normal 12 5 2 2 2 4 3 5" xfId="8106" xr:uid="{00000000-0005-0000-0000-0000971F0000}"/>
    <cellStyle name="Normal 12 5 2 2 2 4 3 6" xfId="8107" xr:uid="{00000000-0005-0000-0000-0000981F0000}"/>
    <cellStyle name="Normal 12 5 2 2 2 4 4" xfId="8108" xr:uid="{00000000-0005-0000-0000-0000991F0000}"/>
    <cellStyle name="Normal 12 5 2 2 2 4 5" xfId="8109" xr:uid="{00000000-0005-0000-0000-00009A1F0000}"/>
    <cellStyle name="Normal 12 5 2 2 2 4 6" xfId="8110" xr:uid="{00000000-0005-0000-0000-00009B1F0000}"/>
    <cellStyle name="Normal 12 5 2 2 2 4 7" xfId="8111" xr:uid="{00000000-0005-0000-0000-00009C1F0000}"/>
    <cellStyle name="Normal 12 5 2 2 2 4 8" xfId="8112" xr:uid="{00000000-0005-0000-0000-00009D1F0000}"/>
    <cellStyle name="Normal 12 5 2 2 2 5" xfId="8113" xr:uid="{00000000-0005-0000-0000-00009E1F0000}"/>
    <cellStyle name="Normal 12 5 2 2 2 5 2" xfId="8114" xr:uid="{00000000-0005-0000-0000-00009F1F0000}"/>
    <cellStyle name="Normal 12 5 2 2 2 5 3" xfId="8115" xr:uid="{00000000-0005-0000-0000-0000A01F0000}"/>
    <cellStyle name="Normal 12 5 2 2 2 5 4" xfId="8116" xr:uid="{00000000-0005-0000-0000-0000A11F0000}"/>
    <cellStyle name="Normal 12 5 2 2 2 5 5" xfId="8117" xr:uid="{00000000-0005-0000-0000-0000A21F0000}"/>
    <cellStyle name="Normal 12 5 2 2 2 5 6" xfId="8118" xr:uid="{00000000-0005-0000-0000-0000A31F0000}"/>
    <cellStyle name="Normal 12 5 2 2 2 6" xfId="8119" xr:uid="{00000000-0005-0000-0000-0000A41F0000}"/>
    <cellStyle name="Normal 12 5 2 2 2 6 2" xfId="8120" xr:uid="{00000000-0005-0000-0000-0000A51F0000}"/>
    <cellStyle name="Normal 12 5 2 2 2 6 3" xfId="8121" xr:uid="{00000000-0005-0000-0000-0000A61F0000}"/>
    <cellStyle name="Normal 12 5 2 2 2 6 4" xfId="8122" xr:uid="{00000000-0005-0000-0000-0000A71F0000}"/>
    <cellStyle name="Normal 12 5 2 2 2 6 5" xfId="8123" xr:uid="{00000000-0005-0000-0000-0000A81F0000}"/>
    <cellStyle name="Normal 12 5 2 2 2 6 6" xfId="8124" xr:uid="{00000000-0005-0000-0000-0000A91F0000}"/>
    <cellStyle name="Normal 12 5 2 2 2 7" xfId="8125" xr:uid="{00000000-0005-0000-0000-0000AA1F0000}"/>
    <cellStyle name="Normal 12 5 2 2 2 8" xfId="8126" xr:uid="{00000000-0005-0000-0000-0000AB1F0000}"/>
    <cellStyle name="Normal 12 5 2 2 2 9" xfId="8127" xr:uid="{00000000-0005-0000-0000-0000AC1F0000}"/>
    <cellStyle name="Normal 12 5 2 2 3" xfId="8128" xr:uid="{00000000-0005-0000-0000-0000AD1F0000}"/>
    <cellStyle name="Normal 12 5 2 2 3 2" xfId="8129" xr:uid="{00000000-0005-0000-0000-0000AE1F0000}"/>
    <cellStyle name="Normal 12 5 2 2 3 2 2" xfId="8130" xr:uid="{00000000-0005-0000-0000-0000AF1F0000}"/>
    <cellStyle name="Normal 12 5 2 2 3 2 3" xfId="8131" xr:uid="{00000000-0005-0000-0000-0000B01F0000}"/>
    <cellStyle name="Normal 12 5 2 2 3 2 4" xfId="8132" xr:uid="{00000000-0005-0000-0000-0000B11F0000}"/>
    <cellStyle name="Normal 12 5 2 2 3 2 5" xfId="8133" xr:uid="{00000000-0005-0000-0000-0000B21F0000}"/>
    <cellStyle name="Normal 12 5 2 2 3 2 6" xfId="8134" xr:uid="{00000000-0005-0000-0000-0000B31F0000}"/>
    <cellStyle name="Normal 12 5 2 2 3 3" xfId="8135" xr:uid="{00000000-0005-0000-0000-0000B41F0000}"/>
    <cellStyle name="Normal 12 5 2 2 3 3 2" xfId="8136" xr:uid="{00000000-0005-0000-0000-0000B51F0000}"/>
    <cellStyle name="Normal 12 5 2 2 3 3 3" xfId="8137" xr:uid="{00000000-0005-0000-0000-0000B61F0000}"/>
    <cellStyle name="Normal 12 5 2 2 3 3 4" xfId="8138" xr:uid="{00000000-0005-0000-0000-0000B71F0000}"/>
    <cellStyle name="Normal 12 5 2 2 3 3 5" xfId="8139" xr:uid="{00000000-0005-0000-0000-0000B81F0000}"/>
    <cellStyle name="Normal 12 5 2 2 3 3 6" xfId="8140" xr:uid="{00000000-0005-0000-0000-0000B91F0000}"/>
    <cellStyle name="Normal 12 5 2 2 3 4" xfId="8141" xr:uid="{00000000-0005-0000-0000-0000BA1F0000}"/>
    <cellStyle name="Normal 12 5 2 2 3 5" xfId="8142" xr:uid="{00000000-0005-0000-0000-0000BB1F0000}"/>
    <cellStyle name="Normal 12 5 2 2 3 6" xfId="8143" xr:uid="{00000000-0005-0000-0000-0000BC1F0000}"/>
    <cellStyle name="Normal 12 5 2 2 3 7" xfId="8144" xr:uid="{00000000-0005-0000-0000-0000BD1F0000}"/>
    <cellStyle name="Normal 12 5 2 2 3 8" xfId="8145" xr:uid="{00000000-0005-0000-0000-0000BE1F0000}"/>
    <cellStyle name="Normal 12 5 2 2 4" xfId="8146" xr:uid="{00000000-0005-0000-0000-0000BF1F0000}"/>
    <cellStyle name="Normal 12 5 2 2 4 2" xfId="8147" xr:uid="{00000000-0005-0000-0000-0000C01F0000}"/>
    <cellStyle name="Normal 12 5 2 2 4 2 2" xfId="8148" xr:uid="{00000000-0005-0000-0000-0000C11F0000}"/>
    <cellStyle name="Normal 12 5 2 2 4 2 3" xfId="8149" xr:uid="{00000000-0005-0000-0000-0000C21F0000}"/>
    <cellStyle name="Normal 12 5 2 2 4 2 4" xfId="8150" xr:uid="{00000000-0005-0000-0000-0000C31F0000}"/>
    <cellStyle name="Normal 12 5 2 2 4 2 5" xfId="8151" xr:uid="{00000000-0005-0000-0000-0000C41F0000}"/>
    <cellStyle name="Normal 12 5 2 2 4 2 6" xfId="8152" xr:uid="{00000000-0005-0000-0000-0000C51F0000}"/>
    <cellStyle name="Normal 12 5 2 2 4 3" xfId="8153" xr:uid="{00000000-0005-0000-0000-0000C61F0000}"/>
    <cellStyle name="Normal 12 5 2 2 4 3 2" xfId="8154" xr:uid="{00000000-0005-0000-0000-0000C71F0000}"/>
    <cellStyle name="Normal 12 5 2 2 4 3 3" xfId="8155" xr:uid="{00000000-0005-0000-0000-0000C81F0000}"/>
    <cellStyle name="Normal 12 5 2 2 4 3 4" xfId="8156" xr:uid="{00000000-0005-0000-0000-0000C91F0000}"/>
    <cellStyle name="Normal 12 5 2 2 4 3 5" xfId="8157" xr:uid="{00000000-0005-0000-0000-0000CA1F0000}"/>
    <cellStyle name="Normal 12 5 2 2 4 3 6" xfId="8158" xr:uid="{00000000-0005-0000-0000-0000CB1F0000}"/>
    <cellStyle name="Normal 12 5 2 2 4 4" xfId="8159" xr:uid="{00000000-0005-0000-0000-0000CC1F0000}"/>
    <cellStyle name="Normal 12 5 2 2 4 5" xfId="8160" xr:uid="{00000000-0005-0000-0000-0000CD1F0000}"/>
    <cellStyle name="Normal 12 5 2 2 4 6" xfId="8161" xr:uid="{00000000-0005-0000-0000-0000CE1F0000}"/>
    <cellStyle name="Normal 12 5 2 2 4 7" xfId="8162" xr:uid="{00000000-0005-0000-0000-0000CF1F0000}"/>
    <cellStyle name="Normal 12 5 2 2 4 8" xfId="8163" xr:uid="{00000000-0005-0000-0000-0000D01F0000}"/>
    <cellStyle name="Normal 12 5 2 2 5" xfId="8164" xr:uid="{00000000-0005-0000-0000-0000D11F0000}"/>
    <cellStyle name="Normal 12 5 2 2 5 2" xfId="8165" xr:uid="{00000000-0005-0000-0000-0000D21F0000}"/>
    <cellStyle name="Normal 12 5 2 2 5 2 2" xfId="8166" xr:uid="{00000000-0005-0000-0000-0000D31F0000}"/>
    <cellStyle name="Normal 12 5 2 2 5 2 3" xfId="8167" xr:uid="{00000000-0005-0000-0000-0000D41F0000}"/>
    <cellStyle name="Normal 12 5 2 2 5 2 4" xfId="8168" xr:uid="{00000000-0005-0000-0000-0000D51F0000}"/>
    <cellStyle name="Normal 12 5 2 2 5 2 5" xfId="8169" xr:uid="{00000000-0005-0000-0000-0000D61F0000}"/>
    <cellStyle name="Normal 12 5 2 2 5 2 6" xfId="8170" xr:uid="{00000000-0005-0000-0000-0000D71F0000}"/>
    <cellStyle name="Normal 12 5 2 2 5 3" xfId="8171" xr:uid="{00000000-0005-0000-0000-0000D81F0000}"/>
    <cellStyle name="Normal 12 5 2 2 5 3 2" xfId="8172" xr:uid="{00000000-0005-0000-0000-0000D91F0000}"/>
    <cellStyle name="Normal 12 5 2 2 5 3 3" xfId="8173" xr:uid="{00000000-0005-0000-0000-0000DA1F0000}"/>
    <cellStyle name="Normal 12 5 2 2 5 3 4" xfId="8174" xr:uid="{00000000-0005-0000-0000-0000DB1F0000}"/>
    <cellStyle name="Normal 12 5 2 2 5 3 5" xfId="8175" xr:uid="{00000000-0005-0000-0000-0000DC1F0000}"/>
    <cellStyle name="Normal 12 5 2 2 5 3 6" xfId="8176" xr:uid="{00000000-0005-0000-0000-0000DD1F0000}"/>
    <cellStyle name="Normal 12 5 2 2 5 4" xfId="8177" xr:uid="{00000000-0005-0000-0000-0000DE1F0000}"/>
    <cellStyle name="Normal 12 5 2 2 5 5" xfId="8178" xr:uid="{00000000-0005-0000-0000-0000DF1F0000}"/>
    <cellStyle name="Normal 12 5 2 2 5 6" xfId="8179" xr:uid="{00000000-0005-0000-0000-0000E01F0000}"/>
    <cellStyle name="Normal 12 5 2 2 5 7" xfId="8180" xr:uid="{00000000-0005-0000-0000-0000E11F0000}"/>
    <cellStyle name="Normal 12 5 2 2 5 8" xfId="8181" xr:uid="{00000000-0005-0000-0000-0000E21F0000}"/>
    <cellStyle name="Normal 12 5 2 2 6" xfId="8182" xr:uid="{00000000-0005-0000-0000-0000E31F0000}"/>
    <cellStyle name="Normal 12 5 2 2 6 2" xfId="8183" xr:uid="{00000000-0005-0000-0000-0000E41F0000}"/>
    <cellStyle name="Normal 12 5 2 2 6 3" xfId="8184" xr:uid="{00000000-0005-0000-0000-0000E51F0000}"/>
    <cellStyle name="Normal 12 5 2 2 6 4" xfId="8185" xr:uid="{00000000-0005-0000-0000-0000E61F0000}"/>
    <cellStyle name="Normal 12 5 2 2 6 5" xfId="8186" xr:uid="{00000000-0005-0000-0000-0000E71F0000}"/>
    <cellStyle name="Normal 12 5 2 2 6 6" xfId="8187" xr:uid="{00000000-0005-0000-0000-0000E81F0000}"/>
    <cellStyle name="Normal 12 5 2 2 7" xfId="8188" xr:uid="{00000000-0005-0000-0000-0000E91F0000}"/>
    <cellStyle name="Normal 12 5 2 2 7 2" xfId="8189" xr:uid="{00000000-0005-0000-0000-0000EA1F0000}"/>
    <cellStyle name="Normal 12 5 2 2 7 3" xfId="8190" xr:uid="{00000000-0005-0000-0000-0000EB1F0000}"/>
    <cellStyle name="Normal 12 5 2 2 7 4" xfId="8191" xr:uid="{00000000-0005-0000-0000-0000EC1F0000}"/>
    <cellStyle name="Normal 12 5 2 2 7 5" xfId="8192" xr:uid="{00000000-0005-0000-0000-0000ED1F0000}"/>
    <cellStyle name="Normal 12 5 2 2 7 6" xfId="8193" xr:uid="{00000000-0005-0000-0000-0000EE1F0000}"/>
    <cellStyle name="Normal 12 5 2 2 8" xfId="8194" xr:uid="{00000000-0005-0000-0000-0000EF1F0000}"/>
    <cellStyle name="Normal 12 5 2 2 9" xfId="8195" xr:uid="{00000000-0005-0000-0000-0000F01F0000}"/>
    <cellStyle name="Normal 12 5 2 3" xfId="8196" xr:uid="{00000000-0005-0000-0000-0000F11F0000}"/>
    <cellStyle name="Normal 12 5 2 3 10" xfId="8197" xr:uid="{00000000-0005-0000-0000-0000F21F0000}"/>
    <cellStyle name="Normal 12 5 2 3 11" xfId="8198" xr:uid="{00000000-0005-0000-0000-0000F31F0000}"/>
    <cellStyle name="Normal 12 5 2 3 12" xfId="8199" xr:uid="{00000000-0005-0000-0000-0000F41F0000}"/>
    <cellStyle name="Normal 12 5 2 3 2" xfId="8200" xr:uid="{00000000-0005-0000-0000-0000F51F0000}"/>
    <cellStyle name="Normal 12 5 2 3 2 10" xfId="8201" xr:uid="{00000000-0005-0000-0000-0000F61F0000}"/>
    <cellStyle name="Normal 12 5 2 3 2 11" xfId="8202" xr:uid="{00000000-0005-0000-0000-0000F71F0000}"/>
    <cellStyle name="Normal 12 5 2 3 2 2" xfId="8203" xr:uid="{00000000-0005-0000-0000-0000F81F0000}"/>
    <cellStyle name="Normal 12 5 2 3 2 2 2" xfId="8204" xr:uid="{00000000-0005-0000-0000-0000F91F0000}"/>
    <cellStyle name="Normal 12 5 2 3 2 2 2 2" xfId="8205" xr:uid="{00000000-0005-0000-0000-0000FA1F0000}"/>
    <cellStyle name="Normal 12 5 2 3 2 2 2 3" xfId="8206" xr:uid="{00000000-0005-0000-0000-0000FB1F0000}"/>
    <cellStyle name="Normal 12 5 2 3 2 2 2 4" xfId="8207" xr:uid="{00000000-0005-0000-0000-0000FC1F0000}"/>
    <cellStyle name="Normal 12 5 2 3 2 2 2 5" xfId="8208" xr:uid="{00000000-0005-0000-0000-0000FD1F0000}"/>
    <cellStyle name="Normal 12 5 2 3 2 2 2 6" xfId="8209" xr:uid="{00000000-0005-0000-0000-0000FE1F0000}"/>
    <cellStyle name="Normal 12 5 2 3 2 2 3" xfId="8210" xr:uid="{00000000-0005-0000-0000-0000FF1F0000}"/>
    <cellStyle name="Normal 12 5 2 3 2 2 3 2" xfId="8211" xr:uid="{00000000-0005-0000-0000-000000200000}"/>
    <cellStyle name="Normal 12 5 2 3 2 2 3 3" xfId="8212" xr:uid="{00000000-0005-0000-0000-000001200000}"/>
    <cellStyle name="Normal 12 5 2 3 2 2 3 4" xfId="8213" xr:uid="{00000000-0005-0000-0000-000002200000}"/>
    <cellStyle name="Normal 12 5 2 3 2 2 3 5" xfId="8214" xr:uid="{00000000-0005-0000-0000-000003200000}"/>
    <cellStyle name="Normal 12 5 2 3 2 2 3 6" xfId="8215" xr:uid="{00000000-0005-0000-0000-000004200000}"/>
    <cellStyle name="Normal 12 5 2 3 2 2 4" xfId="8216" xr:uid="{00000000-0005-0000-0000-000005200000}"/>
    <cellStyle name="Normal 12 5 2 3 2 2 5" xfId="8217" xr:uid="{00000000-0005-0000-0000-000006200000}"/>
    <cellStyle name="Normal 12 5 2 3 2 2 6" xfId="8218" xr:uid="{00000000-0005-0000-0000-000007200000}"/>
    <cellStyle name="Normal 12 5 2 3 2 2 7" xfId="8219" xr:uid="{00000000-0005-0000-0000-000008200000}"/>
    <cellStyle name="Normal 12 5 2 3 2 2 8" xfId="8220" xr:uid="{00000000-0005-0000-0000-000009200000}"/>
    <cellStyle name="Normal 12 5 2 3 2 3" xfId="8221" xr:uid="{00000000-0005-0000-0000-00000A200000}"/>
    <cellStyle name="Normal 12 5 2 3 2 3 2" xfId="8222" xr:uid="{00000000-0005-0000-0000-00000B200000}"/>
    <cellStyle name="Normal 12 5 2 3 2 3 2 2" xfId="8223" xr:uid="{00000000-0005-0000-0000-00000C200000}"/>
    <cellStyle name="Normal 12 5 2 3 2 3 2 3" xfId="8224" xr:uid="{00000000-0005-0000-0000-00000D200000}"/>
    <cellStyle name="Normal 12 5 2 3 2 3 2 4" xfId="8225" xr:uid="{00000000-0005-0000-0000-00000E200000}"/>
    <cellStyle name="Normal 12 5 2 3 2 3 2 5" xfId="8226" xr:uid="{00000000-0005-0000-0000-00000F200000}"/>
    <cellStyle name="Normal 12 5 2 3 2 3 2 6" xfId="8227" xr:uid="{00000000-0005-0000-0000-000010200000}"/>
    <cellStyle name="Normal 12 5 2 3 2 3 3" xfId="8228" xr:uid="{00000000-0005-0000-0000-000011200000}"/>
    <cellStyle name="Normal 12 5 2 3 2 3 3 2" xfId="8229" xr:uid="{00000000-0005-0000-0000-000012200000}"/>
    <cellStyle name="Normal 12 5 2 3 2 3 3 3" xfId="8230" xr:uid="{00000000-0005-0000-0000-000013200000}"/>
    <cellStyle name="Normal 12 5 2 3 2 3 3 4" xfId="8231" xr:uid="{00000000-0005-0000-0000-000014200000}"/>
    <cellStyle name="Normal 12 5 2 3 2 3 3 5" xfId="8232" xr:uid="{00000000-0005-0000-0000-000015200000}"/>
    <cellStyle name="Normal 12 5 2 3 2 3 3 6" xfId="8233" xr:uid="{00000000-0005-0000-0000-000016200000}"/>
    <cellStyle name="Normal 12 5 2 3 2 3 4" xfId="8234" xr:uid="{00000000-0005-0000-0000-000017200000}"/>
    <cellStyle name="Normal 12 5 2 3 2 3 5" xfId="8235" xr:uid="{00000000-0005-0000-0000-000018200000}"/>
    <cellStyle name="Normal 12 5 2 3 2 3 6" xfId="8236" xr:uid="{00000000-0005-0000-0000-000019200000}"/>
    <cellStyle name="Normal 12 5 2 3 2 3 7" xfId="8237" xr:uid="{00000000-0005-0000-0000-00001A200000}"/>
    <cellStyle name="Normal 12 5 2 3 2 3 8" xfId="8238" xr:uid="{00000000-0005-0000-0000-00001B200000}"/>
    <cellStyle name="Normal 12 5 2 3 2 4" xfId="8239" xr:uid="{00000000-0005-0000-0000-00001C200000}"/>
    <cellStyle name="Normal 12 5 2 3 2 4 2" xfId="8240" xr:uid="{00000000-0005-0000-0000-00001D200000}"/>
    <cellStyle name="Normal 12 5 2 3 2 4 2 2" xfId="8241" xr:uid="{00000000-0005-0000-0000-00001E200000}"/>
    <cellStyle name="Normal 12 5 2 3 2 4 2 3" xfId="8242" xr:uid="{00000000-0005-0000-0000-00001F200000}"/>
    <cellStyle name="Normal 12 5 2 3 2 4 2 4" xfId="8243" xr:uid="{00000000-0005-0000-0000-000020200000}"/>
    <cellStyle name="Normal 12 5 2 3 2 4 2 5" xfId="8244" xr:uid="{00000000-0005-0000-0000-000021200000}"/>
    <cellStyle name="Normal 12 5 2 3 2 4 2 6" xfId="8245" xr:uid="{00000000-0005-0000-0000-000022200000}"/>
    <cellStyle name="Normal 12 5 2 3 2 4 3" xfId="8246" xr:uid="{00000000-0005-0000-0000-000023200000}"/>
    <cellStyle name="Normal 12 5 2 3 2 4 3 2" xfId="8247" xr:uid="{00000000-0005-0000-0000-000024200000}"/>
    <cellStyle name="Normal 12 5 2 3 2 4 3 3" xfId="8248" xr:uid="{00000000-0005-0000-0000-000025200000}"/>
    <cellStyle name="Normal 12 5 2 3 2 4 3 4" xfId="8249" xr:uid="{00000000-0005-0000-0000-000026200000}"/>
    <cellStyle name="Normal 12 5 2 3 2 4 3 5" xfId="8250" xr:uid="{00000000-0005-0000-0000-000027200000}"/>
    <cellStyle name="Normal 12 5 2 3 2 4 3 6" xfId="8251" xr:uid="{00000000-0005-0000-0000-000028200000}"/>
    <cellStyle name="Normal 12 5 2 3 2 4 4" xfId="8252" xr:uid="{00000000-0005-0000-0000-000029200000}"/>
    <cellStyle name="Normal 12 5 2 3 2 4 5" xfId="8253" xr:uid="{00000000-0005-0000-0000-00002A200000}"/>
    <cellStyle name="Normal 12 5 2 3 2 4 6" xfId="8254" xr:uid="{00000000-0005-0000-0000-00002B200000}"/>
    <cellStyle name="Normal 12 5 2 3 2 4 7" xfId="8255" xr:uid="{00000000-0005-0000-0000-00002C200000}"/>
    <cellStyle name="Normal 12 5 2 3 2 4 8" xfId="8256" xr:uid="{00000000-0005-0000-0000-00002D200000}"/>
    <cellStyle name="Normal 12 5 2 3 2 5" xfId="8257" xr:uid="{00000000-0005-0000-0000-00002E200000}"/>
    <cellStyle name="Normal 12 5 2 3 2 5 2" xfId="8258" xr:uid="{00000000-0005-0000-0000-00002F200000}"/>
    <cellStyle name="Normal 12 5 2 3 2 5 3" xfId="8259" xr:uid="{00000000-0005-0000-0000-000030200000}"/>
    <cellStyle name="Normal 12 5 2 3 2 5 4" xfId="8260" xr:uid="{00000000-0005-0000-0000-000031200000}"/>
    <cellStyle name="Normal 12 5 2 3 2 5 5" xfId="8261" xr:uid="{00000000-0005-0000-0000-000032200000}"/>
    <cellStyle name="Normal 12 5 2 3 2 5 6" xfId="8262" xr:uid="{00000000-0005-0000-0000-000033200000}"/>
    <cellStyle name="Normal 12 5 2 3 2 6" xfId="8263" xr:uid="{00000000-0005-0000-0000-000034200000}"/>
    <cellStyle name="Normal 12 5 2 3 2 6 2" xfId="8264" xr:uid="{00000000-0005-0000-0000-000035200000}"/>
    <cellStyle name="Normal 12 5 2 3 2 6 3" xfId="8265" xr:uid="{00000000-0005-0000-0000-000036200000}"/>
    <cellStyle name="Normal 12 5 2 3 2 6 4" xfId="8266" xr:uid="{00000000-0005-0000-0000-000037200000}"/>
    <cellStyle name="Normal 12 5 2 3 2 6 5" xfId="8267" xr:uid="{00000000-0005-0000-0000-000038200000}"/>
    <cellStyle name="Normal 12 5 2 3 2 6 6" xfId="8268" xr:uid="{00000000-0005-0000-0000-000039200000}"/>
    <cellStyle name="Normal 12 5 2 3 2 7" xfId="8269" xr:uid="{00000000-0005-0000-0000-00003A200000}"/>
    <cellStyle name="Normal 12 5 2 3 2 8" xfId="8270" xr:uid="{00000000-0005-0000-0000-00003B200000}"/>
    <cellStyle name="Normal 12 5 2 3 2 9" xfId="8271" xr:uid="{00000000-0005-0000-0000-00003C200000}"/>
    <cellStyle name="Normal 12 5 2 3 3" xfId="8272" xr:uid="{00000000-0005-0000-0000-00003D200000}"/>
    <cellStyle name="Normal 12 5 2 3 3 2" xfId="8273" xr:uid="{00000000-0005-0000-0000-00003E200000}"/>
    <cellStyle name="Normal 12 5 2 3 3 2 2" xfId="8274" xr:uid="{00000000-0005-0000-0000-00003F200000}"/>
    <cellStyle name="Normal 12 5 2 3 3 2 3" xfId="8275" xr:uid="{00000000-0005-0000-0000-000040200000}"/>
    <cellStyle name="Normal 12 5 2 3 3 2 4" xfId="8276" xr:uid="{00000000-0005-0000-0000-000041200000}"/>
    <cellStyle name="Normal 12 5 2 3 3 2 5" xfId="8277" xr:uid="{00000000-0005-0000-0000-000042200000}"/>
    <cellStyle name="Normal 12 5 2 3 3 2 6" xfId="8278" xr:uid="{00000000-0005-0000-0000-000043200000}"/>
    <cellStyle name="Normal 12 5 2 3 3 3" xfId="8279" xr:uid="{00000000-0005-0000-0000-000044200000}"/>
    <cellStyle name="Normal 12 5 2 3 3 3 2" xfId="8280" xr:uid="{00000000-0005-0000-0000-000045200000}"/>
    <cellStyle name="Normal 12 5 2 3 3 3 3" xfId="8281" xr:uid="{00000000-0005-0000-0000-000046200000}"/>
    <cellStyle name="Normal 12 5 2 3 3 3 4" xfId="8282" xr:uid="{00000000-0005-0000-0000-000047200000}"/>
    <cellStyle name="Normal 12 5 2 3 3 3 5" xfId="8283" xr:uid="{00000000-0005-0000-0000-000048200000}"/>
    <cellStyle name="Normal 12 5 2 3 3 3 6" xfId="8284" xr:uid="{00000000-0005-0000-0000-000049200000}"/>
    <cellStyle name="Normal 12 5 2 3 3 4" xfId="8285" xr:uid="{00000000-0005-0000-0000-00004A200000}"/>
    <cellStyle name="Normal 12 5 2 3 3 5" xfId="8286" xr:uid="{00000000-0005-0000-0000-00004B200000}"/>
    <cellStyle name="Normal 12 5 2 3 3 6" xfId="8287" xr:uid="{00000000-0005-0000-0000-00004C200000}"/>
    <cellStyle name="Normal 12 5 2 3 3 7" xfId="8288" xr:uid="{00000000-0005-0000-0000-00004D200000}"/>
    <cellStyle name="Normal 12 5 2 3 3 8" xfId="8289" xr:uid="{00000000-0005-0000-0000-00004E200000}"/>
    <cellStyle name="Normal 12 5 2 3 4" xfId="8290" xr:uid="{00000000-0005-0000-0000-00004F200000}"/>
    <cellStyle name="Normal 12 5 2 3 4 2" xfId="8291" xr:uid="{00000000-0005-0000-0000-000050200000}"/>
    <cellStyle name="Normal 12 5 2 3 4 2 2" xfId="8292" xr:uid="{00000000-0005-0000-0000-000051200000}"/>
    <cellStyle name="Normal 12 5 2 3 4 2 3" xfId="8293" xr:uid="{00000000-0005-0000-0000-000052200000}"/>
    <cellStyle name="Normal 12 5 2 3 4 2 4" xfId="8294" xr:uid="{00000000-0005-0000-0000-000053200000}"/>
    <cellStyle name="Normal 12 5 2 3 4 2 5" xfId="8295" xr:uid="{00000000-0005-0000-0000-000054200000}"/>
    <cellStyle name="Normal 12 5 2 3 4 2 6" xfId="8296" xr:uid="{00000000-0005-0000-0000-000055200000}"/>
    <cellStyle name="Normal 12 5 2 3 4 3" xfId="8297" xr:uid="{00000000-0005-0000-0000-000056200000}"/>
    <cellStyle name="Normal 12 5 2 3 4 3 2" xfId="8298" xr:uid="{00000000-0005-0000-0000-000057200000}"/>
    <cellStyle name="Normal 12 5 2 3 4 3 3" xfId="8299" xr:uid="{00000000-0005-0000-0000-000058200000}"/>
    <cellStyle name="Normal 12 5 2 3 4 3 4" xfId="8300" xr:uid="{00000000-0005-0000-0000-000059200000}"/>
    <cellStyle name="Normal 12 5 2 3 4 3 5" xfId="8301" xr:uid="{00000000-0005-0000-0000-00005A200000}"/>
    <cellStyle name="Normal 12 5 2 3 4 3 6" xfId="8302" xr:uid="{00000000-0005-0000-0000-00005B200000}"/>
    <cellStyle name="Normal 12 5 2 3 4 4" xfId="8303" xr:uid="{00000000-0005-0000-0000-00005C200000}"/>
    <cellStyle name="Normal 12 5 2 3 4 5" xfId="8304" xr:uid="{00000000-0005-0000-0000-00005D200000}"/>
    <cellStyle name="Normal 12 5 2 3 4 6" xfId="8305" xr:uid="{00000000-0005-0000-0000-00005E200000}"/>
    <cellStyle name="Normal 12 5 2 3 4 7" xfId="8306" xr:uid="{00000000-0005-0000-0000-00005F200000}"/>
    <cellStyle name="Normal 12 5 2 3 4 8" xfId="8307" xr:uid="{00000000-0005-0000-0000-000060200000}"/>
    <cellStyle name="Normal 12 5 2 3 5" xfId="8308" xr:uid="{00000000-0005-0000-0000-000061200000}"/>
    <cellStyle name="Normal 12 5 2 3 5 2" xfId="8309" xr:uid="{00000000-0005-0000-0000-000062200000}"/>
    <cellStyle name="Normal 12 5 2 3 5 2 2" xfId="8310" xr:uid="{00000000-0005-0000-0000-000063200000}"/>
    <cellStyle name="Normal 12 5 2 3 5 2 3" xfId="8311" xr:uid="{00000000-0005-0000-0000-000064200000}"/>
    <cellStyle name="Normal 12 5 2 3 5 2 4" xfId="8312" xr:uid="{00000000-0005-0000-0000-000065200000}"/>
    <cellStyle name="Normal 12 5 2 3 5 2 5" xfId="8313" xr:uid="{00000000-0005-0000-0000-000066200000}"/>
    <cellStyle name="Normal 12 5 2 3 5 2 6" xfId="8314" xr:uid="{00000000-0005-0000-0000-000067200000}"/>
    <cellStyle name="Normal 12 5 2 3 5 3" xfId="8315" xr:uid="{00000000-0005-0000-0000-000068200000}"/>
    <cellStyle name="Normal 12 5 2 3 5 3 2" xfId="8316" xr:uid="{00000000-0005-0000-0000-000069200000}"/>
    <cellStyle name="Normal 12 5 2 3 5 3 3" xfId="8317" xr:uid="{00000000-0005-0000-0000-00006A200000}"/>
    <cellStyle name="Normal 12 5 2 3 5 3 4" xfId="8318" xr:uid="{00000000-0005-0000-0000-00006B200000}"/>
    <cellStyle name="Normal 12 5 2 3 5 3 5" xfId="8319" xr:uid="{00000000-0005-0000-0000-00006C200000}"/>
    <cellStyle name="Normal 12 5 2 3 5 3 6" xfId="8320" xr:uid="{00000000-0005-0000-0000-00006D200000}"/>
    <cellStyle name="Normal 12 5 2 3 5 4" xfId="8321" xr:uid="{00000000-0005-0000-0000-00006E200000}"/>
    <cellStyle name="Normal 12 5 2 3 5 5" xfId="8322" xr:uid="{00000000-0005-0000-0000-00006F200000}"/>
    <cellStyle name="Normal 12 5 2 3 5 6" xfId="8323" xr:uid="{00000000-0005-0000-0000-000070200000}"/>
    <cellStyle name="Normal 12 5 2 3 5 7" xfId="8324" xr:uid="{00000000-0005-0000-0000-000071200000}"/>
    <cellStyle name="Normal 12 5 2 3 5 8" xfId="8325" xr:uid="{00000000-0005-0000-0000-000072200000}"/>
    <cellStyle name="Normal 12 5 2 3 6" xfId="8326" xr:uid="{00000000-0005-0000-0000-000073200000}"/>
    <cellStyle name="Normal 12 5 2 3 6 2" xfId="8327" xr:uid="{00000000-0005-0000-0000-000074200000}"/>
    <cellStyle name="Normal 12 5 2 3 6 3" xfId="8328" xr:uid="{00000000-0005-0000-0000-000075200000}"/>
    <cellStyle name="Normal 12 5 2 3 6 4" xfId="8329" xr:uid="{00000000-0005-0000-0000-000076200000}"/>
    <cellStyle name="Normal 12 5 2 3 6 5" xfId="8330" xr:uid="{00000000-0005-0000-0000-000077200000}"/>
    <cellStyle name="Normal 12 5 2 3 6 6" xfId="8331" xr:uid="{00000000-0005-0000-0000-000078200000}"/>
    <cellStyle name="Normal 12 5 2 3 7" xfId="8332" xr:uid="{00000000-0005-0000-0000-000079200000}"/>
    <cellStyle name="Normal 12 5 2 3 7 2" xfId="8333" xr:uid="{00000000-0005-0000-0000-00007A200000}"/>
    <cellStyle name="Normal 12 5 2 3 7 3" xfId="8334" xr:uid="{00000000-0005-0000-0000-00007B200000}"/>
    <cellStyle name="Normal 12 5 2 3 7 4" xfId="8335" xr:uid="{00000000-0005-0000-0000-00007C200000}"/>
    <cellStyle name="Normal 12 5 2 3 7 5" xfId="8336" xr:uid="{00000000-0005-0000-0000-00007D200000}"/>
    <cellStyle name="Normal 12 5 2 3 7 6" xfId="8337" xr:uid="{00000000-0005-0000-0000-00007E200000}"/>
    <cellStyle name="Normal 12 5 2 3 8" xfId="8338" xr:uid="{00000000-0005-0000-0000-00007F200000}"/>
    <cellStyle name="Normal 12 5 2 3 9" xfId="8339" xr:uid="{00000000-0005-0000-0000-000080200000}"/>
    <cellStyle name="Normal 12 5 2 4" xfId="8340" xr:uid="{00000000-0005-0000-0000-000081200000}"/>
    <cellStyle name="Normal 12 5 2 4 10" xfId="8341" xr:uid="{00000000-0005-0000-0000-000082200000}"/>
    <cellStyle name="Normal 12 5 2 4 11" xfId="8342" xr:uid="{00000000-0005-0000-0000-000083200000}"/>
    <cellStyle name="Normal 12 5 2 4 2" xfId="8343" xr:uid="{00000000-0005-0000-0000-000084200000}"/>
    <cellStyle name="Normal 12 5 2 4 2 2" xfId="8344" xr:uid="{00000000-0005-0000-0000-000085200000}"/>
    <cellStyle name="Normal 12 5 2 4 2 2 2" xfId="8345" xr:uid="{00000000-0005-0000-0000-000086200000}"/>
    <cellStyle name="Normal 12 5 2 4 2 2 3" xfId="8346" xr:uid="{00000000-0005-0000-0000-000087200000}"/>
    <cellStyle name="Normal 12 5 2 4 2 2 4" xfId="8347" xr:uid="{00000000-0005-0000-0000-000088200000}"/>
    <cellStyle name="Normal 12 5 2 4 2 2 5" xfId="8348" xr:uid="{00000000-0005-0000-0000-000089200000}"/>
    <cellStyle name="Normal 12 5 2 4 2 2 6" xfId="8349" xr:uid="{00000000-0005-0000-0000-00008A200000}"/>
    <cellStyle name="Normal 12 5 2 4 2 3" xfId="8350" xr:uid="{00000000-0005-0000-0000-00008B200000}"/>
    <cellStyle name="Normal 12 5 2 4 2 3 2" xfId="8351" xr:uid="{00000000-0005-0000-0000-00008C200000}"/>
    <cellStyle name="Normal 12 5 2 4 2 3 3" xfId="8352" xr:uid="{00000000-0005-0000-0000-00008D200000}"/>
    <cellStyle name="Normal 12 5 2 4 2 3 4" xfId="8353" xr:uid="{00000000-0005-0000-0000-00008E200000}"/>
    <cellStyle name="Normal 12 5 2 4 2 3 5" xfId="8354" xr:uid="{00000000-0005-0000-0000-00008F200000}"/>
    <cellStyle name="Normal 12 5 2 4 2 3 6" xfId="8355" xr:uid="{00000000-0005-0000-0000-000090200000}"/>
    <cellStyle name="Normal 12 5 2 4 2 4" xfId="8356" xr:uid="{00000000-0005-0000-0000-000091200000}"/>
    <cellStyle name="Normal 12 5 2 4 2 5" xfId="8357" xr:uid="{00000000-0005-0000-0000-000092200000}"/>
    <cellStyle name="Normal 12 5 2 4 2 6" xfId="8358" xr:uid="{00000000-0005-0000-0000-000093200000}"/>
    <cellStyle name="Normal 12 5 2 4 2 7" xfId="8359" xr:uid="{00000000-0005-0000-0000-000094200000}"/>
    <cellStyle name="Normal 12 5 2 4 2 8" xfId="8360" xr:uid="{00000000-0005-0000-0000-000095200000}"/>
    <cellStyle name="Normal 12 5 2 4 3" xfId="8361" xr:uid="{00000000-0005-0000-0000-000096200000}"/>
    <cellStyle name="Normal 12 5 2 4 3 2" xfId="8362" xr:uid="{00000000-0005-0000-0000-000097200000}"/>
    <cellStyle name="Normal 12 5 2 4 3 2 2" xfId="8363" xr:uid="{00000000-0005-0000-0000-000098200000}"/>
    <cellStyle name="Normal 12 5 2 4 3 2 3" xfId="8364" xr:uid="{00000000-0005-0000-0000-000099200000}"/>
    <cellStyle name="Normal 12 5 2 4 3 2 4" xfId="8365" xr:uid="{00000000-0005-0000-0000-00009A200000}"/>
    <cellStyle name="Normal 12 5 2 4 3 2 5" xfId="8366" xr:uid="{00000000-0005-0000-0000-00009B200000}"/>
    <cellStyle name="Normal 12 5 2 4 3 2 6" xfId="8367" xr:uid="{00000000-0005-0000-0000-00009C200000}"/>
    <cellStyle name="Normal 12 5 2 4 3 3" xfId="8368" xr:uid="{00000000-0005-0000-0000-00009D200000}"/>
    <cellStyle name="Normal 12 5 2 4 3 3 2" xfId="8369" xr:uid="{00000000-0005-0000-0000-00009E200000}"/>
    <cellStyle name="Normal 12 5 2 4 3 3 3" xfId="8370" xr:uid="{00000000-0005-0000-0000-00009F200000}"/>
    <cellStyle name="Normal 12 5 2 4 3 3 4" xfId="8371" xr:uid="{00000000-0005-0000-0000-0000A0200000}"/>
    <cellStyle name="Normal 12 5 2 4 3 3 5" xfId="8372" xr:uid="{00000000-0005-0000-0000-0000A1200000}"/>
    <cellStyle name="Normal 12 5 2 4 3 3 6" xfId="8373" xr:uid="{00000000-0005-0000-0000-0000A2200000}"/>
    <cellStyle name="Normal 12 5 2 4 3 4" xfId="8374" xr:uid="{00000000-0005-0000-0000-0000A3200000}"/>
    <cellStyle name="Normal 12 5 2 4 3 5" xfId="8375" xr:uid="{00000000-0005-0000-0000-0000A4200000}"/>
    <cellStyle name="Normal 12 5 2 4 3 6" xfId="8376" xr:uid="{00000000-0005-0000-0000-0000A5200000}"/>
    <cellStyle name="Normal 12 5 2 4 3 7" xfId="8377" xr:uid="{00000000-0005-0000-0000-0000A6200000}"/>
    <cellStyle name="Normal 12 5 2 4 3 8" xfId="8378" xr:uid="{00000000-0005-0000-0000-0000A7200000}"/>
    <cellStyle name="Normal 12 5 2 4 4" xfId="8379" xr:uid="{00000000-0005-0000-0000-0000A8200000}"/>
    <cellStyle name="Normal 12 5 2 4 4 2" xfId="8380" xr:uid="{00000000-0005-0000-0000-0000A9200000}"/>
    <cellStyle name="Normal 12 5 2 4 4 2 2" xfId="8381" xr:uid="{00000000-0005-0000-0000-0000AA200000}"/>
    <cellStyle name="Normal 12 5 2 4 4 2 3" xfId="8382" xr:uid="{00000000-0005-0000-0000-0000AB200000}"/>
    <cellStyle name="Normal 12 5 2 4 4 2 4" xfId="8383" xr:uid="{00000000-0005-0000-0000-0000AC200000}"/>
    <cellStyle name="Normal 12 5 2 4 4 2 5" xfId="8384" xr:uid="{00000000-0005-0000-0000-0000AD200000}"/>
    <cellStyle name="Normal 12 5 2 4 4 2 6" xfId="8385" xr:uid="{00000000-0005-0000-0000-0000AE200000}"/>
    <cellStyle name="Normal 12 5 2 4 4 3" xfId="8386" xr:uid="{00000000-0005-0000-0000-0000AF200000}"/>
    <cellStyle name="Normal 12 5 2 4 4 3 2" xfId="8387" xr:uid="{00000000-0005-0000-0000-0000B0200000}"/>
    <cellStyle name="Normal 12 5 2 4 4 3 3" xfId="8388" xr:uid="{00000000-0005-0000-0000-0000B1200000}"/>
    <cellStyle name="Normal 12 5 2 4 4 3 4" xfId="8389" xr:uid="{00000000-0005-0000-0000-0000B2200000}"/>
    <cellStyle name="Normal 12 5 2 4 4 3 5" xfId="8390" xr:uid="{00000000-0005-0000-0000-0000B3200000}"/>
    <cellStyle name="Normal 12 5 2 4 4 3 6" xfId="8391" xr:uid="{00000000-0005-0000-0000-0000B4200000}"/>
    <cellStyle name="Normal 12 5 2 4 4 4" xfId="8392" xr:uid="{00000000-0005-0000-0000-0000B5200000}"/>
    <cellStyle name="Normal 12 5 2 4 4 5" xfId="8393" xr:uid="{00000000-0005-0000-0000-0000B6200000}"/>
    <cellStyle name="Normal 12 5 2 4 4 6" xfId="8394" xr:uid="{00000000-0005-0000-0000-0000B7200000}"/>
    <cellStyle name="Normal 12 5 2 4 4 7" xfId="8395" xr:uid="{00000000-0005-0000-0000-0000B8200000}"/>
    <cellStyle name="Normal 12 5 2 4 4 8" xfId="8396" xr:uid="{00000000-0005-0000-0000-0000B9200000}"/>
    <cellStyle name="Normal 12 5 2 4 5" xfId="8397" xr:uid="{00000000-0005-0000-0000-0000BA200000}"/>
    <cellStyle name="Normal 12 5 2 4 5 2" xfId="8398" xr:uid="{00000000-0005-0000-0000-0000BB200000}"/>
    <cellStyle name="Normal 12 5 2 4 5 3" xfId="8399" xr:uid="{00000000-0005-0000-0000-0000BC200000}"/>
    <cellStyle name="Normal 12 5 2 4 5 4" xfId="8400" xr:uid="{00000000-0005-0000-0000-0000BD200000}"/>
    <cellStyle name="Normal 12 5 2 4 5 5" xfId="8401" xr:uid="{00000000-0005-0000-0000-0000BE200000}"/>
    <cellStyle name="Normal 12 5 2 4 5 6" xfId="8402" xr:uid="{00000000-0005-0000-0000-0000BF200000}"/>
    <cellStyle name="Normal 12 5 2 4 6" xfId="8403" xr:uid="{00000000-0005-0000-0000-0000C0200000}"/>
    <cellStyle name="Normal 12 5 2 4 6 2" xfId="8404" xr:uid="{00000000-0005-0000-0000-0000C1200000}"/>
    <cellStyle name="Normal 12 5 2 4 6 3" xfId="8405" xr:uid="{00000000-0005-0000-0000-0000C2200000}"/>
    <cellStyle name="Normal 12 5 2 4 6 4" xfId="8406" xr:uid="{00000000-0005-0000-0000-0000C3200000}"/>
    <cellStyle name="Normal 12 5 2 4 6 5" xfId="8407" xr:uid="{00000000-0005-0000-0000-0000C4200000}"/>
    <cellStyle name="Normal 12 5 2 4 6 6" xfId="8408" xr:uid="{00000000-0005-0000-0000-0000C5200000}"/>
    <cellStyle name="Normal 12 5 2 4 7" xfId="8409" xr:uid="{00000000-0005-0000-0000-0000C6200000}"/>
    <cellStyle name="Normal 12 5 2 4 8" xfId="8410" xr:uid="{00000000-0005-0000-0000-0000C7200000}"/>
    <cellStyle name="Normal 12 5 2 4 9" xfId="8411" xr:uid="{00000000-0005-0000-0000-0000C8200000}"/>
    <cellStyle name="Normal 12 5 2 5" xfId="8412" xr:uid="{00000000-0005-0000-0000-0000C9200000}"/>
    <cellStyle name="Normal 12 5 2 5 2" xfId="8413" xr:uid="{00000000-0005-0000-0000-0000CA200000}"/>
    <cellStyle name="Normal 12 5 2 5 2 2" xfId="8414" xr:uid="{00000000-0005-0000-0000-0000CB200000}"/>
    <cellStyle name="Normal 12 5 2 5 2 3" xfId="8415" xr:uid="{00000000-0005-0000-0000-0000CC200000}"/>
    <cellStyle name="Normal 12 5 2 5 2 4" xfId="8416" xr:uid="{00000000-0005-0000-0000-0000CD200000}"/>
    <cellStyle name="Normal 12 5 2 5 2 5" xfId="8417" xr:uid="{00000000-0005-0000-0000-0000CE200000}"/>
    <cellStyle name="Normal 12 5 2 5 2 6" xfId="8418" xr:uid="{00000000-0005-0000-0000-0000CF200000}"/>
    <cellStyle name="Normal 12 5 2 5 3" xfId="8419" xr:uid="{00000000-0005-0000-0000-0000D0200000}"/>
    <cellStyle name="Normal 12 5 2 5 3 2" xfId="8420" xr:uid="{00000000-0005-0000-0000-0000D1200000}"/>
    <cellStyle name="Normal 12 5 2 5 3 3" xfId="8421" xr:uid="{00000000-0005-0000-0000-0000D2200000}"/>
    <cellStyle name="Normal 12 5 2 5 3 4" xfId="8422" xr:uid="{00000000-0005-0000-0000-0000D3200000}"/>
    <cellStyle name="Normal 12 5 2 5 3 5" xfId="8423" xr:uid="{00000000-0005-0000-0000-0000D4200000}"/>
    <cellStyle name="Normal 12 5 2 5 3 6" xfId="8424" xr:uid="{00000000-0005-0000-0000-0000D5200000}"/>
    <cellStyle name="Normal 12 5 2 5 4" xfId="8425" xr:uid="{00000000-0005-0000-0000-0000D6200000}"/>
    <cellStyle name="Normal 12 5 2 5 5" xfId="8426" xr:uid="{00000000-0005-0000-0000-0000D7200000}"/>
    <cellStyle name="Normal 12 5 2 5 6" xfId="8427" xr:uid="{00000000-0005-0000-0000-0000D8200000}"/>
    <cellStyle name="Normal 12 5 2 5 7" xfId="8428" xr:uid="{00000000-0005-0000-0000-0000D9200000}"/>
    <cellStyle name="Normal 12 5 2 5 8" xfId="8429" xr:uid="{00000000-0005-0000-0000-0000DA200000}"/>
    <cellStyle name="Normal 12 5 2 6" xfId="8430" xr:uid="{00000000-0005-0000-0000-0000DB200000}"/>
    <cellStyle name="Normal 12 5 2 6 2" xfId="8431" xr:uid="{00000000-0005-0000-0000-0000DC200000}"/>
    <cellStyle name="Normal 12 5 2 6 2 2" xfId="8432" xr:uid="{00000000-0005-0000-0000-0000DD200000}"/>
    <cellStyle name="Normal 12 5 2 6 2 3" xfId="8433" xr:uid="{00000000-0005-0000-0000-0000DE200000}"/>
    <cellStyle name="Normal 12 5 2 6 2 4" xfId="8434" xr:uid="{00000000-0005-0000-0000-0000DF200000}"/>
    <cellStyle name="Normal 12 5 2 6 2 5" xfId="8435" xr:uid="{00000000-0005-0000-0000-0000E0200000}"/>
    <cellStyle name="Normal 12 5 2 6 2 6" xfId="8436" xr:uid="{00000000-0005-0000-0000-0000E1200000}"/>
    <cellStyle name="Normal 12 5 2 6 3" xfId="8437" xr:uid="{00000000-0005-0000-0000-0000E2200000}"/>
    <cellStyle name="Normal 12 5 2 6 3 2" xfId="8438" xr:uid="{00000000-0005-0000-0000-0000E3200000}"/>
    <cellStyle name="Normal 12 5 2 6 3 3" xfId="8439" xr:uid="{00000000-0005-0000-0000-0000E4200000}"/>
    <cellStyle name="Normal 12 5 2 6 3 4" xfId="8440" xr:uid="{00000000-0005-0000-0000-0000E5200000}"/>
    <cellStyle name="Normal 12 5 2 6 3 5" xfId="8441" xr:uid="{00000000-0005-0000-0000-0000E6200000}"/>
    <cellStyle name="Normal 12 5 2 6 3 6" xfId="8442" xr:uid="{00000000-0005-0000-0000-0000E7200000}"/>
    <cellStyle name="Normal 12 5 2 6 4" xfId="8443" xr:uid="{00000000-0005-0000-0000-0000E8200000}"/>
    <cellStyle name="Normal 12 5 2 6 5" xfId="8444" xr:uid="{00000000-0005-0000-0000-0000E9200000}"/>
    <cellStyle name="Normal 12 5 2 6 6" xfId="8445" xr:uid="{00000000-0005-0000-0000-0000EA200000}"/>
    <cellStyle name="Normal 12 5 2 6 7" xfId="8446" xr:uid="{00000000-0005-0000-0000-0000EB200000}"/>
    <cellStyle name="Normal 12 5 2 6 8" xfId="8447" xr:uid="{00000000-0005-0000-0000-0000EC200000}"/>
    <cellStyle name="Normal 12 5 2 7" xfId="8448" xr:uid="{00000000-0005-0000-0000-0000ED200000}"/>
    <cellStyle name="Normal 12 5 2 7 2" xfId="8449" xr:uid="{00000000-0005-0000-0000-0000EE200000}"/>
    <cellStyle name="Normal 12 5 2 7 2 2" xfId="8450" xr:uid="{00000000-0005-0000-0000-0000EF200000}"/>
    <cellStyle name="Normal 12 5 2 7 2 3" xfId="8451" xr:uid="{00000000-0005-0000-0000-0000F0200000}"/>
    <cellStyle name="Normal 12 5 2 7 2 4" xfId="8452" xr:uid="{00000000-0005-0000-0000-0000F1200000}"/>
    <cellStyle name="Normal 12 5 2 7 2 5" xfId="8453" xr:uid="{00000000-0005-0000-0000-0000F2200000}"/>
    <cellStyle name="Normal 12 5 2 7 2 6" xfId="8454" xr:uid="{00000000-0005-0000-0000-0000F3200000}"/>
    <cellStyle name="Normal 12 5 2 7 3" xfId="8455" xr:uid="{00000000-0005-0000-0000-0000F4200000}"/>
    <cellStyle name="Normal 12 5 2 7 3 2" xfId="8456" xr:uid="{00000000-0005-0000-0000-0000F5200000}"/>
    <cellStyle name="Normal 12 5 2 7 3 3" xfId="8457" xr:uid="{00000000-0005-0000-0000-0000F6200000}"/>
    <cellStyle name="Normal 12 5 2 7 3 4" xfId="8458" xr:uid="{00000000-0005-0000-0000-0000F7200000}"/>
    <cellStyle name="Normal 12 5 2 7 3 5" xfId="8459" xr:uid="{00000000-0005-0000-0000-0000F8200000}"/>
    <cellStyle name="Normal 12 5 2 7 3 6" xfId="8460" xr:uid="{00000000-0005-0000-0000-0000F9200000}"/>
    <cellStyle name="Normal 12 5 2 7 4" xfId="8461" xr:uid="{00000000-0005-0000-0000-0000FA200000}"/>
    <cellStyle name="Normal 12 5 2 7 5" xfId="8462" xr:uid="{00000000-0005-0000-0000-0000FB200000}"/>
    <cellStyle name="Normal 12 5 2 7 6" xfId="8463" xr:uid="{00000000-0005-0000-0000-0000FC200000}"/>
    <cellStyle name="Normal 12 5 2 7 7" xfId="8464" xr:uid="{00000000-0005-0000-0000-0000FD200000}"/>
    <cellStyle name="Normal 12 5 2 7 8" xfId="8465" xr:uid="{00000000-0005-0000-0000-0000FE200000}"/>
    <cellStyle name="Normal 12 5 2 8" xfId="8466" xr:uid="{00000000-0005-0000-0000-0000FF200000}"/>
    <cellStyle name="Normal 12 5 2 8 2" xfId="8467" xr:uid="{00000000-0005-0000-0000-000000210000}"/>
    <cellStyle name="Normal 12 5 2 8 3" xfId="8468" xr:uid="{00000000-0005-0000-0000-000001210000}"/>
    <cellStyle name="Normal 12 5 2 8 4" xfId="8469" xr:uid="{00000000-0005-0000-0000-000002210000}"/>
    <cellStyle name="Normal 12 5 2 8 5" xfId="8470" xr:uid="{00000000-0005-0000-0000-000003210000}"/>
    <cellStyle name="Normal 12 5 2 8 6" xfId="8471" xr:uid="{00000000-0005-0000-0000-000004210000}"/>
    <cellStyle name="Normal 12 5 2 9" xfId="8472" xr:uid="{00000000-0005-0000-0000-000005210000}"/>
    <cellStyle name="Normal 12 5 2 9 2" xfId="8473" xr:uid="{00000000-0005-0000-0000-000006210000}"/>
    <cellStyle name="Normal 12 5 2 9 3" xfId="8474" xr:uid="{00000000-0005-0000-0000-000007210000}"/>
    <cellStyle name="Normal 12 5 2 9 4" xfId="8475" xr:uid="{00000000-0005-0000-0000-000008210000}"/>
    <cellStyle name="Normal 12 5 2 9 5" xfId="8476" xr:uid="{00000000-0005-0000-0000-000009210000}"/>
    <cellStyle name="Normal 12 5 2 9 6" xfId="8477" xr:uid="{00000000-0005-0000-0000-00000A210000}"/>
    <cellStyle name="Normal 12 5 3" xfId="8478" xr:uid="{00000000-0005-0000-0000-00000B210000}"/>
    <cellStyle name="Normal 12 5 3 10" xfId="8479" xr:uid="{00000000-0005-0000-0000-00000C210000}"/>
    <cellStyle name="Normal 12 5 3 11" xfId="8480" xr:uid="{00000000-0005-0000-0000-00000D210000}"/>
    <cellStyle name="Normal 12 5 3 12" xfId="8481" xr:uid="{00000000-0005-0000-0000-00000E210000}"/>
    <cellStyle name="Normal 12 5 3 2" xfId="8482" xr:uid="{00000000-0005-0000-0000-00000F210000}"/>
    <cellStyle name="Normal 12 5 3 2 10" xfId="8483" xr:uid="{00000000-0005-0000-0000-000010210000}"/>
    <cellStyle name="Normal 12 5 3 2 11" xfId="8484" xr:uid="{00000000-0005-0000-0000-000011210000}"/>
    <cellStyle name="Normal 12 5 3 2 2" xfId="8485" xr:uid="{00000000-0005-0000-0000-000012210000}"/>
    <cellStyle name="Normal 12 5 3 2 2 2" xfId="8486" xr:uid="{00000000-0005-0000-0000-000013210000}"/>
    <cellStyle name="Normal 12 5 3 2 2 2 2" xfId="8487" xr:uid="{00000000-0005-0000-0000-000014210000}"/>
    <cellStyle name="Normal 12 5 3 2 2 2 3" xfId="8488" xr:uid="{00000000-0005-0000-0000-000015210000}"/>
    <cellStyle name="Normal 12 5 3 2 2 2 4" xfId="8489" xr:uid="{00000000-0005-0000-0000-000016210000}"/>
    <cellStyle name="Normal 12 5 3 2 2 2 5" xfId="8490" xr:uid="{00000000-0005-0000-0000-000017210000}"/>
    <cellStyle name="Normal 12 5 3 2 2 2 6" xfId="8491" xr:uid="{00000000-0005-0000-0000-000018210000}"/>
    <cellStyle name="Normal 12 5 3 2 2 3" xfId="8492" xr:uid="{00000000-0005-0000-0000-000019210000}"/>
    <cellStyle name="Normal 12 5 3 2 2 3 2" xfId="8493" xr:uid="{00000000-0005-0000-0000-00001A210000}"/>
    <cellStyle name="Normal 12 5 3 2 2 3 3" xfId="8494" xr:uid="{00000000-0005-0000-0000-00001B210000}"/>
    <cellStyle name="Normal 12 5 3 2 2 3 4" xfId="8495" xr:uid="{00000000-0005-0000-0000-00001C210000}"/>
    <cellStyle name="Normal 12 5 3 2 2 3 5" xfId="8496" xr:uid="{00000000-0005-0000-0000-00001D210000}"/>
    <cellStyle name="Normal 12 5 3 2 2 3 6" xfId="8497" xr:uid="{00000000-0005-0000-0000-00001E210000}"/>
    <cellStyle name="Normal 12 5 3 2 2 4" xfId="8498" xr:uid="{00000000-0005-0000-0000-00001F210000}"/>
    <cellStyle name="Normal 12 5 3 2 2 5" xfId="8499" xr:uid="{00000000-0005-0000-0000-000020210000}"/>
    <cellStyle name="Normal 12 5 3 2 2 6" xfId="8500" xr:uid="{00000000-0005-0000-0000-000021210000}"/>
    <cellStyle name="Normal 12 5 3 2 2 7" xfId="8501" xr:uid="{00000000-0005-0000-0000-000022210000}"/>
    <cellStyle name="Normal 12 5 3 2 2 8" xfId="8502" xr:uid="{00000000-0005-0000-0000-000023210000}"/>
    <cellStyle name="Normal 12 5 3 2 3" xfId="8503" xr:uid="{00000000-0005-0000-0000-000024210000}"/>
    <cellStyle name="Normal 12 5 3 2 3 2" xfId="8504" xr:uid="{00000000-0005-0000-0000-000025210000}"/>
    <cellStyle name="Normal 12 5 3 2 3 2 2" xfId="8505" xr:uid="{00000000-0005-0000-0000-000026210000}"/>
    <cellStyle name="Normal 12 5 3 2 3 2 3" xfId="8506" xr:uid="{00000000-0005-0000-0000-000027210000}"/>
    <cellStyle name="Normal 12 5 3 2 3 2 4" xfId="8507" xr:uid="{00000000-0005-0000-0000-000028210000}"/>
    <cellStyle name="Normal 12 5 3 2 3 2 5" xfId="8508" xr:uid="{00000000-0005-0000-0000-000029210000}"/>
    <cellStyle name="Normal 12 5 3 2 3 2 6" xfId="8509" xr:uid="{00000000-0005-0000-0000-00002A210000}"/>
    <cellStyle name="Normal 12 5 3 2 3 3" xfId="8510" xr:uid="{00000000-0005-0000-0000-00002B210000}"/>
    <cellStyle name="Normal 12 5 3 2 3 3 2" xfId="8511" xr:uid="{00000000-0005-0000-0000-00002C210000}"/>
    <cellStyle name="Normal 12 5 3 2 3 3 3" xfId="8512" xr:uid="{00000000-0005-0000-0000-00002D210000}"/>
    <cellStyle name="Normal 12 5 3 2 3 3 4" xfId="8513" xr:uid="{00000000-0005-0000-0000-00002E210000}"/>
    <cellStyle name="Normal 12 5 3 2 3 3 5" xfId="8514" xr:uid="{00000000-0005-0000-0000-00002F210000}"/>
    <cellStyle name="Normal 12 5 3 2 3 3 6" xfId="8515" xr:uid="{00000000-0005-0000-0000-000030210000}"/>
    <cellStyle name="Normal 12 5 3 2 3 4" xfId="8516" xr:uid="{00000000-0005-0000-0000-000031210000}"/>
    <cellStyle name="Normal 12 5 3 2 3 5" xfId="8517" xr:uid="{00000000-0005-0000-0000-000032210000}"/>
    <cellStyle name="Normal 12 5 3 2 3 6" xfId="8518" xr:uid="{00000000-0005-0000-0000-000033210000}"/>
    <cellStyle name="Normal 12 5 3 2 3 7" xfId="8519" xr:uid="{00000000-0005-0000-0000-000034210000}"/>
    <cellStyle name="Normal 12 5 3 2 3 8" xfId="8520" xr:uid="{00000000-0005-0000-0000-000035210000}"/>
    <cellStyle name="Normal 12 5 3 2 4" xfId="8521" xr:uid="{00000000-0005-0000-0000-000036210000}"/>
    <cellStyle name="Normal 12 5 3 2 4 2" xfId="8522" xr:uid="{00000000-0005-0000-0000-000037210000}"/>
    <cellStyle name="Normal 12 5 3 2 4 2 2" xfId="8523" xr:uid="{00000000-0005-0000-0000-000038210000}"/>
    <cellStyle name="Normal 12 5 3 2 4 2 3" xfId="8524" xr:uid="{00000000-0005-0000-0000-000039210000}"/>
    <cellStyle name="Normal 12 5 3 2 4 2 4" xfId="8525" xr:uid="{00000000-0005-0000-0000-00003A210000}"/>
    <cellStyle name="Normal 12 5 3 2 4 2 5" xfId="8526" xr:uid="{00000000-0005-0000-0000-00003B210000}"/>
    <cellStyle name="Normal 12 5 3 2 4 2 6" xfId="8527" xr:uid="{00000000-0005-0000-0000-00003C210000}"/>
    <cellStyle name="Normal 12 5 3 2 4 3" xfId="8528" xr:uid="{00000000-0005-0000-0000-00003D210000}"/>
    <cellStyle name="Normal 12 5 3 2 4 3 2" xfId="8529" xr:uid="{00000000-0005-0000-0000-00003E210000}"/>
    <cellStyle name="Normal 12 5 3 2 4 3 3" xfId="8530" xr:uid="{00000000-0005-0000-0000-00003F210000}"/>
    <cellStyle name="Normal 12 5 3 2 4 3 4" xfId="8531" xr:uid="{00000000-0005-0000-0000-000040210000}"/>
    <cellStyle name="Normal 12 5 3 2 4 3 5" xfId="8532" xr:uid="{00000000-0005-0000-0000-000041210000}"/>
    <cellStyle name="Normal 12 5 3 2 4 3 6" xfId="8533" xr:uid="{00000000-0005-0000-0000-000042210000}"/>
    <cellStyle name="Normal 12 5 3 2 4 4" xfId="8534" xr:uid="{00000000-0005-0000-0000-000043210000}"/>
    <cellStyle name="Normal 12 5 3 2 4 5" xfId="8535" xr:uid="{00000000-0005-0000-0000-000044210000}"/>
    <cellStyle name="Normal 12 5 3 2 4 6" xfId="8536" xr:uid="{00000000-0005-0000-0000-000045210000}"/>
    <cellStyle name="Normal 12 5 3 2 4 7" xfId="8537" xr:uid="{00000000-0005-0000-0000-000046210000}"/>
    <cellStyle name="Normal 12 5 3 2 4 8" xfId="8538" xr:uid="{00000000-0005-0000-0000-000047210000}"/>
    <cellStyle name="Normal 12 5 3 2 5" xfId="8539" xr:uid="{00000000-0005-0000-0000-000048210000}"/>
    <cellStyle name="Normal 12 5 3 2 5 2" xfId="8540" xr:uid="{00000000-0005-0000-0000-000049210000}"/>
    <cellStyle name="Normal 12 5 3 2 5 3" xfId="8541" xr:uid="{00000000-0005-0000-0000-00004A210000}"/>
    <cellStyle name="Normal 12 5 3 2 5 4" xfId="8542" xr:uid="{00000000-0005-0000-0000-00004B210000}"/>
    <cellStyle name="Normal 12 5 3 2 5 5" xfId="8543" xr:uid="{00000000-0005-0000-0000-00004C210000}"/>
    <cellStyle name="Normal 12 5 3 2 5 6" xfId="8544" xr:uid="{00000000-0005-0000-0000-00004D210000}"/>
    <cellStyle name="Normal 12 5 3 2 6" xfId="8545" xr:uid="{00000000-0005-0000-0000-00004E210000}"/>
    <cellStyle name="Normal 12 5 3 2 6 2" xfId="8546" xr:uid="{00000000-0005-0000-0000-00004F210000}"/>
    <cellStyle name="Normal 12 5 3 2 6 3" xfId="8547" xr:uid="{00000000-0005-0000-0000-000050210000}"/>
    <cellStyle name="Normal 12 5 3 2 6 4" xfId="8548" xr:uid="{00000000-0005-0000-0000-000051210000}"/>
    <cellStyle name="Normal 12 5 3 2 6 5" xfId="8549" xr:uid="{00000000-0005-0000-0000-000052210000}"/>
    <cellStyle name="Normal 12 5 3 2 6 6" xfId="8550" xr:uid="{00000000-0005-0000-0000-000053210000}"/>
    <cellStyle name="Normal 12 5 3 2 7" xfId="8551" xr:uid="{00000000-0005-0000-0000-000054210000}"/>
    <cellStyle name="Normal 12 5 3 2 8" xfId="8552" xr:uid="{00000000-0005-0000-0000-000055210000}"/>
    <cellStyle name="Normal 12 5 3 2 9" xfId="8553" xr:uid="{00000000-0005-0000-0000-000056210000}"/>
    <cellStyle name="Normal 12 5 3 3" xfId="8554" xr:uid="{00000000-0005-0000-0000-000057210000}"/>
    <cellStyle name="Normal 12 5 3 3 2" xfId="8555" xr:uid="{00000000-0005-0000-0000-000058210000}"/>
    <cellStyle name="Normal 12 5 3 3 2 2" xfId="8556" xr:uid="{00000000-0005-0000-0000-000059210000}"/>
    <cellStyle name="Normal 12 5 3 3 2 3" xfId="8557" xr:uid="{00000000-0005-0000-0000-00005A210000}"/>
    <cellStyle name="Normal 12 5 3 3 2 4" xfId="8558" xr:uid="{00000000-0005-0000-0000-00005B210000}"/>
    <cellStyle name="Normal 12 5 3 3 2 5" xfId="8559" xr:uid="{00000000-0005-0000-0000-00005C210000}"/>
    <cellStyle name="Normal 12 5 3 3 2 6" xfId="8560" xr:uid="{00000000-0005-0000-0000-00005D210000}"/>
    <cellStyle name="Normal 12 5 3 3 3" xfId="8561" xr:uid="{00000000-0005-0000-0000-00005E210000}"/>
    <cellStyle name="Normal 12 5 3 3 3 2" xfId="8562" xr:uid="{00000000-0005-0000-0000-00005F210000}"/>
    <cellStyle name="Normal 12 5 3 3 3 3" xfId="8563" xr:uid="{00000000-0005-0000-0000-000060210000}"/>
    <cellStyle name="Normal 12 5 3 3 3 4" xfId="8564" xr:uid="{00000000-0005-0000-0000-000061210000}"/>
    <cellStyle name="Normal 12 5 3 3 3 5" xfId="8565" xr:uid="{00000000-0005-0000-0000-000062210000}"/>
    <cellStyle name="Normal 12 5 3 3 3 6" xfId="8566" xr:uid="{00000000-0005-0000-0000-000063210000}"/>
    <cellStyle name="Normal 12 5 3 3 4" xfId="8567" xr:uid="{00000000-0005-0000-0000-000064210000}"/>
    <cellStyle name="Normal 12 5 3 3 5" xfId="8568" xr:uid="{00000000-0005-0000-0000-000065210000}"/>
    <cellStyle name="Normal 12 5 3 3 6" xfId="8569" xr:uid="{00000000-0005-0000-0000-000066210000}"/>
    <cellStyle name="Normal 12 5 3 3 7" xfId="8570" xr:uid="{00000000-0005-0000-0000-000067210000}"/>
    <cellStyle name="Normal 12 5 3 3 8" xfId="8571" xr:uid="{00000000-0005-0000-0000-000068210000}"/>
    <cellStyle name="Normal 12 5 3 4" xfId="8572" xr:uid="{00000000-0005-0000-0000-000069210000}"/>
    <cellStyle name="Normal 12 5 3 4 2" xfId="8573" xr:uid="{00000000-0005-0000-0000-00006A210000}"/>
    <cellStyle name="Normal 12 5 3 4 2 2" xfId="8574" xr:uid="{00000000-0005-0000-0000-00006B210000}"/>
    <cellStyle name="Normal 12 5 3 4 2 3" xfId="8575" xr:uid="{00000000-0005-0000-0000-00006C210000}"/>
    <cellStyle name="Normal 12 5 3 4 2 4" xfId="8576" xr:uid="{00000000-0005-0000-0000-00006D210000}"/>
    <cellStyle name="Normal 12 5 3 4 2 5" xfId="8577" xr:uid="{00000000-0005-0000-0000-00006E210000}"/>
    <cellStyle name="Normal 12 5 3 4 2 6" xfId="8578" xr:uid="{00000000-0005-0000-0000-00006F210000}"/>
    <cellStyle name="Normal 12 5 3 4 3" xfId="8579" xr:uid="{00000000-0005-0000-0000-000070210000}"/>
    <cellStyle name="Normal 12 5 3 4 3 2" xfId="8580" xr:uid="{00000000-0005-0000-0000-000071210000}"/>
    <cellStyle name="Normal 12 5 3 4 3 3" xfId="8581" xr:uid="{00000000-0005-0000-0000-000072210000}"/>
    <cellStyle name="Normal 12 5 3 4 3 4" xfId="8582" xr:uid="{00000000-0005-0000-0000-000073210000}"/>
    <cellStyle name="Normal 12 5 3 4 3 5" xfId="8583" xr:uid="{00000000-0005-0000-0000-000074210000}"/>
    <cellStyle name="Normal 12 5 3 4 3 6" xfId="8584" xr:uid="{00000000-0005-0000-0000-000075210000}"/>
    <cellStyle name="Normal 12 5 3 4 4" xfId="8585" xr:uid="{00000000-0005-0000-0000-000076210000}"/>
    <cellStyle name="Normal 12 5 3 4 5" xfId="8586" xr:uid="{00000000-0005-0000-0000-000077210000}"/>
    <cellStyle name="Normal 12 5 3 4 6" xfId="8587" xr:uid="{00000000-0005-0000-0000-000078210000}"/>
    <cellStyle name="Normal 12 5 3 4 7" xfId="8588" xr:uid="{00000000-0005-0000-0000-000079210000}"/>
    <cellStyle name="Normal 12 5 3 4 8" xfId="8589" xr:uid="{00000000-0005-0000-0000-00007A210000}"/>
    <cellStyle name="Normal 12 5 3 5" xfId="8590" xr:uid="{00000000-0005-0000-0000-00007B210000}"/>
    <cellStyle name="Normal 12 5 3 5 2" xfId="8591" xr:uid="{00000000-0005-0000-0000-00007C210000}"/>
    <cellStyle name="Normal 12 5 3 5 2 2" xfId="8592" xr:uid="{00000000-0005-0000-0000-00007D210000}"/>
    <cellStyle name="Normal 12 5 3 5 2 3" xfId="8593" xr:uid="{00000000-0005-0000-0000-00007E210000}"/>
    <cellStyle name="Normal 12 5 3 5 2 4" xfId="8594" xr:uid="{00000000-0005-0000-0000-00007F210000}"/>
    <cellStyle name="Normal 12 5 3 5 2 5" xfId="8595" xr:uid="{00000000-0005-0000-0000-000080210000}"/>
    <cellStyle name="Normal 12 5 3 5 2 6" xfId="8596" xr:uid="{00000000-0005-0000-0000-000081210000}"/>
    <cellStyle name="Normal 12 5 3 5 3" xfId="8597" xr:uid="{00000000-0005-0000-0000-000082210000}"/>
    <cellStyle name="Normal 12 5 3 5 3 2" xfId="8598" xr:uid="{00000000-0005-0000-0000-000083210000}"/>
    <cellStyle name="Normal 12 5 3 5 3 3" xfId="8599" xr:uid="{00000000-0005-0000-0000-000084210000}"/>
    <cellStyle name="Normal 12 5 3 5 3 4" xfId="8600" xr:uid="{00000000-0005-0000-0000-000085210000}"/>
    <cellStyle name="Normal 12 5 3 5 3 5" xfId="8601" xr:uid="{00000000-0005-0000-0000-000086210000}"/>
    <cellStyle name="Normal 12 5 3 5 3 6" xfId="8602" xr:uid="{00000000-0005-0000-0000-000087210000}"/>
    <cellStyle name="Normal 12 5 3 5 4" xfId="8603" xr:uid="{00000000-0005-0000-0000-000088210000}"/>
    <cellStyle name="Normal 12 5 3 5 5" xfId="8604" xr:uid="{00000000-0005-0000-0000-000089210000}"/>
    <cellStyle name="Normal 12 5 3 5 6" xfId="8605" xr:uid="{00000000-0005-0000-0000-00008A210000}"/>
    <cellStyle name="Normal 12 5 3 5 7" xfId="8606" xr:uid="{00000000-0005-0000-0000-00008B210000}"/>
    <cellStyle name="Normal 12 5 3 5 8" xfId="8607" xr:uid="{00000000-0005-0000-0000-00008C210000}"/>
    <cellStyle name="Normal 12 5 3 6" xfId="8608" xr:uid="{00000000-0005-0000-0000-00008D210000}"/>
    <cellStyle name="Normal 12 5 3 6 2" xfId="8609" xr:uid="{00000000-0005-0000-0000-00008E210000}"/>
    <cellStyle name="Normal 12 5 3 6 3" xfId="8610" xr:uid="{00000000-0005-0000-0000-00008F210000}"/>
    <cellStyle name="Normal 12 5 3 6 4" xfId="8611" xr:uid="{00000000-0005-0000-0000-000090210000}"/>
    <cellStyle name="Normal 12 5 3 6 5" xfId="8612" xr:uid="{00000000-0005-0000-0000-000091210000}"/>
    <cellStyle name="Normal 12 5 3 6 6" xfId="8613" xr:uid="{00000000-0005-0000-0000-000092210000}"/>
    <cellStyle name="Normal 12 5 3 7" xfId="8614" xr:uid="{00000000-0005-0000-0000-000093210000}"/>
    <cellStyle name="Normal 12 5 3 7 2" xfId="8615" xr:uid="{00000000-0005-0000-0000-000094210000}"/>
    <cellStyle name="Normal 12 5 3 7 3" xfId="8616" xr:uid="{00000000-0005-0000-0000-000095210000}"/>
    <cellStyle name="Normal 12 5 3 7 4" xfId="8617" xr:uid="{00000000-0005-0000-0000-000096210000}"/>
    <cellStyle name="Normal 12 5 3 7 5" xfId="8618" xr:uid="{00000000-0005-0000-0000-000097210000}"/>
    <cellStyle name="Normal 12 5 3 7 6" xfId="8619" xr:uid="{00000000-0005-0000-0000-000098210000}"/>
    <cellStyle name="Normal 12 5 3 8" xfId="8620" xr:uid="{00000000-0005-0000-0000-000099210000}"/>
    <cellStyle name="Normal 12 5 3 9" xfId="8621" xr:uid="{00000000-0005-0000-0000-00009A210000}"/>
    <cellStyle name="Normal 12 5 4" xfId="8622" xr:uid="{00000000-0005-0000-0000-00009B210000}"/>
    <cellStyle name="Normal 12 5 4 10" xfId="8623" xr:uid="{00000000-0005-0000-0000-00009C210000}"/>
    <cellStyle name="Normal 12 5 4 11" xfId="8624" xr:uid="{00000000-0005-0000-0000-00009D210000}"/>
    <cellStyle name="Normal 12 5 4 12" xfId="8625" xr:uid="{00000000-0005-0000-0000-00009E210000}"/>
    <cellStyle name="Normal 12 5 4 2" xfId="8626" xr:uid="{00000000-0005-0000-0000-00009F210000}"/>
    <cellStyle name="Normal 12 5 4 2 10" xfId="8627" xr:uid="{00000000-0005-0000-0000-0000A0210000}"/>
    <cellStyle name="Normal 12 5 4 2 11" xfId="8628" xr:uid="{00000000-0005-0000-0000-0000A1210000}"/>
    <cellStyle name="Normal 12 5 4 2 2" xfId="8629" xr:uid="{00000000-0005-0000-0000-0000A2210000}"/>
    <cellStyle name="Normal 12 5 4 2 2 2" xfId="8630" xr:uid="{00000000-0005-0000-0000-0000A3210000}"/>
    <cellStyle name="Normal 12 5 4 2 2 2 2" xfId="8631" xr:uid="{00000000-0005-0000-0000-0000A4210000}"/>
    <cellStyle name="Normal 12 5 4 2 2 2 3" xfId="8632" xr:uid="{00000000-0005-0000-0000-0000A5210000}"/>
    <cellStyle name="Normal 12 5 4 2 2 2 4" xfId="8633" xr:uid="{00000000-0005-0000-0000-0000A6210000}"/>
    <cellStyle name="Normal 12 5 4 2 2 2 5" xfId="8634" xr:uid="{00000000-0005-0000-0000-0000A7210000}"/>
    <cellStyle name="Normal 12 5 4 2 2 2 6" xfId="8635" xr:uid="{00000000-0005-0000-0000-0000A8210000}"/>
    <cellStyle name="Normal 12 5 4 2 2 3" xfId="8636" xr:uid="{00000000-0005-0000-0000-0000A9210000}"/>
    <cellStyle name="Normal 12 5 4 2 2 3 2" xfId="8637" xr:uid="{00000000-0005-0000-0000-0000AA210000}"/>
    <cellStyle name="Normal 12 5 4 2 2 3 3" xfId="8638" xr:uid="{00000000-0005-0000-0000-0000AB210000}"/>
    <cellStyle name="Normal 12 5 4 2 2 3 4" xfId="8639" xr:uid="{00000000-0005-0000-0000-0000AC210000}"/>
    <cellStyle name="Normal 12 5 4 2 2 3 5" xfId="8640" xr:uid="{00000000-0005-0000-0000-0000AD210000}"/>
    <cellStyle name="Normal 12 5 4 2 2 3 6" xfId="8641" xr:uid="{00000000-0005-0000-0000-0000AE210000}"/>
    <cellStyle name="Normal 12 5 4 2 2 4" xfId="8642" xr:uid="{00000000-0005-0000-0000-0000AF210000}"/>
    <cellStyle name="Normal 12 5 4 2 2 5" xfId="8643" xr:uid="{00000000-0005-0000-0000-0000B0210000}"/>
    <cellStyle name="Normal 12 5 4 2 2 6" xfId="8644" xr:uid="{00000000-0005-0000-0000-0000B1210000}"/>
    <cellStyle name="Normal 12 5 4 2 2 7" xfId="8645" xr:uid="{00000000-0005-0000-0000-0000B2210000}"/>
    <cellStyle name="Normal 12 5 4 2 2 8" xfId="8646" xr:uid="{00000000-0005-0000-0000-0000B3210000}"/>
    <cellStyle name="Normal 12 5 4 2 3" xfId="8647" xr:uid="{00000000-0005-0000-0000-0000B4210000}"/>
    <cellStyle name="Normal 12 5 4 2 3 2" xfId="8648" xr:uid="{00000000-0005-0000-0000-0000B5210000}"/>
    <cellStyle name="Normal 12 5 4 2 3 2 2" xfId="8649" xr:uid="{00000000-0005-0000-0000-0000B6210000}"/>
    <cellStyle name="Normal 12 5 4 2 3 2 3" xfId="8650" xr:uid="{00000000-0005-0000-0000-0000B7210000}"/>
    <cellStyle name="Normal 12 5 4 2 3 2 4" xfId="8651" xr:uid="{00000000-0005-0000-0000-0000B8210000}"/>
    <cellStyle name="Normal 12 5 4 2 3 2 5" xfId="8652" xr:uid="{00000000-0005-0000-0000-0000B9210000}"/>
    <cellStyle name="Normal 12 5 4 2 3 2 6" xfId="8653" xr:uid="{00000000-0005-0000-0000-0000BA210000}"/>
    <cellStyle name="Normal 12 5 4 2 3 3" xfId="8654" xr:uid="{00000000-0005-0000-0000-0000BB210000}"/>
    <cellStyle name="Normal 12 5 4 2 3 3 2" xfId="8655" xr:uid="{00000000-0005-0000-0000-0000BC210000}"/>
    <cellStyle name="Normal 12 5 4 2 3 3 3" xfId="8656" xr:uid="{00000000-0005-0000-0000-0000BD210000}"/>
    <cellStyle name="Normal 12 5 4 2 3 3 4" xfId="8657" xr:uid="{00000000-0005-0000-0000-0000BE210000}"/>
    <cellStyle name="Normal 12 5 4 2 3 3 5" xfId="8658" xr:uid="{00000000-0005-0000-0000-0000BF210000}"/>
    <cellStyle name="Normal 12 5 4 2 3 3 6" xfId="8659" xr:uid="{00000000-0005-0000-0000-0000C0210000}"/>
    <cellStyle name="Normal 12 5 4 2 3 4" xfId="8660" xr:uid="{00000000-0005-0000-0000-0000C1210000}"/>
    <cellStyle name="Normal 12 5 4 2 3 5" xfId="8661" xr:uid="{00000000-0005-0000-0000-0000C2210000}"/>
    <cellStyle name="Normal 12 5 4 2 3 6" xfId="8662" xr:uid="{00000000-0005-0000-0000-0000C3210000}"/>
    <cellStyle name="Normal 12 5 4 2 3 7" xfId="8663" xr:uid="{00000000-0005-0000-0000-0000C4210000}"/>
    <cellStyle name="Normal 12 5 4 2 3 8" xfId="8664" xr:uid="{00000000-0005-0000-0000-0000C5210000}"/>
    <cellStyle name="Normal 12 5 4 2 4" xfId="8665" xr:uid="{00000000-0005-0000-0000-0000C6210000}"/>
    <cellStyle name="Normal 12 5 4 2 4 2" xfId="8666" xr:uid="{00000000-0005-0000-0000-0000C7210000}"/>
    <cellStyle name="Normal 12 5 4 2 4 2 2" xfId="8667" xr:uid="{00000000-0005-0000-0000-0000C8210000}"/>
    <cellStyle name="Normal 12 5 4 2 4 2 3" xfId="8668" xr:uid="{00000000-0005-0000-0000-0000C9210000}"/>
    <cellStyle name="Normal 12 5 4 2 4 2 4" xfId="8669" xr:uid="{00000000-0005-0000-0000-0000CA210000}"/>
    <cellStyle name="Normal 12 5 4 2 4 2 5" xfId="8670" xr:uid="{00000000-0005-0000-0000-0000CB210000}"/>
    <cellStyle name="Normal 12 5 4 2 4 2 6" xfId="8671" xr:uid="{00000000-0005-0000-0000-0000CC210000}"/>
    <cellStyle name="Normal 12 5 4 2 4 3" xfId="8672" xr:uid="{00000000-0005-0000-0000-0000CD210000}"/>
    <cellStyle name="Normal 12 5 4 2 4 3 2" xfId="8673" xr:uid="{00000000-0005-0000-0000-0000CE210000}"/>
    <cellStyle name="Normal 12 5 4 2 4 3 3" xfId="8674" xr:uid="{00000000-0005-0000-0000-0000CF210000}"/>
    <cellStyle name="Normal 12 5 4 2 4 3 4" xfId="8675" xr:uid="{00000000-0005-0000-0000-0000D0210000}"/>
    <cellStyle name="Normal 12 5 4 2 4 3 5" xfId="8676" xr:uid="{00000000-0005-0000-0000-0000D1210000}"/>
    <cellStyle name="Normal 12 5 4 2 4 3 6" xfId="8677" xr:uid="{00000000-0005-0000-0000-0000D2210000}"/>
    <cellStyle name="Normal 12 5 4 2 4 4" xfId="8678" xr:uid="{00000000-0005-0000-0000-0000D3210000}"/>
    <cellStyle name="Normal 12 5 4 2 4 5" xfId="8679" xr:uid="{00000000-0005-0000-0000-0000D4210000}"/>
    <cellStyle name="Normal 12 5 4 2 4 6" xfId="8680" xr:uid="{00000000-0005-0000-0000-0000D5210000}"/>
    <cellStyle name="Normal 12 5 4 2 4 7" xfId="8681" xr:uid="{00000000-0005-0000-0000-0000D6210000}"/>
    <cellStyle name="Normal 12 5 4 2 4 8" xfId="8682" xr:uid="{00000000-0005-0000-0000-0000D7210000}"/>
    <cellStyle name="Normal 12 5 4 2 5" xfId="8683" xr:uid="{00000000-0005-0000-0000-0000D8210000}"/>
    <cellStyle name="Normal 12 5 4 2 5 2" xfId="8684" xr:uid="{00000000-0005-0000-0000-0000D9210000}"/>
    <cellStyle name="Normal 12 5 4 2 5 3" xfId="8685" xr:uid="{00000000-0005-0000-0000-0000DA210000}"/>
    <cellStyle name="Normal 12 5 4 2 5 4" xfId="8686" xr:uid="{00000000-0005-0000-0000-0000DB210000}"/>
    <cellStyle name="Normal 12 5 4 2 5 5" xfId="8687" xr:uid="{00000000-0005-0000-0000-0000DC210000}"/>
    <cellStyle name="Normal 12 5 4 2 5 6" xfId="8688" xr:uid="{00000000-0005-0000-0000-0000DD210000}"/>
    <cellStyle name="Normal 12 5 4 2 6" xfId="8689" xr:uid="{00000000-0005-0000-0000-0000DE210000}"/>
    <cellStyle name="Normal 12 5 4 2 6 2" xfId="8690" xr:uid="{00000000-0005-0000-0000-0000DF210000}"/>
    <cellStyle name="Normal 12 5 4 2 6 3" xfId="8691" xr:uid="{00000000-0005-0000-0000-0000E0210000}"/>
    <cellStyle name="Normal 12 5 4 2 6 4" xfId="8692" xr:uid="{00000000-0005-0000-0000-0000E1210000}"/>
    <cellStyle name="Normal 12 5 4 2 6 5" xfId="8693" xr:uid="{00000000-0005-0000-0000-0000E2210000}"/>
    <cellStyle name="Normal 12 5 4 2 6 6" xfId="8694" xr:uid="{00000000-0005-0000-0000-0000E3210000}"/>
    <cellStyle name="Normal 12 5 4 2 7" xfId="8695" xr:uid="{00000000-0005-0000-0000-0000E4210000}"/>
    <cellStyle name="Normal 12 5 4 2 8" xfId="8696" xr:uid="{00000000-0005-0000-0000-0000E5210000}"/>
    <cellStyle name="Normal 12 5 4 2 9" xfId="8697" xr:uid="{00000000-0005-0000-0000-0000E6210000}"/>
    <cellStyle name="Normal 12 5 4 3" xfId="8698" xr:uid="{00000000-0005-0000-0000-0000E7210000}"/>
    <cellStyle name="Normal 12 5 4 3 2" xfId="8699" xr:uid="{00000000-0005-0000-0000-0000E8210000}"/>
    <cellStyle name="Normal 12 5 4 3 2 2" xfId="8700" xr:uid="{00000000-0005-0000-0000-0000E9210000}"/>
    <cellStyle name="Normal 12 5 4 3 2 3" xfId="8701" xr:uid="{00000000-0005-0000-0000-0000EA210000}"/>
    <cellStyle name="Normal 12 5 4 3 2 4" xfId="8702" xr:uid="{00000000-0005-0000-0000-0000EB210000}"/>
    <cellStyle name="Normal 12 5 4 3 2 5" xfId="8703" xr:uid="{00000000-0005-0000-0000-0000EC210000}"/>
    <cellStyle name="Normal 12 5 4 3 2 6" xfId="8704" xr:uid="{00000000-0005-0000-0000-0000ED210000}"/>
    <cellStyle name="Normal 12 5 4 3 3" xfId="8705" xr:uid="{00000000-0005-0000-0000-0000EE210000}"/>
    <cellStyle name="Normal 12 5 4 3 3 2" xfId="8706" xr:uid="{00000000-0005-0000-0000-0000EF210000}"/>
    <cellStyle name="Normal 12 5 4 3 3 3" xfId="8707" xr:uid="{00000000-0005-0000-0000-0000F0210000}"/>
    <cellStyle name="Normal 12 5 4 3 3 4" xfId="8708" xr:uid="{00000000-0005-0000-0000-0000F1210000}"/>
    <cellStyle name="Normal 12 5 4 3 3 5" xfId="8709" xr:uid="{00000000-0005-0000-0000-0000F2210000}"/>
    <cellStyle name="Normal 12 5 4 3 3 6" xfId="8710" xr:uid="{00000000-0005-0000-0000-0000F3210000}"/>
    <cellStyle name="Normal 12 5 4 3 4" xfId="8711" xr:uid="{00000000-0005-0000-0000-0000F4210000}"/>
    <cellStyle name="Normal 12 5 4 3 5" xfId="8712" xr:uid="{00000000-0005-0000-0000-0000F5210000}"/>
    <cellStyle name="Normal 12 5 4 3 6" xfId="8713" xr:uid="{00000000-0005-0000-0000-0000F6210000}"/>
    <cellStyle name="Normal 12 5 4 3 7" xfId="8714" xr:uid="{00000000-0005-0000-0000-0000F7210000}"/>
    <cellStyle name="Normal 12 5 4 3 8" xfId="8715" xr:uid="{00000000-0005-0000-0000-0000F8210000}"/>
    <cellStyle name="Normal 12 5 4 4" xfId="8716" xr:uid="{00000000-0005-0000-0000-0000F9210000}"/>
    <cellStyle name="Normal 12 5 4 4 2" xfId="8717" xr:uid="{00000000-0005-0000-0000-0000FA210000}"/>
    <cellStyle name="Normal 12 5 4 4 2 2" xfId="8718" xr:uid="{00000000-0005-0000-0000-0000FB210000}"/>
    <cellStyle name="Normal 12 5 4 4 2 3" xfId="8719" xr:uid="{00000000-0005-0000-0000-0000FC210000}"/>
    <cellStyle name="Normal 12 5 4 4 2 4" xfId="8720" xr:uid="{00000000-0005-0000-0000-0000FD210000}"/>
    <cellStyle name="Normal 12 5 4 4 2 5" xfId="8721" xr:uid="{00000000-0005-0000-0000-0000FE210000}"/>
    <cellStyle name="Normal 12 5 4 4 2 6" xfId="8722" xr:uid="{00000000-0005-0000-0000-0000FF210000}"/>
    <cellStyle name="Normal 12 5 4 4 3" xfId="8723" xr:uid="{00000000-0005-0000-0000-000000220000}"/>
    <cellStyle name="Normal 12 5 4 4 3 2" xfId="8724" xr:uid="{00000000-0005-0000-0000-000001220000}"/>
    <cellStyle name="Normal 12 5 4 4 3 3" xfId="8725" xr:uid="{00000000-0005-0000-0000-000002220000}"/>
    <cellStyle name="Normal 12 5 4 4 3 4" xfId="8726" xr:uid="{00000000-0005-0000-0000-000003220000}"/>
    <cellStyle name="Normal 12 5 4 4 3 5" xfId="8727" xr:uid="{00000000-0005-0000-0000-000004220000}"/>
    <cellStyle name="Normal 12 5 4 4 3 6" xfId="8728" xr:uid="{00000000-0005-0000-0000-000005220000}"/>
    <cellStyle name="Normal 12 5 4 4 4" xfId="8729" xr:uid="{00000000-0005-0000-0000-000006220000}"/>
    <cellStyle name="Normal 12 5 4 4 5" xfId="8730" xr:uid="{00000000-0005-0000-0000-000007220000}"/>
    <cellStyle name="Normal 12 5 4 4 6" xfId="8731" xr:uid="{00000000-0005-0000-0000-000008220000}"/>
    <cellStyle name="Normal 12 5 4 4 7" xfId="8732" xr:uid="{00000000-0005-0000-0000-000009220000}"/>
    <cellStyle name="Normal 12 5 4 4 8" xfId="8733" xr:uid="{00000000-0005-0000-0000-00000A220000}"/>
    <cellStyle name="Normal 12 5 4 5" xfId="8734" xr:uid="{00000000-0005-0000-0000-00000B220000}"/>
    <cellStyle name="Normal 12 5 4 5 2" xfId="8735" xr:uid="{00000000-0005-0000-0000-00000C220000}"/>
    <cellStyle name="Normal 12 5 4 5 2 2" xfId="8736" xr:uid="{00000000-0005-0000-0000-00000D220000}"/>
    <cellStyle name="Normal 12 5 4 5 2 3" xfId="8737" xr:uid="{00000000-0005-0000-0000-00000E220000}"/>
    <cellStyle name="Normal 12 5 4 5 2 4" xfId="8738" xr:uid="{00000000-0005-0000-0000-00000F220000}"/>
    <cellStyle name="Normal 12 5 4 5 2 5" xfId="8739" xr:uid="{00000000-0005-0000-0000-000010220000}"/>
    <cellStyle name="Normal 12 5 4 5 2 6" xfId="8740" xr:uid="{00000000-0005-0000-0000-000011220000}"/>
    <cellStyle name="Normal 12 5 4 5 3" xfId="8741" xr:uid="{00000000-0005-0000-0000-000012220000}"/>
    <cellStyle name="Normal 12 5 4 5 3 2" xfId="8742" xr:uid="{00000000-0005-0000-0000-000013220000}"/>
    <cellStyle name="Normal 12 5 4 5 3 3" xfId="8743" xr:uid="{00000000-0005-0000-0000-000014220000}"/>
    <cellStyle name="Normal 12 5 4 5 3 4" xfId="8744" xr:uid="{00000000-0005-0000-0000-000015220000}"/>
    <cellStyle name="Normal 12 5 4 5 3 5" xfId="8745" xr:uid="{00000000-0005-0000-0000-000016220000}"/>
    <cellStyle name="Normal 12 5 4 5 3 6" xfId="8746" xr:uid="{00000000-0005-0000-0000-000017220000}"/>
    <cellStyle name="Normal 12 5 4 5 4" xfId="8747" xr:uid="{00000000-0005-0000-0000-000018220000}"/>
    <cellStyle name="Normal 12 5 4 5 5" xfId="8748" xr:uid="{00000000-0005-0000-0000-000019220000}"/>
    <cellStyle name="Normal 12 5 4 5 6" xfId="8749" xr:uid="{00000000-0005-0000-0000-00001A220000}"/>
    <cellStyle name="Normal 12 5 4 5 7" xfId="8750" xr:uid="{00000000-0005-0000-0000-00001B220000}"/>
    <cellStyle name="Normal 12 5 4 5 8" xfId="8751" xr:uid="{00000000-0005-0000-0000-00001C220000}"/>
    <cellStyle name="Normal 12 5 4 6" xfId="8752" xr:uid="{00000000-0005-0000-0000-00001D220000}"/>
    <cellStyle name="Normal 12 5 4 6 2" xfId="8753" xr:uid="{00000000-0005-0000-0000-00001E220000}"/>
    <cellStyle name="Normal 12 5 4 6 3" xfId="8754" xr:uid="{00000000-0005-0000-0000-00001F220000}"/>
    <cellStyle name="Normal 12 5 4 6 4" xfId="8755" xr:uid="{00000000-0005-0000-0000-000020220000}"/>
    <cellStyle name="Normal 12 5 4 6 5" xfId="8756" xr:uid="{00000000-0005-0000-0000-000021220000}"/>
    <cellStyle name="Normal 12 5 4 6 6" xfId="8757" xr:uid="{00000000-0005-0000-0000-000022220000}"/>
    <cellStyle name="Normal 12 5 4 7" xfId="8758" xr:uid="{00000000-0005-0000-0000-000023220000}"/>
    <cellStyle name="Normal 12 5 4 7 2" xfId="8759" xr:uid="{00000000-0005-0000-0000-000024220000}"/>
    <cellStyle name="Normal 12 5 4 7 3" xfId="8760" xr:uid="{00000000-0005-0000-0000-000025220000}"/>
    <cellStyle name="Normal 12 5 4 7 4" xfId="8761" xr:uid="{00000000-0005-0000-0000-000026220000}"/>
    <cellStyle name="Normal 12 5 4 7 5" xfId="8762" xr:uid="{00000000-0005-0000-0000-000027220000}"/>
    <cellStyle name="Normal 12 5 4 7 6" xfId="8763" xr:uid="{00000000-0005-0000-0000-000028220000}"/>
    <cellStyle name="Normal 12 5 4 8" xfId="8764" xr:uid="{00000000-0005-0000-0000-000029220000}"/>
    <cellStyle name="Normal 12 5 4 9" xfId="8765" xr:uid="{00000000-0005-0000-0000-00002A220000}"/>
    <cellStyle name="Normal 12 5 5" xfId="8766" xr:uid="{00000000-0005-0000-0000-00002B220000}"/>
    <cellStyle name="Normal 12 5 5 10" xfId="8767" xr:uid="{00000000-0005-0000-0000-00002C220000}"/>
    <cellStyle name="Normal 12 5 5 11" xfId="8768" xr:uid="{00000000-0005-0000-0000-00002D220000}"/>
    <cellStyle name="Normal 12 5 5 2" xfId="8769" xr:uid="{00000000-0005-0000-0000-00002E220000}"/>
    <cellStyle name="Normal 12 5 5 2 2" xfId="8770" xr:uid="{00000000-0005-0000-0000-00002F220000}"/>
    <cellStyle name="Normal 12 5 5 2 2 2" xfId="8771" xr:uid="{00000000-0005-0000-0000-000030220000}"/>
    <cellStyle name="Normal 12 5 5 2 2 3" xfId="8772" xr:uid="{00000000-0005-0000-0000-000031220000}"/>
    <cellStyle name="Normal 12 5 5 2 2 4" xfId="8773" xr:uid="{00000000-0005-0000-0000-000032220000}"/>
    <cellStyle name="Normal 12 5 5 2 2 5" xfId="8774" xr:uid="{00000000-0005-0000-0000-000033220000}"/>
    <cellStyle name="Normal 12 5 5 2 2 6" xfId="8775" xr:uid="{00000000-0005-0000-0000-000034220000}"/>
    <cellStyle name="Normal 12 5 5 2 3" xfId="8776" xr:uid="{00000000-0005-0000-0000-000035220000}"/>
    <cellStyle name="Normal 12 5 5 2 3 2" xfId="8777" xr:uid="{00000000-0005-0000-0000-000036220000}"/>
    <cellStyle name="Normal 12 5 5 2 3 3" xfId="8778" xr:uid="{00000000-0005-0000-0000-000037220000}"/>
    <cellStyle name="Normal 12 5 5 2 3 4" xfId="8779" xr:uid="{00000000-0005-0000-0000-000038220000}"/>
    <cellStyle name="Normal 12 5 5 2 3 5" xfId="8780" xr:uid="{00000000-0005-0000-0000-000039220000}"/>
    <cellStyle name="Normal 12 5 5 2 3 6" xfId="8781" xr:uid="{00000000-0005-0000-0000-00003A220000}"/>
    <cellStyle name="Normal 12 5 5 2 4" xfId="8782" xr:uid="{00000000-0005-0000-0000-00003B220000}"/>
    <cellStyle name="Normal 12 5 5 2 5" xfId="8783" xr:uid="{00000000-0005-0000-0000-00003C220000}"/>
    <cellStyle name="Normal 12 5 5 2 6" xfId="8784" xr:uid="{00000000-0005-0000-0000-00003D220000}"/>
    <cellStyle name="Normal 12 5 5 2 7" xfId="8785" xr:uid="{00000000-0005-0000-0000-00003E220000}"/>
    <cellStyle name="Normal 12 5 5 2 8" xfId="8786" xr:uid="{00000000-0005-0000-0000-00003F220000}"/>
    <cellStyle name="Normal 12 5 5 3" xfId="8787" xr:uid="{00000000-0005-0000-0000-000040220000}"/>
    <cellStyle name="Normal 12 5 5 3 2" xfId="8788" xr:uid="{00000000-0005-0000-0000-000041220000}"/>
    <cellStyle name="Normal 12 5 5 3 2 2" xfId="8789" xr:uid="{00000000-0005-0000-0000-000042220000}"/>
    <cellStyle name="Normal 12 5 5 3 2 3" xfId="8790" xr:uid="{00000000-0005-0000-0000-000043220000}"/>
    <cellStyle name="Normal 12 5 5 3 2 4" xfId="8791" xr:uid="{00000000-0005-0000-0000-000044220000}"/>
    <cellStyle name="Normal 12 5 5 3 2 5" xfId="8792" xr:uid="{00000000-0005-0000-0000-000045220000}"/>
    <cellStyle name="Normal 12 5 5 3 2 6" xfId="8793" xr:uid="{00000000-0005-0000-0000-000046220000}"/>
    <cellStyle name="Normal 12 5 5 3 3" xfId="8794" xr:uid="{00000000-0005-0000-0000-000047220000}"/>
    <cellStyle name="Normal 12 5 5 3 3 2" xfId="8795" xr:uid="{00000000-0005-0000-0000-000048220000}"/>
    <cellStyle name="Normal 12 5 5 3 3 3" xfId="8796" xr:uid="{00000000-0005-0000-0000-000049220000}"/>
    <cellStyle name="Normal 12 5 5 3 3 4" xfId="8797" xr:uid="{00000000-0005-0000-0000-00004A220000}"/>
    <cellStyle name="Normal 12 5 5 3 3 5" xfId="8798" xr:uid="{00000000-0005-0000-0000-00004B220000}"/>
    <cellStyle name="Normal 12 5 5 3 3 6" xfId="8799" xr:uid="{00000000-0005-0000-0000-00004C220000}"/>
    <cellStyle name="Normal 12 5 5 3 4" xfId="8800" xr:uid="{00000000-0005-0000-0000-00004D220000}"/>
    <cellStyle name="Normal 12 5 5 3 5" xfId="8801" xr:uid="{00000000-0005-0000-0000-00004E220000}"/>
    <cellStyle name="Normal 12 5 5 3 6" xfId="8802" xr:uid="{00000000-0005-0000-0000-00004F220000}"/>
    <cellStyle name="Normal 12 5 5 3 7" xfId="8803" xr:uid="{00000000-0005-0000-0000-000050220000}"/>
    <cellStyle name="Normal 12 5 5 3 8" xfId="8804" xr:uid="{00000000-0005-0000-0000-000051220000}"/>
    <cellStyle name="Normal 12 5 5 4" xfId="8805" xr:uid="{00000000-0005-0000-0000-000052220000}"/>
    <cellStyle name="Normal 12 5 5 4 2" xfId="8806" xr:uid="{00000000-0005-0000-0000-000053220000}"/>
    <cellStyle name="Normal 12 5 5 4 2 2" xfId="8807" xr:uid="{00000000-0005-0000-0000-000054220000}"/>
    <cellStyle name="Normal 12 5 5 4 2 3" xfId="8808" xr:uid="{00000000-0005-0000-0000-000055220000}"/>
    <cellStyle name="Normal 12 5 5 4 2 4" xfId="8809" xr:uid="{00000000-0005-0000-0000-000056220000}"/>
    <cellStyle name="Normal 12 5 5 4 2 5" xfId="8810" xr:uid="{00000000-0005-0000-0000-000057220000}"/>
    <cellStyle name="Normal 12 5 5 4 2 6" xfId="8811" xr:uid="{00000000-0005-0000-0000-000058220000}"/>
    <cellStyle name="Normal 12 5 5 4 3" xfId="8812" xr:uid="{00000000-0005-0000-0000-000059220000}"/>
    <cellStyle name="Normal 12 5 5 4 3 2" xfId="8813" xr:uid="{00000000-0005-0000-0000-00005A220000}"/>
    <cellStyle name="Normal 12 5 5 4 3 3" xfId="8814" xr:uid="{00000000-0005-0000-0000-00005B220000}"/>
    <cellStyle name="Normal 12 5 5 4 3 4" xfId="8815" xr:uid="{00000000-0005-0000-0000-00005C220000}"/>
    <cellStyle name="Normal 12 5 5 4 3 5" xfId="8816" xr:uid="{00000000-0005-0000-0000-00005D220000}"/>
    <cellStyle name="Normal 12 5 5 4 3 6" xfId="8817" xr:uid="{00000000-0005-0000-0000-00005E220000}"/>
    <cellStyle name="Normal 12 5 5 4 4" xfId="8818" xr:uid="{00000000-0005-0000-0000-00005F220000}"/>
    <cellStyle name="Normal 12 5 5 4 5" xfId="8819" xr:uid="{00000000-0005-0000-0000-000060220000}"/>
    <cellStyle name="Normal 12 5 5 4 6" xfId="8820" xr:uid="{00000000-0005-0000-0000-000061220000}"/>
    <cellStyle name="Normal 12 5 5 4 7" xfId="8821" xr:uid="{00000000-0005-0000-0000-000062220000}"/>
    <cellStyle name="Normal 12 5 5 4 8" xfId="8822" xr:uid="{00000000-0005-0000-0000-000063220000}"/>
    <cellStyle name="Normal 12 5 5 5" xfId="8823" xr:uid="{00000000-0005-0000-0000-000064220000}"/>
    <cellStyle name="Normal 12 5 5 5 2" xfId="8824" xr:uid="{00000000-0005-0000-0000-000065220000}"/>
    <cellStyle name="Normal 12 5 5 5 3" xfId="8825" xr:uid="{00000000-0005-0000-0000-000066220000}"/>
    <cellStyle name="Normal 12 5 5 5 4" xfId="8826" xr:uid="{00000000-0005-0000-0000-000067220000}"/>
    <cellStyle name="Normal 12 5 5 5 5" xfId="8827" xr:uid="{00000000-0005-0000-0000-000068220000}"/>
    <cellStyle name="Normal 12 5 5 5 6" xfId="8828" xr:uid="{00000000-0005-0000-0000-000069220000}"/>
    <cellStyle name="Normal 12 5 5 6" xfId="8829" xr:uid="{00000000-0005-0000-0000-00006A220000}"/>
    <cellStyle name="Normal 12 5 5 6 2" xfId="8830" xr:uid="{00000000-0005-0000-0000-00006B220000}"/>
    <cellStyle name="Normal 12 5 5 6 3" xfId="8831" xr:uid="{00000000-0005-0000-0000-00006C220000}"/>
    <cellStyle name="Normal 12 5 5 6 4" xfId="8832" xr:uid="{00000000-0005-0000-0000-00006D220000}"/>
    <cellStyle name="Normal 12 5 5 6 5" xfId="8833" xr:uid="{00000000-0005-0000-0000-00006E220000}"/>
    <cellStyle name="Normal 12 5 5 6 6" xfId="8834" xr:uid="{00000000-0005-0000-0000-00006F220000}"/>
    <cellStyle name="Normal 12 5 5 7" xfId="8835" xr:uid="{00000000-0005-0000-0000-000070220000}"/>
    <cellStyle name="Normal 12 5 5 8" xfId="8836" xr:uid="{00000000-0005-0000-0000-000071220000}"/>
    <cellStyle name="Normal 12 5 5 9" xfId="8837" xr:uid="{00000000-0005-0000-0000-000072220000}"/>
    <cellStyle name="Normal 12 5 6" xfId="8838" xr:uid="{00000000-0005-0000-0000-000073220000}"/>
    <cellStyle name="Normal 12 5 6 2" xfId="8839" xr:uid="{00000000-0005-0000-0000-000074220000}"/>
    <cellStyle name="Normal 12 5 6 2 2" xfId="8840" xr:uid="{00000000-0005-0000-0000-000075220000}"/>
    <cellStyle name="Normal 12 5 6 2 3" xfId="8841" xr:uid="{00000000-0005-0000-0000-000076220000}"/>
    <cellStyle name="Normal 12 5 6 2 4" xfId="8842" xr:uid="{00000000-0005-0000-0000-000077220000}"/>
    <cellStyle name="Normal 12 5 6 2 5" xfId="8843" xr:uid="{00000000-0005-0000-0000-000078220000}"/>
    <cellStyle name="Normal 12 5 6 2 6" xfId="8844" xr:uid="{00000000-0005-0000-0000-000079220000}"/>
    <cellStyle name="Normal 12 5 6 3" xfId="8845" xr:uid="{00000000-0005-0000-0000-00007A220000}"/>
    <cellStyle name="Normal 12 5 6 3 2" xfId="8846" xr:uid="{00000000-0005-0000-0000-00007B220000}"/>
    <cellStyle name="Normal 12 5 6 3 3" xfId="8847" xr:uid="{00000000-0005-0000-0000-00007C220000}"/>
    <cellStyle name="Normal 12 5 6 3 4" xfId="8848" xr:uid="{00000000-0005-0000-0000-00007D220000}"/>
    <cellStyle name="Normal 12 5 6 3 5" xfId="8849" xr:uid="{00000000-0005-0000-0000-00007E220000}"/>
    <cellStyle name="Normal 12 5 6 3 6" xfId="8850" xr:uid="{00000000-0005-0000-0000-00007F220000}"/>
    <cellStyle name="Normal 12 5 6 4" xfId="8851" xr:uid="{00000000-0005-0000-0000-000080220000}"/>
    <cellStyle name="Normal 12 5 6 5" xfId="8852" xr:uid="{00000000-0005-0000-0000-000081220000}"/>
    <cellStyle name="Normal 12 5 6 6" xfId="8853" xr:uid="{00000000-0005-0000-0000-000082220000}"/>
    <cellStyle name="Normal 12 5 6 7" xfId="8854" xr:uid="{00000000-0005-0000-0000-000083220000}"/>
    <cellStyle name="Normal 12 5 6 8" xfId="8855" xr:uid="{00000000-0005-0000-0000-000084220000}"/>
    <cellStyle name="Normal 12 5 7" xfId="8856" xr:uid="{00000000-0005-0000-0000-000085220000}"/>
    <cellStyle name="Normal 12 5 7 2" xfId="8857" xr:uid="{00000000-0005-0000-0000-000086220000}"/>
    <cellStyle name="Normal 12 5 7 2 2" xfId="8858" xr:uid="{00000000-0005-0000-0000-000087220000}"/>
    <cellStyle name="Normal 12 5 7 2 3" xfId="8859" xr:uid="{00000000-0005-0000-0000-000088220000}"/>
    <cellStyle name="Normal 12 5 7 2 4" xfId="8860" xr:uid="{00000000-0005-0000-0000-000089220000}"/>
    <cellStyle name="Normal 12 5 7 2 5" xfId="8861" xr:uid="{00000000-0005-0000-0000-00008A220000}"/>
    <cellStyle name="Normal 12 5 7 2 6" xfId="8862" xr:uid="{00000000-0005-0000-0000-00008B220000}"/>
    <cellStyle name="Normal 12 5 7 3" xfId="8863" xr:uid="{00000000-0005-0000-0000-00008C220000}"/>
    <cellStyle name="Normal 12 5 7 3 2" xfId="8864" xr:uid="{00000000-0005-0000-0000-00008D220000}"/>
    <cellStyle name="Normal 12 5 7 3 3" xfId="8865" xr:uid="{00000000-0005-0000-0000-00008E220000}"/>
    <cellStyle name="Normal 12 5 7 3 4" xfId="8866" xr:uid="{00000000-0005-0000-0000-00008F220000}"/>
    <cellStyle name="Normal 12 5 7 3 5" xfId="8867" xr:uid="{00000000-0005-0000-0000-000090220000}"/>
    <cellStyle name="Normal 12 5 7 3 6" xfId="8868" xr:uid="{00000000-0005-0000-0000-000091220000}"/>
    <cellStyle name="Normal 12 5 7 4" xfId="8869" xr:uid="{00000000-0005-0000-0000-000092220000}"/>
    <cellStyle name="Normal 12 5 7 5" xfId="8870" xr:uid="{00000000-0005-0000-0000-000093220000}"/>
    <cellStyle name="Normal 12 5 7 6" xfId="8871" xr:uid="{00000000-0005-0000-0000-000094220000}"/>
    <cellStyle name="Normal 12 5 7 7" xfId="8872" xr:uid="{00000000-0005-0000-0000-000095220000}"/>
    <cellStyle name="Normal 12 5 7 8" xfId="8873" xr:uid="{00000000-0005-0000-0000-000096220000}"/>
    <cellStyle name="Normal 12 5 8" xfId="8874" xr:uid="{00000000-0005-0000-0000-000097220000}"/>
    <cellStyle name="Normal 12 5 8 2" xfId="8875" xr:uid="{00000000-0005-0000-0000-000098220000}"/>
    <cellStyle name="Normal 12 5 8 2 2" xfId="8876" xr:uid="{00000000-0005-0000-0000-000099220000}"/>
    <cellStyle name="Normal 12 5 8 2 3" xfId="8877" xr:uid="{00000000-0005-0000-0000-00009A220000}"/>
    <cellStyle name="Normal 12 5 8 2 4" xfId="8878" xr:uid="{00000000-0005-0000-0000-00009B220000}"/>
    <cellStyle name="Normal 12 5 8 2 5" xfId="8879" xr:uid="{00000000-0005-0000-0000-00009C220000}"/>
    <cellStyle name="Normal 12 5 8 2 6" xfId="8880" xr:uid="{00000000-0005-0000-0000-00009D220000}"/>
    <cellStyle name="Normal 12 5 8 3" xfId="8881" xr:uid="{00000000-0005-0000-0000-00009E220000}"/>
    <cellStyle name="Normal 12 5 8 3 2" xfId="8882" xr:uid="{00000000-0005-0000-0000-00009F220000}"/>
    <cellStyle name="Normal 12 5 8 3 3" xfId="8883" xr:uid="{00000000-0005-0000-0000-0000A0220000}"/>
    <cellStyle name="Normal 12 5 8 3 4" xfId="8884" xr:uid="{00000000-0005-0000-0000-0000A1220000}"/>
    <cellStyle name="Normal 12 5 8 3 5" xfId="8885" xr:uid="{00000000-0005-0000-0000-0000A2220000}"/>
    <cellStyle name="Normal 12 5 8 3 6" xfId="8886" xr:uid="{00000000-0005-0000-0000-0000A3220000}"/>
    <cellStyle name="Normal 12 5 8 4" xfId="8887" xr:uid="{00000000-0005-0000-0000-0000A4220000}"/>
    <cellStyle name="Normal 12 5 8 5" xfId="8888" xr:uid="{00000000-0005-0000-0000-0000A5220000}"/>
    <cellStyle name="Normal 12 5 8 6" xfId="8889" xr:uid="{00000000-0005-0000-0000-0000A6220000}"/>
    <cellStyle name="Normal 12 5 8 7" xfId="8890" xr:uid="{00000000-0005-0000-0000-0000A7220000}"/>
    <cellStyle name="Normal 12 5 8 8" xfId="8891" xr:uid="{00000000-0005-0000-0000-0000A8220000}"/>
    <cellStyle name="Normal 12 5 9" xfId="8892" xr:uid="{00000000-0005-0000-0000-0000A9220000}"/>
    <cellStyle name="Normal 12 5 9 2" xfId="8893" xr:uid="{00000000-0005-0000-0000-0000AA220000}"/>
    <cellStyle name="Normal 12 5 9 3" xfId="8894" xr:uid="{00000000-0005-0000-0000-0000AB220000}"/>
    <cellStyle name="Normal 12 5 9 4" xfId="8895" xr:uid="{00000000-0005-0000-0000-0000AC220000}"/>
    <cellStyle name="Normal 12 5 9 5" xfId="8896" xr:uid="{00000000-0005-0000-0000-0000AD220000}"/>
    <cellStyle name="Normal 12 5 9 6" xfId="8897" xr:uid="{00000000-0005-0000-0000-0000AE220000}"/>
    <cellStyle name="Normal 12 6" xfId="8898" xr:uid="{00000000-0005-0000-0000-0000AF220000}"/>
    <cellStyle name="Normal 12 6 10" xfId="8899" xr:uid="{00000000-0005-0000-0000-0000B0220000}"/>
    <cellStyle name="Normal 12 6 11" xfId="8900" xr:uid="{00000000-0005-0000-0000-0000B1220000}"/>
    <cellStyle name="Normal 12 6 12" xfId="8901" xr:uid="{00000000-0005-0000-0000-0000B2220000}"/>
    <cellStyle name="Normal 12 6 13" xfId="8902" xr:uid="{00000000-0005-0000-0000-0000B3220000}"/>
    <cellStyle name="Normal 12 6 14" xfId="8903" xr:uid="{00000000-0005-0000-0000-0000B4220000}"/>
    <cellStyle name="Normal 12 6 2" xfId="8904" xr:uid="{00000000-0005-0000-0000-0000B5220000}"/>
    <cellStyle name="Normal 12 6 2 10" xfId="8905" xr:uid="{00000000-0005-0000-0000-0000B6220000}"/>
    <cellStyle name="Normal 12 6 2 11" xfId="8906" xr:uid="{00000000-0005-0000-0000-0000B7220000}"/>
    <cellStyle name="Normal 12 6 2 12" xfId="8907" xr:uid="{00000000-0005-0000-0000-0000B8220000}"/>
    <cellStyle name="Normal 12 6 2 2" xfId="8908" xr:uid="{00000000-0005-0000-0000-0000B9220000}"/>
    <cellStyle name="Normal 12 6 2 2 10" xfId="8909" xr:uid="{00000000-0005-0000-0000-0000BA220000}"/>
    <cellStyle name="Normal 12 6 2 2 11" xfId="8910" xr:uid="{00000000-0005-0000-0000-0000BB220000}"/>
    <cellStyle name="Normal 12 6 2 2 2" xfId="8911" xr:uid="{00000000-0005-0000-0000-0000BC220000}"/>
    <cellStyle name="Normal 12 6 2 2 2 2" xfId="8912" xr:uid="{00000000-0005-0000-0000-0000BD220000}"/>
    <cellStyle name="Normal 12 6 2 2 2 2 2" xfId="8913" xr:uid="{00000000-0005-0000-0000-0000BE220000}"/>
    <cellStyle name="Normal 12 6 2 2 2 2 3" xfId="8914" xr:uid="{00000000-0005-0000-0000-0000BF220000}"/>
    <cellStyle name="Normal 12 6 2 2 2 2 4" xfId="8915" xr:uid="{00000000-0005-0000-0000-0000C0220000}"/>
    <cellStyle name="Normal 12 6 2 2 2 2 5" xfId="8916" xr:uid="{00000000-0005-0000-0000-0000C1220000}"/>
    <cellStyle name="Normal 12 6 2 2 2 2 6" xfId="8917" xr:uid="{00000000-0005-0000-0000-0000C2220000}"/>
    <cellStyle name="Normal 12 6 2 2 2 3" xfId="8918" xr:uid="{00000000-0005-0000-0000-0000C3220000}"/>
    <cellStyle name="Normal 12 6 2 2 2 3 2" xfId="8919" xr:uid="{00000000-0005-0000-0000-0000C4220000}"/>
    <cellStyle name="Normal 12 6 2 2 2 3 3" xfId="8920" xr:uid="{00000000-0005-0000-0000-0000C5220000}"/>
    <cellStyle name="Normal 12 6 2 2 2 3 4" xfId="8921" xr:uid="{00000000-0005-0000-0000-0000C6220000}"/>
    <cellStyle name="Normal 12 6 2 2 2 3 5" xfId="8922" xr:uid="{00000000-0005-0000-0000-0000C7220000}"/>
    <cellStyle name="Normal 12 6 2 2 2 3 6" xfId="8923" xr:uid="{00000000-0005-0000-0000-0000C8220000}"/>
    <cellStyle name="Normal 12 6 2 2 2 4" xfId="8924" xr:uid="{00000000-0005-0000-0000-0000C9220000}"/>
    <cellStyle name="Normal 12 6 2 2 2 5" xfId="8925" xr:uid="{00000000-0005-0000-0000-0000CA220000}"/>
    <cellStyle name="Normal 12 6 2 2 2 6" xfId="8926" xr:uid="{00000000-0005-0000-0000-0000CB220000}"/>
    <cellStyle name="Normal 12 6 2 2 2 7" xfId="8927" xr:uid="{00000000-0005-0000-0000-0000CC220000}"/>
    <cellStyle name="Normal 12 6 2 2 2 8" xfId="8928" xr:uid="{00000000-0005-0000-0000-0000CD220000}"/>
    <cellStyle name="Normal 12 6 2 2 3" xfId="8929" xr:uid="{00000000-0005-0000-0000-0000CE220000}"/>
    <cellStyle name="Normal 12 6 2 2 3 2" xfId="8930" xr:uid="{00000000-0005-0000-0000-0000CF220000}"/>
    <cellStyle name="Normal 12 6 2 2 3 2 2" xfId="8931" xr:uid="{00000000-0005-0000-0000-0000D0220000}"/>
    <cellStyle name="Normal 12 6 2 2 3 2 3" xfId="8932" xr:uid="{00000000-0005-0000-0000-0000D1220000}"/>
    <cellStyle name="Normal 12 6 2 2 3 2 4" xfId="8933" xr:uid="{00000000-0005-0000-0000-0000D2220000}"/>
    <cellStyle name="Normal 12 6 2 2 3 2 5" xfId="8934" xr:uid="{00000000-0005-0000-0000-0000D3220000}"/>
    <cellStyle name="Normal 12 6 2 2 3 2 6" xfId="8935" xr:uid="{00000000-0005-0000-0000-0000D4220000}"/>
    <cellStyle name="Normal 12 6 2 2 3 3" xfId="8936" xr:uid="{00000000-0005-0000-0000-0000D5220000}"/>
    <cellStyle name="Normal 12 6 2 2 3 3 2" xfId="8937" xr:uid="{00000000-0005-0000-0000-0000D6220000}"/>
    <cellStyle name="Normal 12 6 2 2 3 3 3" xfId="8938" xr:uid="{00000000-0005-0000-0000-0000D7220000}"/>
    <cellStyle name="Normal 12 6 2 2 3 3 4" xfId="8939" xr:uid="{00000000-0005-0000-0000-0000D8220000}"/>
    <cellStyle name="Normal 12 6 2 2 3 3 5" xfId="8940" xr:uid="{00000000-0005-0000-0000-0000D9220000}"/>
    <cellStyle name="Normal 12 6 2 2 3 3 6" xfId="8941" xr:uid="{00000000-0005-0000-0000-0000DA220000}"/>
    <cellStyle name="Normal 12 6 2 2 3 4" xfId="8942" xr:uid="{00000000-0005-0000-0000-0000DB220000}"/>
    <cellStyle name="Normal 12 6 2 2 3 5" xfId="8943" xr:uid="{00000000-0005-0000-0000-0000DC220000}"/>
    <cellStyle name="Normal 12 6 2 2 3 6" xfId="8944" xr:uid="{00000000-0005-0000-0000-0000DD220000}"/>
    <cellStyle name="Normal 12 6 2 2 3 7" xfId="8945" xr:uid="{00000000-0005-0000-0000-0000DE220000}"/>
    <cellStyle name="Normal 12 6 2 2 3 8" xfId="8946" xr:uid="{00000000-0005-0000-0000-0000DF220000}"/>
    <cellStyle name="Normal 12 6 2 2 4" xfId="8947" xr:uid="{00000000-0005-0000-0000-0000E0220000}"/>
    <cellStyle name="Normal 12 6 2 2 4 2" xfId="8948" xr:uid="{00000000-0005-0000-0000-0000E1220000}"/>
    <cellStyle name="Normal 12 6 2 2 4 2 2" xfId="8949" xr:uid="{00000000-0005-0000-0000-0000E2220000}"/>
    <cellStyle name="Normal 12 6 2 2 4 2 3" xfId="8950" xr:uid="{00000000-0005-0000-0000-0000E3220000}"/>
    <cellStyle name="Normal 12 6 2 2 4 2 4" xfId="8951" xr:uid="{00000000-0005-0000-0000-0000E4220000}"/>
    <cellStyle name="Normal 12 6 2 2 4 2 5" xfId="8952" xr:uid="{00000000-0005-0000-0000-0000E5220000}"/>
    <cellStyle name="Normal 12 6 2 2 4 2 6" xfId="8953" xr:uid="{00000000-0005-0000-0000-0000E6220000}"/>
    <cellStyle name="Normal 12 6 2 2 4 3" xfId="8954" xr:uid="{00000000-0005-0000-0000-0000E7220000}"/>
    <cellStyle name="Normal 12 6 2 2 4 3 2" xfId="8955" xr:uid="{00000000-0005-0000-0000-0000E8220000}"/>
    <cellStyle name="Normal 12 6 2 2 4 3 3" xfId="8956" xr:uid="{00000000-0005-0000-0000-0000E9220000}"/>
    <cellStyle name="Normal 12 6 2 2 4 3 4" xfId="8957" xr:uid="{00000000-0005-0000-0000-0000EA220000}"/>
    <cellStyle name="Normal 12 6 2 2 4 3 5" xfId="8958" xr:uid="{00000000-0005-0000-0000-0000EB220000}"/>
    <cellStyle name="Normal 12 6 2 2 4 3 6" xfId="8959" xr:uid="{00000000-0005-0000-0000-0000EC220000}"/>
    <cellStyle name="Normal 12 6 2 2 4 4" xfId="8960" xr:uid="{00000000-0005-0000-0000-0000ED220000}"/>
    <cellStyle name="Normal 12 6 2 2 4 5" xfId="8961" xr:uid="{00000000-0005-0000-0000-0000EE220000}"/>
    <cellStyle name="Normal 12 6 2 2 4 6" xfId="8962" xr:uid="{00000000-0005-0000-0000-0000EF220000}"/>
    <cellStyle name="Normal 12 6 2 2 4 7" xfId="8963" xr:uid="{00000000-0005-0000-0000-0000F0220000}"/>
    <cellStyle name="Normal 12 6 2 2 4 8" xfId="8964" xr:uid="{00000000-0005-0000-0000-0000F1220000}"/>
    <cellStyle name="Normal 12 6 2 2 5" xfId="8965" xr:uid="{00000000-0005-0000-0000-0000F2220000}"/>
    <cellStyle name="Normal 12 6 2 2 5 2" xfId="8966" xr:uid="{00000000-0005-0000-0000-0000F3220000}"/>
    <cellStyle name="Normal 12 6 2 2 5 3" xfId="8967" xr:uid="{00000000-0005-0000-0000-0000F4220000}"/>
    <cellStyle name="Normal 12 6 2 2 5 4" xfId="8968" xr:uid="{00000000-0005-0000-0000-0000F5220000}"/>
    <cellStyle name="Normal 12 6 2 2 5 5" xfId="8969" xr:uid="{00000000-0005-0000-0000-0000F6220000}"/>
    <cellStyle name="Normal 12 6 2 2 5 6" xfId="8970" xr:uid="{00000000-0005-0000-0000-0000F7220000}"/>
    <cellStyle name="Normal 12 6 2 2 6" xfId="8971" xr:uid="{00000000-0005-0000-0000-0000F8220000}"/>
    <cellStyle name="Normal 12 6 2 2 6 2" xfId="8972" xr:uid="{00000000-0005-0000-0000-0000F9220000}"/>
    <cellStyle name="Normal 12 6 2 2 6 3" xfId="8973" xr:uid="{00000000-0005-0000-0000-0000FA220000}"/>
    <cellStyle name="Normal 12 6 2 2 6 4" xfId="8974" xr:uid="{00000000-0005-0000-0000-0000FB220000}"/>
    <cellStyle name="Normal 12 6 2 2 6 5" xfId="8975" xr:uid="{00000000-0005-0000-0000-0000FC220000}"/>
    <cellStyle name="Normal 12 6 2 2 6 6" xfId="8976" xr:uid="{00000000-0005-0000-0000-0000FD220000}"/>
    <cellStyle name="Normal 12 6 2 2 7" xfId="8977" xr:uid="{00000000-0005-0000-0000-0000FE220000}"/>
    <cellStyle name="Normal 12 6 2 2 8" xfId="8978" xr:uid="{00000000-0005-0000-0000-0000FF220000}"/>
    <cellStyle name="Normal 12 6 2 2 9" xfId="8979" xr:uid="{00000000-0005-0000-0000-000000230000}"/>
    <cellStyle name="Normal 12 6 2 3" xfId="8980" xr:uid="{00000000-0005-0000-0000-000001230000}"/>
    <cellStyle name="Normal 12 6 2 3 2" xfId="8981" xr:uid="{00000000-0005-0000-0000-000002230000}"/>
    <cellStyle name="Normal 12 6 2 3 2 2" xfId="8982" xr:uid="{00000000-0005-0000-0000-000003230000}"/>
    <cellStyle name="Normal 12 6 2 3 2 3" xfId="8983" xr:uid="{00000000-0005-0000-0000-000004230000}"/>
    <cellStyle name="Normal 12 6 2 3 2 4" xfId="8984" xr:uid="{00000000-0005-0000-0000-000005230000}"/>
    <cellStyle name="Normal 12 6 2 3 2 5" xfId="8985" xr:uid="{00000000-0005-0000-0000-000006230000}"/>
    <cellStyle name="Normal 12 6 2 3 2 6" xfId="8986" xr:uid="{00000000-0005-0000-0000-000007230000}"/>
    <cellStyle name="Normal 12 6 2 3 3" xfId="8987" xr:uid="{00000000-0005-0000-0000-000008230000}"/>
    <cellStyle name="Normal 12 6 2 3 3 2" xfId="8988" xr:uid="{00000000-0005-0000-0000-000009230000}"/>
    <cellStyle name="Normal 12 6 2 3 3 3" xfId="8989" xr:uid="{00000000-0005-0000-0000-00000A230000}"/>
    <cellStyle name="Normal 12 6 2 3 3 4" xfId="8990" xr:uid="{00000000-0005-0000-0000-00000B230000}"/>
    <cellStyle name="Normal 12 6 2 3 3 5" xfId="8991" xr:uid="{00000000-0005-0000-0000-00000C230000}"/>
    <cellStyle name="Normal 12 6 2 3 3 6" xfId="8992" xr:uid="{00000000-0005-0000-0000-00000D230000}"/>
    <cellStyle name="Normal 12 6 2 3 4" xfId="8993" xr:uid="{00000000-0005-0000-0000-00000E230000}"/>
    <cellStyle name="Normal 12 6 2 3 5" xfId="8994" xr:uid="{00000000-0005-0000-0000-00000F230000}"/>
    <cellStyle name="Normal 12 6 2 3 6" xfId="8995" xr:uid="{00000000-0005-0000-0000-000010230000}"/>
    <cellStyle name="Normal 12 6 2 3 7" xfId="8996" xr:uid="{00000000-0005-0000-0000-000011230000}"/>
    <cellStyle name="Normal 12 6 2 3 8" xfId="8997" xr:uid="{00000000-0005-0000-0000-000012230000}"/>
    <cellStyle name="Normal 12 6 2 4" xfId="8998" xr:uid="{00000000-0005-0000-0000-000013230000}"/>
    <cellStyle name="Normal 12 6 2 4 2" xfId="8999" xr:uid="{00000000-0005-0000-0000-000014230000}"/>
    <cellStyle name="Normal 12 6 2 4 2 2" xfId="9000" xr:uid="{00000000-0005-0000-0000-000015230000}"/>
    <cellStyle name="Normal 12 6 2 4 2 3" xfId="9001" xr:uid="{00000000-0005-0000-0000-000016230000}"/>
    <cellStyle name="Normal 12 6 2 4 2 4" xfId="9002" xr:uid="{00000000-0005-0000-0000-000017230000}"/>
    <cellStyle name="Normal 12 6 2 4 2 5" xfId="9003" xr:uid="{00000000-0005-0000-0000-000018230000}"/>
    <cellStyle name="Normal 12 6 2 4 2 6" xfId="9004" xr:uid="{00000000-0005-0000-0000-000019230000}"/>
    <cellStyle name="Normal 12 6 2 4 3" xfId="9005" xr:uid="{00000000-0005-0000-0000-00001A230000}"/>
    <cellStyle name="Normal 12 6 2 4 3 2" xfId="9006" xr:uid="{00000000-0005-0000-0000-00001B230000}"/>
    <cellStyle name="Normal 12 6 2 4 3 3" xfId="9007" xr:uid="{00000000-0005-0000-0000-00001C230000}"/>
    <cellStyle name="Normal 12 6 2 4 3 4" xfId="9008" xr:uid="{00000000-0005-0000-0000-00001D230000}"/>
    <cellStyle name="Normal 12 6 2 4 3 5" xfId="9009" xr:uid="{00000000-0005-0000-0000-00001E230000}"/>
    <cellStyle name="Normal 12 6 2 4 3 6" xfId="9010" xr:uid="{00000000-0005-0000-0000-00001F230000}"/>
    <cellStyle name="Normal 12 6 2 4 4" xfId="9011" xr:uid="{00000000-0005-0000-0000-000020230000}"/>
    <cellStyle name="Normal 12 6 2 4 5" xfId="9012" xr:uid="{00000000-0005-0000-0000-000021230000}"/>
    <cellStyle name="Normal 12 6 2 4 6" xfId="9013" xr:uid="{00000000-0005-0000-0000-000022230000}"/>
    <cellStyle name="Normal 12 6 2 4 7" xfId="9014" xr:uid="{00000000-0005-0000-0000-000023230000}"/>
    <cellStyle name="Normal 12 6 2 4 8" xfId="9015" xr:uid="{00000000-0005-0000-0000-000024230000}"/>
    <cellStyle name="Normal 12 6 2 5" xfId="9016" xr:uid="{00000000-0005-0000-0000-000025230000}"/>
    <cellStyle name="Normal 12 6 2 5 2" xfId="9017" xr:uid="{00000000-0005-0000-0000-000026230000}"/>
    <cellStyle name="Normal 12 6 2 5 2 2" xfId="9018" xr:uid="{00000000-0005-0000-0000-000027230000}"/>
    <cellStyle name="Normal 12 6 2 5 2 3" xfId="9019" xr:uid="{00000000-0005-0000-0000-000028230000}"/>
    <cellStyle name="Normal 12 6 2 5 2 4" xfId="9020" xr:uid="{00000000-0005-0000-0000-000029230000}"/>
    <cellStyle name="Normal 12 6 2 5 2 5" xfId="9021" xr:uid="{00000000-0005-0000-0000-00002A230000}"/>
    <cellStyle name="Normal 12 6 2 5 2 6" xfId="9022" xr:uid="{00000000-0005-0000-0000-00002B230000}"/>
    <cellStyle name="Normal 12 6 2 5 3" xfId="9023" xr:uid="{00000000-0005-0000-0000-00002C230000}"/>
    <cellStyle name="Normal 12 6 2 5 3 2" xfId="9024" xr:uid="{00000000-0005-0000-0000-00002D230000}"/>
    <cellStyle name="Normal 12 6 2 5 3 3" xfId="9025" xr:uid="{00000000-0005-0000-0000-00002E230000}"/>
    <cellStyle name="Normal 12 6 2 5 3 4" xfId="9026" xr:uid="{00000000-0005-0000-0000-00002F230000}"/>
    <cellStyle name="Normal 12 6 2 5 3 5" xfId="9027" xr:uid="{00000000-0005-0000-0000-000030230000}"/>
    <cellStyle name="Normal 12 6 2 5 3 6" xfId="9028" xr:uid="{00000000-0005-0000-0000-000031230000}"/>
    <cellStyle name="Normal 12 6 2 5 4" xfId="9029" xr:uid="{00000000-0005-0000-0000-000032230000}"/>
    <cellStyle name="Normal 12 6 2 5 5" xfId="9030" xr:uid="{00000000-0005-0000-0000-000033230000}"/>
    <cellStyle name="Normal 12 6 2 5 6" xfId="9031" xr:uid="{00000000-0005-0000-0000-000034230000}"/>
    <cellStyle name="Normal 12 6 2 5 7" xfId="9032" xr:uid="{00000000-0005-0000-0000-000035230000}"/>
    <cellStyle name="Normal 12 6 2 5 8" xfId="9033" xr:uid="{00000000-0005-0000-0000-000036230000}"/>
    <cellStyle name="Normal 12 6 2 6" xfId="9034" xr:uid="{00000000-0005-0000-0000-000037230000}"/>
    <cellStyle name="Normal 12 6 2 6 2" xfId="9035" xr:uid="{00000000-0005-0000-0000-000038230000}"/>
    <cellStyle name="Normal 12 6 2 6 3" xfId="9036" xr:uid="{00000000-0005-0000-0000-000039230000}"/>
    <cellStyle name="Normal 12 6 2 6 4" xfId="9037" xr:uid="{00000000-0005-0000-0000-00003A230000}"/>
    <cellStyle name="Normal 12 6 2 6 5" xfId="9038" xr:uid="{00000000-0005-0000-0000-00003B230000}"/>
    <cellStyle name="Normal 12 6 2 6 6" xfId="9039" xr:uid="{00000000-0005-0000-0000-00003C230000}"/>
    <cellStyle name="Normal 12 6 2 7" xfId="9040" xr:uid="{00000000-0005-0000-0000-00003D230000}"/>
    <cellStyle name="Normal 12 6 2 7 2" xfId="9041" xr:uid="{00000000-0005-0000-0000-00003E230000}"/>
    <cellStyle name="Normal 12 6 2 7 3" xfId="9042" xr:uid="{00000000-0005-0000-0000-00003F230000}"/>
    <cellStyle name="Normal 12 6 2 7 4" xfId="9043" xr:uid="{00000000-0005-0000-0000-000040230000}"/>
    <cellStyle name="Normal 12 6 2 7 5" xfId="9044" xr:uid="{00000000-0005-0000-0000-000041230000}"/>
    <cellStyle name="Normal 12 6 2 7 6" xfId="9045" xr:uid="{00000000-0005-0000-0000-000042230000}"/>
    <cellStyle name="Normal 12 6 2 8" xfId="9046" xr:uid="{00000000-0005-0000-0000-000043230000}"/>
    <cellStyle name="Normal 12 6 2 9" xfId="9047" xr:uid="{00000000-0005-0000-0000-000044230000}"/>
    <cellStyle name="Normal 12 6 3" xfId="9048" xr:uid="{00000000-0005-0000-0000-000045230000}"/>
    <cellStyle name="Normal 12 6 3 10" xfId="9049" xr:uid="{00000000-0005-0000-0000-000046230000}"/>
    <cellStyle name="Normal 12 6 3 11" xfId="9050" xr:uid="{00000000-0005-0000-0000-000047230000}"/>
    <cellStyle name="Normal 12 6 3 12" xfId="9051" xr:uid="{00000000-0005-0000-0000-000048230000}"/>
    <cellStyle name="Normal 12 6 3 2" xfId="9052" xr:uid="{00000000-0005-0000-0000-000049230000}"/>
    <cellStyle name="Normal 12 6 3 2 10" xfId="9053" xr:uid="{00000000-0005-0000-0000-00004A230000}"/>
    <cellStyle name="Normal 12 6 3 2 11" xfId="9054" xr:uid="{00000000-0005-0000-0000-00004B230000}"/>
    <cellStyle name="Normal 12 6 3 2 2" xfId="9055" xr:uid="{00000000-0005-0000-0000-00004C230000}"/>
    <cellStyle name="Normal 12 6 3 2 2 2" xfId="9056" xr:uid="{00000000-0005-0000-0000-00004D230000}"/>
    <cellStyle name="Normal 12 6 3 2 2 2 2" xfId="9057" xr:uid="{00000000-0005-0000-0000-00004E230000}"/>
    <cellStyle name="Normal 12 6 3 2 2 2 3" xfId="9058" xr:uid="{00000000-0005-0000-0000-00004F230000}"/>
    <cellStyle name="Normal 12 6 3 2 2 2 4" xfId="9059" xr:uid="{00000000-0005-0000-0000-000050230000}"/>
    <cellStyle name="Normal 12 6 3 2 2 2 5" xfId="9060" xr:uid="{00000000-0005-0000-0000-000051230000}"/>
    <cellStyle name="Normal 12 6 3 2 2 2 6" xfId="9061" xr:uid="{00000000-0005-0000-0000-000052230000}"/>
    <cellStyle name="Normal 12 6 3 2 2 3" xfId="9062" xr:uid="{00000000-0005-0000-0000-000053230000}"/>
    <cellStyle name="Normal 12 6 3 2 2 3 2" xfId="9063" xr:uid="{00000000-0005-0000-0000-000054230000}"/>
    <cellStyle name="Normal 12 6 3 2 2 3 3" xfId="9064" xr:uid="{00000000-0005-0000-0000-000055230000}"/>
    <cellStyle name="Normal 12 6 3 2 2 3 4" xfId="9065" xr:uid="{00000000-0005-0000-0000-000056230000}"/>
    <cellStyle name="Normal 12 6 3 2 2 3 5" xfId="9066" xr:uid="{00000000-0005-0000-0000-000057230000}"/>
    <cellStyle name="Normal 12 6 3 2 2 3 6" xfId="9067" xr:uid="{00000000-0005-0000-0000-000058230000}"/>
    <cellStyle name="Normal 12 6 3 2 2 4" xfId="9068" xr:uid="{00000000-0005-0000-0000-000059230000}"/>
    <cellStyle name="Normal 12 6 3 2 2 5" xfId="9069" xr:uid="{00000000-0005-0000-0000-00005A230000}"/>
    <cellStyle name="Normal 12 6 3 2 2 6" xfId="9070" xr:uid="{00000000-0005-0000-0000-00005B230000}"/>
    <cellStyle name="Normal 12 6 3 2 2 7" xfId="9071" xr:uid="{00000000-0005-0000-0000-00005C230000}"/>
    <cellStyle name="Normal 12 6 3 2 2 8" xfId="9072" xr:uid="{00000000-0005-0000-0000-00005D230000}"/>
    <cellStyle name="Normal 12 6 3 2 3" xfId="9073" xr:uid="{00000000-0005-0000-0000-00005E230000}"/>
    <cellStyle name="Normal 12 6 3 2 3 2" xfId="9074" xr:uid="{00000000-0005-0000-0000-00005F230000}"/>
    <cellStyle name="Normal 12 6 3 2 3 2 2" xfId="9075" xr:uid="{00000000-0005-0000-0000-000060230000}"/>
    <cellStyle name="Normal 12 6 3 2 3 2 3" xfId="9076" xr:uid="{00000000-0005-0000-0000-000061230000}"/>
    <cellStyle name="Normal 12 6 3 2 3 2 4" xfId="9077" xr:uid="{00000000-0005-0000-0000-000062230000}"/>
    <cellStyle name="Normal 12 6 3 2 3 2 5" xfId="9078" xr:uid="{00000000-0005-0000-0000-000063230000}"/>
    <cellStyle name="Normal 12 6 3 2 3 2 6" xfId="9079" xr:uid="{00000000-0005-0000-0000-000064230000}"/>
    <cellStyle name="Normal 12 6 3 2 3 3" xfId="9080" xr:uid="{00000000-0005-0000-0000-000065230000}"/>
    <cellStyle name="Normal 12 6 3 2 3 3 2" xfId="9081" xr:uid="{00000000-0005-0000-0000-000066230000}"/>
    <cellStyle name="Normal 12 6 3 2 3 3 3" xfId="9082" xr:uid="{00000000-0005-0000-0000-000067230000}"/>
    <cellStyle name="Normal 12 6 3 2 3 3 4" xfId="9083" xr:uid="{00000000-0005-0000-0000-000068230000}"/>
    <cellStyle name="Normal 12 6 3 2 3 3 5" xfId="9084" xr:uid="{00000000-0005-0000-0000-000069230000}"/>
    <cellStyle name="Normal 12 6 3 2 3 3 6" xfId="9085" xr:uid="{00000000-0005-0000-0000-00006A230000}"/>
    <cellStyle name="Normal 12 6 3 2 3 4" xfId="9086" xr:uid="{00000000-0005-0000-0000-00006B230000}"/>
    <cellStyle name="Normal 12 6 3 2 3 5" xfId="9087" xr:uid="{00000000-0005-0000-0000-00006C230000}"/>
    <cellStyle name="Normal 12 6 3 2 3 6" xfId="9088" xr:uid="{00000000-0005-0000-0000-00006D230000}"/>
    <cellStyle name="Normal 12 6 3 2 3 7" xfId="9089" xr:uid="{00000000-0005-0000-0000-00006E230000}"/>
    <cellStyle name="Normal 12 6 3 2 3 8" xfId="9090" xr:uid="{00000000-0005-0000-0000-00006F230000}"/>
    <cellStyle name="Normal 12 6 3 2 4" xfId="9091" xr:uid="{00000000-0005-0000-0000-000070230000}"/>
    <cellStyle name="Normal 12 6 3 2 4 2" xfId="9092" xr:uid="{00000000-0005-0000-0000-000071230000}"/>
    <cellStyle name="Normal 12 6 3 2 4 2 2" xfId="9093" xr:uid="{00000000-0005-0000-0000-000072230000}"/>
    <cellStyle name="Normal 12 6 3 2 4 2 3" xfId="9094" xr:uid="{00000000-0005-0000-0000-000073230000}"/>
    <cellStyle name="Normal 12 6 3 2 4 2 4" xfId="9095" xr:uid="{00000000-0005-0000-0000-000074230000}"/>
    <cellStyle name="Normal 12 6 3 2 4 2 5" xfId="9096" xr:uid="{00000000-0005-0000-0000-000075230000}"/>
    <cellStyle name="Normal 12 6 3 2 4 2 6" xfId="9097" xr:uid="{00000000-0005-0000-0000-000076230000}"/>
    <cellStyle name="Normal 12 6 3 2 4 3" xfId="9098" xr:uid="{00000000-0005-0000-0000-000077230000}"/>
    <cellStyle name="Normal 12 6 3 2 4 3 2" xfId="9099" xr:uid="{00000000-0005-0000-0000-000078230000}"/>
    <cellStyle name="Normal 12 6 3 2 4 3 3" xfId="9100" xr:uid="{00000000-0005-0000-0000-000079230000}"/>
    <cellStyle name="Normal 12 6 3 2 4 3 4" xfId="9101" xr:uid="{00000000-0005-0000-0000-00007A230000}"/>
    <cellStyle name="Normal 12 6 3 2 4 3 5" xfId="9102" xr:uid="{00000000-0005-0000-0000-00007B230000}"/>
    <cellStyle name="Normal 12 6 3 2 4 3 6" xfId="9103" xr:uid="{00000000-0005-0000-0000-00007C230000}"/>
    <cellStyle name="Normal 12 6 3 2 4 4" xfId="9104" xr:uid="{00000000-0005-0000-0000-00007D230000}"/>
    <cellStyle name="Normal 12 6 3 2 4 5" xfId="9105" xr:uid="{00000000-0005-0000-0000-00007E230000}"/>
    <cellStyle name="Normal 12 6 3 2 4 6" xfId="9106" xr:uid="{00000000-0005-0000-0000-00007F230000}"/>
    <cellStyle name="Normal 12 6 3 2 4 7" xfId="9107" xr:uid="{00000000-0005-0000-0000-000080230000}"/>
    <cellStyle name="Normal 12 6 3 2 4 8" xfId="9108" xr:uid="{00000000-0005-0000-0000-000081230000}"/>
    <cellStyle name="Normal 12 6 3 2 5" xfId="9109" xr:uid="{00000000-0005-0000-0000-000082230000}"/>
    <cellStyle name="Normal 12 6 3 2 5 2" xfId="9110" xr:uid="{00000000-0005-0000-0000-000083230000}"/>
    <cellStyle name="Normal 12 6 3 2 5 3" xfId="9111" xr:uid="{00000000-0005-0000-0000-000084230000}"/>
    <cellStyle name="Normal 12 6 3 2 5 4" xfId="9112" xr:uid="{00000000-0005-0000-0000-000085230000}"/>
    <cellStyle name="Normal 12 6 3 2 5 5" xfId="9113" xr:uid="{00000000-0005-0000-0000-000086230000}"/>
    <cellStyle name="Normal 12 6 3 2 5 6" xfId="9114" xr:uid="{00000000-0005-0000-0000-000087230000}"/>
    <cellStyle name="Normal 12 6 3 2 6" xfId="9115" xr:uid="{00000000-0005-0000-0000-000088230000}"/>
    <cellStyle name="Normal 12 6 3 2 6 2" xfId="9116" xr:uid="{00000000-0005-0000-0000-000089230000}"/>
    <cellStyle name="Normal 12 6 3 2 6 3" xfId="9117" xr:uid="{00000000-0005-0000-0000-00008A230000}"/>
    <cellStyle name="Normal 12 6 3 2 6 4" xfId="9118" xr:uid="{00000000-0005-0000-0000-00008B230000}"/>
    <cellStyle name="Normal 12 6 3 2 6 5" xfId="9119" xr:uid="{00000000-0005-0000-0000-00008C230000}"/>
    <cellStyle name="Normal 12 6 3 2 6 6" xfId="9120" xr:uid="{00000000-0005-0000-0000-00008D230000}"/>
    <cellStyle name="Normal 12 6 3 2 7" xfId="9121" xr:uid="{00000000-0005-0000-0000-00008E230000}"/>
    <cellStyle name="Normal 12 6 3 2 8" xfId="9122" xr:uid="{00000000-0005-0000-0000-00008F230000}"/>
    <cellStyle name="Normal 12 6 3 2 9" xfId="9123" xr:uid="{00000000-0005-0000-0000-000090230000}"/>
    <cellStyle name="Normal 12 6 3 3" xfId="9124" xr:uid="{00000000-0005-0000-0000-000091230000}"/>
    <cellStyle name="Normal 12 6 3 3 2" xfId="9125" xr:uid="{00000000-0005-0000-0000-000092230000}"/>
    <cellStyle name="Normal 12 6 3 3 2 2" xfId="9126" xr:uid="{00000000-0005-0000-0000-000093230000}"/>
    <cellStyle name="Normal 12 6 3 3 2 3" xfId="9127" xr:uid="{00000000-0005-0000-0000-000094230000}"/>
    <cellStyle name="Normal 12 6 3 3 2 4" xfId="9128" xr:uid="{00000000-0005-0000-0000-000095230000}"/>
    <cellStyle name="Normal 12 6 3 3 2 5" xfId="9129" xr:uid="{00000000-0005-0000-0000-000096230000}"/>
    <cellStyle name="Normal 12 6 3 3 2 6" xfId="9130" xr:uid="{00000000-0005-0000-0000-000097230000}"/>
    <cellStyle name="Normal 12 6 3 3 3" xfId="9131" xr:uid="{00000000-0005-0000-0000-000098230000}"/>
    <cellStyle name="Normal 12 6 3 3 3 2" xfId="9132" xr:uid="{00000000-0005-0000-0000-000099230000}"/>
    <cellStyle name="Normal 12 6 3 3 3 3" xfId="9133" xr:uid="{00000000-0005-0000-0000-00009A230000}"/>
    <cellStyle name="Normal 12 6 3 3 3 4" xfId="9134" xr:uid="{00000000-0005-0000-0000-00009B230000}"/>
    <cellStyle name="Normal 12 6 3 3 3 5" xfId="9135" xr:uid="{00000000-0005-0000-0000-00009C230000}"/>
    <cellStyle name="Normal 12 6 3 3 3 6" xfId="9136" xr:uid="{00000000-0005-0000-0000-00009D230000}"/>
    <cellStyle name="Normal 12 6 3 3 4" xfId="9137" xr:uid="{00000000-0005-0000-0000-00009E230000}"/>
    <cellStyle name="Normal 12 6 3 3 5" xfId="9138" xr:uid="{00000000-0005-0000-0000-00009F230000}"/>
    <cellStyle name="Normal 12 6 3 3 6" xfId="9139" xr:uid="{00000000-0005-0000-0000-0000A0230000}"/>
    <cellStyle name="Normal 12 6 3 3 7" xfId="9140" xr:uid="{00000000-0005-0000-0000-0000A1230000}"/>
    <cellStyle name="Normal 12 6 3 3 8" xfId="9141" xr:uid="{00000000-0005-0000-0000-0000A2230000}"/>
    <cellStyle name="Normal 12 6 3 4" xfId="9142" xr:uid="{00000000-0005-0000-0000-0000A3230000}"/>
    <cellStyle name="Normal 12 6 3 4 2" xfId="9143" xr:uid="{00000000-0005-0000-0000-0000A4230000}"/>
    <cellStyle name="Normal 12 6 3 4 2 2" xfId="9144" xr:uid="{00000000-0005-0000-0000-0000A5230000}"/>
    <cellStyle name="Normal 12 6 3 4 2 3" xfId="9145" xr:uid="{00000000-0005-0000-0000-0000A6230000}"/>
    <cellStyle name="Normal 12 6 3 4 2 4" xfId="9146" xr:uid="{00000000-0005-0000-0000-0000A7230000}"/>
    <cellStyle name="Normal 12 6 3 4 2 5" xfId="9147" xr:uid="{00000000-0005-0000-0000-0000A8230000}"/>
    <cellStyle name="Normal 12 6 3 4 2 6" xfId="9148" xr:uid="{00000000-0005-0000-0000-0000A9230000}"/>
    <cellStyle name="Normal 12 6 3 4 3" xfId="9149" xr:uid="{00000000-0005-0000-0000-0000AA230000}"/>
    <cellStyle name="Normal 12 6 3 4 3 2" xfId="9150" xr:uid="{00000000-0005-0000-0000-0000AB230000}"/>
    <cellStyle name="Normal 12 6 3 4 3 3" xfId="9151" xr:uid="{00000000-0005-0000-0000-0000AC230000}"/>
    <cellStyle name="Normal 12 6 3 4 3 4" xfId="9152" xr:uid="{00000000-0005-0000-0000-0000AD230000}"/>
    <cellStyle name="Normal 12 6 3 4 3 5" xfId="9153" xr:uid="{00000000-0005-0000-0000-0000AE230000}"/>
    <cellStyle name="Normal 12 6 3 4 3 6" xfId="9154" xr:uid="{00000000-0005-0000-0000-0000AF230000}"/>
    <cellStyle name="Normal 12 6 3 4 4" xfId="9155" xr:uid="{00000000-0005-0000-0000-0000B0230000}"/>
    <cellStyle name="Normal 12 6 3 4 5" xfId="9156" xr:uid="{00000000-0005-0000-0000-0000B1230000}"/>
    <cellStyle name="Normal 12 6 3 4 6" xfId="9157" xr:uid="{00000000-0005-0000-0000-0000B2230000}"/>
    <cellStyle name="Normal 12 6 3 4 7" xfId="9158" xr:uid="{00000000-0005-0000-0000-0000B3230000}"/>
    <cellStyle name="Normal 12 6 3 4 8" xfId="9159" xr:uid="{00000000-0005-0000-0000-0000B4230000}"/>
    <cellStyle name="Normal 12 6 3 5" xfId="9160" xr:uid="{00000000-0005-0000-0000-0000B5230000}"/>
    <cellStyle name="Normal 12 6 3 5 2" xfId="9161" xr:uid="{00000000-0005-0000-0000-0000B6230000}"/>
    <cellStyle name="Normal 12 6 3 5 2 2" xfId="9162" xr:uid="{00000000-0005-0000-0000-0000B7230000}"/>
    <cellStyle name="Normal 12 6 3 5 2 3" xfId="9163" xr:uid="{00000000-0005-0000-0000-0000B8230000}"/>
    <cellStyle name="Normal 12 6 3 5 2 4" xfId="9164" xr:uid="{00000000-0005-0000-0000-0000B9230000}"/>
    <cellStyle name="Normal 12 6 3 5 2 5" xfId="9165" xr:uid="{00000000-0005-0000-0000-0000BA230000}"/>
    <cellStyle name="Normal 12 6 3 5 2 6" xfId="9166" xr:uid="{00000000-0005-0000-0000-0000BB230000}"/>
    <cellStyle name="Normal 12 6 3 5 3" xfId="9167" xr:uid="{00000000-0005-0000-0000-0000BC230000}"/>
    <cellStyle name="Normal 12 6 3 5 3 2" xfId="9168" xr:uid="{00000000-0005-0000-0000-0000BD230000}"/>
    <cellStyle name="Normal 12 6 3 5 3 3" xfId="9169" xr:uid="{00000000-0005-0000-0000-0000BE230000}"/>
    <cellStyle name="Normal 12 6 3 5 3 4" xfId="9170" xr:uid="{00000000-0005-0000-0000-0000BF230000}"/>
    <cellStyle name="Normal 12 6 3 5 3 5" xfId="9171" xr:uid="{00000000-0005-0000-0000-0000C0230000}"/>
    <cellStyle name="Normal 12 6 3 5 3 6" xfId="9172" xr:uid="{00000000-0005-0000-0000-0000C1230000}"/>
    <cellStyle name="Normal 12 6 3 5 4" xfId="9173" xr:uid="{00000000-0005-0000-0000-0000C2230000}"/>
    <cellStyle name="Normal 12 6 3 5 5" xfId="9174" xr:uid="{00000000-0005-0000-0000-0000C3230000}"/>
    <cellStyle name="Normal 12 6 3 5 6" xfId="9175" xr:uid="{00000000-0005-0000-0000-0000C4230000}"/>
    <cellStyle name="Normal 12 6 3 5 7" xfId="9176" xr:uid="{00000000-0005-0000-0000-0000C5230000}"/>
    <cellStyle name="Normal 12 6 3 5 8" xfId="9177" xr:uid="{00000000-0005-0000-0000-0000C6230000}"/>
    <cellStyle name="Normal 12 6 3 6" xfId="9178" xr:uid="{00000000-0005-0000-0000-0000C7230000}"/>
    <cellStyle name="Normal 12 6 3 6 2" xfId="9179" xr:uid="{00000000-0005-0000-0000-0000C8230000}"/>
    <cellStyle name="Normal 12 6 3 6 3" xfId="9180" xr:uid="{00000000-0005-0000-0000-0000C9230000}"/>
    <cellStyle name="Normal 12 6 3 6 4" xfId="9181" xr:uid="{00000000-0005-0000-0000-0000CA230000}"/>
    <cellStyle name="Normal 12 6 3 6 5" xfId="9182" xr:uid="{00000000-0005-0000-0000-0000CB230000}"/>
    <cellStyle name="Normal 12 6 3 6 6" xfId="9183" xr:uid="{00000000-0005-0000-0000-0000CC230000}"/>
    <cellStyle name="Normal 12 6 3 7" xfId="9184" xr:uid="{00000000-0005-0000-0000-0000CD230000}"/>
    <cellStyle name="Normal 12 6 3 7 2" xfId="9185" xr:uid="{00000000-0005-0000-0000-0000CE230000}"/>
    <cellStyle name="Normal 12 6 3 7 3" xfId="9186" xr:uid="{00000000-0005-0000-0000-0000CF230000}"/>
    <cellStyle name="Normal 12 6 3 7 4" xfId="9187" xr:uid="{00000000-0005-0000-0000-0000D0230000}"/>
    <cellStyle name="Normal 12 6 3 7 5" xfId="9188" xr:uid="{00000000-0005-0000-0000-0000D1230000}"/>
    <cellStyle name="Normal 12 6 3 7 6" xfId="9189" xr:uid="{00000000-0005-0000-0000-0000D2230000}"/>
    <cellStyle name="Normal 12 6 3 8" xfId="9190" xr:uid="{00000000-0005-0000-0000-0000D3230000}"/>
    <cellStyle name="Normal 12 6 3 9" xfId="9191" xr:uid="{00000000-0005-0000-0000-0000D4230000}"/>
    <cellStyle name="Normal 12 6 4" xfId="9192" xr:uid="{00000000-0005-0000-0000-0000D5230000}"/>
    <cellStyle name="Normal 12 6 4 10" xfId="9193" xr:uid="{00000000-0005-0000-0000-0000D6230000}"/>
    <cellStyle name="Normal 12 6 4 11" xfId="9194" xr:uid="{00000000-0005-0000-0000-0000D7230000}"/>
    <cellStyle name="Normal 12 6 4 2" xfId="9195" xr:uid="{00000000-0005-0000-0000-0000D8230000}"/>
    <cellStyle name="Normal 12 6 4 2 2" xfId="9196" xr:uid="{00000000-0005-0000-0000-0000D9230000}"/>
    <cellStyle name="Normal 12 6 4 2 2 2" xfId="9197" xr:uid="{00000000-0005-0000-0000-0000DA230000}"/>
    <cellStyle name="Normal 12 6 4 2 2 3" xfId="9198" xr:uid="{00000000-0005-0000-0000-0000DB230000}"/>
    <cellStyle name="Normal 12 6 4 2 2 4" xfId="9199" xr:uid="{00000000-0005-0000-0000-0000DC230000}"/>
    <cellStyle name="Normal 12 6 4 2 2 5" xfId="9200" xr:uid="{00000000-0005-0000-0000-0000DD230000}"/>
    <cellStyle name="Normal 12 6 4 2 2 6" xfId="9201" xr:uid="{00000000-0005-0000-0000-0000DE230000}"/>
    <cellStyle name="Normal 12 6 4 2 3" xfId="9202" xr:uid="{00000000-0005-0000-0000-0000DF230000}"/>
    <cellStyle name="Normal 12 6 4 2 3 2" xfId="9203" xr:uid="{00000000-0005-0000-0000-0000E0230000}"/>
    <cellStyle name="Normal 12 6 4 2 3 3" xfId="9204" xr:uid="{00000000-0005-0000-0000-0000E1230000}"/>
    <cellStyle name="Normal 12 6 4 2 3 4" xfId="9205" xr:uid="{00000000-0005-0000-0000-0000E2230000}"/>
    <cellStyle name="Normal 12 6 4 2 3 5" xfId="9206" xr:uid="{00000000-0005-0000-0000-0000E3230000}"/>
    <cellStyle name="Normal 12 6 4 2 3 6" xfId="9207" xr:uid="{00000000-0005-0000-0000-0000E4230000}"/>
    <cellStyle name="Normal 12 6 4 2 4" xfId="9208" xr:uid="{00000000-0005-0000-0000-0000E5230000}"/>
    <cellStyle name="Normal 12 6 4 2 5" xfId="9209" xr:uid="{00000000-0005-0000-0000-0000E6230000}"/>
    <cellStyle name="Normal 12 6 4 2 6" xfId="9210" xr:uid="{00000000-0005-0000-0000-0000E7230000}"/>
    <cellStyle name="Normal 12 6 4 2 7" xfId="9211" xr:uid="{00000000-0005-0000-0000-0000E8230000}"/>
    <cellStyle name="Normal 12 6 4 2 8" xfId="9212" xr:uid="{00000000-0005-0000-0000-0000E9230000}"/>
    <cellStyle name="Normal 12 6 4 3" xfId="9213" xr:uid="{00000000-0005-0000-0000-0000EA230000}"/>
    <cellStyle name="Normal 12 6 4 3 2" xfId="9214" xr:uid="{00000000-0005-0000-0000-0000EB230000}"/>
    <cellStyle name="Normal 12 6 4 3 2 2" xfId="9215" xr:uid="{00000000-0005-0000-0000-0000EC230000}"/>
    <cellStyle name="Normal 12 6 4 3 2 3" xfId="9216" xr:uid="{00000000-0005-0000-0000-0000ED230000}"/>
    <cellStyle name="Normal 12 6 4 3 2 4" xfId="9217" xr:uid="{00000000-0005-0000-0000-0000EE230000}"/>
    <cellStyle name="Normal 12 6 4 3 2 5" xfId="9218" xr:uid="{00000000-0005-0000-0000-0000EF230000}"/>
    <cellStyle name="Normal 12 6 4 3 2 6" xfId="9219" xr:uid="{00000000-0005-0000-0000-0000F0230000}"/>
    <cellStyle name="Normal 12 6 4 3 3" xfId="9220" xr:uid="{00000000-0005-0000-0000-0000F1230000}"/>
    <cellStyle name="Normal 12 6 4 3 3 2" xfId="9221" xr:uid="{00000000-0005-0000-0000-0000F2230000}"/>
    <cellStyle name="Normal 12 6 4 3 3 3" xfId="9222" xr:uid="{00000000-0005-0000-0000-0000F3230000}"/>
    <cellStyle name="Normal 12 6 4 3 3 4" xfId="9223" xr:uid="{00000000-0005-0000-0000-0000F4230000}"/>
    <cellStyle name="Normal 12 6 4 3 3 5" xfId="9224" xr:uid="{00000000-0005-0000-0000-0000F5230000}"/>
    <cellStyle name="Normal 12 6 4 3 3 6" xfId="9225" xr:uid="{00000000-0005-0000-0000-0000F6230000}"/>
    <cellStyle name="Normal 12 6 4 3 4" xfId="9226" xr:uid="{00000000-0005-0000-0000-0000F7230000}"/>
    <cellStyle name="Normal 12 6 4 3 5" xfId="9227" xr:uid="{00000000-0005-0000-0000-0000F8230000}"/>
    <cellStyle name="Normal 12 6 4 3 6" xfId="9228" xr:uid="{00000000-0005-0000-0000-0000F9230000}"/>
    <cellStyle name="Normal 12 6 4 3 7" xfId="9229" xr:uid="{00000000-0005-0000-0000-0000FA230000}"/>
    <cellStyle name="Normal 12 6 4 3 8" xfId="9230" xr:uid="{00000000-0005-0000-0000-0000FB230000}"/>
    <cellStyle name="Normal 12 6 4 4" xfId="9231" xr:uid="{00000000-0005-0000-0000-0000FC230000}"/>
    <cellStyle name="Normal 12 6 4 4 2" xfId="9232" xr:uid="{00000000-0005-0000-0000-0000FD230000}"/>
    <cellStyle name="Normal 12 6 4 4 2 2" xfId="9233" xr:uid="{00000000-0005-0000-0000-0000FE230000}"/>
    <cellStyle name="Normal 12 6 4 4 2 3" xfId="9234" xr:uid="{00000000-0005-0000-0000-0000FF230000}"/>
    <cellStyle name="Normal 12 6 4 4 2 4" xfId="9235" xr:uid="{00000000-0005-0000-0000-000000240000}"/>
    <cellStyle name="Normal 12 6 4 4 2 5" xfId="9236" xr:uid="{00000000-0005-0000-0000-000001240000}"/>
    <cellStyle name="Normal 12 6 4 4 2 6" xfId="9237" xr:uid="{00000000-0005-0000-0000-000002240000}"/>
    <cellStyle name="Normal 12 6 4 4 3" xfId="9238" xr:uid="{00000000-0005-0000-0000-000003240000}"/>
    <cellStyle name="Normal 12 6 4 4 3 2" xfId="9239" xr:uid="{00000000-0005-0000-0000-000004240000}"/>
    <cellStyle name="Normal 12 6 4 4 3 3" xfId="9240" xr:uid="{00000000-0005-0000-0000-000005240000}"/>
    <cellStyle name="Normal 12 6 4 4 3 4" xfId="9241" xr:uid="{00000000-0005-0000-0000-000006240000}"/>
    <cellStyle name="Normal 12 6 4 4 3 5" xfId="9242" xr:uid="{00000000-0005-0000-0000-000007240000}"/>
    <cellStyle name="Normal 12 6 4 4 3 6" xfId="9243" xr:uid="{00000000-0005-0000-0000-000008240000}"/>
    <cellStyle name="Normal 12 6 4 4 4" xfId="9244" xr:uid="{00000000-0005-0000-0000-000009240000}"/>
    <cellStyle name="Normal 12 6 4 4 5" xfId="9245" xr:uid="{00000000-0005-0000-0000-00000A240000}"/>
    <cellStyle name="Normal 12 6 4 4 6" xfId="9246" xr:uid="{00000000-0005-0000-0000-00000B240000}"/>
    <cellStyle name="Normal 12 6 4 4 7" xfId="9247" xr:uid="{00000000-0005-0000-0000-00000C240000}"/>
    <cellStyle name="Normal 12 6 4 4 8" xfId="9248" xr:uid="{00000000-0005-0000-0000-00000D240000}"/>
    <cellStyle name="Normal 12 6 4 5" xfId="9249" xr:uid="{00000000-0005-0000-0000-00000E240000}"/>
    <cellStyle name="Normal 12 6 4 5 2" xfId="9250" xr:uid="{00000000-0005-0000-0000-00000F240000}"/>
    <cellStyle name="Normal 12 6 4 5 3" xfId="9251" xr:uid="{00000000-0005-0000-0000-000010240000}"/>
    <cellStyle name="Normal 12 6 4 5 4" xfId="9252" xr:uid="{00000000-0005-0000-0000-000011240000}"/>
    <cellStyle name="Normal 12 6 4 5 5" xfId="9253" xr:uid="{00000000-0005-0000-0000-000012240000}"/>
    <cellStyle name="Normal 12 6 4 5 6" xfId="9254" xr:uid="{00000000-0005-0000-0000-000013240000}"/>
    <cellStyle name="Normal 12 6 4 6" xfId="9255" xr:uid="{00000000-0005-0000-0000-000014240000}"/>
    <cellStyle name="Normal 12 6 4 6 2" xfId="9256" xr:uid="{00000000-0005-0000-0000-000015240000}"/>
    <cellStyle name="Normal 12 6 4 6 3" xfId="9257" xr:uid="{00000000-0005-0000-0000-000016240000}"/>
    <cellStyle name="Normal 12 6 4 6 4" xfId="9258" xr:uid="{00000000-0005-0000-0000-000017240000}"/>
    <cellStyle name="Normal 12 6 4 6 5" xfId="9259" xr:uid="{00000000-0005-0000-0000-000018240000}"/>
    <cellStyle name="Normal 12 6 4 6 6" xfId="9260" xr:uid="{00000000-0005-0000-0000-000019240000}"/>
    <cellStyle name="Normal 12 6 4 7" xfId="9261" xr:uid="{00000000-0005-0000-0000-00001A240000}"/>
    <cellStyle name="Normal 12 6 4 8" xfId="9262" xr:uid="{00000000-0005-0000-0000-00001B240000}"/>
    <cellStyle name="Normal 12 6 4 9" xfId="9263" xr:uid="{00000000-0005-0000-0000-00001C240000}"/>
    <cellStyle name="Normal 12 6 5" xfId="9264" xr:uid="{00000000-0005-0000-0000-00001D240000}"/>
    <cellStyle name="Normal 12 6 5 2" xfId="9265" xr:uid="{00000000-0005-0000-0000-00001E240000}"/>
    <cellStyle name="Normal 12 6 5 2 2" xfId="9266" xr:uid="{00000000-0005-0000-0000-00001F240000}"/>
    <cellStyle name="Normal 12 6 5 2 3" xfId="9267" xr:uid="{00000000-0005-0000-0000-000020240000}"/>
    <cellStyle name="Normal 12 6 5 2 4" xfId="9268" xr:uid="{00000000-0005-0000-0000-000021240000}"/>
    <cellStyle name="Normal 12 6 5 2 5" xfId="9269" xr:uid="{00000000-0005-0000-0000-000022240000}"/>
    <cellStyle name="Normal 12 6 5 2 6" xfId="9270" xr:uid="{00000000-0005-0000-0000-000023240000}"/>
    <cellStyle name="Normal 12 6 5 3" xfId="9271" xr:uid="{00000000-0005-0000-0000-000024240000}"/>
    <cellStyle name="Normal 12 6 5 3 2" xfId="9272" xr:uid="{00000000-0005-0000-0000-000025240000}"/>
    <cellStyle name="Normal 12 6 5 3 3" xfId="9273" xr:uid="{00000000-0005-0000-0000-000026240000}"/>
    <cellStyle name="Normal 12 6 5 3 4" xfId="9274" xr:uid="{00000000-0005-0000-0000-000027240000}"/>
    <cellStyle name="Normal 12 6 5 3 5" xfId="9275" xr:uid="{00000000-0005-0000-0000-000028240000}"/>
    <cellStyle name="Normal 12 6 5 3 6" xfId="9276" xr:uid="{00000000-0005-0000-0000-000029240000}"/>
    <cellStyle name="Normal 12 6 5 4" xfId="9277" xr:uid="{00000000-0005-0000-0000-00002A240000}"/>
    <cellStyle name="Normal 12 6 5 5" xfId="9278" xr:uid="{00000000-0005-0000-0000-00002B240000}"/>
    <cellStyle name="Normal 12 6 5 6" xfId="9279" xr:uid="{00000000-0005-0000-0000-00002C240000}"/>
    <cellStyle name="Normal 12 6 5 7" xfId="9280" xr:uid="{00000000-0005-0000-0000-00002D240000}"/>
    <cellStyle name="Normal 12 6 5 8" xfId="9281" xr:uid="{00000000-0005-0000-0000-00002E240000}"/>
    <cellStyle name="Normal 12 6 6" xfId="9282" xr:uid="{00000000-0005-0000-0000-00002F240000}"/>
    <cellStyle name="Normal 12 6 6 2" xfId="9283" xr:uid="{00000000-0005-0000-0000-000030240000}"/>
    <cellStyle name="Normal 12 6 6 2 2" xfId="9284" xr:uid="{00000000-0005-0000-0000-000031240000}"/>
    <cellStyle name="Normal 12 6 6 2 3" xfId="9285" xr:uid="{00000000-0005-0000-0000-000032240000}"/>
    <cellStyle name="Normal 12 6 6 2 4" xfId="9286" xr:uid="{00000000-0005-0000-0000-000033240000}"/>
    <cellStyle name="Normal 12 6 6 2 5" xfId="9287" xr:uid="{00000000-0005-0000-0000-000034240000}"/>
    <cellStyle name="Normal 12 6 6 2 6" xfId="9288" xr:uid="{00000000-0005-0000-0000-000035240000}"/>
    <cellStyle name="Normal 12 6 6 3" xfId="9289" xr:uid="{00000000-0005-0000-0000-000036240000}"/>
    <cellStyle name="Normal 12 6 6 3 2" xfId="9290" xr:uid="{00000000-0005-0000-0000-000037240000}"/>
    <cellStyle name="Normal 12 6 6 3 3" xfId="9291" xr:uid="{00000000-0005-0000-0000-000038240000}"/>
    <cellStyle name="Normal 12 6 6 3 4" xfId="9292" xr:uid="{00000000-0005-0000-0000-000039240000}"/>
    <cellStyle name="Normal 12 6 6 3 5" xfId="9293" xr:uid="{00000000-0005-0000-0000-00003A240000}"/>
    <cellStyle name="Normal 12 6 6 3 6" xfId="9294" xr:uid="{00000000-0005-0000-0000-00003B240000}"/>
    <cellStyle name="Normal 12 6 6 4" xfId="9295" xr:uid="{00000000-0005-0000-0000-00003C240000}"/>
    <cellStyle name="Normal 12 6 6 5" xfId="9296" xr:uid="{00000000-0005-0000-0000-00003D240000}"/>
    <cellStyle name="Normal 12 6 6 6" xfId="9297" xr:uid="{00000000-0005-0000-0000-00003E240000}"/>
    <cellStyle name="Normal 12 6 6 7" xfId="9298" xr:uid="{00000000-0005-0000-0000-00003F240000}"/>
    <cellStyle name="Normal 12 6 6 8" xfId="9299" xr:uid="{00000000-0005-0000-0000-000040240000}"/>
    <cellStyle name="Normal 12 6 7" xfId="9300" xr:uid="{00000000-0005-0000-0000-000041240000}"/>
    <cellStyle name="Normal 12 6 7 2" xfId="9301" xr:uid="{00000000-0005-0000-0000-000042240000}"/>
    <cellStyle name="Normal 12 6 7 2 2" xfId="9302" xr:uid="{00000000-0005-0000-0000-000043240000}"/>
    <cellStyle name="Normal 12 6 7 2 3" xfId="9303" xr:uid="{00000000-0005-0000-0000-000044240000}"/>
    <cellStyle name="Normal 12 6 7 2 4" xfId="9304" xr:uid="{00000000-0005-0000-0000-000045240000}"/>
    <cellStyle name="Normal 12 6 7 2 5" xfId="9305" xr:uid="{00000000-0005-0000-0000-000046240000}"/>
    <cellStyle name="Normal 12 6 7 2 6" xfId="9306" xr:uid="{00000000-0005-0000-0000-000047240000}"/>
    <cellStyle name="Normal 12 6 7 3" xfId="9307" xr:uid="{00000000-0005-0000-0000-000048240000}"/>
    <cellStyle name="Normal 12 6 7 3 2" xfId="9308" xr:uid="{00000000-0005-0000-0000-000049240000}"/>
    <cellStyle name="Normal 12 6 7 3 3" xfId="9309" xr:uid="{00000000-0005-0000-0000-00004A240000}"/>
    <cellStyle name="Normal 12 6 7 3 4" xfId="9310" xr:uid="{00000000-0005-0000-0000-00004B240000}"/>
    <cellStyle name="Normal 12 6 7 3 5" xfId="9311" xr:uid="{00000000-0005-0000-0000-00004C240000}"/>
    <cellStyle name="Normal 12 6 7 3 6" xfId="9312" xr:uid="{00000000-0005-0000-0000-00004D240000}"/>
    <cellStyle name="Normal 12 6 7 4" xfId="9313" xr:uid="{00000000-0005-0000-0000-00004E240000}"/>
    <cellStyle name="Normal 12 6 7 5" xfId="9314" xr:uid="{00000000-0005-0000-0000-00004F240000}"/>
    <cellStyle name="Normal 12 6 7 6" xfId="9315" xr:uid="{00000000-0005-0000-0000-000050240000}"/>
    <cellStyle name="Normal 12 6 7 7" xfId="9316" xr:uid="{00000000-0005-0000-0000-000051240000}"/>
    <cellStyle name="Normal 12 6 7 8" xfId="9317" xr:uid="{00000000-0005-0000-0000-000052240000}"/>
    <cellStyle name="Normal 12 6 8" xfId="9318" xr:uid="{00000000-0005-0000-0000-000053240000}"/>
    <cellStyle name="Normal 12 6 8 2" xfId="9319" xr:uid="{00000000-0005-0000-0000-000054240000}"/>
    <cellStyle name="Normal 12 6 8 3" xfId="9320" xr:uid="{00000000-0005-0000-0000-000055240000}"/>
    <cellStyle name="Normal 12 6 8 4" xfId="9321" xr:uid="{00000000-0005-0000-0000-000056240000}"/>
    <cellStyle name="Normal 12 6 8 5" xfId="9322" xr:uid="{00000000-0005-0000-0000-000057240000}"/>
    <cellStyle name="Normal 12 6 8 6" xfId="9323" xr:uid="{00000000-0005-0000-0000-000058240000}"/>
    <cellStyle name="Normal 12 6 9" xfId="9324" xr:uid="{00000000-0005-0000-0000-000059240000}"/>
    <cellStyle name="Normal 12 6 9 2" xfId="9325" xr:uid="{00000000-0005-0000-0000-00005A240000}"/>
    <cellStyle name="Normal 12 6 9 3" xfId="9326" xr:uid="{00000000-0005-0000-0000-00005B240000}"/>
    <cellStyle name="Normal 12 6 9 4" xfId="9327" xr:uid="{00000000-0005-0000-0000-00005C240000}"/>
    <cellStyle name="Normal 12 6 9 5" xfId="9328" xr:uid="{00000000-0005-0000-0000-00005D240000}"/>
    <cellStyle name="Normal 12 6 9 6" xfId="9329" xr:uid="{00000000-0005-0000-0000-00005E240000}"/>
    <cellStyle name="Normal 12 7" xfId="9330" xr:uid="{00000000-0005-0000-0000-00005F240000}"/>
    <cellStyle name="Normal 12 7 10" xfId="9331" xr:uid="{00000000-0005-0000-0000-000060240000}"/>
    <cellStyle name="Normal 12 7 11" xfId="9332" xr:uid="{00000000-0005-0000-0000-000061240000}"/>
    <cellStyle name="Normal 12 7 12" xfId="9333" xr:uid="{00000000-0005-0000-0000-000062240000}"/>
    <cellStyle name="Normal 12 7 2" xfId="9334" xr:uid="{00000000-0005-0000-0000-000063240000}"/>
    <cellStyle name="Normal 12 7 2 10" xfId="9335" xr:uid="{00000000-0005-0000-0000-000064240000}"/>
    <cellStyle name="Normal 12 7 2 11" xfId="9336" xr:uid="{00000000-0005-0000-0000-000065240000}"/>
    <cellStyle name="Normal 12 7 2 2" xfId="9337" xr:uid="{00000000-0005-0000-0000-000066240000}"/>
    <cellStyle name="Normal 12 7 2 2 2" xfId="9338" xr:uid="{00000000-0005-0000-0000-000067240000}"/>
    <cellStyle name="Normal 12 7 2 2 2 2" xfId="9339" xr:uid="{00000000-0005-0000-0000-000068240000}"/>
    <cellStyle name="Normal 12 7 2 2 2 3" xfId="9340" xr:uid="{00000000-0005-0000-0000-000069240000}"/>
    <cellStyle name="Normal 12 7 2 2 2 4" xfId="9341" xr:uid="{00000000-0005-0000-0000-00006A240000}"/>
    <cellStyle name="Normal 12 7 2 2 2 5" xfId="9342" xr:uid="{00000000-0005-0000-0000-00006B240000}"/>
    <cellStyle name="Normal 12 7 2 2 2 6" xfId="9343" xr:uid="{00000000-0005-0000-0000-00006C240000}"/>
    <cellStyle name="Normal 12 7 2 2 3" xfId="9344" xr:uid="{00000000-0005-0000-0000-00006D240000}"/>
    <cellStyle name="Normal 12 7 2 2 3 2" xfId="9345" xr:uid="{00000000-0005-0000-0000-00006E240000}"/>
    <cellStyle name="Normal 12 7 2 2 3 3" xfId="9346" xr:uid="{00000000-0005-0000-0000-00006F240000}"/>
    <cellStyle name="Normal 12 7 2 2 3 4" xfId="9347" xr:uid="{00000000-0005-0000-0000-000070240000}"/>
    <cellStyle name="Normal 12 7 2 2 3 5" xfId="9348" xr:uid="{00000000-0005-0000-0000-000071240000}"/>
    <cellStyle name="Normal 12 7 2 2 3 6" xfId="9349" xr:uid="{00000000-0005-0000-0000-000072240000}"/>
    <cellStyle name="Normal 12 7 2 2 4" xfId="9350" xr:uid="{00000000-0005-0000-0000-000073240000}"/>
    <cellStyle name="Normal 12 7 2 2 5" xfId="9351" xr:uid="{00000000-0005-0000-0000-000074240000}"/>
    <cellStyle name="Normal 12 7 2 2 6" xfId="9352" xr:uid="{00000000-0005-0000-0000-000075240000}"/>
    <cellStyle name="Normal 12 7 2 2 7" xfId="9353" xr:uid="{00000000-0005-0000-0000-000076240000}"/>
    <cellStyle name="Normal 12 7 2 2 8" xfId="9354" xr:uid="{00000000-0005-0000-0000-000077240000}"/>
    <cellStyle name="Normal 12 7 2 3" xfId="9355" xr:uid="{00000000-0005-0000-0000-000078240000}"/>
    <cellStyle name="Normal 12 7 2 3 2" xfId="9356" xr:uid="{00000000-0005-0000-0000-000079240000}"/>
    <cellStyle name="Normal 12 7 2 3 2 2" xfId="9357" xr:uid="{00000000-0005-0000-0000-00007A240000}"/>
    <cellStyle name="Normal 12 7 2 3 2 3" xfId="9358" xr:uid="{00000000-0005-0000-0000-00007B240000}"/>
    <cellStyle name="Normal 12 7 2 3 2 4" xfId="9359" xr:uid="{00000000-0005-0000-0000-00007C240000}"/>
    <cellStyle name="Normal 12 7 2 3 2 5" xfId="9360" xr:uid="{00000000-0005-0000-0000-00007D240000}"/>
    <cellStyle name="Normal 12 7 2 3 2 6" xfId="9361" xr:uid="{00000000-0005-0000-0000-00007E240000}"/>
    <cellStyle name="Normal 12 7 2 3 3" xfId="9362" xr:uid="{00000000-0005-0000-0000-00007F240000}"/>
    <cellStyle name="Normal 12 7 2 3 3 2" xfId="9363" xr:uid="{00000000-0005-0000-0000-000080240000}"/>
    <cellStyle name="Normal 12 7 2 3 3 3" xfId="9364" xr:uid="{00000000-0005-0000-0000-000081240000}"/>
    <cellStyle name="Normal 12 7 2 3 3 4" xfId="9365" xr:uid="{00000000-0005-0000-0000-000082240000}"/>
    <cellStyle name="Normal 12 7 2 3 3 5" xfId="9366" xr:uid="{00000000-0005-0000-0000-000083240000}"/>
    <cellStyle name="Normal 12 7 2 3 3 6" xfId="9367" xr:uid="{00000000-0005-0000-0000-000084240000}"/>
    <cellStyle name="Normal 12 7 2 3 4" xfId="9368" xr:uid="{00000000-0005-0000-0000-000085240000}"/>
    <cellStyle name="Normal 12 7 2 3 5" xfId="9369" xr:uid="{00000000-0005-0000-0000-000086240000}"/>
    <cellStyle name="Normal 12 7 2 3 6" xfId="9370" xr:uid="{00000000-0005-0000-0000-000087240000}"/>
    <cellStyle name="Normal 12 7 2 3 7" xfId="9371" xr:uid="{00000000-0005-0000-0000-000088240000}"/>
    <cellStyle name="Normal 12 7 2 3 8" xfId="9372" xr:uid="{00000000-0005-0000-0000-000089240000}"/>
    <cellStyle name="Normal 12 7 2 4" xfId="9373" xr:uid="{00000000-0005-0000-0000-00008A240000}"/>
    <cellStyle name="Normal 12 7 2 4 2" xfId="9374" xr:uid="{00000000-0005-0000-0000-00008B240000}"/>
    <cellStyle name="Normal 12 7 2 4 2 2" xfId="9375" xr:uid="{00000000-0005-0000-0000-00008C240000}"/>
    <cellStyle name="Normal 12 7 2 4 2 3" xfId="9376" xr:uid="{00000000-0005-0000-0000-00008D240000}"/>
    <cellStyle name="Normal 12 7 2 4 2 4" xfId="9377" xr:uid="{00000000-0005-0000-0000-00008E240000}"/>
    <cellStyle name="Normal 12 7 2 4 2 5" xfId="9378" xr:uid="{00000000-0005-0000-0000-00008F240000}"/>
    <cellStyle name="Normal 12 7 2 4 2 6" xfId="9379" xr:uid="{00000000-0005-0000-0000-000090240000}"/>
    <cellStyle name="Normal 12 7 2 4 3" xfId="9380" xr:uid="{00000000-0005-0000-0000-000091240000}"/>
    <cellStyle name="Normal 12 7 2 4 3 2" xfId="9381" xr:uid="{00000000-0005-0000-0000-000092240000}"/>
    <cellStyle name="Normal 12 7 2 4 3 3" xfId="9382" xr:uid="{00000000-0005-0000-0000-000093240000}"/>
    <cellStyle name="Normal 12 7 2 4 3 4" xfId="9383" xr:uid="{00000000-0005-0000-0000-000094240000}"/>
    <cellStyle name="Normal 12 7 2 4 3 5" xfId="9384" xr:uid="{00000000-0005-0000-0000-000095240000}"/>
    <cellStyle name="Normal 12 7 2 4 3 6" xfId="9385" xr:uid="{00000000-0005-0000-0000-000096240000}"/>
    <cellStyle name="Normal 12 7 2 4 4" xfId="9386" xr:uid="{00000000-0005-0000-0000-000097240000}"/>
    <cellStyle name="Normal 12 7 2 4 5" xfId="9387" xr:uid="{00000000-0005-0000-0000-000098240000}"/>
    <cellStyle name="Normal 12 7 2 4 6" xfId="9388" xr:uid="{00000000-0005-0000-0000-000099240000}"/>
    <cellStyle name="Normal 12 7 2 4 7" xfId="9389" xr:uid="{00000000-0005-0000-0000-00009A240000}"/>
    <cellStyle name="Normal 12 7 2 4 8" xfId="9390" xr:uid="{00000000-0005-0000-0000-00009B240000}"/>
    <cellStyle name="Normal 12 7 2 5" xfId="9391" xr:uid="{00000000-0005-0000-0000-00009C240000}"/>
    <cellStyle name="Normal 12 7 2 5 2" xfId="9392" xr:uid="{00000000-0005-0000-0000-00009D240000}"/>
    <cellStyle name="Normal 12 7 2 5 3" xfId="9393" xr:uid="{00000000-0005-0000-0000-00009E240000}"/>
    <cellStyle name="Normal 12 7 2 5 4" xfId="9394" xr:uid="{00000000-0005-0000-0000-00009F240000}"/>
    <cellStyle name="Normal 12 7 2 5 5" xfId="9395" xr:uid="{00000000-0005-0000-0000-0000A0240000}"/>
    <cellStyle name="Normal 12 7 2 5 6" xfId="9396" xr:uid="{00000000-0005-0000-0000-0000A1240000}"/>
    <cellStyle name="Normal 12 7 2 6" xfId="9397" xr:uid="{00000000-0005-0000-0000-0000A2240000}"/>
    <cellStyle name="Normal 12 7 2 6 2" xfId="9398" xr:uid="{00000000-0005-0000-0000-0000A3240000}"/>
    <cellStyle name="Normal 12 7 2 6 3" xfId="9399" xr:uid="{00000000-0005-0000-0000-0000A4240000}"/>
    <cellStyle name="Normal 12 7 2 6 4" xfId="9400" xr:uid="{00000000-0005-0000-0000-0000A5240000}"/>
    <cellStyle name="Normal 12 7 2 6 5" xfId="9401" xr:uid="{00000000-0005-0000-0000-0000A6240000}"/>
    <cellStyle name="Normal 12 7 2 6 6" xfId="9402" xr:uid="{00000000-0005-0000-0000-0000A7240000}"/>
    <cellStyle name="Normal 12 7 2 7" xfId="9403" xr:uid="{00000000-0005-0000-0000-0000A8240000}"/>
    <cellStyle name="Normal 12 7 2 8" xfId="9404" xr:uid="{00000000-0005-0000-0000-0000A9240000}"/>
    <cellStyle name="Normal 12 7 2 9" xfId="9405" xr:uid="{00000000-0005-0000-0000-0000AA240000}"/>
    <cellStyle name="Normal 12 7 3" xfId="9406" xr:uid="{00000000-0005-0000-0000-0000AB240000}"/>
    <cellStyle name="Normal 12 7 3 2" xfId="9407" xr:uid="{00000000-0005-0000-0000-0000AC240000}"/>
    <cellStyle name="Normal 12 7 3 2 2" xfId="9408" xr:uid="{00000000-0005-0000-0000-0000AD240000}"/>
    <cellStyle name="Normal 12 7 3 2 3" xfId="9409" xr:uid="{00000000-0005-0000-0000-0000AE240000}"/>
    <cellStyle name="Normal 12 7 3 2 4" xfId="9410" xr:uid="{00000000-0005-0000-0000-0000AF240000}"/>
    <cellStyle name="Normal 12 7 3 2 5" xfId="9411" xr:uid="{00000000-0005-0000-0000-0000B0240000}"/>
    <cellStyle name="Normal 12 7 3 2 6" xfId="9412" xr:uid="{00000000-0005-0000-0000-0000B1240000}"/>
    <cellStyle name="Normal 12 7 3 3" xfId="9413" xr:uid="{00000000-0005-0000-0000-0000B2240000}"/>
    <cellStyle name="Normal 12 7 3 3 2" xfId="9414" xr:uid="{00000000-0005-0000-0000-0000B3240000}"/>
    <cellStyle name="Normal 12 7 3 3 3" xfId="9415" xr:uid="{00000000-0005-0000-0000-0000B4240000}"/>
    <cellStyle name="Normal 12 7 3 3 4" xfId="9416" xr:uid="{00000000-0005-0000-0000-0000B5240000}"/>
    <cellStyle name="Normal 12 7 3 3 5" xfId="9417" xr:uid="{00000000-0005-0000-0000-0000B6240000}"/>
    <cellStyle name="Normal 12 7 3 3 6" xfId="9418" xr:uid="{00000000-0005-0000-0000-0000B7240000}"/>
    <cellStyle name="Normal 12 7 3 4" xfId="9419" xr:uid="{00000000-0005-0000-0000-0000B8240000}"/>
    <cellStyle name="Normal 12 7 3 5" xfId="9420" xr:uid="{00000000-0005-0000-0000-0000B9240000}"/>
    <cellStyle name="Normal 12 7 3 6" xfId="9421" xr:uid="{00000000-0005-0000-0000-0000BA240000}"/>
    <cellStyle name="Normal 12 7 3 7" xfId="9422" xr:uid="{00000000-0005-0000-0000-0000BB240000}"/>
    <cellStyle name="Normal 12 7 3 8" xfId="9423" xr:uid="{00000000-0005-0000-0000-0000BC240000}"/>
    <cellStyle name="Normal 12 7 4" xfId="9424" xr:uid="{00000000-0005-0000-0000-0000BD240000}"/>
    <cellStyle name="Normal 12 7 4 2" xfId="9425" xr:uid="{00000000-0005-0000-0000-0000BE240000}"/>
    <cellStyle name="Normal 12 7 4 2 2" xfId="9426" xr:uid="{00000000-0005-0000-0000-0000BF240000}"/>
    <cellStyle name="Normal 12 7 4 2 3" xfId="9427" xr:uid="{00000000-0005-0000-0000-0000C0240000}"/>
    <cellStyle name="Normal 12 7 4 2 4" xfId="9428" xr:uid="{00000000-0005-0000-0000-0000C1240000}"/>
    <cellStyle name="Normal 12 7 4 2 5" xfId="9429" xr:uid="{00000000-0005-0000-0000-0000C2240000}"/>
    <cellStyle name="Normal 12 7 4 2 6" xfId="9430" xr:uid="{00000000-0005-0000-0000-0000C3240000}"/>
    <cellStyle name="Normal 12 7 4 3" xfId="9431" xr:uid="{00000000-0005-0000-0000-0000C4240000}"/>
    <cellStyle name="Normal 12 7 4 3 2" xfId="9432" xr:uid="{00000000-0005-0000-0000-0000C5240000}"/>
    <cellStyle name="Normal 12 7 4 3 3" xfId="9433" xr:uid="{00000000-0005-0000-0000-0000C6240000}"/>
    <cellStyle name="Normal 12 7 4 3 4" xfId="9434" xr:uid="{00000000-0005-0000-0000-0000C7240000}"/>
    <cellStyle name="Normal 12 7 4 3 5" xfId="9435" xr:uid="{00000000-0005-0000-0000-0000C8240000}"/>
    <cellStyle name="Normal 12 7 4 3 6" xfId="9436" xr:uid="{00000000-0005-0000-0000-0000C9240000}"/>
    <cellStyle name="Normal 12 7 4 4" xfId="9437" xr:uid="{00000000-0005-0000-0000-0000CA240000}"/>
    <cellStyle name="Normal 12 7 4 5" xfId="9438" xr:uid="{00000000-0005-0000-0000-0000CB240000}"/>
    <cellStyle name="Normal 12 7 4 6" xfId="9439" xr:uid="{00000000-0005-0000-0000-0000CC240000}"/>
    <cellStyle name="Normal 12 7 4 7" xfId="9440" xr:uid="{00000000-0005-0000-0000-0000CD240000}"/>
    <cellStyle name="Normal 12 7 4 8" xfId="9441" xr:uid="{00000000-0005-0000-0000-0000CE240000}"/>
    <cellStyle name="Normal 12 7 5" xfId="9442" xr:uid="{00000000-0005-0000-0000-0000CF240000}"/>
    <cellStyle name="Normal 12 7 5 2" xfId="9443" xr:uid="{00000000-0005-0000-0000-0000D0240000}"/>
    <cellStyle name="Normal 12 7 5 2 2" xfId="9444" xr:uid="{00000000-0005-0000-0000-0000D1240000}"/>
    <cellStyle name="Normal 12 7 5 2 3" xfId="9445" xr:uid="{00000000-0005-0000-0000-0000D2240000}"/>
    <cellStyle name="Normal 12 7 5 2 4" xfId="9446" xr:uid="{00000000-0005-0000-0000-0000D3240000}"/>
    <cellStyle name="Normal 12 7 5 2 5" xfId="9447" xr:uid="{00000000-0005-0000-0000-0000D4240000}"/>
    <cellStyle name="Normal 12 7 5 2 6" xfId="9448" xr:uid="{00000000-0005-0000-0000-0000D5240000}"/>
    <cellStyle name="Normal 12 7 5 3" xfId="9449" xr:uid="{00000000-0005-0000-0000-0000D6240000}"/>
    <cellStyle name="Normal 12 7 5 3 2" xfId="9450" xr:uid="{00000000-0005-0000-0000-0000D7240000}"/>
    <cellStyle name="Normal 12 7 5 3 3" xfId="9451" xr:uid="{00000000-0005-0000-0000-0000D8240000}"/>
    <cellStyle name="Normal 12 7 5 3 4" xfId="9452" xr:uid="{00000000-0005-0000-0000-0000D9240000}"/>
    <cellStyle name="Normal 12 7 5 3 5" xfId="9453" xr:uid="{00000000-0005-0000-0000-0000DA240000}"/>
    <cellStyle name="Normal 12 7 5 3 6" xfId="9454" xr:uid="{00000000-0005-0000-0000-0000DB240000}"/>
    <cellStyle name="Normal 12 7 5 4" xfId="9455" xr:uid="{00000000-0005-0000-0000-0000DC240000}"/>
    <cellStyle name="Normal 12 7 5 5" xfId="9456" xr:uid="{00000000-0005-0000-0000-0000DD240000}"/>
    <cellStyle name="Normal 12 7 5 6" xfId="9457" xr:uid="{00000000-0005-0000-0000-0000DE240000}"/>
    <cellStyle name="Normal 12 7 5 7" xfId="9458" xr:uid="{00000000-0005-0000-0000-0000DF240000}"/>
    <cellStyle name="Normal 12 7 5 8" xfId="9459" xr:uid="{00000000-0005-0000-0000-0000E0240000}"/>
    <cellStyle name="Normal 12 7 6" xfId="9460" xr:uid="{00000000-0005-0000-0000-0000E1240000}"/>
    <cellStyle name="Normal 12 7 6 2" xfId="9461" xr:uid="{00000000-0005-0000-0000-0000E2240000}"/>
    <cellStyle name="Normal 12 7 6 3" xfId="9462" xr:uid="{00000000-0005-0000-0000-0000E3240000}"/>
    <cellStyle name="Normal 12 7 6 4" xfId="9463" xr:uid="{00000000-0005-0000-0000-0000E4240000}"/>
    <cellStyle name="Normal 12 7 6 5" xfId="9464" xr:uid="{00000000-0005-0000-0000-0000E5240000}"/>
    <cellStyle name="Normal 12 7 6 6" xfId="9465" xr:uid="{00000000-0005-0000-0000-0000E6240000}"/>
    <cellStyle name="Normal 12 7 7" xfId="9466" xr:uid="{00000000-0005-0000-0000-0000E7240000}"/>
    <cellStyle name="Normal 12 7 7 2" xfId="9467" xr:uid="{00000000-0005-0000-0000-0000E8240000}"/>
    <cellStyle name="Normal 12 7 7 3" xfId="9468" xr:uid="{00000000-0005-0000-0000-0000E9240000}"/>
    <cellStyle name="Normal 12 7 7 4" xfId="9469" xr:uid="{00000000-0005-0000-0000-0000EA240000}"/>
    <cellStyle name="Normal 12 7 7 5" xfId="9470" xr:uid="{00000000-0005-0000-0000-0000EB240000}"/>
    <cellStyle name="Normal 12 7 7 6" xfId="9471" xr:uid="{00000000-0005-0000-0000-0000EC240000}"/>
    <cellStyle name="Normal 12 7 8" xfId="9472" xr:uid="{00000000-0005-0000-0000-0000ED240000}"/>
    <cellStyle name="Normal 12 7 9" xfId="9473" xr:uid="{00000000-0005-0000-0000-0000EE240000}"/>
    <cellStyle name="Normal 12 8" xfId="9474" xr:uid="{00000000-0005-0000-0000-0000EF240000}"/>
    <cellStyle name="Normal 12 8 10" xfId="9475" xr:uid="{00000000-0005-0000-0000-0000F0240000}"/>
    <cellStyle name="Normal 12 8 11" xfId="9476" xr:uid="{00000000-0005-0000-0000-0000F1240000}"/>
    <cellStyle name="Normal 12 8 12" xfId="9477" xr:uid="{00000000-0005-0000-0000-0000F2240000}"/>
    <cellStyle name="Normal 12 8 2" xfId="9478" xr:uid="{00000000-0005-0000-0000-0000F3240000}"/>
    <cellStyle name="Normal 12 8 2 10" xfId="9479" xr:uid="{00000000-0005-0000-0000-0000F4240000}"/>
    <cellStyle name="Normal 12 8 2 11" xfId="9480" xr:uid="{00000000-0005-0000-0000-0000F5240000}"/>
    <cellStyle name="Normal 12 8 2 2" xfId="9481" xr:uid="{00000000-0005-0000-0000-0000F6240000}"/>
    <cellStyle name="Normal 12 8 2 2 2" xfId="9482" xr:uid="{00000000-0005-0000-0000-0000F7240000}"/>
    <cellStyle name="Normal 12 8 2 2 2 2" xfId="9483" xr:uid="{00000000-0005-0000-0000-0000F8240000}"/>
    <cellStyle name="Normal 12 8 2 2 2 3" xfId="9484" xr:uid="{00000000-0005-0000-0000-0000F9240000}"/>
    <cellStyle name="Normal 12 8 2 2 2 4" xfId="9485" xr:uid="{00000000-0005-0000-0000-0000FA240000}"/>
    <cellStyle name="Normal 12 8 2 2 2 5" xfId="9486" xr:uid="{00000000-0005-0000-0000-0000FB240000}"/>
    <cellStyle name="Normal 12 8 2 2 2 6" xfId="9487" xr:uid="{00000000-0005-0000-0000-0000FC240000}"/>
    <cellStyle name="Normal 12 8 2 2 3" xfId="9488" xr:uid="{00000000-0005-0000-0000-0000FD240000}"/>
    <cellStyle name="Normal 12 8 2 2 3 2" xfId="9489" xr:uid="{00000000-0005-0000-0000-0000FE240000}"/>
    <cellStyle name="Normal 12 8 2 2 3 3" xfId="9490" xr:uid="{00000000-0005-0000-0000-0000FF240000}"/>
    <cellStyle name="Normal 12 8 2 2 3 4" xfId="9491" xr:uid="{00000000-0005-0000-0000-000000250000}"/>
    <cellStyle name="Normal 12 8 2 2 3 5" xfId="9492" xr:uid="{00000000-0005-0000-0000-000001250000}"/>
    <cellStyle name="Normal 12 8 2 2 3 6" xfId="9493" xr:uid="{00000000-0005-0000-0000-000002250000}"/>
    <cellStyle name="Normal 12 8 2 2 4" xfId="9494" xr:uid="{00000000-0005-0000-0000-000003250000}"/>
    <cellStyle name="Normal 12 8 2 2 5" xfId="9495" xr:uid="{00000000-0005-0000-0000-000004250000}"/>
    <cellStyle name="Normal 12 8 2 2 6" xfId="9496" xr:uid="{00000000-0005-0000-0000-000005250000}"/>
    <cellStyle name="Normal 12 8 2 2 7" xfId="9497" xr:uid="{00000000-0005-0000-0000-000006250000}"/>
    <cellStyle name="Normal 12 8 2 2 8" xfId="9498" xr:uid="{00000000-0005-0000-0000-000007250000}"/>
    <cellStyle name="Normal 12 8 2 3" xfId="9499" xr:uid="{00000000-0005-0000-0000-000008250000}"/>
    <cellStyle name="Normal 12 8 2 3 2" xfId="9500" xr:uid="{00000000-0005-0000-0000-000009250000}"/>
    <cellStyle name="Normal 12 8 2 3 2 2" xfId="9501" xr:uid="{00000000-0005-0000-0000-00000A250000}"/>
    <cellStyle name="Normal 12 8 2 3 2 3" xfId="9502" xr:uid="{00000000-0005-0000-0000-00000B250000}"/>
    <cellStyle name="Normal 12 8 2 3 2 4" xfId="9503" xr:uid="{00000000-0005-0000-0000-00000C250000}"/>
    <cellStyle name="Normal 12 8 2 3 2 5" xfId="9504" xr:uid="{00000000-0005-0000-0000-00000D250000}"/>
    <cellStyle name="Normal 12 8 2 3 2 6" xfId="9505" xr:uid="{00000000-0005-0000-0000-00000E250000}"/>
    <cellStyle name="Normal 12 8 2 3 3" xfId="9506" xr:uid="{00000000-0005-0000-0000-00000F250000}"/>
    <cellStyle name="Normal 12 8 2 3 3 2" xfId="9507" xr:uid="{00000000-0005-0000-0000-000010250000}"/>
    <cellStyle name="Normal 12 8 2 3 3 3" xfId="9508" xr:uid="{00000000-0005-0000-0000-000011250000}"/>
    <cellStyle name="Normal 12 8 2 3 3 4" xfId="9509" xr:uid="{00000000-0005-0000-0000-000012250000}"/>
    <cellStyle name="Normal 12 8 2 3 3 5" xfId="9510" xr:uid="{00000000-0005-0000-0000-000013250000}"/>
    <cellStyle name="Normal 12 8 2 3 3 6" xfId="9511" xr:uid="{00000000-0005-0000-0000-000014250000}"/>
    <cellStyle name="Normal 12 8 2 3 4" xfId="9512" xr:uid="{00000000-0005-0000-0000-000015250000}"/>
    <cellStyle name="Normal 12 8 2 3 5" xfId="9513" xr:uid="{00000000-0005-0000-0000-000016250000}"/>
    <cellStyle name="Normal 12 8 2 3 6" xfId="9514" xr:uid="{00000000-0005-0000-0000-000017250000}"/>
    <cellStyle name="Normal 12 8 2 3 7" xfId="9515" xr:uid="{00000000-0005-0000-0000-000018250000}"/>
    <cellStyle name="Normal 12 8 2 3 8" xfId="9516" xr:uid="{00000000-0005-0000-0000-000019250000}"/>
    <cellStyle name="Normal 12 8 2 4" xfId="9517" xr:uid="{00000000-0005-0000-0000-00001A250000}"/>
    <cellStyle name="Normal 12 8 2 4 2" xfId="9518" xr:uid="{00000000-0005-0000-0000-00001B250000}"/>
    <cellStyle name="Normal 12 8 2 4 2 2" xfId="9519" xr:uid="{00000000-0005-0000-0000-00001C250000}"/>
    <cellStyle name="Normal 12 8 2 4 2 3" xfId="9520" xr:uid="{00000000-0005-0000-0000-00001D250000}"/>
    <cellStyle name="Normal 12 8 2 4 2 4" xfId="9521" xr:uid="{00000000-0005-0000-0000-00001E250000}"/>
    <cellStyle name="Normal 12 8 2 4 2 5" xfId="9522" xr:uid="{00000000-0005-0000-0000-00001F250000}"/>
    <cellStyle name="Normal 12 8 2 4 2 6" xfId="9523" xr:uid="{00000000-0005-0000-0000-000020250000}"/>
    <cellStyle name="Normal 12 8 2 4 3" xfId="9524" xr:uid="{00000000-0005-0000-0000-000021250000}"/>
    <cellStyle name="Normal 12 8 2 4 3 2" xfId="9525" xr:uid="{00000000-0005-0000-0000-000022250000}"/>
    <cellStyle name="Normal 12 8 2 4 3 3" xfId="9526" xr:uid="{00000000-0005-0000-0000-000023250000}"/>
    <cellStyle name="Normal 12 8 2 4 3 4" xfId="9527" xr:uid="{00000000-0005-0000-0000-000024250000}"/>
    <cellStyle name="Normal 12 8 2 4 3 5" xfId="9528" xr:uid="{00000000-0005-0000-0000-000025250000}"/>
    <cellStyle name="Normal 12 8 2 4 3 6" xfId="9529" xr:uid="{00000000-0005-0000-0000-000026250000}"/>
    <cellStyle name="Normal 12 8 2 4 4" xfId="9530" xr:uid="{00000000-0005-0000-0000-000027250000}"/>
    <cellStyle name="Normal 12 8 2 4 5" xfId="9531" xr:uid="{00000000-0005-0000-0000-000028250000}"/>
    <cellStyle name="Normal 12 8 2 4 6" xfId="9532" xr:uid="{00000000-0005-0000-0000-000029250000}"/>
    <cellStyle name="Normal 12 8 2 4 7" xfId="9533" xr:uid="{00000000-0005-0000-0000-00002A250000}"/>
    <cellStyle name="Normal 12 8 2 4 8" xfId="9534" xr:uid="{00000000-0005-0000-0000-00002B250000}"/>
    <cellStyle name="Normal 12 8 2 5" xfId="9535" xr:uid="{00000000-0005-0000-0000-00002C250000}"/>
    <cellStyle name="Normal 12 8 2 5 2" xfId="9536" xr:uid="{00000000-0005-0000-0000-00002D250000}"/>
    <cellStyle name="Normal 12 8 2 5 3" xfId="9537" xr:uid="{00000000-0005-0000-0000-00002E250000}"/>
    <cellStyle name="Normal 12 8 2 5 4" xfId="9538" xr:uid="{00000000-0005-0000-0000-00002F250000}"/>
    <cellStyle name="Normal 12 8 2 5 5" xfId="9539" xr:uid="{00000000-0005-0000-0000-000030250000}"/>
    <cellStyle name="Normal 12 8 2 5 6" xfId="9540" xr:uid="{00000000-0005-0000-0000-000031250000}"/>
    <cellStyle name="Normal 12 8 2 6" xfId="9541" xr:uid="{00000000-0005-0000-0000-000032250000}"/>
    <cellStyle name="Normal 12 8 2 6 2" xfId="9542" xr:uid="{00000000-0005-0000-0000-000033250000}"/>
    <cellStyle name="Normal 12 8 2 6 3" xfId="9543" xr:uid="{00000000-0005-0000-0000-000034250000}"/>
    <cellStyle name="Normal 12 8 2 6 4" xfId="9544" xr:uid="{00000000-0005-0000-0000-000035250000}"/>
    <cellStyle name="Normal 12 8 2 6 5" xfId="9545" xr:uid="{00000000-0005-0000-0000-000036250000}"/>
    <cellStyle name="Normal 12 8 2 6 6" xfId="9546" xr:uid="{00000000-0005-0000-0000-000037250000}"/>
    <cellStyle name="Normal 12 8 2 7" xfId="9547" xr:uid="{00000000-0005-0000-0000-000038250000}"/>
    <cellStyle name="Normal 12 8 2 8" xfId="9548" xr:uid="{00000000-0005-0000-0000-000039250000}"/>
    <cellStyle name="Normal 12 8 2 9" xfId="9549" xr:uid="{00000000-0005-0000-0000-00003A250000}"/>
    <cellStyle name="Normal 12 8 3" xfId="9550" xr:uid="{00000000-0005-0000-0000-00003B250000}"/>
    <cellStyle name="Normal 12 8 3 2" xfId="9551" xr:uid="{00000000-0005-0000-0000-00003C250000}"/>
    <cellStyle name="Normal 12 8 3 2 2" xfId="9552" xr:uid="{00000000-0005-0000-0000-00003D250000}"/>
    <cellStyle name="Normal 12 8 3 2 3" xfId="9553" xr:uid="{00000000-0005-0000-0000-00003E250000}"/>
    <cellStyle name="Normal 12 8 3 2 4" xfId="9554" xr:uid="{00000000-0005-0000-0000-00003F250000}"/>
    <cellStyle name="Normal 12 8 3 2 5" xfId="9555" xr:uid="{00000000-0005-0000-0000-000040250000}"/>
    <cellStyle name="Normal 12 8 3 2 6" xfId="9556" xr:uid="{00000000-0005-0000-0000-000041250000}"/>
    <cellStyle name="Normal 12 8 3 3" xfId="9557" xr:uid="{00000000-0005-0000-0000-000042250000}"/>
    <cellStyle name="Normal 12 8 3 3 2" xfId="9558" xr:uid="{00000000-0005-0000-0000-000043250000}"/>
    <cellStyle name="Normal 12 8 3 3 3" xfId="9559" xr:uid="{00000000-0005-0000-0000-000044250000}"/>
    <cellStyle name="Normal 12 8 3 3 4" xfId="9560" xr:uid="{00000000-0005-0000-0000-000045250000}"/>
    <cellStyle name="Normal 12 8 3 3 5" xfId="9561" xr:uid="{00000000-0005-0000-0000-000046250000}"/>
    <cellStyle name="Normal 12 8 3 3 6" xfId="9562" xr:uid="{00000000-0005-0000-0000-000047250000}"/>
    <cellStyle name="Normal 12 8 3 4" xfId="9563" xr:uid="{00000000-0005-0000-0000-000048250000}"/>
    <cellStyle name="Normal 12 8 3 5" xfId="9564" xr:uid="{00000000-0005-0000-0000-000049250000}"/>
    <cellStyle name="Normal 12 8 3 6" xfId="9565" xr:uid="{00000000-0005-0000-0000-00004A250000}"/>
    <cellStyle name="Normal 12 8 3 7" xfId="9566" xr:uid="{00000000-0005-0000-0000-00004B250000}"/>
    <cellStyle name="Normal 12 8 3 8" xfId="9567" xr:uid="{00000000-0005-0000-0000-00004C250000}"/>
    <cellStyle name="Normal 12 8 4" xfId="9568" xr:uid="{00000000-0005-0000-0000-00004D250000}"/>
    <cellStyle name="Normal 12 8 4 2" xfId="9569" xr:uid="{00000000-0005-0000-0000-00004E250000}"/>
    <cellStyle name="Normal 12 8 4 2 2" xfId="9570" xr:uid="{00000000-0005-0000-0000-00004F250000}"/>
    <cellStyle name="Normal 12 8 4 2 3" xfId="9571" xr:uid="{00000000-0005-0000-0000-000050250000}"/>
    <cellStyle name="Normal 12 8 4 2 4" xfId="9572" xr:uid="{00000000-0005-0000-0000-000051250000}"/>
    <cellStyle name="Normal 12 8 4 2 5" xfId="9573" xr:uid="{00000000-0005-0000-0000-000052250000}"/>
    <cellStyle name="Normal 12 8 4 2 6" xfId="9574" xr:uid="{00000000-0005-0000-0000-000053250000}"/>
    <cellStyle name="Normal 12 8 4 3" xfId="9575" xr:uid="{00000000-0005-0000-0000-000054250000}"/>
    <cellStyle name="Normal 12 8 4 3 2" xfId="9576" xr:uid="{00000000-0005-0000-0000-000055250000}"/>
    <cellStyle name="Normal 12 8 4 3 3" xfId="9577" xr:uid="{00000000-0005-0000-0000-000056250000}"/>
    <cellStyle name="Normal 12 8 4 3 4" xfId="9578" xr:uid="{00000000-0005-0000-0000-000057250000}"/>
    <cellStyle name="Normal 12 8 4 3 5" xfId="9579" xr:uid="{00000000-0005-0000-0000-000058250000}"/>
    <cellStyle name="Normal 12 8 4 3 6" xfId="9580" xr:uid="{00000000-0005-0000-0000-000059250000}"/>
    <cellStyle name="Normal 12 8 4 4" xfId="9581" xr:uid="{00000000-0005-0000-0000-00005A250000}"/>
    <cellStyle name="Normal 12 8 4 5" xfId="9582" xr:uid="{00000000-0005-0000-0000-00005B250000}"/>
    <cellStyle name="Normal 12 8 4 6" xfId="9583" xr:uid="{00000000-0005-0000-0000-00005C250000}"/>
    <cellStyle name="Normal 12 8 4 7" xfId="9584" xr:uid="{00000000-0005-0000-0000-00005D250000}"/>
    <cellStyle name="Normal 12 8 4 8" xfId="9585" xr:uid="{00000000-0005-0000-0000-00005E250000}"/>
    <cellStyle name="Normal 12 8 5" xfId="9586" xr:uid="{00000000-0005-0000-0000-00005F250000}"/>
    <cellStyle name="Normal 12 8 5 2" xfId="9587" xr:uid="{00000000-0005-0000-0000-000060250000}"/>
    <cellStyle name="Normal 12 8 5 2 2" xfId="9588" xr:uid="{00000000-0005-0000-0000-000061250000}"/>
    <cellStyle name="Normal 12 8 5 2 3" xfId="9589" xr:uid="{00000000-0005-0000-0000-000062250000}"/>
    <cellStyle name="Normal 12 8 5 2 4" xfId="9590" xr:uid="{00000000-0005-0000-0000-000063250000}"/>
    <cellStyle name="Normal 12 8 5 2 5" xfId="9591" xr:uid="{00000000-0005-0000-0000-000064250000}"/>
    <cellStyle name="Normal 12 8 5 2 6" xfId="9592" xr:uid="{00000000-0005-0000-0000-000065250000}"/>
    <cellStyle name="Normal 12 8 5 3" xfId="9593" xr:uid="{00000000-0005-0000-0000-000066250000}"/>
    <cellStyle name="Normal 12 8 5 3 2" xfId="9594" xr:uid="{00000000-0005-0000-0000-000067250000}"/>
    <cellStyle name="Normal 12 8 5 3 3" xfId="9595" xr:uid="{00000000-0005-0000-0000-000068250000}"/>
    <cellStyle name="Normal 12 8 5 3 4" xfId="9596" xr:uid="{00000000-0005-0000-0000-000069250000}"/>
    <cellStyle name="Normal 12 8 5 3 5" xfId="9597" xr:uid="{00000000-0005-0000-0000-00006A250000}"/>
    <cellStyle name="Normal 12 8 5 3 6" xfId="9598" xr:uid="{00000000-0005-0000-0000-00006B250000}"/>
    <cellStyle name="Normal 12 8 5 4" xfId="9599" xr:uid="{00000000-0005-0000-0000-00006C250000}"/>
    <cellStyle name="Normal 12 8 5 5" xfId="9600" xr:uid="{00000000-0005-0000-0000-00006D250000}"/>
    <cellStyle name="Normal 12 8 5 6" xfId="9601" xr:uid="{00000000-0005-0000-0000-00006E250000}"/>
    <cellStyle name="Normal 12 8 5 7" xfId="9602" xr:uid="{00000000-0005-0000-0000-00006F250000}"/>
    <cellStyle name="Normal 12 8 5 8" xfId="9603" xr:uid="{00000000-0005-0000-0000-000070250000}"/>
    <cellStyle name="Normal 12 8 6" xfId="9604" xr:uid="{00000000-0005-0000-0000-000071250000}"/>
    <cellStyle name="Normal 12 8 6 2" xfId="9605" xr:uid="{00000000-0005-0000-0000-000072250000}"/>
    <cellStyle name="Normal 12 8 6 3" xfId="9606" xr:uid="{00000000-0005-0000-0000-000073250000}"/>
    <cellStyle name="Normal 12 8 6 4" xfId="9607" xr:uid="{00000000-0005-0000-0000-000074250000}"/>
    <cellStyle name="Normal 12 8 6 5" xfId="9608" xr:uid="{00000000-0005-0000-0000-000075250000}"/>
    <cellStyle name="Normal 12 8 6 6" xfId="9609" xr:uid="{00000000-0005-0000-0000-000076250000}"/>
    <cellStyle name="Normal 12 8 7" xfId="9610" xr:uid="{00000000-0005-0000-0000-000077250000}"/>
    <cellStyle name="Normal 12 8 7 2" xfId="9611" xr:uid="{00000000-0005-0000-0000-000078250000}"/>
    <cellStyle name="Normal 12 8 7 3" xfId="9612" xr:uid="{00000000-0005-0000-0000-000079250000}"/>
    <cellStyle name="Normal 12 8 7 4" xfId="9613" xr:uid="{00000000-0005-0000-0000-00007A250000}"/>
    <cellStyle name="Normal 12 8 7 5" xfId="9614" xr:uid="{00000000-0005-0000-0000-00007B250000}"/>
    <cellStyle name="Normal 12 8 7 6" xfId="9615" xr:uid="{00000000-0005-0000-0000-00007C250000}"/>
    <cellStyle name="Normal 12 8 8" xfId="9616" xr:uid="{00000000-0005-0000-0000-00007D250000}"/>
    <cellStyle name="Normal 12 8 9" xfId="9617" xr:uid="{00000000-0005-0000-0000-00007E250000}"/>
    <cellStyle name="Normal 12 9" xfId="9618" xr:uid="{00000000-0005-0000-0000-00007F250000}"/>
    <cellStyle name="Normal 12 9 10" xfId="9619" xr:uid="{00000000-0005-0000-0000-000080250000}"/>
    <cellStyle name="Normal 12 9 11" xfId="9620" xr:uid="{00000000-0005-0000-0000-000081250000}"/>
    <cellStyle name="Normal 12 9 2" xfId="9621" xr:uid="{00000000-0005-0000-0000-000082250000}"/>
    <cellStyle name="Normal 12 9 2 2" xfId="9622" xr:uid="{00000000-0005-0000-0000-000083250000}"/>
    <cellStyle name="Normal 12 9 2 2 2" xfId="9623" xr:uid="{00000000-0005-0000-0000-000084250000}"/>
    <cellStyle name="Normal 12 9 2 2 3" xfId="9624" xr:uid="{00000000-0005-0000-0000-000085250000}"/>
    <cellStyle name="Normal 12 9 2 2 4" xfId="9625" xr:uid="{00000000-0005-0000-0000-000086250000}"/>
    <cellStyle name="Normal 12 9 2 2 5" xfId="9626" xr:uid="{00000000-0005-0000-0000-000087250000}"/>
    <cellStyle name="Normal 12 9 2 2 6" xfId="9627" xr:uid="{00000000-0005-0000-0000-000088250000}"/>
    <cellStyle name="Normal 12 9 2 3" xfId="9628" xr:uid="{00000000-0005-0000-0000-000089250000}"/>
    <cellStyle name="Normal 12 9 2 3 2" xfId="9629" xr:uid="{00000000-0005-0000-0000-00008A250000}"/>
    <cellStyle name="Normal 12 9 2 3 3" xfId="9630" xr:uid="{00000000-0005-0000-0000-00008B250000}"/>
    <cellStyle name="Normal 12 9 2 3 4" xfId="9631" xr:uid="{00000000-0005-0000-0000-00008C250000}"/>
    <cellStyle name="Normal 12 9 2 3 5" xfId="9632" xr:uid="{00000000-0005-0000-0000-00008D250000}"/>
    <cellStyle name="Normal 12 9 2 3 6" xfId="9633" xr:uid="{00000000-0005-0000-0000-00008E250000}"/>
    <cellStyle name="Normal 12 9 2 4" xfId="9634" xr:uid="{00000000-0005-0000-0000-00008F250000}"/>
    <cellStyle name="Normal 12 9 2 5" xfId="9635" xr:uid="{00000000-0005-0000-0000-000090250000}"/>
    <cellStyle name="Normal 12 9 2 6" xfId="9636" xr:uid="{00000000-0005-0000-0000-000091250000}"/>
    <cellStyle name="Normal 12 9 2 7" xfId="9637" xr:uid="{00000000-0005-0000-0000-000092250000}"/>
    <cellStyle name="Normal 12 9 2 8" xfId="9638" xr:uid="{00000000-0005-0000-0000-000093250000}"/>
    <cellStyle name="Normal 12 9 3" xfId="9639" xr:uid="{00000000-0005-0000-0000-000094250000}"/>
    <cellStyle name="Normal 12 9 3 2" xfId="9640" xr:uid="{00000000-0005-0000-0000-000095250000}"/>
    <cellStyle name="Normal 12 9 3 2 2" xfId="9641" xr:uid="{00000000-0005-0000-0000-000096250000}"/>
    <cellStyle name="Normal 12 9 3 2 3" xfId="9642" xr:uid="{00000000-0005-0000-0000-000097250000}"/>
    <cellStyle name="Normal 12 9 3 2 4" xfId="9643" xr:uid="{00000000-0005-0000-0000-000098250000}"/>
    <cellStyle name="Normal 12 9 3 2 5" xfId="9644" xr:uid="{00000000-0005-0000-0000-000099250000}"/>
    <cellStyle name="Normal 12 9 3 2 6" xfId="9645" xr:uid="{00000000-0005-0000-0000-00009A250000}"/>
    <cellStyle name="Normal 12 9 3 3" xfId="9646" xr:uid="{00000000-0005-0000-0000-00009B250000}"/>
    <cellStyle name="Normal 12 9 3 3 2" xfId="9647" xr:uid="{00000000-0005-0000-0000-00009C250000}"/>
    <cellStyle name="Normal 12 9 3 3 3" xfId="9648" xr:uid="{00000000-0005-0000-0000-00009D250000}"/>
    <cellStyle name="Normal 12 9 3 3 4" xfId="9649" xr:uid="{00000000-0005-0000-0000-00009E250000}"/>
    <cellStyle name="Normal 12 9 3 3 5" xfId="9650" xr:uid="{00000000-0005-0000-0000-00009F250000}"/>
    <cellStyle name="Normal 12 9 3 3 6" xfId="9651" xr:uid="{00000000-0005-0000-0000-0000A0250000}"/>
    <cellStyle name="Normal 12 9 3 4" xfId="9652" xr:uid="{00000000-0005-0000-0000-0000A1250000}"/>
    <cellStyle name="Normal 12 9 3 5" xfId="9653" xr:uid="{00000000-0005-0000-0000-0000A2250000}"/>
    <cellStyle name="Normal 12 9 3 6" xfId="9654" xr:uid="{00000000-0005-0000-0000-0000A3250000}"/>
    <cellStyle name="Normal 12 9 3 7" xfId="9655" xr:uid="{00000000-0005-0000-0000-0000A4250000}"/>
    <cellStyle name="Normal 12 9 3 8" xfId="9656" xr:uid="{00000000-0005-0000-0000-0000A5250000}"/>
    <cellStyle name="Normal 12 9 4" xfId="9657" xr:uid="{00000000-0005-0000-0000-0000A6250000}"/>
    <cellStyle name="Normal 12 9 4 2" xfId="9658" xr:uid="{00000000-0005-0000-0000-0000A7250000}"/>
    <cellStyle name="Normal 12 9 4 2 2" xfId="9659" xr:uid="{00000000-0005-0000-0000-0000A8250000}"/>
    <cellStyle name="Normal 12 9 4 2 3" xfId="9660" xr:uid="{00000000-0005-0000-0000-0000A9250000}"/>
    <cellStyle name="Normal 12 9 4 2 4" xfId="9661" xr:uid="{00000000-0005-0000-0000-0000AA250000}"/>
    <cellStyle name="Normal 12 9 4 2 5" xfId="9662" xr:uid="{00000000-0005-0000-0000-0000AB250000}"/>
    <cellStyle name="Normal 12 9 4 2 6" xfId="9663" xr:uid="{00000000-0005-0000-0000-0000AC250000}"/>
    <cellStyle name="Normal 12 9 4 3" xfId="9664" xr:uid="{00000000-0005-0000-0000-0000AD250000}"/>
    <cellStyle name="Normal 12 9 4 3 2" xfId="9665" xr:uid="{00000000-0005-0000-0000-0000AE250000}"/>
    <cellStyle name="Normal 12 9 4 3 3" xfId="9666" xr:uid="{00000000-0005-0000-0000-0000AF250000}"/>
    <cellStyle name="Normal 12 9 4 3 4" xfId="9667" xr:uid="{00000000-0005-0000-0000-0000B0250000}"/>
    <cellStyle name="Normal 12 9 4 3 5" xfId="9668" xr:uid="{00000000-0005-0000-0000-0000B1250000}"/>
    <cellStyle name="Normal 12 9 4 3 6" xfId="9669" xr:uid="{00000000-0005-0000-0000-0000B2250000}"/>
    <cellStyle name="Normal 12 9 4 4" xfId="9670" xr:uid="{00000000-0005-0000-0000-0000B3250000}"/>
    <cellStyle name="Normal 12 9 4 5" xfId="9671" xr:uid="{00000000-0005-0000-0000-0000B4250000}"/>
    <cellStyle name="Normal 12 9 4 6" xfId="9672" xr:uid="{00000000-0005-0000-0000-0000B5250000}"/>
    <cellStyle name="Normal 12 9 4 7" xfId="9673" xr:uid="{00000000-0005-0000-0000-0000B6250000}"/>
    <cellStyle name="Normal 12 9 4 8" xfId="9674" xr:uid="{00000000-0005-0000-0000-0000B7250000}"/>
    <cellStyle name="Normal 12 9 5" xfId="9675" xr:uid="{00000000-0005-0000-0000-0000B8250000}"/>
    <cellStyle name="Normal 12 9 5 2" xfId="9676" xr:uid="{00000000-0005-0000-0000-0000B9250000}"/>
    <cellStyle name="Normal 12 9 5 3" xfId="9677" xr:uid="{00000000-0005-0000-0000-0000BA250000}"/>
    <cellStyle name="Normal 12 9 5 4" xfId="9678" xr:uid="{00000000-0005-0000-0000-0000BB250000}"/>
    <cellStyle name="Normal 12 9 5 5" xfId="9679" xr:uid="{00000000-0005-0000-0000-0000BC250000}"/>
    <cellStyle name="Normal 12 9 5 6" xfId="9680" xr:uid="{00000000-0005-0000-0000-0000BD250000}"/>
    <cellStyle name="Normal 12 9 6" xfId="9681" xr:uid="{00000000-0005-0000-0000-0000BE250000}"/>
    <cellStyle name="Normal 12 9 6 2" xfId="9682" xr:uid="{00000000-0005-0000-0000-0000BF250000}"/>
    <cellStyle name="Normal 12 9 6 3" xfId="9683" xr:uid="{00000000-0005-0000-0000-0000C0250000}"/>
    <cellStyle name="Normal 12 9 6 4" xfId="9684" xr:uid="{00000000-0005-0000-0000-0000C1250000}"/>
    <cellStyle name="Normal 12 9 6 5" xfId="9685" xr:uid="{00000000-0005-0000-0000-0000C2250000}"/>
    <cellStyle name="Normal 12 9 6 6" xfId="9686" xr:uid="{00000000-0005-0000-0000-0000C3250000}"/>
    <cellStyle name="Normal 12 9 7" xfId="9687" xr:uid="{00000000-0005-0000-0000-0000C4250000}"/>
    <cellStyle name="Normal 12 9 8" xfId="9688" xr:uid="{00000000-0005-0000-0000-0000C5250000}"/>
    <cellStyle name="Normal 12 9 9" xfId="9689" xr:uid="{00000000-0005-0000-0000-0000C6250000}"/>
    <cellStyle name="Normal 120 2" xfId="20" xr:uid="{00000000-0005-0000-0000-0000C7250000}"/>
    <cellStyle name="Normal 122" xfId="40903" xr:uid="{00000000-0005-0000-0000-0000C8250000}"/>
    <cellStyle name="Normal 13" xfId="9690" xr:uid="{00000000-0005-0000-0000-0000C9250000}"/>
    <cellStyle name="Normal 13 10" xfId="9691" xr:uid="{00000000-0005-0000-0000-0000CA250000}"/>
    <cellStyle name="Normal 13 10 2" xfId="9692" xr:uid="{00000000-0005-0000-0000-0000CB250000}"/>
    <cellStyle name="Normal 13 10 2 2" xfId="9693" xr:uid="{00000000-0005-0000-0000-0000CC250000}"/>
    <cellStyle name="Normal 13 10 2 3" xfId="9694" xr:uid="{00000000-0005-0000-0000-0000CD250000}"/>
    <cellStyle name="Normal 13 10 2 4" xfId="9695" xr:uid="{00000000-0005-0000-0000-0000CE250000}"/>
    <cellStyle name="Normal 13 10 2 5" xfId="9696" xr:uid="{00000000-0005-0000-0000-0000CF250000}"/>
    <cellStyle name="Normal 13 10 2 6" xfId="9697" xr:uid="{00000000-0005-0000-0000-0000D0250000}"/>
    <cellStyle name="Normal 13 10 3" xfId="9698" xr:uid="{00000000-0005-0000-0000-0000D1250000}"/>
    <cellStyle name="Normal 13 10 3 2" xfId="9699" xr:uid="{00000000-0005-0000-0000-0000D2250000}"/>
    <cellStyle name="Normal 13 10 3 3" xfId="9700" xr:uid="{00000000-0005-0000-0000-0000D3250000}"/>
    <cellStyle name="Normal 13 10 3 4" xfId="9701" xr:uid="{00000000-0005-0000-0000-0000D4250000}"/>
    <cellStyle name="Normal 13 10 3 5" xfId="9702" xr:uid="{00000000-0005-0000-0000-0000D5250000}"/>
    <cellStyle name="Normal 13 10 3 6" xfId="9703" xr:uid="{00000000-0005-0000-0000-0000D6250000}"/>
    <cellStyle name="Normal 13 10 4" xfId="9704" xr:uid="{00000000-0005-0000-0000-0000D7250000}"/>
    <cellStyle name="Normal 13 10 5" xfId="9705" xr:uid="{00000000-0005-0000-0000-0000D8250000}"/>
    <cellStyle name="Normal 13 10 6" xfId="9706" xr:uid="{00000000-0005-0000-0000-0000D9250000}"/>
    <cellStyle name="Normal 13 10 7" xfId="9707" xr:uid="{00000000-0005-0000-0000-0000DA250000}"/>
    <cellStyle name="Normal 13 10 8" xfId="9708" xr:uid="{00000000-0005-0000-0000-0000DB250000}"/>
    <cellStyle name="Normal 13 11" xfId="9709" xr:uid="{00000000-0005-0000-0000-0000DC250000}"/>
    <cellStyle name="Normal 13 11 2" xfId="9710" xr:uid="{00000000-0005-0000-0000-0000DD250000}"/>
    <cellStyle name="Normal 13 11 3" xfId="9711" xr:uid="{00000000-0005-0000-0000-0000DE250000}"/>
    <cellStyle name="Normal 13 11 4" xfId="9712" xr:uid="{00000000-0005-0000-0000-0000DF250000}"/>
    <cellStyle name="Normal 13 11 5" xfId="9713" xr:uid="{00000000-0005-0000-0000-0000E0250000}"/>
    <cellStyle name="Normal 13 11 6" xfId="9714" xr:uid="{00000000-0005-0000-0000-0000E1250000}"/>
    <cellStyle name="Normal 13 12" xfId="9715" xr:uid="{00000000-0005-0000-0000-0000E2250000}"/>
    <cellStyle name="Normal 13 12 2" xfId="9716" xr:uid="{00000000-0005-0000-0000-0000E3250000}"/>
    <cellStyle name="Normal 13 12 3" xfId="9717" xr:uid="{00000000-0005-0000-0000-0000E4250000}"/>
    <cellStyle name="Normal 13 12 4" xfId="9718" xr:uid="{00000000-0005-0000-0000-0000E5250000}"/>
    <cellStyle name="Normal 13 12 5" xfId="9719" xr:uid="{00000000-0005-0000-0000-0000E6250000}"/>
    <cellStyle name="Normal 13 12 6" xfId="9720" xr:uid="{00000000-0005-0000-0000-0000E7250000}"/>
    <cellStyle name="Normal 13 13" xfId="9721" xr:uid="{00000000-0005-0000-0000-0000E8250000}"/>
    <cellStyle name="Normal 13 14" xfId="9722" xr:uid="{00000000-0005-0000-0000-0000E9250000}"/>
    <cellStyle name="Normal 13 15" xfId="9723" xr:uid="{00000000-0005-0000-0000-0000EA250000}"/>
    <cellStyle name="Normal 13 16" xfId="9724" xr:uid="{00000000-0005-0000-0000-0000EB250000}"/>
    <cellStyle name="Normal 13 17" xfId="9725" xr:uid="{00000000-0005-0000-0000-0000EC250000}"/>
    <cellStyle name="Normal 13 2" xfId="9726" xr:uid="{00000000-0005-0000-0000-0000ED250000}"/>
    <cellStyle name="Normal 13 2 10" xfId="9727" xr:uid="{00000000-0005-0000-0000-0000EE250000}"/>
    <cellStyle name="Normal 13 2 10 2" xfId="9728" xr:uid="{00000000-0005-0000-0000-0000EF250000}"/>
    <cellStyle name="Normal 13 2 10 3" xfId="9729" xr:uid="{00000000-0005-0000-0000-0000F0250000}"/>
    <cellStyle name="Normal 13 2 10 4" xfId="9730" xr:uid="{00000000-0005-0000-0000-0000F1250000}"/>
    <cellStyle name="Normal 13 2 10 5" xfId="9731" xr:uid="{00000000-0005-0000-0000-0000F2250000}"/>
    <cellStyle name="Normal 13 2 10 6" xfId="9732" xr:uid="{00000000-0005-0000-0000-0000F3250000}"/>
    <cellStyle name="Normal 13 2 11" xfId="9733" xr:uid="{00000000-0005-0000-0000-0000F4250000}"/>
    <cellStyle name="Normal 13 2 12" xfId="9734" xr:uid="{00000000-0005-0000-0000-0000F5250000}"/>
    <cellStyle name="Normal 13 2 13" xfId="9735" xr:uid="{00000000-0005-0000-0000-0000F6250000}"/>
    <cellStyle name="Normal 13 2 14" xfId="9736" xr:uid="{00000000-0005-0000-0000-0000F7250000}"/>
    <cellStyle name="Normal 13 2 15" xfId="9737" xr:uid="{00000000-0005-0000-0000-0000F8250000}"/>
    <cellStyle name="Normal 13 2 2" xfId="9738" xr:uid="{00000000-0005-0000-0000-0000F9250000}"/>
    <cellStyle name="Normal 13 2 2 10" xfId="9739" xr:uid="{00000000-0005-0000-0000-0000FA250000}"/>
    <cellStyle name="Normal 13 2 2 11" xfId="9740" xr:uid="{00000000-0005-0000-0000-0000FB250000}"/>
    <cellStyle name="Normal 13 2 2 12" xfId="9741" xr:uid="{00000000-0005-0000-0000-0000FC250000}"/>
    <cellStyle name="Normal 13 2 2 13" xfId="9742" xr:uid="{00000000-0005-0000-0000-0000FD250000}"/>
    <cellStyle name="Normal 13 2 2 14" xfId="9743" xr:uid="{00000000-0005-0000-0000-0000FE250000}"/>
    <cellStyle name="Normal 13 2 2 2" xfId="9744" xr:uid="{00000000-0005-0000-0000-0000FF250000}"/>
    <cellStyle name="Normal 13 2 2 2 10" xfId="9745" xr:uid="{00000000-0005-0000-0000-000000260000}"/>
    <cellStyle name="Normal 13 2 2 2 11" xfId="9746" xr:uid="{00000000-0005-0000-0000-000001260000}"/>
    <cellStyle name="Normal 13 2 2 2 12" xfId="9747" xr:uid="{00000000-0005-0000-0000-000002260000}"/>
    <cellStyle name="Normal 13 2 2 2 2" xfId="9748" xr:uid="{00000000-0005-0000-0000-000003260000}"/>
    <cellStyle name="Normal 13 2 2 2 2 10" xfId="9749" xr:uid="{00000000-0005-0000-0000-000004260000}"/>
    <cellStyle name="Normal 13 2 2 2 2 11" xfId="9750" xr:uid="{00000000-0005-0000-0000-000005260000}"/>
    <cellStyle name="Normal 13 2 2 2 2 2" xfId="9751" xr:uid="{00000000-0005-0000-0000-000006260000}"/>
    <cellStyle name="Normal 13 2 2 2 2 2 2" xfId="9752" xr:uid="{00000000-0005-0000-0000-000007260000}"/>
    <cellStyle name="Normal 13 2 2 2 2 2 2 2" xfId="9753" xr:uid="{00000000-0005-0000-0000-000008260000}"/>
    <cellStyle name="Normal 13 2 2 2 2 2 2 3" xfId="9754" xr:uid="{00000000-0005-0000-0000-000009260000}"/>
    <cellStyle name="Normal 13 2 2 2 2 2 2 4" xfId="9755" xr:uid="{00000000-0005-0000-0000-00000A260000}"/>
    <cellStyle name="Normal 13 2 2 2 2 2 2 5" xfId="9756" xr:uid="{00000000-0005-0000-0000-00000B260000}"/>
    <cellStyle name="Normal 13 2 2 2 2 2 2 6" xfId="9757" xr:uid="{00000000-0005-0000-0000-00000C260000}"/>
    <cellStyle name="Normal 13 2 2 2 2 2 3" xfId="9758" xr:uid="{00000000-0005-0000-0000-00000D260000}"/>
    <cellStyle name="Normal 13 2 2 2 2 2 3 2" xfId="9759" xr:uid="{00000000-0005-0000-0000-00000E260000}"/>
    <cellStyle name="Normal 13 2 2 2 2 2 3 3" xfId="9760" xr:uid="{00000000-0005-0000-0000-00000F260000}"/>
    <cellStyle name="Normal 13 2 2 2 2 2 3 4" xfId="9761" xr:uid="{00000000-0005-0000-0000-000010260000}"/>
    <cellStyle name="Normal 13 2 2 2 2 2 3 5" xfId="9762" xr:uid="{00000000-0005-0000-0000-000011260000}"/>
    <cellStyle name="Normal 13 2 2 2 2 2 3 6" xfId="9763" xr:uid="{00000000-0005-0000-0000-000012260000}"/>
    <cellStyle name="Normal 13 2 2 2 2 2 4" xfId="9764" xr:uid="{00000000-0005-0000-0000-000013260000}"/>
    <cellStyle name="Normal 13 2 2 2 2 2 5" xfId="9765" xr:uid="{00000000-0005-0000-0000-000014260000}"/>
    <cellStyle name="Normal 13 2 2 2 2 2 6" xfId="9766" xr:uid="{00000000-0005-0000-0000-000015260000}"/>
    <cellStyle name="Normal 13 2 2 2 2 2 7" xfId="9767" xr:uid="{00000000-0005-0000-0000-000016260000}"/>
    <cellStyle name="Normal 13 2 2 2 2 2 8" xfId="9768" xr:uid="{00000000-0005-0000-0000-000017260000}"/>
    <cellStyle name="Normal 13 2 2 2 2 3" xfId="9769" xr:uid="{00000000-0005-0000-0000-000018260000}"/>
    <cellStyle name="Normal 13 2 2 2 2 3 2" xfId="9770" xr:uid="{00000000-0005-0000-0000-000019260000}"/>
    <cellStyle name="Normal 13 2 2 2 2 3 2 2" xfId="9771" xr:uid="{00000000-0005-0000-0000-00001A260000}"/>
    <cellStyle name="Normal 13 2 2 2 2 3 2 3" xfId="9772" xr:uid="{00000000-0005-0000-0000-00001B260000}"/>
    <cellStyle name="Normal 13 2 2 2 2 3 2 4" xfId="9773" xr:uid="{00000000-0005-0000-0000-00001C260000}"/>
    <cellStyle name="Normal 13 2 2 2 2 3 2 5" xfId="9774" xr:uid="{00000000-0005-0000-0000-00001D260000}"/>
    <cellStyle name="Normal 13 2 2 2 2 3 2 6" xfId="9775" xr:uid="{00000000-0005-0000-0000-00001E260000}"/>
    <cellStyle name="Normal 13 2 2 2 2 3 3" xfId="9776" xr:uid="{00000000-0005-0000-0000-00001F260000}"/>
    <cellStyle name="Normal 13 2 2 2 2 3 3 2" xfId="9777" xr:uid="{00000000-0005-0000-0000-000020260000}"/>
    <cellStyle name="Normal 13 2 2 2 2 3 3 3" xfId="9778" xr:uid="{00000000-0005-0000-0000-000021260000}"/>
    <cellStyle name="Normal 13 2 2 2 2 3 3 4" xfId="9779" xr:uid="{00000000-0005-0000-0000-000022260000}"/>
    <cellStyle name="Normal 13 2 2 2 2 3 3 5" xfId="9780" xr:uid="{00000000-0005-0000-0000-000023260000}"/>
    <cellStyle name="Normal 13 2 2 2 2 3 3 6" xfId="9781" xr:uid="{00000000-0005-0000-0000-000024260000}"/>
    <cellStyle name="Normal 13 2 2 2 2 3 4" xfId="9782" xr:uid="{00000000-0005-0000-0000-000025260000}"/>
    <cellStyle name="Normal 13 2 2 2 2 3 5" xfId="9783" xr:uid="{00000000-0005-0000-0000-000026260000}"/>
    <cellStyle name="Normal 13 2 2 2 2 3 6" xfId="9784" xr:uid="{00000000-0005-0000-0000-000027260000}"/>
    <cellStyle name="Normal 13 2 2 2 2 3 7" xfId="9785" xr:uid="{00000000-0005-0000-0000-000028260000}"/>
    <cellStyle name="Normal 13 2 2 2 2 3 8" xfId="9786" xr:uid="{00000000-0005-0000-0000-000029260000}"/>
    <cellStyle name="Normal 13 2 2 2 2 4" xfId="9787" xr:uid="{00000000-0005-0000-0000-00002A260000}"/>
    <cellStyle name="Normal 13 2 2 2 2 4 2" xfId="9788" xr:uid="{00000000-0005-0000-0000-00002B260000}"/>
    <cellStyle name="Normal 13 2 2 2 2 4 2 2" xfId="9789" xr:uid="{00000000-0005-0000-0000-00002C260000}"/>
    <cellStyle name="Normal 13 2 2 2 2 4 2 3" xfId="9790" xr:uid="{00000000-0005-0000-0000-00002D260000}"/>
    <cellStyle name="Normal 13 2 2 2 2 4 2 4" xfId="9791" xr:uid="{00000000-0005-0000-0000-00002E260000}"/>
    <cellStyle name="Normal 13 2 2 2 2 4 2 5" xfId="9792" xr:uid="{00000000-0005-0000-0000-00002F260000}"/>
    <cellStyle name="Normal 13 2 2 2 2 4 2 6" xfId="9793" xr:uid="{00000000-0005-0000-0000-000030260000}"/>
    <cellStyle name="Normal 13 2 2 2 2 4 3" xfId="9794" xr:uid="{00000000-0005-0000-0000-000031260000}"/>
    <cellStyle name="Normal 13 2 2 2 2 4 3 2" xfId="9795" xr:uid="{00000000-0005-0000-0000-000032260000}"/>
    <cellStyle name="Normal 13 2 2 2 2 4 3 3" xfId="9796" xr:uid="{00000000-0005-0000-0000-000033260000}"/>
    <cellStyle name="Normal 13 2 2 2 2 4 3 4" xfId="9797" xr:uid="{00000000-0005-0000-0000-000034260000}"/>
    <cellStyle name="Normal 13 2 2 2 2 4 3 5" xfId="9798" xr:uid="{00000000-0005-0000-0000-000035260000}"/>
    <cellStyle name="Normal 13 2 2 2 2 4 3 6" xfId="9799" xr:uid="{00000000-0005-0000-0000-000036260000}"/>
    <cellStyle name="Normal 13 2 2 2 2 4 4" xfId="9800" xr:uid="{00000000-0005-0000-0000-000037260000}"/>
    <cellStyle name="Normal 13 2 2 2 2 4 5" xfId="9801" xr:uid="{00000000-0005-0000-0000-000038260000}"/>
    <cellStyle name="Normal 13 2 2 2 2 4 6" xfId="9802" xr:uid="{00000000-0005-0000-0000-000039260000}"/>
    <cellStyle name="Normal 13 2 2 2 2 4 7" xfId="9803" xr:uid="{00000000-0005-0000-0000-00003A260000}"/>
    <cellStyle name="Normal 13 2 2 2 2 4 8" xfId="9804" xr:uid="{00000000-0005-0000-0000-00003B260000}"/>
    <cellStyle name="Normal 13 2 2 2 2 5" xfId="9805" xr:uid="{00000000-0005-0000-0000-00003C260000}"/>
    <cellStyle name="Normal 13 2 2 2 2 5 2" xfId="9806" xr:uid="{00000000-0005-0000-0000-00003D260000}"/>
    <cellStyle name="Normal 13 2 2 2 2 5 3" xfId="9807" xr:uid="{00000000-0005-0000-0000-00003E260000}"/>
    <cellStyle name="Normal 13 2 2 2 2 5 4" xfId="9808" xr:uid="{00000000-0005-0000-0000-00003F260000}"/>
    <cellStyle name="Normal 13 2 2 2 2 5 5" xfId="9809" xr:uid="{00000000-0005-0000-0000-000040260000}"/>
    <cellStyle name="Normal 13 2 2 2 2 5 6" xfId="9810" xr:uid="{00000000-0005-0000-0000-000041260000}"/>
    <cellStyle name="Normal 13 2 2 2 2 6" xfId="9811" xr:uid="{00000000-0005-0000-0000-000042260000}"/>
    <cellStyle name="Normal 13 2 2 2 2 6 2" xfId="9812" xr:uid="{00000000-0005-0000-0000-000043260000}"/>
    <cellStyle name="Normal 13 2 2 2 2 6 3" xfId="9813" xr:uid="{00000000-0005-0000-0000-000044260000}"/>
    <cellStyle name="Normal 13 2 2 2 2 6 4" xfId="9814" xr:uid="{00000000-0005-0000-0000-000045260000}"/>
    <cellStyle name="Normal 13 2 2 2 2 6 5" xfId="9815" xr:uid="{00000000-0005-0000-0000-000046260000}"/>
    <cellStyle name="Normal 13 2 2 2 2 6 6" xfId="9816" xr:uid="{00000000-0005-0000-0000-000047260000}"/>
    <cellStyle name="Normal 13 2 2 2 2 7" xfId="9817" xr:uid="{00000000-0005-0000-0000-000048260000}"/>
    <cellStyle name="Normal 13 2 2 2 2 8" xfId="9818" xr:uid="{00000000-0005-0000-0000-000049260000}"/>
    <cellStyle name="Normal 13 2 2 2 2 9" xfId="9819" xr:uid="{00000000-0005-0000-0000-00004A260000}"/>
    <cellStyle name="Normal 13 2 2 2 3" xfId="9820" xr:uid="{00000000-0005-0000-0000-00004B260000}"/>
    <cellStyle name="Normal 13 2 2 2 3 2" xfId="9821" xr:uid="{00000000-0005-0000-0000-00004C260000}"/>
    <cellStyle name="Normal 13 2 2 2 3 2 2" xfId="9822" xr:uid="{00000000-0005-0000-0000-00004D260000}"/>
    <cellStyle name="Normal 13 2 2 2 3 2 3" xfId="9823" xr:uid="{00000000-0005-0000-0000-00004E260000}"/>
    <cellStyle name="Normal 13 2 2 2 3 2 4" xfId="9824" xr:uid="{00000000-0005-0000-0000-00004F260000}"/>
    <cellStyle name="Normal 13 2 2 2 3 2 5" xfId="9825" xr:uid="{00000000-0005-0000-0000-000050260000}"/>
    <cellStyle name="Normal 13 2 2 2 3 2 6" xfId="9826" xr:uid="{00000000-0005-0000-0000-000051260000}"/>
    <cellStyle name="Normal 13 2 2 2 3 3" xfId="9827" xr:uid="{00000000-0005-0000-0000-000052260000}"/>
    <cellStyle name="Normal 13 2 2 2 3 3 2" xfId="9828" xr:uid="{00000000-0005-0000-0000-000053260000}"/>
    <cellStyle name="Normal 13 2 2 2 3 3 3" xfId="9829" xr:uid="{00000000-0005-0000-0000-000054260000}"/>
    <cellStyle name="Normal 13 2 2 2 3 3 4" xfId="9830" xr:uid="{00000000-0005-0000-0000-000055260000}"/>
    <cellStyle name="Normal 13 2 2 2 3 3 5" xfId="9831" xr:uid="{00000000-0005-0000-0000-000056260000}"/>
    <cellStyle name="Normal 13 2 2 2 3 3 6" xfId="9832" xr:uid="{00000000-0005-0000-0000-000057260000}"/>
    <cellStyle name="Normal 13 2 2 2 3 4" xfId="9833" xr:uid="{00000000-0005-0000-0000-000058260000}"/>
    <cellStyle name="Normal 13 2 2 2 3 5" xfId="9834" xr:uid="{00000000-0005-0000-0000-000059260000}"/>
    <cellStyle name="Normal 13 2 2 2 3 6" xfId="9835" xr:uid="{00000000-0005-0000-0000-00005A260000}"/>
    <cellStyle name="Normal 13 2 2 2 3 7" xfId="9836" xr:uid="{00000000-0005-0000-0000-00005B260000}"/>
    <cellStyle name="Normal 13 2 2 2 3 8" xfId="9837" xr:uid="{00000000-0005-0000-0000-00005C260000}"/>
    <cellStyle name="Normal 13 2 2 2 4" xfId="9838" xr:uid="{00000000-0005-0000-0000-00005D260000}"/>
    <cellStyle name="Normal 13 2 2 2 4 2" xfId="9839" xr:uid="{00000000-0005-0000-0000-00005E260000}"/>
    <cellStyle name="Normal 13 2 2 2 4 2 2" xfId="9840" xr:uid="{00000000-0005-0000-0000-00005F260000}"/>
    <cellStyle name="Normal 13 2 2 2 4 2 3" xfId="9841" xr:uid="{00000000-0005-0000-0000-000060260000}"/>
    <cellStyle name="Normal 13 2 2 2 4 2 4" xfId="9842" xr:uid="{00000000-0005-0000-0000-000061260000}"/>
    <cellStyle name="Normal 13 2 2 2 4 2 5" xfId="9843" xr:uid="{00000000-0005-0000-0000-000062260000}"/>
    <cellStyle name="Normal 13 2 2 2 4 2 6" xfId="9844" xr:uid="{00000000-0005-0000-0000-000063260000}"/>
    <cellStyle name="Normal 13 2 2 2 4 3" xfId="9845" xr:uid="{00000000-0005-0000-0000-000064260000}"/>
    <cellStyle name="Normal 13 2 2 2 4 3 2" xfId="9846" xr:uid="{00000000-0005-0000-0000-000065260000}"/>
    <cellStyle name="Normal 13 2 2 2 4 3 3" xfId="9847" xr:uid="{00000000-0005-0000-0000-000066260000}"/>
    <cellStyle name="Normal 13 2 2 2 4 3 4" xfId="9848" xr:uid="{00000000-0005-0000-0000-000067260000}"/>
    <cellStyle name="Normal 13 2 2 2 4 3 5" xfId="9849" xr:uid="{00000000-0005-0000-0000-000068260000}"/>
    <cellStyle name="Normal 13 2 2 2 4 3 6" xfId="9850" xr:uid="{00000000-0005-0000-0000-000069260000}"/>
    <cellStyle name="Normal 13 2 2 2 4 4" xfId="9851" xr:uid="{00000000-0005-0000-0000-00006A260000}"/>
    <cellStyle name="Normal 13 2 2 2 4 5" xfId="9852" xr:uid="{00000000-0005-0000-0000-00006B260000}"/>
    <cellStyle name="Normal 13 2 2 2 4 6" xfId="9853" xr:uid="{00000000-0005-0000-0000-00006C260000}"/>
    <cellStyle name="Normal 13 2 2 2 4 7" xfId="9854" xr:uid="{00000000-0005-0000-0000-00006D260000}"/>
    <cellStyle name="Normal 13 2 2 2 4 8" xfId="9855" xr:uid="{00000000-0005-0000-0000-00006E260000}"/>
    <cellStyle name="Normal 13 2 2 2 5" xfId="9856" xr:uid="{00000000-0005-0000-0000-00006F260000}"/>
    <cellStyle name="Normal 13 2 2 2 5 2" xfId="9857" xr:uid="{00000000-0005-0000-0000-000070260000}"/>
    <cellStyle name="Normal 13 2 2 2 5 2 2" xfId="9858" xr:uid="{00000000-0005-0000-0000-000071260000}"/>
    <cellStyle name="Normal 13 2 2 2 5 2 3" xfId="9859" xr:uid="{00000000-0005-0000-0000-000072260000}"/>
    <cellStyle name="Normal 13 2 2 2 5 2 4" xfId="9860" xr:uid="{00000000-0005-0000-0000-000073260000}"/>
    <cellStyle name="Normal 13 2 2 2 5 2 5" xfId="9861" xr:uid="{00000000-0005-0000-0000-000074260000}"/>
    <cellStyle name="Normal 13 2 2 2 5 2 6" xfId="9862" xr:uid="{00000000-0005-0000-0000-000075260000}"/>
    <cellStyle name="Normal 13 2 2 2 5 3" xfId="9863" xr:uid="{00000000-0005-0000-0000-000076260000}"/>
    <cellStyle name="Normal 13 2 2 2 5 3 2" xfId="9864" xr:uid="{00000000-0005-0000-0000-000077260000}"/>
    <cellStyle name="Normal 13 2 2 2 5 3 3" xfId="9865" xr:uid="{00000000-0005-0000-0000-000078260000}"/>
    <cellStyle name="Normal 13 2 2 2 5 3 4" xfId="9866" xr:uid="{00000000-0005-0000-0000-000079260000}"/>
    <cellStyle name="Normal 13 2 2 2 5 3 5" xfId="9867" xr:uid="{00000000-0005-0000-0000-00007A260000}"/>
    <cellStyle name="Normal 13 2 2 2 5 3 6" xfId="9868" xr:uid="{00000000-0005-0000-0000-00007B260000}"/>
    <cellStyle name="Normal 13 2 2 2 5 4" xfId="9869" xr:uid="{00000000-0005-0000-0000-00007C260000}"/>
    <cellStyle name="Normal 13 2 2 2 5 5" xfId="9870" xr:uid="{00000000-0005-0000-0000-00007D260000}"/>
    <cellStyle name="Normal 13 2 2 2 5 6" xfId="9871" xr:uid="{00000000-0005-0000-0000-00007E260000}"/>
    <cellStyle name="Normal 13 2 2 2 5 7" xfId="9872" xr:uid="{00000000-0005-0000-0000-00007F260000}"/>
    <cellStyle name="Normal 13 2 2 2 5 8" xfId="9873" xr:uid="{00000000-0005-0000-0000-000080260000}"/>
    <cellStyle name="Normal 13 2 2 2 6" xfId="9874" xr:uid="{00000000-0005-0000-0000-000081260000}"/>
    <cellStyle name="Normal 13 2 2 2 6 2" xfId="9875" xr:uid="{00000000-0005-0000-0000-000082260000}"/>
    <cellStyle name="Normal 13 2 2 2 6 3" xfId="9876" xr:uid="{00000000-0005-0000-0000-000083260000}"/>
    <cellStyle name="Normal 13 2 2 2 6 4" xfId="9877" xr:uid="{00000000-0005-0000-0000-000084260000}"/>
    <cellStyle name="Normal 13 2 2 2 6 5" xfId="9878" xr:uid="{00000000-0005-0000-0000-000085260000}"/>
    <cellStyle name="Normal 13 2 2 2 6 6" xfId="9879" xr:uid="{00000000-0005-0000-0000-000086260000}"/>
    <cellStyle name="Normal 13 2 2 2 7" xfId="9880" xr:uid="{00000000-0005-0000-0000-000087260000}"/>
    <cellStyle name="Normal 13 2 2 2 7 2" xfId="9881" xr:uid="{00000000-0005-0000-0000-000088260000}"/>
    <cellStyle name="Normal 13 2 2 2 7 3" xfId="9882" xr:uid="{00000000-0005-0000-0000-000089260000}"/>
    <cellStyle name="Normal 13 2 2 2 7 4" xfId="9883" xr:uid="{00000000-0005-0000-0000-00008A260000}"/>
    <cellStyle name="Normal 13 2 2 2 7 5" xfId="9884" xr:uid="{00000000-0005-0000-0000-00008B260000}"/>
    <cellStyle name="Normal 13 2 2 2 7 6" xfId="9885" xr:uid="{00000000-0005-0000-0000-00008C260000}"/>
    <cellStyle name="Normal 13 2 2 2 8" xfId="9886" xr:uid="{00000000-0005-0000-0000-00008D260000}"/>
    <cellStyle name="Normal 13 2 2 2 9" xfId="9887" xr:uid="{00000000-0005-0000-0000-00008E260000}"/>
    <cellStyle name="Normal 13 2 2 3" xfId="9888" xr:uid="{00000000-0005-0000-0000-00008F260000}"/>
    <cellStyle name="Normal 13 2 2 3 10" xfId="9889" xr:uid="{00000000-0005-0000-0000-000090260000}"/>
    <cellStyle name="Normal 13 2 2 3 11" xfId="9890" xr:uid="{00000000-0005-0000-0000-000091260000}"/>
    <cellStyle name="Normal 13 2 2 3 12" xfId="9891" xr:uid="{00000000-0005-0000-0000-000092260000}"/>
    <cellStyle name="Normal 13 2 2 3 2" xfId="9892" xr:uid="{00000000-0005-0000-0000-000093260000}"/>
    <cellStyle name="Normal 13 2 2 3 2 10" xfId="9893" xr:uid="{00000000-0005-0000-0000-000094260000}"/>
    <cellStyle name="Normal 13 2 2 3 2 11" xfId="9894" xr:uid="{00000000-0005-0000-0000-000095260000}"/>
    <cellStyle name="Normal 13 2 2 3 2 2" xfId="9895" xr:uid="{00000000-0005-0000-0000-000096260000}"/>
    <cellStyle name="Normal 13 2 2 3 2 2 2" xfId="9896" xr:uid="{00000000-0005-0000-0000-000097260000}"/>
    <cellStyle name="Normal 13 2 2 3 2 2 2 2" xfId="9897" xr:uid="{00000000-0005-0000-0000-000098260000}"/>
    <cellStyle name="Normal 13 2 2 3 2 2 2 3" xfId="9898" xr:uid="{00000000-0005-0000-0000-000099260000}"/>
    <cellStyle name="Normal 13 2 2 3 2 2 2 4" xfId="9899" xr:uid="{00000000-0005-0000-0000-00009A260000}"/>
    <cellStyle name="Normal 13 2 2 3 2 2 2 5" xfId="9900" xr:uid="{00000000-0005-0000-0000-00009B260000}"/>
    <cellStyle name="Normal 13 2 2 3 2 2 2 6" xfId="9901" xr:uid="{00000000-0005-0000-0000-00009C260000}"/>
    <cellStyle name="Normal 13 2 2 3 2 2 3" xfId="9902" xr:uid="{00000000-0005-0000-0000-00009D260000}"/>
    <cellStyle name="Normal 13 2 2 3 2 2 3 2" xfId="9903" xr:uid="{00000000-0005-0000-0000-00009E260000}"/>
    <cellStyle name="Normal 13 2 2 3 2 2 3 3" xfId="9904" xr:uid="{00000000-0005-0000-0000-00009F260000}"/>
    <cellStyle name="Normal 13 2 2 3 2 2 3 4" xfId="9905" xr:uid="{00000000-0005-0000-0000-0000A0260000}"/>
    <cellStyle name="Normal 13 2 2 3 2 2 3 5" xfId="9906" xr:uid="{00000000-0005-0000-0000-0000A1260000}"/>
    <cellStyle name="Normal 13 2 2 3 2 2 3 6" xfId="9907" xr:uid="{00000000-0005-0000-0000-0000A2260000}"/>
    <cellStyle name="Normal 13 2 2 3 2 2 4" xfId="9908" xr:uid="{00000000-0005-0000-0000-0000A3260000}"/>
    <cellStyle name="Normal 13 2 2 3 2 2 5" xfId="9909" xr:uid="{00000000-0005-0000-0000-0000A4260000}"/>
    <cellStyle name="Normal 13 2 2 3 2 2 6" xfId="9910" xr:uid="{00000000-0005-0000-0000-0000A5260000}"/>
    <cellStyle name="Normal 13 2 2 3 2 2 7" xfId="9911" xr:uid="{00000000-0005-0000-0000-0000A6260000}"/>
    <cellStyle name="Normal 13 2 2 3 2 2 8" xfId="9912" xr:uid="{00000000-0005-0000-0000-0000A7260000}"/>
    <cellStyle name="Normal 13 2 2 3 2 3" xfId="9913" xr:uid="{00000000-0005-0000-0000-0000A8260000}"/>
    <cellStyle name="Normal 13 2 2 3 2 3 2" xfId="9914" xr:uid="{00000000-0005-0000-0000-0000A9260000}"/>
    <cellStyle name="Normal 13 2 2 3 2 3 2 2" xfId="9915" xr:uid="{00000000-0005-0000-0000-0000AA260000}"/>
    <cellStyle name="Normal 13 2 2 3 2 3 2 3" xfId="9916" xr:uid="{00000000-0005-0000-0000-0000AB260000}"/>
    <cellStyle name="Normal 13 2 2 3 2 3 2 4" xfId="9917" xr:uid="{00000000-0005-0000-0000-0000AC260000}"/>
    <cellStyle name="Normal 13 2 2 3 2 3 2 5" xfId="9918" xr:uid="{00000000-0005-0000-0000-0000AD260000}"/>
    <cellStyle name="Normal 13 2 2 3 2 3 2 6" xfId="9919" xr:uid="{00000000-0005-0000-0000-0000AE260000}"/>
    <cellStyle name="Normal 13 2 2 3 2 3 3" xfId="9920" xr:uid="{00000000-0005-0000-0000-0000AF260000}"/>
    <cellStyle name="Normal 13 2 2 3 2 3 3 2" xfId="9921" xr:uid="{00000000-0005-0000-0000-0000B0260000}"/>
    <cellStyle name="Normal 13 2 2 3 2 3 3 3" xfId="9922" xr:uid="{00000000-0005-0000-0000-0000B1260000}"/>
    <cellStyle name="Normal 13 2 2 3 2 3 3 4" xfId="9923" xr:uid="{00000000-0005-0000-0000-0000B2260000}"/>
    <cellStyle name="Normal 13 2 2 3 2 3 3 5" xfId="9924" xr:uid="{00000000-0005-0000-0000-0000B3260000}"/>
    <cellStyle name="Normal 13 2 2 3 2 3 3 6" xfId="9925" xr:uid="{00000000-0005-0000-0000-0000B4260000}"/>
    <cellStyle name="Normal 13 2 2 3 2 3 4" xfId="9926" xr:uid="{00000000-0005-0000-0000-0000B5260000}"/>
    <cellStyle name="Normal 13 2 2 3 2 3 5" xfId="9927" xr:uid="{00000000-0005-0000-0000-0000B6260000}"/>
    <cellStyle name="Normal 13 2 2 3 2 3 6" xfId="9928" xr:uid="{00000000-0005-0000-0000-0000B7260000}"/>
    <cellStyle name="Normal 13 2 2 3 2 3 7" xfId="9929" xr:uid="{00000000-0005-0000-0000-0000B8260000}"/>
    <cellStyle name="Normal 13 2 2 3 2 3 8" xfId="9930" xr:uid="{00000000-0005-0000-0000-0000B9260000}"/>
    <cellStyle name="Normal 13 2 2 3 2 4" xfId="9931" xr:uid="{00000000-0005-0000-0000-0000BA260000}"/>
    <cellStyle name="Normal 13 2 2 3 2 4 2" xfId="9932" xr:uid="{00000000-0005-0000-0000-0000BB260000}"/>
    <cellStyle name="Normal 13 2 2 3 2 4 2 2" xfId="9933" xr:uid="{00000000-0005-0000-0000-0000BC260000}"/>
    <cellStyle name="Normal 13 2 2 3 2 4 2 3" xfId="9934" xr:uid="{00000000-0005-0000-0000-0000BD260000}"/>
    <cellStyle name="Normal 13 2 2 3 2 4 2 4" xfId="9935" xr:uid="{00000000-0005-0000-0000-0000BE260000}"/>
    <cellStyle name="Normal 13 2 2 3 2 4 2 5" xfId="9936" xr:uid="{00000000-0005-0000-0000-0000BF260000}"/>
    <cellStyle name="Normal 13 2 2 3 2 4 2 6" xfId="9937" xr:uid="{00000000-0005-0000-0000-0000C0260000}"/>
    <cellStyle name="Normal 13 2 2 3 2 4 3" xfId="9938" xr:uid="{00000000-0005-0000-0000-0000C1260000}"/>
    <cellStyle name="Normal 13 2 2 3 2 4 3 2" xfId="9939" xr:uid="{00000000-0005-0000-0000-0000C2260000}"/>
    <cellStyle name="Normal 13 2 2 3 2 4 3 3" xfId="9940" xr:uid="{00000000-0005-0000-0000-0000C3260000}"/>
    <cellStyle name="Normal 13 2 2 3 2 4 3 4" xfId="9941" xr:uid="{00000000-0005-0000-0000-0000C4260000}"/>
    <cellStyle name="Normal 13 2 2 3 2 4 3 5" xfId="9942" xr:uid="{00000000-0005-0000-0000-0000C5260000}"/>
    <cellStyle name="Normal 13 2 2 3 2 4 3 6" xfId="9943" xr:uid="{00000000-0005-0000-0000-0000C6260000}"/>
    <cellStyle name="Normal 13 2 2 3 2 4 4" xfId="9944" xr:uid="{00000000-0005-0000-0000-0000C7260000}"/>
    <cellStyle name="Normal 13 2 2 3 2 4 5" xfId="9945" xr:uid="{00000000-0005-0000-0000-0000C8260000}"/>
    <cellStyle name="Normal 13 2 2 3 2 4 6" xfId="9946" xr:uid="{00000000-0005-0000-0000-0000C9260000}"/>
    <cellStyle name="Normal 13 2 2 3 2 4 7" xfId="9947" xr:uid="{00000000-0005-0000-0000-0000CA260000}"/>
    <cellStyle name="Normal 13 2 2 3 2 4 8" xfId="9948" xr:uid="{00000000-0005-0000-0000-0000CB260000}"/>
    <cellStyle name="Normal 13 2 2 3 2 5" xfId="9949" xr:uid="{00000000-0005-0000-0000-0000CC260000}"/>
    <cellStyle name="Normal 13 2 2 3 2 5 2" xfId="9950" xr:uid="{00000000-0005-0000-0000-0000CD260000}"/>
    <cellStyle name="Normal 13 2 2 3 2 5 3" xfId="9951" xr:uid="{00000000-0005-0000-0000-0000CE260000}"/>
    <cellStyle name="Normal 13 2 2 3 2 5 4" xfId="9952" xr:uid="{00000000-0005-0000-0000-0000CF260000}"/>
    <cellStyle name="Normal 13 2 2 3 2 5 5" xfId="9953" xr:uid="{00000000-0005-0000-0000-0000D0260000}"/>
    <cellStyle name="Normal 13 2 2 3 2 5 6" xfId="9954" xr:uid="{00000000-0005-0000-0000-0000D1260000}"/>
    <cellStyle name="Normal 13 2 2 3 2 6" xfId="9955" xr:uid="{00000000-0005-0000-0000-0000D2260000}"/>
    <cellStyle name="Normal 13 2 2 3 2 6 2" xfId="9956" xr:uid="{00000000-0005-0000-0000-0000D3260000}"/>
    <cellStyle name="Normal 13 2 2 3 2 6 3" xfId="9957" xr:uid="{00000000-0005-0000-0000-0000D4260000}"/>
    <cellStyle name="Normal 13 2 2 3 2 6 4" xfId="9958" xr:uid="{00000000-0005-0000-0000-0000D5260000}"/>
    <cellStyle name="Normal 13 2 2 3 2 6 5" xfId="9959" xr:uid="{00000000-0005-0000-0000-0000D6260000}"/>
    <cellStyle name="Normal 13 2 2 3 2 6 6" xfId="9960" xr:uid="{00000000-0005-0000-0000-0000D7260000}"/>
    <cellStyle name="Normal 13 2 2 3 2 7" xfId="9961" xr:uid="{00000000-0005-0000-0000-0000D8260000}"/>
    <cellStyle name="Normal 13 2 2 3 2 8" xfId="9962" xr:uid="{00000000-0005-0000-0000-0000D9260000}"/>
    <cellStyle name="Normal 13 2 2 3 2 9" xfId="9963" xr:uid="{00000000-0005-0000-0000-0000DA260000}"/>
    <cellStyle name="Normal 13 2 2 3 3" xfId="9964" xr:uid="{00000000-0005-0000-0000-0000DB260000}"/>
    <cellStyle name="Normal 13 2 2 3 3 2" xfId="9965" xr:uid="{00000000-0005-0000-0000-0000DC260000}"/>
    <cellStyle name="Normal 13 2 2 3 3 2 2" xfId="9966" xr:uid="{00000000-0005-0000-0000-0000DD260000}"/>
    <cellStyle name="Normal 13 2 2 3 3 2 3" xfId="9967" xr:uid="{00000000-0005-0000-0000-0000DE260000}"/>
    <cellStyle name="Normal 13 2 2 3 3 2 4" xfId="9968" xr:uid="{00000000-0005-0000-0000-0000DF260000}"/>
    <cellStyle name="Normal 13 2 2 3 3 2 5" xfId="9969" xr:uid="{00000000-0005-0000-0000-0000E0260000}"/>
    <cellStyle name="Normal 13 2 2 3 3 2 6" xfId="9970" xr:uid="{00000000-0005-0000-0000-0000E1260000}"/>
    <cellStyle name="Normal 13 2 2 3 3 3" xfId="9971" xr:uid="{00000000-0005-0000-0000-0000E2260000}"/>
    <cellStyle name="Normal 13 2 2 3 3 3 2" xfId="9972" xr:uid="{00000000-0005-0000-0000-0000E3260000}"/>
    <cellStyle name="Normal 13 2 2 3 3 3 3" xfId="9973" xr:uid="{00000000-0005-0000-0000-0000E4260000}"/>
    <cellStyle name="Normal 13 2 2 3 3 3 4" xfId="9974" xr:uid="{00000000-0005-0000-0000-0000E5260000}"/>
    <cellStyle name="Normal 13 2 2 3 3 3 5" xfId="9975" xr:uid="{00000000-0005-0000-0000-0000E6260000}"/>
    <cellStyle name="Normal 13 2 2 3 3 3 6" xfId="9976" xr:uid="{00000000-0005-0000-0000-0000E7260000}"/>
    <cellStyle name="Normal 13 2 2 3 3 4" xfId="9977" xr:uid="{00000000-0005-0000-0000-0000E8260000}"/>
    <cellStyle name="Normal 13 2 2 3 3 5" xfId="9978" xr:uid="{00000000-0005-0000-0000-0000E9260000}"/>
    <cellStyle name="Normal 13 2 2 3 3 6" xfId="9979" xr:uid="{00000000-0005-0000-0000-0000EA260000}"/>
    <cellStyle name="Normal 13 2 2 3 3 7" xfId="9980" xr:uid="{00000000-0005-0000-0000-0000EB260000}"/>
    <cellStyle name="Normal 13 2 2 3 3 8" xfId="9981" xr:uid="{00000000-0005-0000-0000-0000EC260000}"/>
    <cellStyle name="Normal 13 2 2 3 4" xfId="9982" xr:uid="{00000000-0005-0000-0000-0000ED260000}"/>
    <cellStyle name="Normal 13 2 2 3 4 2" xfId="9983" xr:uid="{00000000-0005-0000-0000-0000EE260000}"/>
    <cellStyle name="Normal 13 2 2 3 4 2 2" xfId="9984" xr:uid="{00000000-0005-0000-0000-0000EF260000}"/>
    <cellStyle name="Normal 13 2 2 3 4 2 3" xfId="9985" xr:uid="{00000000-0005-0000-0000-0000F0260000}"/>
    <cellStyle name="Normal 13 2 2 3 4 2 4" xfId="9986" xr:uid="{00000000-0005-0000-0000-0000F1260000}"/>
    <cellStyle name="Normal 13 2 2 3 4 2 5" xfId="9987" xr:uid="{00000000-0005-0000-0000-0000F2260000}"/>
    <cellStyle name="Normal 13 2 2 3 4 2 6" xfId="9988" xr:uid="{00000000-0005-0000-0000-0000F3260000}"/>
    <cellStyle name="Normal 13 2 2 3 4 3" xfId="9989" xr:uid="{00000000-0005-0000-0000-0000F4260000}"/>
    <cellStyle name="Normal 13 2 2 3 4 3 2" xfId="9990" xr:uid="{00000000-0005-0000-0000-0000F5260000}"/>
    <cellStyle name="Normal 13 2 2 3 4 3 3" xfId="9991" xr:uid="{00000000-0005-0000-0000-0000F6260000}"/>
    <cellStyle name="Normal 13 2 2 3 4 3 4" xfId="9992" xr:uid="{00000000-0005-0000-0000-0000F7260000}"/>
    <cellStyle name="Normal 13 2 2 3 4 3 5" xfId="9993" xr:uid="{00000000-0005-0000-0000-0000F8260000}"/>
    <cellStyle name="Normal 13 2 2 3 4 3 6" xfId="9994" xr:uid="{00000000-0005-0000-0000-0000F9260000}"/>
    <cellStyle name="Normal 13 2 2 3 4 4" xfId="9995" xr:uid="{00000000-0005-0000-0000-0000FA260000}"/>
    <cellStyle name="Normal 13 2 2 3 4 5" xfId="9996" xr:uid="{00000000-0005-0000-0000-0000FB260000}"/>
    <cellStyle name="Normal 13 2 2 3 4 6" xfId="9997" xr:uid="{00000000-0005-0000-0000-0000FC260000}"/>
    <cellStyle name="Normal 13 2 2 3 4 7" xfId="9998" xr:uid="{00000000-0005-0000-0000-0000FD260000}"/>
    <cellStyle name="Normal 13 2 2 3 4 8" xfId="9999" xr:uid="{00000000-0005-0000-0000-0000FE260000}"/>
    <cellStyle name="Normal 13 2 2 3 5" xfId="10000" xr:uid="{00000000-0005-0000-0000-0000FF260000}"/>
    <cellStyle name="Normal 13 2 2 3 5 2" xfId="10001" xr:uid="{00000000-0005-0000-0000-000000270000}"/>
    <cellStyle name="Normal 13 2 2 3 5 2 2" xfId="10002" xr:uid="{00000000-0005-0000-0000-000001270000}"/>
    <cellStyle name="Normal 13 2 2 3 5 2 3" xfId="10003" xr:uid="{00000000-0005-0000-0000-000002270000}"/>
    <cellStyle name="Normal 13 2 2 3 5 2 4" xfId="10004" xr:uid="{00000000-0005-0000-0000-000003270000}"/>
    <cellStyle name="Normal 13 2 2 3 5 2 5" xfId="10005" xr:uid="{00000000-0005-0000-0000-000004270000}"/>
    <cellStyle name="Normal 13 2 2 3 5 2 6" xfId="10006" xr:uid="{00000000-0005-0000-0000-000005270000}"/>
    <cellStyle name="Normal 13 2 2 3 5 3" xfId="10007" xr:uid="{00000000-0005-0000-0000-000006270000}"/>
    <cellStyle name="Normal 13 2 2 3 5 3 2" xfId="10008" xr:uid="{00000000-0005-0000-0000-000007270000}"/>
    <cellStyle name="Normal 13 2 2 3 5 3 3" xfId="10009" xr:uid="{00000000-0005-0000-0000-000008270000}"/>
    <cellStyle name="Normal 13 2 2 3 5 3 4" xfId="10010" xr:uid="{00000000-0005-0000-0000-000009270000}"/>
    <cellStyle name="Normal 13 2 2 3 5 3 5" xfId="10011" xr:uid="{00000000-0005-0000-0000-00000A270000}"/>
    <cellStyle name="Normal 13 2 2 3 5 3 6" xfId="10012" xr:uid="{00000000-0005-0000-0000-00000B270000}"/>
    <cellStyle name="Normal 13 2 2 3 5 4" xfId="10013" xr:uid="{00000000-0005-0000-0000-00000C270000}"/>
    <cellStyle name="Normal 13 2 2 3 5 5" xfId="10014" xr:uid="{00000000-0005-0000-0000-00000D270000}"/>
    <cellStyle name="Normal 13 2 2 3 5 6" xfId="10015" xr:uid="{00000000-0005-0000-0000-00000E270000}"/>
    <cellStyle name="Normal 13 2 2 3 5 7" xfId="10016" xr:uid="{00000000-0005-0000-0000-00000F270000}"/>
    <cellStyle name="Normal 13 2 2 3 5 8" xfId="10017" xr:uid="{00000000-0005-0000-0000-000010270000}"/>
    <cellStyle name="Normal 13 2 2 3 6" xfId="10018" xr:uid="{00000000-0005-0000-0000-000011270000}"/>
    <cellStyle name="Normal 13 2 2 3 6 2" xfId="10019" xr:uid="{00000000-0005-0000-0000-000012270000}"/>
    <cellStyle name="Normal 13 2 2 3 6 3" xfId="10020" xr:uid="{00000000-0005-0000-0000-000013270000}"/>
    <cellStyle name="Normal 13 2 2 3 6 4" xfId="10021" xr:uid="{00000000-0005-0000-0000-000014270000}"/>
    <cellStyle name="Normal 13 2 2 3 6 5" xfId="10022" xr:uid="{00000000-0005-0000-0000-000015270000}"/>
    <cellStyle name="Normal 13 2 2 3 6 6" xfId="10023" xr:uid="{00000000-0005-0000-0000-000016270000}"/>
    <cellStyle name="Normal 13 2 2 3 7" xfId="10024" xr:uid="{00000000-0005-0000-0000-000017270000}"/>
    <cellStyle name="Normal 13 2 2 3 7 2" xfId="10025" xr:uid="{00000000-0005-0000-0000-000018270000}"/>
    <cellStyle name="Normal 13 2 2 3 7 3" xfId="10026" xr:uid="{00000000-0005-0000-0000-000019270000}"/>
    <cellStyle name="Normal 13 2 2 3 7 4" xfId="10027" xr:uid="{00000000-0005-0000-0000-00001A270000}"/>
    <cellStyle name="Normal 13 2 2 3 7 5" xfId="10028" xr:uid="{00000000-0005-0000-0000-00001B270000}"/>
    <cellStyle name="Normal 13 2 2 3 7 6" xfId="10029" xr:uid="{00000000-0005-0000-0000-00001C270000}"/>
    <cellStyle name="Normal 13 2 2 3 8" xfId="10030" xr:uid="{00000000-0005-0000-0000-00001D270000}"/>
    <cellStyle name="Normal 13 2 2 3 9" xfId="10031" xr:uid="{00000000-0005-0000-0000-00001E270000}"/>
    <cellStyle name="Normal 13 2 2 4" xfId="10032" xr:uid="{00000000-0005-0000-0000-00001F270000}"/>
    <cellStyle name="Normal 13 2 2 4 10" xfId="10033" xr:uid="{00000000-0005-0000-0000-000020270000}"/>
    <cellStyle name="Normal 13 2 2 4 11" xfId="10034" xr:uid="{00000000-0005-0000-0000-000021270000}"/>
    <cellStyle name="Normal 13 2 2 4 2" xfId="10035" xr:uid="{00000000-0005-0000-0000-000022270000}"/>
    <cellStyle name="Normal 13 2 2 4 2 2" xfId="10036" xr:uid="{00000000-0005-0000-0000-000023270000}"/>
    <cellStyle name="Normal 13 2 2 4 2 2 2" xfId="10037" xr:uid="{00000000-0005-0000-0000-000024270000}"/>
    <cellStyle name="Normal 13 2 2 4 2 2 3" xfId="10038" xr:uid="{00000000-0005-0000-0000-000025270000}"/>
    <cellStyle name="Normal 13 2 2 4 2 2 4" xfId="10039" xr:uid="{00000000-0005-0000-0000-000026270000}"/>
    <cellStyle name="Normal 13 2 2 4 2 2 5" xfId="10040" xr:uid="{00000000-0005-0000-0000-000027270000}"/>
    <cellStyle name="Normal 13 2 2 4 2 2 6" xfId="10041" xr:uid="{00000000-0005-0000-0000-000028270000}"/>
    <cellStyle name="Normal 13 2 2 4 2 3" xfId="10042" xr:uid="{00000000-0005-0000-0000-000029270000}"/>
    <cellStyle name="Normal 13 2 2 4 2 3 2" xfId="10043" xr:uid="{00000000-0005-0000-0000-00002A270000}"/>
    <cellStyle name="Normal 13 2 2 4 2 3 3" xfId="10044" xr:uid="{00000000-0005-0000-0000-00002B270000}"/>
    <cellStyle name="Normal 13 2 2 4 2 3 4" xfId="10045" xr:uid="{00000000-0005-0000-0000-00002C270000}"/>
    <cellStyle name="Normal 13 2 2 4 2 3 5" xfId="10046" xr:uid="{00000000-0005-0000-0000-00002D270000}"/>
    <cellStyle name="Normal 13 2 2 4 2 3 6" xfId="10047" xr:uid="{00000000-0005-0000-0000-00002E270000}"/>
    <cellStyle name="Normal 13 2 2 4 2 4" xfId="10048" xr:uid="{00000000-0005-0000-0000-00002F270000}"/>
    <cellStyle name="Normal 13 2 2 4 2 5" xfId="10049" xr:uid="{00000000-0005-0000-0000-000030270000}"/>
    <cellStyle name="Normal 13 2 2 4 2 6" xfId="10050" xr:uid="{00000000-0005-0000-0000-000031270000}"/>
    <cellStyle name="Normal 13 2 2 4 2 7" xfId="10051" xr:uid="{00000000-0005-0000-0000-000032270000}"/>
    <cellStyle name="Normal 13 2 2 4 2 8" xfId="10052" xr:uid="{00000000-0005-0000-0000-000033270000}"/>
    <cellStyle name="Normal 13 2 2 4 3" xfId="10053" xr:uid="{00000000-0005-0000-0000-000034270000}"/>
    <cellStyle name="Normal 13 2 2 4 3 2" xfId="10054" xr:uid="{00000000-0005-0000-0000-000035270000}"/>
    <cellStyle name="Normal 13 2 2 4 3 2 2" xfId="10055" xr:uid="{00000000-0005-0000-0000-000036270000}"/>
    <cellStyle name="Normal 13 2 2 4 3 2 3" xfId="10056" xr:uid="{00000000-0005-0000-0000-000037270000}"/>
    <cellStyle name="Normal 13 2 2 4 3 2 4" xfId="10057" xr:uid="{00000000-0005-0000-0000-000038270000}"/>
    <cellStyle name="Normal 13 2 2 4 3 2 5" xfId="10058" xr:uid="{00000000-0005-0000-0000-000039270000}"/>
    <cellStyle name="Normal 13 2 2 4 3 2 6" xfId="10059" xr:uid="{00000000-0005-0000-0000-00003A270000}"/>
    <cellStyle name="Normal 13 2 2 4 3 3" xfId="10060" xr:uid="{00000000-0005-0000-0000-00003B270000}"/>
    <cellStyle name="Normal 13 2 2 4 3 3 2" xfId="10061" xr:uid="{00000000-0005-0000-0000-00003C270000}"/>
    <cellStyle name="Normal 13 2 2 4 3 3 3" xfId="10062" xr:uid="{00000000-0005-0000-0000-00003D270000}"/>
    <cellStyle name="Normal 13 2 2 4 3 3 4" xfId="10063" xr:uid="{00000000-0005-0000-0000-00003E270000}"/>
    <cellStyle name="Normal 13 2 2 4 3 3 5" xfId="10064" xr:uid="{00000000-0005-0000-0000-00003F270000}"/>
    <cellStyle name="Normal 13 2 2 4 3 3 6" xfId="10065" xr:uid="{00000000-0005-0000-0000-000040270000}"/>
    <cellStyle name="Normal 13 2 2 4 3 4" xfId="10066" xr:uid="{00000000-0005-0000-0000-000041270000}"/>
    <cellStyle name="Normal 13 2 2 4 3 5" xfId="10067" xr:uid="{00000000-0005-0000-0000-000042270000}"/>
    <cellStyle name="Normal 13 2 2 4 3 6" xfId="10068" xr:uid="{00000000-0005-0000-0000-000043270000}"/>
    <cellStyle name="Normal 13 2 2 4 3 7" xfId="10069" xr:uid="{00000000-0005-0000-0000-000044270000}"/>
    <cellStyle name="Normal 13 2 2 4 3 8" xfId="10070" xr:uid="{00000000-0005-0000-0000-000045270000}"/>
    <cellStyle name="Normal 13 2 2 4 4" xfId="10071" xr:uid="{00000000-0005-0000-0000-000046270000}"/>
    <cellStyle name="Normal 13 2 2 4 4 2" xfId="10072" xr:uid="{00000000-0005-0000-0000-000047270000}"/>
    <cellStyle name="Normal 13 2 2 4 4 2 2" xfId="10073" xr:uid="{00000000-0005-0000-0000-000048270000}"/>
    <cellStyle name="Normal 13 2 2 4 4 2 3" xfId="10074" xr:uid="{00000000-0005-0000-0000-000049270000}"/>
    <cellStyle name="Normal 13 2 2 4 4 2 4" xfId="10075" xr:uid="{00000000-0005-0000-0000-00004A270000}"/>
    <cellStyle name="Normal 13 2 2 4 4 2 5" xfId="10076" xr:uid="{00000000-0005-0000-0000-00004B270000}"/>
    <cellStyle name="Normal 13 2 2 4 4 2 6" xfId="10077" xr:uid="{00000000-0005-0000-0000-00004C270000}"/>
    <cellStyle name="Normal 13 2 2 4 4 3" xfId="10078" xr:uid="{00000000-0005-0000-0000-00004D270000}"/>
    <cellStyle name="Normal 13 2 2 4 4 3 2" xfId="10079" xr:uid="{00000000-0005-0000-0000-00004E270000}"/>
    <cellStyle name="Normal 13 2 2 4 4 3 3" xfId="10080" xr:uid="{00000000-0005-0000-0000-00004F270000}"/>
    <cellStyle name="Normal 13 2 2 4 4 3 4" xfId="10081" xr:uid="{00000000-0005-0000-0000-000050270000}"/>
    <cellStyle name="Normal 13 2 2 4 4 3 5" xfId="10082" xr:uid="{00000000-0005-0000-0000-000051270000}"/>
    <cellStyle name="Normal 13 2 2 4 4 3 6" xfId="10083" xr:uid="{00000000-0005-0000-0000-000052270000}"/>
    <cellStyle name="Normal 13 2 2 4 4 4" xfId="10084" xr:uid="{00000000-0005-0000-0000-000053270000}"/>
    <cellStyle name="Normal 13 2 2 4 4 5" xfId="10085" xr:uid="{00000000-0005-0000-0000-000054270000}"/>
    <cellStyle name="Normal 13 2 2 4 4 6" xfId="10086" xr:uid="{00000000-0005-0000-0000-000055270000}"/>
    <cellStyle name="Normal 13 2 2 4 4 7" xfId="10087" xr:uid="{00000000-0005-0000-0000-000056270000}"/>
    <cellStyle name="Normal 13 2 2 4 4 8" xfId="10088" xr:uid="{00000000-0005-0000-0000-000057270000}"/>
    <cellStyle name="Normal 13 2 2 4 5" xfId="10089" xr:uid="{00000000-0005-0000-0000-000058270000}"/>
    <cellStyle name="Normal 13 2 2 4 5 2" xfId="10090" xr:uid="{00000000-0005-0000-0000-000059270000}"/>
    <cellStyle name="Normal 13 2 2 4 5 3" xfId="10091" xr:uid="{00000000-0005-0000-0000-00005A270000}"/>
    <cellStyle name="Normal 13 2 2 4 5 4" xfId="10092" xr:uid="{00000000-0005-0000-0000-00005B270000}"/>
    <cellStyle name="Normal 13 2 2 4 5 5" xfId="10093" xr:uid="{00000000-0005-0000-0000-00005C270000}"/>
    <cellStyle name="Normal 13 2 2 4 5 6" xfId="10094" xr:uid="{00000000-0005-0000-0000-00005D270000}"/>
    <cellStyle name="Normal 13 2 2 4 6" xfId="10095" xr:uid="{00000000-0005-0000-0000-00005E270000}"/>
    <cellStyle name="Normal 13 2 2 4 6 2" xfId="10096" xr:uid="{00000000-0005-0000-0000-00005F270000}"/>
    <cellStyle name="Normal 13 2 2 4 6 3" xfId="10097" xr:uid="{00000000-0005-0000-0000-000060270000}"/>
    <cellStyle name="Normal 13 2 2 4 6 4" xfId="10098" xr:uid="{00000000-0005-0000-0000-000061270000}"/>
    <cellStyle name="Normal 13 2 2 4 6 5" xfId="10099" xr:uid="{00000000-0005-0000-0000-000062270000}"/>
    <cellStyle name="Normal 13 2 2 4 6 6" xfId="10100" xr:uid="{00000000-0005-0000-0000-000063270000}"/>
    <cellStyle name="Normal 13 2 2 4 7" xfId="10101" xr:uid="{00000000-0005-0000-0000-000064270000}"/>
    <cellStyle name="Normal 13 2 2 4 8" xfId="10102" xr:uid="{00000000-0005-0000-0000-000065270000}"/>
    <cellStyle name="Normal 13 2 2 4 9" xfId="10103" xr:uid="{00000000-0005-0000-0000-000066270000}"/>
    <cellStyle name="Normal 13 2 2 5" xfId="10104" xr:uid="{00000000-0005-0000-0000-000067270000}"/>
    <cellStyle name="Normal 13 2 2 5 2" xfId="10105" xr:uid="{00000000-0005-0000-0000-000068270000}"/>
    <cellStyle name="Normal 13 2 2 5 2 2" xfId="10106" xr:uid="{00000000-0005-0000-0000-000069270000}"/>
    <cellStyle name="Normal 13 2 2 5 2 3" xfId="10107" xr:uid="{00000000-0005-0000-0000-00006A270000}"/>
    <cellStyle name="Normal 13 2 2 5 2 4" xfId="10108" xr:uid="{00000000-0005-0000-0000-00006B270000}"/>
    <cellStyle name="Normal 13 2 2 5 2 5" xfId="10109" xr:uid="{00000000-0005-0000-0000-00006C270000}"/>
    <cellStyle name="Normal 13 2 2 5 2 6" xfId="10110" xr:uid="{00000000-0005-0000-0000-00006D270000}"/>
    <cellStyle name="Normal 13 2 2 5 3" xfId="10111" xr:uid="{00000000-0005-0000-0000-00006E270000}"/>
    <cellStyle name="Normal 13 2 2 5 3 2" xfId="10112" xr:uid="{00000000-0005-0000-0000-00006F270000}"/>
    <cellStyle name="Normal 13 2 2 5 3 3" xfId="10113" xr:uid="{00000000-0005-0000-0000-000070270000}"/>
    <cellStyle name="Normal 13 2 2 5 3 4" xfId="10114" xr:uid="{00000000-0005-0000-0000-000071270000}"/>
    <cellStyle name="Normal 13 2 2 5 3 5" xfId="10115" xr:uid="{00000000-0005-0000-0000-000072270000}"/>
    <cellStyle name="Normal 13 2 2 5 3 6" xfId="10116" xr:uid="{00000000-0005-0000-0000-000073270000}"/>
    <cellStyle name="Normal 13 2 2 5 4" xfId="10117" xr:uid="{00000000-0005-0000-0000-000074270000}"/>
    <cellStyle name="Normal 13 2 2 5 5" xfId="10118" xr:uid="{00000000-0005-0000-0000-000075270000}"/>
    <cellStyle name="Normal 13 2 2 5 6" xfId="10119" xr:uid="{00000000-0005-0000-0000-000076270000}"/>
    <cellStyle name="Normal 13 2 2 5 7" xfId="10120" xr:uid="{00000000-0005-0000-0000-000077270000}"/>
    <cellStyle name="Normal 13 2 2 5 8" xfId="10121" xr:uid="{00000000-0005-0000-0000-000078270000}"/>
    <cellStyle name="Normal 13 2 2 6" xfId="10122" xr:uid="{00000000-0005-0000-0000-000079270000}"/>
    <cellStyle name="Normal 13 2 2 6 2" xfId="10123" xr:uid="{00000000-0005-0000-0000-00007A270000}"/>
    <cellStyle name="Normal 13 2 2 6 2 2" xfId="10124" xr:uid="{00000000-0005-0000-0000-00007B270000}"/>
    <cellStyle name="Normal 13 2 2 6 2 3" xfId="10125" xr:uid="{00000000-0005-0000-0000-00007C270000}"/>
    <cellStyle name="Normal 13 2 2 6 2 4" xfId="10126" xr:uid="{00000000-0005-0000-0000-00007D270000}"/>
    <cellStyle name="Normal 13 2 2 6 2 5" xfId="10127" xr:uid="{00000000-0005-0000-0000-00007E270000}"/>
    <cellStyle name="Normal 13 2 2 6 2 6" xfId="10128" xr:uid="{00000000-0005-0000-0000-00007F270000}"/>
    <cellStyle name="Normal 13 2 2 6 3" xfId="10129" xr:uid="{00000000-0005-0000-0000-000080270000}"/>
    <cellStyle name="Normal 13 2 2 6 3 2" xfId="10130" xr:uid="{00000000-0005-0000-0000-000081270000}"/>
    <cellStyle name="Normal 13 2 2 6 3 3" xfId="10131" xr:uid="{00000000-0005-0000-0000-000082270000}"/>
    <cellStyle name="Normal 13 2 2 6 3 4" xfId="10132" xr:uid="{00000000-0005-0000-0000-000083270000}"/>
    <cellStyle name="Normal 13 2 2 6 3 5" xfId="10133" xr:uid="{00000000-0005-0000-0000-000084270000}"/>
    <cellStyle name="Normal 13 2 2 6 3 6" xfId="10134" xr:uid="{00000000-0005-0000-0000-000085270000}"/>
    <cellStyle name="Normal 13 2 2 6 4" xfId="10135" xr:uid="{00000000-0005-0000-0000-000086270000}"/>
    <cellStyle name="Normal 13 2 2 6 5" xfId="10136" xr:uid="{00000000-0005-0000-0000-000087270000}"/>
    <cellStyle name="Normal 13 2 2 6 6" xfId="10137" xr:uid="{00000000-0005-0000-0000-000088270000}"/>
    <cellStyle name="Normal 13 2 2 6 7" xfId="10138" xr:uid="{00000000-0005-0000-0000-000089270000}"/>
    <cellStyle name="Normal 13 2 2 6 8" xfId="10139" xr:uid="{00000000-0005-0000-0000-00008A270000}"/>
    <cellStyle name="Normal 13 2 2 7" xfId="10140" xr:uid="{00000000-0005-0000-0000-00008B270000}"/>
    <cellStyle name="Normal 13 2 2 7 2" xfId="10141" xr:uid="{00000000-0005-0000-0000-00008C270000}"/>
    <cellStyle name="Normal 13 2 2 7 2 2" xfId="10142" xr:uid="{00000000-0005-0000-0000-00008D270000}"/>
    <cellStyle name="Normal 13 2 2 7 2 3" xfId="10143" xr:uid="{00000000-0005-0000-0000-00008E270000}"/>
    <cellStyle name="Normal 13 2 2 7 2 4" xfId="10144" xr:uid="{00000000-0005-0000-0000-00008F270000}"/>
    <cellStyle name="Normal 13 2 2 7 2 5" xfId="10145" xr:uid="{00000000-0005-0000-0000-000090270000}"/>
    <cellStyle name="Normal 13 2 2 7 2 6" xfId="10146" xr:uid="{00000000-0005-0000-0000-000091270000}"/>
    <cellStyle name="Normal 13 2 2 7 3" xfId="10147" xr:uid="{00000000-0005-0000-0000-000092270000}"/>
    <cellStyle name="Normal 13 2 2 7 3 2" xfId="10148" xr:uid="{00000000-0005-0000-0000-000093270000}"/>
    <cellStyle name="Normal 13 2 2 7 3 3" xfId="10149" xr:uid="{00000000-0005-0000-0000-000094270000}"/>
    <cellStyle name="Normal 13 2 2 7 3 4" xfId="10150" xr:uid="{00000000-0005-0000-0000-000095270000}"/>
    <cellStyle name="Normal 13 2 2 7 3 5" xfId="10151" xr:uid="{00000000-0005-0000-0000-000096270000}"/>
    <cellStyle name="Normal 13 2 2 7 3 6" xfId="10152" xr:uid="{00000000-0005-0000-0000-000097270000}"/>
    <cellStyle name="Normal 13 2 2 7 4" xfId="10153" xr:uid="{00000000-0005-0000-0000-000098270000}"/>
    <cellStyle name="Normal 13 2 2 7 5" xfId="10154" xr:uid="{00000000-0005-0000-0000-000099270000}"/>
    <cellStyle name="Normal 13 2 2 7 6" xfId="10155" xr:uid="{00000000-0005-0000-0000-00009A270000}"/>
    <cellStyle name="Normal 13 2 2 7 7" xfId="10156" xr:uid="{00000000-0005-0000-0000-00009B270000}"/>
    <cellStyle name="Normal 13 2 2 7 8" xfId="10157" xr:uid="{00000000-0005-0000-0000-00009C270000}"/>
    <cellStyle name="Normal 13 2 2 8" xfId="10158" xr:uid="{00000000-0005-0000-0000-00009D270000}"/>
    <cellStyle name="Normal 13 2 2 8 2" xfId="10159" xr:uid="{00000000-0005-0000-0000-00009E270000}"/>
    <cellStyle name="Normal 13 2 2 8 3" xfId="10160" xr:uid="{00000000-0005-0000-0000-00009F270000}"/>
    <cellStyle name="Normal 13 2 2 8 4" xfId="10161" xr:uid="{00000000-0005-0000-0000-0000A0270000}"/>
    <cellStyle name="Normal 13 2 2 8 5" xfId="10162" xr:uid="{00000000-0005-0000-0000-0000A1270000}"/>
    <cellStyle name="Normal 13 2 2 8 6" xfId="10163" xr:uid="{00000000-0005-0000-0000-0000A2270000}"/>
    <cellStyle name="Normal 13 2 2 9" xfId="10164" xr:uid="{00000000-0005-0000-0000-0000A3270000}"/>
    <cellStyle name="Normal 13 2 2 9 2" xfId="10165" xr:uid="{00000000-0005-0000-0000-0000A4270000}"/>
    <cellStyle name="Normal 13 2 2 9 3" xfId="10166" xr:uid="{00000000-0005-0000-0000-0000A5270000}"/>
    <cellStyle name="Normal 13 2 2 9 4" xfId="10167" xr:uid="{00000000-0005-0000-0000-0000A6270000}"/>
    <cellStyle name="Normal 13 2 2 9 5" xfId="10168" xr:uid="{00000000-0005-0000-0000-0000A7270000}"/>
    <cellStyle name="Normal 13 2 2 9 6" xfId="10169" xr:uid="{00000000-0005-0000-0000-0000A8270000}"/>
    <cellStyle name="Normal 13 2 3" xfId="10170" xr:uid="{00000000-0005-0000-0000-0000A9270000}"/>
    <cellStyle name="Normal 13 2 3 10" xfId="10171" xr:uid="{00000000-0005-0000-0000-0000AA270000}"/>
    <cellStyle name="Normal 13 2 3 11" xfId="10172" xr:uid="{00000000-0005-0000-0000-0000AB270000}"/>
    <cellStyle name="Normal 13 2 3 12" xfId="10173" xr:uid="{00000000-0005-0000-0000-0000AC270000}"/>
    <cellStyle name="Normal 13 2 3 2" xfId="10174" xr:uid="{00000000-0005-0000-0000-0000AD270000}"/>
    <cellStyle name="Normal 13 2 3 2 10" xfId="10175" xr:uid="{00000000-0005-0000-0000-0000AE270000}"/>
    <cellStyle name="Normal 13 2 3 2 11" xfId="10176" xr:uid="{00000000-0005-0000-0000-0000AF270000}"/>
    <cellStyle name="Normal 13 2 3 2 2" xfId="10177" xr:uid="{00000000-0005-0000-0000-0000B0270000}"/>
    <cellStyle name="Normal 13 2 3 2 2 2" xfId="10178" xr:uid="{00000000-0005-0000-0000-0000B1270000}"/>
    <cellStyle name="Normal 13 2 3 2 2 2 2" xfId="10179" xr:uid="{00000000-0005-0000-0000-0000B2270000}"/>
    <cellStyle name="Normal 13 2 3 2 2 2 3" xfId="10180" xr:uid="{00000000-0005-0000-0000-0000B3270000}"/>
    <cellStyle name="Normal 13 2 3 2 2 2 4" xfId="10181" xr:uid="{00000000-0005-0000-0000-0000B4270000}"/>
    <cellStyle name="Normal 13 2 3 2 2 2 5" xfId="10182" xr:uid="{00000000-0005-0000-0000-0000B5270000}"/>
    <cellStyle name="Normal 13 2 3 2 2 2 6" xfId="10183" xr:uid="{00000000-0005-0000-0000-0000B6270000}"/>
    <cellStyle name="Normal 13 2 3 2 2 3" xfId="10184" xr:uid="{00000000-0005-0000-0000-0000B7270000}"/>
    <cellStyle name="Normal 13 2 3 2 2 3 2" xfId="10185" xr:uid="{00000000-0005-0000-0000-0000B8270000}"/>
    <cellStyle name="Normal 13 2 3 2 2 3 3" xfId="10186" xr:uid="{00000000-0005-0000-0000-0000B9270000}"/>
    <cellStyle name="Normal 13 2 3 2 2 3 4" xfId="10187" xr:uid="{00000000-0005-0000-0000-0000BA270000}"/>
    <cellStyle name="Normal 13 2 3 2 2 3 5" xfId="10188" xr:uid="{00000000-0005-0000-0000-0000BB270000}"/>
    <cellStyle name="Normal 13 2 3 2 2 3 6" xfId="10189" xr:uid="{00000000-0005-0000-0000-0000BC270000}"/>
    <cellStyle name="Normal 13 2 3 2 2 4" xfId="10190" xr:uid="{00000000-0005-0000-0000-0000BD270000}"/>
    <cellStyle name="Normal 13 2 3 2 2 5" xfId="10191" xr:uid="{00000000-0005-0000-0000-0000BE270000}"/>
    <cellStyle name="Normal 13 2 3 2 2 6" xfId="10192" xr:uid="{00000000-0005-0000-0000-0000BF270000}"/>
    <cellStyle name="Normal 13 2 3 2 2 7" xfId="10193" xr:uid="{00000000-0005-0000-0000-0000C0270000}"/>
    <cellStyle name="Normal 13 2 3 2 2 8" xfId="10194" xr:uid="{00000000-0005-0000-0000-0000C1270000}"/>
    <cellStyle name="Normal 13 2 3 2 3" xfId="10195" xr:uid="{00000000-0005-0000-0000-0000C2270000}"/>
    <cellStyle name="Normal 13 2 3 2 3 2" xfId="10196" xr:uid="{00000000-0005-0000-0000-0000C3270000}"/>
    <cellStyle name="Normal 13 2 3 2 3 2 2" xfId="10197" xr:uid="{00000000-0005-0000-0000-0000C4270000}"/>
    <cellStyle name="Normal 13 2 3 2 3 2 3" xfId="10198" xr:uid="{00000000-0005-0000-0000-0000C5270000}"/>
    <cellStyle name="Normal 13 2 3 2 3 2 4" xfId="10199" xr:uid="{00000000-0005-0000-0000-0000C6270000}"/>
    <cellStyle name="Normal 13 2 3 2 3 2 5" xfId="10200" xr:uid="{00000000-0005-0000-0000-0000C7270000}"/>
    <cellStyle name="Normal 13 2 3 2 3 2 6" xfId="10201" xr:uid="{00000000-0005-0000-0000-0000C8270000}"/>
    <cellStyle name="Normal 13 2 3 2 3 3" xfId="10202" xr:uid="{00000000-0005-0000-0000-0000C9270000}"/>
    <cellStyle name="Normal 13 2 3 2 3 3 2" xfId="10203" xr:uid="{00000000-0005-0000-0000-0000CA270000}"/>
    <cellStyle name="Normal 13 2 3 2 3 3 3" xfId="10204" xr:uid="{00000000-0005-0000-0000-0000CB270000}"/>
    <cellStyle name="Normal 13 2 3 2 3 3 4" xfId="10205" xr:uid="{00000000-0005-0000-0000-0000CC270000}"/>
    <cellStyle name="Normal 13 2 3 2 3 3 5" xfId="10206" xr:uid="{00000000-0005-0000-0000-0000CD270000}"/>
    <cellStyle name="Normal 13 2 3 2 3 3 6" xfId="10207" xr:uid="{00000000-0005-0000-0000-0000CE270000}"/>
    <cellStyle name="Normal 13 2 3 2 3 4" xfId="10208" xr:uid="{00000000-0005-0000-0000-0000CF270000}"/>
    <cellStyle name="Normal 13 2 3 2 3 5" xfId="10209" xr:uid="{00000000-0005-0000-0000-0000D0270000}"/>
    <cellStyle name="Normal 13 2 3 2 3 6" xfId="10210" xr:uid="{00000000-0005-0000-0000-0000D1270000}"/>
    <cellStyle name="Normal 13 2 3 2 3 7" xfId="10211" xr:uid="{00000000-0005-0000-0000-0000D2270000}"/>
    <cellStyle name="Normal 13 2 3 2 3 8" xfId="10212" xr:uid="{00000000-0005-0000-0000-0000D3270000}"/>
    <cellStyle name="Normal 13 2 3 2 4" xfId="10213" xr:uid="{00000000-0005-0000-0000-0000D4270000}"/>
    <cellStyle name="Normal 13 2 3 2 4 2" xfId="10214" xr:uid="{00000000-0005-0000-0000-0000D5270000}"/>
    <cellStyle name="Normal 13 2 3 2 4 2 2" xfId="10215" xr:uid="{00000000-0005-0000-0000-0000D6270000}"/>
    <cellStyle name="Normal 13 2 3 2 4 2 3" xfId="10216" xr:uid="{00000000-0005-0000-0000-0000D7270000}"/>
    <cellStyle name="Normal 13 2 3 2 4 2 4" xfId="10217" xr:uid="{00000000-0005-0000-0000-0000D8270000}"/>
    <cellStyle name="Normal 13 2 3 2 4 2 5" xfId="10218" xr:uid="{00000000-0005-0000-0000-0000D9270000}"/>
    <cellStyle name="Normal 13 2 3 2 4 2 6" xfId="10219" xr:uid="{00000000-0005-0000-0000-0000DA270000}"/>
    <cellStyle name="Normal 13 2 3 2 4 3" xfId="10220" xr:uid="{00000000-0005-0000-0000-0000DB270000}"/>
    <cellStyle name="Normal 13 2 3 2 4 3 2" xfId="10221" xr:uid="{00000000-0005-0000-0000-0000DC270000}"/>
    <cellStyle name="Normal 13 2 3 2 4 3 3" xfId="10222" xr:uid="{00000000-0005-0000-0000-0000DD270000}"/>
    <cellStyle name="Normal 13 2 3 2 4 3 4" xfId="10223" xr:uid="{00000000-0005-0000-0000-0000DE270000}"/>
    <cellStyle name="Normal 13 2 3 2 4 3 5" xfId="10224" xr:uid="{00000000-0005-0000-0000-0000DF270000}"/>
    <cellStyle name="Normal 13 2 3 2 4 3 6" xfId="10225" xr:uid="{00000000-0005-0000-0000-0000E0270000}"/>
    <cellStyle name="Normal 13 2 3 2 4 4" xfId="10226" xr:uid="{00000000-0005-0000-0000-0000E1270000}"/>
    <cellStyle name="Normal 13 2 3 2 4 5" xfId="10227" xr:uid="{00000000-0005-0000-0000-0000E2270000}"/>
    <cellStyle name="Normal 13 2 3 2 4 6" xfId="10228" xr:uid="{00000000-0005-0000-0000-0000E3270000}"/>
    <cellStyle name="Normal 13 2 3 2 4 7" xfId="10229" xr:uid="{00000000-0005-0000-0000-0000E4270000}"/>
    <cellStyle name="Normal 13 2 3 2 4 8" xfId="10230" xr:uid="{00000000-0005-0000-0000-0000E5270000}"/>
    <cellStyle name="Normal 13 2 3 2 5" xfId="10231" xr:uid="{00000000-0005-0000-0000-0000E6270000}"/>
    <cellStyle name="Normal 13 2 3 2 5 2" xfId="10232" xr:uid="{00000000-0005-0000-0000-0000E7270000}"/>
    <cellStyle name="Normal 13 2 3 2 5 3" xfId="10233" xr:uid="{00000000-0005-0000-0000-0000E8270000}"/>
    <cellStyle name="Normal 13 2 3 2 5 4" xfId="10234" xr:uid="{00000000-0005-0000-0000-0000E9270000}"/>
    <cellStyle name="Normal 13 2 3 2 5 5" xfId="10235" xr:uid="{00000000-0005-0000-0000-0000EA270000}"/>
    <cellStyle name="Normal 13 2 3 2 5 6" xfId="10236" xr:uid="{00000000-0005-0000-0000-0000EB270000}"/>
    <cellStyle name="Normal 13 2 3 2 6" xfId="10237" xr:uid="{00000000-0005-0000-0000-0000EC270000}"/>
    <cellStyle name="Normal 13 2 3 2 6 2" xfId="10238" xr:uid="{00000000-0005-0000-0000-0000ED270000}"/>
    <cellStyle name="Normal 13 2 3 2 6 3" xfId="10239" xr:uid="{00000000-0005-0000-0000-0000EE270000}"/>
    <cellStyle name="Normal 13 2 3 2 6 4" xfId="10240" xr:uid="{00000000-0005-0000-0000-0000EF270000}"/>
    <cellStyle name="Normal 13 2 3 2 6 5" xfId="10241" xr:uid="{00000000-0005-0000-0000-0000F0270000}"/>
    <cellStyle name="Normal 13 2 3 2 6 6" xfId="10242" xr:uid="{00000000-0005-0000-0000-0000F1270000}"/>
    <cellStyle name="Normal 13 2 3 2 7" xfId="10243" xr:uid="{00000000-0005-0000-0000-0000F2270000}"/>
    <cellStyle name="Normal 13 2 3 2 8" xfId="10244" xr:uid="{00000000-0005-0000-0000-0000F3270000}"/>
    <cellStyle name="Normal 13 2 3 2 9" xfId="10245" xr:uid="{00000000-0005-0000-0000-0000F4270000}"/>
    <cellStyle name="Normal 13 2 3 3" xfId="10246" xr:uid="{00000000-0005-0000-0000-0000F5270000}"/>
    <cellStyle name="Normal 13 2 3 3 2" xfId="10247" xr:uid="{00000000-0005-0000-0000-0000F6270000}"/>
    <cellStyle name="Normal 13 2 3 3 2 2" xfId="10248" xr:uid="{00000000-0005-0000-0000-0000F7270000}"/>
    <cellStyle name="Normal 13 2 3 3 2 3" xfId="10249" xr:uid="{00000000-0005-0000-0000-0000F8270000}"/>
    <cellStyle name="Normal 13 2 3 3 2 4" xfId="10250" xr:uid="{00000000-0005-0000-0000-0000F9270000}"/>
    <cellStyle name="Normal 13 2 3 3 2 5" xfId="10251" xr:uid="{00000000-0005-0000-0000-0000FA270000}"/>
    <cellStyle name="Normal 13 2 3 3 2 6" xfId="10252" xr:uid="{00000000-0005-0000-0000-0000FB270000}"/>
    <cellStyle name="Normal 13 2 3 3 3" xfId="10253" xr:uid="{00000000-0005-0000-0000-0000FC270000}"/>
    <cellStyle name="Normal 13 2 3 3 3 2" xfId="10254" xr:uid="{00000000-0005-0000-0000-0000FD270000}"/>
    <cellStyle name="Normal 13 2 3 3 3 3" xfId="10255" xr:uid="{00000000-0005-0000-0000-0000FE270000}"/>
    <cellStyle name="Normal 13 2 3 3 3 4" xfId="10256" xr:uid="{00000000-0005-0000-0000-0000FF270000}"/>
    <cellStyle name="Normal 13 2 3 3 3 5" xfId="10257" xr:uid="{00000000-0005-0000-0000-000000280000}"/>
    <cellStyle name="Normal 13 2 3 3 3 6" xfId="10258" xr:uid="{00000000-0005-0000-0000-000001280000}"/>
    <cellStyle name="Normal 13 2 3 3 4" xfId="10259" xr:uid="{00000000-0005-0000-0000-000002280000}"/>
    <cellStyle name="Normal 13 2 3 3 5" xfId="10260" xr:uid="{00000000-0005-0000-0000-000003280000}"/>
    <cellStyle name="Normal 13 2 3 3 6" xfId="10261" xr:uid="{00000000-0005-0000-0000-000004280000}"/>
    <cellStyle name="Normal 13 2 3 3 7" xfId="10262" xr:uid="{00000000-0005-0000-0000-000005280000}"/>
    <cellStyle name="Normal 13 2 3 3 8" xfId="10263" xr:uid="{00000000-0005-0000-0000-000006280000}"/>
    <cellStyle name="Normal 13 2 3 4" xfId="10264" xr:uid="{00000000-0005-0000-0000-000007280000}"/>
    <cellStyle name="Normal 13 2 3 4 2" xfId="10265" xr:uid="{00000000-0005-0000-0000-000008280000}"/>
    <cellStyle name="Normal 13 2 3 4 2 2" xfId="10266" xr:uid="{00000000-0005-0000-0000-000009280000}"/>
    <cellStyle name="Normal 13 2 3 4 2 3" xfId="10267" xr:uid="{00000000-0005-0000-0000-00000A280000}"/>
    <cellStyle name="Normal 13 2 3 4 2 4" xfId="10268" xr:uid="{00000000-0005-0000-0000-00000B280000}"/>
    <cellStyle name="Normal 13 2 3 4 2 5" xfId="10269" xr:uid="{00000000-0005-0000-0000-00000C280000}"/>
    <cellStyle name="Normal 13 2 3 4 2 6" xfId="10270" xr:uid="{00000000-0005-0000-0000-00000D280000}"/>
    <cellStyle name="Normal 13 2 3 4 3" xfId="10271" xr:uid="{00000000-0005-0000-0000-00000E280000}"/>
    <cellStyle name="Normal 13 2 3 4 3 2" xfId="10272" xr:uid="{00000000-0005-0000-0000-00000F280000}"/>
    <cellStyle name="Normal 13 2 3 4 3 3" xfId="10273" xr:uid="{00000000-0005-0000-0000-000010280000}"/>
    <cellStyle name="Normal 13 2 3 4 3 4" xfId="10274" xr:uid="{00000000-0005-0000-0000-000011280000}"/>
    <cellStyle name="Normal 13 2 3 4 3 5" xfId="10275" xr:uid="{00000000-0005-0000-0000-000012280000}"/>
    <cellStyle name="Normal 13 2 3 4 3 6" xfId="10276" xr:uid="{00000000-0005-0000-0000-000013280000}"/>
    <cellStyle name="Normal 13 2 3 4 4" xfId="10277" xr:uid="{00000000-0005-0000-0000-000014280000}"/>
    <cellStyle name="Normal 13 2 3 4 5" xfId="10278" xr:uid="{00000000-0005-0000-0000-000015280000}"/>
    <cellStyle name="Normal 13 2 3 4 6" xfId="10279" xr:uid="{00000000-0005-0000-0000-000016280000}"/>
    <cellStyle name="Normal 13 2 3 4 7" xfId="10280" xr:uid="{00000000-0005-0000-0000-000017280000}"/>
    <cellStyle name="Normal 13 2 3 4 8" xfId="10281" xr:uid="{00000000-0005-0000-0000-000018280000}"/>
    <cellStyle name="Normal 13 2 3 5" xfId="10282" xr:uid="{00000000-0005-0000-0000-000019280000}"/>
    <cellStyle name="Normal 13 2 3 5 2" xfId="10283" xr:uid="{00000000-0005-0000-0000-00001A280000}"/>
    <cellStyle name="Normal 13 2 3 5 2 2" xfId="10284" xr:uid="{00000000-0005-0000-0000-00001B280000}"/>
    <cellStyle name="Normal 13 2 3 5 2 3" xfId="10285" xr:uid="{00000000-0005-0000-0000-00001C280000}"/>
    <cellStyle name="Normal 13 2 3 5 2 4" xfId="10286" xr:uid="{00000000-0005-0000-0000-00001D280000}"/>
    <cellStyle name="Normal 13 2 3 5 2 5" xfId="10287" xr:uid="{00000000-0005-0000-0000-00001E280000}"/>
    <cellStyle name="Normal 13 2 3 5 2 6" xfId="10288" xr:uid="{00000000-0005-0000-0000-00001F280000}"/>
    <cellStyle name="Normal 13 2 3 5 3" xfId="10289" xr:uid="{00000000-0005-0000-0000-000020280000}"/>
    <cellStyle name="Normal 13 2 3 5 3 2" xfId="10290" xr:uid="{00000000-0005-0000-0000-000021280000}"/>
    <cellStyle name="Normal 13 2 3 5 3 3" xfId="10291" xr:uid="{00000000-0005-0000-0000-000022280000}"/>
    <cellStyle name="Normal 13 2 3 5 3 4" xfId="10292" xr:uid="{00000000-0005-0000-0000-000023280000}"/>
    <cellStyle name="Normal 13 2 3 5 3 5" xfId="10293" xr:uid="{00000000-0005-0000-0000-000024280000}"/>
    <cellStyle name="Normal 13 2 3 5 3 6" xfId="10294" xr:uid="{00000000-0005-0000-0000-000025280000}"/>
    <cellStyle name="Normal 13 2 3 5 4" xfId="10295" xr:uid="{00000000-0005-0000-0000-000026280000}"/>
    <cellStyle name="Normal 13 2 3 5 5" xfId="10296" xr:uid="{00000000-0005-0000-0000-000027280000}"/>
    <cellStyle name="Normal 13 2 3 5 6" xfId="10297" xr:uid="{00000000-0005-0000-0000-000028280000}"/>
    <cellStyle name="Normal 13 2 3 5 7" xfId="10298" xr:uid="{00000000-0005-0000-0000-000029280000}"/>
    <cellStyle name="Normal 13 2 3 5 8" xfId="10299" xr:uid="{00000000-0005-0000-0000-00002A280000}"/>
    <cellStyle name="Normal 13 2 3 6" xfId="10300" xr:uid="{00000000-0005-0000-0000-00002B280000}"/>
    <cellStyle name="Normal 13 2 3 6 2" xfId="10301" xr:uid="{00000000-0005-0000-0000-00002C280000}"/>
    <cellStyle name="Normal 13 2 3 6 3" xfId="10302" xr:uid="{00000000-0005-0000-0000-00002D280000}"/>
    <cellStyle name="Normal 13 2 3 6 4" xfId="10303" xr:uid="{00000000-0005-0000-0000-00002E280000}"/>
    <cellStyle name="Normal 13 2 3 6 5" xfId="10304" xr:uid="{00000000-0005-0000-0000-00002F280000}"/>
    <cellStyle name="Normal 13 2 3 6 6" xfId="10305" xr:uid="{00000000-0005-0000-0000-000030280000}"/>
    <cellStyle name="Normal 13 2 3 7" xfId="10306" xr:uid="{00000000-0005-0000-0000-000031280000}"/>
    <cellStyle name="Normal 13 2 3 7 2" xfId="10307" xr:uid="{00000000-0005-0000-0000-000032280000}"/>
    <cellStyle name="Normal 13 2 3 7 3" xfId="10308" xr:uid="{00000000-0005-0000-0000-000033280000}"/>
    <cellStyle name="Normal 13 2 3 7 4" xfId="10309" xr:uid="{00000000-0005-0000-0000-000034280000}"/>
    <cellStyle name="Normal 13 2 3 7 5" xfId="10310" xr:uid="{00000000-0005-0000-0000-000035280000}"/>
    <cellStyle name="Normal 13 2 3 7 6" xfId="10311" xr:uid="{00000000-0005-0000-0000-000036280000}"/>
    <cellStyle name="Normal 13 2 3 8" xfId="10312" xr:uid="{00000000-0005-0000-0000-000037280000}"/>
    <cellStyle name="Normal 13 2 3 9" xfId="10313" xr:uid="{00000000-0005-0000-0000-000038280000}"/>
    <cellStyle name="Normal 13 2 4" xfId="10314" xr:uid="{00000000-0005-0000-0000-000039280000}"/>
    <cellStyle name="Normal 13 2 4 10" xfId="10315" xr:uid="{00000000-0005-0000-0000-00003A280000}"/>
    <cellStyle name="Normal 13 2 4 11" xfId="10316" xr:uid="{00000000-0005-0000-0000-00003B280000}"/>
    <cellStyle name="Normal 13 2 4 12" xfId="10317" xr:uid="{00000000-0005-0000-0000-00003C280000}"/>
    <cellStyle name="Normal 13 2 4 2" xfId="10318" xr:uid="{00000000-0005-0000-0000-00003D280000}"/>
    <cellStyle name="Normal 13 2 4 2 10" xfId="10319" xr:uid="{00000000-0005-0000-0000-00003E280000}"/>
    <cellStyle name="Normal 13 2 4 2 11" xfId="10320" xr:uid="{00000000-0005-0000-0000-00003F280000}"/>
    <cellStyle name="Normal 13 2 4 2 2" xfId="10321" xr:uid="{00000000-0005-0000-0000-000040280000}"/>
    <cellStyle name="Normal 13 2 4 2 2 2" xfId="10322" xr:uid="{00000000-0005-0000-0000-000041280000}"/>
    <cellStyle name="Normal 13 2 4 2 2 2 2" xfId="10323" xr:uid="{00000000-0005-0000-0000-000042280000}"/>
    <cellStyle name="Normal 13 2 4 2 2 2 3" xfId="10324" xr:uid="{00000000-0005-0000-0000-000043280000}"/>
    <cellStyle name="Normal 13 2 4 2 2 2 4" xfId="10325" xr:uid="{00000000-0005-0000-0000-000044280000}"/>
    <cellStyle name="Normal 13 2 4 2 2 2 5" xfId="10326" xr:uid="{00000000-0005-0000-0000-000045280000}"/>
    <cellStyle name="Normal 13 2 4 2 2 2 6" xfId="10327" xr:uid="{00000000-0005-0000-0000-000046280000}"/>
    <cellStyle name="Normal 13 2 4 2 2 3" xfId="10328" xr:uid="{00000000-0005-0000-0000-000047280000}"/>
    <cellStyle name="Normal 13 2 4 2 2 3 2" xfId="10329" xr:uid="{00000000-0005-0000-0000-000048280000}"/>
    <cellStyle name="Normal 13 2 4 2 2 3 3" xfId="10330" xr:uid="{00000000-0005-0000-0000-000049280000}"/>
    <cellStyle name="Normal 13 2 4 2 2 3 4" xfId="10331" xr:uid="{00000000-0005-0000-0000-00004A280000}"/>
    <cellStyle name="Normal 13 2 4 2 2 3 5" xfId="10332" xr:uid="{00000000-0005-0000-0000-00004B280000}"/>
    <cellStyle name="Normal 13 2 4 2 2 3 6" xfId="10333" xr:uid="{00000000-0005-0000-0000-00004C280000}"/>
    <cellStyle name="Normal 13 2 4 2 2 4" xfId="10334" xr:uid="{00000000-0005-0000-0000-00004D280000}"/>
    <cellStyle name="Normal 13 2 4 2 2 5" xfId="10335" xr:uid="{00000000-0005-0000-0000-00004E280000}"/>
    <cellStyle name="Normal 13 2 4 2 2 6" xfId="10336" xr:uid="{00000000-0005-0000-0000-00004F280000}"/>
    <cellStyle name="Normal 13 2 4 2 2 7" xfId="10337" xr:uid="{00000000-0005-0000-0000-000050280000}"/>
    <cellStyle name="Normal 13 2 4 2 2 8" xfId="10338" xr:uid="{00000000-0005-0000-0000-000051280000}"/>
    <cellStyle name="Normal 13 2 4 2 3" xfId="10339" xr:uid="{00000000-0005-0000-0000-000052280000}"/>
    <cellStyle name="Normal 13 2 4 2 3 2" xfId="10340" xr:uid="{00000000-0005-0000-0000-000053280000}"/>
    <cellStyle name="Normal 13 2 4 2 3 2 2" xfId="10341" xr:uid="{00000000-0005-0000-0000-000054280000}"/>
    <cellStyle name="Normal 13 2 4 2 3 2 3" xfId="10342" xr:uid="{00000000-0005-0000-0000-000055280000}"/>
    <cellStyle name="Normal 13 2 4 2 3 2 4" xfId="10343" xr:uid="{00000000-0005-0000-0000-000056280000}"/>
    <cellStyle name="Normal 13 2 4 2 3 2 5" xfId="10344" xr:uid="{00000000-0005-0000-0000-000057280000}"/>
    <cellStyle name="Normal 13 2 4 2 3 2 6" xfId="10345" xr:uid="{00000000-0005-0000-0000-000058280000}"/>
    <cellStyle name="Normal 13 2 4 2 3 3" xfId="10346" xr:uid="{00000000-0005-0000-0000-000059280000}"/>
    <cellStyle name="Normal 13 2 4 2 3 3 2" xfId="10347" xr:uid="{00000000-0005-0000-0000-00005A280000}"/>
    <cellStyle name="Normal 13 2 4 2 3 3 3" xfId="10348" xr:uid="{00000000-0005-0000-0000-00005B280000}"/>
    <cellStyle name="Normal 13 2 4 2 3 3 4" xfId="10349" xr:uid="{00000000-0005-0000-0000-00005C280000}"/>
    <cellStyle name="Normal 13 2 4 2 3 3 5" xfId="10350" xr:uid="{00000000-0005-0000-0000-00005D280000}"/>
    <cellStyle name="Normal 13 2 4 2 3 3 6" xfId="10351" xr:uid="{00000000-0005-0000-0000-00005E280000}"/>
    <cellStyle name="Normal 13 2 4 2 3 4" xfId="10352" xr:uid="{00000000-0005-0000-0000-00005F280000}"/>
    <cellStyle name="Normal 13 2 4 2 3 5" xfId="10353" xr:uid="{00000000-0005-0000-0000-000060280000}"/>
    <cellStyle name="Normal 13 2 4 2 3 6" xfId="10354" xr:uid="{00000000-0005-0000-0000-000061280000}"/>
    <cellStyle name="Normal 13 2 4 2 3 7" xfId="10355" xr:uid="{00000000-0005-0000-0000-000062280000}"/>
    <cellStyle name="Normal 13 2 4 2 3 8" xfId="10356" xr:uid="{00000000-0005-0000-0000-000063280000}"/>
    <cellStyle name="Normal 13 2 4 2 4" xfId="10357" xr:uid="{00000000-0005-0000-0000-000064280000}"/>
    <cellStyle name="Normal 13 2 4 2 4 2" xfId="10358" xr:uid="{00000000-0005-0000-0000-000065280000}"/>
    <cellStyle name="Normal 13 2 4 2 4 2 2" xfId="10359" xr:uid="{00000000-0005-0000-0000-000066280000}"/>
    <cellStyle name="Normal 13 2 4 2 4 2 3" xfId="10360" xr:uid="{00000000-0005-0000-0000-000067280000}"/>
    <cellStyle name="Normal 13 2 4 2 4 2 4" xfId="10361" xr:uid="{00000000-0005-0000-0000-000068280000}"/>
    <cellStyle name="Normal 13 2 4 2 4 2 5" xfId="10362" xr:uid="{00000000-0005-0000-0000-000069280000}"/>
    <cellStyle name="Normal 13 2 4 2 4 2 6" xfId="10363" xr:uid="{00000000-0005-0000-0000-00006A280000}"/>
    <cellStyle name="Normal 13 2 4 2 4 3" xfId="10364" xr:uid="{00000000-0005-0000-0000-00006B280000}"/>
    <cellStyle name="Normal 13 2 4 2 4 3 2" xfId="10365" xr:uid="{00000000-0005-0000-0000-00006C280000}"/>
    <cellStyle name="Normal 13 2 4 2 4 3 3" xfId="10366" xr:uid="{00000000-0005-0000-0000-00006D280000}"/>
    <cellStyle name="Normal 13 2 4 2 4 3 4" xfId="10367" xr:uid="{00000000-0005-0000-0000-00006E280000}"/>
    <cellStyle name="Normal 13 2 4 2 4 3 5" xfId="10368" xr:uid="{00000000-0005-0000-0000-00006F280000}"/>
    <cellStyle name="Normal 13 2 4 2 4 3 6" xfId="10369" xr:uid="{00000000-0005-0000-0000-000070280000}"/>
    <cellStyle name="Normal 13 2 4 2 4 4" xfId="10370" xr:uid="{00000000-0005-0000-0000-000071280000}"/>
    <cellStyle name="Normal 13 2 4 2 4 5" xfId="10371" xr:uid="{00000000-0005-0000-0000-000072280000}"/>
    <cellStyle name="Normal 13 2 4 2 4 6" xfId="10372" xr:uid="{00000000-0005-0000-0000-000073280000}"/>
    <cellStyle name="Normal 13 2 4 2 4 7" xfId="10373" xr:uid="{00000000-0005-0000-0000-000074280000}"/>
    <cellStyle name="Normal 13 2 4 2 4 8" xfId="10374" xr:uid="{00000000-0005-0000-0000-000075280000}"/>
    <cellStyle name="Normal 13 2 4 2 5" xfId="10375" xr:uid="{00000000-0005-0000-0000-000076280000}"/>
    <cellStyle name="Normal 13 2 4 2 5 2" xfId="10376" xr:uid="{00000000-0005-0000-0000-000077280000}"/>
    <cellStyle name="Normal 13 2 4 2 5 3" xfId="10377" xr:uid="{00000000-0005-0000-0000-000078280000}"/>
    <cellStyle name="Normal 13 2 4 2 5 4" xfId="10378" xr:uid="{00000000-0005-0000-0000-000079280000}"/>
    <cellStyle name="Normal 13 2 4 2 5 5" xfId="10379" xr:uid="{00000000-0005-0000-0000-00007A280000}"/>
    <cellStyle name="Normal 13 2 4 2 5 6" xfId="10380" xr:uid="{00000000-0005-0000-0000-00007B280000}"/>
    <cellStyle name="Normal 13 2 4 2 6" xfId="10381" xr:uid="{00000000-0005-0000-0000-00007C280000}"/>
    <cellStyle name="Normal 13 2 4 2 6 2" xfId="10382" xr:uid="{00000000-0005-0000-0000-00007D280000}"/>
    <cellStyle name="Normal 13 2 4 2 6 3" xfId="10383" xr:uid="{00000000-0005-0000-0000-00007E280000}"/>
    <cellStyle name="Normal 13 2 4 2 6 4" xfId="10384" xr:uid="{00000000-0005-0000-0000-00007F280000}"/>
    <cellStyle name="Normal 13 2 4 2 6 5" xfId="10385" xr:uid="{00000000-0005-0000-0000-000080280000}"/>
    <cellStyle name="Normal 13 2 4 2 6 6" xfId="10386" xr:uid="{00000000-0005-0000-0000-000081280000}"/>
    <cellStyle name="Normal 13 2 4 2 7" xfId="10387" xr:uid="{00000000-0005-0000-0000-000082280000}"/>
    <cellStyle name="Normal 13 2 4 2 8" xfId="10388" xr:uid="{00000000-0005-0000-0000-000083280000}"/>
    <cellStyle name="Normal 13 2 4 2 9" xfId="10389" xr:uid="{00000000-0005-0000-0000-000084280000}"/>
    <cellStyle name="Normal 13 2 4 3" xfId="10390" xr:uid="{00000000-0005-0000-0000-000085280000}"/>
    <cellStyle name="Normal 13 2 4 3 2" xfId="10391" xr:uid="{00000000-0005-0000-0000-000086280000}"/>
    <cellStyle name="Normal 13 2 4 3 2 2" xfId="10392" xr:uid="{00000000-0005-0000-0000-000087280000}"/>
    <cellStyle name="Normal 13 2 4 3 2 3" xfId="10393" xr:uid="{00000000-0005-0000-0000-000088280000}"/>
    <cellStyle name="Normal 13 2 4 3 2 4" xfId="10394" xr:uid="{00000000-0005-0000-0000-000089280000}"/>
    <cellStyle name="Normal 13 2 4 3 2 5" xfId="10395" xr:uid="{00000000-0005-0000-0000-00008A280000}"/>
    <cellStyle name="Normal 13 2 4 3 2 6" xfId="10396" xr:uid="{00000000-0005-0000-0000-00008B280000}"/>
    <cellStyle name="Normal 13 2 4 3 3" xfId="10397" xr:uid="{00000000-0005-0000-0000-00008C280000}"/>
    <cellStyle name="Normal 13 2 4 3 3 2" xfId="10398" xr:uid="{00000000-0005-0000-0000-00008D280000}"/>
    <cellStyle name="Normal 13 2 4 3 3 3" xfId="10399" xr:uid="{00000000-0005-0000-0000-00008E280000}"/>
    <cellStyle name="Normal 13 2 4 3 3 4" xfId="10400" xr:uid="{00000000-0005-0000-0000-00008F280000}"/>
    <cellStyle name="Normal 13 2 4 3 3 5" xfId="10401" xr:uid="{00000000-0005-0000-0000-000090280000}"/>
    <cellStyle name="Normal 13 2 4 3 3 6" xfId="10402" xr:uid="{00000000-0005-0000-0000-000091280000}"/>
    <cellStyle name="Normal 13 2 4 3 4" xfId="10403" xr:uid="{00000000-0005-0000-0000-000092280000}"/>
    <cellStyle name="Normal 13 2 4 3 5" xfId="10404" xr:uid="{00000000-0005-0000-0000-000093280000}"/>
    <cellStyle name="Normal 13 2 4 3 6" xfId="10405" xr:uid="{00000000-0005-0000-0000-000094280000}"/>
    <cellStyle name="Normal 13 2 4 3 7" xfId="10406" xr:uid="{00000000-0005-0000-0000-000095280000}"/>
    <cellStyle name="Normal 13 2 4 3 8" xfId="10407" xr:uid="{00000000-0005-0000-0000-000096280000}"/>
    <cellStyle name="Normal 13 2 4 4" xfId="10408" xr:uid="{00000000-0005-0000-0000-000097280000}"/>
    <cellStyle name="Normal 13 2 4 4 2" xfId="10409" xr:uid="{00000000-0005-0000-0000-000098280000}"/>
    <cellStyle name="Normal 13 2 4 4 2 2" xfId="10410" xr:uid="{00000000-0005-0000-0000-000099280000}"/>
    <cellStyle name="Normal 13 2 4 4 2 3" xfId="10411" xr:uid="{00000000-0005-0000-0000-00009A280000}"/>
    <cellStyle name="Normal 13 2 4 4 2 4" xfId="10412" xr:uid="{00000000-0005-0000-0000-00009B280000}"/>
    <cellStyle name="Normal 13 2 4 4 2 5" xfId="10413" xr:uid="{00000000-0005-0000-0000-00009C280000}"/>
    <cellStyle name="Normal 13 2 4 4 2 6" xfId="10414" xr:uid="{00000000-0005-0000-0000-00009D280000}"/>
    <cellStyle name="Normal 13 2 4 4 3" xfId="10415" xr:uid="{00000000-0005-0000-0000-00009E280000}"/>
    <cellStyle name="Normal 13 2 4 4 3 2" xfId="10416" xr:uid="{00000000-0005-0000-0000-00009F280000}"/>
    <cellStyle name="Normal 13 2 4 4 3 3" xfId="10417" xr:uid="{00000000-0005-0000-0000-0000A0280000}"/>
    <cellStyle name="Normal 13 2 4 4 3 4" xfId="10418" xr:uid="{00000000-0005-0000-0000-0000A1280000}"/>
    <cellStyle name="Normal 13 2 4 4 3 5" xfId="10419" xr:uid="{00000000-0005-0000-0000-0000A2280000}"/>
    <cellStyle name="Normal 13 2 4 4 3 6" xfId="10420" xr:uid="{00000000-0005-0000-0000-0000A3280000}"/>
    <cellStyle name="Normal 13 2 4 4 4" xfId="10421" xr:uid="{00000000-0005-0000-0000-0000A4280000}"/>
    <cellStyle name="Normal 13 2 4 4 5" xfId="10422" xr:uid="{00000000-0005-0000-0000-0000A5280000}"/>
    <cellStyle name="Normal 13 2 4 4 6" xfId="10423" xr:uid="{00000000-0005-0000-0000-0000A6280000}"/>
    <cellStyle name="Normal 13 2 4 4 7" xfId="10424" xr:uid="{00000000-0005-0000-0000-0000A7280000}"/>
    <cellStyle name="Normal 13 2 4 4 8" xfId="10425" xr:uid="{00000000-0005-0000-0000-0000A8280000}"/>
    <cellStyle name="Normal 13 2 4 5" xfId="10426" xr:uid="{00000000-0005-0000-0000-0000A9280000}"/>
    <cellStyle name="Normal 13 2 4 5 2" xfId="10427" xr:uid="{00000000-0005-0000-0000-0000AA280000}"/>
    <cellStyle name="Normal 13 2 4 5 2 2" xfId="10428" xr:uid="{00000000-0005-0000-0000-0000AB280000}"/>
    <cellStyle name="Normal 13 2 4 5 2 3" xfId="10429" xr:uid="{00000000-0005-0000-0000-0000AC280000}"/>
    <cellStyle name="Normal 13 2 4 5 2 4" xfId="10430" xr:uid="{00000000-0005-0000-0000-0000AD280000}"/>
    <cellStyle name="Normal 13 2 4 5 2 5" xfId="10431" xr:uid="{00000000-0005-0000-0000-0000AE280000}"/>
    <cellStyle name="Normal 13 2 4 5 2 6" xfId="10432" xr:uid="{00000000-0005-0000-0000-0000AF280000}"/>
    <cellStyle name="Normal 13 2 4 5 3" xfId="10433" xr:uid="{00000000-0005-0000-0000-0000B0280000}"/>
    <cellStyle name="Normal 13 2 4 5 3 2" xfId="10434" xr:uid="{00000000-0005-0000-0000-0000B1280000}"/>
    <cellStyle name="Normal 13 2 4 5 3 3" xfId="10435" xr:uid="{00000000-0005-0000-0000-0000B2280000}"/>
    <cellStyle name="Normal 13 2 4 5 3 4" xfId="10436" xr:uid="{00000000-0005-0000-0000-0000B3280000}"/>
    <cellStyle name="Normal 13 2 4 5 3 5" xfId="10437" xr:uid="{00000000-0005-0000-0000-0000B4280000}"/>
    <cellStyle name="Normal 13 2 4 5 3 6" xfId="10438" xr:uid="{00000000-0005-0000-0000-0000B5280000}"/>
    <cellStyle name="Normal 13 2 4 5 4" xfId="10439" xr:uid="{00000000-0005-0000-0000-0000B6280000}"/>
    <cellStyle name="Normal 13 2 4 5 5" xfId="10440" xr:uid="{00000000-0005-0000-0000-0000B7280000}"/>
    <cellStyle name="Normal 13 2 4 5 6" xfId="10441" xr:uid="{00000000-0005-0000-0000-0000B8280000}"/>
    <cellStyle name="Normal 13 2 4 5 7" xfId="10442" xr:uid="{00000000-0005-0000-0000-0000B9280000}"/>
    <cellStyle name="Normal 13 2 4 5 8" xfId="10443" xr:uid="{00000000-0005-0000-0000-0000BA280000}"/>
    <cellStyle name="Normal 13 2 4 6" xfId="10444" xr:uid="{00000000-0005-0000-0000-0000BB280000}"/>
    <cellStyle name="Normal 13 2 4 6 2" xfId="10445" xr:uid="{00000000-0005-0000-0000-0000BC280000}"/>
    <cellStyle name="Normal 13 2 4 6 3" xfId="10446" xr:uid="{00000000-0005-0000-0000-0000BD280000}"/>
    <cellStyle name="Normal 13 2 4 6 4" xfId="10447" xr:uid="{00000000-0005-0000-0000-0000BE280000}"/>
    <cellStyle name="Normal 13 2 4 6 5" xfId="10448" xr:uid="{00000000-0005-0000-0000-0000BF280000}"/>
    <cellStyle name="Normal 13 2 4 6 6" xfId="10449" xr:uid="{00000000-0005-0000-0000-0000C0280000}"/>
    <cellStyle name="Normal 13 2 4 7" xfId="10450" xr:uid="{00000000-0005-0000-0000-0000C1280000}"/>
    <cellStyle name="Normal 13 2 4 7 2" xfId="10451" xr:uid="{00000000-0005-0000-0000-0000C2280000}"/>
    <cellStyle name="Normal 13 2 4 7 3" xfId="10452" xr:uid="{00000000-0005-0000-0000-0000C3280000}"/>
    <cellStyle name="Normal 13 2 4 7 4" xfId="10453" xr:uid="{00000000-0005-0000-0000-0000C4280000}"/>
    <cellStyle name="Normal 13 2 4 7 5" xfId="10454" xr:uid="{00000000-0005-0000-0000-0000C5280000}"/>
    <cellStyle name="Normal 13 2 4 7 6" xfId="10455" xr:uid="{00000000-0005-0000-0000-0000C6280000}"/>
    <cellStyle name="Normal 13 2 4 8" xfId="10456" xr:uid="{00000000-0005-0000-0000-0000C7280000}"/>
    <cellStyle name="Normal 13 2 4 9" xfId="10457" xr:uid="{00000000-0005-0000-0000-0000C8280000}"/>
    <cellStyle name="Normal 13 2 5" xfId="10458" xr:uid="{00000000-0005-0000-0000-0000C9280000}"/>
    <cellStyle name="Normal 13 2 5 10" xfId="10459" xr:uid="{00000000-0005-0000-0000-0000CA280000}"/>
    <cellStyle name="Normal 13 2 5 11" xfId="10460" xr:uid="{00000000-0005-0000-0000-0000CB280000}"/>
    <cellStyle name="Normal 13 2 5 2" xfId="10461" xr:uid="{00000000-0005-0000-0000-0000CC280000}"/>
    <cellStyle name="Normal 13 2 5 2 2" xfId="10462" xr:uid="{00000000-0005-0000-0000-0000CD280000}"/>
    <cellStyle name="Normal 13 2 5 2 2 2" xfId="10463" xr:uid="{00000000-0005-0000-0000-0000CE280000}"/>
    <cellStyle name="Normal 13 2 5 2 2 3" xfId="10464" xr:uid="{00000000-0005-0000-0000-0000CF280000}"/>
    <cellStyle name="Normal 13 2 5 2 2 4" xfId="10465" xr:uid="{00000000-0005-0000-0000-0000D0280000}"/>
    <cellStyle name="Normal 13 2 5 2 2 5" xfId="10466" xr:uid="{00000000-0005-0000-0000-0000D1280000}"/>
    <cellStyle name="Normal 13 2 5 2 2 6" xfId="10467" xr:uid="{00000000-0005-0000-0000-0000D2280000}"/>
    <cellStyle name="Normal 13 2 5 2 3" xfId="10468" xr:uid="{00000000-0005-0000-0000-0000D3280000}"/>
    <cellStyle name="Normal 13 2 5 2 3 2" xfId="10469" xr:uid="{00000000-0005-0000-0000-0000D4280000}"/>
    <cellStyle name="Normal 13 2 5 2 3 3" xfId="10470" xr:uid="{00000000-0005-0000-0000-0000D5280000}"/>
    <cellStyle name="Normal 13 2 5 2 3 4" xfId="10471" xr:uid="{00000000-0005-0000-0000-0000D6280000}"/>
    <cellStyle name="Normal 13 2 5 2 3 5" xfId="10472" xr:uid="{00000000-0005-0000-0000-0000D7280000}"/>
    <cellStyle name="Normal 13 2 5 2 3 6" xfId="10473" xr:uid="{00000000-0005-0000-0000-0000D8280000}"/>
    <cellStyle name="Normal 13 2 5 2 4" xfId="10474" xr:uid="{00000000-0005-0000-0000-0000D9280000}"/>
    <cellStyle name="Normal 13 2 5 2 5" xfId="10475" xr:uid="{00000000-0005-0000-0000-0000DA280000}"/>
    <cellStyle name="Normal 13 2 5 2 6" xfId="10476" xr:uid="{00000000-0005-0000-0000-0000DB280000}"/>
    <cellStyle name="Normal 13 2 5 2 7" xfId="10477" xr:uid="{00000000-0005-0000-0000-0000DC280000}"/>
    <cellStyle name="Normal 13 2 5 2 8" xfId="10478" xr:uid="{00000000-0005-0000-0000-0000DD280000}"/>
    <cellStyle name="Normal 13 2 5 3" xfId="10479" xr:uid="{00000000-0005-0000-0000-0000DE280000}"/>
    <cellStyle name="Normal 13 2 5 3 2" xfId="10480" xr:uid="{00000000-0005-0000-0000-0000DF280000}"/>
    <cellStyle name="Normal 13 2 5 3 2 2" xfId="10481" xr:uid="{00000000-0005-0000-0000-0000E0280000}"/>
    <cellStyle name="Normal 13 2 5 3 2 3" xfId="10482" xr:uid="{00000000-0005-0000-0000-0000E1280000}"/>
    <cellStyle name="Normal 13 2 5 3 2 4" xfId="10483" xr:uid="{00000000-0005-0000-0000-0000E2280000}"/>
    <cellStyle name="Normal 13 2 5 3 2 5" xfId="10484" xr:uid="{00000000-0005-0000-0000-0000E3280000}"/>
    <cellStyle name="Normal 13 2 5 3 2 6" xfId="10485" xr:uid="{00000000-0005-0000-0000-0000E4280000}"/>
    <cellStyle name="Normal 13 2 5 3 3" xfId="10486" xr:uid="{00000000-0005-0000-0000-0000E5280000}"/>
    <cellStyle name="Normal 13 2 5 3 3 2" xfId="10487" xr:uid="{00000000-0005-0000-0000-0000E6280000}"/>
    <cellStyle name="Normal 13 2 5 3 3 3" xfId="10488" xr:uid="{00000000-0005-0000-0000-0000E7280000}"/>
    <cellStyle name="Normal 13 2 5 3 3 4" xfId="10489" xr:uid="{00000000-0005-0000-0000-0000E8280000}"/>
    <cellStyle name="Normal 13 2 5 3 3 5" xfId="10490" xr:uid="{00000000-0005-0000-0000-0000E9280000}"/>
    <cellStyle name="Normal 13 2 5 3 3 6" xfId="10491" xr:uid="{00000000-0005-0000-0000-0000EA280000}"/>
    <cellStyle name="Normal 13 2 5 3 4" xfId="10492" xr:uid="{00000000-0005-0000-0000-0000EB280000}"/>
    <cellStyle name="Normal 13 2 5 3 5" xfId="10493" xr:uid="{00000000-0005-0000-0000-0000EC280000}"/>
    <cellStyle name="Normal 13 2 5 3 6" xfId="10494" xr:uid="{00000000-0005-0000-0000-0000ED280000}"/>
    <cellStyle name="Normal 13 2 5 3 7" xfId="10495" xr:uid="{00000000-0005-0000-0000-0000EE280000}"/>
    <cellStyle name="Normal 13 2 5 3 8" xfId="10496" xr:uid="{00000000-0005-0000-0000-0000EF280000}"/>
    <cellStyle name="Normal 13 2 5 4" xfId="10497" xr:uid="{00000000-0005-0000-0000-0000F0280000}"/>
    <cellStyle name="Normal 13 2 5 4 2" xfId="10498" xr:uid="{00000000-0005-0000-0000-0000F1280000}"/>
    <cellStyle name="Normal 13 2 5 4 2 2" xfId="10499" xr:uid="{00000000-0005-0000-0000-0000F2280000}"/>
    <cellStyle name="Normal 13 2 5 4 2 3" xfId="10500" xr:uid="{00000000-0005-0000-0000-0000F3280000}"/>
    <cellStyle name="Normal 13 2 5 4 2 4" xfId="10501" xr:uid="{00000000-0005-0000-0000-0000F4280000}"/>
    <cellStyle name="Normal 13 2 5 4 2 5" xfId="10502" xr:uid="{00000000-0005-0000-0000-0000F5280000}"/>
    <cellStyle name="Normal 13 2 5 4 2 6" xfId="10503" xr:uid="{00000000-0005-0000-0000-0000F6280000}"/>
    <cellStyle name="Normal 13 2 5 4 3" xfId="10504" xr:uid="{00000000-0005-0000-0000-0000F7280000}"/>
    <cellStyle name="Normal 13 2 5 4 3 2" xfId="10505" xr:uid="{00000000-0005-0000-0000-0000F8280000}"/>
    <cellStyle name="Normal 13 2 5 4 3 3" xfId="10506" xr:uid="{00000000-0005-0000-0000-0000F9280000}"/>
    <cellStyle name="Normal 13 2 5 4 3 4" xfId="10507" xr:uid="{00000000-0005-0000-0000-0000FA280000}"/>
    <cellStyle name="Normal 13 2 5 4 3 5" xfId="10508" xr:uid="{00000000-0005-0000-0000-0000FB280000}"/>
    <cellStyle name="Normal 13 2 5 4 3 6" xfId="10509" xr:uid="{00000000-0005-0000-0000-0000FC280000}"/>
    <cellStyle name="Normal 13 2 5 4 4" xfId="10510" xr:uid="{00000000-0005-0000-0000-0000FD280000}"/>
    <cellStyle name="Normal 13 2 5 4 5" xfId="10511" xr:uid="{00000000-0005-0000-0000-0000FE280000}"/>
    <cellStyle name="Normal 13 2 5 4 6" xfId="10512" xr:uid="{00000000-0005-0000-0000-0000FF280000}"/>
    <cellStyle name="Normal 13 2 5 4 7" xfId="10513" xr:uid="{00000000-0005-0000-0000-000000290000}"/>
    <cellStyle name="Normal 13 2 5 4 8" xfId="10514" xr:uid="{00000000-0005-0000-0000-000001290000}"/>
    <cellStyle name="Normal 13 2 5 5" xfId="10515" xr:uid="{00000000-0005-0000-0000-000002290000}"/>
    <cellStyle name="Normal 13 2 5 5 2" xfId="10516" xr:uid="{00000000-0005-0000-0000-000003290000}"/>
    <cellStyle name="Normal 13 2 5 5 3" xfId="10517" xr:uid="{00000000-0005-0000-0000-000004290000}"/>
    <cellStyle name="Normal 13 2 5 5 4" xfId="10518" xr:uid="{00000000-0005-0000-0000-000005290000}"/>
    <cellStyle name="Normal 13 2 5 5 5" xfId="10519" xr:uid="{00000000-0005-0000-0000-000006290000}"/>
    <cellStyle name="Normal 13 2 5 5 6" xfId="10520" xr:uid="{00000000-0005-0000-0000-000007290000}"/>
    <cellStyle name="Normal 13 2 5 6" xfId="10521" xr:uid="{00000000-0005-0000-0000-000008290000}"/>
    <cellStyle name="Normal 13 2 5 6 2" xfId="10522" xr:uid="{00000000-0005-0000-0000-000009290000}"/>
    <cellStyle name="Normal 13 2 5 6 3" xfId="10523" xr:uid="{00000000-0005-0000-0000-00000A290000}"/>
    <cellStyle name="Normal 13 2 5 6 4" xfId="10524" xr:uid="{00000000-0005-0000-0000-00000B290000}"/>
    <cellStyle name="Normal 13 2 5 6 5" xfId="10525" xr:uid="{00000000-0005-0000-0000-00000C290000}"/>
    <cellStyle name="Normal 13 2 5 6 6" xfId="10526" xr:uid="{00000000-0005-0000-0000-00000D290000}"/>
    <cellStyle name="Normal 13 2 5 7" xfId="10527" xr:uid="{00000000-0005-0000-0000-00000E290000}"/>
    <cellStyle name="Normal 13 2 5 8" xfId="10528" xr:uid="{00000000-0005-0000-0000-00000F290000}"/>
    <cellStyle name="Normal 13 2 5 9" xfId="10529" xr:uid="{00000000-0005-0000-0000-000010290000}"/>
    <cellStyle name="Normal 13 2 6" xfId="10530" xr:uid="{00000000-0005-0000-0000-000011290000}"/>
    <cellStyle name="Normal 13 2 6 2" xfId="10531" xr:uid="{00000000-0005-0000-0000-000012290000}"/>
    <cellStyle name="Normal 13 2 6 2 2" xfId="10532" xr:uid="{00000000-0005-0000-0000-000013290000}"/>
    <cellStyle name="Normal 13 2 6 2 3" xfId="10533" xr:uid="{00000000-0005-0000-0000-000014290000}"/>
    <cellStyle name="Normal 13 2 6 2 4" xfId="10534" xr:uid="{00000000-0005-0000-0000-000015290000}"/>
    <cellStyle name="Normal 13 2 6 2 5" xfId="10535" xr:uid="{00000000-0005-0000-0000-000016290000}"/>
    <cellStyle name="Normal 13 2 6 2 6" xfId="10536" xr:uid="{00000000-0005-0000-0000-000017290000}"/>
    <cellStyle name="Normal 13 2 6 3" xfId="10537" xr:uid="{00000000-0005-0000-0000-000018290000}"/>
    <cellStyle name="Normal 13 2 6 3 2" xfId="10538" xr:uid="{00000000-0005-0000-0000-000019290000}"/>
    <cellStyle name="Normal 13 2 6 3 3" xfId="10539" xr:uid="{00000000-0005-0000-0000-00001A290000}"/>
    <cellStyle name="Normal 13 2 6 3 4" xfId="10540" xr:uid="{00000000-0005-0000-0000-00001B290000}"/>
    <cellStyle name="Normal 13 2 6 3 5" xfId="10541" xr:uid="{00000000-0005-0000-0000-00001C290000}"/>
    <cellStyle name="Normal 13 2 6 3 6" xfId="10542" xr:uid="{00000000-0005-0000-0000-00001D290000}"/>
    <cellStyle name="Normal 13 2 6 4" xfId="10543" xr:uid="{00000000-0005-0000-0000-00001E290000}"/>
    <cellStyle name="Normal 13 2 6 5" xfId="10544" xr:uid="{00000000-0005-0000-0000-00001F290000}"/>
    <cellStyle name="Normal 13 2 6 6" xfId="10545" xr:uid="{00000000-0005-0000-0000-000020290000}"/>
    <cellStyle name="Normal 13 2 6 7" xfId="10546" xr:uid="{00000000-0005-0000-0000-000021290000}"/>
    <cellStyle name="Normal 13 2 6 8" xfId="10547" xr:uid="{00000000-0005-0000-0000-000022290000}"/>
    <cellStyle name="Normal 13 2 7" xfId="10548" xr:uid="{00000000-0005-0000-0000-000023290000}"/>
    <cellStyle name="Normal 13 2 7 2" xfId="10549" xr:uid="{00000000-0005-0000-0000-000024290000}"/>
    <cellStyle name="Normal 13 2 7 2 2" xfId="10550" xr:uid="{00000000-0005-0000-0000-000025290000}"/>
    <cellStyle name="Normal 13 2 7 2 3" xfId="10551" xr:uid="{00000000-0005-0000-0000-000026290000}"/>
    <cellStyle name="Normal 13 2 7 2 4" xfId="10552" xr:uid="{00000000-0005-0000-0000-000027290000}"/>
    <cellStyle name="Normal 13 2 7 2 5" xfId="10553" xr:uid="{00000000-0005-0000-0000-000028290000}"/>
    <cellStyle name="Normal 13 2 7 2 6" xfId="10554" xr:uid="{00000000-0005-0000-0000-000029290000}"/>
    <cellStyle name="Normal 13 2 7 3" xfId="10555" xr:uid="{00000000-0005-0000-0000-00002A290000}"/>
    <cellStyle name="Normal 13 2 7 3 2" xfId="10556" xr:uid="{00000000-0005-0000-0000-00002B290000}"/>
    <cellStyle name="Normal 13 2 7 3 3" xfId="10557" xr:uid="{00000000-0005-0000-0000-00002C290000}"/>
    <cellStyle name="Normal 13 2 7 3 4" xfId="10558" xr:uid="{00000000-0005-0000-0000-00002D290000}"/>
    <cellStyle name="Normal 13 2 7 3 5" xfId="10559" xr:uid="{00000000-0005-0000-0000-00002E290000}"/>
    <cellStyle name="Normal 13 2 7 3 6" xfId="10560" xr:uid="{00000000-0005-0000-0000-00002F290000}"/>
    <cellStyle name="Normal 13 2 7 4" xfId="10561" xr:uid="{00000000-0005-0000-0000-000030290000}"/>
    <cellStyle name="Normal 13 2 7 5" xfId="10562" xr:uid="{00000000-0005-0000-0000-000031290000}"/>
    <cellStyle name="Normal 13 2 7 6" xfId="10563" xr:uid="{00000000-0005-0000-0000-000032290000}"/>
    <cellStyle name="Normal 13 2 7 7" xfId="10564" xr:uid="{00000000-0005-0000-0000-000033290000}"/>
    <cellStyle name="Normal 13 2 7 8" xfId="10565" xr:uid="{00000000-0005-0000-0000-000034290000}"/>
    <cellStyle name="Normal 13 2 8" xfId="10566" xr:uid="{00000000-0005-0000-0000-000035290000}"/>
    <cellStyle name="Normal 13 2 8 2" xfId="10567" xr:uid="{00000000-0005-0000-0000-000036290000}"/>
    <cellStyle name="Normal 13 2 8 2 2" xfId="10568" xr:uid="{00000000-0005-0000-0000-000037290000}"/>
    <cellStyle name="Normal 13 2 8 2 3" xfId="10569" xr:uid="{00000000-0005-0000-0000-000038290000}"/>
    <cellStyle name="Normal 13 2 8 2 4" xfId="10570" xr:uid="{00000000-0005-0000-0000-000039290000}"/>
    <cellStyle name="Normal 13 2 8 2 5" xfId="10571" xr:uid="{00000000-0005-0000-0000-00003A290000}"/>
    <cellStyle name="Normal 13 2 8 2 6" xfId="10572" xr:uid="{00000000-0005-0000-0000-00003B290000}"/>
    <cellStyle name="Normal 13 2 8 3" xfId="10573" xr:uid="{00000000-0005-0000-0000-00003C290000}"/>
    <cellStyle name="Normal 13 2 8 3 2" xfId="10574" xr:uid="{00000000-0005-0000-0000-00003D290000}"/>
    <cellStyle name="Normal 13 2 8 3 3" xfId="10575" xr:uid="{00000000-0005-0000-0000-00003E290000}"/>
    <cellStyle name="Normal 13 2 8 3 4" xfId="10576" xr:uid="{00000000-0005-0000-0000-00003F290000}"/>
    <cellStyle name="Normal 13 2 8 3 5" xfId="10577" xr:uid="{00000000-0005-0000-0000-000040290000}"/>
    <cellStyle name="Normal 13 2 8 3 6" xfId="10578" xr:uid="{00000000-0005-0000-0000-000041290000}"/>
    <cellStyle name="Normal 13 2 8 4" xfId="10579" xr:uid="{00000000-0005-0000-0000-000042290000}"/>
    <cellStyle name="Normal 13 2 8 5" xfId="10580" xr:uid="{00000000-0005-0000-0000-000043290000}"/>
    <cellStyle name="Normal 13 2 8 6" xfId="10581" xr:uid="{00000000-0005-0000-0000-000044290000}"/>
    <cellStyle name="Normal 13 2 8 7" xfId="10582" xr:uid="{00000000-0005-0000-0000-000045290000}"/>
    <cellStyle name="Normal 13 2 8 8" xfId="10583" xr:uid="{00000000-0005-0000-0000-000046290000}"/>
    <cellStyle name="Normal 13 2 9" xfId="10584" xr:uid="{00000000-0005-0000-0000-000047290000}"/>
    <cellStyle name="Normal 13 2 9 2" xfId="10585" xr:uid="{00000000-0005-0000-0000-000048290000}"/>
    <cellStyle name="Normal 13 2 9 3" xfId="10586" xr:uid="{00000000-0005-0000-0000-000049290000}"/>
    <cellStyle name="Normal 13 2 9 4" xfId="10587" xr:uid="{00000000-0005-0000-0000-00004A290000}"/>
    <cellStyle name="Normal 13 2 9 5" xfId="10588" xr:uid="{00000000-0005-0000-0000-00004B290000}"/>
    <cellStyle name="Normal 13 2 9 6" xfId="10589" xr:uid="{00000000-0005-0000-0000-00004C290000}"/>
    <cellStyle name="Normal 13 3" xfId="10590" xr:uid="{00000000-0005-0000-0000-00004D290000}"/>
    <cellStyle name="Normal 13 3 10" xfId="10591" xr:uid="{00000000-0005-0000-0000-00004E290000}"/>
    <cellStyle name="Normal 13 3 10 2" xfId="10592" xr:uid="{00000000-0005-0000-0000-00004F290000}"/>
    <cellStyle name="Normal 13 3 10 3" xfId="10593" xr:uid="{00000000-0005-0000-0000-000050290000}"/>
    <cellStyle name="Normal 13 3 10 4" xfId="10594" xr:uid="{00000000-0005-0000-0000-000051290000}"/>
    <cellStyle name="Normal 13 3 10 5" xfId="10595" xr:uid="{00000000-0005-0000-0000-000052290000}"/>
    <cellStyle name="Normal 13 3 10 6" xfId="10596" xr:uid="{00000000-0005-0000-0000-000053290000}"/>
    <cellStyle name="Normal 13 3 11" xfId="10597" xr:uid="{00000000-0005-0000-0000-000054290000}"/>
    <cellStyle name="Normal 13 3 12" xfId="10598" xr:uid="{00000000-0005-0000-0000-000055290000}"/>
    <cellStyle name="Normal 13 3 13" xfId="10599" xr:uid="{00000000-0005-0000-0000-000056290000}"/>
    <cellStyle name="Normal 13 3 14" xfId="10600" xr:uid="{00000000-0005-0000-0000-000057290000}"/>
    <cellStyle name="Normal 13 3 15" xfId="10601" xr:uid="{00000000-0005-0000-0000-000058290000}"/>
    <cellStyle name="Normal 13 3 2" xfId="10602" xr:uid="{00000000-0005-0000-0000-000059290000}"/>
    <cellStyle name="Normal 13 3 2 10" xfId="10603" xr:uid="{00000000-0005-0000-0000-00005A290000}"/>
    <cellStyle name="Normal 13 3 2 11" xfId="10604" xr:uid="{00000000-0005-0000-0000-00005B290000}"/>
    <cellStyle name="Normal 13 3 2 12" xfId="10605" xr:uid="{00000000-0005-0000-0000-00005C290000}"/>
    <cellStyle name="Normal 13 3 2 13" xfId="10606" xr:uid="{00000000-0005-0000-0000-00005D290000}"/>
    <cellStyle name="Normal 13 3 2 14" xfId="10607" xr:uid="{00000000-0005-0000-0000-00005E290000}"/>
    <cellStyle name="Normal 13 3 2 2" xfId="10608" xr:uid="{00000000-0005-0000-0000-00005F290000}"/>
    <cellStyle name="Normal 13 3 2 2 10" xfId="10609" xr:uid="{00000000-0005-0000-0000-000060290000}"/>
    <cellStyle name="Normal 13 3 2 2 11" xfId="10610" xr:uid="{00000000-0005-0000-0000-000061290000}"/>
    <cellStyle name="Normal 13 3 2 2 12" xfId="10611" xr:uid="{00000000-0005-0000-0000-000062290000}"/>
    <cellStyle name="Normal 13 3 2 2 2" xfId="10612" xr:uid="{00000000-0005-0000-0000-000063290000}"/>
    <cellStyle name="Normal 13 3 2 2 2 10" xfId="10613" xr:uid="{00000000-0005-0000-0000-000064290000}"/>
    <cellStyle name="Normal 13 3 2 2 2 11" xfId="10614" xr:uid="{00000000-0005-0000-0000-000065290000}"/>
    <cellStyle name="Normal 13 3 2 2 2 2" xfId="10615" xr:uid="{00000000-0005-0000-0000-000066290000}"/>
    <cellStyle name="Normal 13 3 2 2 2 2 2" xfId="10616" xr:uid="{00000000-0005-0000-0000-000067290000}"/>
    <cellStyle name="Normal 13 3 2 2 2 2 2 2" xfId="10617" xr:uid="{00000000-0005-0000-0000-000068290000}"/>
    <cellStyle name="Normal 13 3 2 2 2 2 2 3" xfId="10618" xr:uid="{00000000-0005-0000-0000-000069290000}"/>
    <cellStyle name="Normal 13 3 2 2 2 2 2 4" xfId="10619" xr:uid="{00000000-0005-0000-0000-00006A290000}"/>
    <cellStyle name="Normal 13 3 2 2 2 2 2 5" xfId="10620" xr:uid="{00000000-0005-0000-0000-00006B290000}"/>
    <cellStyle name="Normal 13 3 2 2 2 2 2 6" xfId="10621" xr:uid="{00000000-0005-0000-0000-00006C290000}"/>
    <cellStyle name="Normal 13 3 2 2 2 2 3" xfId="10622" xr:uid="{00000000-0005-0000-0000-00006D290000}"/>
    <cellStyle name="Normal 13 3 2 2 2 2 3 2" xfId="10623" xr:uid="{00000000-0005-0000-0000-00006E290000}"/>
    <cellStyle name="Normal 13 3 2 2 2 2 3 3" xfId="10624" xr:uid="{00000000-0005-0000-0000-00006F290000}"/>
    <cellStyle name="Normal 13 3 2 2 2 2 3 4" xfId="10625" xr:uid="{00000000-0005-0000-0000-000070290000}"/>
    <cellStyle name="Normal 13 3 2 2 2 2 3 5" xfId="10626" xr:uid="{00000000-0005-0000-0000-000071290000}"/>
    <cellStyle name="Normal 13 3 2 2 2 2 3 6" xfId="10627" xr:uid="{00000000-0005-0000-0000-000072290000}"/>
    <cellStyle name="Normal 13 3 2 2 2 2 4" xfId="10628" xr:uid="{00000000-0005-0000-0000-000073290000}"/>
    <cellStyle name="Normal 13 3 2 2 2 2 5" xfId="10629" xr:uid="{00000000-0005-0000-0000-000074290000}"/>
    <cellStyle name="Normal 13 3 2 2 2 2 6" xfId="10630" xr:uid="{00000000-0005-0000-0000-000075290000}"/>
    <cellStyle name="Normal 13 3 2 2 2 2 7" xfId="10631" xr:uid="{00000000-0005-0000-0000-000076290000}"/>
    <cellStyle name="Normal 13 3 2 2 2 2 8" xfId="10632" xr:uid="{00000000-0005-0000-0000-000077290000}"/>
    <cellStyle name="Normal 13 3 2 2 2 3" xfId="10633" xr:uid="{00000000-0005-0000-0000-000078290000}"/>
    <cellStyle name="Normal 13 3 2 2 2 3 2" xfId="10634" xr:uid="{00000000-0005-0000-0000-000079290000}"/>
    <cellStyle name="Normal 13 3 2 2 2 3 2 2" xfId="10635" xr:uid="{00000000-0005-0000-0000-00007A290000}"/>
    <cellStyle name="Normal 13 3 2 2 2 3 2 3" xfId="10636" xr:uid="{00000000-0005-0000-0000-00007B290000}"/>
    <cellStyle name="Normal 13 3 2 2 2 3 2 4" xfId="10637" xr:uid="{00000000-0005-0000-0000-00007C290000}"/>
    <cellStyle name="Normal 13 3 2 2 2 3 2 5" xfId="10638" xr:uid="{00000000-0005-0000-0000-00007D290000}"/>
    <cellStyle name="Normal 13 3 2 2 2 3 2 6" xfId="10639" xr:uid="{00000000-0005-0000-0000-00007E290000}"/>
    <cellStyle name="Normal 13 3 2 2 2 3 3" xfId="10640" xr:uid="{00000000-0005-0000-0000-00007F290000}"/>
    <cellStyle name="Normal 13 3 2 2 2 3 3 2" xfId="10641" xr:uid="{00000000-0005-0000-0000-000080290000}"/>
    <cellStyle name="Normal 13 3 2 2 2 3 3 3" xfId="10642" xr:uid="{00000000-0005-0000-0000-000081290000}"/>
    <cellStyle name="Normal 13 3 2 2 2 3 3 4" xfId="10643" xr:uid="{00000000-0005-0000-0000-000082290000}"/>
    <cellStyle name="Normal 13 3 2 2 2 3 3 5" xfId="10644" xr:uid="{00000000-0005-0000-0000-000083290000}"/>
    <cellStyle name="Normal 13 3 2 2 2 3 3 6" xfId="10645" xr:uid="{00000000-0005-0000-0000-000084290000}"/>
    <cellStyle name="Normal 13 3 2 2 2 3 4" xfId="10646" xr:uid="{00000000-0005-0000-0000-000085290000}"/>
    <cellStyle name="Normal 13 3 2 2 2 3 5" xfId="10647" xr:uid="{00000000-0005-0000-0000-000086290000}"/>
    <cellStyle name="Normal 13 3 2 2 2 3 6" xfId="10648" xr:uid="{00000000-0005-0000-0000-000087290000}"/>
    <cellStyle name="Normal 13 3 2 2 2 3 7" xfId="10649" xr:uid="{00000000-0005-0000-0000-000088290000}"/>
    <cellStyle name="Normal 13 3 2 2 2 3 8" xfId="10650" xr:uid="{00000000-0005-0000-0000-000089290000}"/>
    <cellStyle name="Normal 13 3 2 2 2 4" xfId="10651" xr:uid="{00000000-0005-0000-0000-00008A290000}"/>
    <cellStyle name="Normal 13 3 2 2 2 4 2" xfId="10652" xr:uid="{00000000-0005-0000-0000-00008B290000}"/>
    <cellStyle name="Normal 13 3 2 2 2 4 2 2" xfId="10653" xr:uid="{00000000-0005-0000-0000-00008C290000}"/>
    <cellStyle name="Normal 13 3 2 2 2 4 2 3" xfId="10654" xr:uid="{00000000-0005-0000-0000-00008D290000}"/>
    <cellStyle name="Normal 13 3 2 2 2 4 2 4" xfId="10655" xr:uid="{00000000-0005-0000-0000-00008E290000}"/>
    <cellStyle name="Normal 13 3 2 2 2 4 2 5" xfId="10656" xr:uid="{00000000-0005-0000-0000-00008F290000}"/>
    <cellStyle name="Normal 13 3 2 2 2 4 2 6" xfId="10657" xr:uid="{00000000-0005-0000-0000-000090290000}"/>
    <cellStyle name="Normal 13 3 2 2 2 4 3" xfId="10658" xr:uid="{00000000-0005-0000-0000-000091290000}"/>
    <cellStyle name="Normal 13 3 2 2 2 4 3 2" xfId="10659" xr:uid="{00000000-0005-0000-0000-000092290000}"/>
    <cellStyle name="Normal 13 3 2 2 2 4 3 3" xfId="10660" xr:uid="{00000000-0005-0000-0000-000093290000}"/>
    <cellStyle name="Normal 13 3 2 2 2 4 3 4" xfId="10661" xr:uid="{00000000-0005-0000-0000-000094290000}"/>
    <cellStyle name="Normal 13 3 2 2 2 4 3 5" xfId="10662" xr:uid="{00000000-0005-0000-0000-000095290000}"/>
    <cellStyle name="Normal 13 3 2 2 2 4 3 6" xfId="10663" xr:uid="{00000000-0005-0000-0000-000096290000}"/>
    <cellStyle name="Normal 13 3 2 2 2 4 4" xfId="10664" xr:uid="{00000000-0005-0000-0000-000097290000}"/>
    <cellStyle name="Normal 13 3 2 2 2 4 5" xfId="10665" xr:uid="{00000000-0005-0000-0000-000098290000}"/>
    <cellStyle name="Normal 13 3 2 2 2 4 6" xfId="10666" xr:uid="{00000000-0005-0000-0000-000099290000}"/>
    <cellStyle name="Normal 13 3 2 2 2 4 7" xfId="10667" xr:uid="{00000000-0005-0000-0000-00009A290000}"/>
    <cellStyle name="Normal 13 3 2 2 2 4 8" xfId="10668" xr:uid="{00000000-0005-0000-0000-00009B290000}"/>
    <cellStyle name="Normal 13 3 2 2 2 5" xfId="10669" xr:uid="{00000000-0005-0000-0000-00009C290000}"/>
    <cellStyle name="Normal 13 3 2 2 2 5 2" xfId="10670" xr:uid="{00000000-0005-0000-0000-00009D290000}"/>
    <cellStyle name="Normal 13 3 2 2 2 5 3" xfId="10671" xr:uid="{00000000-0005-0000-0000-00009E290000}"/>
    <cellStyle name="Normal 13 3 2 2 2 5 4" xfId="10672" xr:uid="{00000000-0005-0000-0000-00009F290000}"/>
    <cellStyle name="Normal 13 3 2 2 2 5 5" xfId="10673" xr:uid="{00000000-0005-0000-0000-0000A0290000}"/>
    <cellStyle name="Normal 13 3 2 2 2 5 6" xfId="10674" xr:uid="{00000000-0005-0000-0000-0000A1290000}"/>
    <cellStyle name="Normal 13 3 2 2 2 6" xfId="10675" xr:uid="{00000000-0005-0000-0000-0000A2290000}"/>
    <cellStyle name="Normal 13 3 2 2 2 6 2" xfId="10676" xr:uid="{00000000-0005-0000-0000-0000A3290000}"/>
    <cellStyle name="Normal 13 3 2 2 2 6 3" xfId="10677" xr:uid="{00000000-0005-0000-0000-0000A4290000}"/>
    <cellStyle name="Normal 13 3 2 2 2 6 4" xfId="10678" xr:uid="{00000000-0005-0000-0000-0000A5290000}"/>
    <cellStyle name="Normal 13 3 2 2 2 6 5" xfId="10679" xr:uid="{00000000-0005-0000-0000-0000A6290000}"/>
    <cellStyle name="Normal 13 3 2 2 2 6 6" xfId="10680" xr:uid="{00000000-0005-0000-0000-0000A7290000}"/>
    <cellStyle name="Normal 13 3 2 2 2 7" xfId="10681" xr:uid="{00000000-0005-0000-0000-0000A8290000}"/>
    <cellStyle name="Normal 13 3 2 2 2 8" xfId="10682" xr:uid="{00000000-0005-0000-0000-0000A9290000}"/>
    <cellStyle name="Normal 13 3 2 2 2 9" xfId="10683" xr:uid="{00000000-0005-0000-0000-0000AA290000}"/>
    <cellStyle name="Normal 13 3 2 2 3" xfId="10684" xr:uid="{00000000-0005-0000-0000-0000AB290000}"/>
    <cellStyle name="Normal 13 3 2 2 3 2" xfId="10685" xr:uid="{00000000-0005-0000-0000-0000AC290000}"/>
    <cellStyle name="Normal 13 3 2 2 3 2 2" xfId="10686" xr:uid="{00000000-0005-0000-0000-0000AD290000}"/>
    <cellStyle name="Normal 13 3 2 2 3 2 3" xfId="10687" xr:uid="{00000000-0005-0000-0000-0000AE290000}"/>
    <cellStyle name="Normal 13 3 2 2 3 2 4" xfId="10688" xr:uid="{00000000-0005-0000-0000-0000AF290000}"/>
    <cellStyle name="Normal 13 3 2 2 3 2 5" xfId="10689" xr:uid="{00000000-0005-0000-0000-0000B0290000}"/>
    <cellStyle name="Normal 13 3 2 2 3 2 6" xfId="10690" xr:uid="{00000000-0005-0000-0000-0000B1290000}"/>
    <cellStyle name="Normal 13 3 2 2 3 3" xfId="10691" xr:uid="{00000000-0005-0000-0000-0000B2290000}"/>
    <cellStyle name="Normal 13 3 2 2 3 3 2" xfId="10692" xr:uid="{00000000-0005-0000-0000-0000B3290000}"/>
    <cellStyle name="Normal 13 3 2 2 3 3 3" xfId="10693" xr:uid="{00000000-0005-0000-0000-0000B4290000}"/>
    <cellStyle name="Normal 13 3 2 2 3 3 4" xfId="10694" xr:uid="{00000000-0005-0000-0000-0000B5290000}"/>
    <cellStyle name="Normal 13 3 2 2 3 3 5" xfId="10695" xr:uid="{00000000-0005-0000-0000-0000B6290000}"/>
    <cellStyle name="Normal 13 3 2 2 3 3 6" xfId="10696" xr:uid="{00000000-0005-0000-0000-0000B7290000}"/>
    <cellStyle name="Normal 13 3 2 2 3 4" xfId="10697" xr:uid="{00000000-0005-0000-0000-0000B8290000}"/>
    <cellStyle name="Normal 13 3 2 2 3 5" xfId="10698" xr:uid="{00000000-0005-0000-0000-0000B9290000}"/>
    <cellStyle name="Normal 13 3 2 2 3 6" xfId="10699" xr:uid="{00000000-0005-0000-0000-0000BA290000}"/>
    <cellStyle name="Normal 13 3 2 2 3 7" xfId="10700" xr:uid="{00000000-0005-0000-0000-0000BB290000}"/>
    <cellStyle name="Normal 13 3 2 2 3 8" xfId="10701" xr:uid="{00000000-0005-0000-0000-0000BC290000}"/>
    <cellStyle name="Normal 13 3 2 2 4" xfId="10702" xr:uid="{00000000-0005-0000-0000-0000BD290000}"/>
    <cellStyle name="Normal 13 3 2 2 4 2" xfId="10703" xr:uid="{00000000-0005-0000-0000-0000BE290000}"/>
    <cellStyle name="Normal 13 3 2 2 4 2 2" xfId="10704" xr:uid="{00000000-0005-0000-0000-0000BF290000}"/>
    <cellStyle name="Normal 13 3 2 2 4 2 3" xfId="10705" xr:uid="{00000000-0005-0000-0000-0000C0290000}"/>
    <cellStyle name="Normal 13 3 2 2 4 2 4" xfId="10706" xr:uid="{00000000-0005-0000-0000-0000C1290000}"/>
    <cellStyle name="Normal 13 3 2 2 4 2 5" xfId="10707" xr:uid="{00000000-0005-0000-0000-0000C2290000}"/>
    <cellStyle name="Normal 13 3 2 2 4 2 6" xfId="10708" xr:uid="{00000000-0005-0000-0000-0000C3290000}"/>
    <cellStyle name="Normal 13 3 2 2 4 3" xfId="10709" xr:uid="{00000000-0005-0000-0000-0000C4290000}"/>
    <cellStyle name="Normal 13 3 2 2 4 3 2" xfId="10710" xr:uid="{00000000-0005-0000-0000-0000C5290000}"/>
    <cellStyle name="Normal 13 3 2 2 4 3 3" xfId="10711" xr:uid="{00000000-0005-0000-0000-0000C6290000}"/>
    <cellStyle name="Normal 13 3 2 2 4 3 4" xfId="10712" xr:uid="{00000000-0005-0000-0000-0000C7290000}"/>
    <cellStyle name="Normal 13 3 2 2 4 3 5" xfId="10713" xr:uid="{00000000-0005-0000-0000-0000C8290000}"/>
    <cellStyle name="Normal 13 3 2 2 4 3 6" xfId="10714" xr:uid="{00000000-0005-0000-0000-0000C9290000}"/>
    <cellStyle name="Normal 13 3 2 2 4 4" xfId="10715" xr:uid="{00000000-0005-0000-0000-0000CA290000}"/>
    <cellStyle name="Normal 13 3 2 2 4 5" xfId="10716" xr:uid="{00000000-0005-0000-0000-0000CB290000}"/>
    <cellStyle name="Normal 13 3 2 2 4 6" xfId="10717" xr:uid="{00000000-0005-0000-0000-0000CC290000}"/>
    <cellStyle name="Normal 13 3 2 2 4 7" xfId="10718" xr:uid="{00000000-0005-0000-0000-0000CD290000}"/>
    <cellStyle name="Normal 13 3 2 2 4 8" xfId="10719" xr:uid="{00000000-0005-0000-0000-0000CE290000}"/>
    <cellStyle name="Normal 13 3 2 2 5" xfId="10720" xr:uid="{00000000-0005-0000-0000-0000CF290000}"/>
    <cellStyle name="Normal 13 3 2 2 5 2" xfId="10721" xr:uid="{00000000-0005-0000-0000-0000D0290000}"/>
    <cellStyle name="Normal 13 3 2 2 5 2 2" xfId="10722" xr:uid="{00000000-0005-0000-0000-0000D1290000}"/>
    <cellStyle name="Normal 13 3 2 2 5 2 3" xfId="10723" xr:uid="{00000000-0005-0000-0000-0000D2290000}"/>
    <cellStyle name="Normal 13 3 2 2 5 2 4" xfId="10724" xr:uid="{00000000-0005-0000-0000-0000D3290000}"/>
    <cellStyle name="Normal 13 3 2 2 5 2 5" xfId="10725" xr:uid="{00000000-0005-0000-0000-0000D4290000}"/>
    <cellStyle name="Normal 13 3 2 2 5 2 6" xfId="10726" xr:uid="{00000000-0005-0000-0000-0000D5290000}"/>
    <cellStyle name="Normal 13 3 2 2 5 3" xfId="10727" xr:uid="{00000000-0005-0000-0000-0000D6290000}"/>
    <cellStyle name="Normal 13 3 2 2 5 3 2" xfId="10728" xr:uid="{00000000-0005-0000-0000-0000D7290000}"/>
    <cellStyle name="Normal 13 3 2 2 5 3 3" xfId="10729" xr:uid="{00000000-0005-0000-0000-0000D8290000}"/>
    <cellStyle name="Normal 13 3 2 2 5 3 4" xfId="10730" xr:uid="{00000000-0005-0000-0000-0000D9290000}"/>
    <cellStyle name="Normal 13 3 2 2 5 3 5" xfId="10731" xr:uid="{00000000-0005-0000-0000-0000DA290000}"/>
    <cellStyle name="Normal 13 3 2 2 5 3 6" xfId="10732" xr:uid="{00000000-0005-0000-0000-0000DB290000}"/>
    <cellStyle name="Normal 13 3 2 2 5 4" xfId="10733" xr:uid="{00000000-0005-0000-0000-0000DC290000}"/>
    <cellStyle name="Normal 13 3 2 2 5 5" xfId="10734" xr:uid="{00000000-0005-0000-0000-0000DD290000}"/>
    <cellStyle name="Normal 13 3 2 2 5 6" xfId="10735" xr:uid="{00000000-0005-0000-0000-0000DE290000}"/>
    <cellStyle name="Normal 13 3 2 2 5 7" xfId="10736" xr:uid="{00000000-0005-0000-0000-0000DF290000}"/>
    <cellStyle name="Normal 13 3 2 2 5 8" xfId="10737" xr:uid="{00000000-0005-0000-0000-0000E0290000}"/>
    <cellStyle name="Normal 13 3 2 2 6" xfId="10738" xr:uid="{00000000-0005-0000-0000-0000E1290000}"/>
    <cellStyle name="Normal 13 3 2 2 6 2" xfId="10739" xr:uid="{00000000-0005-0000-0000-0000E2290000}"/>
    <cellStyle name="Normal 13 3 2 2 6 3" xfId="10740" xr:uid="{00000000-0005-0000-0000-0000E3290000}"/>
    <cellStyle name="Normal 13 3 2 2 6 4" xfId="10741" xr:uid="{00000000-0005-0000-0000-0000E4290000}"/>
    <cellStyle name="Normal 13 3 2 2 6 5" xfId="10742" xr:uid="{00000000-0005-0000-0000-0000E5290000}"/>
    <cellStyle name="Normal 13 3 2 2 6 6" xfId="10743" xr:uid="{00000000-0005-0000-0000-0000E6290000}"/>
    <cellStyle name="Normal 13 3 2 2 7" xfId="10744" xr:uid="{00000000-0005-0000-0000-0000E7290000}"/>
    <cellStyle name="Normal 13 3 2 2 7 2" xfId="10745" xr:uid="{00000000-0005-0000-0000-0000E8290000}"/>
    <cellStyle name="Normal 13 3 2 2 7 3" xfId="10746" xr:uid="{00000000-0005-0000-0000-0000E9290000}"/>
    <cellStyle name="Normal 13 3 2 2 7 4" xfId="10747" xr:uid="{00000000-0005-0000-0000-0000EA290000}"/>
    <cellStyle name="Normal 13 3 2 2 7 5" xfId="10748" xr:uid="{00000000-0005-0000-0000-0000EB290000}"/>
    <cellStyle name="Normal 13 3 2 2 7 6" xfId="10749" xr:uid="{00000000-0005-0000-0000-0000EC290000}"/>
    <cellStyle name="Normal 13 3 2 2 8" xfId="10750" xr:uid="{00000000-0005-0000-0000-0000ED290000}"/>
    <cellStyle name="Normal 13 3 2 2 9" xfId="10751" xr:uid="{00000000-0005-0000-0000-0000EE290000}"/>
    <cellStyle name="Normal 13 3 2 3" xfId="10752" xr:uid="{00000000-0005-0000-0000-0000EF290000}"/>
    <cellStyle name="Normal 13 3 2 3 10" xfId="10753" xr:uid="{00000000-0005-0000-0000-0000F0290000}"/>
    <cellStyle name="Normal 13 3 2 3 11" xfId="10754" xr:uid="{00000000-0005-0000-0000-0000F1290000}"/>
    <cellStyle name="Normal 13 3 2 3 12" xfId="10755" xr:uid="{00000000-0005-0000-0000-0000F2290000}"/>
    <cellStyle name="Normal 13 3 2 3 2" xfId="10756" xr:uid="{00000000-0005-0000-0000-0000F3290000}"/>
    <cellStyle name="Normal 13 3 2 3 2 10" xfId="10757" xr:uid="{00000000-0005-0000-0000-0000F4290000}"/>
    <cellStyle name="Normal 13 3 2 3 2 11" xfId="10758" xr:uid="{00000000-0005-0000-0000-0000F5290000}"/>
    <cellStyle name="Normal 13 3 2 3 2 2" xfId="10759" xr:uid="{00000000-0005-0000-0000-0000F6290000}"/>
    <cellStyle name="Normal 13 3 2 3 2 2 2" xfId="10760" xr:uid="{00000000-0005-0000-0000-0000F7290000}"/>
    <cellStyle name="Normal 13 3 2 3 2 2 2 2" xfId="10761" xr:uid="{00000000-0005-0000-0000-0000F8290000}"/>
    <cellStyle name="Normal 13 3 2 3 2 2 2 3" xfId="10762" xr:uid="{00000000-0005-0000-0000-0000F9290000}"/>
    <cellStyle name="Normal 13 3 2 3 2 2 2 4" xfId="10763" xr:uid="{00000000-0005-0000-0000-0000FA290000}"/>
    <cellStyle name="Normal 13 3 2 3 2 2 2 5" xfId="10764" xr:uid="{00000000-0005-0000-0000-0000FB290000}"/>
    <cellStyle name="Normal 13 3 2 3 2 2 2 6" xfId="10765" xr:uid="{00000000-0005-0000-0000-0000FC290000}"/>
    <cellStyle name="Normal 13 3 2 3 2 2 3" xfId="10766" xr:uid="{00000000-0005-0000-0000-0000FD290000}"/>
    <cellStyle name="Normal 13 3 2 3 2 2 3 2" xfId="10767" xr:uid="{00000000-0005-0000-0000-0000FE290000}"/>
    <cellStyle name="Normal 13 3 2 3 2 2 3 3" xfId="10768" xr:uid="{00000000-0005-0000-0000-0000FF290000}"/>
    <cellStyle name="Normal 13 3 2 3 2 2 3 4" xfId="10769" xr:uid="{00000000-0005-0000-0000-0000002A0000}"/>
    <cellStyle name="Normal 13 3 2 3 2 2 3 5" xfId="10770" xr:uid="{00000000-0005-0000-0000-0000012A0000}"/>
    <cellStyle name="Normal 13 3 2 3 2 2 3 6" xfId="10771" xr:uid="{00000000-0005-0000-0000-0000022A0000}"/>
    <cellStyle name="Normal 13 3 2 3 2 2 4" xfId="10772" xr:uid="{00000000-0005-0000-0000-0000032A0000}"/>
    <cellStyle name="Normal 13 3 2 3 2 2 5" xfId="10773" xr:uid="{00000000-0005-0000-0000-0000042A0000}"/>
    <cellStyle name="Normal 13 3 2 3 2 2 6" xfId="10774" xr:uid="{00000000-0005-0000-0000-0000052A0000}"/>
    <cellStyle name="Normal 13 3 2 3 2 2 7" xfId="10775" xr:uid="{00000000-0005-0000-0000-0000062A0000}"/>
    <cellStyle name="Normal 13 3 2 3 2 2 8" xfId="10776" xr:uid="{00000000-0005-0000-0000-0000072A0000}"/>
    <cellStyle name="Normal 13 3 2 3 2 3" xfId="10777" xr:uid="{00000000-0005-0000-0000-0000082A0000}"/>
    <cellStyle name="Normal 13 3 2 3 2 3 2" xfId="10778" xr:uid="{00000000-0005-0000-0000-0000092A0000}"/>
    <cellStyle name="Normal 13 3 2 3 2 3 2 2" xfId="10779" xr:uid="{00000000-0005-0000-0000-00000A2A0000}"/>
    <cellStyle name="Normal 13 3 2 3 2 3 2 3" xfId="10780" xr:uid="{00000000-0005-0000-0000-00000B2A0000}"/>
    <cellStyle name="Normal 13 3 2 3 2 3 2 4" xfId="10781" xr:uid="{00000000-0005-0000-0000-00000C2A0000}"/>
    <cellStyle name="Normal 13 3 2 3 2 3 2 5" xfId="10782" xr:uid="{00000000-0005-0000-0000-00000D2A0000}"/>
    <cellStyle name="Normal 13 3 2 3 2 3 2 6" xfId="10783" xr:uid="{00000000-0005-0000-0000-00000E2A0000}"/>
    <cellStyle name="Normal 13 3 2 3 2 3 3" xfId="10784" xr:uid="{00000000-0005-0000-0000-00000F2A0000}"/>
    <cellStyle name="Normal 13 3 2 3 2 3 3 2" xfId="10785" xr:uid="{00000000-0005-0000-0000-0000102A0000}"/>
    <cellStyle name="Normal 13 3 2 3 2 3 3 3" xfId="10786" xr:uid="{00000000-0005-0000-0000-0000112A0000}"/>
    <cellStyle name="Normal 13 3 2 3 2 3 3 4" xfId="10787" xr:uid="{00000000-0005-0000-0000-0000122A0000}"/>
    <cellStyle name="Normal 13 3 2 3 2 3 3 5" xfId="10788" xr:uid="{00000000-0005-0000-0000-0000132A0000}"/>
    <cellStyle name="Normal 13 3 2 3 2 3 3 6" xfId="10789" xr:uid="{00000000-0005-0000-0000-0000142A0000}"/>
    <cellStyle name="Normal 13 3 2 3 2 3 4" xfId="10790" xr:uid="{00000000-0005-0000-0000-0000152A0000}"/>
    <cellStyle name="Normal 13 3 2 3 2 3 5" xfId="10791" xr:uid="{00000000-0005-0000-0000-0000162A0000}"/>
    <cellStyle name="Normal 13 3 2 3 2 3 6" xfId="10792" xr:uid="{00000000-0005-0000-0000-0000172A0000}"/>
    <cellStyle name="Normal 13 3 2 3 2 3 7" xfId="10793" xr:uid="{00000000-0005-0000-0000-0000182A0000}"/>
    <cellStyle name="Normal 13 3 2 3 2 3 8" xfId="10794" xr:uid="{00000000-0005-0000-0000-0000192A0000}"/>
    <cellStyle name="Normal 13 3 2 3 2 4" xfId="10795" xr:uid="{00000000-0005-0000-0000-00001A2A0000}"/>
    <cellStyle name="Normal 13 3 2 3 2 4 2" xfId="10796" xr:uid="{00000000-0005-0000-0000-00001B2A0000}"/>
    <cellStyle name="Normal 13 3 2 3 2 4 2 2" xfId="10797" xr:uid="{00000000-0005-0000-0000-00001C2A0000}"/>
    <cellStyle name="Normal 13 3 2 3 2 4 2 3" xfId="10798" xr:uid="{00000000-0005-0000-0000-00001D2A0000}"/>
    <cellStyle name="Normal 13 3 2 3 2 4 2 4" xfId="10799" xr:uid="{00000000-0005-0000-0000-00001E2A0000}"/>
    <cellStyle name="Normal 13 3 2 3 2 4 2 5" xfId="10800" xr:uid="{00000000-0005-0000-0000-00001F2A0000}"/>
    <cellStyle name="Normal 13 3 2 3 2 4 2 6" xfId="10801" xr:uid="{00000000-0005-0000-0000-0000202A0000}"/>
    <cellStyle name="Normal 13 3 2 3 2 4 3" xfId="10802" xr:uid="{00000000-0005-0000-0000-0000212A0000}"/>
    <cellStyle name="Normal 13 3 2 3 2 4 3 2" xfId="10803" xr:uid="{00000000-0005-0000-0000-0000222A0000}"/>
    <cellStyle name="Normal 13 3 2 3 2 4 3 3" xfId="10804" xr:uid="{00000000-0005-0000-0000-0000232A0000}"/>
    <cellStyle name="Normal 13 3 2 3 2 4 3 4" xfId="10805" xr:uid="{00000000-0005-0000-0000-0000242A0000}"/>
    <cellStyle name="Normal 13 3 2 3 2 4 3 5" xfId="10806" xr:uid="{00000000-0005-0000-0000-0000252A0000}"/>
    <cellStyle name="Normal 13 3 2 3 2 4 3 6" xfId="10807" xr:uid="{00000000-0005-0000-0000-0000262A0000}"/>
    <cellStyle name="Normal 13 3 2 3 2 4 4" xfId="10808" xr:uid="{00000000-0005-0000-0000-0000272A0000}"/>
    <cellStyle name="Normal 13 3 2 3 2 4 5" xfId="10809" xr:uid="{00000000-0005-0000-0000-0000282A0000}"/>
    <cellStyle name="Normal 13 3 2 3 2 4 6" xfId="10810" xr:uid="{00000000-0005-0000-0000-0000292A0000}"/>
    <cellStyle name="Normal 13 3 2 3 2 4 7" xfId="10811" xr:uid="{00000000-0005-0000-0000-00002A2A0000}"/>
    <cellStyle name="Normal 13 3 2 3 2 4 8" xfId="10812" xr:uid="{00000000-0005-0000-0000-00002B2A0000}"/>
    <cellStyle name="Normal 13 3 2 3 2 5" xfId="10813" xr:uid="{00000000-0005-0000-0000-00002C2A0000}"/>
    <cellStyle name="Normal 13 3 2 3 2 5 2" xfId="10814" xr:uid="{00000000-0005-0000-0000-00002D2A0000}"/>
    <cellStyle name="Normal 13 3 2 3 2 5 3" xfId="10815" xr:uid="{00000000-0005-0000-0000-00002E2A0000}"/>
    <cellStyle name="Normal 13 3 2 3 2 5 4" xfId="10816" xr:uid="{00000000-0005-0000-0000-00002F2A0000}"/>
    <cellStyle name="Normal 13 3 2 3 2 5 5" xfId="10817" xr:uid="{00000000-0005-0000-0000-0000302A0000}"/>
    <cellStyle name="Normal 13 3 2 3 2 5 6" xfId="10818" xr:uid="{00000000-0005-0000-0000-0000312A0000}"/>
    <cellStyle name="Normal 13 3 2 3 2 6" xfId="10819" xr:uid="{00000000-0005-0000-0000-0000322A0000}"/>
    <cellStyle name="Normal 13 3 2 3 2 6 2" xfId="10820" xr:uid="{00000000-0005-0000-0000-0000332A0000}"/>
    <cellStyle name="Normal 13 3 2 3 2 6 3" xfId="10821" xr:uid="{00000000-0005-0000-0000-0000342A0000}"/>
    <cellStyle name="Normal 13 3 2 3 2 6 4" xfId="10822" xr:uid="{00000000-0005-0000-0000-0000352A0000}"/>
    <cellStyle name="Normal 13 3 2 3 2 6 5" xfId="10823" xr:uid="{00000000-0005-0000-0000-0000362A0000}"/>
    <cellStyle name="Normal 13 3 2 3 2 6 6" xfId="10824" xr:uid="{00000000-0005-0000-0000-0000372A0000}"/>
    <cellStyle name="Normal 13 3 2 3 2 7" xfId="10825" xr:uid="{00000000-0005-0000-0000-0000382A0000}"/>
    <cellStyle name="Normal 13 3 2 3 2 8" xfId="10826" xr:uid="{00000000-0005-0000-0000-0000392A0000}"/>
    <cellStyle name="Normal 13 3 2 3 2 9" xfId="10827" xr:uid="{00000000-0005-0000-0000-00003A2A0000}"/>
    <cellStyle name="Normal 13 3 2 3 3" xfId="10828" xr:uid="{00000000-0005-0000-0000-00003B2A0000}"/>
    <cellStyle name="Normal 13 3 2 3 3 2" xfId="10829" xr:uid="{00000000-0005-0000-0000-00003C2A0000}"/>
    <cellStyle name="Normal 13 3 2 3 3 2 2" xfId="10830" xr:uid="{00000000-0005-0000-0000-00003D2A0000}"/>
    <cellStyle name="Normal 13 3 2 3 3 2 3" xfId="10831" xr:uid="{00000000-0005-0000-0000-00003E2A0000}"/>
    <cellStyle name="Normal 13 3 2 3 3 2 4" xfId="10832" xr:uid="{00000000-0005-0000-0000-00003F2A0000}"/>
    <cellStyle name="Normal 13 3 2 3 3 2 5" xfId="10833" xr:uid="{00000000-0005-0000-0000-0000402A0000}"/>
    <cellStyle name="Normal 13 3 2 3 3 2 6" xfId="10834" xr:uid="{00000000-0005-0000-0000-0000412A0000}"/>
    <cellStyle name="Normal 13 3 2 3 3 3" xfId="10835" xr:uid="{00000000-0005-0000-0000-0000422A0000}"/>
    <cellStyle name="Normal 13 3 2 3 3 3 2" xfId="10836" xr:uid="{00000000-0005-0000-0000-0000432A0000}"/>
    <cellStyle name="Normal 13 3 2 3 3 3 3" xfId="10837" xr:uid="{00000000-0005-0000-0000-0000442A0000}"/>
    <cellStyle name="Normal 13 3 2 3 3 3 4" xfId="10838" xr:uid="{00000000-0005-0000-0000-0000452A0000}"/>
    <cellStyle name="Normal 13 3 2 3 3 3 5" xfId="10839" xr:uid="{00000000-0005-0000-0000-0000462A0000}"/>
    <cellStyle name="Normal 13 3 2 3 3 3 6" xfId="10840" xr:uid="{00000000-0005-0000-0000-0000472A0000}"/>
    <cellStyle name="Normal 13 3 2 3 3 4" xfId="10841" xr:uid="{00000000-0005-0000-0000-0000482A0000}"/>
    <cellStyle name="Normal 13 3 2 3 3 5" xfId="10842" xr:uid="{00000000-0005-0000-0000-0000492A0000}"/>
    <cellStyle name="Normal 13 3 2 3 3 6" xfId="10843" xr:uid="{00000000-0005-0000-0000-00004A2A0000}"/>
    <cellStyle name="Normal 13 3 2 3 3 7" xfId="10844" xr:uid="{00000000-0005-0000-0000-00004B2A0000}"/>
    <cellStyle name="Normal 13 3 2 3 3 8" xfId="10845" xr:uid="{00000000-0005-0000-0000-00004C2A0000}"/>
    <cellStyle name="Normal 13 3 2 3 4" xfId="10846" xr:uid="{00000000-0005-0000-0000-00004D2A0000}"/>
    <cellStyle name="Normal 13 3 2 3 4 2" xfId="10847" xr:uid="{00000000-0005-0000-0000-00004E2A0000}"/>
    <cellStyle name="Normal 13 3 2 3 4 2 2" xfId="10848" xr:uid="{00000000-0005-0000-0000-00004F2A0000}"/>
    <cellStyle name="Normal 13 3 2 3 4 2 3" xfId="10849" xr:uid="{00000000-0005-0000-0000-0000502A0000}"/>
    <cellStyle name="Normal 13 3 2 3 4 2 4" xfId="10850" xr:uid="{00000000-0005-0000-0000-0000512A0000}"/>
    <cellStyle name="Normal 13 3 2 3 4 2 5" xfId="10851" xr:uid="{00000000-0005-0000-0000-0000522A0000}"/>
    <cellStyle name="Normal 13 3 2 3 4 2 6" xfId="10852" xr:uid="{00000000-0005-0000-0000-0000532A0000}"/>
    <cellStyle name="Normal 13 3 2 3 4 3" xfId="10853" xr:uid="{00000000-0005-0000-0000-0000542A0000}"/>
    <cellStyle name="Normal 13 3 2 3 4 3 2" xfId="10854" xr:uid="{00000000-0005-0000-0000-0000552A0000}"/>
    <cellStyle name="Normal 13 3 2 3 4 3 3" xfId="10855" xr:uid="{00000000-0005-0000-0000-0000562A0000}"/>
    <cellStyle name="Normal 13 3 2 3 4 3 4" xfId="10856" xr:uid="{00000000-0005-0000-0000-0000572A0000}"/>
    <cellStyle name="Normal 13 3 2 3 4 3 5" xfId="10857" xr:uid="{00000000-0005-0000-0000-0000582A0000}"/>
    <cellStyle name="Normal 13 3 2 3 4 3 6" xfId="10858" xr:uid="{00000000-0005-0000-0000-0000592A0000}"/>
    <cellStyle name="Normal 13 3 2 3 4 4" xfId="10859" xr:uid="{00000000-0005-0000-0000-00005A2A0000}"/>
    <cellStyle name="Normal 13 3 2 3 4 5" xfId="10860" xr:uid="{00000000-0005-0000-0000-00005B2A0000}"/>
    <cellStyle name="Normal 13 3 2 3 4 6" xfId="10861" xr:uid="{00000000-0005-0000-0000-00005C2A0000}"/>
    <cellStyle name="Normal 13 3 2 3 4 7" xfId="10862" xr:uid="{00000000-0005-0000-0000-00005D2A0000}"/>
    <cellStyle name="Normal 13 3 2 3 4 8" xfId="10863" xr:uid="{00000000-0005-0000-0000-00005E2A0000}"/>
    <cellStyle name="Normal 13 3 2 3 5" xfId="10864" xr:uid="{00000000-0005-0000-0000-00005F2A0000}"/>
    <cellStyle name="Normal 13 3 2 3 5 2" xfId="10865" xr:uid="{00000000-0005-0000-0000-0000602A0000}"/>
    <cellStyle name="Normal 13 3 2 3 5 2 2" xfId="10866" xr:uid="{00000000-0005-0000-0000-0000612A0000}"/>
    <cellStyle name="Normal 13 3 2 3 5 2 3" xfId="10867" xr:uid="{00000000-0005-0000-0000-0000622A0000}"/>
    <cellStyle name="Normal 13 3 2 3 5 2 4" xfId="10868" xr:uid="{00000000-0005-0000-0000-0000632A0000}"/>
    <cellStyle name="Normal 13 3 2 3 5 2 5" xfId="10869" xr:uid="{00000000-0005-0000-0000-0000642A0000}"/>
    <cellStyle name="Normal 13 3 2 3 5 2 6" xfId="10870" xr:uid="{00000000-0005-0000-0000-0000652A0000}"/>
    <cellStyle name="Normal 13 3 2 3 5 3" xfId="10871" xr:uid="{00000000-0005-0000-0000-0000662A0000}"/>
    <cellStyle name="Normal 13 3 2 3 5 3 2" xfId="10872" xr:uid="{00000000-0005-0000-0000-0000672A0000}"/>
    <cellStyle name="Normal 13 3 2 3 5 3 3" xfId="10873" xr:uid="{00000000-0005-0000-0000-0000682A0000}"/>
    <cellStyle name="Normal 13 3 2 3 5 3 4" xfId="10874" xr:uid="{00000000-0005-0000-0000-0000692A0000}"/>
    <cellStyle name="Normal 13 3 2 3 5 3 5" xfId="10875" xr:uid="{00000000-0005-0000-0000-00006A2A0000}"/>
    <cellStyle name="Normal 13 3 2 3 5 3 6" xfId="10876" xr:uid="{00000000-0005-0000-0000-00006B2A0000}"/>
    <cellStyle name="Normal 13 3 2 3 5 4" xfId="10877" xr:uid="{00000000-0005-0000-0000-00006C2A0000}"/>
    <cellStyle name="Normal 13 3 2 3 5 5" xfId="10878" xr:uid="{00000000-0005-0000-0000-00006D2A0000}"/>
    <cellStyle name="Normal 13 3 2 3 5 6" xfId="10879" xr:uid="{00000000-0005-0000-0000-00006E2A0000}"/>
    <cellStyle name="Normal 13 3 2 3 5 7" xfId="10880" xr:uid="{00000000-0005-0000-0000-00006F2A0000}"/>
    <cellStyle name="Normal 13 3 2 3 5 8" xfId="10881" xr:uid="{00000000-0005-0000-0000-0000702A0000}"/>
    <cellStyle name="Normal 13 3 2 3 6" xfId="10882" xr:uid="{00000000-0005-0000-0000-0000712A0000}"/>
    <cellStyle name="Normal 13 3 2 3 6 2" xfId="10883" xr:uid="{00000000-0005-0000-0000-0000722A0000}"/>
    <cellStyle name="Normal 13 3 2 3 6 3" xfId="10884" xr:uid="{00000000-0005-0000-0000-0000732A0000}"/>
    <cellStyle name="Normal 13 3 2 3 6 4" xfId="10885" xr:uid="{00000000-0005-0000-0000-0000742A0000}"/>
    <cellStyle name="Normal 13 3 2 3 6 5" xfId="10886" xr:uid="{00000000-0005-0000-0000-0000752A0000}"/>
    <cellStyle name="Normal 13 3 2 3 6 6" xfId="10887" xr:uid="{00000000-0005-0000-0000-0000762A0000}"/>
    <cellStyle name="Normal 13 3 2 3 7" xfId="10888" xr:uid="{00000000-0005-0000-0000-0000772A0000}"/>
    <cellStyle name="Normal 13 3 2 3 7 2" xfId="10889" xr:uid="{00000000-0005-0000-0000-0000782A0000}"/>
    <cellStyle name="Normal 13 3 2 3 7 3" xfId="10890" xr:uid="{00000000-0005-0000-0000-0000792A0000}"/>
    <cellStyle name="Normal 13 3 2 3 7 4" xfId="10891" xr:uid="{00000000-0005-0000-0000-00007A2A0000}"/>
    <cellStyle name="Normal 13 3 2 3 7 5" xfId="10892" xr:uid="{00000000-0005-0000-0000-00007B2A0000}"/>
    <cellStyle name="Normal 13 3 2 3 7 6" xfId="10893" xr:uid="{00000000-0005-0000-0000-00007C2A0000}"/>
    <cellStyle name="Normal 13 3 2 3 8" xfId="10894" xr:uid="{00000000-0005-0000-0000-00007D2A0000}"/>
    <cellStyle name="Normal 13 3 2 3 9" xfId="10895" xr:uid="{00000000-0005-0000-0000-00007E2A0000}"/>
    <cellStyle name="Normal 13 3 2 4" xfId="10896" xr:uid="{00000000-0005-0000-0000-00007F2A0000}"/>
    <cellStyle name="Normal 13 3 2 4 10" xfId="10897" xr:uid="{00000000-0005-0000-0000-0000802A0000}"/>
    <cellStyle name="Normal 13 3 2 4 11" xfId="10898" xr:uid="{00000000-0005-0000-0000-0000812A0000}"/>
    <cellStyle name="Normal 13 3 2 4 2" xfId="10899" xr:uid="{00000000-0005-0000-0000-0000822A0000}"/>
    <cellStyle name="Normal 13 3 2 4 2 2" xfId="10900" xr:uid="{00000000-0005-0000-0000-0000832A0000}"/>
    <cellStyle name="Normal 13 3 2 4 2 2 2" xfId="10901" xr:uid="{00000000-0005-0000-0000-0000842A0000}"/>
    <cellStyle name="Normal 13 3 2 4 2 2 3" xfId="10902" xr:uid="{00000000-0005-0000-0000-0000852A0000}"/>
    <cellStyle name="Normal 13 3 2 4 2 2 4" xfId="10903" xr:uid="{00000000-0005-0000-0000-0000862A0000}"/>
    <cellStyle name="Normal 13 3 2 4 2 2 5" xfId="10904" xr:uid="{00000000-0005-0000-0000-0000872A0000}"/>
    <cellStyle name="Normal 13 3 2 4 2 2 6" xfId="10905" xr:uid="{00000000-0005-0000-0000-0000882A0000}"/>
    <cellStyle name="Normal 13 3 2 4 2 3" xfId="10906" xr:uid="{00000000-0005-0000-0000-0000892A0000}"/>
    <cellStyle name="Normal 13 3 2 4 2 3 2" xfId="10907" xr:uid="{00000000-0005-0000-0000-00008A2A0000}"/>
    <cellStyle name="Normal 13 3 2 4 2 3 3" xfId="10908" xr:uid="{00000000-0005-0000-0000-00008B2A0000}"/>
    <cellStyle name="Normal 13 3 2 4 2 3 4" xfId="10909" xr:uid="{00000000-0005-0000-0000-00008C2A0000}"/>
    <cellStyle name="Normal 13 3 2 4 2 3 5" xfId="10910" xr:uid="{00000000-0005-0000-0000-00008D2A0000}"/>
    <cellStyle name="Normal 13 3 2 4 2 3 6" xfId="10911" xr:uid="{00000000-0005-0000-0000-00008E2A0000}"/>
    <cellStyle name="Normal 13 3 2 4 2 4" xfId="10912" xr:uid="{00000000-0005-0000-0000-00008F2A0000}"/>
    <cellStyle name="Normal 13 3 2 4 2 5" xfId="10913" xr:uid="{00000000-0005-0000-0000-0000902A0000}"/>
    <cellStyle name="Normal 13 3 2 4 2 6" xfId="10914" xr:uid="{00000000-0005-0000-0000-0000912A0000}"/>
    <cellStyle name="Normal 13 3 2 4 2 7" xfId="10915" xr:uid="{00000000-0005-0000-0000-0000922A0000}"/>
    <cellStyle name="Normal 13 3 2 4 2 8" xfId="10916" xr:uid="{00000000-0005-0000-0000-0000932A0000}"/>
    <cellStyle name="Normal 13 3 2 4 3" xfId="10917" xr:uid="{00000000-0005-0000-0000-0000942A0000}"/>
    <cellStyle name="Normal 13 3 2 4 3 2" xfId="10918" xr:uid="{00000000-0005-0000-0000-0000952A0000}"/>
    <cellStyle name="Normal 13 3 2 4 3 2 2" xfId="10919" xr:uid="{00000000-0005-0000-0000-0000962A0000}"/>
    <cellStyle name="Normal 13 3 2 4 3 2 3" xfId="10920" xr:uid="{00000000-0005-0000-0000-0000972A0000}"/>
    <cellStyle name="Normal 13 3 2 4 3 2 4" xfId="10921" xr:uid="{00000000-0005-0000-0000-0000982A0000}"/>
    <cellStyle name="Normal 13 3 2 4 3 2 5" xfId="10922" xr:uid="{00000000-0005-0000-0000-0000992A0000}"/>
    <cellStyle name="Normal 13 3 2 4 3 2 6" xfId="10923" xr:uid="{00000000-0005-0000-0000-00009A2A0000}"/>
    <cellStyle name="Normal 13 3 2 4 3 3" xfId="10924" xr:uid="{00000000-0005-0000-0000-00009B2A0000}"/>
    <cellStyle name="Normal 13 3 2 4 3 3 2" xfId="10925" xr:uid="{00000000-0005-0000-0000-00009C2A0000}"/>
    <cellStyle name="Normal 13 3 2 4 3 3 3" xfId="10926" xr:uid="{00000000-0005-0000-0000-00009D2A0000}"/>
    <cellStyle name="Normal 13 3 2 4 3 3 4" xfId="10927" xr:uid="{00000000-0005-0000-0000-00009E2A0000}"/>
    <cellStyle name="Normal 13 3 2 4 3 3 5" xfId="10928" xr:uid="{00000000-0005-0000-0000-00009F2A0000}"/>
    <cellStyle name="Normal 13 3 2 4 3 3 6" xfId="10929" xr:uid="{00000000-0005-0000-0000-0000A02A0000}"/>
    <cellStyle name="Normal 13 3 2 4 3 4" xfId="10930" xr:uid="{00000000-0005-0000-0000-0000A12A0000}"/>
    <cellStyle name="Normal 13 3 2 4 3 5" xfId="10931" xr:uid="{00000000-0005-0000-0000-0000A22A0000}"/>
    <cellStyle name="Normal 13 3 2 4 3 6" xfId="10932" xr:uid="{00000000-0005-0000-0000-0000A32A0000}"/>
    <cellStyle name="Normal 13 3 2 4 3 7" xfId="10933" xr:uid="{00000000-0005-0000-0000-0000A42A0000}"/>
    <cellStyle name="Normal 13 3 2 4 3 8" xfId="10934" xr:uid="{00000000-0005-0000-0000-0000A52A0000}"/>
    <cellStyle name="Normal 13 3 2 4 4" xfId="10935" xr:uid="{00000000-0005-0000-0000-0000A62A0000}"/>
    <cellStyle name="Normal 13 3 2 4 4 2" xfId="10936" xr:uid="{00000000-0005-0000-0000-0000A72A0000}"/>
    <cellStyle name="Normal 13 3 2 4 4 2 2" xfId="10937" xr:uid="{00000000-0005-0000-0000-0000A82A0000}"/>
    <cellStyle name="Normal 13 3 2 4 4 2 3" xfId="10938" xr:uid="{00000000-0005-0000-0000-0000A92A0000}"/>
    <cellStyle name="Normal 13 3 2 4 4 2 4" xfId="10939" xr:uid="{00000000-0005-0000-0000-0000AA2A0000}"/>
    <cellStyle name="Normal 13 3 2 4 4 2 5" xfId="10940" xr:uid="{00000000-0005-0000-0000-0000AB2A0000}"/>
    <cellStyle name="Normal 13 3 2 4 4 2 6" xfId="10941" xr:uid="{00000000-0005-0000-0000-0000AC2A0000}"/>
    <cellStyle name="Normal 13 3 2 4 4 3" xfId="10942" xr:uid="{00000000-0005-0000-0000-0000AD2A0000}"/>
    <cellStyle name="Normal 13 3 2 4 4 3 2" xfId="10943" xr:uid="{00000000-0005-0000-0000-0000AE2A0000}"/>
    <cellStyle name="Normal 13 3 2 4 4 3 3" xfId="10944" xr:uid="{00000000-0005-0000-0000-0000AF2A0000}"/>
    <cellStyle name="Normal 13 3 2 4 4 3 4" xfId="10945" xr:uid="{00000000-0005-0000-0000-0000B02A0000}"/>
    <cellStyle name="Normal 13 3 2 4 4 3 5" xfId="10946" xr:uid="{00000000-0005-0000-0000-0000B12A0000}"/>
    <cellStyle name="Normal 13 3 2 4 4 3 6" xfId="10947" xr:uid="{00000000-0005-0000-0000-0000B22A0000}"/>
    <cellStyle name="Normal 13 3 2 4 4 4" xfId="10948" xr:uid="{00000000-0005-0000-0000-0000B32A0000}"/>
    <cellStyle name="Normal 13 3 2 4 4 5" xfId="10949" xr:uid="{00000000-0005-0000-0000-0000B42A0000}"/>
    <cellStyle name="Normal 13 3 2 4 4 6" xfId="10950" xr:uid="{00000000-0005-0000-0000-0000B52A0000}"/>
    <cellStyle name="Normal 13 3 2 4 4 7" xfId="10951" xr:uid="{00000000-0005-0000-0000-0000B62A0000}"/>
    <cellStyle name="Normal 13 3 2 4 4 8" xfId="10952" xr:uid="{00000000-0005-0000-0000-0000B72A0000}"/>
    <cellStyle name="Normal 13 3 2 4 5" xfId="10953" xr:uid="{00000000-0005-0000-0000-0000B82A0000}"/>
    <cellStyle name="Normal 13 3 2 4 5 2" xfId="10954" xr:uid="{00000000-0005-0000-0000-0000B92A0000}"/>
    <cellStyle name="Normal 13 3 2 4 5 3" xfId="10955" xr:uid="{00000000-0005-0000-0000-0000BA2A0000}"/>
    <cellStyle name="Normal 13 3 2 4 5 4" xfId="10956" xr:uid="{00000000-0005-0000-0000-0000BB2A0000}"/>
    <cellStyle name="Normal 13 3 2 4 5 5" xfId="10957" xr:uid="{00000000-0005-0000-0000-0000BC2A0000}"/>
    <cellStyle name="Normal 13 3 2 4 5 6" xfId="10958" xr:uid="{00000000-0005-0000-0000-0000BD2A0000}"/>
    <cellStyle name="Normal 13 3 2 4 6" xfId="10959" xr:uid="{00000000-0005-0000-0000-0000BE2A0000}"/>
    <cellStyle name="Normal 13 3 2 4 6 2" xfId="10960" xr:uid="{00000000-0005-0000-0000-0000BF2A0000}"/>
    <cellStyle name="Normal 13 3 2 4 6 3" xfId="10961" xr:uid="{00000000-0005-0000-0000-0000C02A0000}"/>
    <cellStyle name="Normal 13 3 2 4 6 4" xfId="10962" xr:uid="{00000000-0005-0000-0000-0000C12A0000}"/>
    <cellStyle name="Normal 13 3 2 4 6 5" xfId="10963" xr:uid="{00000000-0005-0000-0000-0000C22A0000}"/>
    <cellStyle name="Normal 13 3 2 4 6 6" xfId="10964" xr:uid="{00000000-0005-0000-0000-0000C32A0000}"/>
    <cellStyle name="Normal 13 3 2 4 7" xfId="10965" xr:uid="{00000000-0005-0000-0000-0000C42A0000}"/>
    <cellStyle name="Normal 13 3 2 4 8" xfId="10966" xr:uid="{00000000-0005-0000-0000-0000C52A0000}"/>
    <cellStyle name="Normal 13 3 2 4 9" xfId="10967" xr:uid="{00000000-0005-0000-0000-0000C62A0000}"/>
    <cellStyle name="Normal 13 3 2 5" xfId="10968" xr:uid="{00000000-0005-0000-0000-0000C72A0000}"/>
    <cellStyle name="Normal 13 3 2 5 2" xfId="10969" xr:uid="{00000000-0005-0000-0000-0000C82A0000}"/>
    <cellStyle name="Normal 13 3 2 5 2 2" xfId="10970" xr:uid="{00000000-0005-0000-0000-0000C92A0000}"/>
    <cellStyle name="Normal 13 3 2 5 2 3" xfId="10971" xr:uid="{00000000-0005-0000-0000-0000CA2A0000}"/>
    <cellStyle name="Normal 13 3 2 5 2 4" xfId="10972" xr:uid="{00000000-0005-0000-0000-0000CB2A0000}"/>
    <cellStyle name="Normal 13 3 2 5 2 5" xfId="10973" xr:uid="{00000000-0005-0000-0000-0000CC2A0000}"/>
    <cellStyle name="Normal 13 3 2 5 2 6" xfId="10974" xr:uid="{00000000-0005-0000-0000-0000CD2A0000}"/>
    <cellStyle name="Normal 13 3 2 5 3" xfId="10975" xr:uid="{00000000-0005-0000-0000-0000CE2A0000}"/>
    <cellStyle name="Normal 13 3 2 5 3 2" xfId="10976" xr:uid="{00000000-0005-0000-0000-0000CF2A0000}"/>
    <cellStyle name="Normal 13 3 2 5 3 3" xfId="10977" xr:uid="{00000000-0005-0000-0000-0000D02A0000}"/>
    <cellStyle name="Normal 13 3 2 5 3 4" xfId="10978" xr:uid="{00000000-0005-0000-0000-0000D12A0000}"/>
    <cellStyle name="Normal 13 3 2 5 3 5" xfId="10979" xr:uid="{00000000-0005-0000-0000-0000D22A0000}"/>
    <cellStyle name="Normal 13 3 2 5 3 6" xfId="10980" xr:uid="{00000000-0005-0000-0000-0000D32A0000}"/>
    <cellStyle name="Normal 13 3 2 5 4" xfId="10981" xr:uid="{00000000-0005-0000-0000-0000D42A0000}"/>
    <cellStyle name="Normal 13 3 2 5 5" xfId="10982" xr:uid="{00000000-0005-0000-0000-0000D52A0000}"/>
    <cellStyle name="Normal 13 3 2 5 6" xfId="10983" xr:uid="{00000000-0005-0000-0000-0000D62A0000}"/>
    <cellStyle name="Normal 13 3 2 5 7" xfId="10984" xr:uid="{00000000-0005-0000-0000-0000D72A0000}"/>
    <cellStyle name="Normal 13 3 2 5 8" xfId="10985" xr:uid="{00000000-0005-0000-0000-0000D82A0000}"/>
    <cellStyle name="Normal 13 3 2 6" xfId="10986" xr:uid="{00000000-0005-0000-0000-0000D92A0000}"/>
    <cellStyle name="Normal 13 3 2 6 2" xfId="10987" xr:uid="{00000000-0005-0000-0000-0000DA2A0000}"/>
    <cellStyle name="Normal 13 3 2 6 2 2" xfId="10988" xr:uid="{00000000-0005-0000-0000-0000DB2A0000}"/>
    <cellStyle name="Normal 13 3 2 6 2 3" xfId="10989" xr:uid="{00000000-0005-0000-0000-0000DC2A0000}"/>
    <cellStyle name="Normal 13 3 2 6 2 4" xfId="10990" xr:uid="{00000000-0005-0000-0000-0000DD2A0000}"/>
    <cellStyle name="Normal 13 3 2 6 2 5" xfId="10991" xr:uid="{00000000-0005-0000-0000-0000DE2A0000}"/>
    <cellStyle name="Normal 13 3 2 6 2 6" xfId="10992" xr:uid="{00000000-0005-0000-0000-0000DF2A0000}"/>
    <cellStyle name="Normal 13 3 2 6 3" xfId="10993" xr:uid="{00000000-0005-0000-0000-0000E02A0000}"/>
    <cellStyle name="Normal 13 3 2 6 3 2" xfId="10994" xr:uid="{00000000-0005-0000-0000-0000E12A0000}"/>
    <cellStyle name="Normal 13 3 2 6 3 3" xfId="10995" xr:uid="{00000000-0005-0000-0000-0000E22A0000}"/>
    <cellStyle name="Normal 13 3 2 6 3 4" xfId="10996" xr:uid="{00000000-0005-0000-0000-0000E32A0000}"/>
    <cellStyle name="Normal 13 3 2 6 3 5" xfId="10997" xr:uid="{00000000-0005-0000-0000-0000E42A0000}"/>
    <cellStyle name="Normal 13 3 2 6 3 6" xfId="10998" xr:uid="{00000000-0005-0000-0000-0000E52A0000}"/>
    <cellStyle name="Normal 13 3 2 6 4" xfId="10999" xr:uid="{00000000-0005-0000-0000-0000E62A0000}"/>
    <cellStyle name="Normal 13 3 2 6 5" xfId="11000" xr:uid="{00000000-0005-0000-0000-0000E72A0000}"/>
    <cellStyle name="Normal 13 3 2 6 6" xfId="11001" xr:uid="{00000000-0005-0000-0000-0000E82A0000}"/>
    <cellStyle name="Normal 13 3 2 6 7" xfId="11002" xr:uid="{00000000-0005-0000-0000-0000E92A0000}"/>
    <cellStyle name="Normal 13 3 2 6 8" xfId="11003" xr:uid="{00000000-0005-0000-0000-0000EA2A0000}"/>
    <cellStyle name="Normal 13 3 2 7" xfId="11004" xr:uid="{00000000-0005-0000-0000-0000EB2A0000}"/>
    <cellStyle name="Normal 13 3 2 7 2" xfId="11005" xr:uid="{00000000-0005-0000-0000-0000EC2A0000}"/>
    <cellStyle name="Normal 13 3 2 7 2 2" xfId="11006" xr:uid="{00000000-0005-0000-0000-0000ED2A0000}"/>
    <cellStyle name="Normal 13 3 2 7 2 3" xfId="11007" xr:uid="{00000000-0005-0000-0000-0000EE2A0000}"/>
    <cellStyle name="Normal 13 3 2 7 2 4" xfId="11008" xr:uid="{00000000-0005-0000-0000-0000EF2A0000}"/>
    <cellStyle name="Normal 13 3 2 7 2 5" xfId="11009" xr:uid="{00000000-0005-0000-0000-0000F02A0000}"/>
    <cellStyle name="Normal 13 3 2 7 2 6" xfId="11010" xr:uid="{00000000-0005-0000-0000-0000F12A0000}"/>
    <cellStyle name="Normal 13 3 2 7 3" xfId="11011" xr:uid="{00000000-0005-0000-0000-0000F22A0000}"/>
    <cellStyle name="Normal 13 3 2 7 3 2" xfId="11012" xr:uid="{00000000-0005-0000-0000-0000F32A0000}"/>
    <cellStyle name="Normal 13 3 2 7 3 3" xfId="11013" xr:uid="{00000000-0005-0000-0000-0000F42A0000}"/>
    <cellStyle name="Normal 13 3 2 7 3 4" xfId="11014" xr:uid="{00000000-0005-0000-0000-0000F52A0000}"/>
    <cellStyle name="Normal 13 3 2 7 3 5" xfId="11015" xr:uid="{00000000-0005-0000-0000-0000F62A0000}"/>
    <cellStyle name="Normal 13 3 2 7 3 6" xfId="11016" xr:uid="{00000000-0005-0000-0000-0000F72A0000}"/>
    <cellStyle name="Normal 13 3 2 7 4" xfId="11017" xr:uid="{00000000-0005-0000-0000-0000F82A0000}"/>
    <cellStyle name="Normal 13 3 2 7 5" xfId="11018" xr:uid="{00000000-0005-0000-0000-0000F92A0000}"/>
    <cellStyle name="Normal 13 3 2 7 6" xfId="11019" xr:uid="{00000000-0005-0000-0000-0000FA2A0000}"/>
    <cellStyle name="Normal 13 3 2 7 7" xfId="11020" xr:uid="{00000000-0005-0000-0000-0000FB2A0000}"/>
    <cellStyle name="Normal 13 3 2 7 8" xfId="11021" xr:uid="{00000000-0005-0000-0000-0000FC2A0000}"/>
    <cellStyle name="Normal 13 3 2 8" xfId="11022" xr:uid="{00000000-0005-0000-0000-0000FD2A0000}"/>
    <cellStyle name="Normal 13 3 2 8 2" xfId="11023" xr:uid="{00000000-0005-0000-0000-0000FE2A0000}"/>
    <cellStyle name="Normal 13 3 2 8 3" xfId="11024" xr:uid="{00000000-0005-0000-0000-0000FF2A0000}"/>
    <cellStyle name="Normal 13 3 2 8 4" xfId="11025" xr:uid="{00000000-0005-0000-0000-0000002B0000}"/>
    <cellStyle name="Normal 13 3 2 8 5" xfId="11026" xr:uid="{00000000-0005-0000-0000-0000012B0000}"/>
    <cellStyle name="Normal 13 3 2 8 6" xfId="11027" xr:uid="{00000000-0005-0000-0000-0000022B0000}"/>
    <cellStyle name="Normal 13 3 2 9" xfId="11028" xr:uid="{00000000-0005-0000-0000-0000032B0000}"/>
    <cellStyle name="Normal 13 3 2 9 2" xfId="11029" xr:uid="{00000000-0005-0000-0000-0000042B0000}"/>
    <cellStyle name="Normal 13 3 2 9 3" xfId="11030" xr:uid="{00000000-0005-0000-0000-0000052B0000}"/>
    <cellStyle name="Normal 13 3 2 9 4" xfId="11031" xr:uid="{00000000-0005-0000-0000-0000062B0000}"/>
    <cellStyle name="Normal 13 3 2 9 5" xfId="11032" xr:uid="{00000000-0005-0000-0000-0000072B0000}"/>
    <cellStyle name="Normal 13 3 2 9 6" xfId="11033" xr:uid="{00000000-0005-0000-0000-0000082B0000}"/>
    <cellStyle name="Normal 13 3 3" xfId="11034" xr:uid="{00000000-0005-0000-0000-0000092B0000}"/>
    <cellStyle name="Normal 13 3 3 10" xfId="11035" xr:uid="{00000000-0005-0000-0000-00000A2B0000}"/>
    <cellStyle name="Normal 13 3 3 11" xfId="11036" xr:uid="{00000000-0005-0000-0000-00000B2B0000}"/>
    <cellStyle name="Normal 13 3 3 12" xfId="11037" xr:uid="{00000000-0005-0000-0000-00000C2B0000}"/>
    <cellStyle name="Normal 13 3 3 2" xfId="11038" xr:uid="{00000000-0005-0000-0000-00000D2B0000}"/>
    <cellStyle name="Normal 13 3 3 2 10" xfId="11039" xr:uid="{00000000-0005-0000-0000-00000E2B0000}"/>
    <cellStyle name="Normal 13 3 3 2 11" xfId="11040" xr:uid="{00000000-0005-0000-0000-00000F2B0000}"/>
    <cellStyle name="Normal 13 3 3 2 2" xfId="11041" xr:uid="{00000000-0005-0000-0000-0000102B0000}"/>
    <cellStyle name="Normal 13 3 3 2 2 2" xfId="11042" xr:uid="{00000000-0005-0000-0000-0000112B0000}"/>
    <cellStyle name="Normal 13 3 3 2 2 2 2" xfId="11043" xr:uid="{00000000-0005-0000-0000-0000122B0000}"/>
    <cellStyle name="Normal 13 3 3 2 2 2 3" xfId="11044" xr:uid="{00000000-0005-0000-0000-0000132B0000}"/>
    <cellStyle name="Normal 13 3 3 2 2 2 4" xfId="11045" xr:uid="{00000000-0005-0000-0000-0000142B0000}"/>
    <cellStyle name="Normal 13 3 3 2 2 2 5" xfId="11046" xr:uid="{00000000-0005-0000-0000-0000152B0000}"/>
    <cellStyle name="Normal 13 3 3 2 2 2 6" xfId="11047" xr:uid="{00000000-0005-0000-0000-0000162B0000}"/>
    <cellStyle name="Normal 13 3 3 2 2 3" xfId="11048" xr:uid="{00000000-0005-0000-0000-0000172B0000}"/>
    <cellStyle name="Normal 13 3 3 2 2 3 2" xfId="11049" xr:uid="{00000000-0005-0000-0000-0000182B0000}"/>
    <cellStyle name="Normal 13 3 3 2 2 3 3" xfId="11050" xr:uid="{00000000-0005-0000-0000-0000192B0000}"/>
    <cellStyle name="Normal 13 3 3 2 2 3 4" xfId="11051" xr:uid="{00000000-0005-0000-0000-00001A2B0000}"/>
    <cellStyle name="Normal 13 3 3 2 2 3 5" xfId="11052" xr:uid="{00000000-0005-0000-0000-00001B2B0000}"/>
    <cellStyle name="Normal 13 3 3 2 2 3 6" xfId="11053" xr:uid="{00000000-0005-0000-0000-00001C2B0000}"/>
    <cellStyle name="Normal 13 3 3 2 2 4" xfId="11054" xr:uid="{00000000-0005-0000-0000-00001D2B0000}"/>
    <cellStyle name="Normal 13 3 3 2 2 5" xfId="11055" xr:uid="{00000000-0005-0000-0000-00001E2B0000}"/>
    <cellStyle name="Normal 13 3 3 2 2 6" xfId="11056" xr:uid="{00000000-0005-0000-0000-00001F2B0000}"/>
    <cellStyle name="Normal 13 3 3 2 2 7" xfId="11057" xr:uid="{00000000-0005-0000-0000-0000202B0000}"/>
    <cellStyle name="Normal 13 3 3 2 2 8" xfId="11058" xr:uid="{00000000-0005-0000-0000-0000212B0000}"/>
    <cellStyle name="Normal 13 3 3 2 3" xfId="11059" xr:uid="{00000000-0005-0000-0000-0000222B0000}"/>
    <cellStyle name="Normal 13 3 3 2 3 2" xfId="11060" xr:uid="{00000000-0005-0000-0000-0000232B0000}"/>
    <cellStyle name="Normal 13 3 3 2 3 2 2" xfId="11061" xr:uid="{00000000-0005-0000-0000-0000242B0000}"/>
    <cellStyle name="Normal 13 3 3 2 3 2 3" xfId="11062" xr:uid="{00000000-0005-0000-0000-0000252B0000}"/>
    <cellStyle name="Normal 13 3 3 2 3 2 4" xfId="11063" xr:uid="{00000000-0005-0000-0000-0000262B0000}"/>
    <cellStyle name="Normal 13 3 3 2 3 2 5" xfId="11064" xr:uid="{00000000-0005-0000-0000-0000272B0000}"/>
    <cellStyle name="Normal 13 3 3 2 3 2 6" xfId="11065" xr:uid="{00000000-0005-0000-0000-0000282B0000}"/>
    <cellStyle name="Normal 13 3 3 2 3 3" xfId="11066" xr:uid="{00000000-0005-0000-0000-0000292B0000}"/>
    <cellStyle name="Normal 13 3 3 2 3 3 2" xfId="11067" xr:uid="{00000000-0005-0000-0000-00002A2B0000}"/>
    <cellStyle name="Normal 13 3 3 2 3 3 3" xfId="11068" xr:uid="{00000000-0005-0000-0000-00002B2B0000}"/>
    <cellStyle name="Normal 13 3 3 2 3 3 4" xfId="11069" xr:uid="{00000000-0005-0000-0000-00002C2B0000}"/>
    <cellStyle name="Normal 13 3 3 2 3 3 5" xfId="11070" xr:uid="{00000000-0005-0000-0000-00002D2B0000}"/>
    <cellStyle name="Normal 13 3 3 2 3 3 6" xfId="11071" xr:uid="{00000000-0005-0000-0000-00002E2B0000}"/>
    <cellStyle name="Normal 13 3 3 2 3 4" xfId="11072" xr:uid="{00000000-0005-0000-0000-00002F2B0000}"/>
    <cellStyle name="Normal 13 3 3 2 3 5" xfId="11073" xr:uid="{00000000-0005-0000-0000-0000302B0000}"/>
    <cellStyle name="Normal 13 3 3 2 3 6" xfId="11074" xr:uid="{00000000-0005-0000-0000-0000312B0000}"/>
    <cellStyle name="Normal 13 3 3 2 3 7" xfId="11075" xr:uid="{00000000-0005-0000-0000-0000322B0000}"/>
    <cellStyle name="Normal 13 3 3 2 3 8" xfId="11076" xr:uid="{00000000-0005-0000-0000-0000332B0000}"/>
    <cellStyle name="Normal 13 3 3 2 4" xfId="11077" xr:uid="{00000000-0005-0000-0000-0000342B0000}"/>
    <cellStyle name="Normal 13 3 3 2 4 2" xfId="11078" xr:uid="{00000000-0005-0000-0000-0000352B0000}"/>
    <cellStyle name="Normal 13 3 3 2 4 2 2" xfId="11079" xr:uid="{00000000-0005-0000-0000-0000362B0000}"/>
    <cellStyle name="Normal 13 3 3 2 4 2 3" xfId="11080" xr:uid="{00000000-0005-0000-0000-0000372B0000}"/>
    <cellStyle name="Normal 13 3 3 2 4 2 4" xfId="11081" xr:uid="{00000000-0005-0000-0000-0000382B0000}"/>
    <cellStyle name="Normal 13 3 3 2 4 2 5" xfId="11082" xr:uid="{00000000-0005-0000-0000-0000392B0000}"/>
    <cellStyle name="Normal 13 3 3 2 4 2 6" xfId="11083" xr:uid="{00000000-0005-0000-0000-00003A2B0000}"/>
    <cellStyle name="Normal 13 3 3 2 4 3" xfId="11084" xr:uid="{00000000-0005-0000-0000-00003B2B0000}"/>
    <cellStyle name="Normal 13 3 3 2 4 3 2" xfId="11085" xr:uid="{00000000-0005-0000-0000-00003C2B0000}"/>
    <cellStyle name="Normal 13 3 3 2 4 3 3" xfId="11086" xr:uid="{00000000-0005-0000-0000-00003D2B0000}"/>
    <cellStyle name="Normal 13 3 3 2 4 3 4" xfId="11087" xr:uid="{00000000-0005-0000-0000-00003E2B0000}"/>
    <cellStyle name="Normal 13 3 3 2 4 3 5" xfId="11088" xr:uid="{00000000-0005-0000-0000-00003F2B0000}"/>
    <cellStyle name="Normal 13 3 3 2 4 3 6" xfId="11089" xr:uid="{00000000-0005-0000-0000-0000402B0000}"/>
    <cellStyle name="Normal 13 3 3 2 4 4" xfId="11090" xr:uid="{00000000-0005-0000-0000-0000412B0000}"/>
    <cellStyle name="Normal 13 3 3 2 4 5" xfId="11091" xr:uid="{00000000-0005-0000-0000-0000422B0000}"/>
    <cellStyle name="Normal 13 3 3 2 4 6" xfId="11092" xr:uid="{00000000-0005-0000-0000-0000432B0000}"/>
    <cellStyle name="Normal 13 3 3 2 4 7" xfId="11093" xr:uid="{00000000-0005-0000-0000-0000442B0000}"/>
    <cellStyle name="Normal 13 3 3 2 4 8" xfId="11094" xr:uid="{00000000-0005-0000-0000-0000452B0000}"/>
    <cellStyle name="Normal 13 3 3 2 5" xfId="11095" xr:uid="{00000000-0005-0000-0000-0000462B0000}"/>
    <cellStyle name="Normal 13 3 3 2 5 2" xfId="11096" xr:uid="{00000000-0005-0000-0000-0000472B0000}"/>
    <cellStyle name="Normal 13 3 3 2 5 3" xfId="11097" xr:uid="{00000000-0005-0000-0000-0000482B0000}"/>
    <cellStyle name="Normal 13 3 3 2 5 4" xfId="11098" xr:uid="{00000000-0005-0000-0000-0000492B0000}"/>
    <cellStyle name="Normal 13 3 3 2 5 5" xfId="11099" xr:uid="{00000000-0005-0000-0000-00004A2B0000}"/>
    <cellStyle name="Normal 13 3 3 2 5 6" xfId="11100" xr:uid="{00000000-0005-0000-0000-00004B2B0000}"/>
    <cellStyle name="Normal 13 3 3 2 6" xfId="11101" xr:uid="{00000000-0005-0000-0000-00004C2B0000}"/>
    <cellStyle name="Normal 13 3 3 2 6 2" xfId="11102" xr:uid="{00000000-0005-0000-0000-00004D2B0000}"/>
    <cellStyle name="Normal 13 3 3 2 6 3" xfId="11103" xr:uid="{00000000-0005-0000-0000-00004E2B0000}"/>
    <cellStyle name="Normal 13 3 3 2 6 4" xfId="11104" xr:uid="{00000000-0005-0000-0000-00004F2B0000}"/>
    <cellStyle name="Normal 13 3 3 2 6 5" xfId="11105" xr:uid="{00000000-0005-0000-0000-0000502B0000}"/>
    <cellStyle name="Normal 13 3 3 2 6 6" xfId="11106" xr:uid="{00000000-0005-0000-0000-0000512B0000}"/>
    <cellStyle name="Normal 13 3 3 2 7" xfId="11107" xr:uid="{00000000-0005-0000-0000-0000522B0000}"/>
    <cellStyle name="Normal 13 3 3 2 8" xfId="11108" xr:uid="{00000000-0005-0000-0000-0000532B0000}"/>
    <cellStyle name="Normal 13 3 3 2 9" xfId="11109" xr:uid="{00000000-0005-0000-0000-0000542B0000}"/>
    <cellStyle name="Normal 13 3 3 3" xfId="11110" xr:uid="{00000000-0005-0000-0000-0000552B0000}"/>
    <cellStyle name="Normal 13 3 3 3 2" xfId="11111" xr:uid="{00000000-0005-0000-0000-0000562B0000}"/>
    <cellStyle name="Normal 13 3 3 3 2 2" xfId="11112" xr:uid="{00000000-0005-0000-0000-0000572B0000}"/>
    <cellStyle name="Normal 13 3 3 3 2 3" xfId="11113" xr:uid="{00000000-0005-0000-0000-0000582B0000}"/>
    <cellStyle name="Normal 13 3 3 3 2 4" xfId="11114" xr:uid="{00000000-0005-0000-0000-0000592B0000}"/>
    <cellStyle name="Normal 13 3 3 3 2 5" xfId="11115" xr:uid="{00000000-0005-0000-0000-00005A2B0000}"/>
    <cellStyle name="Normal 13 3 3 3 2 6" xfId="11116" xr:uid="{00000000-0005-0000-0000-00005B2B0000}"/>
    <cellStyle name="Normal 13 3 3 3 3" xfId="11117" xr:uid="{00000000-0005-0000-0000-00005C2B0000}"/>
    <cellStyle name="Normal 13 3 3 3 3 2" xfId="11118" xr:uid="{00000000-0005-0000-0000-00005D2B0000}"/>
    <cellStyle name="Normal 13 3 3 3 3 3" xfId="11119" xr:uid="{00000000-0005-0000-0000-00005E2B0000}"/>
    <cellStyle name="Normal 13 3 3 3 3 4" xfId="11120" xr:uid="{00000000-0005-0000-0000-00005F2B0000}"/>
    <cellStyle name="Normal 13 3 3 3 3 5" xfId="11121" xr:uid="{00000000-0005-0000-0000-0000602B0000}"/>
    <cellStyle name="Normal 13 3 3 3 3 6" xfId="11122" xr:uid="{00000000-0005-0000-0000-0000612B0000}"/>
    <cellStyle name="Normal 13 3 3 3 4" xfId="11123" xr:uid="{00000000-0005-0000-0000-0000622B0000}"/>
    <cellStyle name="Normal 13 3 3 3 5" xfId="11124" xr:uid="{00000000-0005-0000-0000-0000632B0000}"/>
    <cellStyle name="Normal 13 3 3 3 6" xfId="11125" xr:uid="{00000000-0005-0000-0000-0000642B0000}"/>
    <cellStyle name="Normal 13 3 3 3 7" xfId="11126" xr:uid="{00000000-0005-0000-0000-0000652B0000}"/>
    <cellStyle name="Normal 13 3 3 3 8" xfId="11127" xr:uid="{00000000-0005-0000-0000-0000662B0000}"/>
    <cellStyle name="Normal 13 3 3 4" xfId="11128" xr:uid="{00000000-0005-0000-0000-0000672B0000}"/>
    <cellStyle name="Normal 13 3 3 4 2" xfId="11129" xr:uid="{00000000-0005-0000-0000-0000682B0000}"/>
    <cellStyle name="Normal 13 3 3 4 2 2" xfId="11130" xr:uid="{00000000-0005-0000-0000-0000692B0000}"/>
    <cellStyle name="Normal 13 3 3 4 2 3" xfId="11131" xr:uid="{00000000-0005-0000-0000-00006A2B0000}"/>
    <cellStyle name="Normal 13 3 3 4 2 4" xfId="11132" xr:uid="{00000000-0005-0000-0000-00006B2B0000}"/>
    <cellStyle name="Normal 13 3 3 4 2 5" xfId="11133" xr:uid="{00000000-0005-0000-0000-00006C2B0000}"/>
    <cellStyle name="Normal 13 3 3 4 2 6" xfId="11134" xr:uid="{00000000-0005-0000-0000-00006D2B0000}"/>
    <cellStyle name="Normal 13 3 3 4 3" xfId="11135" xr:uid="{00000000-0005-0000-0000-00006E2B0000}"/>
    <cellStyle name="Normal 13 3 3 4 3 2" xfId="11136" xr:uid="{00000000-0005-0000-0000-00006F2B0000}"/>
    <cellStyle name="Normal 13 3 3 4 3 3" xfId="11137" xr:uid="{00000000-0005-0000-0000-0000702B0000}"/>
    <cellStyle name="Normal 13 3 3 4 3 4" xfId="11138" xr:uid="{00000000-0005-0000-0000-0000712B0000}"/>
    <cellStyle name="Normal 13 3 3 4 3 5" xfId="11139" xr:uid="{00000000-0005-0000-0000-0000722B0000}"/>
    <cellStyle name="Normal 13 3 3 4 3 6" xfId="11140" xr:uid="{00000000-0005-0000-0000-0000732B0000}"/>
    <cellStyle name="Normal 13 3 3 4 4" xfId="11141" xr:uid="{00000000-0005-0000-0000-0000742B0000}"/>
    <cellStyle name="Normal 13 3 3 4 5" xfId="11142" xr:uid="{00000000-0005-0000-0000-0000752B0000}"/>
    <cellStyle name="Normal 13 3 3 4 6" xfId="11143" xr:uid="{00000000-0005-0000-0000-0000762B0000}"/>
    <cellStyle name="Normal 13 3 3 4 7" xfId="11144" xr:uid="{00000000-0005-0000-0000-0000772B0000}"/>
    <cellStyle name="Normal 13 3 3 4 8" xfId="11145" xr:uid="{00000000-0005-0000-0000-0000782B0000}"/>
    <cellStyle name="Normal 13 3 3 5" xfId="11146" xr:uid="{00000000-0005-0000-0000-0000792B0000}"/>
    <cellStyle name="Normal 13 3 3 5 2" xfId="11147" xr:uid="{00000000-0005-0000-0000-00007A2B0000}"/>
    <cellStyle name="Normal 13 3 3 5 2 2" xfId="11148" xr:uid="{00000000-0005-0000-0000-00007B2B0000}"/>
    <cellStyle name="Normal 13 3 3 5 2 3" xfId="11149" xr:uid="{00000000-0005-0000-0000-00007C2B0000}"/>
    <cellStyle name="Normal 13 3 3 5 2 4" xfId="11150" xr:uid="{00000000-0005-0000-0000-00007D2B0000}"/>
    <cellStyle name="Normal 13 3 3 5 2 5" xfId="11151" xr:uid="{00000000-0005-0000-0000-00007E2B0000}"/>
    <cellStyle name="Normal 13 3 3 5 2 6" xfId="11152" xr:uid="{00000000-0005-0000-0000-00007F2B0000}"/>
    <cellStyle name="Normal 13 3 3 5 3" xfId="11153" xr:uid="{00000000-0005-0000-0000-0000802B0000}"/>
    <cellStyle name="Normal 13 3 3 5 3 2" xfId="11154" xr:uid="{00000000-0005-0000-0000-0000812B0000}"/>
    <cellStyle name="Normal 13 3 3 5 3 3" xfId="11155" xr:uid="{00000000-0005-0000-0000-0000822B0000}"/>
    <cellStyle name="Normal 13 3 3 5 3 4" xfId="11156" xr:uid="{00000000-0005-0000-0000-0000832B0000}"/>
    <cellStyle name="Normal 13 3 3 5 3 5" xfId="11157" xr:uid="{00000000-0005-0000-0000-0000842B0000}"/>
    <cellStyle name="Normal 13 3 3 5 3 6" xfId="11158" xr:uid="{00000000-0005-0000-0000-0000852B0000}"/>
    <cellStyle name="Normal 13 3 3 5 4" xfId="11159" xr:uid="{00000000-0005-0000-0000-0000862B0000}"/>
    <cellStyle name="Normal 13 3 3 5 5" xfId="11160" xr:uid="{00000000-0005-0000-0000-0000872B0000}"/>
    <cellStyle name="Normal 13 3 3 5 6" xfId="11161" xr:uid="{00000000-0005-0000-0000-0000882B0000}"/>
    <cellStyle name="Normal 13 3 3 5 7" xfId="11162" xr:uid="{00000000-0005-0000-0000-0000892B0000}"/>
    <cellStyle name="Normal 13 3 3 5 8" xfId="11163" xr:uid="{00000000-0005-0000-0000-00008A2B0000}"/>
    <cellStyle name="Normal 13 3 3 6" xfId="11164" xr:uid="{00000000-0005-0000-0000-00008B2B0000}"/>
    <cellStyle name="Normal 13 3 3 6 2" xfId="11165" xr:uid="{00000000-0005-0000-0000-00008C2B0000}"/>
    <cellStyle name="Normal 13 3 3 6 3" xfId="11166" xr:uid="{00000000-0005-0000-0000-00008D2B0000}"/>
    <cellStyle name="Normal 13 3 3 6 4" xfId="11167" xr:uid="{00000000-0005-0000-0000-00008E2B0000}"/>
    <cellStyle name="Normal 13 3 3 6 5" xfId="11168" xr:uid="{00000000-0005-0000-0000-00008F2B0000}"/>
    <cellStyle name="Normal 13 3 3 6 6" xfId="11169" xr:uid="{00000000-0005-0000-0000-0000902B0000}"/>
    <cellStyle name="Normal 13 3 3 7" xfId="11170" xr:uid="{00000000-0005-0000-0000-0000912B0000}"/>
    <cellStyle name="Normal 13 3 3 7 2" xfId="11171" xr:uid="{00000000-0005-0000-0000-0000922B0000}"/>
    <cellStyle name="Normal 13 3 3 7 3" xfId="11172" xr:uid="{00000000-0005-0000-0000-0000932B0000}"/>
    <cellStyle name="Normal 13 3 3 7 4" xfId="11173" xr:uid="{00000000-0005-0000-0000-0000942B0000}"/>
    <cellStyle name="Normal 13 3 3 7 5" xfId="11174" xr:uid="{00000000-0005-0000-0000-0000952B0000}"/>
    <cellStyle name="Normal 13 3 3 7 6" xfId="11175" xr:uid="{00000000-0005-0000-0000-0000962B0000}"/>
    <cellStyle name="Normal 13 3 3 8" xfId="11176" xr:uid="{00000000-0005-0000-0000-0000972B0000}"/>
    <cellStyle name="Normal 13 3 3 9" xfId="11177" xr:uid="{00000000-0005-0000-0000-0000982B0000}"/>
    <cellStyle name="Normal 13 3 4" xfId="11178" xr:uid="{00000000-0005-0000-0000-0000992B0000}"/>
    <cellStyle name="Normal 13 3 4 10" xfId="11179" xr:uid="{00000000-0005-0000-0000-00009A2B0000}"/>
    <cellStyle name="Normal 13 3 4 11" xfId="11180" xr:uid="{00000000-0005-0000-0000-00009B2B0000}"/>
    <cellStyle name="Normal 13 3 4 12" xfId="11181" xr:uid="{00000000-0005-0000-0000-00009C2B0000}"/>
    <cellStyle name="Normal 13 3 4 2" xfId="11182" xr:uid="{00000000-0005-0000-0000-00009D2B0000}"/>
    <cellStyle name="Normal 13 3 4 2 10" xfId="11183" xr:uid="{00000000-0005-0000-0000-00009E2B0000}"/>
    <cellStyle name="Normal 13 3 4 2 11" xfId="11184" xr:uid="{00000000-0005-0000-0000-00009F2B0000}"/>
    <cellStyle name="Normal 13 3 4 2 2" xfId="11185" xr:uid="{00000000-0005-0000-0000-0000A02B0000}"/>
    <cellStyle name="Normal 13 3 4 2 2 2" xfId="11186" xr:uid="{00000000-0005-0000-0000-0000A12B0000}"/>
    <cellStyle name="Normal 13 3 4 2 2 2 2" xfId="11187" xr:uid="{00000000-0005-0000-0000-0000A22B0000}"/>
    <cellStyle name="Normal 13 3 4 2 2 2 3" xfId="11188" xr:uid="{00000000-0005-0000-0000-0000A32B0000}"/>
    <cellStyle name="Normal 13 3 4 2 2 2 4" xfId="11189" xr:uid="{00000000-0005-0000-0000-0000A42B0000}"/>
    <cellStyle name="Normal 13 3 4 2 2 2 5" xfId="11190" xr:uid="{00000000-0005-0000-0000-0000A52B0000}"/>
    <cellStyle name="Normal 13 3 4 2 2 2 6" xfId="11191" xr:uid="{00000000-0005-0000-0000-0000A62B0000}"/>
    <cellStyle name="Normal 13 3 4 2 2 3" xfId="11192" xr:uid="{00000000-0005-0000-0000-0000A72B0000}"/>
    <cellStyle name="Normal 13 3 4 2 2 3 2" xfId="11193" xr:uid="{00000000-0005-0000-0000-0000A82B0000}"/>
    <cellStyle name="Normal 13 3 4 2 2 3 3" xfId="11194" xr:uid="{00000000-0005-0000-0000-0000A92B0000}"/>
    <cellStyle name="Normal 13 3 4 2 2 3 4" xfId="11195" xr:uid="{00000000-0005-0000-0000-0000AA2B0000}"/>
    <cellStyle name="Normal 13 3 4 2 2 3 5" xfId="11196" xr:uid="{00000000-0005-0000-0000-0000AB2B0000}"/>
    <cellStyle name="Normal 13 3 4 2 2 3 6" xfId="11197" xr:uid="{00000000-0005-0000-0000-0000AC2B0000}"/>
    <cellStyle name="Normal 13 3 4 2 2 4" xfId="11198" xr:uid="{00000000-0005-0000-0000-0000AD2B0000}"/>
    <cellStyle name="Normal 13 3 4 2 2 5" xfId="11199" xr:uid="{00000000-0005-0000-0000-0000AE2B0000}"/>
    <cellStyle name="Normal 13 3 4 2 2 6" xfId="11200" xr:uid="{00000000-0005-0000-0000-0000AF2B0000}"/>
    <cellStyle name="Normal 13 3 4 2 2 7" xfId="11201" xr:uid="{00000000-0005-0000-0000-0000B02B0000}"/>
    <cellStyle name="Normal 13 3 4 2 2 8" xfId="11202" xr:uid="{00000000-0005-0000-0000-0000B12B0000}"/>
    <cellStyle name="Normal 13 3 4 2 3" xfId="11203" xr:uid="{00000000-0005-0000-0000-0000B22B0000}"/>
    <cellStyle name="Normal 13 3 4 2 3 2" xfId="11204" xr:uid="{00000000-0005-0000-0000-0000B32B0000}"/>
    <cellStyle name="Normal 13 3 4 2 3 2 2" xfId="11205" xr:uid="{00000000-0005-0000-0000-0000B42B0000}"/>
    <cellStyle name="Normal 13 3 4 2 3 2 3" xfId="11206" xr:uid="{00000000-0005-0000-0000-0000B52B0000}"/>
    <cellStyle name="Normal 13 3 4 2 3 2 4" xfId="11207" xr:uid="{00000000-0005-0000-0000-0000B62B0000}"/>
    <cellStyle name="Normal 13 3 4 2 3 2 5" xfId="11208" xr:uid="{00000000-0005-0000-0000-0000B72B0000}"/>
    <cellStyle name="Normal 13 3 4 2 3 2 6" xfId="11209" xr:uid="{00000000-0005-0000-0000-0000B82B0000}"/>
    <cellStyle name="Normal 13 3 4 2 3 3" xfId="11210" xr:uid="{00000000-0005-0000-0000-0000B92B0000}"/>
    <cellStyle name="Normal 13 3 4 2 3 3 2" xfId="11211" xr:uid="{00000000-0005-0000-0000-0000BA2B0000}"/>
    <cellStyle name="Normal 13 3 4 2 3 3 3" xfId="11212" xr:uid="{00000000-0005-0000-0000-0000BB2B0000}"/>
    <cellStyle name="Normal 13 3 4 2 3 3 4" xfId="11213" xr:uid="{00000000-0005-0000-0000-0000BC2B0000}"/>
    <cellStyle name="Normal 13 3 4 2 3 3 5" xfId="11214" xr:uid="{00000000-0005-0000-0000-0000BD2B0000}"/>
    <cellStyle name="Normal 13 3 4 2 3 3 6" xfId="11215" xr:uid="{00000000-0005-0000-0000-0000BE2B0000}"/>
    <cellStyle name="Normal 13 3 4 2 3 4" xfId="11216" xr:uid="{00000000-0005-0000-0000-0000BF2B0000}"/>
    <cellStyle name="Normal 13 3 4 2 3 5" xfId="11217" xr:uid="{00000000-0005-0000-0000-0000C02B0000}"/>
    <cellStyle name="Normal 13 3 4 2 3 6" xfId="11218" xr:uid="{00000000-0005-0000-0000-0000C12B0000}"/>
    <cellStyle name="Normal 13 3 4 2 3 7" xfId="11219" xr:uid="{00000000-0005-0000-0000-0000C22B0000}"/>
    <cellStyle name="Normal 13 3 4 2 3 8" xfId="11220" xr:uid="{00000000-0005-0000-0000-0000C32B0000}"/>
    <cellStyle name="Normal 13 3 4 2 4" xfId="11221" xr:uid="{00000000-0005-0000-0000-0000C42B0000}"/>
    <cellStyle name="Normal 13 3 4 2 4 2" xfId="11222" xr:uid="{00000000-0005-0000-0000-0000C52B0000}"/>
    <cellStyle name="Normal 13 3 4 2 4 2 2" xfId="11223" xr:uid="{00000000-0005-0000-0000-0000C62B0000}"/>
    <cellStyle name="Normal 13 3 4 2 4 2 3" xfId="11224" xr:uid="{00000000-0005-0000-0000-0000C72B0000}"/>
    <cellStyle name="Normal 13 3 4 2 4 2 4" xfId="11225" xr:uid="{00000000-0005-0000-0000-0000C82B0000}"/>
    <cellStyle name="Normal 13 3 4 2 4 2 5" xfId="11226" xr:uid="{00000000-0005-0000-0000-0000C92B0000}"/>
    <cellStyle name="Normal 13 3 4 2 4 2 6" xfId="11227" xr:uid="{00000000-0005-0000-0000-0000CA2B0000}"/>
    <cellStyle name="Normal 13 3 4 2 4 3" xfId="11228" xr:uid="{00000000-0005-0000-0000-0000CB2B0000}"/>
    <cellStyle name="Normal 13 3 4 2 4 3 2" xfId="11229" xr:uid="{00000000-0005-0000-0000-0000CC2B0000}"/>
    <cellStyle name="Normal 13 3 4 2 4 3 3" xfId="11230" xr:uid="{00000000-0005-0000-0000-0000CD2B0000}"/>
    <cellStyle name="Normal 13 3 4 2 4 3 4" xfId="11231" xr:uid="{00000000-0005-0000-0000-0000CE2B0000}"/>
    <cellStyle name="Normal 13 3 4 2 4 3 5" xfId="11232" xr:uid="{00000000-0005-0000-0000-0000CF2B0000}"/>
    <cellStyle name="Normal 13 3 4 2 4 3 6" xfId="11233" xr:uid="{00000000-0005-0000-0000-0000D02B0000}"/>
    <cellStyle name="Normal 13 3 4 2 4 4" xfId="11234" xr:uid="{00000000-0005-0000-0000-0000D12B0000}"/>
    <cellStyle name="Normal 13 3 4 2 4 5" xfId="11235" xr:uid="{00000000-0005-0000-0000-0000D22B0000}"/>
    <cellStyle name="Normal 13 3 4 2 4 6" xfId="11236" xr:uid="{00000000-0005-0000-0000-0000D32B0000}"/>
    <cellStyle name="Normal 13 3 4 2 4 7" xfId="11237" xr:uid="{00000000-0005-0000-0000-0000D42B0000}"/>
    <cellStyle name="Normal 13 3 4 2 4 8" xfId="11238" xr:uid="{00000000-0005-0000-0000-0000D52B0000}"/>
    <cellStyle name="Normal 13 3 4 2 5" xfId="11239" xr:uid="{00000000-0005-0000-0000-0000D62B0000}"/>
    <cellStyle name="Normal 13 3 4 2 5 2" xfId="11240" xr:uid="{00000000-0005-0000-0000-0000D72B0000}"/>
    <cellStyle name="Normal 13 3 4 2 5 3" xfId="11241" xr:uid="{00000000-0005-0000-0000-0000D82B0000}"/>
    <cellStyle name="Normal 13 3 4 2 5 4" xfId="11242" xr:uid="{00000000-0005-0000-0000-0000D92B0000}"/>
    <cellStyle name="Normal 13 3 4 2 5 5" xfId="11243" xr:uid="{00000000-0005-0000-0000-0000DA2B0000}"/>
    <cellStyle name="Normal 13 3 4 2 5 6" xfId="11244" xr:uid="{00000000-0005-0000-0000-0000DB2B0000}"/>
    <cellStyle name="Normal 13 3 4 2 6" xfId="11245" xr:uid="{00000000-0005-0000-0000-0000DC2B0000}"/>
    <cellStyle name="Normal 13 3 4 2 6 2" xfId="11246" xr:uid="{00000000-0005-0000-0000-0000DD2B0000}"/>
    <cellStyle name="Normal 13 3 4 2 6 3" xfId="11247" xr:uid="{00000000-0005-0000-0000-0000DE2B0000}"/>
    <cellStyle name="Normal 13 3 4 2 6 4" xfId="11248" xr:uid="{00000000-0005-0000-0000-0000DF2B0000}"/>
    <cellStyle name="Normal 13 3 4 2 6 5" xfId="11249" xr:uid="{00000000-0005-0000-0000-0000E02B0000}"/>
    <cellStyle name="Normal 13 3 4 2 6 6" xfId="11250" xr:uid="{00000000-0005-0000-0000-0000E12B0000}"/>
    <cellStyle name="Normal 13 3 4 2 7" xfId="11251" xr:uid="{00000000-0005-0000-0000-0000E22B0000}"/>
    <cellStyle name="Normal 13 3 4 2 8" xfId="11252" xr:uid="{00000000-0005-0000-0000-0000E32B0000}"/>
    <cellStyle name="Normal 13 3 4 2 9" xfId="11253" xr:uid="{00000000-0005-0000-0000-0000E42B0000}"/>
    <cellStyle name="Normal 13 3 4 3" xfId="11254" xr:uid="{00000000-0005-0000-0000-0000E52B0000}"/>
    <cellStyle name="Normal 13 3 4 3 2" xfId="11255" xr:uid="{00000000-0005-0000-0000-0000E62B0000}"/>
    <cellStyle name="Normal 13 3 4 3 2 2" xfId="11256" xr:uid="{00000000-0005-0000-0000-0000E72B0000}"/>
    <cellStyle name="Normal 13 3 4 3 2 3" xfId="11257" xr:uid="{00000000-0005-0000-0000-0000E82B0000}"/>
    <cellStyle name="Normal 13 3 4 3 2 4" xfId="11258" xr:uid="{00000000-0005-0000-0000-0000E92B0000}"/>
    <cellStyle name="Normal 13 3 4 3 2 5" xfId="11259" xr:uid="{00000000-0005-0000-0000-0000EA2B0000}"/>
    <cellStyle name="Normal 13 3 4 3 2 6" xfId="11260" xr:uid="{00000000-0005-0000-0000-0000EB2B0000}"/>
    <cellStyle name="Normal 13 3 4 3 3" xfId="11261" xr:uid="{00000000-0005-0000-0000-0000EC2B0000}"/>
    <cellStyle name="Normal 13 3 4 3 3 2" xfId="11262" xr:uid="{00000000-0005-0000-0000-0000ED2B0000}"/>
    <cellStyle name="Normal 13 3 4 3 3 3" xfId="11263" xr:uid="{00000000-0005-0000-0000-0000EE2B0000}"/>
    <cellStyle name="Normal 13 3 4 3 3 4" xfId="11264" xr:uid="{00000000-0005-0000-0000-0000EF2B0000}"/>
    <cellStyle name="Normal 13 3 4 3 3 5" xfId="11265" xr:uid="{00000000-0005-0000-0000-0000F02B0000}"/>
    <cellStyle name="Normal 13 3 4 3 3 6" xfId="11266" xr:uid="{00000000-0005-0000-0000-0000F12B0000}"/>
    <cellStyle name="Normal 13 3 4 3 4" xfId="11267" xr:uid="{00000000-0005-0000-0000-0000F22B0000}"/>
    <cellStyle name="Normal 13 3 4 3 5" xfId="11268" xr:uid="{00000000-0005-0000-0000-0000F32B0000}"/>
    <cellStyle name="Normal 13 3 4 3 6" xfId="11269" xr:uid="{00000000-0005-0000-0000-0000F42B0000}"/>
    <cellStyle name="Normal 13 3 4 3 7" xfId="11270" xr:uid="{00000000-0005-0000-0000-0000F52B0000}"/>
    <cellStyle name="Normal 13 3 4 3 8" xfId="11271" xr:uid="{00000000-0005-0000-0000-0000F62B0000}"/>
    <cellStyle name="Normal 13 3 4 4" xfId="11272" xr:uid="{00000000-0005-0000-0000-0000F72B0000}"/>
    <cellStyle name="Normal 13 3 4 4 2" xfId="11273" xr:uid="{00000000-0005-0000-0000-0000F82B0000}"/>
    <cellStyle name="Normal 13 3 4 4 2 2" xfId="11274" xr:uid="{00000000-0005-0000-0000-0000F92B0000}"/>
    <cellStyle name="Normal 13 3 4 4 2 3" xfId="11275" xr:uid="{00000000-0005-0000-0000-0000FA2B0000}"/>
    <cellStyle name="Normal 13 3 4 4 2 4" xfId="11276" xr:uid="{00000000-0005-0000-0000-0000FB2B0000}"/>
    <cellStyle name="Normal 13 3 4 4 2 5" xfId="11277" xr:uid="{00000000-0005-0000-0000-0000FC2B0000}"/>
    <cellStyle name="Normal 13 3 4 4 2 6" xfId="11278" xr:uid="{00000000-0005-0000-0000-0000FD2B0000}"/>
    <cellStyle name="Normal 13 3 4 4 3" xfId="11279" xr:uid="{00000000-0005-0000-0000-0000FE2B0000}"/>
    <cellStyle name="Normal 13 3 4 4 3 2" xfId="11280" xr:uid="{00000000-0005-0000-0000-0000FF2B0000}"/>
    <cellStyle name="Normal 13 3 4 4 3 3" xfId="11281" xr:uid="{00000000-0005-0000-0000-0000002C0000}"/>
    <cellStyle name="Normal 13 3 4 4 3 4" xfId="11282" xr:uid="{00000000-0005-0000-0000-0000012C0000}"/>
    <cellStyle name="Normal 13 3 4 4 3 5" xfId="11283" xr:uid="{00000000-0005-0000-0000-0000022C0000}"/>
    <cellStyle name="Normal 13 3 4 4 3 6" xfId="11284" xr:uid="{00000000-0005-0000-0000-0000032C0000}"/>
    <cellStyle name="Normal 13 3 4 4 4" xfId="11285" xr:uid="{00000000-0005-0000-0000-0000042C0000}"/>
    <cellStyle name="Normal 13 3 4 4 5" xfId="11286" xr:uid="{00000000-0005-0000-0000-0000052C0000}"/>
    <cellStyle name="Normal 13 3 4 4 6" xfId="11287" xr:uid="{00000000-0005-0000-0000-0000062C0000}"/>
    <cellStyle name="Normal 13 3 4 4 7" xfId="11288" xr:uid="{00000000-0005-0000-0000-0000072C0000}"/>
    <cellStyle name="Normal 13 3 4 4 8" xfId="11289" xr:uid="{00000000-0005-0000-0000-0000082C0000}"/>
    <cellStyle name="Normal 13 3 4 5" xfId="11290" xr:uid="{00000000-0005-0000-0000-0000092C0000}"/>
    <cellStyle name="Normal 13 3 4 5 2" xfId="11291" xr:uid="{00000000-0005-0000-0000-00000A2C0000}"/>
    <cellStyle name="Normal 13 3 4 5 2 2" xfId="11292" xr:uid="{00000000-0005-0000-0000-00000B2C0000}"/>
    <cellStyle name="Normal 13 3 4 5 2 3" xfId="11293" xr:uid="{00000000-0005-0000-0000-00000C2C0000}"/>
    <cellStyle name="Normal 13 3 4 5 2 4" xfId="11294" xr:uid="{00000000-0005-0000-0000-00000D2C0000}"/>
    <cellStyle name="Normal 13 3 4 5 2 5" xfId="11295" xr:uid="{00000000-0005-0000-0000-00000E2C0000}"/>
    <cellStyle name="Normal 13 3 4 5 2 6" xfId="11296" xr:uid="{00000000-0005-0000-0000-00000F2C0000}"/>
    <cellStyle name="Normal 13 3 4 5 3" xfId="11297" xr:uid="{00000000-0005-0000-0000-0000102C0000}"/>
    <cellStyle name="Normal 13 3 4 5 3 2" xfId="11298" xr:uid="{00000000-0005-0000-0000-0000112C0000}"/>
    <cellStyle name="Normal 13 3 4 5 3 3" xfId="11299" xr:uid="{00000000-0005-0000-0000-0000122C0000}"/>
    <cellStyle name="Normal 13 3 4 5 3 4" xfId="11300" xr:uid="{00000000-0005-0000-0000-0000132C0000}"/>
    <cellStyle name="Normal 13 3 4 5 3 5" xfId="11301" xr:uid="{00000000-0005-0000-0000-0000142C0000}"/>
    <cellStyle name="Normal 13 3 4 5 3 6" xfId="11302" xr:uid="{00000000-0005-0000-0000-0000152C0000}"/>
    <cellStyle name="Normal 13 3 4 5 4" xfId="11303" xr:uid="{00000000-0005-0000-0000-0000162C0000}"/>
    <cellStyle name="Normal 13 3 4 5 5" xfId="11304" xr:uid="{00000000-0005-0000-0000-0000172C0000}"/>
    <cellStyle name="Normal 13 3 4 5 6" xfId="11305" xr:uid="{00000000-0005-0000-0000-0000182C0000}"/>
    <cellStyle name="Normal 13 3 4 5 7" xfId="11306" xr:uid="{00000000-0005-0000-0000-0000192C0000}"/>
    <cellStyle name="Normal 13 3 4 5 8" xfId="11307" xr:uid="{00000000-0005-0000-0000-00001A2C0000}"/>
    <cellStyle name="Normal 13 3 4 6" xfId="11308" xr:uid="{00000000-0005-0000-0000-00001B2C0000}"/>
    <cellStyle name="Normal 13 3 4 6 2" xfId="11309" xr:uid="{00000000-0005-0000-0000-00001C2C0000}"/>
    <cellStyle name="Normal 13 3 4 6 3" xfId="11310" xr:uid="{00000000-0005-0000-0000-00001D2C0000}"/>
    <cellStyle name="Normal 13 3 4 6 4" xfId="11311" xr:uid="{00000000-0005-0000-0000-00001E2C0000}"/>
    <cellStyle name="Normal 13 3 4 6 5" xfId="11312" xr:uid="{00000000-0005-0000-0000-00001F2C0000}"/>
    <cellStyle name="Normal 13 3 4 6 6" xfId="11313" xr:uid="{00000000-0005-0000-0000-0000202C0000}"/>
    <cellStyle name="Normal 13 3 4 7" xfId="11314" xr:uid="{00000000-0005-0000-0000-0000212C0000}"/>
    <cellStyle name="Normal 13 3 4 7 2" xfId="11315" xr:uid="{00000000-0005-0000-0000-0000222C0000}"/>
    <cellStyle name="Normal 13 3 4 7 3" xfId="11316" xr:uid="{00000000-0005-0000-0000-0000232C0000}"/>
    <cellStyle name="Normal 13 3 4 7 4" xfId="11317" xr:uid="{00000000-0005-0000-0000-0000242C0000}"/>
    <cellStyle name="Normal 13 3 4 7 5" xfId="11318" xr:uid="{00000000-0005-0000-0000-0000252C0000}"/>
    <cellStyle name="Normal 13 3 4 7 6" xfId="11319" xr:uid="{00000000-0005-0000-0000-0000262C0000}"/>
    <cellStyle name="Normal 13 3 4 8" xfId="11320" xr:uid="{00000000-0005-0000-0000-0000272C0000}"/>
    <cellStyle name="Normal 13 3 4 9" xfId="11321" xr:uid="{00000000-0005-0000-0000-0000282C0000}"/>
    <cellStyle name="Normal 13 3 5" xfId="11322" xr:uid="{00000000-0005-0000-0000-0000292C0000}"/>
    <cellStyle name="Normal 13 3 5 10" xfId="11323" xr:uid="{00000000-0005-0000-0000-00002A2C0000}"/>
    <cellStyle name="Normal 13 3 5 11" xfId="11324" xr:uid="{00000000-0005-0000-0000-00002B2C0000}"/>
    <cellStyle name="Normal 13 3 5 2" xfId="11325" xr:uid="{00000000-0005-0000-0000-00002C2C0000}"/>
    <cellStyle name="Normal 13 3 5 2 2" xfId="11326" xr:uid="{00000000-0005-0000-0000-00002D2C0000}"/>
    <cellStyle name="Normal 13 3 5 2 2 2" xfId="11327" xr:uid="{00000000-0005-0000-0000-00002E2C0000}"/>
    <cellStyle name="Normal 13 3 5 2 2 3" xfId="11328" xr:uid="{00000000-0005-0000-0000-00002F2C0000}"/>
    <cellStyle name="Normal 13 3 5 2 2 4" xfId="11329" xr:uid="{00000000-0005-0000-0000-0000302C0000}"/>
    <cellStyle name="Normal 13 3 5 2 2 5" xfId="11330" xr:uid="{00000000-0005-0000-0000-0000312C0000}"/>
    <cellStyle name="Normal 13 3 5 2 2 6" xfId="11331" xr:uid="{00000000-0005-0000-0000-0000322C0000}"/>
    <cellStyle name="Normal 13 3 5 2 3" xfId="11332" xr:uid="{00000000-0005-0000-0000-0000332C0000}"/>
    <cellStyle name="Normal 13 3 5 2 3 2" xfId="11333" xr:uid="{00000000-0005-0000-0000-0000342C0000}"/>
    <cellStyle name="Normal 13 3 5 2 3 3" xfId="11334" xr:uid="{00000000-0005-0000-0000-0000352C0000}"/>
    <cellStyle name="Normal 13 3 5 2 3 4" xfId="11335" xr:uid="{00000000-0005-0000-0000-0000362C0000}"/>
    <cellStyle name="Normal 13 3 5 2 3 5" xfId="11336" xr:uid="{00000000-0005-0000-0000-0000372C0000}"/>
    <cellStyle name="Normal 13 3 5 2 3 6" xfId="11337" xr:uid="{00000000-0005-0000-0000-0000382C0000}"/>
    <cellStyle name="Normal 13 3 5 2 4" xfId="11338" xr:uid="{00000000-0005-0000-0000-0000392C0000}"/>
    <cellStyle name="Normal 13 3 5 2 5" xfId="11339" xr:uid="{00000000-0005-0000-0000-00003A2C0000}"/>
    <cellStyle name="Normal 13 3 5 2 6" xfId="11340" xr:uid="{00000000-0005-0000-0000-00003B2C0000}"/>
    <cellStyle name="Normal 13 3 5 2 7" xfId="11341" xr:uid="{00000000-0005-0000-0000-00003C2C0000}"/>
    <cellStyle name="Normal 13 3 5 2 8" xfId="11342" xr:uid="{00000000-0005-0000-0000-00003D2C0000}"/>
    <cellStyle name="Normal 13 3 5 3" xfId="11343" xr:uid="{00000000-0005-0000-0000-00003E2C0000}"/>
    <cellStyle name="Normal 13 3 5 3 2" xfId="11344" xr:uid="{00000000-0005-0000-0000-00003F2C0000}"/>
    <cellStyle name="Normal 13 3 5 3 2 2" xfId="11345" xr:uid="{00000000-0005-0000-0000-0000402C0000}"/>
    <cellStyle name="Normal 13 3 5 3 2 3" xfId="11346" xr:uid="{00000000-0005-0000-0000-0000412C0000}"/>
    <cellStyle name="Normal 13 3 5 3 2 4" xfId="11347" xr:uid="{00000000-0005-0000-0000-0000422C0000}"/>
    <cellStyle name="Normal 13 3 5 3 2 5" xfId="11348" xr:uid="{00000000-0005-0000-0000-0000432C0000}"/>
    <cellStyle name="Normal 13 3 5 3 2 6" xfId="11349" xr:uid="{00000000-0005-0000-0000-0000442C0000}"/>
    <cellStyle name="Normal 13 3 5 3 3" xfId="11350" xr:uid="{00000000-0005-0000-0000-0000452C0000}"/>
    <cellStyle name="Normal 13 3 5 3 3 2" xfId="11351" xr:uid="{00000000-0005-0000-0000-0000462C0000}"/>
    <cellStyle name="Normal 13 3 5 3 3 3" xfId="11352" xr:uid="{00000000-0005-0000-0000-0000472C0000}"/>
    <cellStyle name="Normal 13 3 5 3 3 4" xfId="11353" xr:uid="{00000000-0005-0000-0000-0000482C0000}"/>
    <cellStyle name="Normal 13 3 5 3 3 5" xfId="11354" xr:uid="{00000000-0005-0000-0000-0000492C0000}"/>
    <cellStyle name="Normal 13 3 5 3 3 6" xfId="11355" xr:uid="{00000000-0005-0000-0000-00004A2C0000}"/>
    <cellStyle name="Normal 13 3 5 3 4" xfId="11356" xr:uid="{00000000-0005-0000-0000-00004B2C0000}"/>
    <cellStyle name="Normal 13 3 5 3 5" xfId="11357" xr:uid="{00000000-0005-0000-0000-00004C2C0000}"/>
    <cellStyle name="Normal 13 3 5 3 6" xfId="11358" xr:uid="{00000000-0005-0000-0000-00004D2C0000}"/>
    <cellStyle name="Normal 13 3 5 3 7" xfId="11359" xr:uid="{00000000-0005-0000-0000-00004E2C0000}"/>
    <cellStyle name="Normal 13 3 5 3 8" xfId="11360" xr:uid="{00000000-0005-0000-0000-00004F2C0000}"/>
    <cellStyle name="Normal 13 3 5 4" xfId="11361" xr:uid="{00000000-0005-0000-0000-0000502C0000}"/>
    <cellStyle name="Normal 13 3 5 4 2" xfId="11362" xr:uid="{00000000-0005-0000-0000-0000512C0000}"/>
    <cellStyle name="Normal 13 3 5 4 2 2" xfId="11363" xr:uid="{00000000-0005-0000-0000-0000522C0000}"/>
    <cellStyle name="Normal 13 3 5 4 2 3" xfId="11364" xr:uid="{00000000-0005-0000-0000-0000532C0000}"/>
    <cellStyle name="Normal 13 3 5 4 2 4" xfId="11365" xr:uid="{00000000-0005-0000-0000-0000542C0000}"/>
    <cellStyle name="Normal 13 3 5 4 2 5" xfId="11366" xr:uid="{00000000-0005-0000-0000-0000552C0000}"/>
    <cellStyle name="Normal 13 3 5 4 2 6" xfId="11367" xr:uid="{00000000-0005-0000-0000-0000562C0000}"/>
    <cellStyle name="Normal 13 3 5 4 3" xfId="11368" xr:uid="{00000000-0005-0000-0000-0000572C0000}"/>
    <cellStyle name="Normal 13 3 5 4 3 2" xfId="11369" xr:uid="{00000000-0005-0000-0000-0000582C0000}"/>
    <cellStyle name="Normal 13 3 5 4 3 3" xfId="11370" xr:uid="{00000000-0005-0000-0000-0000592C0000}"/>
    <cellStyle name="Normal 13 3 5 4 3 4" xfId="11371" xr:uid="{00000000-0005-0000-0000-00005A2C0000}"/>
    <cellStyle name="Normal 13 3 5 4 3 5" xfId="11372" xr:uid="{00000000-0005-0000-0000-00005B2C0000}"/>
    <cellStyle name="Normal 13 3 5 4 3 6" xfId="11373" xr:uid="{00000000-0005-0000-0000-00005C2C0000}"/>
    <cellStyle name="Normal 13 3 5 4 4" xfId="11374" xr:uid="{00000000-0005-0000-0000-00005D2C0000}"/>
    <cellStyle name="Normal 13 3 5 4 5" xfId="11375" xr:uid="{00000000-0005-0000-0000-00005E2C0000}"/>
    <cellStyle name="Normal 13 3 5 4 6" xfId="11376" xr:uid="{00000000-0005-0000-0000-00005F2C0000}"/>
    <cellStyle name="Normal 13 3 5 4 7" xfId="11377" xr:uid="{00000000-0005-0000-0000-0000602C0000}"/>
    <cellStyle name="Normal 13 3 5 4 8" xfId="11378" xr:uid="{00000000-0005-0000-0000-0000612C0000}"/>
    <cellStyle name="Normal 13 3 5 5" xfId="11379" xr:uid="{00000000-0005-0000-0000-0000622C0000}"/>
    <cellStyle name="Normal 13 3 5 5 2" xfId="11380" xr:uid="{00000000-0005-0000-0000-0000632C0000}"/>
    <cellStyle name="Normal 13 3 5 5 3" xfId="11381" xr:uid="{00000000-0005-0000-0000-0000642C0000}"/>
    <cellStyle name="Normal 13 3 5 5 4" xfId="11382" xr:uid="{00000000-0005-0000-0000-0000652C0000}"/>
    <cellStyle name="Normal 13 3 5 5 5" xfId="11383" xr:uid="{00000000-0005-0000-0000-0000662C0000}"/>
    <cellStyle name="Normal 13 3 5 5 6" xfId="11384" xr:uid="{00000000-0005-0000-0000-0000672C0000}"/>
    <cellStyle name="Normal 13 3 5 6" xfId="11385" xr:uid="{00000000-0005-0000-0000-0000682C0000}"/>
    <cellStyle name="Normal 13 3 5 6 2" xfId="11386" xr:uid="{00000000-0005-0000-0000-0000692C0000}"/>
    <cellStyle name="Normal 13 3 5 6 3" xfId="11387" xr:uid="{00000000-0005-0000-0000-00006A2C0000}"/>
    <cellStyle name="Normal 13 3 5 6 4" xfId="11388" xr:uid="{00000000-0005-0000-0000-00006B2C0000}"/>
    <cellStyle name="Normal 13 3 5 6 5" xfId="11389" xr:uid="{00000000-0005-0000-0000-00006C2C0000}"/>
    <cellStyle name="Normal 13 3 5 6 6" xfId="11390" xr:uid="{00000000-0005-0000-0000-00006D2C0000}"/>
    <cellStyle name="Normal 13 3 5 7" xfId="11391" xr:uid="{00000000-0005-0000-0000-00006E2C0000}"/>
    <cellStyle name="Normal 13 3 5 8" xfId="11392" xr:uid="{00000000-0005-0000-0000-00006F2C0000}"/>
    <cellStyle name="Normal 13 3 5 9" xfId="11393" xr:uid="{00000000-0005-0000-0000-0000702C0000}"/>
    <cellStyle name="Normal 13 3 6" xfId="11394" xr:uid="{00000000-0005-0000-0000-0000712C0000}"/>
    <cellStyle name="Normal 13 3 6 2" xfId="11395" xr:uid="{00000000-0005-0000-0000-0000722C0000}"/>
    <cellStyle name="Normal 13 3 6 2 2" xfId="11396" xr:uid="{00000000-0005-0000-0000-0000732C0000}"/>
    <cellStyle name="Normal 13 3 6 2 3" xfId="11397" xr:uid="{00000000-0005-0000-0000-0000742C0000}"/>
    <cellStyle name="Normal 13 3 6 2 4" xfId="11398" xr:uid="{00000000-0005-0000-0000-0000752C0000}"/>
    <cellStyle name="Normal 13 3 6 2 5" xfId="11399" xr:uid="{00000000-0005-0000-0000-0000762C0000}"/>
    <cellStyle name="Normal 13 3 6 2 6" xfId="11400" xr:uid="{00000000-0005-0000-0000-0000772C0000}"/>
    <cellStyle name="Normal 13 3 6 3" xfId="11401" xr:uid="{00000000-0005-0000-0000-0000782C0000}"/>
    <cellStyle name="Normal 13 3 6 3 2" xfId="11402" xr:uid="{00000000-0005-0000-0000-0000792C0000}"/>
    <cellStyle name="Normal 13 3 6 3 3" xfId="11403" xr:uid="{00000000-0005-0000-0000-00007A2C0000}"/>
    <cellStyle name="Normal 13 3 6 3 4" xfId="11404" xr:uid="{00000000-0005-0000-0000-00007B2C0000}"/>
    <cellStyle name="Normal 13 3 6 3 5" xfId="11405" xr:uid="{00000000-0005-0000-0000-00007C2C0000}"/>
    <cellStyle name="Normal 13 3 6 3 6" xfId="11406" xr:uid="{00000000-0005-0000-0000-00007D2C0000}"/>
    <cellStyle name="Normal 13 3 6 4" xfId="11407" xr:uid="{00000000-0005-0000-0000-00007E2C0000}"/>
    <cellStyle name="Normal 13 3 6 5" xfId="11408" xr:uid="{00000000-0005-0000-0000-00007F2C0000}"/>
    <cellStyle name="Normal 13 3 6 6" xfId="11409" xr:uid="{00000000-0005-0000-0000-0000802C0000}"/>
    <cellStyle name="Normal 13 3 6 7" xfId="11410" xr:uid="{00000000-0005-0000-0000-0000812C0000}"/>
    <cellStyle name="Normal 13 3 6 8" xfId="11411" xr:uid="{00000000-0005-0000-0000-0000822C0000}"/>
    <cellStyle name="Normal 13 3 7" xfId="11412" xr:uid="{00000000-0005-0000-0000-0000832C0000}"/>
    <cellStyle name="Normal 13 3 7 2" xfId="11413" xr:uid="{00000000-0005-0000-0000-0000842C0000}"/>
    <cellStyle name="Normal 13 3 7 2 2" xfId="11414" xr:uid="{00000000-0005-0000-0000-0000852C0000}"/>
    <cellStyle name="Normal 13 3 7 2 3" xfId="11415" xr:uid="{00000000-0005-0000-0000-0000862C0000}"/>
    <cellStyle name="Normal 13 3 7 2 4" xfId="11416" xr:uid="{00000000-0005-0000-0000-0000872C0000}"/>
    <cellStyle name="Normal 13 3 7 2 5" xfId="11417" xr:uid="{00000000-0005-0000-0000-0000882C0000}"/>
    <cellStyle name="Normal 13 3 7 2 6" xfId="11418" xr:uid="{00000000-0005-0000-0000-0000892C0000}"/>
    <cellStyle name="Normal 13 3 7 3" xfId="11419" xr:uid="{00000000-0005-0000-0000-00008A2C0000}"/>
    <cellStyle name="Normal 13 3 7 3 2" xfId="11420" xr:uid="{00000000-0005-0000-0000-00008B2C0000}"/>
    <cellStyle name="Normal 13 3 7 3 3" xfId="11421" xr:uid="{00000000-0005-0000-0000-00008C2C0000}"/>
    <cellStyle name="Normal 13 3 7 3 4" xfId="11422" xr:uid="{00000000-0005-0000-0000-00008D2C0000}"/>
    <cellStyle name="Normal 13 3 7 3 5" xfId="11423" xr:uid="{00000000-0005-0000-0000-00008E2C0000}"/>
    <cellStyle name="Normal 13 3 7 3 6" xfId="11424" xr:uid="{00000000-0005-0000-0000-00008F2C0000}"/>
    <cellStyle name="Normal 13 3 7 4" xfId="11425" xr:uid="{00000000-0005-0000-0000-0000902C0000}"/>
    <cellStyle name="Normal 13 3 7 5" xfId="11426" xr:uid="{00000000-0005-0000-0000-0000912C0000}"/>
    <cellStyle name="Normal 13 3 7 6" xfId="11427" xr:uid="{00000000-0005-0000-0000-0000922C0000}"/>
    <cellStyle name="Normal 13 3 7 7" xfId="11428" xr:uid="{00000000-0005-0000-0000-0000932C0000}"/>
    <cellStyle name="Normal 13 3 7 8" xfId="11429" xr:uid="{00000000-0005-0000-0000-0000942C0000}"/>
    <cellStyle name="Normal 13 3 8" xfId="11430" xr:uid="{00000000-0005-0000-0000-0000952C0000}"/>
    <cellStyle name="Normal 13 3 8 2" xfId="11431" xr:uid="{00000000-0005-0000-0000-0000962C0000}"/>
    <cellStyle name="Normal 13 3 8 2 2" xfId="11432" xr:uid="{00000000-0005-0000-0000-0000972C0000}"/>
    <cellStyle name="Normal 13 3 8 2 3" xfId="11433" xr:uid="{00000000-0005-0000-0000-0000982C0000}"/>
    <cellStyle name="Normal 13 3 8 2 4" xfId="11434" xr:uid="{00000000-0005-0000-0000-0000992C0000}"/>
    <cellStyle name="Normal 13 3 8 2 5" xfId="11435" xr:uid="{00000000-0005-0000-0000-00009A2C0000}"/>
    <cellStyle name="Normal 13 3 8 2 6" xfId="11436" xr:uid="{00000000-0005-0000-0000-00009B2C0000}"/>
    <cellStyle name="Normal 13 3 8 3" xfId="11437" xr:uid="{00000000-0005-0000-0000-00009C2C0000}"/>
    <cellStyle name="Normal 13 3 8 3 2" xfId="11438" xr:uid="{00000000-0005-0000-0000-00009D2C0000}"/>
    <cellStyle name="Normal 13 3 8 3 3" xfId="11439" xr:uid="{00000000-0005-0000-0000-00009E2C0000}"/>
    <cellStyle name="Normal 13 3 8 3 4" xfId="11440" xr:uid="{00000000-0005-0000-0000-00009F2C0000}"/>
    <cellStyle name="Normal 13 3 8 3 5" xfId="11441" xr:uid="{00000000-0005-0000-0000-0000A02C0000}"/>
    <cellStyle name="Normal 13 3 8 3 6" xfId="11442" xr:uid="{00000000-0005-0000-0000-0000A12C0000}"/>
    <cellStyle name="Normal 13 3 8 4" xfId="11443" xr:uid="{00000000-0005-0000-0000-0000A22C0000}"/>
    <cellStyle name="Normal 13 3 8 5" xfId="11444" xr:uid="{00000000-0005-0000-0000-0000A32C0000}"/>
    <cellStyle name="Normal 13 3 8 6" xfId="11445" xr:uid="{00000000-0005-0000-0000-0000A42C0000}"/>
    <cellStyle name="Normal 13 3 8 7" xfId="11446" xr:uid="{00000000-0005-0000-0000-0000A52C0000}"/>
    <cellStyle name="Normal 13 3 8 8" xfId="11447" xr:uid="{00000000-0005-0000-0000-0000A62C0000}"/>
    <cellStyle name="Normal 13 3 9" xfId="11448" xr:uid="{00000000-0005-0000-0000-0000A72C0000}"/>
    <cellStyle name="Normal 13 3 9 2" xfId="11449" xr:uid="{00000000-0005-0000-0000-0000A82C0000}"/>
    <cellStyle name="Normal 13 3 9 3" xfId="11450" xr:uid="{00000000-0005-0000-0000-0000A92C0000}"/>
    <cellStyle name="Normal 13 3 9 4" xfId="11451" xr:uid="{00000000-0005-0000-0000-0000AA2C0000}"/>
    <cellStyle name="Normal 13 3 9 5" xfId="11452" xr:uid="{00000000-0005-0000-0000-0000AB2C0000}"/>
    <cellStyle name="Normal 13 3 9 6" xfId="11453" xr:uid="{00000000-0005-0000-0000-0000AC2C0000}"/>
    <cellStyle name="Normal 13 4" xfId="11454" xr:uid="{00000000-0005-0000-0000-0000AD2C0000}"/>
    <cellStyle name="Normal 13 4 10" xfId="11455" xr:uid="{00000000-0005-0000-0000-0000AE2C0000}"/>
    <cellStyle name="Normal 13 4 11" xfId="11456" xr:uid="{00000000-0005-0000-0000-0000AF2C0000}"/>
    <cellStyle name="Normal 13 4 12" xfId="11457" xr:uid="{00000000-0005-0000-0000-0000B02C0000}"/>
    <cellStyle name="Normal 13 4 13" xfId="11458" xr:uid="{00000000-0005-0000-0000-0000B12C0000}"/>
    <cellStyle name="Normal 13 4 14" xfId="11459" xr:uid="{00000000-0005-0000-0000-0000B22C0000}"/>
    <cellStyle name="Normal 13 4 2" xfId="11460" xr:uid="{00000000-0005-0000-0000-0000B32C0000}"/>
    <cellStyle name="Normal 13 4 2 10" xfId="11461" xr:uid="{00000000-0005-0000-0000-0000B42C0000}"/>
    <cellStyle name="Normal 13 4 2 11" xfId="11462" xr:uid="{00000000-0005-0000-0000-0000B52C0000}"/>
    <cellStyle name="Normal 13 4 2 12" xfId="11463" xr:uid="{00000000-0005-0000-0000-0000B62C0000}"/>
    <cellStyle name="Normal 13 4 2 2" xfId="11464" xr:uid="{00000000-0005-0000-0000-0000B72C0000}"/>
    <cellStyle name="Normal 13 4 2 2 10" xfId="11465" xr:uid="{00000000-0005-0000-0000-0000B82C0000}"/>
    <cellStyle name="Normal 13 4 2 2 11" xfId="11466" xr:uid="{00000000-0005-0000-0000-0000B92C0000}"/>
    <cellStyle name="Normal 13 4 2 2 2" xfId="11467" xr:uid="{00000000-0005-0000-0000-0000BA2C0000}"/>
    <cellStyle name="Normal 13 4 2 2 2 2" xfId="11468" xr:uid="{00000000-0005-0000-0000-0000BB2C0000}"/>
    <cellStyle name="Normal 13 4 2 2 2 2 2" xfId="11469" xr:uid="{00000000-0005-0000-0000-0000BC2C0000}"/>
    <cellStyle name="Normal 13 4 2 2 2 2 3" xfId="11470" xr:uid="{00000000-0005-0000-0000-0000BD2C0000}"/>
    <cellStyle name="Normal 13 4 2 2 2 2 4" xfId="11471" xr:uid="{00000000-0005-0000-0000-0000BE2C0000}"/>
    <cellStyle name="Normal 13 4 2 2 2 2 5" xfId="11472" xr:uid="{00000000-0005-0000-0000-0000BF2C0000}"/>
    <cellStyle name="Normal 13 4 2 2 2 2 6" xfId="11473" xr:uid="{00000000-0005-0000-0000-0000C02C0000}"/>
    <cellStyle name="Normal 13 4 2 2 2 3" xfId="11474" xr:uid="{00000000-0005-0000-0000-0000C12C0000}"/>
    <cellStyle name="Normal 13 4 2 2 2 3 2" xfId="11475" xr:uid="{00000000-0005-0000-0000-0000C22C0000}"/>
    <cellStyle name="Normal 13 4 2 2 2 3 3" xfId="11476" xr:uid="{00000000-0005-0000-0000-0000C32C0000}"/>
    <cellStyle name="Normal 13 4 2 2 2 3 4" xfId="11477" xr:uid="{00000000-0005-0000-0000-0000C42C0000}"/>
    <cellStyle name="Normal 13 4 2 2 2 3 5" xfId="11478" xr:uid="{00000000-0005-0000-0000-0000C52C0000}"/>
    <cellStyle name="Normal 13 4 2 2 2 3 6" xfId="11479" xr:uid="{00000000-0005-0000-0000-0000C62C0000}"/>
    <cellStyle name="Normal 13 4 2 2 2 4" xfId="11480" xr:uid="{00000000-0005-0000-0000-0000C72C0000}"/>
    <cellStyle name="Normal 13 4 2 2 2 5" xfId="11481" xr:uid="{00000000-0005-0000-0000-0000C82C0000}"/>
    <cellStyle name="Normal 13 4 2 2 2 6" xfId="11482" xr:uid="{00000000-0005-0000-0000-0000C92C0000}"/>
    <cellStyle name="Normal 13 4 2 2 2 7" xfId="11483" xr:uid="{00000000-0005-0000-0000-0000CA2C0000}"/>
    <cellStyle name="Normal 13 4 2 2 2 8" xfId="11484" xr:uid="{00000000-0005-0000-0000-0000CB2C0000}"/>
    <cellStyle name="Normal 13 4 2 2 3" xfId="11485" xr:uid="{00000000-0005-0000-0000-0000CC2C0000}"/>
    <cellStyle name="Normal 13 4 2 2 3 2" xfId="11486" xr:uid="{00000000-0005-0000-0000-0000CD2C0000}"/>
    <cellStyle name="Normal 13 4 2 2 3 2 2" xfId="11487" xr:uid="{00000000-0005-0000-0000-0000CE2C0000}"/>
    <cellStyle name="Normal 13 4 2 2 3 2 3" xfId="11488" xr:uid="{00000000-0005-0000-0000-0000CF2C0000}"/>
    <cellStyle name="Normal 13 4 2 2 3 2 4" xfId="11489" xr:uid="{00000000-0005-0000-0000-0000D02C0000}"/>
    <cellStyle name="Normal 13 4 2 2 3 2 5" xfId="11490" xr:uid="{00000000-0005-0000-0000-0000D12C0000}"/>
    <cellStyle name="Normal 13 4 2 2 3 2 6" xfId="11491" xr:uid="{00000000-0005-0000-0000-0000D22C0000}"/>
    <cellStyle name="Normal 13 4 2 2 3 3" xfId="11492" xr:uid="{00000000-0005-0000-0000-0000D32C0000}"/>
    <cellStyle name="Normal 13 4 2 2 3 3 2" xfId="11493" xr:uid="{00000000-0005-0000-0000-0000D42C0000}"/>
    <cellStyle name="Normal 13 4 2 2 3 3 3" xfId="11494" xr:uid="{00000000-0005-0000-0000-0000D52C0000}"/>
    <cellStyle name="Normal 13 4 2 2 3 3 4" xfId="11495" xr:uid="{00000000-0005-0000-0000-0000D62C0000}"/>
    <cellStyle name="Normal 13 4 2 2 3 3 5" xfId="11496" xr:uid="{00000000-0005-0000-0000-0000D72C0000}"/>
    <cellStyle name="Normal 13 4 2 2 3 3 6" xfId="11497" xr:uid="{00000000-0005-0000-0000-0000D82C0000}"/>
    <cellStyle name="Normal 13 4 2 2 3 4" xfId="11498" xr:uid="{00000000-0005-0000-0000-0000D92C0000}"/>
    <cellStyle name="Normal 13 4 2 2 3 5" xfId="11499" xr:uid="{00000000-0005-0000-0000-0000DA2C0000}"/>
    <cellStyle name="Normal 13 4 2 2 3 6" xfId="11500" xr:uid="{00000000-0005-0000-0000-0000DB2C0000}"/>
    <cellStyle name="Normal 13 4 2 2 3 7" xfId="11501" xr:uid="{00000000-0005-0000-0000-0000DC2C0000}"/>
    <cellStyle name="Normal 13 4 2 2 3 8" xfId="11502" xr:uid="{00000000-0005-0000-0000-0000DD2C0000}"/>
    <cellStyle name="Normal 13 4 2 2 4" xfId="11503" xr:uid="{00000000-0005-0000-0000-0000DE2C0000}"/>
    <cellStyle name="Normal 13 4 2 2 4 2" xfId="11504" xr:uid="{00000000-0005-0000-0000-0000DF2C0000}"/>
    <cellStyle name="Normal 13 4 2 2 4 2 2" xfId="11505" xr:uid="{00000000-0005-0000-0000-0000E02C0000}"/>
    <cellStyle name="Normal 13 4 2 2 4 2 3" xfId="11506" xr:uid="{00000000-0005-0000-0000-0000E12C0000}"/>
    <cellStyle name="Normal 13 4 2 2 4 2 4" xfId="11507" xr:uid="{00000000-0005-0000-0000-0000E22C0000}"/>
    <cellStyle name="Normal 13 4 2 2 4 2 5" xfId="11508" xr:uid="{00000000-0005-0000-0000-0000E32C0000}"/>
    <cellStyle name="Normal 13 4 2 2 4 2 6" xfId="11509" xr:uid="{00000000-0005-0000-0000-0000E42C0000}"/>
    <cellStyle name="Normal 13 4 2 2 4 3" xfId="11510" xr:uid="{00000000-0005-0000-0000-0000E52C0000}"/>
    <cellStyle name="Normal 13 4 2 2 4 3 2" xfId="11511" xr:uid="{00000000-0005-0000-0000-0000E62C0000}"/>
    <cellStyle name="Normal 13 4 2 2 4 3 3" xfId="11512" xr:uid="{00000000-0005-0000-0000-0000E72C0000}"/>
    <cellStyle name="Normal 13 4 2 2 4 3 4" xfId="11513" xr:uid="{00000000-0005-0000-0000-0000E82C0000}"/>
    <cellStyle name="Normal 13 4 2 2 4 3 5" xfId="11514" xr:uid="{00000000-0005-0000-0000-0000E92C0000}"/>
    <cellStyle name="Normal 13 4 2 2 4 3 6" xfId="11515" xr:uid="{00000000-0005-0000-0000-0000EA2C0000}"/>
    <cellStyle name="Normal 13 4 2 2 4 4" xfId="11516" xr:uid="{00000000-0005-0000-0000-0000EB2C0000}"/>
    <cellStyle name="Normal 13 4 2 2 4 5" xfId="11517" xr:uid="{00000000-0005-0000-0000-0000EC2C0000}"/>
    <cellStyle name="Normal 13 4 2 2 4 6" xfId="11518" xr:uid="{00000000-0005-0000-0000-0000ED2C0000}"/>
    <cellStyle name="Normal 13 4 2 2 4 7" xfId="11519" xr:uid="{00000000-0005-0000-0000-0000EE2C0000}"/>
    <cellStyle name="Normal 13 4 2 2 4 8" xfId="11520" xr:uid="{00000000-0005-0000-0000-0000EF2C0000}"/>
    <cellStyle name="Normal 13 4 2 2 5" xfId="11521" xr:uid="{00000000-0005-0000-0000-0000F02C0000}"/>
    <cellStyle name="Normal 13 4 2 2 5 2" xfId="11522" xr:uid="{00000000-0005-0000-0000-0000F12C0000}"/>
    <cellStyle name="Normal 13 4 2 2 5 3" xfId="11523" xr:uid="{00000000-0005-0000-0000-0000F22C0000}"/>
    <cellStyle name="Normal 13 4 2 2 5 4" xfId="11524" xr:uid="{00000000-0005-0000-0000-0000F32C0000}"/>
    <cellStyle name="Normal 13 4 2 2 5 5" xfId="11525" xr:uid="{00000000-0005-0000-0000-0000F42C0000}"/>
    <cellStyle name="Normal 13 4 2 2 5 6" xfId="11526" xr:uid="{00000000-0005-0000-0000-0000F52C0000}"/>
    <cellStyle name="Normal 13 4 2 2 6" xfId="11527" xr:uid="{00000000-0005-0000-0000-0000F62C0000}"/>
    <cellStyle name="Normal 13 4 2 2 6 2" xfId="11528" xr:uid="{00000000-0005-0000-0000-0000F72C0000}"/>
    <cellStyle name="Normal 13 4 2 2 6 3" xfId="11529" xr:uid="{00000000-0005-0000-0000-0000F82C0000}"/>
    <cellStyle name="Normal 13 4 2 2 6 4" xfId="11530" xr:uid="{00000000-0005-0000-0000-0000F92C0000}"/>
    <cellStyle name="Normal 13 4 2 2 6 5" xfId="11531" xr:uid="{00000000-0005-0000-0000-0000FA2C0000}"/>
    <cellStyle name="Normal 13 4 2 2 6 6" xfId="11532" xr:uid="{00000000-0005-0000-0000-0000FB2C0000}"/>
    <cellStyle name="Normal 13 4 2 2 7" xfId="11533" xr:uid="{00000000-0005-0000-0000-0000FC2C0000}"/>
    <cellStyle name="Normal 13 4 2 2 8" xfId="11534" xr:uid="{00000000-0005-0000-0000-0000FD2C0000}"/>
    <cellStyle name="Normal 13 4 2 2 9" xfId="11535" xr:uid="{00000000-0005-0000-0000-0000FE2C0000}"/>
    <cellStyle name="Normal 13 4 2 3" xfId="11536" xr:uid="{00000000-0005-0000-0000-0000FF2C0000}"/>
    <cellStyle name="Normal 13 4 2 3 2" xfId="11537" xr:uid="{00000000-0005-0000-0000-0000002D0000}"/>
    <cellStyle name="Normal 13 4 2 3 2 2" xfId="11538" xr:uid="{00000000-0005-0000-0000-0000012D0000}"/>
    <cellStyle name="Normal 13 4 2 3 2 3" xfId="11539" xr:uid="{00000000-0005-0000-0000-0000022D0000}"/>
    <cellStyle name="Normal 13 4 2 3 2 4" xfId="11540" xr:uid="{00000000-0005-0000-0000-0000032D0000}"/>
    <cellStyle name="Normal 13 4 2 3 2 5" xfId="11541" xr:uid="{00000000-0005-0000-0000-0000042D0000}"/>
    <cellStyle name="Normal 13 4 2 3 2 6" xfId="11542" xr:uid="{00000000-0005-0000-0000-0000052D0000}"/>
    <cellStyle name="Normal 13 4 2 3 3" xfId="11543" xr:uid="{00000000-0005-0000-0000-0000062D0000}"/>
    <cellStyle name="Normal 13 4 2 3 3 2" xfId="11544" xr:uid="{00000000-0005-0000-0000-0000072D0000}"/>
    <cellStyle name="Normal 13 4 2 3 3 3" xfId="11545" xr:uid="{00000000-0005-0000-0000-0000082D0000}"/>
    <cellStyle name="Normal 13 4 2 3 3 4" xfId="11546" xr:uid="{00000000-0005-0000-0000-0000092D0000}"/>
    <cellStyle name="Normal 13 4 2 3 3 5" xfId="11547" xr:uid="{00000000-0005-0000-0000-00000A2D0000}"/>
    <cellStyle name="Normal 13 4 2 3 3 6" xfId="11548" xr:uid="{00000000-0005-0000-0000-00000B2D0000}"/>
    <cellStyle name="Normal 13 4 2 3 4" xfId="11549" xr:uid="{00000000-0005-0000-0000-00000C2D0000}"/>
    <cellStyle name="Normal 13 4 2 3 5" xfId="11550" xr:uid="{00000000-0005-0000-0000-00000D2D0000}"/>
    <cellStyle name="Normal 13 4 2 3 6" xfId="11551" xr:uid="{00000000-0005-0000-0000-00000E2D0000}"/>
    <cellStyle name="Normal 13 4 2 3 7" xfId="11552" xr:uid="{00000000-0005-0000-0000-00000F2D0000}"/>
    <cellStyle name="Normal 13 4 2 3 8" xfId="11553" xr:uid="{00000000-0005-0000-0000-0000102D0000}"/>
    <cellStyle name="Normal 13 4 2 4" xfId="11554" xr:uid="{00000000-0005-0000-0000-0000112D0000}"/>
    <cellStyle name="Normal 13 4 2 4 2" xfId="11555" xr:uid="{00000000-0005-0000-0000-0000122D0000}"/>
    <cellStyle name="Normal 13 4 2 4 2 2" xfId="11556" xr:uid="{00000000-0005-0000-0000-0000132D0000}"/>
    <cellStyle name="Normal 13 4 2 4 2 3" xfId="11557" xr:uid="{00000000-0005-0000-0000-0000142D0000}"/>
    <cellStyle name="Normal 13 4 2 4 2 4" xfId="11558" xr:uid="{00000000-0005-0000-0000-0000152D0000}"/>
    <cellStyle name="Normal 13 4 2 4 2 5" xfId="11559" xr:uid="{00000000-0005-0000-0000-0000162D0000}"/>
    <cellStyle name="Normal 13 4 2 4 2 6" xfId="11560" xr:uid="{00000000-0005-0000-0000-0000172D0000}"/>
    <cellStyle name="Normal 13 4 2 4 3" xfId="11561" xr:uid="{00000000-0005-0000-0000-0000182D0000}"/>
    <cellStyle name="Normal 13 4 2 4 3 2" xfId="11562" xr:uid="{00000000-0005-0000-0000-0000192D0000}"/>
    <cellStyle name="Normal 13 4 2 4 3 3" xfId="11563" xr:uid="{00000000-0005-0000-0000-00001A2D0000}"/>
    <cellStyle name="Normal 13 4 2 4 3 4" xfId="11564" xr:uid="{00000000-0005-0000-0000-00001B2D0000}"/>
    <cellStyle name="Normal 13 4 2 4 3 5" xfId="11565" xr:uid="{00000000-0005-0000-0000-00001C2D0000}"/>
    <cellStyle name="Normal 13 4 2 4 3 6" xfId="11566" xr:uid="{00000000-0005-0000-0000-00001D2D0000}"/>
    <cellStyle name="Normal 13 4 2 4 4" xfId="11567" xr:uid="{00000000-0005-0000-0000-00001E2D0000}"/>
    <cellStyle name="Normal 13 4 2 4 5" xfId="11568" xr:uid="{00000000-0005-0000-0000-00001F2D0000}"/>
    <cellStyle name="Normal 13 4 2 4 6" xfId="11569" xr:uid="{00000000-0005-0000-0000-0000202D0000}"/>
    <cellStyle name="Normal 13 4 2 4 7" xfId="11570" xr:uid="{00000000-0005-0000-0000-0000212D0000}"/>
    <cellStyle name="Normal 13 4 2 4 8" xfId="11571" xr:uid="{00000000-0005-0000-0000-0000222D0000}"/>
    <cellStyle name="Normal 13 4 2 5" xfId="11572" xr:uid="{00000000-0005-0000-0000-0000232D0000}"/>
    <cellStyle name="Normal 13 4 2 5 2" xfId="11573" xr:uid="{00000000-0005-0000-0000-0000242D0000}"/>
    <cellStyle name="Normal 13 4 2 5 2 2" xfId="11574" xr:uid="{00000000-0005-0000-0000-0000252D0000}"/>
    <cellStyle name="Normal 13 4 2 5 2 3" xfId="11575" xr:uid="{00000000-0005-0000-0000-0000262D0000}"/>
    <cellStyle name="Normal 13 4 2 5 2 4" xfId="11576" xr:uid="{00000000-0005-0000-0000-0000272D0000}"/>
    <cellStyle name="Normal 13 4 2 5 2 5" xfId="11577" xr:uid="{00000000-0005-0000-0000-0000282D0000}"/>
    <cellStyle name="Normal 13 4 2 5 2 6" xfId="11578" xr:uid="{00000000-0005-0000-0000-0000292D0000}"/>
    <cellStyle name="Normal 13 4 2 5 3" xfId="11579" xr:uid="{00000000-0005-0000-0000-00002A2D0000}"/>
    <cellStyle name="Normal 13 4 2 5 3 2" xfId="11580" xr:uid="{00000000-0005-0000-0000-00002B2D0000}"/>
    <cellStyle name="Normal 13 4 2 5 3 3" xfId="11581" xr:uid="{00000000-0005-0000-0000-00002C2D0000}"/>
    <cellStyle name="Normal 13 4 2 5 3 4" xfId="11582" xr:uid="{00000000-0005-0000-0000-00002D2D0000}"/>
    <cellStyle name="Normal 13 4 2 5 3 5" xfId="11583" xr:uid="{00000000-0005-0000-0000-00002E2D0000}"/>
    <cellStyle name="Normal 13 4 2 5 3 6" xfId="11584" xr:uid="{00000000-0005-0000-0000-00002F2D0000}"/>
    <cellStyle name="Normal 13 4 2 5 4" xfId="11585" xr:uid="{00000000-0005-0000-0000-0000302D0000}"/>
    <cellStyle name="Normal 13 4 2 5 5" xfId="11586" xr:uid="{00000000-0005-0000-0000-0000312D0000}"/>
    <cellStyle name="Normal 13 4 2 5 6" xfId="11587" xr:uid="{00000000-0005-0000-0000-0000322D0000}"/>
    <cellStyle name="Normal 13 4 2 5 7" xfId="11588" xr:uid="{00000000-0005-0000-0000-0000332D0000}"/>
    <cellStyle name="Normal 13 4 2 5 8" xfId="11589" xr:uid="{00000000-0005-0000-0000-0000342D0000}"/>
    <cellStyle name="Normal 13 4 2 6" xfId="11590" xr:uid="{00000000-0005-0000-0000-0000352D0000}"/>
    <cellStyle name="Normal 13 4 2 6 2" xfId="11591" xr:uid="{00000000-0005-0000-0000-0000362D0000}"/>
    <cellStyle name="Normal 13 4 2 6 3" xfId="11592" xr:uid="{00000000-0005-0000-0000-0000372D0000}"/>
    <cellStyle name="Normal 13 4 2 6 4" xfId="11593" xr:uid="{00000000-0005-0000-0000-0000382D0000}"/>
    <cellStyle name="Normal 13 4 2 6 5" xfId="11594" xr:uid="{00000000-0005-0000-0000-0000392D0000}"/>
    <cellStyle name="Normal 13 4 2 6 6" xfId="11595" xr:uid="{00000000-0005-0000-0000-00003A2D0000}"/>
    <cellStyle name="Normal 13 4 2 7" xfId="11596" xr:uid="{00000000-0005-0000-0000-00003B2D0000}"/>
    <cellStyle name="Normal 13 4 2 7 2" xfId="11597" xr:uid="{00000000-0005-0000-0000-00003C2D0000}"/>
    <cellStyle name="Normal 13 4 2 7 3" xfId="11598" xr:uid="{00000000-0005-0000-0000-00003D2D0000}"/>
    <cellStyle name="Normal 13 4 2 7 4" xfId="11599" xr:uid="{00000000-0005-0000-0000-00003E2D0000}"/>
    <cellStyle name="Normal 13 4 2 7 5" xfId="11600" xr:uid="{00000000-0005-0000-0000-00003F2D0000}"/>
    <cellStyle name="Normal 13 4 2 7 6" xfId="11601" xr:uid="{00000000-0005-0000-0000-0000402D0000}"/>
    <cellStyle name="Normal 13 4 2 8" xfId="11602" xr:uid="{00000000-0005-0000-0000-0000412D0000}"/>
    <cellStyle name="Normal 13 4 2 9" xfId="11603" xr:uid="{00000000-0005-0000-0000-0000422D0000}"/>
    <cellStyle name="Normal 13 4 3" xfId="11604" xr:uid="{00000000-0005-0000-0000-0000432D0000}"/>
    <cellStyle name="Normal 13 4 3 10" xfId="11605" xr:uid="{00000000-0005-0000-0000-0000442D0000}"/>
    <cellStyle name="Normal 13 4 3 11" xfId="11606" xr:uid="{00000000-0005-0000-0000-0000452D0000}"/>
    <cellStyle name="Normal 13 4 3 12" xfId="11607" xr:uid="{00000000-0005-0000-0000-0000462D0000}"/>
    <cellStyle name="Normal 13 4 3 2" xfId="11608" xr:uid="{00000000-0005-0000-0000-0000472D0000}"/>
    <cellStyle name="Normal 13 4 3 2 10" xfId="11609" xr:uid="{00000000-0005-0000-0000-0000482D0000}"/>
    <cellStyle name="Normal 13 4 3 2 11" xfId="11610" xr:uid="{00000000-0005-0000-0000-0000492D0000}"/>
    <cellStyle name="Normal 13 4 3 2 2" xfId="11611" xr:uid="{00000000-0005-0000-0000-00004A2D0000}"/>
    <cellStyle name="Normal 13 4 3 2 2 2" xfId="11612" xr:uid="{00000000-0005-0000-0000-00004B2D0000}"/>
    <cellStyle name="Normal 13 4 3 2 2 2 2" xfId="11613" xr:uid="{00000000-0005-0000-0000-00004C2D0000}"/>
    <cellStyle name="Normal 13 4 3 2 2 2 3" xfId="11614" xr:uid="{00000000-0005-0000-0000-00004D2D0000}"/>
    <cellStyle name="Normal 13 4 3 2 2 2 4" xfId="11615" xr:uid="{00000000-0005-0000-0000-00004E2D0000}"/>
    <cellStyle name="Normal 13 4 3 2 2 2 5" xfId="11616" xr:uid="{00000000-0005-0000-0000-00004F2D0000}"/>
    <cellStyle name="Normal 13 4 3 2 2 2 6" xfId="11617" xr:uid="{00000000-0005-0000-0000-0000502D0000}"/>
    <cellStyle name="Normal 13 4 3 2 2 3" xfId="11618" xr:uid="{00000000-0005-0000-0000-0000512D0000}"/>
    <cellStyle name="Normal 13 4 3 2 2 3 2" xfId="11619" xr:uid="{00000000-0005-0000-0000-0000522D0000}"/>
    <cellStyle name="Normal 13 4 3 2 2 3 3" xfId="11620" xr:uid="{00000000-0005-0000-0000-0000532D0000}"/>
    <cellStyle name="Normal 13 4 3 2 2 3 4" xfId="11621" xr:uid="{00000000-0005-0000-0000-0000542D0000}"/>
    <cellStyle name="Normal 13 4 3 2 2 3 5" xfId="11622" xr:uid="{00000000-0005-0000-0000-0000552D0000}"/>
    <cellStyle name="Normal 13 4 3 2 2 3 6" xfId="11623" xr:uid="{00000000-0005-0000-0000-0000562D0000}"/>
    <cellStyle name="Normal 13 4 3 2 2 4" xfId="11624" xr:uid="{00000000-0005-0000-0000-0000572D0000}"/>
    <cellStyle name="Normal 13 4 3 2 2 5" xfId="11625" xr:uid="{00000000-0005-0000-0000-0000582D0000}"/>
    <cellStyle name="Normal 13 4 3 2 2 6" xfId="11626" xr:uid="{00000000-0005-0000-0000-0000592D0000}"/>
    <cellStyle name="Normal 13 4 3 2 2 7" xfId="11627" xr:uid="{00000000-0005-0000-0000-00005A2D0000}"/>
    <cellStyle name="Normal 13 4 3 2 2 8" xfId="11628" xr:uid="{00000000-0005-0000-0000-00005B2D0000}"/>
    <cellStyle name="Normal 13 4 3 2 3" xfId="11629" xr:uid="{00000000-0005-0000-0000-00005C2D0000}"/>
    <cellStyle name="Normal 13 4 3 2 3 2" xfId="11630" xr:uid="{00000000-0005-0000-0000-00005D2D0000}"/>
    <cellStyle name="Normal 13 4 3 2 3 2 2" xfId="11631" xr:uid="{00000000-0005-0000-0000-00005E2D0000}"/>
    <cellStyle name="Normal 13 4 3 2 3 2 3" xfId="11632" xr:uid="{00000000-0005-0000-0000-00005F2D0000}"/>
    <cellStyle name="Normal 13 4 3 2 3 2 4" xfId="11633" xr:uid="{00000000-0005-0000-0000-0000602D0000}"/>
    <cellStyle name="Normal 13 4 3 2 3 2 5" xfId="11634" xr:uid="{00000000-0005-0000-0000-0000612D0000}"/>
    <cellStyle name="Normal 13 4 3 2 3 2 6" xfId="11635" xr:uid="{00000000-0005-0000-0000-0000622D0000}"/>
    <cellStyle name="Normal 13 4 3 2 3 3" xfId="11636" xr:uid="{00000000-0005-0000-0000-0000632D0000}"/>
    <cellStyle name="Normal 13 4 3 2 3 3 2" xfId="11637" xr:uid="{00000000-0005-0000-0000-0000642D0000}"/>
    <cellStyle name="Normal 13 4 3 2 3 3 3" xfId="11638" xr:uid="{00000000-0005-0000-0000-0000652D0000}"/>
    <cellStyle name="Normal 13 4 3 2 3 3 4" xfId="11639" xr:uid="{00000000-0005-0000-0000-0000662D0000}"/>
    <cellStyle name="Normal 13 4 3 2 3 3 5" xfId="11640" xr:uid="{00000000-0005-0000-0000-0000672D0000}"/>
    <cellStyle name="Normal 13 4 3 2 3 3 6" xfId="11641" xr:uid="{00000000-0005-0000-0000-0000682D0000}"/>
    <cellStyle name="Normal 13 4 3 2 3 4" xfId="11642" xr:uid="{00000000-0005-0000-0000-0000692D0000}"/>
    <cellStyle name="Normal 13 4 3 2 3 5" xfId="11643" xr:uid="{00000000-0005-0000-0000-00006A2D0000}"/>
    <cellStyle name="Normal 13 4 3 2 3 6" xfId="11644" xr:uid="{00000000-0005-0000-0000-00006B2D0000}"/>
    <cellStyle name="Normal 13 4 3 2 3 7" xfId="11645" xr:uid="{00000000-0005-0000-0000-00006C2D0000}"/>
    <cellStyle name="Normal 13 4 3 2 3 8" xfId="11646" xr:uid="{00000000-0005-0000-0000-00006D2D0000}"/>
    <cellStyle name="Normal 13 4 3 2 4" xfId="11647" xr:uid="{00000000-0005-0000-0000-00006E2D0000}"/>
    <cellStyle name="Normal 13 4 3 2 4 2" xfId="11648" xr:uid="{00000000-0005-0000-0000-00006F2D0000}"/>
    <cellStyle name="Normal 13 4 3 2 4 2 2" xfId="11649" xr:uid="{00000000-0005-0000-0000-0000702D0000}"/>
    <cellStyle name="Normal 13 4 3 2 4 2 3" xfId="11650" xr:uid="{00000000-0005-0000-0000-0000712D0000}"/>
    <cellStyle name="Normal 13 4 3 2 4 2 4" xfId="11651" xr:uid="{00000000-0005-0000-0000-0000722D0000}"/>
    <cellStyle name="Normal 13 4 3 2 4 2 5" xfId="11652" xr:uid="{00000000-0005-0000-0000-0000732D0000}"/>
    <cellStyle name="Normal 13 4 3 2 4 2 6" xfId="11653" xr:uid="{00000000-0005-0000-0000-0000742D0000}"/>
    <cellStyle name="Normal 13 4 3 2 4 3" xfId="11654" xr:uid="{00000000-0005-0000-0000-0000752D0000}"/>
    <cellStyle name="Normal 13 4 3 2 4 3 2" xfId="11655" xr:uid="{00000000-0005-0000-0000-0000762D0000}"/>
    <cellStyle name="Normal 13 4 3 2 4 3 3" xfId="11656" xr:uid="{00000000-0005-0000-0000-0000772D0000}"/>
    <cellStyle name="Normal 13 4 3 2 4 3 4" xfId="11657" xr:uid="{00000000-0005-0000-0000-0000782D0000}"/>
    <cellStyle name="Normal 13 4 3 2 4 3 5" xfId="11658" xr:uid="{00000000-0005-0000-0000-0000792D0000}"/>
    <cellStyle name="Normal 13 4 3 2 4 3 6" xfId="11659" xr:uid="{00000000-0005-0000-0000-00007A2D0000}"/>
    <cellStyle name="Normal 13 4 3 2 4 4" xfId="11660" xr:uid="{00000000-0005-0000-0000-00007B2D0000}"/>
    <cellStyle name="Normal 13 4 3 2 4 5" xfId="11661" xr:uid="{00000000-0005-0000-0000-00007C2D0000}"/>
    <cellStyle name="Normal 13 4 3 2 4 6" xfId="11662" xr:uid="{00000000-0005-0000-0000-00007D2D0000}"/>
    <cellStyle name="Normal 13 4 3 2 4 7" xfId="11663" xr:uid="{00000000-0005-0000-0000-00007E2D0000}"/>
    <cellStyle name="Normal 13 4 3 2 4 8" xfId="11664" xr:uid="{00000000-0005-0000-0000-00007F2D0000}"/>
    <cellStyle name="Normal 13 4 3 2 5" xfId="11665" xr:uid="{00000000-0005-0000-0000-0000802D0000}"/>
    <cellStyle name="Normal 13 4 3 2 5 2" xfId="11666" xr:uid="{00000000-0005-0000-0000-0000812D0000}"/>
    <cellStyle name="Normal 13 4 3 2 5 3" xfId="11667" xr:uid="{00000000-0005-0000-0000-0000822D0000}"/>
    <cellStyle name="Normal 13 4 3 2 5 4" xfId="11668" xr:uid="{00000000-0005-0000-0000-0000832D0000}"/>
    <cellStyle name="Normal 13 4 3 2 5 5" xfId="11669" xr:uid="{00000000-0005-0000-0000-0000842D0000}"/>
    <cellStyle name="Normal 13 4 3 2 5 6" xfId="11670" xr:uid="{00000000-0005-0000-0000-0000852D0000}"/>
    <cellStyle name="Normal 13 4 3 2 6" xfId="11671" xr:uid="{00000000-0005-0000-0000-0000862D0000}"/>
    <cellStyle name="Normal 13 4 3 2 6 2" xfId="11672" xr:uid="{00000000-0005-0000-0000-0000872D0000}"/>
    <cellStyle name="Normal 13 4 3 2 6 3" xfId="11673" xr:uid="{00000000-0005-0000-0000-0000882D0000}"/>
    <cellStyle name="Normal 13 4 3 2 6 4" xfId="11674" xr:uid="{00000000-0005-0000-0000-0000892D0000}"/>
    <cellStyle name="Normal 13 4 3 2 6 5" xfId="11675" xr:uid="{00000000-0005-0000-0000-00008A2D0000}"/>
    <cellStyle name="Normal 13 4 3 2 6 6" xfId="11676" xr:uid="{00000000-0005-0000-0000-00008B2D0000}"/>
    <cellStyle name="Normal 13 4 3 2 7" xfId="11677" xr:uid="{00000000-0005-0000-0000-00008C2D0000}"/>
    <cellStyle name="Normal 13 4 3 2 8" xfId="11678" xr:uid="{00000000-0005-0000-0000-00008D2D0000}"/>
    <cellStyle name="Normal 13 4 3 2 9" xfId="11679" xr:uid="{00000000-0005-0000-0000-00008E2D0000}"/>
    <cellStyle name="Normal 13 4 3 3" xfId="11680" xr:uid="{00000000-0005-0000-0000-00008F2D0000}"/>
    <cellStyle name="Normal 13 4 3 3 2" xfId="11681" xr:uid="{00000000-0005-0000-0000-0000902D0000}"/>
    <cellStyle name="Normal 13 4 3 3 2 2" xfId="11682" xr:uid="{00000000-0005-0000-0000-0000912D0000}"/>
    <cellStyle name="Normal 13 4 3 3 2 3" xfId="11683" xr:uid="{00000000-0005-0000-0000-0000922D0000}"/>
    <cellStyle name="Normal 13 4 3 3 2 4" xfId="11684" xr:uid="{00000000-0005-0000-0000-0000932D0000}"/>
    <cellStyle name="Normal 13 4 3 3 2 5" xfId="11685" xr:uid="{00000000-0005-0000-0000-0000942D0000}"/>
    <cellStyle name="Normal 13 4 3 3 2 6" xfId="11686" xr:uid="{00000000-0005-0000-0000-0000952D0000}"/>
    <cellStyle name="Normal 13 4 3 3 3" xfId="11687" xr:uid="{00000000-0005-0000-0000-0000962D0000}"/>
    <cellStyle name="Normal 13 4 3 3 3 2" xfId="11688" xr:uid="{00000000-0005-0000-0000-0000972D0000}"/>
    <cellStyle name="Normal 13 4 3 3 3 3" xfId="11689" xr:uid="{00000000-0005-0000-0000-0000982D0000}"/>
    <cellStyle name="Normal 13 4 3 3 3 4" xfId="11690" xr:uid="{00000000-0005-0000-0000-0000992D0000}"/>
    <cellStyle name="Normal 13 4 3 3 3 5" xfId="11691" xr:uid="{00000000-0005-0000-0000-00009A2D0000}"/>
    <cellStyle name="Normal 13 4 3 3 3 6" xfId="11692" xr:uid="{00000000-0005-0000-0000-00009B2D0000}"/>
    <cellStyle name="Normal 13 4 3 3 4" xfId="11693" xr:uid="{00000000-0005-0000-0000-00009C2D0000}"/>
    <cellStyle name="Normal 13 4 3 3 5" xfId="11694" xr:uid="{00000000-0005-0000-0000-00009D2D0000}"/>
    <cellStyle name="Normal 13 4 3 3 6" xfId="11695" xr:uid="{00000000-0005-0000-0000-00009E2D0000}"/>
    <cellStyle name="Normal 13 4 3 3 7" xfId="11696" xr:uid="{00000000-0005-0000-0000-00009F2D0000}"/>
    <cellStyle name="Normal 13 4 3 3 8" xfId="11697" xr:uid="{00000000-0005-0000-0000-0000A02D0000}"/>
    <cellStyle name="Normal 13 4 3 4" xfId="11698" xr:uid="{00000000-0005-0000-0000-0000A12D0000}"/>
    <cellStyle name="Normal 13 4 3 4 2" xfId="11699" xr:uid="{00000000-0005-0000-0000-0000A22D0000}"/>
    <cellStyle name="Normal 13 4 3 4 2 2" xfId="11700" xr:uid="{00000000-0005-0000-0000-0000A32D0000}"/>
    <cellStyle name="Normal 13 4 3 4 2 3" xfId="11701" xr:uid="{00000000-0005-0000-0000-0000A42D0000}"/>
    <cellStyle name="Normal 13 4 3 4 2 4" xfId="11702" xr:uid="{00000000-0005-0000-0000-0000A52D0000}"/>
    <cellStyle name="Normal 13 4 3 4 2 5" xfId="11703" xr:uid="{00000000-0005-0000-0000-0000A62D0000}"/>
    <cellStyle name="Normal 13 4 3 4 2 6" xfId="11704" xr:uid="{00000000-0005-0000-0000-0000A72D0000}"/>
    <cellStyle name="Normal 13 4 3 4 3" xfId="11705" xr:uid="{00000000-0005-0000-0000-0000A82D0000}"/>
    <cellStyle name="Normal 13 4 3 4 3 2" xfId="11706" xr:uid="{00000000-0005-0000-0000-0000A92D0000}"/>
    <cellStyle name="Normal 13 4 3 4 3 3" xfId="11707" xr:uid="{00000000-0005-0000-0000-0000AA2D0000}"/>
    <cellStyle name="Normal 13 4 3 4 3 4" xfId="11708" xr:uid="{00000000-0005-0000-0000-0000AB2D0000}"/>
    <cellStyle name="Normal 13 4 3 4 3 5" xfId="11709" xr:uid="{00000000-0005-0000-0000-0000AC2D0000}"/>
    <cellStyle name="Normal 13 4 3 4 3 6" xfId="11710" xr:uid="{00000000-0005-0000-0000-0000AD2D0000}"/>
    <cellStyle name="Normal 13 4 3 4 4" xfId="11711" xr:uid="{00000000-0005-0000-0000-0000AE2D0000}"/>
    <cellStyle name="Normal 13 4 3 4 5" xfId="11712" xr:uid="{00000000-0005-0000-0000-0000AF2D0000}"/>
    <cellStyle name="Normal 13 4 3 4 6" xfId="11713" xr:uid="{00000000-0005-0000-0000-0000B02D0000}"/>
    <cellStyle name="Normal 13 4 3 4 7" xfId="11714" xr:uid="{00000000-0005-0000-0000-0000B12D0000}"/>
    <cellStyle name="Normal 13 4 3 4 8" xfId="11715" xr:uid="{00000000-0005-0000-0000-0000B22D0000}"/>
    <cellStyle name="Normal 13 4 3 5" xfId="11716" xr:uid="{00000000-0005-0000-0000-0000B32D0000}"/>
    <cellStyle name="Normal 13 4 3 5 2" xfId="11717" xr:uid="{00000000-0005-0000-0000-0000B42D0000}"/>
    <cellStyle name="Normal 13 4 3 5 2 2" xfId="11718" xr:uid="{00000000-0005-0000-0000-0000B52D0000}"/>
    <cellStyle name="Normal 13 4 3 5 2 3" xfId="11719" xr:uid="{00000000-0005-0000-0000-0000B62D0000}"/>
    <cellStyle name="Normal 13 4 3 5 2 4" xfId="11720" xr:uid="{00000000-0005-0000-0000-0000B72D0000}"/>
    <cellStyle name="Normal 13 4 3 5 2 5" xfId="11721" xr:uid="{00000000-0005-0000-0000-0000B82D0000}"/>
    <cellStyle name="Normal 13 4 3 5 2 6" xfId="11722" xr:uid="{00000000-0005-0000-0000-0000B92D0000}"/>
    <cellStyle name="Normal 13 4 3 5 3" xfId="11723" xr:uid="{00000000-0005-0000-0000-0000BA2D0000}"/>
    <cellStyle name="Normal 13 4 3 5 3 2" xfId="11724" xr:uid="{00000000-0005-0000-0000-0000BB2D0000}"/>
    <cellStyle name="Normal 13 4 3 5 3 3" xfId="11725" xr:uid="{00000000-0005-0000-0000-0000BC2D0000}"/>
    <cellStyle name="Normal 13 4 3 5 3 4" xfId="11726" xr:uid="{00000000-0005-0000-0000-0000BD2D0000}"/>
    <cellStyle name="Normal 13 4 3 5 3 5" xfId="11727" xr:uid="{00000000-0005-0000-0000-0000BE2D0000}"/>
    <cellStyle name="Normal 13 4 3 5 3 6" xfId="11728" xr:uid="{00000000-0005-0000-0000-0000BF2D0000}"/>
    <cellStyle name="Normal 13 4 3 5 4" xfId="11729" xr:uid="{00000000-0005-0000-0000-0000C02D0000}"/>
    <cellStyle name="Normal 13 4 3 5 5" xfId="11730" xr:uid="{00000000-0005-0000-0000-0000C12D0000}"/>
    <cellStyle name="Normal 13 4 3 5 6" xfId="11731" xr:uid="{00000000-0005-0000-0000-0000C22D0000}"/>
    <cellStyle name="Normal 13 4 3 5 7" xfId="11732" xr:uid="{00000000-0005-0000-0000-0000C32D0000}"/>
    <cellStyle name="Normal 13 4 3 5 8" xfId="11733" xr:uid="{00000000-0005-0000-0000-0000C42D0000}"/>
    <cellStyle name="Normal 13 4 3 6" xfId="11734" xr:uid="{00000000-0005-0000-0000-0000C52D0000}"/>
    <cellStyle name="Normal 13 4 3 6 2" xfId="11735" xr:uid="{00000000-0005-0000-0000-0000C62D0000}"/>
    <cellStyle name="Normal 13 4 3 6 3" xfId="11736" xr:uid="{00000000-0005-0000-0000-0000C72D0000}"/>
    <cellStyle name="Normal 13 4 3 6 4" xfId="11737" xr:uid="{00000000-0005-0000-0000-0000C82D0000}"/>
    <cellStyle name="Normal 13 4 3 6 5" xfId="11738" xr:uid="{00000000-0005-0000-0000-0000C92D0000}"/>
    <cellStyle name="Normal 13 4 3 6 6" xfId="11739" xr:uid="{00000000-0005-0000-0000-0000CA2D0000}"/>
    <cellStyle name="Normal 13 4 3 7" xfId="11740" xr:uid="{00000000-0005-0000-0000-0000CB2D0000}"/>
    <cellStyle name="Normal 13 4 3 7 2" xfId="11741" xr:uid="{00000000-0005-0000-0000-0000CC2D0000}"/>
    <cellStyle name="Normal 13 4 3 7 3" xfId="11742" xr:uid="{00000000-0005-0000-0000-0000CD2D0000}"/>
    <cellStyle name="Normal 13 4 3 7 4" xfId="11743" xr:uid="{00000000-0005-0000-0000-0000CE2D0000}"/>
    <cellStyle name="Normal 13 4 3 7 5" xfId="11744" xr:uid="{00000000-0005-0000-0000-0000CF2D0000}"/>
    <cellStyle name="Normal 13 4 3 7 6" xfId="11745" xr:uid="{00000000-0005-0000-0000-0000D02D0000}"/>
    <cellStyle name="Normal 13 4 3 8" xfId="11746" xr:uid="{00000000-0005-0000-0000-0000D12D0000}"/>
    <cellStyle name="Normal 13 4 3 9" xfId="11747" xr:uid="{00000000-0005-0000-0000-0000D22D0000}"/>
    <cellStyle name="Normal 13 4 4" xfId="11748" xr:uid="{00000000-0005-0000-0000-0000D32D0000}"/>
    <cellStyle name="Normal 13 4 4 10" xfId="11749" xr:uid="{00000000-0005-0000-0000-0000D42D0000}"/>
    <cellStyle name="Normal 13 4 4 11" xfId="11750" xr:uid="{00000000-0005-0000-0000-0000D52D0000}"/>
    <cellStyle name="Normal 13 4 4 2" xfId="11751" xr:uid="{00000000-0005-0000-0000-0000D62D0000}"/>
    <cellStyle name="Normal 13 4 4 2 2" xfId="11752" xr:uid="{00000000-0005-0000-0000-0000D72D0000}"/>
    <cellStyle name="Normal 13 4 4 2 2 2" xfId="11753" xr:uid="{00000000-0005-0000-0000-0000D82D0000}"/>
    <cellStyle name="Normal 13 4 4 2 2 3" xfId="11754" xr:uid="{00000000-0005-0000-0000-0000D92D0000}"/>
    <cellStyle name="Normal 13 4 4 2 2 4" xfId="11755" xr:uid="{00000000-0005-0000-0000-0000DA2D0000}"/>
    <cellStyle name="Normal 13 4 4 2 2 5" xfId="11756" xr:uid="{00000000-0005-0000-0000-0000DB2D0000}"/>
    <cellStyle name="Normal 13 4 4 2 2 6" xfId="11757" xr:uid="{00000000-0005-0000-0000-0000DC2D0000}"/>
    <cellStyle name="Normal 13 4 4 2 3" xfId="11758" xr:uid="{00000000-0005-0000-0000-0000DD2D0000}"/>
    <cellStyle name="Normal 13 4 4 2 3 2" xfId="11759" xr:uid="{00000000-0005-0000-0000-0000DE2D0000}"/>
    <cellStyle name="Normal 13 4 4 2 3 3" xfId="11760" xr:uid="{00000000-0005-0000-0000-0000DF2D0000}"/>
    <cellStyle name="Normal 13 4 4 2 3 4" xfId="11761" xr:uid="{00000000-0005-0000-0000-0000E02D0000}"/>
    <cellStyle name="Normal 13 4 4 2 3 5" xfId="11762" xr:uid="{00000000-0005-0000-0000-0000E12D0000}"/>
    <cellStyle name="Normal 13 4 4 2 3 6" xfId="11763" xr:uid="{00000000-0005-0000-0000-0000E22D0000}"/>
    <cellStyle name="Normal 13 4 4 2 4" xfId="11764" xr:uid="{00000000-0005-0000-0000-0000E32D0000}"/>
    <cellStyle name="Normal 13 4 4 2 5" xfId="11765" xr:uid="{00000000-0005-0000-0000-0000E42D0000}"/>
    <cellStyle name="Normal 13 4 4 2 6" xfId="11766" xr:uid="{00000000-0005-0000-0000-0000E52D0000}"/>
    <cellStyle name="Normal 13 4 4 2 7" xfId="11767" xr:uid="{00000000-0005-0000-0000-0000E62D0000}"/>
    <cellStyle name="Normal 13 4 4 2 8" xfId="11768" xr:uid="{00000000-0005-0000-0000-0000E72D0000}"/>
    <cellStyle name="Normal 13 4 4 3" xfId="11769" xr:uid="{00000000-0005-0000-0000-0000E82D0000}"/>
    <cellStyle name="Normal 13 4 4 3 2" xfId="11770" xr:uid="{00000000-0005-0000-0000-0000E92D0000}"/>
    <cellStyle name="Normal 13 4 4 3 2 2" xfId="11771" xr:uid="{00000000-0005-0000-0000-0000EA2D0000}"/>
    <cellStyle name="Normal 13 4 4 3 2 3" xfId="11772" xr:uid="{00000000-0005-0000-0000-0000EB2D0000}"/>
    <cellStyle name="Normal 13 4 4 3 2 4" xfId="11773" xr:uid="{00000000-0005-0000-0000-0000EC2D0000}"/>
    <cellStyle name="Normal 13 4 4 3 2 5" xfId="11774" xr:uid="{00000000-0005-0000-0000-0000ED2D0000}"/>
    <cellStyle name="Normal 13 4 4 3 2 6" xfId="11775" xr:uid="{00000000-0005-0000-0000-0000EE2D0000}"/>
    <cellStyle name="Normal 13 4 4 3 3" xfId="11776" xr:uid="{00000000-0005-0000-0000-0000EF2D0000}"/>
    <cellStyle name="Normal 13 4 4 3 3 2" xfId="11777" xr:uid="{00000000-0005-0000-0000-0000F02D0000}"/>
    <cellStyle name="Normal 13 4 4 3 3 3" xfId="11778" xr:uid="{00000000-0005-0000-0000-0000F12D0000}"/>
    <cellStyle name="Normal 13 4 4 3 3 4" xfId="11779" xr:uid="{00000000-0005-0000-0000-0000F22D0000}"/>
    <cellStyle name="Normal 13 4 4 3 3 5" xfId="11780" xr:uid="{00000000-0005-0000-0000-0000F32D0000}"/>
    <cellStyle name="Normal 13 4 4 3 3 6" xfId="11781" xr:uid="{00000000-0005-0000-0000-0000F42D0000}"/>
    <cellStyle name="Normal 13 4 4 3 4" xfId="11782" xr:uid="{00000000-0005-0000-0000-0000F52D0000}"/>
    <cellStyle name="Normal 13 4 4 3 5" xfId="11783" xr:uid="{00000000-0005-0000-0000-0000F62D0000}"/>
    <cellStyle name="Normal 13 4 4 3 6" xfId="11784" xr:uid="{00000000-0005-0000-0000-0000F72D0000}"/>
    <cellStyle name="Normal 13 4 4 3 7" xfId="11785" xr:uid="{00000000-0005-0000-0000-0000F82D0000}"/>
    <cellStyle name="Normal 13 4 4 3 8" xfId="11786" xr:uid="{00000000-0005-0000-0000-0000F92D0000}"/>
    <cellStyle name="Normal 13 4 4 4" xfId="11787" xr:uid="{00000000-0005-0000-0000-0000FA2D0000}"/>
    <cellStyle name="Normal 13 4 4 4 2" xfId="11788" xr:uid="{00000000-0005-0000-0000-0000FB2D0000}"/>
    <cellStyle name="Normal 13 4 4 4 2 2" xfId="11789" xr:uid="{00000000-0005-0000-0000-0000FC2D0000}"/>
    <cellStyle name="Normal 13 4 4 4 2 3" xfId="11790" xr:uid="{00000000-0005-0000-0000-0000FD2D0000}"/>
    <cellStyle name="Normal 13 4 4 4 2 4" xfId="11791" xr:uid="{00000000-0005-0000-0000-0000FE2D0000}"/>
    <cellStyle name="Normal 13 4 4 4 2 5" xfId="11792" xr:uid="{00000000-0005-0000-0000-0000FF2D0000}"/>
    <cellStyle name="Normal 13 4 4 4 2 6" xfId="11793" xr:uid="{00000000-0005-0000-0000-0000002E0000}"/>
    <cellStyle name="Normal 13 4 4 4 3" xfId="11794" xr:uid="{00000000-0005-0000-0000-0000012E0000}"/>
    <cellStyle name="Normal 13 4 4 4 3 2" xfId="11795" xr:uid="{00000000-0005-0000-0000-0000022E0000}"/>
    <cellStyle name="Normal 13 4 4 4 3 3" xfId="11796" xr:uid="{00000000-0005-0000-0000-0000032E0000}"/>
    <cellStyle name="Normal 13 4 4 4 3 4" xfId="11797" xr:uid="{00000000-0005-0000-0000-0000042E0000}"/>
    <cellStyle name="Normal 13 4 4 4 3 5" xfId="11798" xr:uid="{00000000-0005-0000-0000-0000052E0000}"/>
    <cellStyle name="Normal 13 4 4 4 3 6" xfId="11799" xr:uid="{00000000-0005-0000-0000-0000062E0000}"/>
    <cellStyle name="Normal 13 4 4 4 4" xfId="11800" xr:uid="{00000000-0005-0000-0000-0000072E0000}"/>
    <cellStyle name="Normal 13 4 4 4 5" xfId="11801" xr:uid="{00000000-0005-0000-0000-0000082E0000}"/>
    <cellStyle name="Normal 13 4 4 4 6" xfId="11802" xr:uid="{00000000-0005-0000-0000-0000092E0000}"/>
    <cellStyle name="Normal 13 4 4 4 7" xfId="11803" xr:uid="{00000000-0005-0000-0000-00000A2E0000}"/>
    <cellStyle name="Normal 13 4 4 4 8" xfId="11804" xr:uid="{00000000-0005-0000-0000-00000B2E0000}"/>
    <cellStyle name="Normal 13 4 4 5" xfId="11805" xr:uid="{00000000-0005-0000-0000-00000C2E0000}"/>
    <cellStyle name="Normal 13 4 4 5 2" xfId="11806" xr:uid="{00000000-0005-0000-0000-00000D2E0000}"/>
    <cellStyle name="Normal 13 4 4 5 3" xfId="11807" xr:uid="{00000000-0005-0000-0000-00000E2E0000}"/>
    <cellStyle name="Normal 13 4 4 5 4" xfId="11808" xr:uid="{00000000-0005-0000-0000-00000F2E0000}"/>
    <cellStyle name="Normal 13 4 4 5 5" xfId="11809" xr:uid="{00000000-0005-0000-0000-0000102E0000}"/>
    <cellStyle name="Normal 13 4 4 5 6" xfId="11810" xr:uid="{00000000-0005-0000-0000-0000112E0000}"/>
    <cellStyle name="Normal 13 4 4 6" xfId="11811" xr:uid="{00000000-0005-0000-0000-0000122E0000}"/>
    <cellStyle name="Normal 13 4 4 6 2" xfId="11812" xr:uid="{00000000-0005-0000-0000-0000132E0000}"/>
    <cellStyle name="Normal 13 4 4 6 3" xfId="11813" xr:uid="{00000000-0005-0000-0000-0000142E0000}"/>
    <cellStyle name="Normal 13 4 4 6 4" xfId="11814" xr:uid="{00000000-0005-0000-0000-0000152E0000}"/>
    <cellStyle name="Normal 13 4 4 6 5" xfId="11815" xr:uid="{00000000-0005-0000-0000-0000162E0000}"/>
    <cellStyle name="Normal 13 4 4 6 6" xfId="11816" xr:uid="{00000000-0005-0000-0000-0000172E0000}"/>
    <cellStyle name="Normal 13 4 4 7" xfId="11817" xr:uid="{00000000-0005-0000-0000-0000182E0000}"/>
    <cellStyle name="Normal 13 4 4 8" xfId="11818" xr:uid="{00000000-0005-0000-0000-0000192E0000}"/>
    <cellStyle name="Normal 13 4 4 9" xfId="11819" xr:uid="{00000000-0005-0000-0000-00001A2E0000}"/>
    <cellStyle name="Normal 13 4 5" xfId="11820" xr:uid="{00000000-0005-0000-0000-00001B2E0000}"/>
    <cellStyle name="Normal 13 4 5 2" xfId="11821" xr:uid="{00000000-0005-0000-0000-00001C2E0000}"/>
    <cellStyle name="Normal 13 4 5 2 2" xfId="11822" xr:uid="{00000000-0005-0000-0000-00001D2E0000}"/>
    <cellStyle name="Normal 13 4 5 2 3" xfId="11823" xr:uid="{00000000-0005-0000-0000-00001E2E0000}"/>
    <cellStyle name="Normal 13 4 5 2 4" xfId="11824" xr:uid="{00000000-0005-0000-0000-00001F2E0000}"/>
    <cellStyle name="Normal 13 4 5 2 5" xfId="11825" xr:uid="{00000000-0005-0000-0000-0000202E0000}"/>
    <cellStyle name="Normal 13 4 5 2 6" xfId="11826" xr:uid="{00000000-0005-0000-0000-0000212E0000}"/>
    <cellStyle name="Normal 13 4 5 3" xfId="11827" xr:uid="{00000000-0005-0000-0000-0000222E0000}"/>
    <cellStyle name="Normal 13 4 5 3 2" xfId="11828" xr:uid="{00000000-0005-0000-0000-0000232E0000}"/>
    <cellStyle name="Normal 13 4 5 3 3" xfId="11829" xr:uid="{00000000-0005-0000-0000-0000242E0000}"/>
    <cellStyle name="Normal 13 4 5 3 4" xfId="11830" xr:uid="{00000000-0005-0000-0000-0000252E0000}"/>
    <cellStyle name="Normal 13 4 5 3 5" xfId="11831" xr:uid="{00000000-0005-0000-0000-0000262E0000}"/>
    <cellStyle name="Normal 13 4 5 3 6" xfId="11832" xr:uid="{00000000-0005-0000-0000-0000272E0000}"/>
    <cellStyle name="Normal 13 4 5 4" xfId="11833" xr:uid="{00000000-0005-0000-0000-0000282E0000}"/>
    <cellStyle name="Normal 13 4 5 5" xfId="11834" xr:uid="{00000000-0005-0000-0000-0000292E0000}"/>
    <cellStyle name="Normal 13 4 5 6" xfId="11835" xr:uid="{00000000-0005-0000-0000-00002A2E0000}"/>
    <cellStyle name="Normal 13 4 5 7" xfId="11836" xr:uid="{00000000-0005-0000-0000-00002B2E0000}"/>
    <cellStyle name="Normal 13 4 5 8" xfId="11837" xr:uid="{00000000-0005-0000-0000-00002C2E0000}"/>
    <cellStyle name="Normal 13 4 6" xfId="11838" xr:uid="{00000000-0005-0000-0000-00002D2E0000}"/>
    <cellStyle name="Normal 13 4 6 2" xfId="11839" xr:uid="{00000000-0005-0000-0000-00002E2E0000}"/>
    <cellStyle name="Normal 13 4 6 2 2" xfId="11840" xr:uid="{00000000-0005-0000-0000-00002F2E0000}"/>
    <cellStyle name="Normal 13 4 6 2 3" xfId="11841" xr:uid="{00000000-0005-0000-0000-0000302E0000}"/>
    <cellStyle name="Normal 13 4 6 2 4" xfId="11842" xr:uid="{00000000-0005-0000-0000-0000312E0000}"/>
    <cellStyle name="Normal 13 4 6 2 5" xfId="11843" xr:uid="{00000000-0005-0000-0000-0000322E0000}"/>
    <cellStyle name="Normal 13 4 6 2 6" xfId="11844" xr:uid="{00000000-0005-0000-0000-0000332E0000}"/>
    <cellStyle name="Normal 13 4 6 3" xfId="11845" xr:uid="{00000000-0005-0000-0000-0000342E0000}"/>
    <cellStyle name="Normal 13 4 6 3 2" xfId="11846" xr:uid="{00000000-0005-0000-0000-0000352E0000}"/>
    <cellStyle name="Normal 13 4 6 3 3" xfId="11847" xr:uid="{00000000-0005-0000-0000-0000362E0000}"/>
    <cellStyle name="Normal 13 4 6 3 4" xfId="11848" xr:uid="{00000000-0005-0000-0000-0000372E0000}"/>
    <cellStyle name="Normal 13 4 6 3 5" xfId="11849" xr:uid="{00000000-0005-0000-0000-0000382E0000}"/>
    <cellStyle name="Normal 13 4 6 3 6" xfId="11850" xr:uid="{00000000-0005-0000-0000-0000392E0000}"/>
    <cellStyle name="Normal 13 4 6 4" xfId="11851" xr:uid="{00000000-0005-0000-0000-00003A2E0000}"/>
    <cellStyle name="Normal 13 4 6 5" xfId="11852" xr:uid="{00000000-0005-0000-0000-00003B2E0000}"/>
    <cellStyle name="Normal 13 4 6 6" xfId="11853" xr:uid="{00000000-0005-0000-0000-00003C2E0000}"/>
    <cellStyle name="Normal 13 4 6 7" xfId="11854" xr:uid="{00000000-0005-0000-0000-00003D2E0000}"/>
    <cellStyle name="Normal 13 4 6 8" xfId="11855" xr:uid="{00000000-0005-0000-0000-00003E2E0000}"/>
    <cellStyle name="Normal 13 4 7" xfId="11856" xr:uid="{00000000-0005-0000-0000-00003F2E0000}"/>
    <cellStyle name="Normal 13 4 7 2" xfId="11857" xr:uid="{00000000-0005-0000-0000-0000402E0000}"/>
    <cellStyle name="Normal 13 4 7 2 2" xfId="11858" xr:uid="{00000000-0005-0000-0000-0000412E0000}"/>
    <cellStyle name="Normal 13 4 7 2 3" xfId="11859" xr:uid="{00000000-0005-0000-0000-0000422E0000}"/>
    <cellStyle name="Normal 13 4 7 2 4" xfId="11860" xr:uid="{00000000-0005-0000-0000-0000432E0000}"/>
    <cellStyle name="Normal 13 4 7 2 5" xfId="11861" xr:uid="{00000000-0005-0000-0000-0000442E0000}"/>
    <cellStyle name="Normal 13 4 7 2 6" xfId="11862" xr:uid="{00000000-0005-0000-0000-0000452E0000}"/>
    <cellStyle name="Normal 13 4 7 3" xfId="11863" xr:uid="{00000000-0005-0000-0000-0000462E0000}"/>
    <cellStyle name="Normal 13 4 7 3 2" xfId="11864" xr:uid="{00000000-0005-0000-0000-0000472E0000}"/>
    <cellStyle name="Normal 13 4 7 3 3" xfId="11865" xr:uid="{00000000-0005-0000-0000-0000482E0000}"/>
    <cellStyle name="Normal 13 4 7 3 4" xfId="11866" xr:uid="{00000000-0005-0000-0000-0000492E0000}"/>
    <cellStyle name="Normal 13 4 7 3 5" xfId="11867" xr:uid="{00000000-0005-0000-0000-00004A2E0000}"/>
    <cellStyle name="Normal 13 4 7 3 6" xfId="11868" xr:uid="{00000000-0005-0000-0000-00004B2E0000}"/>
    <cellStyle name="Normal 13 4 7 4" xfId="11869" xr:uid="{00000000-0005-0000-0000-00004C2E0000}"/>
    <cellStyle name="Normal 13 4 7 5" xfId="11870" xr:uid="{00000000-0005-0000-0000-00004D2E0000}"/>
    <cellStyle name="Normal 13 4 7 6" xfId="11871" xr:uid="{00000000-0005-0000-0000-00004E2E0000}"/>
    <cellStyle name="Normal 13 4 7 7" xfId="11872" xr:uid="{00000000-0005-0000-0000-00004F2E0000}"/>
    <cellStyle name="Normal 13 4 7 8" xfId="11873" xr:uid="{00000000-0005-0000-0000-0000502E0000}"/>
    <cellStyle name="Normal 13 4 8" xfId="11874" xr:uid="{00000000-0005-0000-0000-0000512E0000}"/>
    <cellStyle name="Normal 13 4 8 2" xfId="11875" xr:uid="{00000000-0005-0000-0000-0000522E0000}"/>
    <cellStyle name="Normal 13 4 8 3" xfId="11876" xr:uid="{00000000-0005-0000-0000-0000532E0000}"/>
    <cellStyle name="Normal 13 4 8 4" xfId="11877" xr:uid="{00000000-0005-0000-0000-0000542E0000}"/>
    <cellStyle name="Normal 13 4 8 5" xfId="11878" xr:uid="{00000000-0005-0000-0000-0000552E0000}"/>
    <cellStyle name="Normal 13 4 8 6" xfId="11879" xr:uid="{00000000-0005-0000-0000-0000562E0000}"/>
    <cellStyle name="Normal 13 4 9" xfId="11880" xr:uid="{00000000-0005-0000-0000-0000572E0000}"/>
    <cellStyle name="Normal 13 4 9 2" xfId="11881" xr:uid="{00000000-0005-0000-0000-0000582E0000}"/>
    <cellStyle name="Normal 13 4 9 3" xfId="11882" xr:uid="{00000000-0005-0000-0000-0000592E0000}"/>
    <cellStyle name="Normal 13 4 9 4" xfId="11883" xr:uid="{00000000-0005-0000-0000-00005A2E0000}"/>
    <cellStyle name="Normal 13 4 9 5" xfId="11884" xr:uid="{00000000-0005-0000-0000-00005B2E0000}"/>
    <cellStyle name="Normal 13 4 9 6" xfId="11885" xr:uid="{00000000-0005-0000-0000-00005C2E0000}"/>
    <cellStyle name="Normal 13 5" xfId="11886" xr:uid="{00000000-0005-0000-0000-00005D2E0000}"/>
    <cellStyle name="Normal 13 5 10" xfId="11887" xr:uid="{00000000-0005-0000-0000-00005E2E0000}"/>
    <cellStyle name="Normal 13 5 11" xfId="11888" xr:uid="{00000000-0005-0000-0000-00005F2E0000}"/>
    <cellStyle name="Normal 13 5 12" xfId="11889" xr:uid="{00000000-0005-0000-0000-0000602E0000}"/>
    <cellStyle name="Normal 13 5 2" xfId="11890" xr:uid="{00000000-0005-0000-0000-0000612E0000}"/>
    <cellStyle name="Normal 13 5 2 10" xfId="11891" xr:uid="{00000000-0005-0000-0000-0000622E0000}"/>
    <cellStyle name="Normal 13 5 2 11" xfId="11892" xr:uid="{00000000-0005-0000-0000-0000632E0000}"/>
    <cellStyle name="Normal 13 5 2 2" xfId="11893" xr:uid="{00000000-0005-0000-0000-0000642E0000}"/>
    <cellStyle name="Normal 13 5 2 2 2" xfId="11894" xr:uid="{00000000-0005-0000-0000-0000652E0000}"/>
    <cellStyle name="Normal 13 5 2 2 2 2" xfId="11895" xr:uid="{00000000-0005-0000-0000-0000662E0000}"/>
    <cellStyle name="Normal 13 5 2 2 2 3" xfId="11896" xr:uid="{00000000-0005-0000-0000-0000672E0000}"/>
    <cellStyle name="Normal 13 5 2 2 2 4" xfId="11897" xr:uid="{00000000-0005-0000-0000-0000682E0000}"/>
    <cellStyle name="Normal 13 5 2 2 2 5" xfId="11898" xr:uid="{00000000-0005-0000-0000-0000692E0000}"/>
    <cellStyle name="Normal 13 5 2 2 2 6" xfId="11899" xr:uid="{00000000-0005-0000-0000-00006A2E0000}"/>
    <cellStyle name="Normal 13 5 2 2 3" xfId="11900" xr:uid="{00000000-0005-0000-0000-00006B2E0000}"/>
    <cellStyle name="Normal 13 5 2 2 3 2" xfId="11901" xr:uid="{00000000-0005-0000-0000-00006C2E0000}"/>
    <cellStyle name="Normal 13 5 2 2 3 3" xfId="11902" xr:uid="{00000000-0005-0000-0000-00006D2E0000}"/>
    <cellStyle name="Normal 13 5 2 2 3 4" xfId="11903" xr:uid="{00000000-0005-0000-0000-00006E2E0000}"/>
    <cellStyle name="Normal 13 5 2 2 3 5" xfId="11904" xr:uid="{00000000-0005-0000-0000-00006F2E0000}"/>
    <cellStyle name="Normal 13 5 2 2 3 6" xfId="11905" xr:uid="{00000000-0005-0000-0000-0000702E0000}"/>
    <cellStyle name="Normal 13 5 2 2 4" xfId="11906" xr:uid="{00000000-0005-0000-0000-0000712E0000}"/>
    <cellStyle name="Normal 13 5 2 2 5" xfId="11907" xr:uid="{00000000-0005-0000-0000-0000722E0000}"/>
    <cellStyle name="Normal 13 5 2 2 6" xfId="11908" xr:uid="{00000000-0005-0000-0000-0000732E0000}"/>
    <cellStyle name="Normal 13 5 2 2 7" xfId="11909" xr:uid="{00000000-0005-0000-0000-0000742E0000}"/>
    <cellStyle name="Normal 13 5 2 2 8" xfId="11910" xr:uid="{00000000-0005-0000-0000-0000752E0000}"/>
    <cellStyle name="Normal 13 5 2 3" xfId="11911" xr:uid="{00000000-0005-0000-0000-0000762E0000}"/>
    <cellStyle name="Normal 13 5 2 3 2" xfId="11912" xr:uid="{00000000-0005-0000-0000-0000772E0000}"/>
    <cellStyle name="Normal 13 5 2 3 2 2" xfId="11913" xr:uid="{00000000-0005-0000-0000-0000782E0000}"/>
    <cellStyle name="Normal 13 5 2 3 2 3" xfId="11914" xr:uid="{00000000-0005-0000-0000-0000792E0000}"/>
    <cellStyle name="Normal 13 5 2 3 2 4" xfId="11915" xr:uid="{00000000-0005-0000-0000-00007A2E0000}"/>
    <cellStyle name="Normal 13 5 2 3 2 5" xfId="11916" xr:uid="{00000000-0005-0000-0000-00007B2E0000}"/>
    <cellStyle name="Normal 13 5 2 3 2 6" xfId="11917" xr:uid="{00000000-0005-0000-0000-00007C2E0000}"/>
    <cellStyle name="Normal 13 5 2 3 3" xfId="11918" xr:uid="{00000000-0005-0000-0000-00007D2E0000}"/>
    <cellStyle name="Normal 13 5 2 3 3 2" xfId="11919" xr:uid="{00000000-0005-0000-0000-00007E2E0000}"/>
    <cellStyle name="Normal 13 5 2 3 3 3" xfId="11920" xr:uid="{00000000-0005-0000-0000-00007F2E0000}"/>
    <cellStyle name="Normal 13 5 2 3 3 4" xfId="11921" xr:uid="{00000000-0005-0000-0000-0000802E0000}"/>
    <cellStyle name="Normal 13 5 2 3 3 5" xfId="11922" xr:uid="{00000000-0005-0000-0000-0000812E0000}"/>
    <cellStyle name="Normal 13 5 2 3 3 6" xfId="11923" xr:uid="{00000000-0005-0000-0000-0000822E0000}"/>
    <cellStyle name="Normal 13 5 2 3 4" xfId="11924" xr:uid="{00000000-0005-0000-0000-0000832E0000}"/>
    <cellStyle name="Normal 13 5 2 3 5" xfId="11925" xr:uid="{00000000-0005-0000-0000-0000842E0000}"/>
    <cellStyle name="Normal 13 5 2 3 6" xfId="11926" xr:uid="{00000000-0005-0000-0000-0000852E0000}"/>
    <cellStyle name="Normal 13 5 2 3 7" xfId="11927" xr:uid="{00000000-0005-0000-0000-0000862E0000}"/>
    <cellStyle name="Normal 13 5 2 3 8" xfId="11928" xr:uid="{00000000-0005-0000-0000-0000872E0000}"/>
    <cellStyle name="Normal 13 5 2 4" xfId="11929" xr:uid="{00000000-0005-0000-0000-0000882E0000}"/>
    <cellStyle name="Normal 13 5 2 4 2" xfId="11930" xr:uid="{00000000-0005-0000-0000-0000892E0000}"/>
    <cellStyle name="Normal 13 5 2 4 2 2" xfId="11931" xr:uid="{00000000-0005-0000-0000-00008A2E0000}"/>
    <cellStyle name="Normal 13 5 2 4 2 3" xfId="11932" xr:uid="{00000000-0005-0000-0000-00008B2E0000}"/>
    <cellStyle name="Normal 13 5 2 4 2 4" xfId="11933" xr:uid="{00000000-0005-0000-0000-00008C2E0000}"/>
    <cellStyle name="Normal 13 5 2 4 2 5" xfId="11934" xr:uid="{00000000-0005-0000-0000-00008D2E0000}"/>
    <cellStyle name="Normal 13 5 2 4 2 6" xfId="11935" xr:uid="{00000000-0005-0000-0000-00008E2E0000}"/>
    <cellStyle name="Normal 13 5 2 4 3" xfId="11936" xr:uid="{00000000-0005-0000-0000-00008F2E0000}"/>
    <cellStyle name="Normal 13 5 2 4 3 2" xfId="11937" xr:uid="{00000000-0005-0000-0000-0000902E0000}"/>
    <cellStyle name="Normal 13 5 2 4 3 3" xfId="11938" xr:uid="{00000000-0005-0000-0000-0000912E0000}"/>
    <cellStyle name="Normal 13 5 2 4 3 4" xfId="11939" xr:uid="{00000000-0005-0000-0000-0000922E0000}"/>
    <cellStyle name="Normal 13 5 2 4 3 5" xfId="11940" xr:uid="{00000000-0005-0000-0000-0000932E0000}"/>
    <cellStyle name="Normal 13 5 2 4 3 6" xfId="11941" xr:uid="{00000000-0005-0000-0000-0000942E0000}"/>
    <cellStyle name="Normal 13 5 2 4 4" xfId="11942" xr:uid="{00000000-0005-0000-0000-0000952E0000}"/>
    <cellStyle name="Normal 13 5 2 4 5" xfId="11943" xr:uid="{00000000-0005-0000-0000-0000962E0000}"/>
    <cellStyle name="Normal 13 5 2 4 6" xfId="11944" xr:uid="{00000000-0005-0000-0000-0000972E0000}"/>
    <cellStyle name="Normal 13 5 2 4 7" xfId="11945" xr:uid="{00000000-0005-0000-0000-0000982E0000}"/>
    <cellStyle name="Normal 13 5 2 4 8" xfId="11946" xr:uid="{00000000-0005-0000-0000-0000992E0000}"/>
    <cellStyle name="Normal 13 5 2 5" xfId="11947" xr:uid="{00000000-0005-0000-0000-00009A2E0000}"/>
    <cellStyle name="Normal 13 5 2 5 2" xfId="11948" xr:uid="{00000000-0005-0000-0000-00009B2E0000}"/>
    <cellStyle name="Normal 13 5 2 5 3" xfId="11949" xr:uid="{00000000-0005-0000-0000-00009C2E0000}"/>
    <cellStyle name="Normal 13 5 2 5 4" xfId="11950" xr:uid="{00000000-0005-0000-0000-00009D2E0000}"/>
    <cellStyle name="Normal 13 5 2 5 5" xfId="11951" xr:uid="{00000000-0005-0000-0000-00009E2E0000}"/>
    <cellStyle name="Normal 13 5 2 5 6" xfId="11952" xr:uid="{00000000-0005-0000-0000-00009F2E0000}"/>
    <cellStyle name="Normal 13 5 2 6" xfId="11953" xr:uid="{00000000-0005-0000-0000-0000A02E0000}"/>
    <cellStyle name="Normal 13 5 2 6 2" xfId="11954" xr:uid="{00000000-0005-0000-0000-0000A12E0000}"/>
    <cellStyle name="Normal 13 5 2 6 3" xfId="11955" xr:uid="{00000000-0005-0000-0000-0000A22E0000}"/>
    <cellStyle name="Normal 13 5 2 6 4" xfId="11956" xr:uid="{00000000-0005-0000-0000-0000A32E0000}"/>
    <cellStyle name="Normal 13 5 2 6 5" xfId="11957" xr:uid="{00000000-0005-0000-0000-0000A42E0000}"/>
    <cellStyle name="Normal 13 5 2 6 6" xfId="11958" xr:uid="{00000000-0005-0000-0000-0000A52E0000}"/>
    <cellStyle name="Normal 13 5 2 7" xfId="11959" xr:uid="{00000000-0005-0000-0000-0000A62E0000}"/>
    <cellStyle name="Normal 13 5 2 8" xfId="11960" xr:uid="{00000000-0005-0000-0000-0000A72E0000}"/>
    <cellStyle name="Normal 13 5 2 9" xfId="11961" xr:uid="{00000000-0005-0000-0000-0000A82E0000}"/>
    <cellStyle name="Normal 13 5 3" xfId="11962" xr:uid="{00000000-0005-0000-0000-0000A92E0000}"/>
    <cellStyle name="Normal 13 5 3 2" xfId="11963" xr:uid="{00000000-0005-0000-0000-0000AA2E0000}"/>
    <cellStyle name="Normal 13 5 3 2 2" xfId="11964" xr:uid="{00000000-0005-0000-0000-0000AB2E0000}"/>
    <cellStyle name="Normal 13 5 3 2 3" xfId="11965" xr:uid="{00000000-0005-0000-0000-0000AC2E0000}"/>
    <cellStyle name="Normal 13 5 3 2 4" xfId="11966" xr:uid="{00000000-0005-0000-0000-0000AD2E0000}"/>
    <cellStyle name="Normal 13 5 3 2 5" xfId="11967" xr:uid="{00000000-0005-0000-0000-0000AE2E0000}"/>
    <cellStyle name="Normal 13 5 3 2 6" xfId="11968" xr:uid="{00000000-0005-0000-0000-0000AF2E0000}"/>
    <cellStyle name="Normal 13 5 3 3" xfId="11969" xr:uid="{00000000-0005-0000-0000-0000B02E0000}"/>
    <cellStyle name="Normal 13 5 3 3 2" xfId="11970" xr:uid="{00000000-0005-0000-0000-0000B12E0000}"/>
    <cellStyle name="Normal 13 5 3 3 3" xfId="11971" xr:uid="{00000000-0005-0000-0000-0000B22E0000}"/>
    <cellStyle name="Normal 13 5 3 3 4" xfId="11972" xr:uid="{00000000-0005-0000-0000-0000B32E0000}"/>
    <cellStyle name="Normal 13 5 3 3 5" xfId="11973" xr:uid="{00000000-0005-0000-0000-0000B42E0000}"/>
    <cellStyle name="Normal 13 5 3 3 6" xfId="11974" xr:uid="{00000000-0005-0000-0000-0000B52E0000}"/>
    <cellStyle name="Normal 13 5 3 4" xfId="11975" xr:uid="{00000000-0005-0000-0000-0000B62E0000}"/>
    <cellStyle name="Normal 13 5 3 5" xfId="11976" xr:uid="{00000000-0005-0000-0000-0000B72E0000}"/>
    <cellStyle name="Normal 13 5 3 6" xfId="11977" xr:uid="{00000000-0005-0000-0000-0000B82E0000}"/>
    <cellStyle name="Normal 13 5 3 7" xfId="11978" xr:uid="{00000000-0005-0000-0000-0000B92E0000}"/>
    <cellStyle name="Normal 13 5 3 8" xfId="11979" xr:uid="{00000000-0005-0000-0000-0000BA2E0000}"/>
    <cellStyle name="Normal 13 5 4" xfId="11980" xr:uid="{00000000-0005-0000-0000-0000BB2E0000}"/>
    <cellStyle name="Normal 13 5 4 2" xfId="11981" xr:uid="{00000000-0005-0000-0000-0000BC2E0000}"/>
    <cellStyle name="Normal 13 5 4 2 2" xfId="11982" xr:uid="{00000000-0005-0000-0000-0000BD2E0000}"/>
    <cellStyle name="Normal 13 5 4 2 3" xfId="11983" xr:uid="{00000000-0005-0000-0000-0000BE2E0000}"/>
    <cellStyle name="Normal 13 5 4 2 4" xfId="11984" xr:uid="{00000000-0005-0000-0000-0000BF2E0000}"/>
    <cellStyle name="Normal 13 5 4 2 5" xfId="11985" xr:uid="{00000000-0005-0000-0000-0000C02E0000}"/>
    <cellStyle name="Normal 13 5 4 2 6" xfId="11986" xr:uid="{00000000-0005-0000-0000-0000C12E0000}"/>
    <cellStyle name="Normal 13 5 4 3" xfId="11987" xr:uid="{00000000-0005-0000-0000-0000C22E0000}"/>
    <cellStyle name="Normal 13 5 4 3 2" xfId="11988" xr:uid="{00000000-0005-0000-0000-0000C32E0000}"/>
    <cellStyle name="Normal 13 5 4 3 3" xfId="11989" xr:uid="{00000000-0005-0000-0000-0000C42E0000}"/>
    <cellStyle name="Normal 13 5 4 3 4" xfId="11990" xr:uid="{00000000-0005-0000-0000-0000C52E0000}"/>
    <cellStyle name="Normal 13 5 4 3 5" xfId="11991" xr:uid="{00000000-0005-0000-0000-0000C62E0000}"/>
    <cellStyle name="Normal 13 5 4 3 6" xfId="11992" xr:uid="{00000000-0005-0000-0000-0000C72E0000}"/>
    <cellStyle name="Normal 13 5 4 4" xfId="11993" xr:uid="{00000000-0005-0000-0000-0000C82E0000}"/>
    <cellStyle name="Normal 13 5 4 5" xfId="11994" xr:uid="{00000000-0005-0000-0000-0000C92E0000}"/>
    <cellStyle name="Normal 13 5 4 6" xfId="11995" xr:uid="{00000000-0005-0000-0000-0000CA2E0000}"/>
    <cellStyle name="Normal 13 5 4 7" xfId="11996" xr:uid="{00000000-0005-0000-0000-0000CB2E0000}"/>
    <cellStyle name="Normal 13 5 4 8" xfId="11997" xr:uid="{00000000-0005-0000-0000-0000CC2E0000}"/>
    <cellStyle name="Normal 13 5 5" xfId="11998" xr:uid="{00000000-0005-0000-0000-0000CD2E0000}"/>
    <cellStyle name="Normal 13 5 5 2" xfId="11999" xr:uid="{00000000-0005-0000-0000-0000CE2E0000}"/>
    <cellStyle name="Normal 13 5 5 2 2" xfId="12000" xr:uid="{00000000-0005-0000-0000-0000CF2E0000}"/>
    <cellStyle name="Normal 13 5 5 2 3" xfId="12001" xr:uid="{00000000-0005-0000-0000-0000D02E0000}"/>
    <cellStyle name="Normal 13 5 5 2 4" xfId="12002" xr:uid="{00000000-0005-0000-0000-0000D12E0000}"/>
    <cellStyle name="Normal 13 5 5 2 5" xfId="12003" xr:uid="{00000000-0005-0000-0000-0000D22E0000}"/>
    <cellStyle name="Normal 13 5 5 2 6" xfId="12004" xr:uid="{00000000-0005-0000-0000-0000D32E0000}"/>
    <cellStyle name="Normal 13 5 5 3" xfId="12005" xr:uid="{00000000-0005-0000-0000-0000D42E0000}"/>
    <cellStyle name="Normal 13 5 5 3 2" xfId="12006" xr:uid="{00000000-0005-0000-0000-0000D52E0000}"/>
    <cellStyle name="Normal 13 5 5 3 3" xfId="12007" xr:uid="{00000000-0005-0000-0000-0000D62E0000}"/>
    <cellStyle name="Normal 13 5 5 3 4" xfId="12008" xr:uid="{00000000-0005-0000-0000-0000D72E0000}"/>
    <cellStyle name="Normal 13 5 5 3 5" xfId="12009" xr:uid="{00000000-0005-0000-0000-0000D82E0000}"/>
    <cellStyle name="Normal 13 5 5 3 6" xfId="12010" xr:uid="{00000000-0005-0000-0000-0000D92E0000}"/>
    <cellStyle name="Normal 13 5 5 4" xfId="12011" xr:uid="{00000000-0005-0000-0000-0000DA2E0000}"/>
    <cellStyle name="Normal 13 5 5 5" xfId="12012" xr:uid="{00000000-0005-0000-0000-0000DB2E0000}"/>
    <cellStyle name="Normal 13 5 5 6" xfId="12013" xr:uid="{00000000-0005-0000-0000-0000DC2E0000}"/>
    <cellStyle name="Normal 13 5 5 7" xfId="12014" xr:uid="{00000000-0005-0000-0000-0000DD2E0000}"/>
    <cellStyle name="Normal 13 5 5 8" xfId="12015" xr:uid="{00000000-0005-0000-0000-0000DE2E0000}"/>
    <cellStyle name="Normal 13 5 6" xfId="12016" xr:uid="{00000000-0005-0000-0000-0000DF2E0000}"/>
    <cellStyle name="Normal 13 5 6 2" xfId="12017" xr:uid="{00000000-0005-0000-0000-0000E02E0000}"/>
    <cellStyle name="Normal 13 5 6 3" xfId="12018" xr:uid="{00000000-0005-0000-0000-0000E12E0000}"/>
    <cellStyle name="Normal 13 5 6 4" xfId="12019" xr:uid="{00000000-0005-0000-0000-0000E22E0000}"/>
    <cellStyle name="Normal 13 5 6 5" xfId="12020" xr:uid="{00000000-0005-0000-0000-0000E32E0000}"/>
    <cellStyle name="Normal 13 5 6 6" xfId="12021" xr:uid="{00000000-0005-0000-0000-0000E42E0000}"/>
    <cellStyle name="Normal 13 5 7" xfId="12022" xr:uid="{00000000-0005-0000-0000-0000E52E0000}"/>
    <cellStyle name="Normal 13 5 7 2" xfId="12023" xr:uid="{00000000-0005-0000-0000-0000E62E0000}"/>
    <cellStyle name="Normal 13 5 7 3" xfId="12024" xr:uid="{00000000-0005-0000-0000-0000E72E0000}"/>
    <cellStyle name="Normal 13 5 7 4" xfId="12025" xr:uid="{00000000-0005-0000-0000-0000E82E0000}"/>
    <cellStyle name="Normal 13 5 7 5" xfId="12026" xr:uid="{00000000-0005-0000-0000-0000E92E0000}"/>
    <cellStyle name="Normal 13 5 7 6" xfId="12027" xr:uid="{00000000-0005-0000-0000-0000EA2E0000}"/>
    <cellStyle name="Normal 13 5 8" xfId="12028" xr:uid="{00000000-0005-0000-0000-0000EB2E0000}"/>
    <cellStyle name="Normal 13 5 9" xfId="12029" xr:uid="{00000000-0005-0000-0000-0000EC2E0000}"/>
    <cellStyle name="Normal 13 6" xfId="12030" xr:uid="{00000000-0005-0000-0000-0000ED2E0000}"/>
    <cellStyle name="Normal 13 6 10" xfId="12031" xr:uid="{00000000-0005-0000-0000-0000EE2E0000}"/>
    <cellStyle name="Normal 13 6 11" xfId="12032" xr:uid="{00000000-0005-0000-0000-0000EF2E0000}"/>
    <cellStyle name="Normal 13 6 12" xfId="12033" xr:uid="{00000000-0005-0000-0000-0000F02E0000}"/>
    <cellStyle name="Normal 13 6 2" xfId="12034" xr:uid="{00000000-0005-0000-0000-0000F12E0000}"/>
    <cellStyle name="Normal 13 6 2 10" xfId="12035" xr:uid="{00000000-0005-0000-0000-0000F22E0000}"/>
    <cellStyle name="Normal 13 6 2 11" xfId="12036" xr:uid="{00000000-0005-0000-0000-0000F32E0000}"/>
    <cellStyle name="Normal 13 6 2 2" xfId="12037" xr:uid="{00000000-0005-0000-0000-0000F42E0000}"/>
    <cellStyle name="Normal 13 6 2 2 2" xfId="12038" xr:uid="{00000000-0005-0000-0000-0000F52E0000}"/>
    <cellStyle name="Normal 13 6 2 2 2 2" xfId="12039" xr:uid="{00000000-0005-0000-0000-0000F62E0000}"/>
    <cellStyle name="Normal 13 6 2 2 2 3" xfId="12040" xr:uid="{00000000-0005-0000-0000-0000F72E0000}"/>
    <cellStyle name="Normal 13 6 2 2 2 4" xfId="12041" xr:uid="{00000000-0005-0000-0000-0000F82E0000}"/>
    <cellStyle name="Normal 13 6 2 2 2 5" xfId="12042" xr:uid="{00000000-0005-0000-0000-0000F92E0000}"/>
    <cellStyle name="Normal 13 6 2 2 2 6" xfId="12043" xr:uid="{00000000-0005-0000-0000-0000FA2E0000}"/>
    <cellStyle name="Normal 13 6 2 2 3" xfId="12044" xr:uid="{00000000-0005-0000-0000-0000FB2E0000}"/>
    <cellStyle name="Normal 13 6 2 2 3 2" xfId="12045" xr:uid="{00000000-0005-0000-0000-0000FC2E0000}"/>
    <cellStyle name="Normal 13 6 2 2 3 3" xfId="12046" xr:uid="{00000000-0005-0000-0000-0000FD2E0000}"/>
    <cellStyle name="Normal 13 6 2 2 3 4" xfId="12047" xr:uid="{00000000-0005-0000-0000-0000FE2E0000}"/>
    <cellStyle name="Normal 13 6 2 2 3 5" xfId="12048" xr:uid="{00000000-0005-0000-0000-0000FF2E0000}"/>
    <cellStyle name="Normal 13 6 2 2 3 6" xfId="12049" xr:uid="{00000000-0005-0000-0000-0000002F0000}"/>
    <cellStyle name="Normal 13 6 2 2 4" xfId="12050" xr:uid="{00000000-0005-0000-0000-0000012F0000}"/>
    <cellStyle name="Normal 13 6 2 2 5" xfId="12051" xr:uid="{00000000-0005-0000-0000-0000022F0000}"/>
    <cellStyle name="Normal 13 6 2 2 6" xfId="12052" xr:uid="{00000000-0005-0000-0000-0000032F0000}"/>
    <cellStyle name="Normal 13 6 2 2 7" xfId="12053" xr:uid="{00000000-0005-0000-0000-0000042F0000}"/>
    <cellStyle name="Normal 13 6 2 2 8" xfId="12054" xr:uid="{00000000-0005-0000-0000-0000052F0000}"/>
    <cellStyle name="Normal 13 6 2 3" xfId="12055" xr:uid="{00000000-0005-0000-0000-0000062F0000}"/>
    <cellStyle name="Normal 13 6 2 3 2" xfId="12056" xr:uid="{00000000-0005-0000-0000-0000072F0000}"/>
    <cellStyle name="Normal 13 6 2 3 2 2" xfId="12057" xr:uid="{00000000-0005-0000-0000-0000082F0000}"/>
    <cellStyle name="Normal 13 6 2 3 2 3" xfId="12058" xr:uid="{00000000-0005-0000-0000-0000092F0000}"/>
    <cellStyle name="Normal 13 6 2 3 2 4" xfId="12059" xr:uid="{00000000-0005-0000-0000-00000A2F0000}"/>
    <cellStyle name="Normal 13 6 2 3 2 5" xfId="12060" xr:uid="{00000000-0005-0000-0000-00000B2F0000}"/>
    <cellStyle name="Normal 13 6 2 3 2 6" xfId="12061" xr:uid="{00000000-0005-0000-0000-00000C2F0000}"/>
    <cellStyle name="Normal 13 6 2 3 3" xfId="12062" xr:uid="{00000000-0005-0000-0000-00000D2F0000}"/>
    <cellStyle name="Normal 13 6 2 3 3 2" xfId="12063" xr:uid="{00000000-0005-0000-0000-00000E2F0000}"/>
    <cellStyle name="Normal 13 6 2 3 3 3" xfId="12064" xr:uid="{00000000-0005-0000-0000-00000F2F0000}"/>
    <cellStyle name="Normal 13 6 2 3 3 4" xfId="12065" xr:uid="{00000000-0005-0000-0000-0000102F0000}"/>
    <cellStyle name="Normal 13 6 2 3 3 5" xfId="12066" xr:uid="{00000000-0005-0000-0000-0000112F0000}"/>
    <cellStyle name="Normal 13 6 2 3 3 6" xfId="12067" xr:uid="{00000000-0005-0000-0000-0000122F0000}"/>
    <cellStyle name="Normal 13 6 2 3 4" xfId="12068" xr:uid="{00000000-0005-0000-0000-0000132F0000}"/>
    <cellStyle name="Normal 13 6 2 3 5" xfId="12069" xr:uid="{00000000-0005-0000-0000-0000142F0000}"/>
    <cellStyle name="Normal 13 6 2 3 6" xfId="12070" xr:uid="{00000000-0005-0000-0000-0000152F0000}"/>
    <cellStyle name="Normal 13 6 2 3 7" xfId="12071" xr:uid="{00000000-0005-0000-0000-0000162F0000}"/>
    <cellStyle name="Normal 13 6 2 3 8" xfId="12072" xr:uid="{00000000-0005-0000-0000-0000172F0000}"/>
    <cellStyle name="Normal 13 6 2 4" xfId="12073" xr:uid="{00000000-0005-0000-0000-0000182F0000}"/>
    <cellStyle name="Normal 13 6 2 4 2" xfId="12074" xr:uid="{00000000-0005-0000-0000-0000192F0000}"/>
    <cellStyle name="Normal 13 6 2 4 2 2" xfId="12075" xr:uid="{00000000-0005-0000-0000-00001A2F0000}"/>
    <cellStyle name="Normal 13 6 2 4 2 3" xfId="12076" xr:uid="{00000000-0005-0000-0000-00001B2F0000}"/>
    <cellStyle name="Normal 13 6 2 4 2 4" xfId="12077" xr:uid="{00000000-0005-0000-0000-00001C2F0000}"/>
    <cellStyle name="Normal 13 6 2 4 2 5" xfId="12078" xr:uid="{00000000-0005-0000-0000-00001D2F0000}"/>
    <cellStyle name="Normal 13 6 2 4 2 6" xfId="12079" xr:uid="{00000000-0005-0000-0000-00001E2F0000}"/>
    <cellStyle name="Normal 13 6 2 4 3" xfId="12080" xr:uid="{00000000-0005-0000-0000-00001F2F0000}"/>
    <cellStyle name="Normal 13 6 2 4 3 2" xfId="12081" xr:uid="{00000000-0005-0000-0000-0000202F0000}"/>
    <cellStyle name="Normal 13 6 2 4 3 3" xfId="12082" xr:uid="{00000000-0005-0000-0000-0000212F0000}"/>
    <cellStyle name="Normal 13 6 2 4 3 4" xfId="12083" xr:uid="{00000000-0005-0000-0000-0000222F0000}"/>
    <cellStyle name="Normal 13 6 2 4 3 5" xfId="12084" xr:uid="{00000000-0005-0000-0000-0000232F0000}"/>
    <cellStyle name="Normal 13 6 2 4 3 6" xfId="12085" xr:uid="{00000000-0005-0000-0000-0000242F0000}"/>
    <cellStyle name="Normal 13 6 2 4 4" xfId="12086" xr:uid="{00000000-0005-0000-0000-0000252F0000}"/>
    <cellStyle name="Normal 13 6 2 4 5" xfId="12087" xr:uid="{00000000-0005-0000-0000-0000262F0000}"/>
    <cellStyle name="Normal 13 6 2 4 6" xfId="12088" xr:uid="{00000000-0005-0000-0000-0000272F0000}"/>
    <cellStyle name="Normal 13 6 2 4 7" xfId="12089" xr:uid="{00000000-0005-0000-0000-0000282F0000}"/>
    <cellStyle name="Normal 13 6 2 4 8" xfId="12090" xr:uid="{00000000-0005-0000-0000-0000292F0000}"/>
    <cellStyle name="Normal 13 6 2 5" xfId="12091" xr:uid="{00000000-0005-0000-0000-00002A2F0000}"/>
    <cellStyle name="Normal 13 6 2 5 2" xfId="12092" xr:uid="{00000000-0005-0000-0000-00002B2F0000}"/>
    <cellStyle name="Normal 13 6 2 5 3" xfId="12093" xr:uid="{00000000-0005-0000-0000-00002C2F0000}"/>
    <cellStyle name="Normal 13 6 2 5 4" xfId="12094" xr:uid="{00000000-0005-0000-0000-00002D2F0000}"/>
    <cellStyle name="Normal 13 6 2 5 5" xfId="12095" xr:uid="{00000000-0005-0000-0000-00002E2F0000}"/>
    <cellStyle name="Normal 13 6 2 5 6" xfId="12096" xr:uid="{00000000-0005-0000-0000-00002F2F0000}"/>
    <cellStyle name="Normal 13 6 2 6" xfId="12097" xr:uid="{00000000-0005-0000-0000-0000302F0000}"/>
    <cellStyle name="Normal 13 6 2 6 2" xfId="12098" xr:uid="{00000000-0005-0000-0000-0000312F0000}"/>
    <cellStyle name="Normal 13 6 2 6 3" xfId="12099" xr:uid="{00000000-0005-0000-0000-0000322F0000}"/>
    <cellStyle name="Normal 13 6 2 6 4" xfId="12100" xr:uid="{00000000-0005-0000-0000-0000332F0000}"/>
    <cellStyle name="Normal 13 6 2 6 5" xfId="12101" xr:uid="{00000000-0005-0000-0000-0000342F0000}"/>
    <cellStyle name="Normal 13 6 2 6 6" xfId="12102" xr:uid="{00000000-0005-0000-0000-0000352F0000}"/>
    <cellStyle name="Normal 13 6 2 7" xfId="12103" xr:uid="{00000000-0005-0000-0000-0000362F0000}"/>
    <cellStyle name="Normal 13 6 2 8" xfId="12104" xr:uid="{00000000-0005-0000-0000-0000372F0000}"/>
    <cellStyle name="Normal 13 6 2 9" xfId="12105" xr:uid="{00000000-0005-0000-0000-0000382F0000}"/>
    <cellStyle name="Normal 13 6 3" xfId="12106" xr:uid="{00000000-0005-0000-0000-0000392F0000}"/>
    <cellStyle name="Normal 13 6 3 2" xfId="12107" xr:uid="{00000000-0005-0000-0000-00003A2F0000}"/>
    <cellStyle name="Normal 13 6 3 2 2" xfId="12108" xr:uid="{00000000-0005-0000-0000-00003B2F0000}"/>
    <cellStyle name="Normal 13 6 3 2 3" xfId="12109" xr:uid="{00000000-0005-0000-0000-00003C2F0000}"/>
    <cellStyle name="Normal 13 6 3 2 4" xfId="12110" xr:uid="{00000000-0005-0000-0000-00003D2F0000}"/>
    <cellStyle name="Normal 13 6 3 2 5" xfId="12111" xr:uid="{00000000-0005-0000-0000-00003E2F0000}"/>
    <cellStyle name="Normal 13 6 3 2 6" xfId="12112" xr:uid="{00000000-0005-0000-0000-00003F2F0000}"/>
    <cellStyle name="Normal 13 6 3 3" xfId="12113" xr:uid="{00000000-0005-0000-0000-0000402F0000}"/>
    <cellStyle name="Normal 13 6 3 3 2" xfId="12114" xr:uid="{00000000-0005-0000-0000-0000412F0000}"/>
    <cellStyle name="Normal 13 6 3 3 3" xfId="12115" xr:uid="{00000000-0005-0000-0000-0000422F0000}"/>
    <cellStyle name="Normal 13 6 3 3 4" xfId="12116" xr:uid="{00000000-0005-0000-0000-0000432F0000}"/>
    <cellStyle name="Normal 13 6 3 3 5" xfId="12117" xr:uid="{00000000-0005-0000-0000-0000442F0000}"/>
    <cellStyle name="Normal 13 6 3 3 6" xfId="12118" xr:uid="{00000000-0005-0000-0000-0000452F0000}"/>
    <cellStyle name="Normal 13 6 3 4" xfId="12119" xr:uid="{00000000-0005-0000-0000-0000462F0000}"/>
    <cellStyle name="Normal 13 6 3 5" xfId="12120" xr:uid="{00000000-0005-0000-0000-0000472F0000}"/>
    <cellStyle name="Normal 13 6 3 6" xfId="12121" xr:uid="{00000000-0005-0000-0000-0000482F0000}"/>
    <cellStyle name="Normal 13 6 3 7" xfId="12122" xr:uid="{00000000-0005-0000-0000-0000492F0000}"/>
    <cellStyle name="Normal 13 6 3 8" xfId="12123" xr:uid="{00000000-0005-0000-0000-00004A2F0000}"/>
    <cellStyle name="Normal 13 6 4" xfId="12124" xr:uid="{00000000-0005-0000-0000-00004B2F0000}"/>
    <cellStyle name="Normal 13 6 4 2" xfId="12125" xr:uid="{00000000-0005-0000-0000-00004C2F0000}"/>
    <cellStyle name="Normal 13 6 4 2 2" xfId="12126" xr:uid="{00000000-0005-0000-0000-00004D2F0000}"/>
    <cellStyle name="Normal 13 6 4 2 3" xfId="12127" xr:uid="{00000000-0005-0000-0000-00004E2F0000}"/>
    <cellStyle name="Normal 13 6 4 2 4" xfId="12128" xr:uid="{00000000-0005-0000-0000-00004F2F0000}"/>
    <cellStyle name="Normal 13 6 4 2 5" xfId="12129" xr:uid="{00000000-0005-0000-0000-0000502F0000}"/>
    <cellStyle name="Normal 13 6 4 2 6" xfId="12130" xr:uid="{00000000-0005-0000-0000-0000512F0000}"/>
    <cellStyle name="Normal 13 6 4 3" xfId="12131" xr:uid="{00000000-0005-0000-0000-0000522F0000}"/>
    <cellStyle name="Normal 13 6 4 3 2" xfId="12132" xr:uid="{00000000-0005-0000-0000-0000532F0000}"/>
    <cellStyle name="Normal 13 6 4 3 3" xfId="12133" xr:uid="{00000000-0005-0000-0000-0000542F0000}"/>
    <cellStyle name="Normal 13 6 4 3 4" xfId="12134" xr:uid="{00000000-0005-0000-0000-0000552F0000}"/>
    <cellStyle name="Normal 13 6 4 3 5" xfId="12135" xr:uid="{00000000-0005-0000-0000-0000562F0000}"/>
    <cellStyle name="Normal 13 6 4 3 6" xfId="12136" xr:uid="{00000000-0005-0000-0000-0000572F0000}"/>
    <cellStyle name="Normal 13 6 4 4" xfId="12137" xr:uid="{00000000-0005-0000-0000-0000582F0000}"/>
    <cellStyle name="Normal 13 6 4 5" xfId="12138" xr:uid="{00000000-0005-0000-0000-0000592F0000}"/>
    <cellStyle name="Normal 13 6 4 6" xfId="12139" xr:uid="{00000000-0005-0000-0000-00005A2F0000}"/>
    <cellStyle name="Normal 13 6 4 7" xfId="12140" xr:uid="{00000000-0005-0000-0000-00005B2F0000}"/>
    <cellStyle name="Normal 13 6 4 8" xfId="12141" xr:uid="{00000000-0005-0000-0000-00005C2F0000}"/>
    <cellStyle name="Normal 13 6 5" xfId="12142" xr:uid="{00000000-0005-0000-0000-00005D2F0000}"/>
    <cellStyle name="Normal 13 6 5 2" xfId="12143" xr:uid="{00000000-0005-0000-0000-00005E2F0000}"/>
    <cellStyle name="Normal 13 6 5 2 2" xfId="12144" xr:uid="{00000000-0005-0000-0000-00005F2F0000}"/>
    <cellStyle name="Normal 13 6 5 2 3" xfId="12145" xr:uid="{00000000-0005-0000-0000-0000602F0000}"/>
    <cellStyle name="Normal 13 6 5 2 4" xfId="12146" xr:uid="{00000000-0005-0000-0000-0000612F0000}"/>
    <cellStyle name="Normal 13 6 5 2 5" xfId="12147" xr:uid="{00000000-0005-0000-0000-0000622F0000}"/>
    <cellStyle name="Normal 13 6 5 2 6" xfId="12148" xr:uid="{00000000-0005-0000-0000-0000632F0000}"/>
    <cellStyle name="Normal 13 6 5 3" xfId="12149" xr:uid="{00000000-0005-0000-0000-0000642F0000}"/>
    <cellStyle name="Normal 13 6 5 3 2" xfId="12150" xr:uid="{00000000-0005-0000-0000-0000652F0000}"/>
    <cellStyle name="Normal 13 6 5 3 3" xfId="12151" xr:uid="{00000000-0005-0000-0000-0000662F0000}"/>
    <cellStyle name="Normal 13 6 5 3 4" xfId="12152" xr:uid="{00000000-0005-0000-0000-0000672F0000}"/>
    <cellStyle name="Normal 13 6 5 3 5" xfId="12153" xr:uid="{00000000-0005-0000-0000-0000682F0000}"/>
    <cellStyle name="Normal 13 6 5 3 6" xfId="12154" xr:uid="{00000000-0005-0000-0000-0000692F0000}"/>
    <cellStyle name="Normal 13 6 5 4" xfId="12155" xr:uid="{00000000-0005-0000-0000-00006A2F0000}"/>
    <cellStyle name="Normal 13 6 5 5" xfId="12156" xr:uid="{00000000-0005-0000-0000-00006B2F0000}"/>
    <cellStyle name="Normal 13 6 5 6" xfId="12157" xr:uid="{00000000-0005-0000-0000-00006C2F0000}"/>
    <cellStyle name="Normal 13 6 5 7" xfId="12158" xr:uid="{00000000-0005-0000-0000-00006D2F0000}"/>
    <cellStyle name="Normal 13 6 5 8" xfId="12159" xr:uid="{00000000-0005-0000-0000-00006E2F0000}"/>
    <cellStyle name="Normal 13 6 6" xfId="12160" xr:uid="{00000000-0005-0000-0000-00006F2F0000}"/>
    <cellStyle name="Normal 13 6 6 2" xfId="12161" xr:uid="{00000000-0005-0000-0000-0000702F0000}"/>
    <cellStyle name="Normal 13 6 6 3" xfId="12162" xr:uid="{00000000-0005-0000-0000-0000712F0000}"/>
    <cellStyle name="Normal 13 6 6 4" xfId="12163" xr:uid="{00000000-0005-0000-0000-0000722F0000}"/>
    <cellStyle name="Normal 13 6 6 5" xfId="12164" xr:uid="{00000000-0005-0000-0000-0000732F0000}"/>
    <cellStyle name="Normal 13 6 6 6" xfId="12165" xr:uid="{00000000-0005-0000-0000-0000742F0000}"/>
    <cellStyle name="Normal 13 6 7" xfId="12166" xr:uid="{00000000-0005-0000-0000-0000752F0000}"/>
    <cellStyle name="Normal 13 6 7 2" xfId="12167" xr:uid="{00000000-0005-0000-0000-0000762F0000}"/>
    <cellStyle name="Normal 13 6 7 3" xfId="12168" xr:uid="{00000000-0005-0000-0000-0000772F0000}"/>
    <cellStyle name="Normal 13 6 7 4" xfId="12169" xr:uid="{00000000-0005-0000-0000-0000782F0000}"/>
    <cellStyle name="Normal 13 6 7 5" xfId="12170" xr:uid="{00000000-0005-0000-0000-0000792F0000}"/>
    <cellStyle name="Normal 13 6 7 6" xfId="12171" xr:uid="{00000000-0005-0000-0000-00007A2F0000}"/>
    <cellStyle name="Normal 13 6 8" xfId="12172" xr:uid="{00000000-0005-0000-0000-00007B2F0000}"/>
    <cellStyle name="Normal 13 6 9" xfId="12173" xr:uid="{00000000-0005-0000-0000-00007C2F0000}"/>
    <cellStyle name="Normal 13 7" xfId="12174" xr:uid="{00000000-0005-0000-0000-00007D2F0000}"/>
    <cellStyle name="Normal 13 7 10" xfId="12175" xr:uid="{00000000-0005-0000-0000-00007E2F0000}"/>
    <cellStyle name="Normal 13 7 11" xfId="12176" xr:uid="{00000000-0005-0000-0000-00007F2F0000}"/>
    <cellStyle name="Normal 13 7 2" xfId="12177" xr:uid="{00000000-0005-0000-0000-0000802F0000}"/>
    <cellStyle name="Normal 13 7 2 2" xfId="12178" xr:uid="{00000000-0005-0000-0000-0000812F0000}"/>
    <cellStyle name="Normal 13 7 2 2 2" xfId="12179" xr:uid="{00000000-0005-0000-0000-0000822F0000}"/>
    <cellStyle name="Normal 13 7 2 2 3" xfId="12180" xr:uid="{00000000-0005-0000-0000-0000832F0000}"/>
    <cellStyle name="Normal 13 7 2 2 4" xfId="12181" xr:uid="{00000000-0005-0000-0000-0000842F0000}"/>
    <cellStyle name="Normal 13 7 2 2 5" xfId="12182" xr:uid="{00000000-0005-0000-0000-0000852F0000}"/>
    <cellStyle name="Normal 13 7 2 2 6" xfId="12183" xr:uid="{00000000-0005-0000-0000-0000862F0000}"/>
    <cellStyle name="Normal 13 7 2 3" xfId="12184" xr:uid="{00000000-0005-0000-0000-0000872F0000}"/>
    <cellStyle name="Normal 13 7 2 3 2" xfId="12185" xr:uid="{00000000-0005-0000-0000-0000882F0000}"/>
    <cellStyle name="Normal 13 7 2 3 3" xfId="12186" xr:uid="{00000000-0005-0000-0000-0000892F0000}"/>
    <cellStyle name="Normal 13 7 2 3 4" xfId="12187" xr:uid="{00000000-0005-0000-0000-00008A2F0000}"/>
    <cellStyle name="Normal 13 7 2 3 5" xfId="12188" xr:uid="{00000000-0005-0000-0000-00008B2F0000}"/>
    <cellStyle name="Normal 13 7 2 3 6" xfId="12189" xr:uid="{00000000-0005-0000-0000-00008C2F0000}"/>
    <cellStyle name="Normal 13 7 2 4" xfId="12190" xr:uid="{00000000-0005-0000-0000-00008D2F0000}"/>
    <cellStyle name="Normal 13 7 2 5" xfId="12191" xr:uid="{00000000-0005-0000-0000-00008E2F0000}"/>
    <cellStyle name="Normal 13 7 2 6" xfId="12192" xr:uid="{00000000-0005-0000-0000-00008F2F0000}"/>
    <cellStyle name="Normal 13 7 2 7" xfId="12193" xr:uid="{00000000-0005-0000-0000-0000902F0000}"/>
    <cellStyle name="Normal 13 7 2 8" xfId="12194" xr:uid="{00000000-0005-0000-0000-0000912F0000}"/>
    <cellStyle name="Normal 13 7 3" xfId="12195" xr:uid="{00000000-0005-0000-0000-0000922F0000}"/>
    <cellStyle name="Normal 13 7 3 2" xfId="12196" xr:uid="{00000000-0005-0000-0000-0000932F0000}"/>
    <cellStyle name="Normal 13 7 3 2 2" xfId="12197" xr:uid="{00000000-0005-0000-0000-0000942F0000}"/>
    <cellStyle name="Normal 13 7 3 2 3" xfId="12198" xr:uid="{00000000-0005-0000-0000-0000952F0000}"/>
    <cellStyle name="Normal 13 7 3 2 4" xfId="12199" xr:uid="{00000000-0005-0000-0000-0000962F0000}"/>
    <cellStyle name="Normal 13 7 3 2 5" xfId="12200" xr:uid="{00000000-0005-0000-0000-0000972F0000}"/>
    <cellStyle name="Normal 13 7 3 2 6" xfId="12201" xr:uid="{00000000-0005-0000-0000-0000982F0000}"/>
    <cellStyle name="Normal 13 7 3 3" xfId="12202" xr:uid="{00000000-0005-0000-0000-0000992F0000}"/>
    <cellStyle name="Normal 13 7 3 3 2" xfId="12203" xr:uid="{00000000-0005-0000-0000-00009A2F0000}"/>
    <cellStyle name="Normal 13 7 3 3 3" xfId="12204" xr:uid="{00000000-0005-0000-0000-00009B2F0000}"/>
    <cellStyle name="Normal 13 7 3 3 4" xfId="12205" xr:uid="{00000000-0005-0000-0000-00009C2F0000}"/>
    <cellStyle name="Normal 13 7 3 3 5" xfId="12206" xr:uid="{00000000-0005-0000-0000-00009D2F0000}"/>
    <cellStyle name="Normal 13 7 3 3 6" xfId="12207" xr:uid="{00000000-0005-0000-0000-00009E2F0000}"/>
    <cellStyle name="Normal 13 7 3 4" xfId="12208" xr:uid="{00000000-0005-0000-0000-00009F2F0000}"/>
    <cellStyle name="Normal 13 7 3 5" xfId="12209" xr:uid="{00000000-0005-0000-0000-0000A02F0000}"/>
    <cellStyle name="Normal 13 7 3 6" xfId="12210" xr:uid="{00000000-0005-0000-0000-0000A12F0000}"/>
    <cellStyle name="Normal 13 7 3 7" xfId="12211" xr:uid="{00000000-0005-0000-0000-0000A22F0000}"/>
    <cellStyle name="Normal 13 7 3 8" xfId="12212" xr:uid="{00000000-0005-0000-0000-0000A32F0000}"/>
    <cellStyle name="Normal 13 7 4" xfId="12213" xr:uid="{00000000-0005-0000-0000-0000A42F0000}"/>
    <cellStyle name="Normal 13 7 4 2" xfId="12214" xr:uid="{00000000-0005-0000-0000-0000A52F0000}"/>
    <cellStyle name="Normal 13 7 4 2 2" xfId="12215" xr:uid="{00000000-0005-0000-0000-0000A62F0000}"/>
    <cellStyle name="Normal 13 7 4 2 3" xfId="12216" xr:uid="{00000000-0005-0000-0000-0000A72F0000}"/>
    <cellStyle name="Normal 13 7 4 2 4" xfId="12217" xr:uid="{00000000-0005-0000-0000-0000A82F0000}"/>
    <cellStyle name="Normal 13 7 4 2 5" xfId="12218" xr:uid="{00000000-0005-0000-0000-0000A92F0000}"/>
    <cellStyle name="Normal 13 7 4 2 6" xfId="12219" xr:uid="{00000000-0005-0000-0000-0000AA2F0000}"/>
    <cellStyle name="Normal 13 7 4 3" xfId="12220" xr:uid="{00000000-0005-0000-0000-0000AB2F0000}"/>
    <cellStyle name="Normal 13 7 4 3 2" xfId="12221" xr:uid="{00000000-0005-0000-0000-0000AC2F0000}"/>
    <cellStyle name="Normal 13 7 4 3 3" xfId="12222" xr:uid="{00000000-0005-0000-0000-0000AD2F0000}"/>
    <cellStyle name="Normal 13 7 4 3 4" xfId="12223" xr:uid="{00000000-0005-0000-0000-0000AE2F0000}"/>
    <cellStyle name="Normal 13 7 4 3 5" xfId="12224" xr:uid="{00000000-0005-0000-0000-0000AF2F0000}"/>
    <cellStyle name="Normal 13 7 4 3 6" xfId="12225" xr:uid="{00000000-0005-0000-0000-0000B02F0000}"/>
    <cellStyle name="Normal 13 7 4 4" xfId="12226" xr:uid="{00000000-0005-0000-0000-0000B12F0000}"/>
    <cellStyle name="Normal 13 7 4 5" xfId="12227" xr:uid="{00000000-0005-0000-0000-0000B22F0000}"/>
    <cellStyle name="Normal 13 7 4 6" xfId="12228" xr:uid="{00000000-0005-0000-0000-0000B32F0000}"/>
    <cellStyle name="Normal 13 7 4 7" xfId="12229" xr:uid="{00000000-0005-0000-0000-0000B42F0000}"/>
    <cellStyle name="Normal 13 7 4 8" xfId="12230" xr:uid="{00000000-0005-0000-0000-0000B52F0000}"/>
    <cellStyle name="Normal 13 7 5" xfId="12231" xr:uid="{00000000-0005-0000-0000-0000B62F0000}"/>
    <cellStyle name="Normal 13 7 5 2" xfId="12232" xr:uid="{00000000-0005-0000-0000-0000B72F0000}"/>
    <cellStyle name="Normal 13 7 5 3" xfId="12233" xr:uid="{00000000-0005-0000-0000-0000B82F0000}"/>
    <cellStyle name="Normal 13 7 5 4" xfId="12234" xr:uid="{00000000-0005-0000-0000-0000B92F0000}"/>
    <cellStyle name="Normal 13 7 5 5" xfId="12235" xr:uid="{00000000-0005-0000-0000-0000BA2F0000}"/>
    <cellStyle name="Normal 13 7 5 6" xfId="12236" xr:uid="{00000000-0005-0000-0000-0000BB2F0000}"/>
    <cellStyle name="Normal 13 7 6" xfId="12237" xr:uid="{00000000-0005-0000-0000-0000BC2F0000}"/>
    <cellStyle name="Normal 13 7 6 2" xfId="12238" xr:uid="{00000000-0005-0000-0000-0000BD2F0000}"/>
    <cellStyle name="Normal 13 7 6 3" xfId="12239" xr:uid="{00000000-0005-0000-0000-0000BE2F0000}"/>
    <cellStyle name="Normal 13 7 6 4" xfId="12240" xr:uid="{00000000-0005-0000-0000-0000BF2F0000}"/>
    <cellStyle name="Normal 13 7 6 5" xfId="12241" xr:uid="{00000000-0005-0000-0000-0000C02F0000}"/>
    <cellStyle name="Normal 13 7 6 6" xfId="12242" xr:uid="{00000000-0005-0000-0000-0000C12F0000}"/>
    <cellStyle name="Normal 13 7 7" xfId="12243" xr:uid="{00000000-0005-0000-0000-0000C22F0000}"/>
    <cellStyle name="Normal 13 7 8" xfId="12244" xr:uid="{00000000-0005-0000-0000-0000C32F0000}"/>
    <cellStyle name="Normal 13 7 9" xfId="12245" xr:uid="{00000000-0005-0000-0000-0000C42F0000}"/>
    <cellStyle name="Normal 13 8" xfId="12246" xr:uid="{00000000-0005-0000-0000-0000C52F0000}"/>
    <cellStyle name="Normal 13 8 2" xfId="12247" xr:uid="{00000000-0005-0000-0000-0000C62F0000}"/>
    <cellStyle name="Normal 13 8 2 2" xfId="12248" xr:uid="{00000000-0005-0000-0000-0000C72F0000}"/>
    <cellStyle name="Normal 13 8 2 3" xfId="12249" xr:uid="{00000000-0005-0000-0000-0000C82F0000}"/>
    <cellStyle name="Normal 13 8 2 4" xfId="12250" xr:uid="{00000000-0005-0000-0000-0000C92F0000}"/>
    <cellStyle name="Normal 13 8 2 5" xfId="12251" xr:uid="{00000000-0005-0000-0000-0000CA2F0000}"/>
    <cellStyle name="Normal 13 8 2 6" xfId="12252" xr:uid="{00000000-0005-0000-0000-0000CB2F0000}"/>
    <cellStyle name="Normal 13 8 3" xfId="12253" xr:uid="{00000000-0005-0000-0000-0000CC2F0000}"/>
    <cellStyle name="Normal 13 8 3 2" xfId="12254" xr:uid="{00000000-0005-0000-0000-0000CD2F0000}"/>
    <cellStyle name="Normal 13 8 3 3" xfId="12255" xr:uid="{00000000-0005-0000-0000-0000CE2F0000}"/>
    <cellStyle name="Normal 13 8 3 4" xfId="12256" xr:uid="{00000000-0005-0000-0000-0000CF2F0000}"/>
    <cellStyle name="Normal 13 8 3 5" xfId="12257" xr:uid="{00000000-0005-0000-0000-0000D02F0000}"/>
    <cellStyle name="Normal 13 8 3 6" xfId="12258" xr:uid="{00000000-0005-0000-0000-0000D12F0000}"/>
    <cellStyle name="Normal 13 8 4" xfId="12259" xr:uid="{00000000-0005-0000-0000-0000D22F0000}"/>
    <cellStyle name="Normal 13 8 5" xfId="12260" xr:uid="{00000000-0005-0000-0000-0000D32F0000}"/>
    <cellStyle name="Normal 13 8 6" xfId="12261" xr:uid="{00000000-0005-0000-0000-0000D42F0000}"/>
    <cellStyle name="Normal 13 8 7" xfId="12262" xr:uid="{00000000-0005-0000-0000-0000D52F0000}"/>
    <cellStyle name="Normal 13 8 8" xfId="12263" xr:uid="{00000000-0005-0000-0000-0000D62F0000}"/>
    <cellStyle name="Normal 13 9" xfId="12264" xr:uid="{00000000-0005-0000-0000-0000D72F0000}"/>
    <cellStyle name="Normal 13 9 2" xfId="12265" xr:uid="{00000000-0005-0000-0000-0000D82F0000}"/>
    <cellStyle name="Normal 13 9 2 2" xfId="12266" xr:uid="{00000000-0005-0000-0000-0000D92F0000}"/>
    <cellStyle name="Normal 13 9 2 3" xfId="12267" xr:uid="{00000000-0005-0000-0000-0000DA2F0000}"/>
    <cellStyle name="Normal 13 9 2 4" xfId="12268" xr:uid="{00000000-0005-0000-0000-0000DB2F0000}"/>
    <cellStyle name="Normal 13 9 2 5" xfId="12269" xr:uid="{00000000-0005-0000-0000-0000DC2F0000}"/>
    <cellStyle name="Normal 13 9 2 6" xfId="12270" xr:uid="{00000000-0005-0000-0000-0000DD2F0000}"/>
    <cellStyle name="Normal 13 9 3" xfId="12271" xr:uid="{00000000-0005-0000-0000-0000DE2F0000}"/>
    <cellStyle name="Normal 13 9 3 2" xfId="12272" xr:uid="{00000000-0005-0000-0000-0000DF2F0000}"/>
    <cellStyle name="Normal 13 9 3 3" xfId="12273" xr:uid="{00000000-0005-0000-0000-0000E02F0000}"/>
    <cellStyle name="Normal 13 9 3 4" xfId="12274" xr:uid="{00000000-0005-0000-0000-0000E12F0000}"/>
    <cellStyle name="Normal 13 9 3 5" xfId="12275" xr:uid="{00000000-0005-0000-0000-0000E22F0000}"/>
    <cellStyle name="Normal 13 9 3 6" xfId="12276" xr:uid="{00000000-0005-0000-0000-0000E32F0000}"/>
    <cellStyle name="Normal 13 9 4" xfId="12277" xr:uid="{00000000-0005-0000-0000-0000E42F0000}"/>
    <cellStyle name="Normal 13 9 5" xfId="12278" xr:uid="{00000000-0005-0000-0000-0000E52F0000}"/>
    <cellStyle name="Normal 13 9 6" xfId="12279" xr:uid="{00000000-0005-0000-0000-0000E62F0000}"/>
    <cellStyle name="Normal 13 9 7" xfId="12280" xr:uid="{00000000-0005-0000-0000-0000E72F0000}"/>
    <cellStyle name="Normal 13 9 8" xfId="12281" xr:uid="{00000000-0005-0000-0000-0000E82F0000}"/>
    <cellStyle name="Normal 14" xfId="21" xr:uid="{00000000-0005-0000-0000-0000E92F0000}"/>
    <cellStyle name="Normal 14 10" xfId="12282" xr:uid="{00000000-0005-0000-0000-0000EA2F0000}"/>
    <cellStyle name="Normal 14 10 2" xfId="12283" xr:uid="{00000000-0005-0000-0000-0000EB2F0000}"/>
    <cellStyle name="Normal 14 11" xfId="12284" xr:uid="{00000000-0005-0000-0000-0000EC2F0000}"/>
    <cellStyle name="Normal 14 11 2" xfId="12285" xr:uid="{00000000-0005-0000-0000-0000ED2F0000}"/>
    <cellStyle name="Normal 14 12" xfId="12286" xr:uid="{00000000-0005-0000-0000-0000EE2F0000}"/>
    <cellStyle name="Normal 14 12 2" xfId="12287" xr:uid="{00000000-0005-0000-0000-0000EF2F0000}"/>
    <cellStyle name="Normal 14 13" xfId="12288" xr:uid="{00000000-0005-0000-0000-0000F02F0000}"/>
    <cellStyle name="Normal 14 13 2" xfId="12289" xr:uid="{00000000-0005-0000-0000-0000F12F0000}"/>
    <cellStyle name="Normal 14 14" xfId="12290" xr:uid="{00000000-0005-0000-0000-0000F22F0000}"/>
    <cellStyle name="Normal 14 14 2" xfId="12291" xr:uid="{00000000-0005-0000-0000-0000F32F0000}"/>
    <cellStyle name="Normal 14 15" xfId="12292" xr:uid="{00000000-0005-0000-0000-0000F42F0000}"/>
    <cellStyle name="Normal 14 15 2" xfId="12293" xr:uid="{00000000-0005-0000-0000-0000F52F0000}"/>
    <cellStyle name="Normal 14 16" xfId="12294" xr:uid="{00000000-0005-0000-0000-0000F62F0000}"/>
    <cellStyle name="Normal 14 16 2" xfId="12295" xr:uid="{00000000-0005-0000-0000-0000F72F0000}"/>
    <cellStyle name="Normal 14 17" xfId="12296" xr:uid="{00000000-0005-0000-0000-0000F82F0000}"/>
    <cellStyle name="Normal 14 18" xfId="12297" xr:uid="{00000000-0005-0000-0000-0000F92F0000}"/>
    <cellStyle name="Normal 14 18 2" xfId="12298" xr:uid="{00000000-0005-0000-0000-0000FA2F0000}"/>
    <cellStyle name="Normal 14 18 2 2" xfId="12299" xr:uid="{00000000-0005-0000-0000-0000FB2F0000}"/>
    <cellStyle name="Normal 14 18 2 3" xfId="12300" xr:uid="{00000000-0005-0000-0000-0000FC2F0000}"/>
    <cellStyle name="Normal 14 18 2 4" xfId="12301" xr:uid="{00000000-0005-0000-0000-0000FD2F0000}"/>
    <cellStyle name="Normal 14 18 2 5" xfId="12302" xr:uid="{00000000-0005-0000-0000-0000FE2F0000}"/>
    <cellStyle name="Normal 14 18 2 6" xfId="12303" xr:uid="{00000000-0005-0000-0000-0000FF2F0000}"/>
    <cellStyle name="Normal 14 18 3" xfId="12304" xr:uid="{00000000-0005-0000-0000-000000300000}"/>
    <cellStyle name="Normal 14 18 3 2" xfId="12305" xr:uid="{00000000-0005-0000-0000-000001300000}"/>
    <cellStyle name="Normal 14 18 3 3" xfId="12306" xr:uid="{00000000-0005-0000-0000-000002300000}"/>
    <cellStyle name="Normal 14 18 3 4" xfId="12307" xr:uid="{00000000-0005-0000-0000-000003300000}"/>
    <cellStyle name="Normal 14 18 3 5" xfId="12308" xr:uid="{00000000-0005-0000-0000-000004300000}"/>
    <cellStyle name="Normal 14 18 3 6" xfId="12309" xr:uid="{00000000-0005-0000-0000-000005300000}"/>
    <cellStyle name="Normal 14 18 4" xfId="12310" xr:uid="{00000000-0005-0000-0000-000006300000}"/>
    <cellStyle name="Normal 14 18 5" xfId="12311" xr:uid="{00000000-0005-0000-0000-000007300000}"/>
    <cellStyle name="Normal 14 18 6" xfId="12312" xr:uid="{00000000-0005-0000-0000-000008300000}"/>
    <cellStyle name="Normal 14 18 7" xfId="12313" xr:uid="{00000000-0005-0000-0000-000009300000}"/>
    <cellStyle name="Normal 14 18 8" xfId="12314" xr:uid="{00000000-0005-0000-0000-00000A300000}"/>
    <cellStyle name="Normal 14 19" xfId="12315" xr:uid="{00000000-0005-0000-0000-00000B300000}"/>
    <cellStyle name="Normal 14 19 2" xfId="12316" xr:uid="{00000000-0005-0000-0000-00000C300000}"/>
    <cellStyle name="Normal 14 19 2 2" xfId="12317" xr:uid="{00000000-0005-0000-0000-00000D300000}"/>
    <cellStyle name="Normal 14 19 2 3" xfId="12318" xr:uid="{00000000-0005-0000-0000-00000E300000}"/>
    <cellStyle name="Normal 14 19 2 4" xfId="12319" xr:uid="{00000000-0005-0000-0000-00000F300000}"/>
    <cellStyle name="Normal 14 19 2 5" xfId="12320" xr:uid="{00000000-0005-0000-0000-000010300000}"/>
    <cellStyle name="Normal 14 19 2 6" xfId="12321" xr:uid="{00000000-0005-0000-0000-000011300000}"/>
    <cellStyle name="Normal 14 19 3" xfId="12322" xr:uid="{00000000-0005-0000-0000-000012300000}"/>
    <cellStyle name="Normal 14 19 3 2" xfId="12323" xr:uid="{00000000-0005-0000-0000-000013300000}"/>
    <cellStyle name="Normal 14 19 3 3" xfId="12324" xr:uid="{00000000-0005-0000-0000-000014300000}"/>
    <cellStyle name="Normal 14 19 3 4" xfId="12325" xr:uid="{00000000-0005-0000-0000-000015300000}"/>
    <cellStyle name="Normal 14 19 3 5" xfId="12326" xr:uid="{00000000-0005-0000-0000-000016300000}"/>
    <cellStyle name="Normal 14 19 3 6" xfId="12327" xr:uid="{00000000-0005-0000-0000-000017300000}"/>
    <cellStyle name="Normal 14 19 4" xfId="12328" xr:uid="{00000000-0005-0000-0000-000018300000}"/>
    <cellStyle name="Normal 14 19 5" xfId="12329" xr:uid="{00000000-0005-0000-0000-000019300000}"/>
    <cellStyle name="Normal 14 19 6" xfId="12330" xr:uid="{00000000-0005-0000-0000-00001A300000}"/>
    <cellStyle name="Normal 14 19 7" xfId="12331" xr:uid="{00000000-0005-0000-0000-00001B300000}"/>
    <cellStyle name="Normal 14 19 8" xfId="12332" xr:uid="{00000000-0005-0000-0000-00001C300000}"/>
    <cellStyle name="Normal 14 2" xfId="12333" xr:uid="{00000000-0005-0000-0000-00001D300000}"/>
    <cellStyle name="Normal 14 2 2" xfId="12334" xr:uid="{00000000-0005-0000-0000-00001E300000}"/>
    <cellStyle name="Normal 14 20" xfId="12335" xr:uid="{00000000-0005-0000-0000-00001F300000}"/>
    <cellStyle name="Normal 14 20 2" xfId="12336" xr:uid="{00000000-0005-0000-0000-000020300000}"/>
    <cellStyle name="Normal 14 20 2 2" xfId="12337" xr:uid="{00000000-0005-0000-0000-000021300000}"/>
    <cellStyle name="Normal 14 20 2 3" xfId="12338" xr:uid="{00000000-0005-0000-0000-000022300000}"/>
    <cellStyle name="Normal 14 20 2 4" xfId="12339" xr:uid="{00000000-0005-0000-0000-000023300000}"/>
    <cellStyle name="Normal 14 20 2 5" xfId="12340" xr:uid="{00000000-0005-0000-0000-000024300000}"/>
    <cellStyle name="Normal 14 20 2 6" xfId="12341" xr:uid="{00000000-0005-0000-0000-000025300000}"/>
    <cellStyle name="Normal 14 20 3" xfId="12342" xr:uid="{00000000-0005-0000-0000-000026300000}"/>
    <cellStyle name="Normal 14 20 3 2" xfId="12343" xr:uid="{00000000-0005-0000-0000-000027300000}"/>
    <cellStyle name="Normal 14 20 3 3" xfId="12344" xr:uid="{00000000-0005-0000-0000-000028300000}"/>
    <cellStyle name="Normal 14 20 3 4" xfId="12345" xr:uid="{00000000-0005-0000-0000-000029300000}"/>
    <cellStyle name="Normal 14 20 3 5" xfId="12346" xr:uid="{00000000-0005-0000-0000-00002A300000}"/>
    <cellStyle name="Normal 14 20 3 6" xfId="12347" xr:uid="{00000000-0005-0000-0000-00002B300000}"/>
    <cellStyle name="Normal 14 20 4" xfId="12348" xr:uid="{00000000-0005-0000-0000-00002C300000}"/>
    <cellStyle name="Normal 14 20 5" xfId="12349" xr:uid="{00000000-0005-0000-0000-00002D300000}"/>
    <cellStyle name="Normal 14 20 6" xfId="12350" xr:uid="{00000000-0005-0000-0000-00002E300000}"/>
    <cellStyle name="Normal 14 20 7" xfId="12351" xr:uid="{00000000-0005-0000-0000-00002F300000}"/>
    <cellStyle name="Normal 14 20 8" xfId="12352" xr:uid="{00000000-0005-0000-0000-000030300000}"/>
    <cellStyle name="Normal 14 21" xfId="12353" xr:uid="{00000000-0005-0000-0000-000031300000}"/>
    <cellStyle name="Normal 14 21 2" xfId="12354" xr:uid="{00000000-0005-0000-0000-000032300000}"/>
    <cellStyle name="Normal 14 21 3" xfId="12355" xr:uid="{00000000-0005-0000-0000-000033300000}"/>
    <cellStyle name="Normal 14 21 4" xfId="12356" xr:uid="{00000000-0005-0000-0000-000034300000}"/>
    <cellStyle name="Normal 14 21 5" xfId="12357" xr:uid="{00000000-0005-0000-0000-000035300000}"/>
    <cellStyle name="Normal 14 21 6" xfId="12358" xr:uid="{00000000-0005-0000-0000-000036300000}"/>
    <cellStyle name="Normal 14 22" xfId="12359" xr:uid="{00000000-0005-0000-0000-000037300000}"/>
    <cellStyle name="Normal 14 22 2" xfId="12360" xr:uid="{00000000-0005-0000-0000-000038300000}"/>
    <cellStyle name="Normal 14 22 3" xfId="12361" xr:uid="{00000000-0005-0000-0000-000039300000}"/>
    <cellStyle name="Normal 14 22 4" xfId="12362" xr:uid="{00000000-0005-0000-0000-00003A300000}"/>
    <cellStyle name="Normal 14 22 5" xfId="12363" xr:uid="{00000000-0005-0000-0000-00003B300000}"/>
    <cellStyle name="Normal 14 22 6" xfId="12364" xr:uid="{00000000-0005-0000-0000-00003C300000}"/>
    <cellStyle name="Normal 14 23" xfId="12365" xr:uid="{00000000-0005-0000-0000-00003D300000}"/>
    <cellStyle name="Normal 14 24" xfId="12366" xr:uid="{00000000-0005-0000-0000-00003E300000}"/>
    <cellStyle name="Normal 14 25" xfId="12367" xr:uid="{00000000-0005-0000-0000-00003F300000}"/>
    <cellStyle name="Normal 14 26" xfId="12368" xr:uid="{00000000-0005-0000-0000-000040300000}"/>
    <cellStyle name="Normal 14 27" xfId="12369" xr:uid="{00000000-0005-0000-0000-000041300000}"/>
    <cellStyle name="Normal 14 3" xfId="12370" xr:uid="{00000000-0005-0000-0000-000042300000}"/>
    <cellStyle name="Normal 14 3 2" xfId="12371" xr:uid="{00000000-0005-0000-0000-000043300000}"/>
    <cellStyle name="Normal 14 4" xfId="12372" xr:uid="{00000000-0005-0000-0000-000044300000}"/>
    <cellStyle name="Normal 14 4 2" xfId="12373" xr:uid="{00000000-0005-0000-0000-000045300000}"/>
    <cellStyle name="Normal 14 5" xfId="12374" xr:uid="{00000000-0005-0000-0000-000046300000}"/>
    <cellStyle name="Normal 14 5 2" xfId="12375" xr:uid="{00000000-0005-0000-0000-000047300000}"/>
    <cellStyle name="Normal 14 6" xfId="12376" xr:uid="{00000000-0005-0000-0000-000048300000}"/>
    <cellStyle name="Normal 14 6 2" xfId="12377" xr:uid="{00000000-0005-0000-0000-000049300000}"/>
    <cellStyle name="Normal 14 7" xfId="12378" xr:uid="{00000000-0005-0000-0000-00004A300000}"/>
    <cellStyle name="Normal 14 7 2" xfId="12379" xr:uid="{00000000-0005-0000-0000-00004B300000}"/>
    <cellStyle name="Normal 14 8" xfId="12380" xr:uid="{00000000-0005-0000-0000-00004C300000}"/>
    <cellStyle name="Normal 14 8 2" xfId="12381" xr:uid="{00000000-0005-0000-0000-00004D300000}"/>
    <cellStyle name="Normal 14 9" xfId="12382" xr:uid="{00000000-0005-0000-0000-00004E300000}"/>
    <cellStyle name="Normal 14 9 2" xfId="12383" xr:uid="{00000000-0005-0000-0000-00004F300000}"/>
    <cellStyle name="Normal 15" xfId="12384" xr:uid="{00000000-0005-0000-0000-000050300000}"/>
    <cellStyle name="Normal 15 10" xfId="12385" xr:uid="{00000000-0005-0000-0000-000051300000}"/>
    <cellStyle name="Normal 15 10 2" xfId="12386" xr:uid="{00000000-0005-0000-0000-000052300000}"/>
    <cellStyle name="Normal 15 11" xfId="12387" xr:uid="{00000000-0005-0000-0000-000053300000}"/>
    <cellStyle name="Normal 15 11 2" xfId="12388" xr:uid="{00000000-0005-0000-0000-000054300000}"/>
    <cellStyle name="Normal 15 12" xfId="12389" xr:uid="{00000000-0005-0000-0000-000055300000}"/>
    <cellStyle name="Normal 15 12 2" xfId="12390" xr:uid="{00000000-0005-0000-0000-000056300000}"/>
    <cellStyle name="Normal 15 13" xfId="12391" xr:uid="{00000000-0005-0000-0000-000057300000}"/>
    <cellStyle name="Normal 15 13 2" xfId="12392" xr:uid="{00000000-0005-0000-0000-000058300000}"/>
    <cellStyle name="Normal 15 14" xfId="12393" xr:uid="{00000000-0005-0000-0000-000059300000}"/>
    <cellStyle name="Normal 15 14 2" xfId="12394" xr:uid="{00000000-0005-0000-0000-00005A300000}"/>
    <cellStyle name="Normal 15 15" xfId="12395" xr:uid="{00000000-0005-0000-0000-00005B300000}"/>
    <cellStyle name="Normal 15 15 2" xfId="12396" xr:uid="{00000000-0005-0000-0000-00005C300000}"/>
    <cellStyle name="Normal 15 16" xfId="12397" xr:uid="{00000000-0005-0000-0000-00005D300000}"/>
    <cellStyle name="Normal 15 16 2" xfId="12398" xr:uid="{00000000-0005-0000-0000-00005E300000}"/>
    <cellStyle name="Normal 15 17" xfId="12399" xr:uid="{00000000-0005-0000-0000-00005F300000}"/>
    <cellStyle name="Normal 15 18" xfId="12400" xr:uid="{00000000-0005-0000-0000-000060300000}"/>
    <cellStyle name="Normal 15 18 2" xfId="12401" xr:uid="{00000000-0005-0000-0000-000061300000}"/>
    <cellStyle name="Normal 15 18 2 2" xfId="12402" xr:uid="{00000000-0005-0000-0000-000062300000}"/>
    <cellStyle name="Normal 15 18 2 3" xfId="12403" xr:uid="{00000000-0005-0000-0000-000063300000}"/>
    <cellStyle name="Normal 15 18 2 4" xfId="12404" xr:uid="{00000000-0005-0000-0000-000064300000}"/>
    <cellStyle name="Normal 15 18 2 5" xfId="12405" xr:uid="{00000000-0005-0000-0000-000065300000}"/>
    <cellStyle name="Normal 15 18 2 6" xfId="12406" xr:uid="{00000000-0005-0000-0000-000066300000}"/>
    <cellStyle name="Normal 15 18 3" xfId="12407" xr:uid="{00000000-0005-0000-0000-000067300000}"/>
    <cellStyle name="Normal 15 18 3 2" xfId="12408" xr:uid="{00000000-0005-0000-0000-000068300000}"/>
    <cellStyle name="Normal 15 18 3 3" xfId="12409" xr:uid="{00000000-0005-0000-0000-000069300000}"/>
    <cellStyle name="Normal 15 18 3 4" xfId="12410" xr:uid="{00000000-0005-0000-0000-00006A300000}"/>
    <cellStyle name="Normal 15 18 3 5" xfId="12411" xr:uid="{00000000-0005-0000-0000-00006B300000}"/>
    <cellStyle name="Normal 15 18 3 6" xfId="12412" xr:uid="{00000000-0005-0000-0000-00006C300000}"/>
    <cellStyle name="Normal 15 18 4" xfId="12413" xr:uid="{00000000-0005-0000-0000-00006D300000}"/>
    <cellStyle name="Normal 15 18 5" xfId="12414" xr:uid="{00000000-0005-0000-0000-00006E300000}"/>
    <cellStyle name="Normal 15 18 6" xfId="12415" xr:uid="{00000000-0005-0000-0000-00006F300000}"/>
    <cellStyle name="Normal 15 18 7" xfId="12416" xr:uid="{00000000-0005-0000-0000-000070300000}"/>
    <cellStyle name="Normal 15 18 8" xfId="12417" xr:uid="{00000000-0005-0000-0000-000071300000}"/>
    <cellStyle name="Normal 15 19" xfId="12418" xr:uid="{00000000-0005-0000-0000-000072300000}"/>
    <cellStyle name="Normal 15 19 2" xfId="12419" xr:uid="{00000000-0005-0000-0000-000073300000}"/>
    <cellStyle name="Normal 15 19 2 2" xfId="12420" xr:uid="{00000000-0005-0000-0000-000074300000}"/>
    <cellStyle name="Normal 15 19 2 3" xfId="12421" xr:uid="{00000000-0005-0000-0000-000075300000}"/>
    <cellStyle name="Normal 15 19 2 4" xfId="12422" xr:uid="{00000000-0005-0000-0000-000076300000}"/>
    <cellStyle name="Normal 15 19 2 5" xfId="12423" xr:uid="{00000000-0005-0000-0000-000077300000}"/>
    <cellStyle name="Normal 15 19 2 6" xfId="12424" xr:uid="{00000000-0005-0000-0000-000078300000}"/>
    <cellStyle name="Normal 15 19 3" xfId="12425" xr:uid="{00000000-0005-0000-0000-000079300000}"/>
    <cellStyle name="Normal 15 19 3 2" xfId="12426" xr:uid="{00000000-0005-0000-0000-00007A300000}"/>
    <cellStyle name="Normal 15 19 3 3" xfId="12427" xr:uid="{00000000-0005-0000-0000-00007B300000}"/>
    <cellStyle name="Normal 15 19 3 4" xfId="12428" xr:uid="{00000000-0005-0000-0000-00007C300000}"/>
    <cellStyle name="Normal 15 19 3 5" xfId="12429" xr:uid="{00000000-0005-0000-0000-00007D300000}"/>
    <cellStyle name="Normal 15 19 3 6" xfId="12430" xr:uid="{00000000-0005-0000-0000-00007E300000}"/>
    <cellStyle name="Normal 15 19 4" xfId="12431" xr:uid="{00000000-0005-0000-0000-00007F300000}"/>
    <cellStyle name="Normal 15 19 5" xfId="12432" xr:uid="{00000000-0005-0000-0000-000080300000}"/>
    <cellStyle name="Normal 15 19 6" xfId="12433" xr:uid="{00000000-0005-0000-0000-000081300000}"/>
    <cellStyle name="Normal 15 19 7" xfId="12434" xr:uid="{00000000-0005-0000-0000-000082300000}"/>
    <cellStyle name="Normal 15 19 8" xfId="12435" xr:uid="{00000000-0005-0000-0000-000083300000}"/>
    <cellStyle name="Normal 15 2" xfId="12436" xr:uid="{00000000-0005-0000-0000-000084300000}"/>
    <cellStyle name="Normal 15 2 2" xfId="12437" xr:uid="{00000000-0005-0000-0000-000085300000}"/>
    <cellStyle name="Normal 15 20" xfId="12438" xr:uid="{00000000-0005-0000-0000-000086300000}"/>
    <cellStyle name="Normal 15 20 2" xfId="12439" xr:uid="{00000000-0005-0000-0000-000087300000}"/>
    <cellStyle name="Normal 15 20 2 2" xfId="12440" xr:uid="{00000000-0005-0000-0000-000088300000}"/>
    <cellStyle name="Normal 15 20 2 3" xfId="12441" xr:uid="{00000000-0005-0000-0000-000089300000}"/>
    <cellStyle name="Normal 15 20 2 4" xfId="12442" xr:uid="{00000000-0005-0000-0000-00008A300000}"/>
    <cellStyle name="Normal 15 20 2 5" xfId="12443" xr:uid="{00000000-0005-0000-0000-00008B300000}"/>
    <cellStyle name="Normal 15 20 2 6" xfId="12444" xr:uid="{00000000-0005-0000-0000-00008C300000}"/>
    <cellStyle name="Normal 15 20 3" xfId="12445" xr:uid="{00000000-0005-0000-0000-00008D300000}"/>
    <cellStyle name="Normal 15 20 3 2" xfId="12446" xr:uid="{00000000-0005-0000-0000-00008E300000}"/>
    <cellStyle name="Normal 15 20 3 3" xfId="12447" xr:uid="{00000000-0005-0000-0000-00008F300000}"/>
    <cellStyle name="Normal 15 20 3 4" xfId="12448" xr:uid="{00000000-0005-0000-0000-000090300000}"/>
    <cellStyle name="Normal 15 20 3 5" xfId="12449" xr:uid="{00000000-0005-0000-0000-000091300000}"/>
    <cellStyle name="Normal 15 20 3 6" xfId="12450" xr:uid="{00000000-0005-0000-0000-000092300000}"/>
    <cellStyle name="Normal 15 20 4" xfId="12451" xr:uid="{00000000-0005-0000-0000-000093300000}"/>
    <cellStyle name="Normal 15 20 5" xfId="12452" xr:uid="{00000000-0005-0000-0000-000094300000}"/>
    <cellStyle name="Normal 15 20 6" xfId="12453" xr:uid="{00000000-0005-0000-0000-000095300000}"/>
    <cellStyle name="Normal 15 20 7" xfId="12454" xr:uid="{00000000-0005-0000-0000-000096300000}"/>
    <cellStyle name="Normal 15 20 8" xfId="12455" xr:uid="{00000000-0005-0000-0000-000097300000}"/>
    <cellStyle name="Normal 15 21" xfId="12456" xr:uid="{00000000-0005-0000-0000-000098300000}"/>
    <cellStyle name="Normal 15 21 2" xfId="12457" xr:uid="{00000000-0005-0000-0000-000099300000}"/>
    <cellStyle name="Normal 15 21 3" xfId="12458" xr:uid="{00000000-0005-0000-0000-00009A300000}"/>
    <cellStyle name="Normal 15 21 4" xfId="12459" xr:uid="{00000000-0005-0000-0000-00009B300000}"/>
    <cellStyle name="Normal 15 21 5" xfId="12460" xr:uid="{00000000-0005-0000-0000-00009C300000}"/>
    <cellStyle name="Normal 15 21 6" xfId="12461" xr:uid="{00000000-0005-0000-0000-00009D300000}"/>
    <cellStyle name="Normal 15 22" xfId="12462" xr:uid="{00000000-0005-0000-0000-00009E300000}"/>
    <cellStyle name="Normal 15 22 2" xfId="12463" xr:uid="{00000000-0005-0000-0000-00009F300000}"/>
    <cellStyle name="Normal 15 22 3" xfId="12464" xr:uid="{00000000-0005-0000-0000-0000A0300000}"/>
    <cellStyle name="Normal 15 22 4" xfId="12465" xr:uid="{00000000-0005-0000-0000-0000A1300000}"/>
    <cellStyle name="Normal 15 22 5" xfId="12466" xr:uid="{00000000-0005-0000-0000-0000A2300000}"/>
    <cellStyle name="Normal 15 22 6" xfId="12467" xr:uid="{00000000-0005-0000-0000-0000A3300000}"/>
    <cellStyle name="Normal 15 23" xfId="12468" xr:uid="{00000000-0005-0000-0000-0000A4300000}"/>
    <cellStyle name="Normal 15 24" xfId="12469" xr:uid="{00000000-0005-0000-0000-0000A5300000}"/>
    <cellStyle name="Normal 15 25" xfId="12470" xr:uid="{00000000-0005-0000-0000-0000A6300000}"/>
    <cellStyle name="Normal 15 26" xfId="12471" xr:uid="{00000000-0005-0000-0000-0000A7300000}"/>
    <cellStyle name="Normal 15 27" xfId="12472" xr:uid="{00000000-0005-0000-0000-0000A8300000}"/>
    <cellStyle name="Normal 15 3" xfId="12473" xr:uid="{00000000-0005-0000-0000-0000A9300000}"/>
    <cellStyle name="Normal 15 3 2" xfId="12474" xr:uid="{00000000-0005-0000-0000-0000AA300000}"/>
    <cellStyle name="Normal 15 4" xfId="12475" xr:uid="{00000000-0005-0000-0000-0000AB300000}"/>
    <cellStyle name="Normal 15 4 2" xfId="12476" xr:uid="{00000000-0005-0000-0000-0000AC300000}"/>
    <cellStyle name="Normal 15 5" xfId="12477" xr:uid="{00000000-0005-0000-0000-0000AD300000}"/>
    <cellStyle name="Normal 15 5 2" xfId="12478" xr:uid="{00000000-0005-0000-0000-0000AE300000}"/>
    <cellStyle name="Normal 15 6" xfId="12479" xr:uid="{00000000-0005-0000-0000-0000AF300000}"/>
    <cellStyle name="Normal 15 6 2" xfId="12480" xr:uid="{00000000-0005-0000-0000-0000B0300000}"/>
    <cellStyle name="Normal 15 7" xfId="12481" xr:uid="{00000000-0005-0000-0000-0000B1300000}"/>
    <cellStyle name="Normal 15 7 2" xfId="12482" xr:uid="{00000000-0005-0000-0000-0000B2300000}"/>
    <cellStyle name="Normal 15 8" xfId="12483" xr:uid="{00000000-0005-0000-0000-0000B3300000}"/>
    <cellStyle name="Normal 15 8 2" xfId="12484" xr:uid="{00000000-0005-0000-0000-0000B4300000}"/>
    <cellStyle name="Normal 15 9" xfId="12485" xr:uid="{00000000-0005-0000-0000-0000B5300000}"/>
    <cellStyle name="Normal 15 9 2" xfId="12486" xr:uid="{00000000-0005-0000-0000-0000B6300000}"/>
    <cellStyle name="Normal 16" xfId="12487" xr:uid="{00000000-0005-0000-0000-0000B7300000}"/>
    <cellStyle name="Normal 16 10" xfId="12488" xr:uid="{00000000-0005-0000-0000-0000B8300000}"/>
    <cellStyle name="Normal 16 10 2" xfId="12489" xr:uid="{00000000-0005-0000-0000-0000B9300000}"/>
    <cellStyle name="Normal 16 10 2 2" xfId="12490" xr:uid="{00000000-0005-0000-0000-0000BA300000}"/>
    <cellStyle name="Normal 16 10 2 3" xfId="12491" xr:uid="{00000000-0005-0000-0000-0000BB300000}"/>
    <cellStyle name="Normal 16 10 2 4" xfId="12492" xr:uid="{00000000-0005-0000-0000-0000BC300000}"/>
    <cellStyle name="Normal 16 10 2 5" xfId="12493" xr:uid="{00000000-0005-0000-0000-0000BD300000}"/>
    <cellStyle name="Normal 16 10 2 6" xfId="12494" xr:uid="{00000000-0005-0000-0000-0000BE300000}"/>
    <cellStyle name="Normal 16 10 3" xfId="12495" xr:uid="{00000000-0005-0000-0000-0000BF300000}"/>
    <cellStyle name="Normal 16 10 3 2" xfId="12496" xr:uid="{00000000-0005-0000-0000-0000C0300000}"/>
    <cellStyle name="Normal 16 10 3 3" xfId="12497" xr:uid="{00000000-0005-0000-0000-0000C1300000}"/>
    <cellStyle name="Normal 16 10 3 4" xfId="12498" xr:uid="{00000000-0005-0000-0000-0000C2300000}"/>
    <cellStyle name="Normal 16 10 3 5" xfId="12499" xr:uid="{00000000-0005-0000-0000-0000C3300000}"/>
    <cellStyle name="Normal 16 10 3 6" xfId="12500" xr:uid="{00000000-0005-0000-0000-0000C4300000}"/>
    <cellStyle name="Normal 16 10 4" xfId="12501" xr:uid="{00000000-0005-0000-0000-0000C5300000}"/>
    <cellStyle name="Normal 16 10 5" xfId="12502" xr:uid="{00000000-0005-0000-0000-0000C6300000}"/>
    <cellStyle name="Normal 16 10 6" xfId="12503" xr:uid="{00000000-0005-0000-0000-0000C7300000}"/>
    <cellStyle name="Normal 16 10 7" xfId="12504" xr:uid="{00000000-0005-0000-0000-0000C8300000}"/>
    <cellStyle name="Normal 16 10 8" xfId="12505" xr:uid="{00000000-0005-0000-0000-0000C9300000}"/>
    <cellStyle name="Normal 16 11" xfId="12506" xr:uid="{00000000-0005-0000-0000-0000CA300000}"/>
    <cellStyle name="Normal 16 11 2" xfId="12507" xr:uid="{00000000-0005-0000-0000-0000CB300000}"/>
    <cellStyle name="Normal 16 11 3" xfId="12508" xr:uid="{00000000-0005-0000-0000-0000CC300000}"/>
    <cellStyle name="Normal 16 11 4" xfId="12509" xr:uid="{00000000-0005-0000-0000-0000CD300000}"/>
    <cellStyle name="Normal 16 11 5" xfId="12510" xr:uid="{00000000-0005-0000-0000-0000CE300000}"/>
    <cellStyle name="Normal 16 11 6" xfId="12511" xr:uid="{00000000-0005-0000-0000-0000CF300000}"/>
    <cellStyle name="Normal 16 12" xfId="12512" xr:uid="{00000000-0005-0000-0000-0000D0300000}"/>
    <cellStyle name="Normal 16 12 2" xfId="12513" xr:uid="{00000000-0005-0000-0000-0000D1300000}"/>
    <cellStyle name="Normal 16 12 3" xfId="12514" xr:uid="{00000000-0005-0000-0000-0000D2300000}"/>
    <cellStyle name="Normal 16 12 4" xfId="12515" xr:uid="{00000000-0005-0000-0000-0000D3300000}"/>
    <cellStyle name="Normal 16 12 5" xfId="12516" xr:uid="{00000000-0005-0000-0000-0000D4300000}"/>
    <cellStyle name="Normal 16 12 6" xfId="12517" xr:uid="{00000000-0005-0000-0000-0000D5300000}"/>
    <cellStyle name="Normal 16 13" xfId="12518" xr:uid="{00000000-0005-0000-0000-0000D6300000}"/>
    <cellStyle name="Normal 16 14" xfId="12519" xr:uid="{00000000-0005-0000-0000-0000D7300000}"/>
    <cellStyle name="Normal 16 15" xfId="12520" xr:uid="{00000000-0005-0000-0000-0000D8300000}"/>
    <cellStyle name="Normal 16 16" xfId="12521" xr:uid="{00000000-0005-0000-0000-0000D9300000}"/>
    <cellStyle name="Normal 16 17" xfId="12522" xr:uid="{00000000-0005-0000-0000-0000DA300000}"/>
    <cellStyle name="Normal 16 2" xfId="12523" xr:uid="{00000000-0005-0000-0000-0000DB300000}"/>
    <cellStyle name="Normal 16 2 10" xfId="12524" xr:uid="{00000000-0005-0000-0000-0000DC300000}"/>
    <cellStyle name="Normal 16 2 10 2" xfId="12525" xr:uid="{00000000-0005-0000-0000-0000DD300000}"/>
    <cellStyle name="Normal 16 2 10 3" xfId="12526" xr:uid="{00000000-0005-0000-0000-0000DE300000}"/>
    <cellStyle name="Normal 16 2 10 4" xfId="12527" xr:uid="{00000000-0005-0000-0000-0000DF300000}"/>
    <cellStyle name="Normal 16 2 10 5" xfId="12528" xr:uid="{00000000-0005-0000-0000-0000E0300000}"/>
    <cellStyle name="Normal 16 2 10 6" xfId="12529" xr:uid="{00000000-0005-0000-0000-0000E1300000}"/>
    <cellStyle name="Normal 16 2 11" xfId="12530" xr:uid="{00000000-0005-0000-0000-0000E2300000}"/>
    <cellStyle name="Normal 16 2 12" xfId="12531" xr:uid="{00000000-0005-0000-0000-0000E3300000}"/>
    <cellStyle name="Normal 16 2 13" xfId="12532" xr:uid="{00000000-0005-0000-0000-0000E4300000}"/>
    <cellStyle name="Normal 16 2 14" xfId="12533" xr:uid="{00000000-0005-0000-0000-0000E5300000}"/>
    <cellStyle name="Normal 16 2 15" xfId="12534" xr:uid="{00000000-0005-0000-0000-0000E6300000}"/>
    <cellStyle name="Normal 16 2 2" xfId="12535" xr:uid="{00000000-0005-0000-0000-0000E7300000}"/>
    <cellStyle name="Normal 16 2 2 10" xfId="12536" xr:uid="{00000000-0005-0000-0000-0000E8300000}"/>
    <cellStyle name="Normal 16 2 2 11" xfId="12537" xr:uid="{00000000-0005-0000-0000-0000E9300000}"/>
    <cellStyle name="Normal 16 2 2 12" xfId="12538" xr:uid="{00000000-0005-0000-0000-0000EA300000}"/>
    <cellStyle name="Normal 16 2 2 13" xfId="12539" xr:uid="{00000000-0005-0000-0000-0000EB300000}"/>
    <cellStyle name="Normal 16 2 2 14" xfId="12540" xr:uid="{00000000-0005-0000-0000-0000EC300000}"/>
    <cellStyle name="Normal 16 2 2 2" xfId="12541" xr:uid="{00000000-0005-0000-0000-0000ED300000}"/>
    <cellStyle name="Normal 16 2 2 2 10" xfId="12542" xr:uid="{00000000-0005-0000-0000-0000EE300000}"/>
    <cellStyle name="Normal 16 2 2 2 11" xfId="12543" xr:uid="{00000000-0005-0000-0000-0000EF300000}"/>
    <cellStyle name="Normal 16 2 2 2 12" xfId="12544" xr:uid="{00000000-0005-0000-0000-0000F0300000}"/>
    <cellStyle name="Normal 16 2 2 2 2" xfId="12545" xr:uid="{00000000-0005-0000-0000-0000F1300000}"/>
    <cellStyle name="Normal 16 2 2 2 2 10" xfId="12546" xr:uid="{00000000-0005-0000-0000-0000F2300000}"/>
    <cellStyle name="Normal 16 2 2 2 2 11" xfId="12547" xr:uid="{00000000-0005-0000-0000-0000F3300000}"/>
    <cellStyle name="Normal 16 2 2 2 2 2" xfId="12548" xr:uid="{00000000-0005-0000-0000-0000F4300000}"/>
    <cellStyle name="Normal 16 2 2 2 2 2 2" xfId="12549" xr:uid="{00000000-0005-0000-0000-0000F5300000}"/>
    <cellStyle name="Normal 16 2 2 2 2 2 2 2" xfId="12550" xr:uid="{00000000-0005-0000-0000-0000F6300000}"/>
    <cellStyle name="Normal 16 2 2 2 2 2 2 3" xfId="12551" xr:uid="{00000000-0005-0000-0000-0000F7300000}"/>
    <cellStyle name="Normal 16 2 2 2 2 2 2 4" xfId="12552" xr:uid="{00000000-0005-0000-0000-0000F8300000}"/>
    <cellStyle name="Normal 16 2 2 2 2 2 2 5" xfId="12553" xr:uid="{00000000-0005-0000-0000-0000F9300000}"/>
    <cellStyle name="Normal 16 2 2 2 2 2 2 6" xfId="12554" xr:uid="{00000000-0005-0000-0000-0000FA300000}"/>
    <cellStyle name="Normal 16 2 2 2 2 2 3" xfId="12555" xr:uid="{00000000-0005-0000-0000-0000FB300000}"/>
    <cellStyle name="Normal 16 2 2 2 2 2 3 2" xfId="12556" xr:uid="{00000000-0005-0000-0000-0000FC300000}"/>
    <cellStyle name="Normal 16 2 2 2 2 2 3 3" xfId="12557" xr:uid="{00000000-0005-0000-0000-0000FD300000}"/>
    <cellStyle name="Normal 16 2 2 2 2 2 3 4" xfId="12558" xr:uid="{00000000-0005-0000-0000-0000FE300000}"/>
    <cellStyle name="Normal 16 2 2 2 2 2 3 5" xfId="12559" xr:uid="{00000000-0005-0000-0000-0000FF300000}"/>
    <cellStyle name="Normal 16 2 2 2 2 2 3 6" xfId="12560" xr:uid="{00000000-0005-0000-0000-000000310000}"/>
    <cellStyle name="Normal 16 2 2 2 2 2 4" xfId="12561" xr:uid="{00000000-0005-0000-0000-000001310000}"/>
    <cellStyle name="Normal 16 2 2 2 2 2 5" xfId="12562" xr:uid="{00000000-0005-0000-0000-000002310000}"/>
    <cellStyle name="Normal 16 2 2 2 2 2 6" xfId="12563" xr:uid="{00000000-0005-0000-0000-000003310000}"/>
    <cellStyle name="Normal 16 2 2 2 2 2 7" xfId="12564" xr:uid="{00000000-0005-0000-0000-000004310000}"/>
    <cellStyle name="Normal 16 2 2 2 2 2 8" xfId="12565" xr:uid="{00000000-0005-0000-0000-000005310000}"/>
    <cellStyle name="Normal 16 2 2 2 2 3" xfId="12566" xr:uid="{00000000-0005-0000-0000-000006310000}"/>
    <cellStyle name="Normal 16 2 2 2 2 3 2" xfId="12567" xr:uid="{00000000-0005-0000-0000-000007310000}"/>
    <cellStyle name="Normal 16 2 2 2 2 3 2 2" xfId="12568" xr:uid="{00000000-0005-0000-0000-000008310000}"/>
    <cellStyle name="Normal 16 2 2 2 2 3 2 3" xfId="12569" xr:uid="{00000000-0005-0000-0000-000009310000}"/>
    <cellStyle name="Normal 16 2 2 2 2 3 2 4" xfId="12570" xr:uid="{00000000-0005-0000-0000-00000A310000}"/>
    <cellStyle name="Normal 16 2 2 2 2 3 2 5" xfId="12571" xr:uid="{00000000-0005-0000-0000-00000B310000}"/>
    <cellStyle name="Normal 16 2 2 2 2 3 2 6" xfId="12572" xr:uid="{00000000-0005-0000-0000-00000C310000}"/>
    <cellStyle name="Normal 16 2 2 2 2 3 3" xfId="12573" xr:uid="{00000000-0005-0000-0000-00000D310000}"/>
    <cellStyle name="Normal 16 2 2 2 2 3 3 2" xfId="12574" xr:uid="{00000000-0005-0000-0000-00000E310000}"/>
    <cellStyle name="Normal 16 2 2 2 2 3 3 3" xfId="12575" xr:uid="{00000000-0005-0000-0000-00000F310000}"/>
    <cellStyle name="Normal 16 2 2 2 2 3 3 4" xfId="12576" xr:uid="{00000000-0005-0000-0000-000010310000}"/>
    <cellStyle name="Normal 16 2 2 2 2 3 3 5" xfId="12577" xr:uid="{00000000-0005-0000-0000-000011310000}"/>
    <cellStyle name="Normal 16 2 2 2 2 3 3 6" xfId="12578" xr:uid="{00000000-0005-0000-0000-000012310000}"/>
    <cellStyle name="Normal 16 2 2 2 2 3 4" xfId="12579" xr:uid="{00000000-0005-0000-0000-000013310000}"/>
    <cellStyle name="Normal 16 2 2 2 2 3 5" xfId="12580" xr:uid="{00000000-0005-0000-0000-000014310000}"/>
    <cellStyle name="Normal 16 2 2 2 2 3 6" xfId="12581" xr:uid="{00000000-0005-0000-0000-000015310000}"/>
    <cellStyle name="Normal 16 2 2 2 2 3 7" xfId="12582" xr:uid="{00000000-0005-0000-0000-000016310000}"/>
    <cellStyle name="Normal 16 2 2 2 2 3 8" xfId="12583" xr:uid="{00000000-0005-0000-0000-000017310000}"/>
    <cellStyle name="Normal 16 2 2 2 2 4" xfId="12584" xr:uid="{00000000-0005-0000-0000-000018310000}"/>
    <cellStyle name="Normal 16 2 2 2 2 4 2" xfId="12585" xr:uid="{00000000-0005-0000-0000-000019310000}"/>
    <cellStyle name="Normal 16 2 2 2 2 4 2 2" xfId="12586" xr:uid="{00000000-0005-0000-0000-00001A310000}"/>
    <cellStyle name="Normal 16 2 2 2 2 4 2 3" xfId="12587" xr:uid="{00000000-0005-0000-0000-00001B310000}"/>
    <cellStyle name="Normal 16 2 2 2 2 4 2 4" xfId="12588" xr:uid="{00000000-0005-0000-0000-00001C310000}"/>
    <cellStyle name="Normal 16 2 2 2 2 4 2 5" xfId="12589" xr:uid="{00000000-0005-0000-0000-00001D310000}"/>
    <cellStyle name="Normal 16 2 2 2 2 4 2 6" xfId="12590" xr:uid="{00000000-0005-0000-0000-00001E310000}"/>
    <cellStyle name="Normal 16 2 2 2 2 4 3" xfId="12591" xr:uid="{00000000-0005-0000-0000-00001F310000}"/>
    <cellStyle name="Normal 16 2 2 2 2 4 3 2" xfId="12592" xr:uid="{00000000-0005-0000-0000-000020310000}"/>
    <cellStyle name="Normal 16 2 2 2 2 4 3 3" xfId="12593" xr:uid="{00000000-0005-0000-0000-000021310000}"/>
    <cellStyle name="Normal 16 2 2 2 2 4 3 4" xfId="12594" xr:uid="{00000000-0005-0000-0000-000022310000}"/>
    <cellStyle name="Normal 16 2 2 2 2 4 3 5" xfId="12595" xr:uid="{00000000-0005-0000-0000-000023310000}"/>
    <cellStyle name="Normal 16 2 2 2 2 4 3 6" xfId="12596" xr:uid="{00000000-0005-0000-0000-000024310000}"/>
    <cellStyle name="Normal 16 2 2 2 2 4 4" xfId="12597" xr:uid="{00000000-0005-0000-0000-000025310000}"/>
    <cellStyle name="Normal 16 2 2 2 2 4 5" xfId="12598" xr:uid="{00000000-0005-0000-0000-000026310000}"/>
    <cellStyle name="Normal 16 2 2 2 2 4 6" xfId="12599" xr:uid="{00000000-0005-0000-0000-000027310000}"/>
    <cellStyle name="Normal 16 2 2 2 2 4 7" xfId="12600" xr:uid="{00000000-0005-0000-0000-000028310000}"/>
    <cellStyle name="Normal 16 2 2 2 2 4 8" xfId="12601" xr:uid="{00000000-0005-0000-0000-000029310000}"/>
    <cellStyle name="Normal 16 2 2 2 2 5" xfId="12602" xr:uid="{00000000-0005-0000-0000-00002A310000}"/>
    <cellStyle name="Normal 16 2 2 2 2 5 2" xfId="12603" xr:uid="{00000000-0005-0000-0000-00002B310000}"/>
    <cellStyle name="Normal 16 2 2 2 2 5 3" xfId="12604" xr:uid="{00000000-0005-0000-0000-00002C310000}"/>
    <cellStyle name="Normal 16 2 2 2 2 5 4" xfId="12605" xr:uid="{00000000-0005-0000-0000-00002D310000}"/>
    <cellStyle name="Normal 16 2 2 2 2 5 5" xfId="12606" xr:uid="{00000000-0005-0000-0000-00002E310000}"/>
    <cellStyle name="Normal 16 2 2 2 2 5 6" xfId="12607" xr:uid="{00000000-0005-0000-0000-00002F310000}"/>
    <cellStyle name="Normal 16 2 2 2 2 6" xfId="12608" xr:uid="{00000000-0005-0000-0000-000030310000}"/>
    <cellStyle name="Normal 16 2 2 2 2 6 2" xfId="12609" xr:uid="{00000000-0005-0000-0000-000031310000}"/>
    <cellStyle name="Normal 16 2 2 2 2 6 3" xfId="12610" xr:uid="{00000000-0005-0000-0000-000032310000}"/>
    <cellStyle name="Normal 16 2 2 2 2 6 4" xfId="12611" xr:uid="{00000000-0005-0000-0000-000033310000}"/>
    <cellStyle name="Normal 16 2 2 2 2 6 5" xfId="12612" xr:uid="{00000000-0005-0000-0000-000034310000}"/>
    <cellStyle name="Normal 16 2 2 2 2 6 6" xfId="12613" xr:uid="{00000000-0005-0000-0000-000035310000}"/>
    <cellStyle name="Normal 16 2 2 2 2 7" xfId="12614" xr:uid="{00000000-0005-0000-0000-000036310000}"/>
    <cellStyle name="Normal 16 2 2 2 2 8" xfId="12615" xr:uid="{00000000-0005-0000-0000-000037310000}"/>
    <cellStyle name="Normal 16 2 2 2 2 9" xfId="12616" xr:uid="{00000000-0005-0000-0000-000038310000}"/>
    <cellStyle name="Normal 16 2 2 2 3" xfId="12617" xr:uid="{00000000-0005-0000-0000-000039310000}"/>
    <cellStyle name="Normal 16 2 2 2 3 2" xfId="12618" xr:uid="{00000000-0005-0000-0000-00003A310000}"/>
    <cellStyle name="Normal 16 2 2 2 3 2 2" xfId="12619" xr:uid="{00000000-0005-0000-0000-00003B310000}"/>
    <cellStyle name="Normal 16 2 2 2 3 2 3" xfId="12620" xr:uid="{00000000-0005-0000-0000-00003C310000}"/>
    <cellStyle name="Normal 16 2 2 2 3 2 4" xfId="12621" xr:uid="{00000000-0005-0000-0000-00003D310000}"/>
    <cellStyle name="Normal 16 2 2 2 3 2 5" xfId="12622" xr:uid="{00000000-0005-0000-0000-00003E310000}"/>
    <cellStyle name="Normal 16 2 2 2 3 2 6" xfId="12623" xr:uid="{00000000-0005-0000-0000-00003F310000}"/>
    <cellStyle name="Normal 16 2 2 2 3 3" xfId="12624" xr:uid="{00000000-0005-0000-0000-000040310000}"/>
    <cellStyle name="Normal 16 2 2 2 3 3 2" xfId="12625" xr:uid="{00000000-0005-0000-0000-000041310000}"/>
    <cellStyle name="Normal 16 2 2 2 3 3 3" xfId="12626" xr:uid="{00000000-0005-0000-0000-000042310000}"/>
    <cellStyle name="Normal 16 2 2 2 3 3 4" xfId="12627" xr:uid="{00000000-0005-0000-0000-000043310000}"/>
    <cellStyle name="Normal 16 2 2 2 3 3 5" xfId="12628" xr:uid="{00000000-0005-0000-0000-000044310000}"/>
    <cellStyle name="Normal 16 2 2 2 3 3 6" xfId="12629" xr:uid="{00000000-0005-0000-0000-000045310000}"/>
    <cellStyle name="Normal 16 2 2 2 3 4" xfId="12630" xr:uid="{00000000-0005-0000-0000-000046310000}"/>
    <cellStyle name="Normal 16 2 2 2 3 5" xfId="12631" xr:uid="{00000000-0005-0000-0000-000047310000}"/>
    <cellStyle name="Normal 16 2 2 2 3 6" xfId="12632" xr:uid="{00000000-0005-0000-0000-000048310000}"/>
    <cellStyle name="Normal 16 2 2 2 3 7" xfId="12633" xr:uid="{00000000-0005-0000-0000-000049310000}"/>
    <cellStyle name="Normal 16 2 2 2 3 8" xfId="12634" xr:uid="{00000000-0005-0000-0000-00004A310000}"/>
    <cellStyle name="Normal 16 2 2 2 4" xfId="12635" xr:uid="{00000000-0005-0000-0000-00004B310000}"/>
    <cellStyle name="Normal 16 2 2 2 4 2" xfId="12636" xr:uid="{00000000-0005-0000-0000-00004C310000}"/>
    <cellStyle name="Normal 16 2 2 2 4 2 2" xfId="12637" xr:uid="{00000000-0005-0000-0000-00004D310000}"/>
    <cellStyle name="Normal 16 2 2 2 4 2 3" xfId="12638" xr:uid="{00000000-0005-0000-0000-00004E310000}"/>
    <cellStyle name="Normal 16 2 2 2 4 2 4" xfId="12639" xr:uid="{00000000-0005-0000-0000-00004F310000}"/>
    <cellStyle name="Normal 16 2 2 2 4 2 5" xfId="12640" xr:uid="{00000000-0005-0000-0000-000050310000}"/>
    <cellStyle name="Normal 16 2 2 2 4 2 6" xfId="12641" xr:uid="{00000000-0005-0000-0000-000051310000}"/>
    <cellStyle name="Normal 16 2 2 2 4 3" xfId="12642" xr:uid="{00000000-0005-0000-0000-000052310000}"/>
    <cellStyle name="Normal 16 2 2 2 4 3 2" xfId="12643" xr:uid="{00000000-0005-0000-0000-000053310000}"/>
    <cellStyle name="Normal 16 2 2 2 4 3 3" xfId="12644" xr:uid="{00000000-0005-0000-0000-000054310000}"/>
    <cellStyle name="Normal 16 2 2 2 4 3 4" xfId="12645" xr:uid="{00000000-0005-0000-0000-000055310000}"/>
    <cellStyle name="Normal 16 2 2 2 4 3 5" xfId="12646" xr:uid="{00000000-0005-0000-0000-000056310000}"/>
    <cellStyle name="Normal 16 2 2 2 4 3 6" xfId="12647" xr:uid="{00000000-0005-0000-0000-000057310000}"/>
    <cellStyle name="Normal 16 2 2 2 4 4" xfId="12648" xr:uid="{00000000-0005-0000-0000-000058310000}"/>
    <cellStyle name="Normal 16 2 2 2 4 5" xfId="12649" xr:uid="{00000000-0005-0000-0000-000059310000}"/>
    <cellStyle name="Normal 16 2 2 2 4 6" xfId="12650" xr:uid="{00000000-0005-0000-0000-00005A310000}"/>
    <cellStyle name="Normal 16 2 2 2 4 7" xfId="12651" xr:uid="{00000000-0005-0000-0000-00005B310000}"/>
    <cellStyle name="Normal 16 2 2 2 4 8" xfId="12652" xr:uid="{00000000-0005-0000-0000-00005C310000}"/>
    <cellStyle name="Normal 16 2 2 2 5" xfId="12653" xr:uid="{00000000-0005-0000-0000-00005D310000}"/>
    <cellStyle name="Normal 16 2 2 2 5 2" xfId="12654" xr:uid="{00000000-0005-0000-0000-00005E310000}"/>
    <cellStyle name="Normal 16 2 2 2 5 2 2" xfId="12655" xr:uid="{00000000-0005-0000-0000-00005F310000}"/>
    <cellStyle name="Normal 16 2 2 2 5 2 3" xfId="12656" xr:uid="{00000000-0005-0000-0000-000060310000}"/>
    <cellStyle name="Normal 16 2 2 2 5 2 4" xfId="12657" xr:uid="{00000000-0005-0000-0000-000061310000}"/>
    <cellStyle name="Normal 16 2 2 2 5 2 5" xfId="12658" xr:uid="{00000000-0005-0000-0000-000062310000}"/>
    <cellStyle name="Normal 16 2 2 2 5 2 6" xfId="12659" xr:uid="{00000000-0005-0000-0000-000063310000}"/>
    <cellStyle name="Normal 16 2 2 2 5 3" xfId="12660" xr:uid="{00000000-0005-0000-0000-000064310000}"/>
    <cellStyle name="Normal 16 2 2 2 5 3 2" xfId="12661" xr:uid="{00000000-0005-0000-0000-000065310000}"/>
    <cellStyle name="Normal 16 2 2 2 5 3 3" xfId="12662" xr:uid="{00000000-0005-0000-0000-000066310000}"/>
    <cellStyle name="Normal 16 2 2 2 5 3 4" xfId="12663" xr:uid="{00000000-0005-0000-0000-000067310000}"/>
    <cellStyle name="Normal 16 2 2 2 5 3 5" xfId="12664" xr:uid="{00000000-0005-0000-0000-000068310000}"/>
    <cellStyle name="Normal 16 2 2 2 5 3 6" xfId="12665" xr:uid="{00000000-0005-0000-0000-000069310000}"/>
    <cellStyle name="Normal 16 2 2 2 5 4" xfId="12666" xr:uid="{00000000-0005-0000-0000-00006A310000}"/>
    <cellStyle name="Normal 16 2 2 2 5 5" xfId="12667" xr:uid="{00000000-0005-0000-0000-00006B310000}"/>
    <cellStyle name="Normal 16 2 2 2 5 6" xfId="12668" xr:uid="{00000000-0005-0000-0000-00006C310000}"/>
    <cellStyle name="Normal 16 2 2 2 5 7" xfId="12669" xr:uid="{00000000-0005-0000-0000-00006D310000}"/>
    <cellStyle name="Normal 16 2 2 2 5 8" xfId="12670" xr:uid="{00000000-0005-0000-0000-00006E310000}"/>
    <cellStyle name="Normal 16 2 2 2 6" xfId="12671" xr:uid="{00000000-0005-0000-0000-00006F310000}"/>
    <cellStyle name="Normal 16 2 2 2 6 2" xfId="12672" xr:uid="{00000000-0005-0000-0000-000070310000}"/>
    <cellStyle name="Normal 16 2 2 2 6 3" xfId="12673" xr:uid="{00000000-0005-0000-0000-000071310000}"/>
    <cellStyle name="Normal 16 2 2 2 6 4" xfId="12674" xr:uid="{00000000-0005-0000-0000-000072310000}"/>
    <cellStyle name="Normal 16 2 2 2 6 5" xfId="12675" xr:uid="{00000000-0005-0000-0000-000073310000}"/>
    <cellStyle name="Normal 16 2 2 2 6 6" xfId="12676" xr:uid="{00000000-0005-0000-0000-000074310000}"/>
    <cellStyle name="Normal 16 2 2 2 7" xfId="12677" xr:uid="{00000000-0005-0000-0000-000075310000}"/>
    <cellStyle name="Normal 16 2 2 2 7 2" xfId="12678" xr:uid="{00000000-0005-0000-0000-000076310000}"/>
    <cellStyle name="Normal 16 2 2 2 7 3" xfId="12679" xr:uid="{00000000-0005-0000-0000-000077310000}"/>
    <cellStyle name="Normal 16 2 2 2 7 4" xfId="12680" xr:uid="{00000000-0005-0000-0000-000078310000}"/>
    <cellStyle name="Normal 16 2 2 2 7 5" xfId="12681" xr:uid="{00000000-0005-0000-0000-000079310000}"/>
    <cellStyle name="Normal 16 2 2 2 7 6" xfId="12682" xr:uid="{00000000-0005-0000-0000-00007A310000}"/>
    <cellStyle name="Normal 16 2 2 2 8" xfId="12683" xr:uid="{00000000-0005-0000-0000-00007B310000}"/>
    <cellStyle name="Normal 16 2 2 2 9" xfId="12684" xr:uid="{00000000-0005-0000-0000-00007C310000}"/>
    <cellStyle name="Normal 16 2 2 3" xfId="12685" xr:uid="{00000000-0005-0000-0000-00007D310000}"/>
    <cellStyle name="Normal 16 2 2 3 10" xfId="12686" xr:uid="{00000000-0005-0000-0000-00007E310000}"/>
    <cellStyle name="Normal 16 2 2 3 11" xfId="12687" xr:uid="{00000000-0005-0000-0000-00007F310000}"/>
    <cellStyle name="Normal 16 2 2 3 12" xfId="12688" xr:uid="{00000000-0005-0000-0000-000080310000}"/>
    <cellStyle name="Normal 16 2 2 3 2" xfId="12689" xr:uid="{00000000-0005-0000-0000-000081310000}"/>
    <cellStyle name="Normal 16 2 2 3 2 10" xfId="12690" xr:uid="{00000000-0005-0000-0000-000082310000}"/>
    <cellStyle name="Normal 16 2 2 3 2 11" xfId="12691" xr:uid="{00000000-0005-0000-0000-000083310000}"/>
    <cellStyle name="Normal 16 2 2 3 2 2" xfId="12692" xr:uid="{00000000-0005-0000-0000-000084310000}"/>
    <cellStyle name="Normal 16 2 2 3 2 2 2" xfId="12693" xr:uid="{00000000-0005-0000-0000-000085310000}"/>
    <cellStyle name="Normal 16 2 2 3 2 2 2 2" xfId="12694" xr:uid="{00000000-0005-0000-0000-000086310000}"/>
    <cellStyle name="Normal 16 2 2 3 2 2 2 3" xfId="12695" xr:uid="{00000000-0005-0000-0000-000087310000}"/>
    <cellStyle name="Normal 16 2 2 3 2 2 2 4" xfId="12696" xr:uid="{00000000-0005-0000-0000-000088310000}"/>
    <cellStyle name="Normal 16 2 2 3 2 2 2 5" xfId="12697" xr:uid="{00000000-0005-0000-0000-000089310000}"/>
    <cellStyle name="Normal 16 2 2 3 2 2 2 6" xfId="12698" xr:uid="{00000000-0005-0000-0000-00008A310000}"/>
    <cellStyle name="Normal 16 2 2 3 2 2 3" xfId="12699" xr:uid="{00000000-0005-0000-0000-00008B310000}"/>
    <cellStyle name="Normal 16 2 2 3 2 2 3 2" xfId="12700" xr:uid="{00000000-0005-0000-0000-00008C310000}"/>
    <cellStyle name="Normal 16 2 2 3 2 2 3 3" xfId="12701" xr:uid="{00000000-0005-0000-0000-00008D310000}"/>
    <cellStyle name="Normal 16 2 2 3 2 2 3 4" xfId="12702" xr:uid="{00000000-0005-0000-0000-00008E310000}"/>
    <cellStyle name="Normal 16 2 2 3 2 2 3 5" xfId="12703" xr:uid="{00000000-0005-0000-0000-00008F310000}"/>
    <cellStyle name="Normal 16 2 2 3 2 2 3 6" xfId="12704" xr:uid="{00000000-0005-0000-0000-000090310000}"/>
    <cellStyle name="Normal 16 2 2 3 2 2 4" xfId="12705" xr:uid="{00000000-0005-0000-0000-000091310000}"/>
    <cellStyle name="Normal 16 2 2 3 2 2 5" xfId="12706" xr:uid="{00000000-0005-0000-0000-000092310000}"/>
    <cellStyle name="Normal 16 2 2 3 2 2 6" xfId="12707" xr:uid="{00000000-0005-0000-0000-000093310000}"/>
    <cellStyle name="Normal 16 2 2 3 2 2 7" xfId="12708" xr:uid="{00000000-0005-0000-0000-000094310000}"/>
    <cellStyle name="Normal 16 2 2 3 2 2 8" xfId="12709" xr:uid="{00000000-0005-0000-0000-000095310000}"/>
    <cellStyle name="Normal 16 2 2 3 2 3" xfId="12710" xr:uid="{00000000-0005-0000-0000-000096310000}"/>
    <cellStyle name="Normal 16 2 2 3 2 3 2" xfId="12711" xr:uid="{00000000-0005-0000-0000-000097310000}"/>
    <cellStyle name="Normal 16 2 2 3 2 3 2 2" xfId="12712" xr:uid="{00000000-0005-0000-0000-000098310000}"/>
    <cellStyle name="Normal 16 2 2 3 2 3 2 3" xfId="12713" xr:uid="{00000000-0005-0000-0000-000099310000}"/>
    <cellStyle name="Normal 16 2 2 3 2 3 2 4" xfId="12714" xr:uid="{00000000-0005-0000-0000-00009A310000}"/>
    <cellStyle name="Normal 16 2 2 3 2 3 2 5" xfId="12715" xr:uid="{00000000-0005-0000-0000-00009B310000}"/>
    <cellStyle name="Normal 16 2 2 3 2 3 2 6" xfId="12716" xr:uid="{00000000-0005-0000-0000-00009C310000}"/>
    <cellStyle name="Normal 16 2 2 3 2 3 3" xfId="12717" xr:uid="{00000000-0005-0000-0000-00009D310000}"/>
    <cellStyle name="Normal 16 2 2 3 2 3 3 2" xfId="12718" xr:uid="{00000000-0005-0000-0000-00009E310000}"/>
    <cellStyle name="Normal 16 2 2 3 2 3 3 3" xfId="12719" xr:uid="{00000000-0005-0000-0000-00009F310000}"/>
    <cellStyle name="Normal 16 2 2 3 2 3 3 4" xfId="12720" xr:uid="{00000000-0005-0000-0000-0000A0310000}"/>
    <cellStyle name="Normal 16 2 2 3 2 3 3 5" xfId="12721" xr:uid="{00000000-0005-0000-0000-0000A1310000}"/>
    <cellStyle name="Normal 16 2 2 3 2 3 3 6" xfId="12722" xr:uid="{00000000-0005-0000-0000-0000A2310000}"/>
    <cellStyle name="Normal 16 2 2 3 2 3 4" xfId="12723" xr:uid="{00000000-0005-0000-0000-0000A3310000}"/>
    <cellStyle name="Normal 16 2 2 3 2 3 5" xfId="12724" xr:uid="{00000000-0005-0000-0000-0000A4310000}"/>
    <cellStyle name="Normal 16 2 2 3 2 3 6" xfId="12725" xr:uid="{00000000-0005-0000-0000-0000A5310000}"/>
    <cellStyle name="Normal 16 2 2 3 2 3 7" xfId="12726" xr:uid="{00000000-0005-0000-0000-0000A6310000}"/>
    <cellStyle name="Normal 16 2 2 3 2 3 8" xfId="12727" xr:uid="{00000000-0005-0000-0000-0000A7310000}"/>
    <cellStyle name="Normal 16 2 2 3 2 4" xfId="12728" xr:uid="{00000000-0005-0000-0000-0000A8310000}"/>
    <cellStyle name="Normal 16 2 2 3 2 4 2" xfId="12729" xr:uid="{00000000-0005-0000-0000-0000A9310000}"/>
    <cellStyle name="Normal 16 2 2 3 2 4 2 2" xfId="12730" xr:uid="{00000000-0005-0000-0000-0000AA310000}"/>
    <cellStyle name="Normal 16 2 2 3 2 4 2 3" xfId="12731" xr:uid="{00000000-0005-0000-0000-0000AB310000}"/>
    <cellStyle name="Normal 16 2 2 3 2 4 2 4" xfId="12732" xr:uid="{00000000-0005-0000-0000-0000AC310000}"/>
    <cellStyle name="Normal 16 2 2 3 2 4 2 5" xfId="12733" xr:uid="{00000000-0005-0000-0000-0000AD310000}"/>
    <cellStyle name="Normal 16 2 2 3 2 4 2 6" xfId="12734" xr:uid="{00000000-0005-0000-0000-0000AE310000}"/>
    <cellStyle name="Normal 16 2 2 3 2 4 3" xfId="12735" xr:uid="{00000000-0005-0000-0000-0000AF310000}"/>
    <cellStyle name="Normal 16 2 2 3 2 4 3 2" xfId="12736" xr:uid="{00000000-0005-0000-0000-0000B0310000}"/>
    <cellStyle name="Normal 16 2 2 3 2 4 3 3" xfId="12737" xr:uid="{00000000-0005-0000-0000-0000B1310000}"/>
    <cellStyle name="Normal 16 2 2 3 2 4 3 4" xfId="12738" xr:uid="{00000000-0005-0000-0000-0000B2310000}"/>
    <cellStyle name="Normal 16 2 2 3 2 4 3 5" xfId="12739" xr:uid="{00000000-0005-0000-0000-0000B3310000}"/>
    <cellStyle name="Normal 16 2 2 3 2 4 3 6" xfId="12740" xr:uid="{00000000-0005-0000-0000-0000B4310000}"/>
    <cellStyle name="Normal 16 2 2 3 2 4 4" xfId="12741" xr:uid="{00000000-0005-0000-0000-0000B5310000}"/>
    <cellStyle name="Normal 16 2 2 3 2 4 5" xfId="12742" xr:uid="{00000000-0005-0000-0000-0000B6310000}"/>
    <cellStyle name="Normal 16 2 2 3 2 4 6" xfId="12743" xr:uid="{00000000-0005-0000-0000-0000B7310000}"/>
    <cellStyle name="Normal 16 2 2 3 2 4 7" xfId="12744" xr:uid="{00000000-0005-0000-0000-0000B8310000}"/>
    <cellStyle name="Normal 16 2 2 3 2 4 8" xfId="12745" xr:uid="{00000000-0005-0000-0000-0000B9310000}"/>
    <cellStyle name="Normal 16 2 2 3 2 5" xfId="12746" xr:uid="{00000000-0005-0000-0000-0000BA310000}"/>
    <cellStyle name="Normal 16 2 2 3 2 5 2" xfId="12747" xr:uid="{00000000-0005-0000-0000-0000BB310000}"/>
    <cellStyle name="Normal 16 2 2 3 2 5 3" xfId="12748" xr:uid="{00000000-0005-0000-0000-0000BC310000}"/>
    <cellStyle name="Normal 16 2 2 3 2 5 4" xfId="12749" xr:uid="{00000000-0005-0000-0000-0000BD310000}"/>
    <cellStyle name="Normal 16 2 2 3 2 5 5" xfId="12750" xr:uid="{00000000-0005-0000-0000-0000BE310000}"/>
    <cellStyle name="Normal 16 2 2 3 2 5 6" xfId="12751" xr:uid="{00000000-0005-0000-0000-0000BF310000}"/>
    <cellStyle name="Normal 16 2 2 3 2 6" xfId="12752" xr:uid="{00000000-0005-0000-0000-0000C0310000}"/>
    <cellStyle name="Normal 16 2 2 3 2 6 2" xfId="12753" xr:uid="{00000000-0005-0000-0000-0000C1310000}"/>
    <cellStyle name="Normal 16 2 2 3 2 6 3" xfId="12754" xr:uid="{00000000-0005-0000-0000-0000C2310000}"/>
    <cellStyle name="Normal 16 2 2 3 2 6 4" xfId="12755" xr:uid="{00000000-0005-0000-0000-0000C3310000}"/>
    <cellStyle name="Normal 16 2 2 3 2 6 5" xfId="12756" xr:uid="{00000000-0005-0000-0000-0000C4310000}"/>
    <cellStyle name="Normal 16 2 2 3 2 6 6" xfId="12757" xr:uid="{00000000-0005-0000-0000-0000C5310000}"/>
    <cellStyle name="Normal 16 2 2 3 2 7" xfId="12758" xr:uid="{00000000-0005-0000-0000-0000C6310000}"/>
    <cellStyle name="Normal 16 2 2 3 2 8" xfId="12759" xr:uid="{00000000-0005-0000-0000-0000C7310000}"/>
    <cellStyle name="Normal 16 2 2 3 2 9" xfId="12760" xr:uid="{00000000-0005-0000-0000-0000C8310000}"/>
    <cellStyle name="Normal 16 2 2 3 3" xfId="12761" xr:uid="{00000000-0005-0000-0000-0000C9310000}"/>
    <cellStyle name="Normal 16 2 2 3 3 2" xfId="12762" xr:uid="{00000000-0005-0000-0000-0000CA310000}"/>
    <cellStyle name="Normal 16 2 2 3 3 2 2" xfId="12763" xr:uid="{00000000-0005-0000-0000-0000CB310000}"/>
    <cellStyle name="Normal 16 2 2 3 3 2 3" xfId="12764" xr:uid="{00000000-0005-0000-0000-0000CC310000}"/>
    <cellStyle name="Normal 16 2 2 3 3 2 4" xfId="12765" xr:uid="{00000000-0005-0000-0000-0000CD310000}"/>
    <cellStyle name="Normal 16 2 2 3 3 2 5" xfId="12766" xr:uid="{00000000-0005-0000-0000-0000CE310000}"/>
    <cellStyle name="Normal 16 2 2 3 3 2 6" xfId="12767" xr:uid="{00000000-0005-0000-0000-0000CF310000}"/>
    <cellStyle name="Normal 16 2 2 3 3 3" xfId="12768" xr:uid="{00000000-0005-0000-0000-0000D0310000}"/>
    <cellStyle name="Normal 16 2 2 3 3 3 2" xfId="12769" xr:uid="{00000000-0005-0000-0000-0000D1310000}"/>
    <cellStyle name="Normal 16 2 2 3 3 3 3" xfId="12770" xr:uid="{00000000-0005-0000-0000-0000D2310000}"/>
    <cellStyle name="Normal 16 2 2 3 3 3 4" xfId="12771" xr:uid="{00000000-0005-0000-0000-0000D3310000}"/>
    <cellStyle name="Normal 16 2 2 3 3 3 5" xfId="12772" xr:uid="{00000000-0005-0000-0000-0000D4310000}"/>
    <cellStyle name="Normal 16 2 2 3 3 3 6" xfId="12773" xr:uid="{00000000-0005-0000-0000-0000D5310000}"/>
    <cellStyle name="Normal 16 2 2 3 3 4" xfId="12774" xr:uid="{00000000-0005-0000-0000-0000D6310000}"/>
    <cellStyle name="Normal 16 2 2 3 3 5" xfId="12775" xr:uid="{00000000-0005-0000-0000-0000D7310000}"/>
    <cellStyle name="Normal 16 2 2 3 3 6" xfId="12776" xr:uid="{00000000-0005-0000-0000-0000D8310000}"/>
    <cellStyle name="Normal 16 2 2 3 3 7" xfId="12777" xr:uid="{00000000-0005-0000-0000-0000D9310000}"/>
    <cellStyle name="Normal 16 2 2 3 3 8" xfId="12778" xr:uid="{00000000-0005-0000-0000-0000DA310000}"/>
    <cellStyle name="Normal 16 2 2 3 4" xfId="12779" xr:uid="{00000000-0005-0000-0000-0000DB310000}"/>
    <cellStyle name="Normal 16 2 2 3 4 2" xfId="12780" xr:uid="{00000000-0005-0000-0000-0000DC310000}"/>
    <cellStyle name="Normal 16 2 2 3 4 2 2" xfId="12781" xr:uid="{00000000-0005-0000-0000-0000DD310000}"/>
    <cellStyle name="Normal 16 2 2 3 4 2 3" xfId="12782" xr:uid="{00000000-0005-0000-0000-0000DE310000}"/>
    <cellStyle name="Normal 16 2 2 3 4 2 4" xfId="12783" xr:uid="{00000000-0005-0000-0000-0000DF310000}"/>
    <cellStyle name="Normal 16 2 2 3 4 2 5" xfId="12784" xr:uid="{00000000-0005-0000-0000-0000E0310000}"/>
    <cellStyle name="Normal 16 2 2 3 4 2 6" xfId="12785" xr:uid="{00000000-0005-0000-0000-0000E1310000}"/>
    <cellStyle name="Normal 16 2 2 3 4 3" xfId="12786" xr:uid="{00000000-0005-0000-0000-0000E2310000}"/>
    <cellStyle name="Normal 16 2 2 3 4 3 2" xfId="12787" xr:uid="{00000000-0005-0000-0000-0000E3310000}"/>
    <cellStyle name="Normal 16 2 2 3 4 3 3" xfId="12788" xr:uid="{00000000-0005-0000-0000-0000E4310000}"/>
    <cellStyle name="Normal 16 2 2 3 4 3 4" xfId="12789" xr:uid="{00000000-0005-0000-0000-0000E5310000}"/>
    <cellStyle name="Normal 16 2 2 3 4 3 5" xfId="12790" xr:uid="{00000000-0005-0000-0000-0000E6310000}"/>
    <cellStyle name="Normal 16 2 2 3 4 3 6" xfId="12791" xr:uid="{00000000-0005-0000-0000-0000E7310000}"/>
    <cellStyle name="Normal 16 2 2 3 4 4" xfId="12792" xr:uid="{00000000-0005-0000-0000-0000E8310000}"/>
    <cellStyle name="Normal 16 2 2 3 4 5" xfId="12793" xr:uid="{00000000-0005-0000-0000-0000E9310000}"/>
    <cellStyle name="Normal 16 2 2 3 4 6" xfId="12794" xr:uid="{00000000-0005-0000-0000-0000EA310000}"/>
    <cellStyle name="Normal 16 2 2 3 4 7" xfId="12795" xr:uid="{00000000-0005-0000-0000-0000EB310000}"/>
    <cellStyle name="Normal 16 2 2 3 4 8" xfId="12796" xr:uid="{00000000-0005-0000-0000-0000EC310000}"/>
    <cellStyle name="Normal 16 2 2 3 5" xfId="12797" xr:uid="{00000000-0005-0000-0000-0000ED310000}"/>
    <cellStyle name="Normal 16 2 2 3 5 2" xfId="12798" xr:uid="{00000000-0005-0000-0000-0000EE310000}"/>
    <cellStyle name="Normal 16 2 2 3 5 2 2" xfId="12799" xr:uid="{00000000-0005-0000-0000-0000EF310000}"/>
    <cellStyle name="Normal 16 2 2 3 5 2 3" xfId="12800" xr:uid="{00000000-0005-0000-0000-0000F0310000}"/>
    <cellStyle name="Normal 16 2 2 3 5 2 4" xfId="12801" xr:uid="{00000000-0005-0000-0000-0000F1310000}"/>
    <cellStyle name="Normal 16 2 2 3 5 2 5" xfId="12802" xr:uid="{00000000-0005-0000-0000-0000F2310000}"/>
    <cellStyle name="Normal 16 2 2 3 5 2 6" xfId="12803" xr:uid="{00000000-0005-0000-0000-0000F3310000}"/>
    <cellStyle name="Normal 16 2 2 3 5 3" xfId="12804" xr:uid="{00000000-0005-0000-0000-0000F4310000}"/>
    <cellStyle name="Normal 16 2 2 3 5 3 2" xfId="12805" xr:uid="{00000000-0005-0000-0000-0000F5310000}"/>
    <cellStyle name="Normal 16 2 2 3 5 3 3" xfId="12806" xr:uid="{00000000-0005-0000-0000-0000F6310000}"/>
    <cellStyle name="Normal 16 2 2 3 5 3 4" xfId="12807" xr:uid="{00000000-0005-0000-0000-0000F7310000}"/>
    <cellStyle name="Normal 16 2 2 3 5 3 5" xfId="12808" xr:uid="{00000000-0005-0000-0000-0000F8310000}"/>
    <cellStyle name="Normal 16 2 2 3 5 3 6" xfId="12809" xr:uid="{00000000-0005-0000-0000-0000F9310000}"/>
    <cellStyle name="Normal 16 2 2 3 5 4" xfId="12810" xr:uid="{00000000-0005-0000-0000-0000FA310000}"/>
    <cellStyle name="Normal 16 2 2 3 5 5" xfId="12811" xr:uid="{00000000-0005-0000-0000-0000FB310000}"/>
    <cellStyle name="Normal 16 2 2 3 5 6" xfId="12812" xr:uid="{00000000-0005-0000-0000-0000FC310000}"/>
    <cellStyle name="Normal 16 2 2 3 5 7" xfId="12813" xr:uid="{00000000-0005-0000-0000-0000FD310000}"/>
    <cellStyle name="Normal 16 2 2 3 5 8" xfId="12814" xr:uid="{00000000-0005-0000-0000-0000FE310000}"/>
    <cellStyle name="Normal 16 2 2 3 6" xfId="12815" xr:uid="{00000000-0005-0000-0000-0000FF310000}"/>
    <cellStyle name="Normal 16 2 2 3 6 2" xfId="12816" xr:uid="{00000000-0005-0000-0000-000000320000}"/>
    <cellStyle name="Normal 16 2 2 3 6 3" xfId="12817" xr:uid="{00000000-0005-0000-0000-000001320000}"/>
    <cellStyle name="Normal 16 2 2 3 6 4" xfId="12818" xr:uid="{00000000-0005-0000-0000-000002320000}"/>
    <cellStyle name="Normal 16 2 2 3 6 5" xfId="12819" xr:uid="{00000000-0005-0000-0000-000003320000}"/>
    <cellStyle name="Normal 16 2 2 3 6 6" xfId="12820" xr:uid="{00000000-0005-0000-0000-000004320000}"/>
    <cellStyle name="Normal 16 2 2 3 7" xfId="12821" xr:uid="{00000000-0005-0000-0000-000005320000}"/>
    <cellStyle name="Normal 16 2 2 3 7 2" xfId="12822" xr:uid="{00000000-0005-0000-0000-000006320000}"/>
    <cellStyle name="Normal 16 2 2 3 7 3" xfId="12823" xr:uid="{00000000-0005-0000-0000-000007320000}"/>
    <cellStyle name="Normal 16 2 2 3 7 4" xfId="12824" xr:uid="{00000000-0005-0000-0000-000008320000}"/>
    <cellStyle name="Normal 16 2 2 3 7 5" xfId="12825" xr:uid="{00000000-0005-0000-0000-000009320000}"/>
    <cellStyle name="Normal 16 2 2 3 7 6" xfId="12826" xr:uid="{00000000-0005-0000-0000-00000A320000}"/>
    <cellStyle name="Normal 16 2 2 3 8" xfId="12827" xr:uid="{00000000-0005-0000-0000-00000B320000}"/>
    <cellStyle name="Normal 16 2 2 3 9" xfId="12828" xr:uid="{00000000-0005-0000-0000-00000C320000}"/>
    <cellStyle name="Normal 16 2 2 4" xfId="12829" xr:uid="{00000000-0005-0000-0000-00000D320000}"/>
    <cellStyle name="Normal 16 2 2 4 10" xfId="12830" xr:uid="{00000000-0005-0000-0000-00000E320000}"/>
    <cellStyle name="Normal 16 2 2 4 11" xfId="12831" xr:uid="{00000000-0005-0000-0000-00000F320000}"/>
    <cellStyle name="Normal 16 2 2 4 2" xfId="12832" xr:uid="{00000000-0005-0000-0000-000010320000}"/>
    <cellStyle name="Normal 16 2 2 4 2 2" xfId="12833" xr:uid="{00000000-0005-0000-0000-000011320000}"/>
    <cellStyle name="Normal 16 2 2 4 2 2 2" xfId="12834" xr:uid="{00000000-0005-0000-0000-000012320000}"/>
    <cellStyle name="Normal 16 2 2 4 2 2 3" xfId="12835" xr:uid="{00000000-0005-0000-0000-000013320000}"/>
    <cellStyle name="Normal 16 2 2 4 2 2 4" xfId="12836" xr:uid="{00000000-0005-0000-0000-000014320000}"/>
    <cellStyle name="Normal 16 2 2 4 2 2 5" xfId="12837" xr:uid="{00000000-0005-0000-0000-000015320000}"/>
    <cellStyle name="Normal 16 2 2 4 2 2 6" xfId="12838" xr:uid="{00000000-0005-0000-0000-000016320000}"/>
    <cellStyle name="Normal 16 2 2 4 2 3" xfId="12839" xr:uid="{00000000-0005-0000-0000-000017320000}"/>
    <cellStyle name="Normal 16 2 2 4 2 3 2" xfId="12840" xr:uid="{00000000-0005-0000-0000-000018320000}"/>
    <cellStyle name="Normal 16 2 2 4 2 3 3" xfId="12841" xr:uid="{00000000-0005-0000-0000-000019320000}"/>
    <cellStyle name="Normal 16 2 2 4 2 3 4" xfId="12842" xr:uid="{00000000-0005-0000-0000-00001A320000}"/>
    <cellStyle name="Normal 16 2 2 4 2 3 5" xfId="12843" xr:uid="{00000000-0005-0000-0000-00001B320000}"/>
    <cellStyle name="Normal 16 2 2 4 2 3 6" xfId="12844" xr:uid="{00000000-0005-0000-0000-00001C320000}"/>
    <cellStyle name="Normal 16 2 2 4 2 4" xfId="12845" xr:uid="{00000000-0005-0000-0000-00001D320000}"/>
    <cellStyle name="Normal 16 2 2 4 2 5" xfId="12846" xr:uid="{00000000-0005-0000-0000-00001E320000}"/>
    <cellStyle name="Normal 16 2 2 4 2 6" xfId="12847" xr:uid="{00000000-0005-0000-0000-00001F320000}"/>
    <cellStyle name="Normal 16 2 2 4 2 7" xfId="12848" xr:uid="{00000000-0005-0000-0000-000020320000}"/>
    <cellStyle name="Normal 16 2 2 4 2 8" xfId="12849" xr:uid="{00000000-0005-0000-0000-000021320000}"/>
    <cellStyle name="Normal 16 2 2 4 3" xfId="12850" xr:uid="{00000000-0005-0000-0000-000022320000}"/>
    <cellStyle name="Normal 16 2 2 4 3 2" xfId="12851" xr:uid="{00000000-0005-0000-0000-000023320000}"/>
    <cellStyle name="Normal 16 2 2 4 3 2 2" xfId="12852" xr:uid="{00000000-0005-0000-0000-000024320000}"/>
    <cellStyle name="Normal 16 2 2 4 3 2 3" xfId="12853" xr:uid="{00000000-0005-0000-0000-000025320000}"/>
    <cellStyle name="Normal 16 2 2 4 3 2 4" xfId="12854" xr:uid="{00000000-0005-0000-0000-000026320000}"/>
    <cellStyle name="Normal 16 2 2 4 3 2 5" xfId="12855" xr:uid="{00000000-0005-0000-0000-000027320000}"/>
    <cellStyle name="Normal 16 2 2 4 3 2 6" xfId="12856" xr:uid="{00000000-0005-0000-0000-000028320000}"/>
    <cellStyle name="Normal 16 2 2 4 3 3" xfId="12857" xr:uid="{00000000-0005-0000-0000-000029320000}"/>
    <cellStyle name="Normal 16 2 2 4 3 3 2" xfId="12858" xr:uid="{00000000-0005-0000-0000-00002A320000}"/>
    <cellStyle name="Normal 16 2 2 4 3 3 3" xfId="12859" xr:uid="{00000000-0005-0000-0000-00002B320000}"/>
    <cellStyle name="Normal 16 2 2 4 3 3 4" xfId="12860" xr:uid="{00000000-0005-0000-0000-00002C320000}"/>
    <cellStyle name="Normal 16 2 2 4 3 3 5" xfId="12861" xr:uid="{00000000-0005-0000-0000-00002D320000}"/>
    <cellStyle name="Normal 16 2 2 4 3 3 6" xfId="12862" xr:uid="{00000000-0005-0000-0000-00002E320000}"/>
    <cellStyle name="Normal 16 2 2 4 3 4" xfId="12863" xr:uid="{00000000-0005-0000-0000-00002F320000}"/>
    <cellStyle name="Normal 16 2 2 4 3 5" xfId="12864" xr:uid="{00000000-0005-0000-0000-000030320000}"/>
    <cellStyle name="Normal 16 2 2 4 3 6" xfId="12865" xr:uid="{00000000-0005-0000-0000-000031320000}"/>
    <cellStyle name="Normal 16 2 2 4 3 7" xfId="12866" xr:uid="{00000000-0005-0000-0000-000032320000}"/>
    <cellStyle name="Normal 16 2 2 4 3 8" xfId="12867" xr:uid="{00000000-0005-0000-0000-000033320000}"/>
    <cellStyle name="Normal 16 2 2 4 4" xfId="12868" xr:uid="{00000000-0005-0000-0000-000034320000}"/>
    <cellStyle name="Normal 16 2 2 4 4 2" xfId="12869" xr:uid="{00000000-0005-0000-0000-000035320000}"/>
    <cellStyle name="Normal 16 2 2 4 4 2 2" xfId="12870" xr:uid="{00000000-0005-0000-0000-000036320000}"/>
    <cellStyle name="Normal 16 2 2 4 4 2 3" xfId="12871" xr:uid="{00000000-0005-0000-0000-000037320000}"/>
    <cellStyle name="Normal 16 2 2 4 4 2 4" xfId="12872" xr:uid="{00000000-0005-0000-0000-000038320000}"/>
    <cellStyle name="Normal 16 2 2 4 4 2 5" xfId="12873" xr:uid="{00000000-0005-0000-0000-000039320000}"/>
    <cellStyle name="Normal 16 2 2 4 4 2 6" xfId="12874" xr:uid="{00000000-0005-0000-0000-00003A320000}"/>
    <cellStyle name="Normal 16 2 2 4 4 3" xfId="12875" xr:uid="{00000000-0005-0000-0000-00003B320000}"/>
    <cellStyle name="Normal 16 2 2 4 4 3 2" xfId="12876" xr:uid="{00000000-0005-0000-0000-00003C320000}"/>
    <cellStyle name="Normal 16 2 2 4 4 3 3" xfId="12877" xr:uid="{00000000-0005-0000-0000-00003D320000}"/>
    <cellStyle name="Normal 16 2 2 4 4 3 4" xfId="12878" xr:uid="{00000000-0005-0000-0000-00003E320000}"/>
    <cellStyle name="Normal 16 2 2 4 4 3 5" xfId="12879" xr:uid="{00000000-0005-0000-0000-00003F320000}"/>
    <cellStyle name="Normal 16 2 2 4 4 3 6" xfId="12880" xr:uid="{00000000-0005-0000-0000-000040320000}"/>
    <cellStyle name="Normal 16 2 2 4 4 4" xfId="12881" xr:uid="{00000000-0005-0000-0000-000041320000}"/>
    <cellStyle name="Normal 16 2 2 4 4 5" xfId="12882" xr:uid="{00000000-0005-0000-0000-000042320000}"/>
    <cellStyle name="Normal 16 2 2 4 4 6" xfId="12883" xr:uid="{00000000-0005-0000-0000-000043320000}"/>
    <cellStyle name="Normal 16 2 2 4 4 7" xfId="12884" xr:uid="{00000000-0005-0000-0000-000044320000}"/>
    <cellStyle name="Normal 16 2 2 4 4 8" xfId="12885" xr:uid="{00000000-0005-0000-0000-000045320000}"/>
    <cellStyle name="Normal 16 2 2 4 5" xfId="12886" xr:uid="{00000000-0005-0000-0000-000046320000}"/>
    <cellStyle name="Normal 16 2 2 4 5 2" xfId="12887" xr:uid="{00000000-0005-0000-0000-000047320000}"/>
    <cellStyle name="Normal 16 2 2 4 5 3" xfId="12888" xr:uid="{00000000-0005-0000-0000-000048320000}"/>
    <cellStyle name="Normal 16 2 2 4 5 4" xfId="12889" xr:uid="{00000000-0005-0000-0000-000049320000}"/>
    <cellStyle name="Normal 16 2 2 4 5 5" xfId="12890" xr:uid="{00000000-0005-0000-0000-00004A320000}"/>
    <cellStyle name="Normal 16 2 2 4 5 6" xfId="12891" xr:uid="{00000000-0005-0000-0000-00004B320000}"/>
    <cellStyle name="Normal 16 2 2 4 6" xfId="12892" xr:uid="{00000000-0005-0000-0000-00004C320000}"/>
    <cellStyle name="Normal 16 2 2 4 6 2" xfId="12893" xr:uid="{00000000-0005-0000-0000-00004D320000}"/>
    <cellStyle name="Normal 16 2 2 4 6 3" xfId="12894" xr:uid="{00000000-0005-0000-0000-00004E320000}"/>
    <cellStyle name="Normal 16 2 2 4 6 4" xfId="12895" xr:uid="{00000000-0005-0000-0000-00004F320000}"/>
    <cellStyle name="Normal 16 2 2 4 6 5" xfId="12896" xr:uid="{00000000-0005-0000-0000-000050320000}"/>
    <cellStyle name="Normal 16 2 2 4 6 6" xfId="12897" xr:uid="{00000000-0005-0000-0000-000051320000}"/>
    <cellStyle name="Normal 16 2 2 4 7" xfId="12898" xr:uid="{00000000-0005-0000-0000-000052320000}"/>
    <cellStyle name="Normal 16 2 2 4 8" xfId="12899" xr:uid="{00000000-0005-0000-0000-000053320000}"/>
    <cellStyle name="Normal 16 2 2 4 9" xfId="12900" xr:uid="{00000000-0005-0000-0000-000054320000}"/>
    <cellStyle name="Normal 16 2 2 5" xfId="12901" xr:uid="{00000000-0005-0000-0000-000055320000}"/>
    <cellStyle name="Normal 16 2 2 5 2" xfId="12902" xr:uid="{00000000-0005-0000-0000-000056320000}"/>
    <cellStyle name="Normal 16 2 2 5 2 2" xfId="12903" xr:uid="{00000000-0005-0000-0000-000057320000}"/>
    <cellStyle name="Normal 16 2 2 5 2 3" xfId="12904" xr:uid="{00000000-0005-0000-0000-000058320000}"/>
    <cellStyle name="Normal 16 2 2 5 2 4" xfId="12905" xr:uid="{00000000-0005-0000-0000-000059320000}"/>
    <cellStyle name="Normal 16 2 2 5 2 5" xfId="12906" xr:uid="{00000000-0005-0000-0000-00005A320000}"/>
    <cellStyle name="Normal 16 2 2 5 2 6" xfId="12907" xr:uid="{00000000-0005-0000-0000-00005B320000}"/>
    <cellStyle name="Normal 16 2 2 5 3" xfId="12908" xr:uid="{00000000-0005-0000-0000-00005C320000}"/>
    <cellStyle name="Normal 16 2 2 5 3 2" xfId="12909" xr:uid="{00000000-0005-0000-0000-00005D320000}"/>
    <cellStyle name="Normal 16 2 2 5 3 3" xfId="12910" xr:uid="{00000000-0005-0000-0000-00005E320000}"/>
    <cellStyle name="Normal 16 2 2 5 3 4" xfId="12911" xr:uid="{00000000-0005-0000-0000-00005F320000}"/>
    <cellStyle name="Normal 16 2 2 5 3 5" xfId="12912" xr:uid="{00000000-0005-0000-0000-000060320000}"/>
    <cellStyle name="Normal 16 2 2 5 3 6" xfId="12913" xr:uid="{00000000-0005-0000-0000-000061320000}"/>
    <cellStyle name="Normal 16 2 2 5 4" xfId="12914" xr:uid="{00000000-0005-0000-0000-000062320000}"/>
    <cellStyle name="Normal 16 2 2 5 5" xfId="12915" xr:uid="{00000000-0005-0000-0000-000063320000}"/>
    <cellStyle name="Normal 16 2 2 5 6" xfId="12916" xr:uid="{00000000-0005-0000-0000-000064320000}"/>
    <cellStyle name="Normal 16 2 2 5 7" xfId="12917" xr:uid="{00000000-0005-0000-0000-000065320000}"/>
    <cellStyle name="Normal 16 2 2 5 8" xfId="12918" xr:uid="{00000000-0005-0000-0000-000066320000}"/>
    <cellStyle name="Normal 16 2 2 6" xfId="12919" xr:uid="{00000000-0005-0000-0000-000067320000}"/>
    <cellStyle name="Normal 16 2 2 6 2" xfId="12920" xr:uid="{00000000-0005-0000-0000-000068320000}"/>
    <cellStyle name="Normal 16 2 2 6 2 2" xfId="12921" xr:uid="{00000000-0005-0000-0000-000069320000}"/>
    <cellStyle name="Normal 16 2 2 6 2 3" xfId="12922" xr:uid="{00000000-0005-0000-0000-00006A320000}"/>
    <cellStyle name="Normal 16 2 2 6 2 4" xfId="12923" xr:uid="{00000000-0005-0000-0000-00006B320000}"/>
    <cellStyle name="Normal 16 2 2 6 2 5" xfId="12924" xr:uid="{00000000-0005-0000-0000-00006C320000}"/>
    <cellStyle name="Normal 16 2 2 6 2 6" xfId="12925" xr:uid="{00000000-0005-0000-0000-00006D320000}"/>
    <cellStyle name="Normal 16 2 2 6 3" xfId="12926" xr:uid="{00000000-0005-0000-0000-00006E320000}"/>
    <cellStyle name="Normal 16 2 2 6 3 2" xfId="12927" xr:uid="{00000000-0005-0000-0000-00006F320000}"/>
    <cellStyle name="Normal 16 2 2 6 3 3" xfId="12928" xr:uid="{00000000-0005-0000-0000-000070320000}"/>
    <cellStyle name="Normal 16 2 2 6 3 4" xfId="12929" xr:uid="{00000000-0005-0000-0000-000071320000}"/>
    <cellStyle name="Normal 16 2 2 6 3 5" xfId="12930" xr:uid="{00000000-0005-0000-0000-000072320000}"/>
    <cellStyle name="Normal 16 2 2 6 3 6" xfId="12931" xr:uid="{00000000-0005-0000-0000-000073320000}"/>
    <cellStyle name="Normal 16 2 2 6 4" xfId="12932" xr:uid="{00000000-0005-0000-0000-000074320000}"/>
    <cellStyle name="Normal 16 2 2 6 5" xfId="12933" xr:uid="{00000000-0005-0000-0000-000075320000}"/>
    <cellStyle name="Normal 16 2 2 6 6" xfId="12934" xr:uid="{00000000-0005-0000-0000-000076320000}"/>
    <cellStyle name="Normal 16 2 2 6 7" xfId="12935" xr:uid="{00000000-0005-0000-0000-000077320000}"/>
    <cellStyle name="Normal 16 2 2 6 8" xfId="12936" xr:uid="{00000000-0005-0000-0000-000078320000}"/>
    <cellStyle name="Normal 16 2 2 7" xfId="12937" xr:uid="{00000000-0005-0000-0000-000079320000}"/>
    <cellStyle name="Normal 16 2 2 7 2" xfId="12938" xr:uid="{00000000-0005-0000-0000-00007A320000}"/>
    <cellStyle name="Normal 16 2 2 7 2 2" xfId="12939" xr:uid="{00000000-0005-0000-0000-00007B320000}"/>
    <cellStyle name="Normal 16 2 2 7 2 3" xfId="12940" xr:uid="{00000000-0005-0000-0000-00007C320000}"/>
    <cellStyle name="Normal 16 2 2 7 2 4" xfId="12941" xr:uid="{00000000-0005-0000-0000-00007D320000}"/>
    <cellStyle name="Normal 16 2 2 7 2 5" xfId="12942" xr:uid="{00000000-0005-0000-0000-00007E320000}"/>
    <cellStyle name="Normal 16 2 2 7 2 6" xfId="12943" xr:uid="{00000000-0005-0000-0000-00007F320000}"/>
    <cellStyle name="Normal 16 2 2 7 3" xfId="12944" xr:uid="{00000000-0005-0000-0000-000080320000}"/>
    <cellStyle name="Normal 16 2 2 7 3 2" xfId="12945" xr:uid="{00000000-0005-0000-0000-000081320000}"/>
    <cellStyle name="Normal 16 2 2 7 3 3" xfId="12946" xr:uid="{00000000-0005-0000-0000-000082320000}"/>
    <cellStyle name="Normal 16 2 2 7 3 4" xfId="12947" xr:uid="{00000000-0005-0000-0000-000083320000}"/>
    <cellStyle name="Normal 16 2 2 7 3 5" xfId="12948" xr:uid="{00000000-0005-0000-0000-000084320000}"/>
    <cellStyle name="Normal 16 2 2 7 3 6" xfId="12949" xr:uid="{00000000-0005-0000-0000-000085320000}"/>
    <cellStyle name="Normal 16 2 2 7 4" xfId="12950" xr:uid="{00000000-0005-0000-0000-000086320000}"/>
    <cellStyle name="Normal 16 2 2 7 5" xfId="12951" xr:uid="{00000000-0005-0000-0000-000087320000}"/>
    <cellStyle name="Normal 16 2 2 7 6" xfId="12952" xr:uid="{00000000-0005-0000-0000-000088320000}"/>
    <cellStyle name="Normal 16 2 2 7 7" xfId="12953" xr:uid="{00000000-0005-0000-0000-000089320000}"/>
    <cellStyle name="Normal 16 2 2 7 8" xfId="12954" xr:uid="{00000000-0005-0000-0000-00008A320000}"/>
    <cellStyle name="Normal 16 2 2 8" xfId="12955" xr:uid="{00000000-0005-0000-0000-00008B320000}"/>
    <cellStyle name="Normal 16 2 2 8 2" xfId="12956" xr:uid="{00000000-0005-0000-0000-00008C320000}"/>
    <cellStyle name="Normal 16 2 2 8 3" xfId="12957" xr:uid="{00000000-0005-0000-0000-00008D320000}"/>
    <cellStyle name="Normal 16 2 2 8 4" xfId="12958" xr:uid="{00000000-0005-0000-0000-00008E320000}"/>
    <cellStyle name="Normal 16 2 2 8 5" xfId="12959" xr:uid="{00000000-0005-0000-0000-00008F320000}"/>
    <cellStyle name="Normal 16 2 2 8 6" xfId="12960" xr:uid="{00000000-0005-0000-0000-000090320000}"/>
    <cellStyle name="Normal 16 2 2 9" xfId="12961" xr:uid="{00000000-0005-0000-0000-000091320000}"/>
    <cellStyle name="Normal 16 2 2 9 2" xfId="12962" xr:uid="{00000000-0005-0000-0000-000092320000}"/>
    <cellStyle name="Normal 16 2 2 9 3" xfId="12963" xr:uid="{00000000-0005-0000-0000-000093320000}"/>
    <cellStyle name="Normal 16 2 2 9 4" xfId="12964" xr:uid="{00000000-0005-0000-0000-000094320000}"/>
    <cellStyle name="Normal 16 2 2 9 5" xfId="12965" xr:uid="{00000000-0005-0000-0000-000095320000}"/>
    <cellStyle name="Normal 16 2 2 9 6" xfId="12966" xr:uid="{00000000-0005-0000-0000-000096320000}"/>
    <cellStyle name="Normal 16 2 3" xfId="12967" xr:uid="{00000000-0005-0000-0000-000097320000}"/>
    <cellStyle name="Normal 16 2 3 10" xfId="12968" xr:uid="{00000000-0005-0000-0000-000098320000}"/>
    <cellStyle name="Normal 16 2 3 11" xfId="12969" xr:uid="{00000000-0005-0000-0000-000099320000}"/>
    <cellStyle name="Normal 16 2 3 12" xfId="12970" xr:uid="{00000000-0005-0000-0000-00009A320000}"/>
    <cellStyle name="Normal 16 2 3 2" xfId="12971" xr:uid="{00000000-0005-0000-0000-00009B320000}"/>
    <cellStyle name="Normal 16 2 3 2 10" xfId="12972" xr:uid="{00000000-0005-0000-0000-00009C320000}"/>
    <cellStyle name="Normal 16 2 3 2 11" xfId="12973" xr:uid="{00000000-0005-0000-0000-00009D320000}"/>
    <cellStyle name="Normal 16 2 3 2 2" xfId="12974" xr:uid="{00000000-0005-0000-0000-00009E320000}"/>
    <cellStyle name="Normal 16 2 3 2 2 2" xfId="12975" xr:uid="{00000000-0005-0000-0000-00009F320000}"/>
    <cellStyle name="Normal 16 2 3 2 2 2 2" xfId="12976" xr:uid="{00000000-0005-0000-0000-0000A0320000}"/>
    <cellStyle name="Normal 16 2 3 2 2 2 3" xfId="12977" xr:uid="{00000000-0005-0000-0000-0000A1320000}"/>
    <cellStyle name="Normal 16 2 3 2 2 2 4" xfId="12978" xr:uid="{00000000-0005-0000-0000-0000A2320000}"/>
    <cellStyle name="Normal 16 2 3 2 2 2 5" xfId="12979" xr:uid="{00000000-0005-0000-0000-0000A3320000}"/>
    <cellStyle name="Normal 16 2 3 2 2 2 6" xfId="12980" xr:uid="{00000000-0005-0000-0000-0000A4320000}"/>
    <cellStyle name="Normal 16 2 3 2 2 3" xfId="12981" xr:uid="{00000000-0005-0000-0000-0000A5320000}"/>
    <cellStyle name="Normal 16 2 3 2 2 3 2" xfId="12982" xr:uid="{00000000-0005-0000-0000-0000A6320000}"/>
    <cellStyle name="Normal 16 2 3 2 2 3 3" xfId="12983" xr:uid="{00000000-0005-0000-0000-0000A7320000}"/>
    <cellStyle name="Normal 16 2 3 2 2 3 4" xfId="12984" xr:uid="{00000000-0005-0000-0000-0000A8320000}"/>
    <cellStyle name="Normal 16 2 3 2 2 3 5" xfId="12985" xr:uid="{00000000-0005-0000-0000-0000A9320000}"/>
    <cellStyle name="Normal 16 2 3 2 2 3 6" xfId="12986" xr:uid="{00000000-0005-0000-0000-0000AA320000}"/>
    <cellStyle name="Normal 16 2 3 2 2 4" xfId="12987" xr:uid="{00000000-0005-0000-0000-0000AB320000}"/>
    <cellStyle name="Normal 16 2 3 2 2 5" xfId="12988" xr:uid="{00000000-0005-0000-0000-0000AC320000}"/>
    <cellStyle name="Normal 16 2 3 2 2 6" xfId="12989" xr:uid="{00000000-0005-0000-0000-0000AD320000}"/>
    <cellStyle name="Normal 16 2 3 2 2 7" xfId="12990" xr:uid="{00000000-0005-0000-0000-0000AE320000}"/>
    <cellStyle name="Normal 16 2 3 2 2 8" xfId="12991" xr:uid="{00000000-0005-0000-0000-0000AF320000}"/>
    <cellStyle name="Normal 16 2 3 2 3" xfId="12992" xr:uid="{00000000-0005-0000-0000-0000B0320000}"/>
    <cellStyle name="Normal 16 2 3 2 3 2" xfId="12993" xr:uid="{00000000-0005-0000-0000-0000B1320000}"/>
    <cellStyle name="Normal 16 2 3 2 3 2 2" xfId="12994" xr:uid="{00000000-0005-0000-0000-0000B2320000}"/>
    <cellStyle name="Normal 16 2 3 2 3 2 3" xfId="12995" xr:uid="{00000000-0005-0000-0000-0000B3320000}"/>
    <cellStyle name="Normal 16 2 3 2 3 2 4" xfId="12996" xr:uid="{00000000-0005-0000-0000-0000B4320000}"/>
    <cellStyle name="Normal 16 2 3 2 3 2 5" xfId="12997" xr:uid="{00000000-0005-0000-0000-0000B5320000}"/>
    <cellStyle name="Normal 16 2 3 2 3 2 6" xfId="12998" xr:uid="{00000000-0005-0000-0000-0000B6320000}"/>
    <cellStyle name="Normal 16 2 3 2 3 3" xfId="12999" xr:uid="{00000000-0005-0000-0000-0000B7320000}"/>
    <cellStyle name="Normal 16 2 3 2 3 3 2" xfId="13000" xr:uid="{00000000-0005-0000-0000-0000B8320000}"/>
    <cellStyle name="Normal 16 2 3 2 3 3 3" xfId="13001" xr:uid="{00000000-0005-0000-0000-0000B9320000}"/>
    <cellStyle name="Normal 16 2 3 2 3 3 4" xfId="13002" xr:uid="{00000000-0005-0000-0000-0000BA320000}"/>
    <cellStyle name="Normal 16 2 3 2 3 3 5" xfId="13003" xr:uid="{00000000-0005-0000-0000-0000BB320000}"/>
    <cellStyle name="Normal 16 2 3 2 3 3 6" xfId="13004" xr:uid="{00000000-0005-0000-0000-0000BC320000}"/>
    <cellStyle name="Normal 16 2 3 2 3 4" xfId="13005" xr:uid="{00000000-0005-0000-0000-0000BD320000}"/>
    <cellStyle name="Normal 16 2 3 2 3 5" xfId="13006" xr:uid="{00000000-0005-0000-0000-0000BE320000}"/>
    <cellStyle name="Normal 16 2 3 2 3 6" xfId="13007" xr:uid="{00000000-0005-0000-0000-0000BF320000}"/>
    <cellStyle name="Normal 16 2 3 2 3 7" xfId="13008" xr:uid="{00000000-0005-0000-0000-0000C0320000}"/>
    <cellStyle name="Normal 16 2 3 2 3 8" xfId="13009" xr:uid="{00000000-0005-0000-0000-0000C1320000}"/>
    <cellStyle name="Normal 16 2 3 2 4" xfId="13010" xr:uid="{00000000-0005-0000-0000-0000C2320000}"/>
    <cellStyle name="Normal 16 2 3 2 4 2" xfId="13011" xr:uid="{00000000-0005-0000-0000-0000C3320000}"/>
    <cellStyle name="Normal 16 2 3 2 4 2 2" xfId="13012" xr:uid="{00000000-0005-0000-0000-0000C4320000}"/>
    <cellStyle name="Normal 16 2 3 2 4 2 3" xfId="13013" xr:uid="{00000000-0005-0000-0000-0000C5320000}"/>
    <cellStyle name="Normal 16 2 3 2 4 2 4" xfId="13014" xr:uid="{00000000-0005-0000-0000-0000C6320000}"/>
    <cellStyle name="Normal 16 2 3 2 4 2 5" xfId="13015" xr:uid="{00000000-0005-0000-0000-0000C7320000}"/>
    <cellStyle name="Normal 16 2 3 2 4 2 6" xfId="13016" xr:uid="{00000000-0005-0000-0000-0000C8320000}"/>
    <cellStyle name="Normal 16 2 3 2 4 3" xfId="13017" xr:uid="{00000000-0005-0000-0000-0000C9320000}"/>
    <cellStyle name="Normal 16 2 3 2 4 3 2" xfId="13018" xr:uid="{00000000-0005-0000-0000-0000CA320000}"/>
    <cellStyle name="Normal 16 2 3 2 4 3 3" xfId="13019" xr:uid="{00000000-0005-0000-0000-0000CB320000}"/>
    <cellStyle name="Normal 16 2 3 2 4 3 4" xfId="13020" xr:uid="{00000000-0005-0000-0000-0000CC320000}"/>
    <cellStyle name="Normal 16 2 3 2 4 3 5" xfId="13021" xr:uid="{00000000-0005-0000-0000-0000CD320000}"/>
    <cellStyle name="Normal 16 2 3 2 4 3 6" xfId="13022" xr:uid="{00000000-0005-0000-0000-0000CE320000}"/>
    <cellStyle name="Normal 16 2 3 2 4 4" xfId="13023" xr:uid="{00000000-0005-0000-0000-0000CF320000}"/>
    <cellStyle name="Normal 16 2 3 2 4 5" xfId="13024" xr:uid="{00000000-0005-0000-0000-0000D0320000}"/>
    <cellStyle name="Normal 16 2 3 2 4 6" xfId="13025" xr:uid="{00000000-0005-0000-0000-0000D1320000}"/>
    <cellStyle name="Normal 16 2 3 2 4 7" xfId="13026" xr:uid="{00000000-0005-0000-0000-0000D2320000}"/>
    <cellStyle name="Normal 16 2 3 2 4 8" xfId="13027" xr:uid="{00000000-0005-0000-0000-0000D3320000}"/>
    <cellStyle name="Normal 16 2 3 2 5" xfId="13028" xr:uid="{00000000-0005-0000-0000-0000D4320000}"/>
    <cellStyle name="Normal 16 2 3 2 5 2" xfId="13029" xr:uid="{00000000-0005-0000-0000-0000D5320000}"/>
    <cellStyle name="Normal 16 2 3 2 5 3" xfId="13030" xr:uid="{00000000-0005-0000-0000-0000D6320000}"/>
    <cellStyle name="Normal 16 2 3 2 5 4" xfId="13031" xr:uid="{00000000-0005-0000-0000-0000D7320000}"/>
    <cellStyle name="Normal 16 2 3 2 5 5" xfId="13032" xr:uid="{00000000-0005-0000-0000-0000D8320000}"/>
    <cellStyle name="Normal 16 2 3 2 5 6" xfId="13033" xr:uid="{00000000-0005-0000-0000-0000D9320000}"/>
    <cellStyle name="Normal 16 2 3 2 6" xfId="13034" xr:uid="{00000000-0005-0000-0000-0000DA320000}"/>
    <cellStyle name="Normal 16 2 3 2 6 2" xfId="13035" xr:uid="{00000000-0005-0000-0000-0000DB320000}"/>
    <cellStyle name="Normal 16 2 3 2 6 3" xfId="13036" xr:uid="{00000000-0005-0000-0000-0000DC320000}"/>
    <cellStyle name="Normal 16 2 3 2 6 4" xfId="13037" xr:uid="{00000000-0005-0000-0000-0000DD320000}"/>
    <cellStyle name="Normal 16 2 3 2 6 5" xfId="13038" xr:uid="{00000000-0005-0000-0000-0000DE320000}"/>
    <cellStyle name="Normal 16 2 3 2 6 6" xfId="13039" xr:uid="{00000000-0005-0000-0000-0000DF320000}"/>
    <cellStyle name="Normal 16 2 3 2 7" xfId="13040" xr:uid="{00000000-0005-0000-0000-0000E0320000}"/>
    <cellStyle name="Normal 16 2 3 2 8" xfId="13041" xr:uid="{00000000-0005-0000-0000-0000E1320000}"/>
    <cellStyle name="Normal 16 2 3 2 9" xfId="13042" xr:uid="{00000000-0005-0000-0000-0000E2320000}"/>
    <cellStyle name="Normal 16 2 3 3" xfId="13043" xr:uid="{00000000-0005-0000-0000-0000E3320000}"/>
    <cellStyle name="Normal 16 2 3 3 2" xfId="13044" xr:uid="{00000000-0005-0000-0000-0000E4320000}"/>
    <cellStyle name="Normal 16 2 3 3 2 2" xfId="13045" xr:uid="{00000000-0005-0000-0000-0000E5320000}"/>
    <cellStyle name="Normal 16 2 3 3 2 3" xfId="13046" xr:uid="{00000000-0005-0000-0000-0000E6320000}"/>
    <cellStyle name="Normal 16 2 3 3 2 4" xfId="13047" xr:uid="{00000000-0005-0000-0000-0000E7320000}"/>
    <cellStyle name="Normal 16 2 3 3 2 5" xfId="13048" xr:uid="{00000000-0005-0000-0000-0000E8320000}"/>
    <cellStyle name="Normal 16 2 3 3 2 6" xfId="13049" xr:uid="{00000000-0005-0000-0000-0000E9320000}"/>
    <cellStyle name="Normal 16 2 3 3 3" xfId="13050" xr:uid="{00000000-0005-0000-0000-0000EA320000}"/>
    <cellStyle name="Normal 16 2 3 3 3 2" xfId="13051" xr:uid="{00000000-0005-0000-0000-0000EB320000}"/>
    <cellStyle name="Normal 16 2 3 3 3 3" xfId="13052" xr:uid="{00000000-0005-0000-0000-0000EC320000}"/>
    <cellStyle name="Normal 16 2 3 3 3 4" xfId="13053" xr:uid="{00000000-0005-0000-0000-0000ED320000}"/>
    <cellStyle name="Normal 16 2 3 3 3 5" xfId="13054" xr:uid="{00000000-0005-0000-0000-0000EE320000}"/>
    <cellStyle name="Normal 16 2 3 3 3 6" xfId="13055" xr:uid="{00000000-0005-0000-0000-0000EF320000}"/>
    <cellStyle name="Normal 16 2 3 3 4" xfId="13056" xr:uid="{00000000-0005-0000-0000-0000F0320000}"/>
    <cellStyle name="Normal 16 2 3 3 5" xfId="13057" xr:uid="{00000000-0005-0000-0000-0000F1320000}"/>
    <cellStyle name="Normal 16 2 3 3 6" xfId="13058" xr:uid="{00000000-0005-0000-0000-0000F2320000}"/>
    <cellStyle name="Normal 16 2 3 3 7" xfId="13059" xr:uid="{00000000-0005-0000-0000-0000F3320000}"/>
    <cellStyle name="Normal 16 2 3 3 8" xfId="13060" xr:uid="{00000000-0005-0000-0000-0000F4320000}"/>
    <cellStyle name="Normal 16 2 3 4" xfId="13061" xr:uid="{00000000-0005-0000-0000-0000F5320000}"/>
    <cellStyle name="Normal 16 2 3 4 2" xfId="13062" xr:uid="{00000000-0005-0000-0000-0000F6320000}"/>
    <cellStyle name="Normal 16 2 3 4 2 2" xfId="13063" xr:uid="{00000000-0005-0000-0000-0000F7320000}"/>
    <cellStyle name="Normal 16 2 3 4 2 3" xfId="13064" xr:uid="{00000000-0005-0000-0000-0000F8320000}"/>
    <cellStyle name="Normal 16 2 3 4 2 4" xfId="13065" xr:uid="{00000000-0005-0000-0000-0000F9320000}"/>
    <cellStyle name="Normal 16 2 3 4 2 5" xfId="13066" xr:uid="{00000000-0005-0000-0000-0000FA320000}"/>
    <cellStyle name="Normal 16 2 3 4 2 6" xfId="13067" xr:uid="{00000000-0005-0000-0000-0000FB320000}"/>
    <cellStyle name="Normal 16 2 3 4 3" xfId="13068" xr:uid="{00000000-0005-0000-0000-0000FC320000}"/>
    <cellStyle name="Normal 16 2 3 4 3 2" xfId="13069" xr:uid="{00000000-0005-0000-0000-0000FD320000}"/>
    <cellStyle name="Normal 16 2 3 4 3 3" xfId="13070" xr:uid="{00000000-0005-0000-0000-0000FE320000}"/>
    <cellStyle name="Normal 16 2 3 4 3 4" xfId="13071" xr:uid="{00000000-0005-0000-0000-0000FF320000}"/>
    <cellStyle name="Normal 16 2 3 4 3 5" xfId="13072" xr:uid="{00000000-0005-0000-0000-000000330000}"/>
    <cellStyle name="Normal 16 2 3 4 3 6" xfId="13073" xr:uid="{00000000-0005-0000-0000-000001330000}"/>
    <cellStyle name="Normal 16 2 3 4 4" xfId="13074" xr:uid="{00000000-0005-0000-0000-000002330000}"/>
    <cellStyle name="Normal 16 2 3 4 5" xfId="13075" xr:uid="{00000000-0005-0000-0000-000003330000}"/>
    <cellStyle name="Normal 16 2 3 4 6" xfId="13076" xr:uid="{00000000-0005-0000-0000-000004330000}"/>
    <cellStyle name="Normal 16 2 3 4 7" xfId="13077" xr:uid="{00000000-0005-0000-0000-000005330000}"/>
    <cellStyle name="Normal 16 2 3 4 8" xfId="13078" xr:uid="{00000000-0005-0000-0000-000006330000}"/>
    <cellStyle name="Normal 16 2 3 5" xfId="13079" xr:uid="{00000000-0005-0000-0000-000007330000}"/>
    <cellStyle name="Normal 16 2 3 5 2" xfId="13080" xr:uid="{00000000-0005-0000-0000-000008330000}"/>
    <cellStyle name="Normal 16 2 3 5 2 2" xfId="13081" xr:uid="{00000000-0005-0000-0000-000009330000}"/>
    <cellStyle name="Normal 16 2 3 5 2 3" xfId="13082" xr:uid="{00000000-0005-0000-0000-00000A330000}"/>
    <cellStyle name="Normal 16 2 3 5 2 4" xfId="13083" xr:uid="{00000000-0005-0000-0000-00000B330000}"/>
    <cellStyle name="Normal 16 2 3 5 2 5" xfId="13084" xr:uid="{00000000-0005-0000-0000-00000C330000}"/>
    <cellStyle name="Normal 16 2 3 5 2 6" xfId="13085" xr:uid="{00000000-0005-0000-0000-00000D330000}"/>
    <cellStyle name="Normal 16 2 3 5 3" xfId="13086" xr:uid="{00000000-0005-0000-0000-00000E330000}"/>
    <cellStyle name="Normal 16 2 3 5 3 2" xfId="13087" xr:uid="{00000000-0005-0000-0000-00000F330000}"/>
    <cellStyle name="Normal 16 2 3 5 3 3" xfId="13088" xr:uid="{00000000-0005-0000-0000-000010330000}"/>
    <cellStyle name="Normal 16 2 3 5 3 4" xfId="13089" xr:uid="{00000000-0005-0000-0000-000011330000}"/>
    <cellStyle name="Normal 16 2 3 5 3 5" xfId="13090" xr:uid="{00000000-0005-0000-0000-000012330000}"/>
    <cellStyle name="Normal 16 2 3 5 3 6" xfId="13091" xr:uid="{00000000-0005-0000-0000-000013330000}"/>
    <cellStyle name="Normal 16 2 3 5 4" xfId="13092" xr:uid="{00000000-0005-0000-0000-000014330000}"/>
    <cellStyle name="Normal 16 2 3 5 5" xfId="13093" xr:uid="{00000000-0005-0000-0000-000015330000}"/>
    <cellStyle name="Normal 16 2 3 5 6" xfId="13094" xr:uid="{00000000-0005-0000-0000-000016330000}"/>
    <cellStyle name="Normal 16 2 3 5 7" xfId="13095" xr:uid="{00000000-0005-0000-0000-000017330000}"/>
    <cellStyle name="Normal 16 2 3 5 8" xfId="13096" xr:uid="{00000000-0005-0000-0000-000018330000}"/>
    <cellStyle name="Normal 16 2 3 6" xfId="13097" xr:uid="{00000000-0005-0000-0000-000019330000}"/>
    <cellStyle name="Normal 16 2 3 6 2" xfId="13098" xr:uid="{00000000-0005-0000-0000-00001A330000}"/>
    <cellStyle name="Normal 16 2 3 6 3" xfId="13099" xr:uid="{00000000-0005-0000-0000-00001B330000}"/>
    <cellStyle name="Normal 16 2 3 6 4" xfId="13100" xr:uid="{00000000-0005-0000-0000-00001C330000}"/>
    <cellStyle name="Normal 16 2 3 6 5" xfId="13101" xr:uid="{00000000-0005-0000-0000-00001D330000}"/>
    <cellStyle name="Normal 16 2 3 6 6" xfId="13102" xr:uid="{00000000-0005-0000-0000-00001E330000}"/>
    <cellStyle name="Normal 16 2 3 7" xfId="13103" xr:uid="{00000000-0005-0000-0000-00001F330000}"/>
    <cellStyle name="Normal 16 2 3 7 2" xfId="13104" xr:uid="{00000000-0005-0000-0000-000020330000}"/>
    <cellStyle name="Normal 16 2 3 7 3" xfId="13105" xr:uid="{00000000-0005-0000-0000-000021330000}"/>
    <cellStyle name="Normal 16 2 3 7 4" xfId="13106" xr:uid="{00000000-0005-0000-0000-000022330000}"/>
    <cellStyle name="Normal 16 2 3 7 5" xfId="13107" xr:uid="{00000000-0005-0000-0000-000023330000}"/>
    <cellStyle name="Normal 16 2 3 7 6" xfId="13108" xr:uid="{00000000-0005-0000-0000-000024330000}"/>
    <cellStyle name="Normal 16 2 3 8" xfId="13109" xr:uid="{00000000-0005-0000-0000-000025330000}"/>
    <cellStyle name="Normal 16 2 3 9" xfId="13110" xr:uid="{00000000-0005-0000-0000-000026330000}"/>
    <cellStyle name="Normal 16 2 4" xfId="13111" xr:uid="{00000000-0005-0000-0000-000027330000}"/>
    <cellStyle name="Normal 16 2 4 10" xfId="13112" xr:uid="{00000000-0005-0000-0000-000028330000}"/>
    <cellStyle name="Normal 16 2 4 11" xfId="13113" xr:uid="{00000000-0005-0000-0000-000029330000}"/>
    <cellStyle name="Normal 16 2 4 12" xfId="13114" xr:uid="{00000000-0005-0000-0000-00002A330000}"/>
    <cellStyle name="Normal 16 2 4 2" xfId="13115" xr:uid="{00000000-0005-0000-0000-00002B330000}"/>
    <cellStyle name="Normal 16 2 4 2 10" xfId="13116" xr:uid="{00000000-0005-0000-0000-00002C330000}"/>
    <cellStyle name="Normal 16 2 4 2 11" xfId="13117" xr:uid="{00000000-0005-0000-0000-00002D330000}"/>
    <cellStyle name="Normal 16 2 4 2 2" xfId="13118" xr:uid="{00000000-0005-0000-0000-00002E330000}"/>
    <cellStyle name="Normal 16 2 4 2 2 2" xfId="13119" xr:uid="{00000000-0005-0000-0000-00002F330000}"/>
    <cellStyle name="Normal 16 2 4 2 2 2 2" xfId="13120" xr:uid="{00000000-0005-0000-0000-000030330000}"/>
    <cellStyle name="Normal 16 2 4 2 2 2 3" xfId="13121" xr:uid="{00000000-0005-0000-0000-000031330000}"/>
    <cellStyle name="Normal 16 2 4 2 2 2 4" xfId="13122" xr:uid="{00000000-0005-0000-0000-000032330000}"/>
    <cellStyle name="Normal 16 2 4 2 2 2 5" xfId="13123" xr:uid="{00000000-0005-0000-0000-000033330000}"/>
    <cellStyle name="Normal 16 2 4 2 2 2 6" xfId="13124" xr:uid="{00000000-0005-0000-0000-000034330000}"/>
    <cellStyle name="Normal 16 2 4 2 2 3" xfId="13125" xr:uid="{00000000-0005-0000-0000-000035330000}"/>
    <cellStyle name="Normal 16 2 4 2 2 3 2" xfId="13126" xr:uid="{00000000-0005-0000-0000-000036330000}"/>
    <cellStyle name="Normal 16 2 4 2 2 3 3" xfId="13127" xr:uid="{00000000-0005-0000-0000-000037330000}"/>
    <cellStyle name="Normal 16 2 4 2 2 3 4" xfId="13128" xr:uid="{00000000-0005-0000-0000-000038330000}"/>
    <cellStyle name="Normal 16 2 4 2 2 3 5" xfId="13129" xr:uid="{00000000-0005-0000-0000-000039330000}"/>
    <cellStyle name="Normal 16 2 4 2 2 3 6" xfId="13130" xr:uid="{00000000-0005-0000-0000-00003A330000}"/>
    <cellStyle name="Normal 16 2 4 2 2 4" xfId="13131" xr:uid="{00000000-0005-0000-0000-00003B330000}"/>
    <cellStyle name="Normal 16 2 4 2 2 5" xfId="13132" xr:uid="{00000000-0005-0000-0000-00003C330000}"/>
    <cellStyle name="Normal 16 2 4 2 2 6" xfId="13133" xr:uid="{00000000-0005-0000-0000-00003D330000}"/>
    <cellStyle name="Normal 16 2 4 2 2 7" xfId="13134" xr:uid="{00000000-0005-0000-0000-00003E330000}"/>
    <cellStyle name="Normal 16 2 4 2 2 8" xfId="13135" xr:uid="{00000000-0005-0000-0000-00003F330000}"/>
    <cellStyle name="Normal 16 2 4 2 3" xfId="13136" xr:uid="{00000000-0005-0000-0000-000040330000}"/>
    <cellStyle name="Normal 16 2 4 2 3 2" xfId="13137" xr:uid="{00000000-0005-0000-0000-000041330000}"/>
    <cellStyle name="Normal 16 2 4 2 3 2 2" xfId="13138" xr:uid="{00000000-0005-0000-0000-000042330000}"/>
    <cellStyle name="Normal 16 2 4 2 3 2 3" xfId="13139" xr:uid="{00000000-0005-0000-0000-000043330000}"/>
    <cellStyle name="Normal 16 2 4 2 3 2 4" xfId="13140" xr:uid="{00000000-0005-0000-0000-000044330000}"/>
    <cellStyle name="Normal 16 2 4 2 3 2 5" xfId="13141" xr:uid="{00000000-0005-0000-0000-000045330000}"/>
    <cellStyle name="Normal 16 2 4 2 3 2 6" xfId="13142" xr:uid="{00000000-0005-0000-0000-000046330000}"/>
    <cellStyle name="Normal 16 2 4 2 3 3" xfId="13143" xr:uid="{00000000-0005-0000-0000-000047330000}"/>
    <cellStyle name="Normal 16 2 4 2 3 3 2" xfId="13144" xr:uid="{00000000-0005-0000-0000-000048330000}"/>
    <cellStyle name="Normal 16 2 4 2 3 3 3" xfId="13145" xr:uid="{00000000-0005-0000-0000-000049330000}"/>
    <cellStyle name="Normal 16 2 4 2 3 3 4" xfId="13146" xr:uid="{00000000-0005-0000-0000-00004A330000}"/>
    <cellStyle name="Normal 16 2 4 2 3 3 5" xfId="13147" xr:uid="{00000000-0005-0000-0000-00004B330000}"/>
    <cellStyle name="Normal 16 2 4 2 3 3 6" xfId="13148" xr:uid="{00000000-0005-0000-0000-00004C330000}"/>
    <cellStyle name="Normal 16 2 4 2 3 4" xfId="13149" xr:uid="{00000000-0005-0000-0000-00004D330000}"/>
    <cellStyle name="Normal 16 2 4 2 3 5" xfId="13150" xr:uid="{00000000-0005-0000-0000-00004E330000}"/>
    <cellStyle name="Normal 16 2 4 2 3 6" xfId="13151" xr:uid="{00000000-0005-0000-0000-00004F330000}"/>
    <cellStyle name="Normal 16 2 4 2 3 7" xfId="13152" xr:uid="{00000000-0005-0000-0000-000050330000}"/>
    <cellStyle name="Normal 16 2 4 2 3 8" xfId="13153" xr:uid="{00000000-0005-0000-0000-000051330000}"/>
    <cellStyle name="Normal 16 2 4 2 4" xfId="13154" xr:uid="{00000000-0005-0000-0000-000052330000}"/>
    <cellStyle name="Normal 16 2 4 2 4 2" xfId="13155" xr:uid="{00000000-0005-0000-0000-000053330000}"/>
    <cellStyle name="Normal 16 2 4 2 4 2 2" xfId="13156" xr:uid="{00000000-0005-0000-0000-000054330000}"/>
    <cellStyle name="Normal 16 2 4 2 4 2 3" xfId="13157" xr:uid="{00000000-0005-0000-0000-000055330000}"/>
    <cellStyle name="Normal 16 2 4 2 4 2 4" xfId="13158" xr:uid="{00000000-0005-0000-0000-000056330000}"/>
    <cellStyle name="Normal 16 2 4 2 4 2 5" xfId="13159" xr:uid="{00000000-0005-0000-0000-000057330000}"/>
    <cellStyle name="Normal 16 2 4 2 4 2 6" xfId="13160" xr:uid="{00000000-0005-0000-0000-000058330000}"/>
    <cellStyle name="Normal 16 2 4 2 4 3" xfId="13161" xr:uid="{00000000-0005-0000-0000-000059330000}"/>
    <cellStyle name="Normal 16 2 4 2 4 3 2" xfId="13162" xr:uid="{00000000-0005-0000-0000-00005A330000}"/>
    <cellStyle name="Normal 16 2 4 2 4 3 3" xfId="13163" xr:uid="{00000000-0005-0000-0000-00005B330000}"/>
    <cellStyle name="Normal 16 2 4 2 4 3 4" xfId="13164" xr:uid="{00000000-0005-0000-0000-00005C330000}"/>
    <cellStyle name="Normal 16 2 4 2 4 3 5" xfId="13165" xr:uid="{00000000-0005-0000-0000-00005D330000}"/>
    <cellStyle name="Normal 16 2 4 2 4 3 6" xfId="13166" xr:uid="{00000000-0005-0000-0000-00005E330000}"/>
    <cellStyle name="Normal 16 2 4 2 4 4" xfId="13167" xr:uid="{00000000-0005-0000-0000-00005F330000}"/>
    <cellStyle name="Normal 16 2 4 2 4 5" xfId="13168" xr:uid="{00000000-0005-0000-0000-000060330000}"/>
    <cellStyle name="Normal 16 2 4 2 4 6" xfId="13169" xr:uid="{00000000-0005-0000-0000-000061330000}"/>
    <cellStyle name="Normal 16 2 4 2 4 7" xfId="13170" xr:uid="{00000000-0005-0000-0000-000062330000}"/>
    <cellStyle name="Normal 16 2 4 2 4 8" xfId="13171" xr:uid="{00000000-0005-0000-0000-000063330000}"/>
    <cellStyle name="Normal 16 2 4 2 5" xfId="13172" xr:uid="{00000000-0005-0000-0000-000064330000}"/>
    <cellStyle name="Normal 16 2 4 2 5 2" xfId="13173" xr:uid="{00000000-0005-0000-0000-000065330000}"/>
    <cellStyle name="Normal 16 2 4 2 5 3" xfId="13174" xr:uid="{00000000-0005-0000-0000-000066330000}"/>
    <cellStyle name="Normal 16 2 4 2 5 4" xfId="13175" xr:uid="{00000000-0005-0000-0000-000067330000}"/>
    <cellStyle name="Normal 16 2 4 2 5 5" xfId="13176" xr:uid="{00000000-0005-0000-0000-000068330000}"/>
    <cellStyle name="Normal 16 2 4 2 5 6" xfId="13177" xr:uid="{00000000-0005-0000-0000-000069330000}"/>
    <cellStyle name="Normal 16 2 4 2 6" xfId="13178" xr:uid="{00000000-0005-0000-0000-00006A330000}"/>
    <cellStyle name="Normal 16 2 4 2 6 2" xfId="13179" xr:uid="{00000000-0005-0000-0000-00006B330000}"/>
    <cellStyle name="Normal 16 2 4 2 6 3" xfId="13180" xr:uid="{00000000-0005-0000-0000-00006C330000}"/>
    <cellStyle name="Normal 16 2 4 2 6 4" xfId="13181" xr:uid="{00000000-0005-0000-0000-00006D330000}"/>
    <cellStyle name="Normal 16 2 4 2 6 5" xfId="13182" xr:uid="{00000000-0005-0000-0000-00006E330000}"/>
    <cellStyle name="Normal 16 2 4 2 6 6" xfId="13183" xr:uid="{00000000-0005-0000-0000-00006F330000}"/>
    <cellStyle name="Normal 16 2 4 2 7" xfId="13184" xr:uid="{00000000-0005-0000-0000-000070330000}"/>
    <cellStyle name="Normal 16 2 4 2 8" xfId="13185" xr:uid="{00000000-0005-0000-0000-000071330000}"/>
    <cellStyle name="Normal 16 2 4 2 9" xfId="13186" xr:uid="{00000000-0005-0000-0000-000072330000}"/>
    <cellStyle name="Normal 16 2 4 3" xfId="13187" xr:uid="{00000000-0005-0000-0000-000073330000}"/>
    <cellStyle name="Normal 16 2 4 3 2" xfId="13188" xr:uid="{00000000-0005-0000-0000-000074330000}"/>
    <cellStyle name="Normal 16 2 4 3 2 2" xfId="13189" xr:uid="{00000000-0005-0000-0000-000075330000}"/>
    <cellStyle name="Normal 16 2 4 3 2 3" xfId="13190" xr:uid="{00000000-0005-0000-0000-000076330000}"/>
    <cellStyle name="Normal 16 2 4 3 2 4" xfId="13191" xr:uid="{00000000-0005-0000-0000-000077330000}"/>
    <cellStyle name="Normal 16 2 4 3 2 5" xfId="13192" xr:uid="{00000000-0005-0000-0000-000078330000}"/>
    <cellStyle name="Normal 16 2 4 3 2 6" xfId="13193" xr:uid="{00000000-0005-0000-0000-000079330000}"/>
    <cellStyle name="Normal 16 2 4 3 3" xfId="13194" xr:uid="{00000000-0005-0000-0000-00007A330000}"/>
    <cellStyle name="Normal 16 2 4 3 3 2" xfId="13195" xr:uid="{00000000-0005-0000-0000-00007B330000}"/>
    <cellStyle name="Normal 16 2 4 3 3 3" xfId="13196" xr:uid="{00000000-0005-0000-0000-00007C330000}"/>
    <cellStyle name="Normal 16 2 4 3 3 4" xfId="13197" xr:uid="{00000000-0005-0000-0000-00007D330000}"/>
    <cellStyle name="Normal 16 2 4 3 3 5" xfId="13198" xr:uid="{00000000-0005-0000-0000-00007E330000}"/>
    <cellStyle name="Normal 16 2 4 3 3 6" xfId="13199" xr:uid="{00000000-0005-0000-0000-00007F330000}"/>
    <cellStyle name="Normal 16 2 4 3 4" xfId="13200" xr:uid="{00000000-0005-0000-0000-000080330000}"/>
    <cellStyle name="Normal 16 2 4 3 5" xfId="13201" xr:uid="{00000000-0005-0000-0000-000081330000}"/>
    <cellStyle name="Normal 16 2 4 3 6" xfId="13202" xr:uid="{00000000-0005-0000-0000-000082330000}"/>
    <cellStyle name="Normal 16 2 4 3 7" xfId="13203" xr:uid="{00000000-0005-0000-0000-000083330000}"/>
    <cellStyle name="Normal 16 2 4 3 8" xfId="13204" xr:uid="{00000000-0005-0000-0000-000084330000}"/>
    <cellStyle name="Normal 16 2 4 4" xfId="13205" xr:uid="{00000000-0005-0000-0000-000085330000}"/>
    <cellStyle name="Normal 16 2 4 4 2" xfId="13206" xr:uid="{00000000-0005-0000-0000-000086330000}"/>
    <cellStyle name="Normal 16 2 4 4 2 2" xfId="13207" xr:uid="{00000000-0005-0000-0000-000087330000}"/>
    <cellStyle name="Normal 16 2 4 4 2 3" xfId="13208" xr:uid="{00000000-0005-0000-0000-000088330000}"/>
    <cellStyle name="Normal 16 2 4 4 2 4" xfId="13209" xr:uid="{00000000-0005-0000-0000-000089330000}"/>
    <cellStyle name="Normal 16 2 4 4 2 5" xfId="13210" xr:uid="{00000000-0005-0000-0000-00008A330000}"/>
    <cellStyle name="Normal 16 2 4 4 2 6" xfId="13211" xr:uid="{00000000-0005-0000-0000-00008B330000}"/>
    <cellStyle name="Normal 16 2 4 4 3" xfId="13212" xr:uid="{00000000-0005-0000-0000-00008C330000}"/>
    <cellStyle name="Normal 16 2 4 4 3 2" xfId="13213" xr:uid="{00000000-0005-0000-0000-00008D330000}"/>
    <cellStyle name="Normal 16 2 4 4 3 3" xfId="13214" xr:uid="{00000000-0005-0000-0000-00008E330000}"/>
    <cellStyle name="Normal 16 2 4 4 3 4" xfId="13215" xr:uid="{00000000-0005-0000-0000-00008F330000}"/>
    <cellStyle name="Normal 16 2 4 4 3 5" xfId="13216" xr:uid="{00000000-0005-0000-0000-000090330000}"/>
    <cellStyle name="Normal 16 2 4 4 3 6" xfId="13217" xr:uid="{00000000-0005-0000-0000-000091330000}"/>
    <cellStyle name="Normal 16 2 4 4 4" xfId="13218" xr:uid="{00000000-0005-0000-0000-000092330000}"/>
    <cellStyle name="Normal 16 2 4 4 5" xfId="13219" xr:uid="{00000000-0005-0000-0000-000093330000}"/>
    <cellStyle name="Normal 16 2 4 4 6" xfId="13220" xr:uid="{00000000-0005-0000-0000-000094330000}"/>
    <cellStyle name="Normal 16 2 4 4 7" xfId="13221" xr:uid="{00000000-0005-0000-0000-000095330000}"/>
    <cellStyle name="Normal 16 2 4 4 8" xfId="13222" xr:uid="{00000000-0005-0000-0000-000096330000}"/>
    <cellStyle name="Normal 16 2 4 5" xfId="13223" xr:uid="{00000000-0005-0000-0000-000097330000}"/>
    <cellStyle name="Normal 16 2 4 5 2" xfId="13224" xr:uid="{00000000-0005-0000-0000-000098330000}"/>
    <cellStyle name="Normal 16 2 4 5 2 2" xfId="13225" xr:uid="{00000000-0005-0000-0000-000099330000}"/>
    <cellStyle name="Normal 16 2 4 5 2 3" xfId="13226" xr:uid="{00000000-0005-0000-0000-00009A330000}"/>
    <cellStyle name="Normal 16 2 4 5 2 4" xfId="13227" xr:uid="{00000000-0005-0000-0000-00009B330000}"/>
    <cellStyle name="Normal 16 2 4 5 2 5" xfId="13228" xr:uid="{00000000-0005-0000-0000-00009C330000}"/>
    <cellStyle name="Normal 16 2 4 5 2 6" xfId="13229" xr:uid="{00000000-0005-0000-0000-00009D330000}"/>
    <cellStyle name="Normal 16 2 4 5 3" xfId="13230" xr:uid="{00000000-0005-0000-0000-00009E330000}"/>
    <cellStyle name="Normal 16 2 4 5 3 2" xfId="13231" xr:uid="{00000000-0005-0000-0000-00009F330000}"/>
    <cellStyle name="Normal 16 2 4 5 3 3" xfId="13232" xr:uid="{00000000-0005-0000-0000-0000A0330000}"/>
    <cellStyle name="Normal 16 2 4 5 3 4" xfId="13233" xr:uid="{00000000-0005-0000-0000-0000A1330000}"/>
    <cellStyle name="Normal 16 2 4 5 3 5" xfId="13234" xr:uid="{00000000-0005-0000-0000-0000A2330000}"/>
    <cellStyle name="Normal 16 2 4 5 3 6" xfId="13235" xr:uid="{00000000-0005-0000-0000-0000A3330000}"/>
    <cellStyle name="Normal 16 2 4 5 4" xfId="13236" xr:uid="{00000000-0005-0000-0000-0000A4330000}"/>
    <cellStyle name="Normal 16 2 4 5 5" xfId="13237" xr:uid="{00000000-0005-0000-0000-0000A5330000}"/>
    <cellStyle name="Normal 16 2 4 5 6" xfId="13238" xr:uid="{00000000-0005-0000-0000-0000A6330000}"/>
    <cellStyle name="Normal 16 2 4 5 7" xfId="13239" xr:uid="{00000000-0005-0000-0000-0000A7330000}"/>
    <cellStyle name="Normal 16 2 4 5 8" xfId="13240" xr:uid="{00000000-0005-0000-0000-0000A8330000}"/>
    <cellStyle name="Normal 16 2 4 6" xfId="13241" xr:uid="{00000000-0005-0000-0000-0000A9330000}"/>
    <cellStyle name="Normal 16 2 4 6 2" xfId="13242" xr:uid="{00000000-0005-0000-0000-0000AA330000}"/>
    <cellStyle name="Normal 16 2 4 6 3" xfId="13243" xr:uid="{00000000-0005-0000-0000-0000AB330000}"/>
    <cellStyle name="Normal 16 2 4 6 4" xfId="13244" xr:uid="{00000000-0005-0000-0000-0000AC330000}"/>
    <cellStyle name="Normal 16 2 4 6 5" xfId="13245" xr:uid="{00000000-0005-0000-0000-0000AD330000}"/>
    <cellStyle name="Normal 16 2 4 6 6" xfId="13246" xr:uid="{00000000-0005-0000-0000-0000AE330000}"/>
    <cellStyle name="Normal 16 2 4 7" xfId="13247" xr:uid="{00000000-0005-0000-0000-0000AF330000}"/>
    <cellStyle name="Normal 16 2 4 7 2" xfId="13248" xr:uid="{00000000-0005-0000-0000-0000B0330000}"/>
    <cellStyle name="Normal 16 2 4 7 3" xfId="13249" xr:uid="{00000000-0005-0000-0000-0000B1330000}"/>
    <cellStyle name="Normal 16 2 4 7 4" xfId="13250" xr:uid="{00000000-0005-0000-0000-0000B2330000}"/>
    <cellStyle name="Normal 16 2 4 7 5" xfId="13251" xr:uid="{00000000-0005-0000-0000-0000B3330000}"/>
    <cellStyle name="Normal 16 2 4 7 6" xfId="13252" xr:uid="{00000000-0005-0000-0000-0000B4330000}"/>
    <cellStyle name="Normal 16 2 4 8" xfId="13253" xr:uid="{00000000-0005-0000-0000-0000B5330000}"/>
    <cellStyle name="Normal 16 2 4 9" xfId="13254" xr:uid="{00000000-0005-0000-0000-0000B6330000}"/>
    <cellStyle name="Normal 16 2 5" xfId="13255" xr:uid="{00000000-0005-0000-0000-0000B7330000}"/>
    <cellStyle name="Normal 16 2 5 10" xfId="13256" xr:uid="{00000000-0005-0000-0000-0000B8330000}"/>
    <cellStyle name="Normal 16 2 5 11" xfId="13257" xr:uid="{00000000-0005-0000-0000-0000B9330000}"/>
    <cellStyle name="Normal 16 2 5 2" xfId="13258" xr:uid="{00000000-0005-0000-0000-0000BA330000}"/>
    <cellStyle name="Normal 16 2 5 2 2" xfId="13259" xr:uid="{00000000-0005-0000-0000-0000BB330000}"/>
    <cellStyle name="Normal 16 2 5 2 2 2" xfId="13260" xr:uid="{00000000-0005-0000-0000-0000BC330000}"/>
    <cellStyle name="Normal 16 2 5 2 2 3" xfId="13261" xr:uid="{00000000-0005-0000-0000-0000BD330000}"/>
    <cellStyle name="Normal 16 2 5 2 2 4" xfId="13262" xr:uid="{00000000-0005-0000-0000-0000BE330000}"/>
    <cellStyle name="Normal 16 2 5 2 2 5" xfId="13263" xr:uid="{00000000-0005-0000-0000-0000BF330000}"/>
    <cellStyle name="Normal 16 2 5 2 2 6" xfId="13264" xr:uid="{00000000-0005-0000-0000-0000C0330000}"/>
    <cellStyle name="Normal 16 2 5 2 3" xfId="13265" xr:uid="{00000000-0005-0000-0000-0000C1330000}"/>
    <cellStyle name="Normal 16 2 5 2 3 2" xfId="13266" xr:uid="{00000000-0005-0000-0000-0000C2330000}"/>
    <cellStyle name="Normal 16 2 5 2 3 3" xfId="13267" xr:uid="{00000000-0005-0000-0000-0000C3330000}"/>
    <cellStyle name="Normal 16 2 5 2 3 4" xfId="13268" xr:uid="{00000000-0005-0000-0000-0000C4330000}"/>
    <cellStyle name="Normal 16 2 5 2 3 5" xfId="13269" xr:uid="{00000000-0005-0000-0000-0000C5330000}"/>
    <cellStyle name="Normal 16 2 5 2 3 6" xfId="13270" xr:uid="{00000000-0005-0000-0000-0000C6330000}"/>
    <cellStyle name="Normal 16 2 5 2 4" xfId="13271" xr:uid="{00000000-0005-0000-0000-0000C7330000}"/>
    <cellStyle name="Normal 16 2 5 2 5" xfId="13272" xr:uid="{00000000-0005-0000-0000-0000C8330000}"/>
    <cellStyle name="Normal 16 2 5 2 6" xfId="13273" xr:uid="{00000000-0005-0000-0000-0000C9330000}"/>
    <cellStyle name="Normal 16 2 5 2 7" xfId="13274" xr:uid="{00000000-0005-0000-0000-0000CA330000}"/>
    <cellStyle name="Normal 16 2 5 2 8" xfId="13275" xr:uid="{00000000-0005-0000-0000-0000CB330000}"/>
    <cellStyle name="Normal 16 2 5 3" xfId="13276" xr:uid="{00000000-0005-0000-0000-0000CC330000}"/>
    <cellStyle name="Normal 16 2 5 3 2" xfId="13277" xr:uid="{00000000-0005-0000-0000-0000CD330000}"/>
    <cellStyle name="Normal 16 2 5 3 2 2" xfId="13278" xr:uid="{00000000-0005-0000-0000-0000CE330000}"/>
    <cellStyle name="Normal 16 2 5 3 2 3" xfId="13279" xr:uid="{00000000-0005-0000-0000-0000CF330000}"/>
    <cellStyle name="Normal 16 2 5 3 2 4" xfId="13280" xr:uid="{00000000-0005-0000-0000-0000D0330000}"/>
    <cellStyle name="Normal 16 2 5 3 2 5" xfId="13281" xr:uid="{00000000-0005-0000-0000-0000D1330000}"/>
    <cellStyle name="Normal 16 2 5 3 2 6" xfId="13282" xr:uid="{00000000-0005-0000-0000-0000D2330000}"/>
    <cellStyle name="Normal 16 2 5 3 3" xfId="13283" xr:uid="{00000000-0005-0000-0000-0000D3330000}"/>
    <cellStyle name="Normal 16 2 5 3 3 2" xfId="13284" xr:uid="{00000000-0005-0000-0000-0000D4330000}"/>
    <cellStyle name="Normal 16 2 5 3 3 3" xfId="13285" xr:uid="{00000000-0005-0000-0000-0000D5330000}"/>
    <cellStyle name="Normal 16 2 5 3 3 4" xfId="13286" xr:uid="{00000000-0005-0000-0000-0000D6330000}"/>
    <cellStyle name="Normal 16 2 5 3 3 5" xfId="13287" xr:uid="{00000000-0005-0000-0000-0000D7330000}"/>
    <cellStyle name="Normal 16 2 5 3 3 6" xfId="13288" xr:uid="{00000000-0005-0000-0000-0000D8330000}"/>
    <cellStyle name="Normal 16 2 5 3 4" xfId="13289" xr:uid="{00000000-0005-0000-0000-0000D9330000}"/>
    <cellStyle name="Normal 16 2 5 3 5" xfId="13290" xr:uid="{00000000-0005-0000-0000-0000DA330000}"/>
    <cellStyle name="Normal 16 2 5 3 6" xfId="13291" xr:uid="{00000000-0005-0000-0000-0000DB330000}"/>
    <cellStyle name="Normal 16 2 5 3 7" xfId="13292" xr:uid="{00000000-0005-0000-0000-0000DC330000}"/>
    <cellStyle name="Normal 16 2 5 3 8" xfId="13293" xr:uid="{00000000-0005-0000-0000-0000DD330000}"/>
    <cellStyle name="Normal 16 2 5 4" xfId="13294" xr:uid="{00000000-0005-0000-0000-0000DE330000}"/>
    <cellStyle name="Normal 16 2 5 4 2" xfId="13295" xr:uid="{00000000-0005-0000-0000-0000DF330000}"/>
    <cellStyle name="Normal 16 2 5 4 2 2" xfId="13296" xr:uid="{00000000-0005-0000-0000-0000E0330000}"/>
    <cellStyle name="Normal 16 2 5 4 2 3" xfId="13297" xr:uid="{00000000-0005-0000-0000-0000E1330000}"/>
    <cellStyle name="Normal 16 2 5 4 2 4" xfId="13298" xr:uid="{00000000-0005-0000-0000-0000E2330000}"/>
    <cellStyle name="Normal 16 2 5 4 2 5" xfId="13299" xr:uid="{00000000-0005-0000-0000-0000E3330000}"/>
    <cellStyle name="Normal 16 2 5 4 2 6" xfId="13300" xr:uid="{00000000-0005-0000-0000-0000E4330000}"/>
    <cellStyle name="Normal 16 2 5 4 3" xfId="13301" xr:uid="{00000000-0005-0000-0000-0000E5330000}"/>
    <cellStyle name="Normal 16 2 5 4 3 2" xfId="13302" xr:uid="{00000000-0005-0000-0000-0000E6330000}"/>
    <cellStyle name="Normal 16 2 5 4 3 3" xfId="13303" xr:uid="{00000000-0005-0000-0000-0000E7330000}"/>
    <cellStyle name="Normal 16 2 5 4 3 4" xfId="13304" xr:uid="{00000000-0005-0000-0000-0000E8330000}"/>
    <cellStyle name="Normal 16 2 5 4 3 5" xfId="13305" xr:uid="{00000000-0005-0000-0000-0000E9330000}"/>
    <cellStyle name="Normal 16 2 5 4 3 6" xfId="13306" xr:uid="{00000000-0005-0000-0000-0000EA330000}"/>
    <cellStyle name="Normal 16 2 5 4 4" xfId="13307" xr:uid="{00000000-0005-0000-0000-0000EB330000}"/>
    <cellStyle name="Normal 16 2 5 4 5" xfId="13308" xr:uid="{00000000-0005-0000-0000-0000EC330000}"/>
    <cellStyle name="Normal 16 2 5 4 6" xfId="13309" xr:uid="{00000000-0005-0000-0000-0000ED330000}"/>
    <cellStyle name="Normal 16 2 5 4 7" xfId="13310" xr:uid="{00000000-0005-0000-0000-0000EE330000}"/>
    <cellStyle name="Normal 16 2 5 4 8" xfId="13311" xr:uid="{00000000-0005-0000-0000-0000EF330000}"/>
    <cellStyle name="Normal 16 2 5 5" xfId="13312" xr:uid="{00000000-0005-0000-0000-0000F0330000}"/>
    <cellStyle name="Normal 16 2 5 5 2" xfId="13313" xr:uid="{00000000-0005-0000-0000-0000F1330000}"/>
    <cellStyle name="Normal 16 2 5 5 3" xfId="13314" xr:uid="{00000000-0005-0000-0000-0000F2330000}"/>
    <cellStyle name="Normal 16 2 5 5 4" xfId="13315" xr:uid="{00000000-0005-0000-0000-0000F3330000}"/>
    <cellStyle name="Normal 16 2 5 5 5" xfId="13316" xr:uid="{00000000-0005-0000-0000-0000F4330000}"/>
    <cellStyle name="Normal 16 2 5 5 6" xfId="13317" xr:uid="{00000000-0005-0000-0000-0000F5330000}"/>
    <cellStyle name="Normal 16 2 5 6" xfId="13318" xr:uid="{00000000-0005-0000-0000-0000F6330000}"/>
    <cellStyle name="Normal 16 2 5 6 2" xfId="13319" xr:uid="{00000000-0005-0000-0000-0000F7330000}"/>
    <cellStyle name="Normal 16 2 5 6 3" xfId="13320" xr:uid="{00000000-0005-0000-0000-0000F8330000}"/>
    <cellStyle name="Normal 16 2 5 6 4" xfId="13321" xr:uid="{00000000-0005-0000-0000-0000F9330000}"/>
    <cellStyle name="Normal 16 2 5 6 5" xfId="13322" xr:uid="{00000000-0005-0000-0000-0000FA330000}"/>
    <cellStyle name="Normal 16 2 5 6 6" xfId="13323" xr:uid="{00000000-0005-0000-0000-0000FB330000}"/>
    <cellStyle name="Normal 16 2 5 7" xfId="13324" xr:uid="{00000000-0005-0000-0000-0000FC330000}"/>
    <cellStyle name="Normal 16 2 5 8" xfId="13325" xr:uid="{00000000-0005-0000-0000-0000FD330000}"/>
    <cellStyle name="Normal 16 2 5 9" xfId="13326" xr:uid="{00000000-0005-0000-0000-0000FE330000}"/>
    <cellStyle name="Normal 16 2 6" xfId="13327" xr:uid="{00000000-0005-0000-0000-0000FF330000}"/>
    <cellStyle name="Normal 16 2 6 2" xfId="13328" xr:uid="{00000000-0005-0000-0000-000000340000}"/>
    <cellStyle name="Normal 16 2 6 2 2" xfId="13329" xr:uid="{00000000-0005-0000-0000-000001340000}"/>
    <cellStyle name="Normal 16 2 6 2 3" xfId="13330" xr:uid="{00000000-0005-0000-0000-000002340000}"/>
    <cellStyle name="Normal 16 2 6 2 4" xfId="13331" xr:uid="{00000000-0005-0000-0000-000003340000}"/>
    <cellStyle name="Normal 16 2 6 2 5" xfId="13332" xr:uid="{00000000-0005-0000-0000-000004340000}"/>
    <cellStyle name="Normal 16 2 6 2 6" xfId="13333" xr:uid="{00000000-0005-0000-0000-000005340000}"/>
    <cellStyle name="Normal 16 2 6 3" xfId="13334" xr:uid="{00000000-0005-0000-0000-000006340000}"/>
    <cellStyle name="Normal 16 2 6 3 2" xfId="13335" xr:uid="{00000000-0005-0000-0000-000007340000}"/>
    <cellStyle name="Normal 16 2 6 3 3" xfId="13336" xr:uid="{00000000-0005-0000-0000-000008340000}"/>
    <cellStyle name="Normal 16 2 6 3 4" xfId="13337" xr:uid="{00000000-0005-0000-0000-000009340000}"/>
    <cellStyle name="Normal 16 2 6 3 5" xfId="13338" xr:uid="{00000000-0005-0000-0000-00000A340000}"/>
    <cellStyle name="Normal 16 2 6 3 6" xfId="13339" xr:uid="{00000000-0005-0000-0000-00000B340000}"/>
    <cellStyle name="Normal 16 2 6 4" xfId="13340" xr:uid="{00000000-0005-0000-0000-00000C340000}"/>
    <cellStyle name="Normal 16 2 6 5" xfId="13341" xr:uid="{00000000-0005-0000-0000-00000D340000}"/>
    <cellStyle name="Normal 16 2 6 6" xfId="13342" xr:uid="{00000000-0005-0000-0000-00000E340000}"/>
    <cellStyle name="Normal 16 2 6 7" xfId="13343" xr:uid="{00000000-0005-0000-0000-00000F340000}"/>
    <cellStyle name="Normal 16 2 6 8" xfId="13344" xr:uid="{00000000-0005-0000-0000-000010340000}"/>
    <cellStyle name="Normal 16 2 7" xfId="13345" xr:uid="{00000000-0005-0000-0000-000011340000}"/>
    <cellStyle name="Normal 16 2 7 2" xfId="13346" xr:uid="{00000000-0005-0000-0000-000012340000}"/>
    <cellStyle name="Normal 16 2 7 2 2" xfId="13347" xr:uid="{00000000-0005-0000-0000-000013340000}"/>
    <cellStyle name="Normal 16 2 7 2 3" xfId="13348" xr:uid="{00000000-0005-0000-0000-000014340000}"/>
    <cellStyle name="Normal 16 2 7 2 4" xfId="13349" xr:uid="{00000000-0005-0000-0000-000015340000}"/>
    <cellStyle name="Normal 16 2 7 2 5" xfId="13350" xr:uid="{00000000-0005-0000-0000-000016340000}"/>
    <cellStyle name="Normal 16 2 7 2 6" xfId="13351" xr:uid="{00000000-0005-0000-0000-000017340000}"/>
    <cellStyle name="Normal 16 2 7 3" xfId="13352" xr:uid="{00000000-0005-0000-0000-000018340000}"/>
    <cellStyle name="Normal 16 2 7 3 2" xfId="13353" xr:uid="{00000000-0005-0000-0000-000019340000}"/>
    <cellStyle name="Normal 16 2 7 3 3" xfId="13354" xr:uid="{00000000-0005-0000-0000-00001A340000}"/>
    <cellStyle name="Normal 16 2 7 3 4" xfId="13355" xr:uid="{00000000-0005-0000-0000-00001B340000}"/>
    <cellStyle name="Normal 16 2 7 3 5" xfId="13356" xr:uid="{00000000-0005-0000-0000-00001C340000}"/>
    <cellStyle name="Normal 16 2 7 3 6" xfId="13357" xr:uid="{00000000-0005-0000-0000-00001D340000}"/>
    <cellStyle name="Normal 16 2 7 4" xfId="13358" xr:uid="{00000000-0005-0000-0000-00001E340000}"/>
    <cellStyle name="Normal 16 2 7 5" xfId="13359" xr:uid="{00000000-0005-0000-0000-00001F340000}"/>
    <cellStyle name="Normal 16 2 7 6" xfId="13360" xr:uid="{00000000-0005-0000-0000-000020340000}"/>
    <cellStyle name="Normal 16 2 7 7" xfId="13361" xr:uid="{00000000-0005-0000-0000-000021340000}"/>
    <cellStyle name="Normal 16 2 7 8" xfId="13362" xr:uid="{00000000-0005-0000-0000-000022340000}"/>
    <cellStyle name="Normal 16 2 8" xfId="13363" xr:uid="{00000000-0005-0000-0000-000023340000}"/>
    <cellStyle name="Normal 16 2 8 2" xfId="13364" xr:uid="{00000000-0005-0000-0000-000024340000}"/>
    <cellStyle name="Normal 16 2 8 2 2" xfId="13365" xr:uid="{00000000-0005-0000-0000-000025340000}"/>
    <cellStyle name="Normal 16 2 8 2 3" xfId="13366" xr:uid="{00000000-0005-0000-0000-000026340000}"/>
    <cellStyle name="Normal 16 2 8 2 4" xfId="13367" xr:uid="{00000000-0005-0000-0000-000027340000}"/>
    <cellStyle name="Normal 16 2 8 2 5" xfId="13368" xr:uid="{00000000-0005-0000-0000-000028340000}"/>
    <cellStyle name="Normal 16 2 8 2 6" xfId="13369" xr:uid="{00000000-0005-0000-0000-000029340000}"/>
    <cellStyle name="Normal 16 2 8 3" xfId="13370" xr:uid="{00000000-0005-0000-0000-00002A340000}"/>
    <cellStyle name="Normal 16 2 8 3 2" xfId="13371" xr:uid="{00000000-0005-0000-0000-00002B340000}"/>
    <cellStyle name="Normal 16 2 8 3 3" xfId="13372" xr:uid="{00000000-0005-0000-0000-00002C340000}"/>
    <cellStyle name="Normal 16 2 8 3 4" xfId="13373" xr:uid="{00000000-0005-0000-0000-00002D340000}"/>
    <cellStyle name="Normal 16 2 8 3 5" xfId="13374" xr:uid="{00000000-0005-0000-0000-00002E340000}"/>
    <cellStyle name="Normal 16 2 8 3 6" xfId="13375" xr:uid="{00000000-0005-0000-0000-00002F340000}"/>
    <cellStyle name="Normal 16 2 8 4" xfId="13376" xr:uid="{00000000-0005-0000-0000-000030340000}"/>
    <cellStyle name="Normal 16 2 8 5" xfId="13377" xr:uid="{00000000-0005-0000-0000-000031340000}"/>
    <cellStyle name="Normal 16 2 8 6" xfId="13378" xr:uid="{00000000-0005-0000-0000-000032340000}"/>
    <cellStyle name="Normal 16 2 8 7" xfId="13379" xr:uid="{00000000-0005-0000-0000-000033340000}"/>
    <cellStyle name="Normal 16 2 8 8" xfId="13380" xr:uid="{00000000-0005-0000-0000-000034340000}"/>
    <cellStyle name="Normal 16 2 9" xfId="13381" xr:uid="{00000000-0005-0000-0000-000035340000}"/>
    <cellStyle name="Normal 16 2 9 2" xfId="13382" xr:uid="{00000000-0005-0000-0000-000036340000}"/>
    <cellStyle name="Normal 16 2 9 3" xfId="13383" xr:uid="{00000000-0005-0000-0000-000037340000}"/>
    <cellStyle name="Normal 16 2 9 4" xfId="13384" xr:uid="{00000000-0005-0000-0000-000038340000}"/>
    <cellStyle name="Normal 16 2 9 5" xfId="13385" xr:uid="{00000000-0005-0000-0000-000039340000}"/>
    <cellStyle name="Normal 16 2 9 6" xfId="13386" xr:uid="{00000000-0005-0000-0000-00003A340000}"/>
    <cellStyle name="Normal 16 3" xfId="13387" xr:uid="{00000000-0005-0000-0000-00003B340000}"/>
    <cellStyle name="Normal 16 3 10" xfId="13388" xr:uid="{00000000-0005-0000-0000-00003C340000}"/>
    <cellStyle name="Normal 16 3 10 2" xfId="13389" xr:uid="{00000000-0005-0000-0000-00003D340000}"/>
    <cellStyle name="Normal 16 3 10 3" xfId="13390" xr:uid="{00000000-0005-0000-0000-00003E340000}"/>
    <cellStyle name="Normal 16 3 10 4" xfId="13391" xr:uid="{00000000-0005-0000-0000-00003F340000}"/>
    <cellStyle name="Normal 16 3 10 5" xfId="13392" xr:uid="{00000000-0005-0000-0000-000040340000}"/>
    <cellStyle name="Normal 16 3 10 6" xfId="13393" xr:uid="{00000000-0005-0000-0000-000041340000}"/>
    <cellStyle name="Normal 16 3 11" xfId="13394" xr:uid="{00000000-0005-0000-0000-000042340000}"/>
    <cellStyle name="Normal 16 3 12" xfId="13395" xr:uid="{00000000-0005-0000-0000-000043340000}"/>
    <cellStyle name="Normal 16 3 13" xfId="13396" xr:uid="{00000000-0005-0000-0000-000044340000}"/>
    <cellStyle name="Normal 16 3 14" xfId="13397" xr:uid="{00000000-0005-0000-0000-000045340000}"/>
    <cellStyle name="Normal 16 3 15" xfId="13398" xr:uid="{00000000-0005-0000-0000-000046340000}"/>
    <cellStyle name="Normal 16 3 2" xfId="13399" xr:uid="{00000000-0005-0000-0000-000047340000}"/>
    <cellStyle name="Normal 16 3 2 10" xfId="13400" xr:uid="{00000000-0005-0000-0000-000048340000}"/>
    <cellStyle name="Normal 16 3 2 11" xfId="13401" xr:uid="{00000000-0005-0000-0000-000049340000}"/>
    <cellStyle name="Normal 16 3 2 12" xfId="13402" xr:uid="{00000000-0005-0000-0000-00004A340000}"/>
    <cellStyle name="Normal 16 3 2 13" xfId="13403" xr:uid="{00000000-0005-0000-0000-00004B340000}"/>
    <cellStyle name="Normal 16 3 2 14" xfId="13404" xr:uid="{00000000-0005-0000-0000-00004C340000}"/>
    <cellStyle name="Normal 16 3 2 2" xfId="13405" xr:uid="{00000000-0005-0000-0000-00004D340000}"/>
    <cellStyle name="Normal 16 3 2 2 10" xfId="13406" xr:uid="{00000000-0005-0000-0000-00004E340000}"/>
    <cellStyle name="Normal 16 3 2 2 11" xfId="13407" xr:uid="{00000000-0005-0000-0000-00004F340000}"/>
    <cellStyle name="Normal 16 3 2 2 12" xfId="13408" xr:uid="{00000000-0005-0000-0000-000050340000}"/>
    <cellStyle name="Normal 16 3 2 2 2" xfId="13409" xr:uid="{00000000-0005-0000-0000-000051340000}"/>
    <cellStyle name="Normal 16 3 2 2 2 10" xfId="13410" xr:uid="{00000000-0005-0000-0000-000052340000}"/>
    <cellStyle name="Normal 16 3 2 2 2 11" xfId="13411" xr:uid="{00000000-0005-0000-0000-000053340000}"/>
    <cellStyle name="Normal 16 3 2 2 2 2" xfId="13412" xr:uid="{00000000-0005-0000-0000-000054340000}"/>
    <cellStyle name="Normal 16 3 2 2 2 2 2" xfId="13413" xr:uid="{00000000-0005-0000-0000-000055340000}"/>
    <cellStyle name="Normal 16 3 2 2 2 2 2 2" xfId="13414" xr:uid="{00000000-0005-0000-0000-000056340000}"/>
    <cellStyle name="Normal 16 3 2 2 2 2 2 3" xfId="13415" xr:uid="{00000000-0005-0000-0000-000057340000}"/>
    <cellStyle name="Normal 16 3 2 2 2 2 2 4" xfId="13416" xr:uid="{00000000-0005-0000-0000-000058340000}"/>
    <cellStyle name="Normal 16 3 2 2 2 2 2 5" xfId="13417" xr:uid="{00000000-0005-0000-0000-000059340000}"/>
    <cellStyle name="Normal 16 3 2 2 2 2 2 6" xfId="13418" xr:uid="{00000000-0005-0000-0000-00005A340000}"/>
    <cellStyle name="Normal 16 3 2 2 2 2 3" xfId="13419" xr:uid="{00000000-0005-0000-0000-00005B340000}"/>
    <cellStyle name="Normal 16 3 2 2 2 2 3 2" xfId="13420" xr:uid="{00000000-0005-0000-0000-00005C340000}"/>
    <cellStyle name="Normal 16 3 2 2 2 2 3 3" xfId="13421" xr:uid="{00000000-0005-0000-0000-00005D340000}"/>
    <cellStyle name="Normal 16 3 2 2 2 2 3 4" xfId="13422" xr:uid="{00000000-0005-0000-0000-00005E340000}"/>
    <cellStyle name="Normal 16 3 2 2 2 2 3 5" xfId="13423" xr:uid="{00000000-0005-0000-0000-00005F340000}"/>
    <cellStyle name="Normal 16 3 2 2 2 2 3 6" xfId="13424" xr:uid="{00000000-0005-0000-0000-000060340000}"/>
    <cellStyle name="Normal 16 3 2 2 2 2 4" xfId="13425" xr:uid="{00000000-0005-0000-0000-000061340000}"/>
    <cellStyle name="Normal 16 3 2 2 2 2 5" xfId="13426" xr:uid="{00000000-0005-0000-0000-000062340000}"/>
    <cellStyle name="Normal 16 3 2 2 2 2 6" xfId="13427" xr:uid="{00000000-0005-0000-0000-000063340000}"/>
    <cellStyle name="Normal 16 3 2 2 2 2 7" xfId="13428" xr:uid="{00000000-0005-0000-0000-000064340000}"/>
    <cellStyle name="Normal 16 3 2 2 2 2 8" xfId="13429" xr:uid="{00000000-0005-0000-0000-000065340000}"/>
    <cellStyle name="Normal 16 3 2 2 2 3" xfId="13430" xr:uid="{00000000-0005-0000-0000-000066340000}"/>
    <cellStyle name="Normal 16 3 2 2 2 3 2" xfId="13431" xr:uid="{00000000-0005-0000-0000-000067340000}"/>
    <cellStyle name="Normal 16 3 2 2 2 3 2 2" xfId="13432" xr:uid="{00000000-0005-0000-0000-000068340000}"/>
    <cellStyle name="Normal 16 3 2 2 2 3 2 3" xfId="13433" xr:uid="{00000000-0005-0000-0000-000069340000}"/>
    <cellStyle name="Normal 16 3 2 2 2 3 2 4" xfId="13434" xr:uid="{00000000-0005-0000-0000-00006A340000}"/>
    <cellStyle name="Normal 16 3 2 2 2 3 2 5" xfId="13435" xr:uid="{00000000-0005-0000-0000-00006B340000}"/>
    <cellStyle name="Normal 16 3 2 2 2 3 2 6" xfId="13436" xr:uid="{00000000-0005-0000-0000-00006C340000}"/>
    <cellStyle name="Normal 16 3 2 2 2 3 3" xfId="13437" xr:uid="{00000000-0005-0000-0000-00006D340000}"/>
    <cellStyle name="Normal 16 3 2 2 2 3 3 2" xfId="13438" xr:uid="{00000000-0005-0000-0000-00006E340000}"/>
    <cellStyle name="Normal 16 3 2 2 2 3 3 3" xfId="13439" xr:uid="{00000000-0005-0000-0000-00006F340000}"/>
    <cellStyle name="Normal 16 3 2 2 2 3 3 4" xfId="13440" xr:uid="{00000000-0005-0000-0000-000070340000}"/>
    <cellStyle name="Normal 16 3 2 2 2 3 3 5" xfId="13441" xr:uid="{00000000-0005-0000-0000-000071340000}"/>
    <cellStyle name="Normal 16 3 2 2 2 3 3 6" xfId="13442" xr:uid="{00000000-0005-0000-0000-000072340000}"/>
    <cellStyle name="Normal 16 3 2 2 2 3 4" xfId="13443" xr:uid="{00000000-0005-0000-0000-000073340000}"/>
    <cellStyle name="Normal 16 3 2 2 2 3 5" xfId="13444" xr:uid="{00000000-0005-0000-0000-000074340000}"/>
    <cellStyle name="Normal 16 3 2 2 2 3 6" xfId="13445" xr:uid="{00000000-0005-0000-0000-000075340000}"/>
    <cellStyle name="Normal 16 3 2 2 2 3 7" xfId="13446" xr:uid="{00000000-0005-0000-0000-000076340000}"/>
    <cellStyle name="Normal 16 3 2 2 2 3 8" xfId="13447" xr:uid="{00000000-0005-0000-0000-000077340000}"/>
    <cellStyle name="Normal 16 3 2 2 2 4" xfId="13448" xr:uid="{00000000-0005-0000-0000-000078340000}"/>
    <cellStyle name="Normal 16 3 2 2 2 4 2" xfId="13449" xr:uid="{00000000-0005-0000-0000-000079340000}"/>
    <cellStyle name="Normal 16 3 2 2 2 4 2 2" xfId="13450" xr:uid="{00000000-0005-0000-0000-00007A340000}"/>
    <cellStyle name="Normal 16 3 2 2 2 4 2 3" xfId="13451" xr:uid="{00000000-0005-0000-0000-00007B340000}"/>
    <cellStyle name="Normal 16 3 2 2 2 4 2 4" xfId="13452" xr:uid="{00000000-0005-0000-0000-00007C340000}"/>
    <cellStyle name="Normal 16 3 2 2 2 4 2 5" xfId="13453" xr:uid="{00000000-0005-0000-0000-00007D340000}"/>
    <cellStyle name="Normal 16 3 2 2 2 4 2 6" xfId="13454" xr:uid="{00000000-0005-0000-0000-00007E340000}"/>
    <cellStyle name="Normal 16 3 2 2 2 4 3" xfId="13455" xr:uid="{00000000-0005-0000-0000-00007F340000}"/>
    <cellStyle name="Normal 16 3 2 2 2 4 3 2" xfId="13456" xr:uid="{00000000-0005-0000-0000-000080340000}"/>
    <cellStyle name="Normal 16 3 2 2 2 4 3 3" xfId="13457" xr:uid="{00000000-0005-0000-0000-000081340000}"/>
    <cellStyle name="Normal 16 3 2 2 2 4 3 4" xfId="13458" xr:uid="{00000000-0005-0000-0000-000082340000}"/>
    <cellStyle name="Normal 16 3 2 2 2 4 3 5" xfId="13459" xr:uid="{00000000-0005-0000-0000-000083340000}"/>
    <cellStyle name="Normal 16 3 2 2 2 4 3 6" xfId="13460" xr:uid="{00000000-0005-0000-0000-000084340000}"/>
    <cellStyle name="Normal 16 3 2 2 2 4 4" xfId="13461" xr:uid="{00000000-0005-0000-0000-000085340000}"/>
    <cellStyle name="Normal 16 3 2 2 2 4 5" xfId="13462" xr:uid="{00000000-0005-0000-0000-000086340000}"/>
    <cellStyle name="Normal 16 3 2 2 2 4 6" xfId="13463" xr:uid="{00000000-0005-0000-0000-000087340000}"/>
    <cellStyle name="Normal 16 3 2 2 2 4 7" xfId="13464" xr:uid="{00000000-0005-0000-0000-000088340000}"/>
    <cellStyle name="Normal 16 3 2 2 2 4 8" xfId="13465" xr:uid="{00000000-0005-0000-0000-000089340000}"/>
    <cellStyle name="Normal 16 3 2 2 2 5" xfId="13466" xr:uid="{00000000-0005-0000-0000-00008A340000}"/>
    <cellStyle name="Normal 16 3 2 2 2 5 2" xfId="13467" xr:uid="{00000000-0005-0000-0000-00008B340000}"/>
    <cellStyle name="Normal 16 3 2 2 2 5 3" xfId="13468" xr:uid="{00000000-0005-0000-0000-00008C340000}"/>
    <cellStyle name="Normal 16 3 2 2 2 5 4" xfId="13469" xr:uid="{00000000-0005-0000-0000-00008D340000}"/>
    <cellStyle name="Normal 16 3 2 2 2 5 5" xfId="13470" xr:uid="{00000000-0005-0000-0000-00008E340000}"/>
    <cellStyle name="Normal 16 3 2 2 2 5 6" xfId="13471" xr:uid="{00000000-0005-0000-0000-00008F340000}"/>
    <cellStyle name="Normal 16 3 2 2 2 6" xfId="13472" xr:uid="{00000000-0005-0000-0000-000090340000}"/>
    <cellStyle name="Normal 16 3 2 2 2 6 2" xfId="13473" xr:uid="{00000000-0005-0000-0000-000091340000}"/>
    <cellStyle name="Normal 16 3 2 2 2 6 3" xfId="13474" xr:uid="{00000000-0005-0000-0000-000092340000}"/>
    <cellStyle name="Normal 16 3 2 2 2 6 4" xfId="13475" xr:uid="{00000000-0005-0000-0000-000093340000}"/>
    <cellStyle name="Normal 16 3 2 2 2 6 5" xfId="13476" xr:uid="{00000000-0005-0000-0000-000094340000}"/>
    <cellStyle name="Normal 16 3 2 2 2 6 6" xfId="13477" xr:uid="{00000000-0005-0000-0000-000095340000}"/>
    <cellStyle name="Normal 16 3 2 2 2 7" xfId="13478" xr:uid="{00000000-0005-0000-0000-000096340000}"/>
    <cellStyle name="Normal 16 3 2 2 2 8" xfId="13479" xr:uid="{00000000-0005-0000-0000-000097340000}"/>
    <cellStyle name="Normal 16 3 2 2 2 9" xfId="13480" xr:uid="{00000000-0005-0000-0000-000098340000}"/>
    <cellStyle name="Normal 16 3 2 2 3" xfId="13481" xr:uid="{00000000-0005-0000-0000-000099340000}"/>
    <cellStyle name="Normal 16 3 2 2 3 2" xfId="13482" xr:uid="{00000000-0005-0000-0000-00009A340000}"/>
    <cellStyle name="Normal 16 3 2 2 3 2 2" xfId="13483" xr:uid="{00000000-0005-0000-0000-00009B340000}"/>
    <cellStyle name="Normal 16 3 2 2 3 2 3" xfId="13484" xr:uid="{00000000-0005-0000-0000-00009C340000}"/>
    <cellStyle name="Normal 16 3 2 2 3 2 4" xfId="13485" xr:uid="{00000000-0005-0000-0000-00009D340000}"/>
    <cellStyle name="Normal 16 3 2 2 3 2 5" xfId="13486" xr:uid="{00000000-0005-0000-0000-00009E340000}"/>
    <cellStyle name="Normal 16 3 2 2 3 2 6" xfId="13487" xr:uid="{00000000-0005-0000-0000-00009F340000}"/>
    <cellStyle name="Normal 16 3 2 2 3 3" xfId="13488" xr:uid="{00000000-0005-0000-0000-0000A0340000}"/>
    <cellStyle name="Normal 16 3 2 2 3 3 2" xfId="13489" xr:uid="{00000000-0005-0000-0000-0000A1340000}"/>
    <cellStyle name="Normal 16 3 2 2 3 3 3" xfId="13490" xr:uid="{00000000-0005-0000-0000-0000A2340000}"/>
    <cellStyle name="Normal 16 3 2 2 3 3 4" xfId="13491" xr:uid="{00000000-0005-0000-0000-0000A3340000}"/>
    <cellStyle name="Normal 16 3 2 2 3 3 5" xfId="13492" xr:uid="{00000000-0005-0000-0000-0000A4340000}"/>
    <cellStyle name="Normal 16 3 2 2 3 3 6" xfId="13493" xr:uid="{00000000-0005-0000-0000-0000A5340000}"/>
    <cellStyle name="Normal 16 3 2 2 3 4" xfId="13494" xr:uid="{00000000-0005-0000-0000-0000A6340000}"/>
    <cellStyle name="Normal 16 3 2 2 3 5" xfId="13495" xr:uid="{00000000-0005-0000-0000-0000A7340000}"/>
    <cellStyle name="Normal 16 3 2 2 3 6" xfId="13496" xr:uid="{00000000-0005-0000-0000-0000A8340000}"/>
    <cellStyle name="Normal 16 3 2 2 3 7" xfId="13497" xr:uid="{00000000-0005-0000-0000-0000A9340000}"/>
    <cellStyle name="Normal 16 3 2 2 3 8" xfId="13498" xr:uid="{00000000-0005-0000-0000-0000AA340000}"/>
    <cellStyle name="Normal 16 3 2 2 4" xfId="13499" xr:uid="{00000000-0005-0000-0000-0000AB340000}"/>
    <cellStyle name="Normal 16 3 2 2 4 2" xfId="13500" xr:uid="{00000000-0005-0000-0000-0000AC340000}"/>
    <cellStyle name="Normal 16 3 2 2 4 2 2" xfId="13501" xr:uid="{00000000-0005-0000-0000-0000AD340000}"/>
    <cellStyle name="Normal 16 3 2 2 4 2 3" xfId="13502" xr:uid="{00000000-0005-0000-0000-0000AE340000}"/>
    <cellStyle name="Normal 16 3 2 2 4 2 4" xfId="13503" xr:uid="{00000000-0005-0000-0000-0000AF340000}"/>
    <cellStyle name="Normal 16 3 2 2 4 2 5" xfId="13504" xr:uid="{00000000-0005-0000-0000-0000B0340000}"/>
    <cellStyle name="Normal 16 3 2 2 4 2 6" xfId="13505" xr:uid="{00000000-0005-0000-0000-0000B1340000}"/>
    <cellStyle name="Normal 16 3 2 2 4 3" xfId="13506" xr:uid="{00000000-0005-0000-0000-0000B2340000}"/>
    <cellStyle name="Normal 16 3 2 2 4 3 2" xfId="13507" xr:uid="{00000000-0005-0000-0000-0000B3340000}"/>
    <cellStyle name="Normal 16 3 2 2 4 3 3" xfId="13508" xr:uid="{00000000-0005-0000-0000-0000B4340000}"/>
    <cellStyle name="Normal 16 3 2 2 4 3 4" xfId="13509" xr:uid="{00000000-0005-0000-0000-0000B5340000}"/>
    <cellStyle name="Normal 16 3 2 2 4 3 5" xfId="13510" xr:uid="{00000000-0005-0000-0000-0000B6340000}"/>
    <cellStyle name="Normal 16 3 2 2 4 3 6" xfId="13511" xr:uid="{00000000-0005-0000-0000-0000B7340000}"/>
    <cellStyle name="Normal 16 3 2 2 4 4" xfId="13512" xr:uid="{00000000-0005-0000-0000-0000B8340000}"/>
    <cellStyle name="Normal 16 3 2 2 4 5" xfId="13513" xr:uid="{00000000-0005-0000-0000-0000B9340000}"/>
    <cellStyle name="Normal 16 3 2 2 4 6" xfId="13514" xr:uid="{00000000-0005-0000-0000-0000BA340000}"/>
    <cellStyle name="Normal 16 3 2 2 4 7" xfId="13515" xr:uid="{00000000-0005-0000-0000-0000BB340000}"/>
    <cellStyle name="Normal 16 3 2 2 4 8" xfId="13516" xr:uid="{00000000-0005-0000-0000-0000BC340000}"/>
    <cellStyle name="Normal 16 3 2 2 5" xfId="13517" xr:uid="{00000000-0005-0000-0000-0000BD340000}"/>
    <cellStyle name="Normal 16 3 2 2 5 2" xfId="13518" xr:uid="{00000000-0005-0000-0000-0000BE340000}"/>
    <cellStyle name="Normal 16 3 2 2 5 2 2" xfId="13519" xr:uid="{00000000-0005-0000-0000-0000BF340000}"/>
    <cellStyle name="Normal 16 3 2 2 5 2 3" xfId="13520" xr:uid="{00000000-0005-0000-0000-0000C0340000}"/>
    <cellStyle name="Normal 16 3 2 2 5 2 4" xfId="13521" xr:uid="{00000000-0005-0000-0000-0000C1340000}"/>
    <cellStyle name="Normal 16 3 2 2 5 2 5" xfId="13522" xr:uid="{00000000-0005-0000-0000-0000C2340000}"/>
    <cellStyle name="Normal 16 3 2 2 5 2 6" xfId="13523" xr:uid="{00000000-0005-0000-0000-0000C3340000}"/>
    <cellStyle name="Normal 16 3 2 2 5 3" xfId="13524" xr:uid="{00000000-0005-0000-0000-0000C4340000}"/>
    <cellStyle name="Normal 16 3 2 2 5 3 2" xfId="13525" xr:uid="{00000000-0005-0000-0000-0000C5340000}"/>
    <cellStyle name="Normal 16 3 2 2 5 3 3" xfId="13526" xr:uid="{00000000-0005-0000-0000-0000C6340000}"/>
    <cellStyle name="Normal 16 3 2 2 5 3 4" xfId="13527" xr:uid="{00000000-0005-0000-0000-0000C7340000}"/>
    <cellStyle name="Normal 16 3 2 2 5 3 5" xfId="13528" xr:uid="{00000000-0005-0000-0000-0000C8340000}"/>
    <cellStyle name="Normal 16 3 2 2 5 3 6" xfId="13529" xr:uid="{00000000-0005-0000-0000-0000C9340000}"/>
    <cellStyle name="Normal 16 3 2 2 5 4" xfId="13530" xr:uid="{00000000-0005-0000-0000-0000CA340000}"/>
    <cellStyle name="Normal 16 3 2 2 5 5" xfId="13531" xr:uid="{00000000-0005-0000-0000-0000CB340000}"/>
    <cellStyle name="Normal 16 3 2 2 5 6" xfId="13532" xr:uid="{00000000-0005-0000-0000-0000CC340000}"/>
    <cellStyle name="Normal 16 3 2 2 5 7" xfId="13533" xr:uid="{00000000-0005-0000-0000-0000CD340000}"/>
    <cellStyle name="Normal 16 3 2 2 5 8" xfId="13534" xr:uid="{00000000-0005-0000-0000-0000CE340000}"/>
    <cellStyle name="Normal 16 3 2 2 6" xfId="13535" xr:uid="{00000000-0005-0000-0000-0000CF340000}"/>
    <cellStyle name="Normal 16 3 2 2 6 2" xfId="13536" xr:uid="{00000000-0005-0000-0000-0000D0340000}"/>
    <cellStyle name="Normal 16 3 2 2 6 3" xfId="13537" xr:uid="{00000000-0005-0000-0000-0000D1340000}"/>
    <cellStyle name="Normal 16 3 2 2 6 4" xfId="13538" xr:uid="{00000000-0005-0000-0000-0000D2340000}"/>
    <cellStyle name="Normal 16 3 2 2 6 5" xfId="13539" xr:uid="{00000000-0005-0000-0000-0000D3340000}"/>
    <cellStyle name="Normal 16 3 2 2 6 6" xfId="13540" xr:uid="{00000000-0005-0000-0000-0000D4340000}"/>
    <cellStyle name="Normal 16 3 2 2 7" xfId="13541" xr:uid="{00000000-0005-0000-0000-0000D5340000}"/>
    <cellStyle name="Normal 16 3 2 2 7 2" xfId="13542" xr:uid="{00000000-0005-0000-0000-0000D6340000}"/>
    <cellStyle name="Normal 16 3 2 2 7 3" xfId="13543" xr:uid="{00000000-0005-0000-0000-0000D7340000}"/>
    <cellStyle name="Normal 16 3 2 2 7 4" xfId="13544" xr:uid="{00000000-0005-0000-0000-0000D8340000}"/>
    <cellStyle name="Normal 16 3 2 2 7 5" xfId="13545" xr:uid="{00000000-0005-0000-0000-0000D9340000}"/>
    <cellStyle name="Normal 16 3 2 2 7 6" xfId="13546" xr:uid="{00000000-0005-0000-0000-0000DA340000}"/>
    <cellStyle name="Normal 16 3 2 2 8" xfId="13547" xr:uid="{00000000-0005-0000-0000-0000DB340000}"/>
    <cellStyle name="Normal 16 3 2 2 9" xfId="13548" xr:uid="{00000000-0005-0000-0000-0000DC340000}"/>
    <cellStyle name="Normal 16 3 2 3" xfId="13549" xr:uid="{00000000-0005-0000-0000-0000DD340000}"/>
    <cellStyle name="Normal 16 3 2 3 10" xfId="13550" xr:uid="{00000000-0005-0000-0000-0000DE340000}"/>
    <cellStyle name="Normal 16 3 2 3 11" xfId="13551" xr:uid="{00000000-0005-0000-0000-0000DF340000}"/>
    <cellStyle name="Normal 16 3 2 3 12" xfId="13552" xr:uid="{00000000-0005-0000-0000-0000E0340000}"/>
    <cellStyle name="Normal 16 3 2 3 2" xfId="13553" xr:uid="{00000000-0005-0000-0000-0000E1340000}"/>
    <cellStyle name="Normal 16 3 2 3 2 10" xfId="13554" xr:uid="{00000000-0005-0000-0000-0000E2340000}"/>
    <cellStyle name="Normal 16 3 2 3 2 11" xfId="13555" xr:uid="{00000000-0005-0000-0000-0000E3340000}"/>
    <cellStyle name="Normal 16 3 2 3 2 2" xfId="13556" xr:uid="{00000000-0005-0000-0000-0000E4340000}"/>
    <cellStyle name="Normal 16 3 2 3 2 2 2" xfId="13557" xr:uid="{00000000-0005-0000-0000-0000E5340000}"/>
    <cellStyle name="Normal 16 3 2 3 2 2 2 2" xfId="13558" xr:uid="{00000000-0005-0000-0000-0000E6340000}"/>
    <cellStyle name="Normal 16 3 2 3 2 2 2 3" xfId="13559" xr:uid="{00000000-0005-0000-0000-0000E7340000}"/>
    <cellStyle name="Normal 16 3 2 3 2 2 2 4" xfId="13560" xr:uid="{00000000-0005-0000-0000-0000E8340000}"/>
    <cellStyle name="Normal 16 3 2 3 2 2 2 5" xfId="13561" xr:uid="{00000000-0005-0000-0000-0000E9340000}"/>
    <cellStyle name="Normal 16 3 2 3 2 2 2 6" xfId="13562" xr:uid="{00000000-0005-0000-0000-0000EA340000}"/>
    <cellStyle name="Normal 16 3 2 3 2 2 3" xfId="13563" xr:uid="{00000000-0005-0000-0000-0000EB340000}"/>
    <cellStyle name="Normal 16 3 2 3 2 2 3 2" xfId="13564" xr:uid="{00000000-0005-0000-0000-0000EC340000}"/>
    <cellStyle name="Normal 16 3 2 3 2 2 3 3" xfId="13565" xr:uid="{00000000-0005-0000-0000-0000ED340000}"/>
    <cellStyle name="Normal 16 3 2 3 2 2 3 4" xfId="13566" xr:uid="{00000000-0005-0000-0000-0000EE340000}"/>
    <cellStyle name="Normal 16 3 2 3 2 2 3 5" xfId="13567" xr:uid="{00000000-0005-0000-0000-0000EF340000}"/>
    <cellStyle name="Normal 16 3 2 3 2 2 3 6" xfId="13568" xr:uid="{00000000-0005-0000-0000-0000F0340000}"/>
    <cellStyle name="Normal 16 3 2 3 2 2 4" xfId="13569" xr:uid="{00000000-0005-0000-0000-0000F1340000}"/>
    <cellStyle name="Normal 16 3 2 3 2 2 5" xfId="13570" xr:uid="{00000000-0005-0000-0000-0000F2340000}"/>
    <cellStyle name="Normal 16 3 2 3 2 2 6" xfId="13571" xr:uid="{00000000-0005-0000-0000-0000F3340000}"/>
    <cellStyle name="Normal 16 3 2 3 2 2 7" xfId="13572" xr:uid="{00000000-0005-0000-0000-0000F4340000}"/>
    <cellStyle name="Normal 16 3 2 3 2 2 8" xfId="13573" xr:uid="{00000000-0005-0000-0000-0000F5340000}"/>
    <cellStyle name="Normal 16 3 2 3 2 3" xfId="13574" xr:uid="{00000000-0005-0000-0000-0000F6340000}"/>
    <cellStyle name="Normal 16 3 2 3 2 3 2" xfId="13575" xr:uid="{00000000-0005-0000-0000-0000F7340000}"/>
    <cellStyle name="Normal 16 3 2 3 2 3 2 2" xfId="13576" xr:uid="{00000000-0005-0000-0000-0000F8340000}"/>
    <cellStyle name="Normal 16 3 2 3 2 3 2 3" xfId="13577" xr:uid="{00000000-0005-0000-0000-0000F9340000}"/>
    <cellStyle name="Normal 16 3 2 3 2 3 2 4" xfId="13578" xr:uid="{00000000-0005-0000-0000-0000FA340000}"/>
    <cellStyle name="Normal 16 3 2 3 2 3 2 5" xfId="13579" xr:uid="{00000000-0005-0000-0000-0000FB340000}"/>
    <cellStyle name="Normal 16 3 2 3 2 3 2 6" xfId="13580" xr:uid="{00000000-0005-0000-0000-0000FC340000}"/>
    <cellStyle name="Normal 16 3 2 3 2 3 3" xfId="13581" xr:uid="{00000000-0005-0000-0000-0000FD340000}"/>
    <cellStyle name="Normal 16 3 2 3 2 3 3 2" xfId="13582" xr:uid="{00000000-0005-0000-0000-0000FE340000}"/>
    <cellStyle name="Normal 16 3 2 3 2 3 3 3" xfId="13583" xr:uid="{00000000-0005-0000-0000-0000FF340000}"/>
    <cellStyle name="Normal 16 3 2 3 2 3 3 4" xfId="13584" xr:uid="{00000000-0005-0000-0000-000000350000}"/>
    <cellStyle name="Normal 16 3 2 3 2 3 3 5" xfId="13585" xr:uid="{00000000-0005-0000-0000-000001350000}"/>
    <cellStyle name="Normal 16 3 2 3 2 3 3 6" xfId="13586" xr:uid="{00000000-0005-0000-0000-000002350000}"/>
    <cellStyle name="Normal 16 3 2 3 2 3 4" xfId="13587" xr:uid="{00000000-0005-0000-0000-000003350000}"/>
    <cellStyle name="Normal 16 3 2 3 2 3 5" xfId="13588" xr:uid="{00000000-0005-0000-0000-000004350000}"/>
    <cellStyle name="Normal 16 3 2 3 2 3 6" xfId="13589" xr:uid="{00000000-0005-0000-0000-000005350000}"/>
    <cellStyle name="Normal 16 3 2 3 2 3 7" xfId="13590" xr:uid="{00000000-0005-0000-0000-000006350000}"/>
    <cellStyle name="Normal 16 3 2 3 2 3 8" xfId="13591" xr:uid="{00000000-0005-0000-0000-000007350000}"/>
    <cellStyle name="Normal 16 3 2 3 2 4" xfId="13592" xr:uid="{00000000-0005-0000-0000-000008350000}"/>
    <cellStyle name="Normal 16 3 2 3 2 4 2" xfId="13593" xr:uid="{00000000-0005-0000-0000-000009350000}"/>
    <cellStyle name="Normal 16 3 2 3 2 4 2 2" xfId="13594" xr:uid="{00000000-0005-0000-0000-00000A350000}"/>
    <cellStyle name="Normal 16 3 2 3 2 4 2 3" xfId="13595" xr:uid="{00000000-0005-0000-0000-00000B350000}"/>
    <cellStyle name="Normal 16 3 2 3 2 4 2 4" xfId="13596" xr:uid="{00000000-0005-0000-0000-00000C350000}"/>
    <cellStyle name="Normal 16 3 2 3 2 4 2 5" xfId="13597" xr:uid="{00000000-0005-0000-0000-00000D350000}"/>
    <cellStyle name="Normal 16 3 2 3 2 4 2 6" xfId="13598" xr:uid="{00000000-0005-0000-0000-00000E350000}"/>
    <cellStyle name="Normal 16 3 2 3 2 4 3" xfId="13599" xr:uid="{00000000-0005-0000-0000-00000F350000}"/>
    <cellStyle name="Normal 16 3 2 3 2 4 3 2" xfId="13600" xr:uid="{00000000-0005-0000-0000-000010350000}"/>
    <cellStyle name="Normal 16 3 2 3 2 4 3 3" xfId="13601" xr:uid="{00000000-0005-0000-0000-000011350000}"/>
    <cellStyle name="Normal 16 3 2 3 2 4 3 4" xfId="13602" xr:uid="{00000000-0005-0000-0000-000012350000}"/>
    <cellStyle name="Normal 16 3 2 3 2 4 3 5" xfId="13603" xr:uid="{00000000-0005-0000-0000-000013350000}"/>
    <cellStyle name="Normal 16 3 2 3 2 4 3 6" xfId="13604" xr:uid="{00000000-0005-0000-0000-000014350000}"/>
    <cellStyle name="Normal 16 3 2 3 2 4 4" xfId="13605" xr:uid="{00000000-0005-0000-0000-000015350000}"/>
    <cellStyle name="Normal 16 3 2 3 2 4 5" xfId="13606" xr:uid="{00000000-0005-0000-0000-000016350000}"/>
    <cellStyle name="Normal 16 3 2 3 2 4 6" xfId="13607" xr:uid="{00000000-0005-0000-0000-000017350000}"/>
    <cellStyle name="Normal 16 3 2 3 2 4 7" xfId="13608" xr:uid="{00000000-0005-0000-0000-000018350000}"/>
    <cellStyle name="Normal 16 3 2 3 2 4 8" xfId="13609" xr:uid="{00000000-0005-0000-0000-000019350000}"/>
    <cellStyle name="Normal 16 3 2 3 2 5" xfId="13610" xr:uid="{00000000-0005-0000-0000-00001A350000}"/>
    <cellStyle name="Normal 16 3 2 3 2 5 2" xfId="13611" xr:uid="{00000000-0005-0000-0000-00001B350000}"/>
    <cellStyle name="Normal 16 3 2 3 2 5 3" xfId="13612" xr:uid="{00000000-0005-0000-0000-00001C350000}"/>
    <cellStyle name="Normal 16 3 2 3 2 5 4" xfId="13613" xr:uid="{00000000-0005-0000-0000-00001D350000}"/>
    <cellStyle name="Normal 16 3 2 3 2 5 5" xfId="13614" xr:uid="{00000000-0005-0000-0000-00001E350000}"/>
    <cellStyle name="Normal 16 3 2 3 2 5 6" xfId="13615" xr:uid="{00000000-0005-0000-0000-00001F350000}"/>
    <cellStyle name="Normal 16 3 2 3 2 6" xfId="13616" xr:uid="{00000000-0005-0000-0000-000020350000}"/>
    <cellStyle name="Normal 16 3 2 3 2 6 2" xfId="13617" xr:uid="{00000000-0005-0000-0000-000021350000}"/>
    <cellStyle name="Normal 16 3 2 3 2 6 3" xfId="13618" xr:uid="{00000000-0005-0000-0000-000022350000}"/>
    <cellStyle name="Normal 16 3 2 3 2 6 4" xfId="13619" xr:uid="{00000000-0005-0000-0000-000023350000}"/>
    <cellStyle name="Normal 16 3 2 3 2 6 5" xfId="13620" xr:uid="{00000000-0005-0000-0000-000024350000}"/>
    <cellStyle name="Normal 16 3 2 3 2 6 6" xfId="13621" xr:uid="{00000000-0005-0000-0000-000025350000}"/>
    <cellStyle name="Normal 16 3 2 3 2 7" xfId="13622" xr:uid="{00000000-0005-0000-0000-000026350000}"/>
    <cellStyle name="Normal 16 3 2 3 2 8" xfId="13623" xr:uid="{00000000-0005-0000-0000-000027350000}"/>
    <cellStyle name="Normal 16 3 2 3 2 9" xfId="13624" xr:uid="{00000000-0005-0000-0000-000028350000}"/>
    <cellStyle name="Normal 16 3 2 3 3" xfId="13625" xr:uid="{00000000-0005-0000-0000-000029350000}"/>
    <cellStyle name="Normal 16 3 2 3 3 2" xfId="13626" xr:uid="{00000000-0005-0000-0000-00002A350000}"/>
    <cellStyle name="Normal 16 3 2 3 3 2 2" xfId="13627" xr:uid="{00000000-0005-0000-0000-00002B350000}"/>
    <cellStyle name="Normal 16 3 2 3 3 2 3" xfId="13628" xr:uid="{00000000-0005-0000-0000-00002C350000}"/>
    <cellStyle name="Normal 16 3 2 3 3 2 4" xfId="13629" xr:uid="{00000000-0005-0000-0000-00002D350000}"/>
    <cellStyle name="Normal 16 3 2 3 3 2 5" xfId="13630" xr:uid="{00000000-0005-0000-0000-00002E350000}"/>
    <cellStyle name="Normal 16 3 2 3 3 2 6" xfId="13631" xr:uid="{00000000-0005-0000-0000-00002F350000}"/>
    <cellStyle name="Normal 16 3 2 3 3 3" xfId="13632" xr:uid="{00000000-0005-0000-0000-000030350000}"/>
    <cellStyle name="Normal 16 3 2 3 3 3 2" xfId="13633" xr:uid="{00000000-0005-0000-0000-000031350000}"/>
    <cellStyle name="Normal 16 3 2 3 3 3 3" xfId="13634" xr:uid="{00000000-0005-0000-0000-000032350000}"/>
    <cellStyle name="Normal 16 3 2 3 3 3 4" xfId="13635" xr:uid="{00000000-0005-0000-0000-000033350000}"/>
    <cellStyle name="Normal 16 3 2 3 3 3 5" xfId="13636" xr:uid="{00000000-0005-0000-0000-000034350000}"/>
    <cellStyle name="Normal 16 3 2 3 3 3 6" xfId="13637" xr:uid="{00000000-0005-0000-0000-000035350000}"/>
    <cellStyle name="Normal 16 3 2 3 3 4" xfId="13638" xr:uid="{00000000-0005-0000-0000-000036350000}"/>
    <cellStyle name="Normal 16 3 2 3 3 5" xfId="13639" xr:uid="{00000000-0005-0000-0000-000037350000}"/>
    <cellStyle name="Normal 16 3 2 3 3 6" xfId="13640" xr:uid="{00000000-0005-0000-0000-000038350000}"/>
    <cellStyle name="Normal 16 3 2 3 3 7" xfId="13641" xr:uid="{00000000-0005-0000-0000-000039350000}"/>
    <cellStyle name="Normal 16 3 2 3 3 8" xfId="13642" xr:uid="{00000000-0005-0000-0000-00003A350000}"/>
    <cellStyle name="Normal 16 3 2 3 4" xfId="13643" xr:uid="{00000000-0005-0000-0000-00003B350000}"/>
    <cellStyle name="Normal 16 3 2 3 4 2" xfId="13644" xr:uid="{00000000-0005-0000-0000-00003C350000}"/>
    <cellStyle name="Normal 16 3 2 3 4 2 2" xfId="13645" xr:uid="{00000000-0005-0000-0000-00003D350000}"/>
    <cellStyle name="Normal 16 3 2 3 4 2 3" xfId="13646" xr:uid="{00000000-0005-0000-0000-00003E350000}"/>
    <cellStyle name="Normal 16 3 2 3 4 2 4" xfId="13647" xr:uid="{00000000-0005-0000-0000-00003F350000}"/>
    <cellStyle name="Normal 16 3 2 3 4 2 5" xfId="13648" xr:uid="{00000000-0005-0000-0000-000040350000}"/>
    <cellStyle name="Normal 16 3 2 3 4 2 6" xfId="13649" xr:uid="{00000000-0005-0000-0000-000041350000}"/>
    <cellStyle name="Normal 16 3 2 3 4 3" xfId="13650" xr:uid="{00000000-0005-0000-0000-000042350000}"/>
    <cellStyle name="Normal 16 3 2 3 4 3 2" xfId="13651" xr:uid="{00000000-0005-0000-0000-000043350000}"/>
    <cellStyle name="Normal 16 3 2 3 4 3 3" xfId="13652" xr:uid="{00000000-0005-0000-0000-000044350000}"/>
    <cellStyle name="Normal 16 3 2 3 4 3 4" xfId="13653" xr:uid="{00000000-0005-0000-0000-000045350000}"/>
    <cellStyle name="Normal 16 3 2 3 4 3 5" xfId="13654" xr:uid="{00000000-0005-0000-0000-000046350000}"/>
    <cellStyle name="Normal 16 3 2 3 4 3 6" xfId="13655" xr:uid="{00000000-0005-0000-0000-000047350000}"/>
    <cellStyle name="Normal 16 3 2 3 4 4" xfId="13656" xr:uid="{00000000-0005-0000-0000-000048350000}"/>
    <cellStyle name="Normal 16 3 2 3 4 5" xfId="13657" xr:uid="{00000000-0005-0000-0000-000049350000}"/>
    <cellStyle name="Normal 16 3 2 3 4 6" xfId="13658" xr:uid="{00000000-0005-0000-0000-00004A350000}"/>
    <cellStyle name="Normal 16 3 2 3 4 7" xfId="13659" xr:uid="{00000000-0005-0000-0000-00004B350000}"/>
    <cellStyle name="Normal 16 3 2 3 4 8" xfId="13660" xr:uid="{00000000-0005-0000-0000-00004C350000}"/>
    <cellStyle name="Normal 16 3 2 3 5" xfId="13661" xr:uid="{00000000-0005-0000-0000-00004D350000}"/>
    <cellStyle name="Normal 16 3 2 3 5 2" xfId="13662" xr:uid="{00000000-0005-0000-0000-00004E350000}"/>
    <cellStyle name="Normal 16 3 2 3 5 2 2" xfId="13663" xr:uid="{00000000-0005-0000-0000-00004F350000}"/>
    <cellStyle name="Normal 16 3 2 3 5 2 3" xfId="13664" xr:uid="{00000000-0005-0000-0000-000050350000}"/>
    <cellStyle name="Normal 16 3 2 3 5 2 4" xfId="13665" xr:uid="{00000000-0005-0000-0000-000051350000}"/>
    <cellStyle name="Normal 16 3 2 3 5 2 5" xfId="13666" xr:uid="{00000000-0005-0000-0000-000052350000}"/>
    <cellStyle name="Normal 16 3 2 3 5 2 6" xfId="13667" xr:uid="{00000000-0005-0000-0000-000053350000}"/>
    <cellStyle name="Normal 16 3 2 3 5 3" xfId="13668" xr:uid="{00000000-0005-0000-0000-000054350000}"/>
    <cellStyle name="Normal 16 3 2 3 5 3 2" xfId="13669" xr:uid="{00000000-0005-0000-0000-000055350000}"/>
    <cellStyle name="Normal 16 3 2 3 5 3 3" xfId="13670" xr:uid="{00000000-0005-0000-0000-000056350000}"/>
    <cellStyle name="Normal 16 3 2 3 5 3 4" xfId="13671" xr:uid="{00000000-0005-0000-0000-000057350000}"/>
    <cellStyle name="Normal 16 3 2 3 5 3 5" xfId="13672" xr:uid="{00000000-0005-0000-0000-000058350000}"/>
    <cellStyle name="Normal 16 3 2 3 5 3 6" xfId="13673" xr:uid="{00000000-0005-0000-0000-000059350000}"/>
    <cellStyle name="Normal 16 3 2 3 5 4" xfId="13674" xr:uid="{00000000-0005-0000-0000-00005A350000}"/>
    <cellStyle name="Normal 16 3 2 3 5 5" xfId="13675" xr:uid="{00000000-0005-0000-0000-00005B350000}"/>
    <cellStyle name="Normal 16 3 2 3 5 6" xfId="13676" xr:uid="{00000000-0005-0000-0000-00005C350000}"/>
    <cellStyle name="Normal 16 3 2 3 5 7" xfId="13677" xr:uid="{00000000-0005-0000-0000-00005D350000}"/>
    <cellStyle name="Normal 16 3 2 3 5 8" xfId="13678" xr:uid="{00000000-0005-0000-0000-00005E350000}"/>
    <cellStyle name="Normal 16 3 2 3 6" xfId="13679" xr:uid="{00000000-0005-0000-0000-00005F350000}"/>
    <cellStyle name="Normal 16 3 2 3 6 2" xfId="13680" xr:uid="{00000000-0005-0000-0000-000060350000}"/>
    <cellStyle name="Normal 16 3 2 3 6 3" xfId="13681" xr:uid="{00000000-0005-0000-0000-000061350000}"/>
    <cellStyle name="Normal 16 3 2 3 6 4" xfId="13682" xr:uid="{00000000-0005-0000-0000-000062350000}"/>
    <cellStyle name="Normal 16 3 2 3 6 5" xfId="13683" xr:uid="{00000000-0005-0000-0000-000063350000}"/>
    <cellStyle name="Normal 16 3 2 3 6 6" xfId="13684" xr:uid="{00000000-0005-0000-0000-000064350000}"/>
    <cellStyle name="Normal 16 3 2 3 7" xfId="13685" xr:uid="{00000000-0005-0000-0000-000065350000}"/>
    <cellStyle name="Normal 16 3 2 3 7 2" xfId="13686" xr:uid="{00000000-0005-0000-0000-000066350000}"/>
    <cellStyle name="Normal 16 3 2 3 7 3" xfId="13687" xr:uid="{00000000-0005-0000-0000-000067350000}"/>
    <cellStyle name="Normal 16 3 2 3 7 4" xfId="13688" xr:uid="{00000000-0005-0000-0000-000068350000}"/>
    <cellStyle name="Normal 16 3 2 3 7 5" xfId="13689" xr:uid="{00000000-0005-0000-0000-000069350000}"/>
    <cellStyle name="Normal 16 3 2 3 7 6" xfId="13690" xr:uid="{00000000-0005-0000-0000-00006A350000}"/>
    <cellStyle name="Normal 16 3 2 3 8" xfId="13691" xr:uid="{00000000-0005-0000-0000-00006B350000}"/>
    <cellStyle name="Normal 16 3 2 3 9" xfId="13692" xr:uid="{00000000-0005-0000-0000-00006C350000}"/>
    <cellStyle name="Normal 16 3 2 4" xfId="13693" xr:uid="{00000000-0005-0000-0000-00006D350000}"/>
    <cellStyle name="Normal 16 3 2 4 10" xfId="13694" xr:uid="{00000000-0005-0000-0000-00006E350000}"/>
    <cellStyle name="Normal 16 3 2 4 11" xfId="13695" xr:uid="{00000000-0005-0000-0000-00006F350000}"/>
    <cellStyle name="Normal 16 3 2 4 2" xfId="13696" xr:uid="{00000000-0005-0000-0000-000070350000}"/>
    <cellStyle name="Normal 16 3 2 4 2 2" xfId="13697" xr:uid="{00000000-0005-0000-0000-000071350000}"/>
    <cellStyle name="Normal 16 3 2 4 2 2 2" xfId="13698" xr:uid="{00000000-0005-0000-0000-000072350000}"/>
    <cellStyle name="Normal 16 3 2 4 2 2 3" xfId="13699" xr:uid="{00000000-0005-0000-0000-000073350000}"/>
    <cellStyle name="Normal 16 3 2 4 2 2 4" xfId="13700" xr:uid="{00000000-0005-0000-0000-000074350000}"/>
    <cellStyle name="Normal 16 3 2 4 2 2 5" xfId="13701" xr:uid="{00000000-0005-0000-0000-000075350000}"/>
    <cellStyle name="Normal 16 3 2 4 2 2 6" xfId="13702" xr:uid="{00000000-0005-0000-0000-000076350000}"/>
    <cellStyle name="Normal 16 3 2 4 2 3" xfId="13703" xr:uid="{00000000-0005-0000-0000-000077350000}"/>
    <cellStyle name="Normal 16 3 2 4 2 3 2" xfId="13704" xr:uid="{00000000-0005-0000-0000-000078350000}"/>
    <cellStyle name="Normal 16 3 2 4 2 3 3" xfId="13705" xr:uid="{00000000-0005-0000-0000-000079350000}"/>
    <cellStyle name="Normal 16 3 2 4 2 3 4" xfId="13706" xr:uid="{00000000-0005-0000-0000-00007A350000}"/>
    <cellStyle name="Normal 16 3 2 4 2 3 5" xfId="13707" xr:uid="{00000000-0005-0000-0000-00007B350000}"/>
    <cellStyle name="Normal 16 3 2 4 2 3 6" xfId="13708" xr:uid="{00000000-0005-0000-0000-00007C350000}"/>
    <cellStyle name="Normal 16 3 2 4 2 4" xfId="13709" xr:uid="{00000000-0005-0000-0000-00007D350000}"/>
    <cellStyle name="Normal 16 3 2 4 2 5" xfId="13710" xr:uid="{00000000-0005-0000-0000-00007E350000}"/>
    <cellStyle name="Normal 16 3 2 4 2 6" xfId="13711" xr:uid="{00000000-0005-0000-0000-00007F350000}"/>
    <cellStyle name="Normal 16 3 2 4 2 7" xfId="13712" xr:uid="{00000000-0005-0000-0000-000080350000}"/>
    <cellStyle name="Normal 16 3 2 4 2 8" xfId="13713" xr:uid="{00000000-0005-0000-0000-000081350000}"/>
    <cellStyle name="Normal 16 3 2 4 3" xfId="13714" xr:uid="{00000000-0005-0000-0000-000082350000}"/>
    <cellStyle name="Normal 16 3 2 4 3 2" xfId="13715" xr:uid="{00000000-0005-0000-0000-000083350000}"/>
    <cellStyle name="Normal 16 3 2 4 3 2 2" xfId="13716" xr:uid="{00000000-0005-0000-0000-000084350000}"/>
    <cellStyle name="Normal 16 3 2 4 3 2 3" xfId="13717" xr:uid="{00000000-0005-0000-0000-000085350000}"/>
    <cellStyle name="Normal 16 3 2 4 3 2 4" xfId="13718" xr:uid="{00000000-0005-0000-0000-000086350000}"/>
    <cellStyle name="Normal 16 3 2 4 3 2 5" xfId="13719" xr:uid="{00000000-0005-0000-0000-000087350000}"/>
    <cellStyle name="Normal 16 3 2 4 3 2 6" xfId="13720" xr:uid="{00000000-0005-0000-0000-000088350000}"/>
    <cellStyle name="Normal 16 3 2 4 3 3" xfId="13721" xr:uid="{00000000-0005-0000-0000-000089350000}"/>
    <cellStyle name="Normal 16 3 2 4 3 3 2" xfId="13722" xr:uid="{00000000-0005-0000-0000-00008A350000}"/>
    <cellStyle name="Normal 16 3 2 4 3 3 3" xfId="13723" xr:uid="{00000000-0005-0000-0000-00008B350000}"/>
    <cellStyle name="Normal 16 3 2 4 3 3 4" xfId="13724" xr:uid="{00000000-0005-0000-0000-00008C350000}"/>
    <cellStyle name="Normal 16 3 2 4 3 3 5" xfId="13725" xr:uid="{00000000-0005-0000-0000-00008D350000}"/>
    <cellStyle name="Normal 16 3 2 4 3 3 6" xfId="13726" xr:uid="{00000000-0005-0000-0000-00008E350000}"/>
    <cellStyle name="Normal 16 3 2 4 3 4" xfId="13727" xr:uid="{00000000-0005-0000-0000-00008F350000}"/>
    <cellStyle name="Normal 16 3 2 4 3 5" xfId="13728" xr:uid="{00000000-0005-0000-0000-000090350000}"/>
    <cellStyle name="Normal 16 3 2 4 3 6" xfId="13729" xr:uid="{00000000-0005-0000-0000-000091350000}"/>
    <cellStyle name="Normal 16 3 2 4 3 7" xfId="13730" xr:uid="{00000000-0005-0000-0000-000092350000}"/>
    <cellStyle name="Normal 16 3 2 4 3 8" xfId="13731" xr:uid="{00000000-0005-0000-0000-000093350000}"/>
    <cellStyle name="Normal 16 3 2 4 4" xfId="13732" xr:uid="{00000000-0005-0000-0000-000094350000}"/>
    <cellStyle name="Normal 16 3 2 4 4 2" xfId="13733" xr:uid="{00000000-0005-0000-0000-000095350000}"/>
    <cellStyle name="Normal 16 3 2 4 4 2 2" xfId="13734" xr:uid="{00000000-0005-0000-0000-000096350000}"/>
    <cellStyle name="Normal 16 3 2 4 4 2 3" xfId="13735" xr:uid="{00000000-0005-0000-0000-000097350000}"/>
    <cellStyle name="Normal 16 3 2 4 4 2 4" xfId="13736" xr:uid="{00000000-0005-0000-0000-000098350000}"/>
    <cellStyle name="Normal 16 3 2 4 4 2 5" xfId="13737" xr:uid="{00000000-0005-0000-0000-000099350000}"/>
    <cellStyle name="Normal 16 3 2 4 4 2 6" xfId="13738" xr:uid="{00000000-0005-0000-0000-00009A350000}"/>
    <cellStyle name="Normal 16 3 2 4 4 3" xfId="13739" xr:uid="{00000000-0005-0000-0000-00009B350000}"/>
    <cellStyle name="Normal 16 3 2 4 4 3 2" xfId="13740" xr:uid="{00000000-0005-0000-0000-00009C350000}"/>
    <cellStyle name="Normal 16 3 2 4 4 3 3" xfId="13741" xr:uid="{00000000-0005-0000-0000-00009D350000}"/>
    <cellStyle name="Normal 16 3 2 4 4 3 4" xfId="13742" xr:uid="{00000000-0005-0000-0000-00009E350000}"/>
    <cellStyle name="Normal 16 3 2 4 4 3 5" xfId="13743" xr:uid="{00000000-0005-0000-0000-00009F350000}"/>
    <cellStyle name="Normal 16 3 2 4 4 3 6" xfId="13744" xr:uid="{00000000-0005-0000-0000-0000A0350000}"/>
    <cellStyle name="Normal 16 3 2 4 4 4" xfId="13745" xr:uid="{00000000-0005-0000-0000-0000A1350000}"/>
    <cellStyle name="Normal 16 3 2 4 4 5" xfId="13746" xr:uid="{00000000-0005-0000-0000-0000A2350000}"/>
    <cellStyle name="Normal 16 3 2 4 4 6" xfId="13747" xr:uid="{00000000-0005-0000-0000-0000A3350000}"/>
    <cellStyle name="Normal 16 3 2 4 4 7" xfId="13748" xr:uid="{00000000-0005-0000-0000-0000A4350000}"/>
    <cellStyle name="Normal 16 3 2 4 4 8" xfId="13749" xr:uid="{00000000-0005-0000-0000-0000A5350000}"/>
    <cellStyle name="Normal 16 3 2 4 5" xfId="13750" xr:uid="{00000000-0005-0000-0000-0000A6350000}"/>
    <cellStyle name="Normal 16 3 2 4 5 2" xfId="13751" xr:uid="{00000000-0005-0000-0000-0000A7350000}"/>
    <cellStyle name="Normal 16 3 2 4 5 3" xfId="13752" xr:uid="{00000000-0005-0000-0000-0000A8350000}"/>
    <cellStyle name="Normal 16 3 2 4 5 4" xfId="13753" xr:uid="{00000000-0005-0000-0000-0000A9350000}"/>
    <cellStyle name="Normal 16 3 2 4 5 5" xfId="13754" xr:uid="{00000000-0005-0000-0000-0000AA350000}"/>
    <cellStyle name="Normal 16 3 2 4 5 6" xfId="13755" xr:uid="{00000000-0005-0000-0000-0000AB350000}"/>
    <cellStyle name="Normal 16 3 2 4 6" xfId="13756" xr:uid="{00000000-0005-0000-0000-0000AC350000}"/>
    <cellStyle name="Normal 16 3 2 4 6 2" xfId="13757" xr:uid="{00000000-0005-0000-0000-0000AD350000}"/>
    <cellStyle name="Normal 16 3 2 4 6 3" xfId="13758" xr:uid="{00000000-0005-0000-0000-0000AE350000}"/>
    <cellStyle name="Normal 16 3 2 4 6 4" xfId="13759" xr:uid="{00000000-0005-0000-0000-0000AF350000}"/>
    <cellStyle name="Normal 16 3 2 4 6 5" xfId="13760" xr:uid="{00000000-0005-0000-0000-0000B0350000}"/>
    <cellStyle name="Normal 16 3 2 4 6 6" xfId="13761" xr:uid="{00000000-0005-0000-0000-0000B1350000}"/>
    <cellStyle name="Normal 16 3 2 4 7" xfId="13762" xr:uid="{00000000-0005-0000-0000-0000B2350000}"/>
    <cellStyle name="Normal 16 3 2 4 8" xfId="13763" xr:uid="{00000000-0005-0000-0000-0000B3350000}"/>
    <cellStyle name="Normal 16 3 2 4 9" xfId="13764" xr:uid="{00000000-0005-0000-0000-0000B4350000}"/>
    <cellStyle name="Normal 16 3 2 5" xfId="13765" xr:uid="{00000000-0005-0000-0000-0000B5350000}"/>
    <cellStyle name="Normal 16 3 2 5 2" xfId="13766" xr:uid="{00000000-0005-0000-0000-0000B6350000}"/>
    <cellStyle name="Normal 16 3 2 5 2 2" xfId="13767" xr:uid="{00000000-0005-0000-0000-0000B7350000}"/>
    <cellStyle name="Normal 16 3 2 5 2 3" xfId="13768" xr:uid="{00000000-0005-0000-0000-0000B8350000}"/>
    <cellStyle name="Normal 16 3 2 5 2 4" xfId="13769" xr:uid="{00000000-0005-0000-0000-0000B9350000}"/>
    <cellStyle name="Normal 16 3 2 5 2 5" xfId="13770" xr:uid="{00000000-0005-0000-0000-0000BA350000}"/>
    <cellStyle name="Normal 16 3 2 5 2 6" xfId="13771" xr:uid="{00000000-0005-0000-0000-0000BB350000}"/>
    <cellStyle name="Normal 16 3 2 5 3" xfId="13772" xr:uid="{00000000-0005-0000-0000-0000BC350000}"/>
    <cellStyle name="Normal 16 3 2 5 3 2" xfId="13773" xr:uid="{00000000-0005-0000-0000-0000BD350000}"/>
    <cellStyle name="Normal 16 3 2 5 3 3" xfId="13774" xr:uid="{00000000-0005-0000-0000-0000BE350000}"/>
    <cellStyle name="Normal 16 3 2 5 3 4" xfId="13775" xr:uid="{00000000-0005-0000-0000-0000BF350000}"/>
    <cellStyle name="Normal 16 3 2 5 3 5" xfId="13776" xr:uid="{00000000-0005-0000-0000-0000C0350000}"/>
    <cellStyle name="Normal 16 3 2 5 3 6" xfId="13777" xr:uid="{00000000-0005-0000-0000-0000C1350000}"/>
    <cellStyle name="Normal 16 3 2 5 4" xfId="13778" xr:uid="{00000000-0005-0000-0000-0000C2350000}"/>
    <cellStyle name="Normal 16 3 2 5 5" xfId="13779" xr:uid="{00000000-0005-0000-0000-0000C3350000}"/>
    <cellStyle name="Normal 16 3 2 5 6" xfId="13780" xr:uid="{00000000-0005-0000-0000-0000C4350000}"/>
    <cellStyle name="Normal 16 3 2 5 7" xfId="13781" xr:uid="{00000000-0005-0000-0000-0000C5350000}"/>
    <cellStyle name="Normal 16 3 2 5 8" xfId="13782" xr:uid="{00000000-0005-0000-0000-0000C6350000}"/>
    <cellStyle name="Normal 16 3 2 6" xfId="13783" xr:uid="{00000000-0005-0000-0000-0000C7350000}"/>
    <cellStyle name="Normal 16 3 2 6 2" xfId="13784" xr:uid="{00000000-0005-0000-0000-0000C8350000}"/>
    <cellStyle name="Normal 16 3 2 6 2 2" xfId="13785" xr:uid="{00000000-0005-0000-0000-0000C9350000}"/>
    <cellStyle name="Normal 16 3 2 6 2 3" xfId="13786" xr:uid="{00000000-0005-0000-0000-0000CA350000}"/>
    <cellStyle name="Normal 16 3 2 6 2 4" xfId="13787" xr:uid="{00000000-0005-0000-0000-0000CB350000}"/>
    <cellStyle name="Normal 16 3 2 6 2 5" xfId="13788" xr:uid="{00000000-0005-0000-0000-0000CC350000}"/>
    <cellStyle name="Normal 16 3 2 6 2 6" xfId="13789" xr:uid="{00000000-0005-0000-0000-0000CD350000}"/>
    <cellStyle name="Normal 16 3 2 6 3" xfId="13790" xr:uid="{00000000-0005-0000-0000-0000CE350000}"/>
    <cellStyle name="Normal 16 3 2 6 3 2" xfId="13791" xr:uid="{00000000-0005-0000-0000-0000CF350000}"/>
    <cellStyle name="Normal 16 3 2 6 3 3" xfId="13792" xr:uid="{00000000-0005-0000-0000-0000D0350000}"/>
    <cellStyle name="Normal 16 3 2 6 3 4" xfId="13793" xr:uid="{00000000-0005-0000-0000-0000D1350000}"/>
    <cellStyle name="Normal 16 3 2 6 3 5" xfId="13794" xr:uid="{00000000-0005-0000-0000-0000D2350000}"/>
    <cellStyle name="Normal 16 3 2 6 3 6" xfId="13795" xr:uid="{00000000-0005-0000-0000-0000D3350000}"/>
    <cellStyle name="Normal 16 3 2 6 4" xfId="13796" xr:uid="{00000000-0005-0000-0000-0000D4350000}"/>
    <cellStyle name="Normal 16 3 2 6 5" xfId="13797" xr:uid="{00000000-0005-0000-0000-0000D5350000}"/>
    <cellStyle name="Normal 16 3 2 6 6" xfId="13798" xr:uid="{00000000-0005-0000-0000-0000D6350000}"/>
    <cellStyle name="Normal 16 3 2 6 7" xfId="13799" xr:uid="{00000000-0005-0000-0000-0000D7350000}"/>
    <cellStyle name="Normal 16 3 2 6 8" xfId="13800" xr:uid="{00000000-0005-0000-0000-0000D8350000}"/>
    <cellStyle name="Normal 16 3 2 7" xfId="13801" xr:uid="{00000000-0005-0000-0000-0000D9350000}"/>
    <cellStyle name="Normal 16 3 2 7 2" xfId="13802" xr:uid="{00000000-0005-0000-0000-0000DA350000}"/>
    <cellStyle name="Normal 16 3 2 7 2 2" xfId="13803" xr:uid="{00000000-0005-0000-0000-0000DB350000}"/>
    <cellStyle name="Normal 16 3 2 7 2 3" xfId="13804" xr:uid="{00000000-0005-0000-0000-0000DC350000}"/>
    <cellStyle name="Normal 16 3 2 7 2 4" xfId="13805" xr:uid="{00000000-0005-0000-0000-0000DD350000}"/>
    <cellStyle name="Normal 16 3 2 7 2 5" xfId="13806" xr:uid="{00000000-0005-0000-0000-0000DE350000}"/>
    <cellStyle name="Normal 16 3 2 7 2 6" xfId="13807" xr:uid="{00000000-0005-0000-0000-0000DF350000}"/>
    <cellStyle name="Normal 16 3 2 7 3" xfId="13808" xr:uid="{00000000-0005-0000-0000-0000E0350000}"/>
    <cellStyle name="Normal 16 3 2 7 3 2" xfId="13809" xr:uid="{00000000-0005-0000-0000-0000E1350000}"/>
    <cellStyle name="Normal 16 3 2 7 3 3" xfId="13810" xr:uid="{00000000-0005-0000-0000-0000E2350000}"/>
    <cellStyle name="Normal 16 3 2 7 3 4" xfId="13811" xr:uid="{00000000-0005-0000-0000-0000E3350000}"/>
    <cellStyle name="Normal 16 3 2 7 3 5" xfId="13812" xr:uid="{00000000-0005-0000-0000-0000E4350000}"/>
    <cellStyle name="Normal 16 3 2 7 3 6" xfId="13813" xr:uid="{00000000-0005-0000-0000-0000E5350000}"/>
    <cellStyle name="Normal 16 3 2 7 4" xfId="13814" xr:uid="{00000000-0005-0000-0000-0000E6350000}"/>
    <cellStyle name="Normal 16 3 2 7 5" xfId="13815" xr:uid="{00000000-0005-0000-0000-0000E7350000}"/>
    <cellStyle name="Normal 16 3 2 7 6" xfId="13816" xr:uid="{00000000-0005-0000-0000-0000E8350000}"/>
    <cellStyle name="Normal 16 3 2 7 7" xfId="13817" xr:uid="{00000000-0005-0000-0000-0000E9350000}"/>
    <cellStyle name="Normal 16 3 2 7 8" xfId="13818" xr:uid="{00000000-0005-0000-0000-0000EA350000}"/>
    <cellStyle name="Normal 16 3 2 8" xfId="13819" xr:uid="{00000000-0005-0000-0000-0000EB350000}"/>
    <cellStyle name="Normal 16 3 2 8 2" xfId="13820" xr:uid="{00000000-0005-0000-0000-0000EC350000}"/>
    <cellStyle name="Normal 16 3 2 8 3" xfId="13821" xr:uid="{00000000-0005-0000-0000-0000ED350000}"/>
    <cellStyle name="Normal 16 3 2 8 4" xfId="13822" xr:uid="{00000000-0005-0000-0000-0000EE350000}"/>
    <cellStyle name="Normal 16 3 2 8 5" xfId="13823" xr:uid="{00000000-0005-0000-0000-0000EF350000}"/>
    <cellStyle name="Normal 16 3 2 8 6" xfId="13824" xr:uid="{00000000-0005-0000-0000-0000F0350000}"/>
    <cellStyle name="Normal 16 3 2 9" xfId="13825" xr:uid="{00000000-0005-0000-0000-0000F1350000}"/>
    <cellStyle name="Normal 16 3 2 9 2" xfId="13826" xr:uid="{00000000-0005-0000-0000-0000F2350000}"/>
    <cellStyle name="Normal 16 3 2 9 3" xfId="13827" xr:uid="{00000000-0005-0000-0000-0000F3350000}"/>
    <cellStyle name="Normal 16 3 2 9 4" xfId="13828" xr:uid="{00000000-0005-0000-0000-0000F4350000}"/>
    <cellStyle name="Normal 16 3 2 9 5" xfId="13829" xr:uid="{00000000-0005-0000-0000-0000F5350000}"/>
    <cellStyle name="Normal 16 3 2 9 6" xfId="13830" xr:uid="{00000000-0005-0000-0000-0000F6350000}"/>
    <cellStyle name="Normal 16 3 3" xfId="13831" xr:uid="{00000000-0005-0000-0000-0000F7350000}"/>
    <cellStyle name="Normal 16 3 3 10" xfId="13832" xr:uid="{00000000-0005-0000-0000-0000F8350000}"/>
    <cellStyle name="Normal 16 3 3 11" xfId="13833" xr:uid="{00000000-0005-0000-0000-0000F9350000}"/>
    <cellStyle name="Normal 16 3 3 12" xfId="13834" xr:uid="{00000000-0005-0000-0000-0000FA350000}"/>
    <cellStyle name="Normal 16 3 3 2" xfId="13835" xr:uid="{00000000-0005-0000-0000-0000FB350000}"/>
    <cellStyle name="Normal 16 3 3 2 10" xfId="13836" xr:uid="{00000000-0005-0000-0000-0000FC350000}"/>
    <cellStyle name="Normal 16 3 3 2 11" xfId="13837" xr:uid="{00000000-0005-0000-0000-0000FD350000}"/>
    <cellStyle name="Normal 16 3 3 2 2" xfId="13838" xr:uid="{00000000-0005-0000-0000-0000FE350000}"/>
    <cellStyle name="Normal 16 3 3 2 2 2" xfId="13839" xr:uid="{00000000-0005-0000-0000-0000FF350000}"/>
    <cellStyle name="Normal 16 3 3 2 2 2 2" xfId="13840" xr:uid="{00000000-0005-0000-0000-000000360000}"/>
    <cellStyle name="Normal 16 3 3 2 2 2 3" xfId="13841" xr:uid="{00000000-0005-0000-0000-000001360000}"/>
    <cellStyle name="Normal 16 3 3 2 2 2 4" xfId="13842" xr:uid="{00000000-0005-0000-0000-000002360000}"/>
    <cellStyle name="Normal 16 3 3 2 2 2 5" xfId="13843" xr:uid="{00000000-0005-0000-0000-000003360000}"/>
    <cellStyle name="Normal 16 3 3 2 2 2 6" xfId="13844" xr:uid="{00000000-0005-0000-0000-000004360000}"/>
    <cellStyle name="Normal 16 3 3 2 2 3" xfId="13845" xr:uid="{00000000-0005-0000-0000-000005360000}"/>
    <cellStyle name="Normal 16 3 3 2 2 3 2" xfId="13846" xr:uid="{00000000-0005-0000-0000-000006360000}"/>
    <cellStyle name="Normal 16 3 3 2 2 3 3" xfId="13847" xr:uid="{00000000-0005-0000-0000-000007360000}"/>
    <cellStyle name="Normal 16 3 3 2 2 3 4" xfId="13848" xr:uid="{00000000-0005-0000-0000-000008360000}"/>
    <cellStyle name="Normal 16 3 3 2 2 3 5" xfId="13849" xr:uid="{00000000-0005-0000-0000-000009360000}"/>
    <cellStyle name="Normal 16 3 3 2 2 3 6" xfId="13850" xr:uid="{00000000-0005-0000-0000-00000A360000}"/>
    <cellStyle name="Normal 16 3 3 2 2 4" xfId="13851" xr:uid="{00000000-0005-0000-0000-00000B360000}"/>
    <cellStyle name="Normal 16 3 3 2 2 5" xfId="13852" xr:uid="{00000000-0005-0000-0000-00000C360000}"/>
    <cellStyle name="Normal 16 3 3 2 2 6" xfId="13853" xr:uid="{00000000-0005-0000-0000-00000D360000}"/>
    <cellStyle name="Normal 16 3 3 2 2 7" xfId="13854" xr:uid="{00000000-0005-0000-0000-00000E360000}"/>
    <cellStyle name="Normal 16 3 3 2 2 8" xfId="13855" xr:uid="{00000000-0005-0000-0000-00000F360000}"/>
    <cellStyle name="Normal 16 3 3 2 3" xfId="13856" xr:uid="{00000000-0005-0000-0000-000010360000}"/>
    <cellStyle name="Normal 16 3 3 2 3 2" xfId="13857" xr:uid="{00000000-0005-0000-0000-000011360000}"/>
    <cellStyle name="Normal 16 3 3 2 3 2 2" xfId="13858" xr:uid="{00000000-0005-0000-0000-000012360000}"/>
    <cellStyle name="Normal 16 3 3 2 3 2 3" xfId="13859" xr:uid="{00000000-0005-0000-0000-000013360000}"/>
    <cellStyle name="Normal 16 3 3 2 3 2 4" xfId="13860" xr:uid="{00000000-0005-0000-0000-000014360000}"/>
    <cellStyle name="Normal 16 3 3 2 3 2 5" xfId="13861" xr:uid="{00000000-0005-0000-0000-000015360000}"/>
    <cellStyle name="Normal 16 3 3 2 3 2 6" xfId="13862" xr:uid="{00000000-0005-0000-0000-000016360000}"/>
    <cellStyle name="Normal 16 3 3 2 3 3" xfId="13863" xr:uid="{00000000-0005-0000-0000-000017360000}"/>
    <cellStyle name="Normal 16 3 3 2 3 3 2" xfId="13864" xr:uid="{00000000-0005-0000-0000-000018360000}"/>
    <cellStyle name="Normal 16 3 3 2 3 3 3" xfId="13865" xr:uid="{00000000-0005-0000-0000-000019360000}"/>
    <cellStyle name="Normal 16 3 3 2 3 3 4" xfId="13866" xr:uid="{00000000-0005-0000-0000-00001A360000}"/>
    <cellStyle name="Normal 16 3 3 2 3 3 5" xfId="13867" xr:uid="{00000000-0005-0000-0000-00001B360000}"/>
    <cellStyle name="Normal 16 3 3 2 3 3 6" xfId="13868" xr:uid="{00000000-0005-0000-0000-00001C360000}"/>
    <cellStyle name="Normal 16 3 3 2 3 4" xfId="13869" xr:uid="{00000000-0005-0000-0000-00001D360000}"/>
    <cellStyle name="Normal 16 3 3 2 3 5" xfId="13870" xr:uid="{00000000-0005-0000-0000-00001E360000}"/>
    <cellStyle name="Normal 16 3 3 2 3 6" xfId="13871" xr:uid="{00000000-0005-0000-0000-00001F360000}"/>
    <cellStyle name="Normal 16 3 3 2 3 7" xfId="13872" xr:uid="{00000000-0005-0000-0000-000020360000}"/>
    <cellStyle name="Normal 16 3 3 2 3 8" xfId="13873" xr:uid="{00000000-0005-0000-0000-000021360000}"/>
    <cellStyle name="Normal 16 3 3 2 4" xfId="13874" xr:uid="{00000000-0005-0000-0000-000022360000}"/>
    <cellStyle name="Normal 16 3 3 2 4 2" xfId="13875" xr:uid="{00000000-0005-0000-0000-000023360000}"/>
    <cellStyle name="Normal 16 3 3 2 4 2 2" xfId="13876" xr:uid="{00000000-0005-0000-0000-000024360000}"/>
    <cellStyle name="Normal 16 3 3 2 4 2 3" xfId="13877" xr:uid="{00000000-0005-0000-0000-000025360000}"/>
    <cellStyle name="Normal 16 3 3 2 4 2 4" xfId="13878" xr:uid="{00000000-0005-0000-0000-000026360000}"/>
    <cellStyle name="Normal 16 3 3 2 4 2 5" xfId="13879" xr:uid="{00000000-0005-0000-0000-000027360000}"/>
    <cellStyle name="Normal 16 3 3 2 4 2 6" xfId="13880" xr:uid="{00000000-0005-0000-0000-000028360000}"/>
    <cellStyle name="Normal 16 3 3 2 4 3" xfId="13881" xr:uid="{00000000-0005-0000-0000-000029360000}"/>
    <cellStyle name="Normal 16 3 3 2 4 3 2" xfId="13882" xr:uid="{00000000-0005-0000-0000-00002A360000}"/>
    <cellStyle name="Normal 16 3 3 2 4 3 3" xfId="13883" xr:uid="{00000000-0005-0000-0000-00002B360000}"/>
    <cellStyle name="Normal 16 3 3 2 4 3 4" xfId="13884" xr:uid="{00000000-0005-0000-0000-00002C360000}"/>
    <cellStyle name="Normal 16 3 3 2 4 3 5" xfId="13885" xr:uid="{00000000-0005-0000-0000-00002D360000}"/>
    <cellStyle name="Normal 16 3 3 2 4 3 6" xfId="13886" xr:uid="{00000000-0005-0000-0000-00002E360000}"/>
    <cellStyle name="Normal 16 3 3 2 4 4" xfId="13887" xr:uid="{00000000-0005-0000-0000-00002F360000}"/>
    <cellStyle name="Normal 16 3 3 2 4 5" xfId="13888" xr:uid="{00000000-0005-0000-0000-000030360000}"/>
    <cellStyle name="Normal 16 3 3 2 4 6" xfId="13889" xr:uid="{00000000-0005-0000-0000-000031360000}"/>
    <cellStyle name="Normal 16 3 3 2 4 7" xfId="13890" xr:uid="{00000000-0005-0000-0000-000032360000}"/>
    <cellStyle name="Normal 16 3 3 2 4 8" xfId="13891" xr:uid="{00000000-0005-0000-0000-000033360000}"/>
    <cellStyle name="Normal 16 3 3 2 5" xfId="13892" xr:uid="{00000000-0005-0000-0000-000034360000}"/>
    <cellStyle name="Normal 16 3 3 2 5 2" xfId="13893" xr:uid="{00000000-0005-0000-0000-000035360000}"/>
    <cellStyle name="Normal 16 3 3 2 5 3" xfId="13894" xr:uid="{00000000-0005-0000-0000-000036360000}"/>
    <cellStyle name="Normal 16 3 3 2 5 4" xfId="13895" xr:uid="{00000000-0005-0000-0000-000037360000}"/>
    <cellStyle name="Normal 16 3 3 2 5 5" xfId="13896" xr:uid="{00000000-0005-0000-0000-000038360000}"/>
    <cellStyle name="Normal 16 3 3 2 5 6" xfId="13897" xr:uid="{00000000-0005-0000-0000-000039360000}"/>
    <cellStyle name="Normal 16 3 3 2 6" xfId="13898" xr:uid="{00000000-0005-0000-0000-00003A360000}"/>
    <cellStyle name="Normal 16 3 3 2 6 2" xfId="13899" xr:uid="{00000000-0005-0000-0000-00003B360000}"/>
    <cellStyle name="Normal 16 3 3 2 6 3" xfId="13900" xr:uid="{00000000-0005-0000-0000-00003C360000}"/>
    <cellStyle name="Normal 16 3 3 2 6 4" xfId="13901" xr:uid="{00000000-0005-0000-0000-00003D360000}"/>
    <cellStyle name="Normal 16 3 3 2 6 5" xfId="13902" xr:uid="{00000000-0005-0000-0000-00003E360000}"/>
    <cellStyle name="Normal 16 3 3 2 6 6" xfId="13903" xr:uid="{00000000-0005-0000-0000-00003F360000}"/>
    <cellStyle name="Normal 16 3 3 2 7" xfId="13904" xr:uid="{00000000-0005-0000-0000-000040360000}"/>
    <cellStyle name="Normal 16 3 3 2 8" xfId="13905" xr:uid="{00000000-0005-0000-0000-000041360000}"/>
    <cellStyle name="Normal 16 3 3 2 9" xfId="13906" xr:uid="{00000000-0005-0000-0000-000042360000}"/>
    <cellStyle name="Normal 16 3 3 3" xfId="13907" xr:uid="{00000000-0005-0000-0000-000043360000}"/>
    <cellStyle name="Normal 16 3 3 3 2" xfId="13908" xr:uid="{00000000-0005-0000-0000-000044360000}"/>
    <cellStyle name="Normal 16 3 3 3 2 2" xfId="13909" xr:uid="{00000000-0005-0000-0000-000045360000}"/>
    <cellStyle name="Normal 16 3 3 3 2 3" xfId="13910" xr:uid="{00000000-0005-0000-0000-000046360000}"/>
    <cellStyle name="Normal 16 3 3 3 2 4" xfId="13911" xr:uid="{00000000-0005-0000-0000-000047360000}"/>
    <cellStyle name="Normal 16 3 3 3 2 5" xfId="13912" xr:uid="{00000000-0005-0000-0000-000048360000}"/>
    <cellStyle name="Normal 16 3 3 3 2 6" xfId="13913" xr:uid="{00000000-0005-0000-0000-000049360000}"/>
    <cellStyle name="Normal 16 3 3 3 3" xfId="13914" xr:uid="{00000000-0005-0000-0000-00004A360000}"/>
    <cellStyle name="Normal 16 3 3 3 3 2" xfId="13915" xr:uid="{00000000-0005-0000-0000-00004B360000}"/>
    <cellStyle name="Normal 16 3 3 3 3 3" xfId="13916" xr:uid="{00000000-0005-0000-0000-00004C360000}"/>
    <cellStyle name="Normal 16 3 3 3 3 4" xfId="13917" xr:uid="{00000000-0005-0000-0000-00004D360000}"/>
    <cellStyle name="Normal 16 3 3 3 3 5" xfId="13918" xr:uid="{00000000-0005-0000-0000-00004E360000}"/>
    <cellStyle name="Normal 16 3 3 3 3 6" xfId="13919" xr:uid="{00000000-0005-0000-0000-00004F360000}"/>
    <cellStyle name="Normal 16 3 3 3 4" xfId="13920" xr:uid="{00000000-0005-0000-0000-000050360000}"/>
    <cellStyle name="Normal 16 3 3 3 5" xfId="13921" xr:uid="{00000000-0005-0000-0000-000051360000}"/>
    <cellStyle name="Normal 16 3 3 3 6" xfId="13922" xr:uid="{00000000-0005-0000-0000-000052360000}"/>
    <cellStyle name="Normal 16 3 3 3 7" xfId="13923" xr:uid="{00000000-0005-0000-0000-000053360000}"/>
    <cellStyle name="Normal 16 3 3 3 8" xfId="13924" xr:uid="{00000000-0005-0000-0000-000054360000}"/>
    <cellStyle name="Normal 16 3 3 4" xfId="13925" xr:uid="{00000000-0005-0000-0000-000055360000}"/>
    <cellStyle name="Normal 16 3 3 4 2" xfId="13926" xr:uid="{00000000-0005-0000-0000-000056360000}"/>
    <cellStyle name="Normal 16 3 3 4 2 2" xfId="13927" xr:uid="{00000000-0005-0000-0000-000057360000}"/>
    <cellStyle name="Normal 16 3 3 4 2 3" xfId="13928" xr:uid="{00000000-0005-0000-0000-000058360000}"/>
    <cellStyle name="Normal 16 3 3 4 2 4" xfId="13929" xr:uid="{00000000-0005-0000-0000-000059360000}"/>
    <cellStyle name="Normal 16 3 3 4 2 5" xfId="13930" xr:uid="{00000000-0005-0000-0000-00005A360000}"/>
    <cellStyle name="Normal 16 3 3 4 2 6" xfId="13931" xr:uid="{00000000-0005-0000-0000-00005B360000}"/>
    <cellStyle name="Normal 16 3 3 4 3" xfId="13932" xr:uid="{00000000-0005-0000-0000-00005C360000}"/>
    <cellStyle name="Normal 16 3 3 4 3 2" xfId="13933" xr:uid="{00000000-0005-0000-0000-00005D360000}"/>
    <cellStyle name="Normal 16 3 3 4 3 3" xfId="13934" xr:uid="{00000000-0005-0000-0000-00005E360000}"/>
    <cellStyle name="Normal 16 3 3 4 3 4" xfId="13935" xr:uid="{00000000-0005-0000-0000-00005F360000}"/>
    <cellStyle name="Normal 16 3 3 4 3 5" xfId="13936" xr:uid="{00000000-0005-0000-0000-000060360000}"/>
    <cellStyle name="Normal 16 3 3 4 3 6" xfId="13937" xr:uid="{00000000-0005-0000-0000-000061360000}"/>
    <cellStyle name="Normal 16 3 3 4 4" xfId="13938" xr:uid="{00000000-0005-0000-0000-000062360000}"/>
    <cellStyle name="Normal 16 3 3 4 5" xfId="13939" xr:uid="{00000000-0005-0000-0000-000063360000}"/>
    <cellStyle name="Normal 16 3 3 4 6" xfId="13940" xr:uid="{00000000-0005-0000-0000-000064360000}"/>
    <cellStyle name="Normal 16 3 3 4 7" xfId="13941" xr:uid="{00000000-0005-0000-0000-000065360000}"/>
    <cellStyle name="Normal 16 3 3 4 8" xfId="13942" xr:uid="{00000000-0005-0000-0000-000066360000}"/>
    <cellStyle name="Normal 16 3 3 5" xfId="13943" xr:uid="{00000000-0005-0000-0000-000067360000}"/>
    <cellStyle name="Normal 16 3 3 5 2" xfId="13944" xr:uid="{00000000-0005-0000-0000-000068360000}"/>
    <cellStyle name="Normal 16 3 3 5 2 2" xfId="13945" xr:uid="{00000000-0005-0000-0000-000069360000}"/>
    <cellStyle name="Normal 16 3 3 5 2 3" xfId="13946" xr:uid="{00000000-0005-0000-0000-00006A360000}"/>
    <cellStyle name="Normal 16 3 3 5 2 4" xfId="13947" xr:uid="{00000000-0005-0000-0000-00006B360000}"/>
    <cellStyle name="Normal 16 3 3 5 2 5" xfId="13948" xr:uid="{00000000-0005-0000-0000-00006C360000}"/>
    <cellStyle name="Normal 16 3 3 5 2 6" xfId="13949" xr:uid="{00000000-0005-0000-0000-00006D360000}"/>
    <cellStyle name="Normal 16 3 3 5 3" xfId="13950" xr:uid="{00000000-0005-0000-0000-00006E360000}"/>
    <cellStyle name="Normal 16 3 3 5 3 2" xfId="13951" xr:uid="{00000000-0005-0000-0000-00006F360000}"/>
    <cellStyle name="Normal 16 3 3 5 3 3" xfId="13952" xr:uid="{00000000-0005-0000-0000-000070360000}"/>
    <cellStyle name="Normal 16 3 3 5 3 4" xfId="13953" xr:uid="{00000000-0005-0000-0000-000071360000}"/>
    <cellStyle name="Normal 16 3 3 5 3 5" xfId="13954" xr:uid="{00000000-0005-0000-0000-000072360000}"/>
    <cellStyle name="Normal 16 3 3 5 3 6" xfId="13955" xr:uid="{00000000-0005-0000-0000-000073360000}"/>
    <cellStyle name="Normal 16 3 3 5 4" xfId="13956" xr:uid="{00000000-0005-0000-0000-000074360000}"/>
    <cellStyle name="Normal 16 3 3 5 5" xfId="13957" xr:uid="{00000000-0005-0000-0000-000075360000}"/>
    <cellStyle name="Normal 16 3 3 5 6" xfId="13958" xr:uid="{00000000-0005-0000-0000-000076360000}"/>
    <cellStyle name="Normal 16 3 3 5 7" xfId="13959" xr:uid="{00000000-0005-0000-0000-000077360000}"/>
    <cellStyle name="Normal 16 3 3 5 8" xfId="13960" xr:uid="{00000000-0005-0000-0000-000078360000}"/>
    <cellStyle name="Normal 16 3 3 6" xfId="13961" xr:uid="{00000000-0005-0000-0000-000079360000}"/>
    <cellStyle name="Normal 16 3 3 6 2" xfId="13962" xr:uid="{00000000-0005-0000-0000-00007A360000}"/>
    <cellStyle name="Normal 16 3 3 6 3" xfId="13963" xr:uid="{00000000-0005-0000-0000-00007B360000}"/>
    <cellStyle name="Normal 16 3 3 6 4" xfId="13964" xr:uid="{00000000-0005-0000-0000-00007C360000}"/>
    <cellStyle name="Normal 16 3 3 6 5" xfId="13965" xr:uid="{00000000-0005-0000-0000-00007D360000}"/>
    <cellStyle name="Normal 16 3 3 6 6" xfId="13966" xr:uid="{00000000-0005-0000-0000-00007E360000}"/>
    <cellStyle name="Normal 16 3 3 7" xfId="13967" xr:uid="{00000000-0005-0000-0000-00007F360000}"/>
    <cellStyle name="Normal 16 3 3 7 2" xfId="13968" xr:uid="{00000000-0005-0000-0000-000080360000}"/>
    <cellStyle name="Normal 16 3 3 7 3" xfId="13969" xr:uid="{00000000-0005-0000-0000-000081360000}"/>
    <cellStyle name="Normal 16 3 3 7 4" xfId="13970" xr:uid="{00000000-0005-0000-0000-000082360000}"/>
    <cellStyle name="Normal 16 3 3 7 5" xfId="13971" xr:uid="{00000000-0005-0000-0000-000083360000}"/>
    <cellStyle name="Normal 16 3 3 7 6" xfId="13972" xr:uid="{00000000-0005-0000-0000-000084360000}"/>
    <cellStyle name="Normal 16 3 3 8" xfId="13973" xr:uid="{00000000-0005-0000-0000-000085360000}"/>
    <cellStyle name="Normal 16 3 3 9" xfId="13974" xr:uid="{00000000-0005-0000-0000-000086360000}"/>
    <cellStyle name="Normal 16 3 4" xfId="13975" xr:uid="{00000000-0005-0000-0000-000087360000}"/>
    <cellStyle name="Normal 16 3 4 10" xfId="13976" xr:uid="{00000000-0005-0000-0000-000088360000}"/>
    <cellStyle name="Normal 16 3 4 11" xfId="13977" xr:uid="{00000000-0005-0000-0000-000089360000}"/>
    <cellStyle name="Normal 16 3 4 12" xfId="13978" xr:uid="{00000000-0005-0000-0000-00008A360000}"/>
    <cellStyle name="Normal 16 3 4 2" xfId="13979" xr:uid="{00000000-0005-0000-0000-00008B360000}"/>
    <cellStyle name="Normal 16 3 4 2 10" xfId="13980" xr:uid="{00000000-0005-0000-0000-00008C360000}"/>
    <cellStyle name="Normal 16 3 4 2 11" xfId="13981" xr:uid="{00000000-0005-0000-0000-00008D360000}"/>
    <cellStyle name="Normal 16 3 4 2 2" xfId="13982" xr:uid="{00000000-0005-0000-0000-00008E360000}"/>
    <cellStyle name="Normal 16 3 4 2 2 2" xfId="13983" xr:uid="{00000000-0005-0000-0000-00008F360000}"/>
    <cellStyle name="Normal 16 3 4 2 2 2 2" xfId="13984" xr:uid="{00000000-0005-0000-0000-000090360000}"/>
    <cellStyle name="Normal 16 3 4 2 2 2 3" xfId="13985" xr:uid="{00000000-0005-0000-0000-000091360000}"/>
    <cellStyle name="Normal 16 3 4 2 2 2 4" xfId="13986" xr:uid="{00000000-0005-0000-0000-000092360000}"/>
    <cellStyle name="Normal 16 3 4 2 2 2 5" xfId="13987" xr:uid="{00000000-0005-0000-0000-000093360000}"/>
    <cellStyle name="Normal 16 3 4 2 2 2 6" xfId="13988" xr:uid="{00000000-0005-0000-0000-000094360000}"/>
    <cellStyle name="Normal 16 3 4 2 2 3" xfId="13989" xr:uid="{00000000-0005-0000-0000-000095360000}"/>
    <cellStyle name="Normal 16 3 4 2 2 3 2" xfId="13990" xr:uid="{00000000-0005-0000-0000-000096360000}"/>
    <cellStyle name="Normal 16 3 4 2 2 3 3" xfId="13991" xr:uid="{00000000-0005-0000-0000-000097360000}"/>
    <cellStyle name="Normal 16 3 4 2 2 3 4" xfId="13992" xr:uid="{00000000-0005-0000-0000-000098360000}"/>
    <cellStyle name="Normal 16 3 4 2 2 3 5" xfId="13993" xr:uid="{00000000-0005-0000-0000-000099360000}"/>
    <cellStyle name="Normal 16 3 4 2 2 3 6" xfId="13994" xr:uid="{00000000-0005-0000-0000-00009A360000}"/>
    <cellStyle name="Normal 16 3 4 2 2 4" xfId="13995" xr:uid="{00000000-0005-0000-0000-00009B360000}"/>
    <cellStyle name="Normal 16 3 4 2 2 5" xfId="13996" xr:uid="{00000000-0005-0000-0000-00009C360000}"/>
    <cellStyle name="Normal 16 3 4 2 2 6" xfId="13997" xr:uid="{00000000-0005-0000-0000-00009D360000}"/>
    <cellStyle name="Normal 16 3 4 2 2 7" xfId="13998" xr:uid="{00000000-0005-0000-0000-00009E360000}"/>
    <cellStyle name="Normal 16 3 4 2 2 8" xfId="13999" xr:uid="{00000000-0005-0000-0000-00009F360000}"/>
    <cellStyle name="Normal 16 3 4 2 3" xfId="14000" xr:uid="{00000000-0005-0000-0000-0000A0360000}"/>
    <cellStyle name="Normal 16 3 4 2 3 2" xfId="14001" xr:uid="{00000000-0005-0000-0000-0000A1360000}"/>
    <cellStyle name="Normal 16 3 4 2 3 2 2" xfId="14002" xr:uid="{00000000-0005-0000-0000-0000A2360000}"/>
    <cellStyle name="Normal 16 3 4 2 3 2 3" xfId="14003" xr:uid="{00000000-0005-0000-0000-0000A3360000}"/>
    <cellStyle name="Normal 16 3 4 2 3 2 4" xfId="14004" xr:uid="{00000000-0005-0000-0000-0000A4360000}"/>
    <cellStyle name="Normal 16 3 4 2 3 2 5" xfId="14005" xr:uid="{00000000-0005-0000-0000-0000A5360000}"/>
    <cellStyle name="Normal 16 3 4 2 3 2 6" xfId="14006" xr:uid="{00000000-0005-0000-0000-0000A6360000}"/>
    <cellStyle name="Normal 16 3 4 2 3 3" xfId="14007" xr:uid="{00000000-0005-0000-0000-0000A7360000}"/>
    <cellStyle name="Normal 16 3 4 2 3 3 2" xfId="14008" xr:uid="{00000000-0005-0000-0000-0000A8360000}"/>
    <cellStyle name="Normal 16 3 4 2 3 3 3" xfId="14009" xr:uid="{00000000-0005-0000-0000-0000A9360000}"/>
    <cellStyle name="Normal 16 3 4 2 3 3 4" xfId="14010" xr:uid="{00000000-0005-0000-0000-0000AA360000}"/>
    <cellStyle name="Normal 16 3 4 2 3 3 5" xfId="14011" xr:uid="{00000000-0005-0000-0000-0000AB360000}"/>
    <cellStyle name="Normal 16 3 4 2 3 3 6" xfId="14012" xr:uid="{00000000-0005-0000-0000-0000AC360000}"/>
    <cellStyle name="Normal 16 3 4 2 3 4" xfId="14013" xr:uid="{00000000-0005-0000-0000-0000AD360000}"/>
    <cellStyle name="Normal 16 3 4 2 3 5" xfId="14014" xr:uid="{00000000-0005-0000-0000-0000AE360000}"/>
    <cellStyle name="Normal 16 3 4 2 3 6" xfId="14015" xr:uid="{00000000-0005-0000-0000-0000AF360000}"/>
    <cellStyle name="Normal 16 3 4 2 3 7" xfId="14016" xr:uid="{00000000-0005-0000-0000-0000B0360000}"/>
    <cellStyle name="Normal 16 3 4 2 3 8" xfId="14017" xr:uid="{00000000-0005-0000-0000-0000B1360000}"/>
    <cellStyle name="Normal 16 3 4 2 4" xfId="14018" xr:uid="{00000000-0005-0000-0000-0000B2360000}"/>
    <cellStyle name="Normal 16 3 4 2 4 2" xfId="14019" xr:uid="{00000000-0005-0000-0000-0000B3360000}"/>
    <cellStyle name="Normal 16 3 4 2 4 2 2" xfId="14020" xr:uid="{00000000-0005-0000-0000-0000B4360000}"/>
    <cellStyle name="Normal 16 3 4 2 4 2 3" xfId="14021" xr:uid="{00000000-0005-0000-0000-0000B5360000}"/>
    <cellStyle name="Normal 16 3 4 2 4 2 4" xfId="14022" xr:uid="{00000000-0005-0000-0000-0000B6360000}"/>
    <cellStyle name="Normal 16 3 4 2 4 2 5" xfId="14023" xr:uid="{00000000-0005-0000-0000-0000B7360000}"/>
    <cellStyle name="Normal 16 3 4 2 4 2 6" xfId="14024" xr:uid="{00000000-0005-0000-0000-0000B8360000}"/>
    <cellStyle name="Normal 16 3 4 2 4 3" xfId="14025" xr:uid="{00000000-0005-0000-0000-0000B9360000}"/>
    <cellStyle name="Normal 16 3 4 2 4 3 2" xfId="14026" xr:uid="{00000000-0005-0000-0000-0000BA360000}"/>
    <cellStyle name="Normal 16 3 4 2 4 3 3" xfId="14027" xr:uid="{00000000-0005-0000-0000-0000BB360000}"/>
    <cellStyle name="Normal 16 3 4 2 4 3 4" xfId="14028" xr:uid="{00000000-0005-0000-0000-0000BC360000}"/>
    <cellStyle name="Normal 16 3 4 2 4 3 5" xfId="14029" xr:uid="{00000000-0005-0000-0000-0000BD360000}"/>
    <cellStyle name="Normal 16 3 4 2 4 3 6" xfId="14030" xr:uid="{00000000-0005-0000-0000-0000BE360000}"/>
    <cellStyle name="Normal 16 3 4 2 4 4" xfId="14031" xr:uid="{00000000-0005-0000-0000-0000BF360000}"/>
    <cellStyle name="Normal 16 3 4 2 4 5" xfId="14032" xr:uid="{00000000-0005-0000-0000-0000C0360000}"/>
    <cellStyle name="Normal 16 3 4 2 4 6" xfId="14033" xr:uid="{00000000-0005-0000-0000-0000C1360000}"/>
    <cellStyle name="Normal 16 3 4 2 4 7" xfId="14034" xr:uid="{00000000-0005-0000-0000-0000C2360000}"/>
    <cellStyle name="Normal 16 3 4 2 4 8" xfId="14035" xr:uid="{00000000-0005-0000-0000-0000C3360000}"/>
    <cellStyle name="Normal 16 3 4 2 5" xfId="14036" xr:uid="{00000000-0005-0000-0000-0000C4360000}"/>
    <cellStyle name="Normal 16 3 4 2 5 2" xfId="14037" xr:uid="{00000000-0005-0000-0000-0000C5360000}"/>
    <cellStyle name="Normal 16 3 4 2 5 3" xfId="14038" xr:uid="{00000000-0005-0000-0000-0000C6360000}"/>
    <cellStyle name="Normal 16 3 4 2 5 4" xfId="14039" xr:uid="{00000000-0005-0000-0000-0000C7360000}"/>
    <cellStyle name="Normal 16 3 4 2 5 5" xfId="14040" xr:uid="{00000000-0005-0000-0000-0000C8360000}"/>
    <cellStyle name="Normal 16 3 4 2 5 6" xfId="14041" xr:uid="{00000000-0005-0000-0000-0000C9360000}"/>
    <cellStyle name="Normal 16 3 4 2 6" xfId="14042" xr:uid="{00000000-0005-0000-0000-0000CA360000}"/>
    <cellStyle name="Normal 16 3 4 2 6 2" xfId="14043" xr:uid="{00000000-0005-0000-0000-0000CB360000}"/>
    <cellStyle name="Normal 16 3 4 2 6 3" xfId="14044" xr:uid="{00000000-0005-0000-0000-0000CC360000}"/>
    <cellStyle name="Normal 16 3 4 2 6 4" xfId="14045" xr:uid="{00000000-0005-0000-0000-0000CD360000}"/>
    <cellStyle name="Normal 16 3 4 2 6 5" xfId="14046" xr:uid="{00000000-0005-0000-0000-0000CE360000}"/>
    <cellStyle name="Normal 16 3 4 2 6 6" xfId="14047" xr:uid="{00000000-0005-0000-0000-0000CF360000}"/>
    <cellStyle name="Normal 16 3 4 2 7" xfId="14048" xr:uid="{00000000-0005-0000-0000-0000D0360000}"/>
    <cellStyle name="Normal 16 3 4 2 8" xfId="14049" xr:uid="{00000000-0005-0000-0000-0000D1360000}"/>
    <cellStyle name="Normal 16 3 4 2 9" xfId="14050" xr:uid="{00000000-0005-0000-0000-0000D2360000}"/>
    <cellStyle name="Normal 16 3 4 3" xfId="14051" xr:uid="{00000000-0005-0000-0000-0000D3360000}"/>
    <cellStyle name="Normal 16 3 4 3 2" xfId="14052" xr:uid="{00000000-0005-0000-0000-0000D4360000}"/>
    <cellStyle name="Normal 16 3 4 3 2 2" xfId="14053" xr:uid="{00000000-0005-0000-0000-0000D5360000}"/>
    <cellStyle name="Normal 16 3 4 3 2 3" xfId="14054" xr:uid="{00000000-0005-0000-0000-0000D6360000}"/>
    <cellStyle name="Normal 16 3 4 3 2 4" xfId="14055" xr:uid="{00000000-0005-0000-0000-0000D7360000}"/>
    <cellStyle name="Normal 16 3 4 3 2 5" xfId="14056" xr:uid="{00000000-0005-0000-0000-0000D8360000}"/>
    <cellStyle name="Normal 16 3 4 3 2 6" xfId="14057" xr:uid="{00000000-0005-0000-0000-0000D9360000}"/>
    <cellStyle name="Normal 16 3 4 3 3" xfId="14058" xr:uid="{00000000-0005-0000-0000-0000DA360000}"/>
    <cellStyle name="Normal 16 3 4 3 3 2" xfId="14059" xr:uid="{00000000-0005-0000-0000-0000DB360000}"/>
    <cellStyle name="Normal 16 3 4 3 3 3" xfId="14060" xr:uid="{00000000-0005-0000-0000-0000DC360000}"/>
    <cellStyle name="Normal 16 3 4 3 3 4" xfId="14061" xr:uid="{00000000-0005-0000-0000-0000DD360000}"/>
    <cellStyle name="Normal 16 3 4 3 3 5" xfId="14062" xr:uid="{00000000-0005-0000-0000-0000DE360000}"/>
    <cellStyle name="Normal 16 3 4 3 3 6" xfId="14063" xr:uid="{00000000-0005-0000-0000-0000DF360000}"/>
    <cellStyle name="Normal 16 3 4 3 4" xfId="14064" xr:uid="{00000000-0005-0000-0000-0000E0360000}"/>
    <cellStyle name="Normal 16 3 4 3 5" xfId="14065" xr:uid="{00000000-0005-0000-0000-0000E1360000}"/>
    <cellStyle name="Normal 16 3 4 3 6" xfId="14066" xr:uid="{00000000-0005-0000-0000-0000E2360000}"/>
    <cellStyle name="Normal 16 3 4 3 7" xfId="14067" xr:uid="{00000000-0005-0000-0000-0000E3360000}"/>
    <cellStyle name="Normal 16 3 4 3 8" xfId="14068" xr:uid="{00000000-0005-0000-0000-0000E4360000}"/>
    <cellStyle name="Normal 16 3 4 4" xfId="14069" xr:uid="{00000000-0005-0000-0000-0000E5360000}"/>
    <cellStyle name="Normal 16 3 4 4 2" xfId="14070" xr:uid="{00000000-0005-0000-0000-0000E6360000}"/>
    <cellStyle name="Normal 16 3 4 4 2 2" xfId="14071" xr:uid="{00000000-0005-0000-0000-0000E7360000}"/>
    <cellStyle name="Normal 16 3 4 4 2 3" xfId="14072" xr:uid="{00000000-0005-0000-0000-0000E8360000}"/>
    <cellStyle name="Normal 16 3 4 4 2 4" xfId="14073" xr:uid="{00000000-0005-0000-0000-0000E9360000}"/>
    <cellStyle name="Normal 16 3 4 4 2 5" xfId="14074" xr:uid="{00000000-0005-0000-0000-0000EA360000}"/>
    <cellStyle name="Normal 16 3 4 4 2 6" xfId="14075" xr:uid="{00000000-0005-0000-0000-0000EB360000}"/>
    <cellStyle name="Normal 16 3 4 4 3" xfId="14076" xr:uid="{00000000-0005-0000-0000-0000EC360000}"/>
    <cellStyle name="Normal 16 3 4 4 3 2" xfId="14077" xr:uid="{00000000-0005-0000-0000-0000ED360000}"/>
    <cellStyle name="Normal 16 3 4 4 3 3" xfId="14078" xr:uid="{00000000-0005-0000-0000-0000EE360000}"/>
    <cellStyle name="Normal 16 3 4 4 3 4" xfId="14079" xr:uid="{00000000-0005-0000-0000-0000EF360000}"/>
    <cellStyle name="Normal 16 3 4 4 3 5" xfId="14080" xr:uid="{00000000-0005-0000-0000-0000F0360000}"/>
    <cellStyle name="Normal 16 3 4 4 3 6" xfId="14081" xr:uid="{00000000-0005-0000-0000-0000F1360000}"/>
    <cellStyle name="Normal 16 3 4 4 4" xfId="14082" xr:uid="{00000000-0005-0000-0000-0000F2360000}"/>
    <cellStyle name="Normal 16 3 4 4 5" xfId="14083" xr:uid="{00000000-0005-0000-0000-0000F3360000}"/>
    <cellStyle name="Normal 16 3 4 4 6" xfId="14084" xr:uid="{00000000-0005-0000-0000-0000F4360000}"/>
    <cellStyle name="Normal 16 3 4 4 7" xfId="14085" xr:uid="{00000000-0005-0000-0000-0000F5360000}"/>
    <cellStyle name="Normal 16 3 4 4 8" xfId="14086" xr:uid="{00000000-0005-0000-0000-0000F6360000}"/>
    <cellStyle name="Normal 16 3 4 5" xfId="14087" xr:uid="{00000000-0005-0000-0000-0000F7360000}"/>
    <cellStyle name="Normal 16 3 4 5 2" xfId="14088" xr:uid="{00000000-0005-0000-0000-0000F8360000}"/>
    <cellStyle name="Normal 16 3 4 5 2 2" xfId="14089" xr:uid="{00000000-0005-0000-0000-0000F9360000}"/>
    <cellStyle name="Normal 16 3 4 5 2 3" xfId="14090" xr:uid="{00000000-0005-0000-0000-0000FA360000}"/>
    <cellStyle name="Normal 16 3 4 5 2 4" xfId="14091" xr:uid="{00000000-0005-0000-0000-0000FB360000}"/>
    <cellStyle name="Normal 16 3 4 5 2 5" xfId="14092" xr:uid="{00000000-0005-0000-0000-0000FC360000}"/>
    <cellStyle name="Normal 16 3 4 5 2 6" xfId="14093" xr:uid="{00000000-0005-0000-0000-0000FD360000}"/>
    <cellStyle name="Normal 16 3 4 5 3" xfId="14094" xr:uid="{00000000-0005-0000-0000-0000FE360000}"/>
    <cellStyle name="Normal 16 3 4 5 3 2" xfId="14095" xr:uid="{00000000-0005-0000-0000-0000FF360000}"/>
    <cellStyle name="Normal 16 3 4 5 3 3" xfId="14096" xr:uid="{00000000-0005-0000-0000-000000370000}"/>
    <cellStyle name="Normal 16 3 4 5 3 4" xfId="14097" xr:uid="{00000000-0005-0000-0000-000001370000}"/>
    <cellStyle name="Normal 16 3 4 5 3 5" xfId="14098" xr:uid="{00000000-0005-0000-0000-000002370000}"/>
    <cellStyle name="Normal 16 3 4 5 3 6" xfId="14099" xr:uid="{00000000-0005-0000-0000-000003370000}"/>
    <cellStyle name="Normal 16 3 4 5 4" xfId="14100" xr:uid="{00000000-0005-0000-0000-000004370000}"/>
    <cellStyle name="Normal 16 3 4 5 5" xfId="14101" xr:uid="{00000000-0005-0000-0000-000005370000}"/>
    <cellStyle name="Normal 16 3 4 5 6" xfId="14102" xr:uid="{00000000-0005-0000-0000-000006370000}"/>
    <cellStyle name="Normal 16 3 4 5 7" xfId="14103" xr:uid="{00000000-0005-0000-0000-000007370000}"/>
    <cellStyle name="Normal 16 3 4 5 8" xfId="14104" xr:uid="{00000000-0005-0000-0000-000008370000}"/>
    <cellStyle name="Normal 16 3 4 6" xfId="14105" xr:uid="{00000000-0005-0000-0000-000009370000}"/>
    <cellStyle name="Normal 16 3 4 6 2" xfId="14106" xr:uid="{00000000-0005-0000-0000-00000A370000}"/>
    <cellStyle name="Normal 16 3 4 6 3" xfId="14107" xr:uid="{00000000-0005-0000-0000-00000B370000}"/>
    <cellStyle name="Normal 16 3 4 6 4" xfId="14108" xr:uid="{00000000-0005-0000-0000-00000C370000}"/>
    <cellStyle name="Normal 16 3 4 6 5" xfId="14109" xr:uid="{00000000-0005-0000-0000-00000D370000}"/>
    <cellStyle name="Normal 16 3 4 6 6" xfId="14110" xr:uid="{00000000-0005-0000-0000-00000E370000}"/>
    <cellStyle name="Normal 16 3 4 7" xfId="14111" xr:uid="{00000000-0005-0000-0000-00000F370000}"/>
    <cellStyle name="Normal 16 3 4 7 2" xfId="14112" xr:uid="{00000000-0005-0000-0000-000010370000}"/>
    <cellStyle name="Normal 16 3 4 7 3" xfId="14113" xr:uid="{00000000-0005-0000-0000-000011370000}"/>
    <cellStyle name="Normal 16 3 4 7 4" xfId="14114" xr:uid="{00000000-0005-0000-0000-000012370000}"/>
    <cellStyle name="Normal 16 3 4 7 5" xfId="14115" xr:uid="{00000000-0005-0000-0000-000013370000}"/>
    <cellStyle name="Normal 16 3 4 7 6" xfId="14116" xr:uid="{00000000-0005-0000-0000-000014370000}"/>
    <cellStyle name="Normal 16 3 4 8" xfId="14117" xr:uid="{00000000-0005-0000-0000-000015370000}"/>
    <cellStyle name="Normal 16 3 4 9" xfId="14118" xr:uid="{00000000-0005-0000-0000-000016370000}"/>
    <cellStyle name="Normal 16 3 5" xfId="14119" xr:uid="{00000000-0005-0000-0000-000017370000}"/>
    <cellStyle name="Normal 16 3 5 10" xfId="14120" xr:uid="{00000000-0005-0000-0000-000018370000}"/>
    <cellStyle name="Normal 16 3 5 11" xfId="14121" xr:uid="{00000000-0005-0000-0000-000019370000}"/>
    <cellStyle name="Normal 16 3 5 2" xfId="14122" xr:uid="{00000000-0005-0000-0000-00001A370000}"/>
    <cellStyle name="Normal 16 3 5 2 2" xfId="14123" xr:uid="{00000000-0005-0000-0000-00001B370000}"/>
    <cellStyle name="Normal 16 3 5 2 2 2" xfId="14124" xr:uid="{00000000-0005-0000-0000-00001C370000}"/>
    <cellStyle name="Normal 16 3 5 2 2 3" xfId="14125" xr:uid="{00000000-0005-0000-0000-00001D370000}"/>
    <cellStyle name="Normal 16 3 5 2 2 4" xfId="14126" xr:uid="{00000000-0005-0000-0000-00001E370000}"/>
    <cellStyle name="Normal 16 3 5 2 2 5" xfId="14127" xr:uid="{00000000-0005-0000-0000-00001F370000}"/>
    <cellStyle name="Normal 16 3 5 2 2 6" xfId="14128" xr:uid="{00000000-0005-0000-0000-000020370000}"/>
    <cellStyle name="Normal 16 3 5 2 3" xfId="14129" xr:uid="{00000000-0005-0000-0000-000021370000}"/>
    <cellStyle name="Normal 16 3 5 2 3 2" xfId="14130" xr:uid="{00000000-0005-0000-0000-000022370000}"/>
    <cellStyle name="Normal 16 3 5 2 3 3" xfId="14131" xr:uid="{00000000-0005-0000-0000-000023370000}"/>
    <cellStyle name="Normal 16 3 5 2 3 4" xfId="14132" xr:uid="{00000000-0005-0000-0000-000024370000}"/>
    <cellStyle name="Normal 16 3 5 2 3 5" xfId="14133" xr:uid="{00000000-0005-0000-0000-000025370000}"/>
    <cellStyle name="Normal 16 3 5 2 3 6" xfId="14134" xr:uid="{00000000-0005-0000-0000-000026370000}"/>
    <cellStyle name="Normal 16 3 5 2 4" xfId="14135" xr:uid="{00000000-0005-0000-0000-000027370000}"/>
    <cellStyle name="Normal 16 3 5 2 5" xfId="14136" xr:uid="{00000000-0005-0000-0000-000028370000}"/>
    <cellStyle name="Normal 16 3 5 2 6" xfId="14137" xr:uid="{00000000-0005-0000-0000-000029370000}"/>
    <cellStyle name="Normal 16 3 5 2 7" xfId="14138" xr:uid="{00000000-0005-0000-0000-00002A370000}"/>
    <cellStyle name="Normal 16 3 5 2 8" xfId="14139" xr:uid="{00000000-0005-0000-0000-00002B370000}"/>
    <cellStyle name="Normal 16 3 5 3" xfId="14140" xr:uid="{00000000-0005-0000-0000-00002C370000}"/>
    <cellStyle name="Normal 16 3 5 3 2" xfId="14141" xr:uid="{00000000-0005-0000-0000-00002D370000}"/>
    <cellStyle name="Normal 16 3 5 3 2 2" xfId="14142" xr:uid="{00000000-0005-0000-0000-00002E370000}"/>
    <cellStyle name="Normal 16 3 5 3 2 3" xfId="14143" xr:uid="{00000000-0005-0000-0000-00002F370000}"/>
    <cellStyle name="Normal 16 3 5 3 2 4" xfId="14144" xr:uid="{00000000-0005-0000-0000-000030370000}"/>
    <cellStyle name="Normal 16 3 5 3 2 5" xfId="14145" xr:uid="{00000000-0005-0000-0000-000031370000}"/>
    <cellStyle name="Normal 16 3 5 3 2 6" xfId="14146" xr:uid="{00000000-0005-0000-0000-000032370000}"/>
    <cellStyle name="Normal 16 3 5 3 3" xfId="14147" xr:uid="{00000000-0005-0000-0000-000033370000}"/>
    <cellStyle name="Normal 16 3 5 3 3 2" xfId="14148" xr:uid="{00000000-0005-0000-0000-000034370000}"/>
    <cellStyle name="Normal 16 3 5 3 3 3" xfId="14149" xr:uid="{00000000-0005-0000-0000-000035370000}"/>
    <cellStyle name="Normal 16 3 5 3 3 4" xfId="14150" xr:uid="{00000000-0005-0000-0000-000036370000}"/>
    <cellStyle name="Normal 16 3 5 3 3 5" xfId="14151" xr:uid="{00000000-0005-0000-0000-000037370000}"/>
    <cellStyle name="Normal 16 3 5 3 3 6" xfId="14152" xr:uid="{00000000-0005-0000-0000-000038370000}"/>
    <cellStyle name="Normal 16 3 5 3 4" xfId="14153" xr:uid="{00000000-0005-0000-0000-000039370000}"/>
    <cellStyle name="Normal 16 3 5 3 5" xfId="14154" xr:uid="{00000000-0005-0000-0000-00003A370000}"/>
    <cellStyle name="Normal 16 3 5 3 6" xfId="14155" xr:uid="{00000000-0005-0000-0000-00003B370000}"/>
    <cellStyle name="Normal 16 3 5 3 7" xfId="14156" xr:uid="{00000000-0005-0000-0000-00003C370000}"/>
    <cellStyle name="Normal 16 3 5 3 8" xfId="14157" xr:uid="{00000000-0005-0000-0000-00003D370000}"/>
    <cellStyle name="Normal 16 3 5 4" xfId="14158" xr:uid="{00000000-0005-0000-0000-00003E370000}"/>
    <cellStyle name="Normal 16 3 5 4 2" xfId="14159" xr:uid="{00000000-0005-0000-0000-00003F370000}"/>
    <cellStyle name="Normal 16 3 5 4 2 2" xfId="14160" xr:uid="{00000000-0005-0000-0000-000040370000}"/>
    <cellStyle name="Normal 16 3 5 4 2 3" xfId="14161" xr:uid="{00000000-0005-0000-0000-000041370000}"/>
    <cellStyle name="Normal 16 3 5 4 2 4" xfId="14162" xr:uid="{00000000-0005-0000-0000-000042370000}"/>
    <cellStyle name="Normal 16 3 5 4 2 5" xfId="14163" xr:uid="{00000000-0005-0000-0000-000043370000}"/>
    <cellStyle name="Normal 16 3 5 4 2 6" xfId="14164" xr:uid="{00000000-0005-0000-0000-000044370000}"/>
    <cellStyle name="Normal 16 3 5 4 3" xfId="14165" xr:uid="{00000000-0005-0000-0000-000045370000}"/>
    <cellStyle name="Normal 16 3 5 4 3 2" xfId="14166" xr:uid="{00000000-0005-0000-0000-000046370000}"/>
    <cellStyle name="Normal 16 3 5 4 3 3" xfId="14167" xr:uid="{00000000-0005-0000-0000-000047370000}"/>
    <cellStyle name="Normal 16 3 5 4 3 4" xfId="14168" xr:uid="{00000000-0005-0000-0000-000048370000}"/>
    <cellStyle name="Normal 16 3 5 4 3 5" xfId="14169" xr:uid="{00000000-0005-0000-0000-000049370000}"/>
    <cellStyle name="Normal 16 3 5 4 3 6" xfId="14170" xr:uid="{00000000-0005-0000-0000-00004A370000}"/>
    <cellStyle name="Normal 16 3 5 4 4" xfId="14171" xr:uid="{00000000-0005-0000-0000-00004B370000}"/>
    <cellStyle name="Normal 16 3 5 4 5" xfId="14172" xr:uid="{00000000-0005-0000-0000-00004C370000}"/>
    <cellStyle name="Normal 16 3 5 4 6" xfId="14173" xr:uid="{00000000-0005-0000-0000-00004D370000}"/>
    <cellStyle name="Normal 16 3 5 4 7" xfId="14174" xr:uid="{00000000-0005-0000-0000-00004E370000}"/>
    <cellStyle name="Normal 16 3 5 4 8" xfId="14175" xr:uid="{00000000-0005-0000-0000-00004F370000}"/>
    <cellStyle name="Normal 16 3 5 5" xfId="14176" xr:uid="{00000000-0005-0000-0000-000050370000}"/>
    <cellStyle name="Normal 16 3 5 5 2" xfId="14177" xr:uid="{00000000-0005-0000-0000-000051370000}"/>
    <cellStyle name="Normal 16 3 5 5 3" xfId="14178" xr:uid="{00000000-0005-0000-0000-000052370000}"/>
    <cellStyle name="Normal 16 3 5 5 4" xfId="14179" xr:uid="{00000000-0005-0000-0000-000053370000}"/>
    <cellStyle name="Normal 16 3 5 5 5" xfId="14180" xr:uid="{00000000-0005-0000-0000-000054370000}"/>
    <cellStyle name="Normal 16 3 5 5 6" xfId="14181" xr:uid="{00000000-0005-0000-0000-000055370000}"/>
    <cellStyle name="Normal 16 3 5 6" xfId="14182" xr:uid="{00000000-0005-0000-0000-000056370000}"/>
    <cellStyle name="Normal 16 3 5 6 2" xfId="14183" xr:uid="{00000000-0005-0000-0000-000057370000}"/>
    <cellStyle name="Normal 16 3 5 6 3" xfId="14184" xr:uid="{00000000-0005-0000-0000-000058370000}"/>
    <cellStyle name="Normal 16 3 5 6 4" xfId="14185" xr:uid="{00000000-0005-0000-0000-000059370000}"/>
    <cellStyle name="Normal 16 3 5 6 5" xfId="14186" xr:uid="{00000000-0005-0000-0000-00005A370000}"/>
    <cellStyle name="Normal 16 3 5 6 6" xfId="14187" xr:uid="{00000000-0005-0000-0000-00005B370000}"/>
    <cellStyle name="Normal 16 3 5 7" xfId="14188" xr:uid="{00000000-0005-0000-0000-00005C370000}"/>
    <cellStyle name="Normal 16 3 5 8" xfId="14189" xr:uid="{00000000-0005-0000-0000-00005D370000}"/>
    <cellStyle name="Normal 16 3 5 9" xfId="14190" xr:uid="{00000000-0005-0000-0000-00005E370000}"/>
    <cellStyle name="Normal 16 3 6" xfId="14191" xr:uid="{00000000-0005-0000-0000-00005F370000}"/>
    <cellStyle name="Normal 16 3 6 2" xfId="14192" xr:uid="{00000000-0005-0000-0000-000060370000}"/>
    <cellStyle name="Normal 16 3 6 2 2" xfId="14193" xr:uid="{00000000-0005-0000-0000-000061370000}"/>
    <cellStyle name="Normal 16 3 6 2 3" xfId="14194" xr:uid="{00000000-0005-0000-0000-000062370000}"/>
    <cellStyle name="Normal 16 3 6 2 4" xfId="14195" xr:uid="{00000000-0005-0000-0000-000063370000}"/>
    <cellStyle name="Normal 16 3 6 2 5" xfId="14196" xr:uid="{00000000-0005-0000-0000-000064370000}"/>
    <cellStyle name="Normal 16 3 6 2 6" xfId="14197" xr:uid="{00000000-0005-0000-0000-000065370000}"/>
    <cellStyle name="Normal 16 3 6 3" xfId="14198" xr:uid="{00000000-0005-0000-0000-000066370000}"/>
    <cellStyle name="Normal 16 3 6 3 2" xfId="14199" xr:uid="{00000000-0005-0000-0000-000067370000}"/>
    <cellStyle name="Normal 16 3 6 3 3" xfId="14200" xr:uid="{00000000-0005-0000-0000-000068370000}"/>
    <cellStyle name="Normal 16 3 6 3 4" xfId="14201" xr:uid="{00000000-0005-0000-0000-000069370000}"/>
    <cellStyle name="Normal 16 3 6 3 5" xfId="14202" xr:uid="{00000000-0005-0000-0000-00006A370000}"/>
    <cellStyle name="Normal 16 3 6 3 6" xfId="14203" xr:uid="{00000000-0005-0000-0000-00006B370000}"/>
    <cellStyle name="Normal 16 3 6 4" xfId="14204" xr:uid="{00000000-0005-0000-0000-00006C370000}"/>
    <cellStyle name="Normal 16 3 6 5" xfId="14205" xr:uid="{00000000-0005-0000-0000-00006D370000}"/>
    <cellStyle name="Normal 16 3 6 6" xfId="14206" xr:uid="{00000000-0005-0000-0000-00006E370000}"/>
    <cellStyle name="Normal 16 3 6 7" xfId="14207" xr:uid="{00000000-0005-0000-0000-00006F370000}"/>
    <cellStyle name="Normal 16 3 6 8" xfId="14208" xr:uid="{00000000-0005-0000-0000-000070370000}"/>
    <cellStyle name="Normal 16 3 7" xfId="14209" xr:uid="{00000000-0005-0000-0000-000071370000}"/>
    <cellStyle name="Normal 16 3 7 2" xfId="14210" xr:uid="{00000000-0005-0000-0000-000072370000}"/>
    <cellStyle name="Normal 16 3 7 2 2" xfId="14211" xr:uid="{00000000-0005-0000-0000-000073370000}"/>
    <cellStyle name="Normal 16 3 7 2 3" xfId="14212" xr:uid="{00000000-0005-0000-0000-000074370000}"/>
    <cellStyle name="Normal 16 3 7 2 4" xfId="14213" xr:uid="{00000000-0005-0000-0000-000075370000}"/>
    <cellStyle name="Normal 16 3 7 2 5" xfId="14214" xr:uid="{00000000-0005-0000-0000-000076370000}"/>
    <cellStyle name="Normal 16 3 7 2 6" xfId="14215" xr:uid="{00000000-0005-0000-0000-000077370000}"/>
    <cellStyle name="Normal 16 3 7 3" xfId="14216" xr:uid="{00000000-0005-0000-0000-000078370000}"/>
    <cellStyle name="Normal 16 3 7 3 2" xfId="14217" xr:uid="{00000000-0005-0000-0000-000079370000}"/>
    <cellStyle name="Normal 16 3 7 3 3" xfId="14218" xr:uid="{00000000-0005-0000-0000-00007A370000}"/>
    <cellStyle name="Normal 16 3 7 3 4" xfId="14219" xr:uid="{00000000-0005-0000-0000-00007B370000}"/>
    <cellStyle name="Normal 16 3 7 3 5" xfId="14220" xr:uid="{00000000-0005-0000-0000-00007C370000}"/>
    <cellStyle name="Normal 16 3 7 3 6" xfId="14221" xr:uid="{00000000-0005-0000-0000-00007D370000}"/>
    <cellStyle name="Normal 16 3 7 4" xfId="14222" xr:uid="{00000000-0005-0000-0000-00007E370000}"/>
    <cellStyle name="Normal 16 3 7 5" xfId="14223" xr:uid="{00000000-0005-0000-0000-00007F370000}"/>
    <cellStyle name="Normal 16 3 7 6" xfId="14224" xr:uid="{00000000-0005-0000-0000-000080370000}"/>
    <cellStyle name="Normal 16 3 7 7" xfId="14225" xr:uid="{00000000-0005-0000-0000-000081370000}"/>
    <cellStyle name="Normal 16 3 7 8" xfId="14226" xr:uid="{00000000-0005-0000-0000-000082370000}"/>
    <cellStyle name="Normal 16 3 8" xfId="14227" xr:uid="{00000000-0005-0000-0000-000083370000}"/>
    <cellStyle name="Normal 16 3 8 2" xfId="14228" xr:uid="{00000000-0005-0000-0000-000084370000}"/>
    <cellStyle name="Normal 16 3 8 2 2" xfId="14229" xr:uid="{00000000-0005-0000-0000-000085370000}"/>
    <cellStyle name="Normal 16 3 8 2 3" xfId="14230" xr:uid="{00000000-0005-0000-0000-000086370000}"/>
    <cellStyle name="Normal 16 3 8 2 4" xfId="14231" xr:uid="{00000000-0005-0000-0000-000087370000}"/>
    <cellStyle name="Normal 16 3 8 2 5" xfId="14232" xr:uid="{00000000-0005-0000-0000-000088370000}"/>
    <cellStyle name="Normal 16 3 8 2 6" xfId="14233" xr:uid="{00000000-0005-0000-0000-000089370000}"/>
    <cellStyle name="Normal 16 3 8 3" xfId="14234" xr:uid="{00000000-0005-0000-0000-00008A370000}"/>
    <cellStyle name="Normal 16 3 8 3 2" xfId="14235" xr:uid="{00000000-0005-0000-0000-00008B370000}"/>
    <cellStyle name="Normal 16 3 8 3 3" xfId="14236" xr:uid="{00000000-0005-0000-0000-00008C370000}"/>
    <cellStyle name="Normal 16 3 8 3 4" xfId="14237" xr:uid="{00000000-0005-0000-0000-00008D370000}"/>
    <cellStyle name="Normal 16 3 8 3 5" xfId="14238" xr:uid="{00000000-0005-0000-0000-00008E370000}"/>
    <cellStyle name="Normal 16 3 8 3 6" xfId="14239" xr:uid="{00000000-0005-0000-0000-00008F370000}"/>
    <cellStyle name="Normal 16 3 8 4" xfId="14240" xr:uid="{00000000-0005-0000-0000-000090370000}"/>
    <cellStyle name="Normal 16 3 8 5" xfId="14241" xr:uid="{00000000-0005-0000-0000-000091370000}"/>
    <cellStyle name="Normal 16 3 8 6" xfId="14242" xr:uid="{00000000-0005-0000-0000-000092370000}"/>
    <cellStyle name="Normal 16 3 8 7" xfId="14243" xr:uid="{00000000-0005-0000-0000-000093370000}"/>
    <cellStyle name="Normal 16 3 8 8" xfId="14244" xr:uid="{00000000-0005-0000-0000-000094370000}"/>
    <cellStyle name="Normal 16 3 9" xfId="14245" xr:uid="{00000000-0005-0000-0000-000095370000}"/>
    <cellStyle name="Normal 16 3 9 2" xfId="14246" xr:uid="{00000000-0005-0000-0000-000096370000}"/>
    <cellStyle name="Normal 16 3 9 3" xfId="14247" xr:uid="{00000000-0005-0000-0000-000097370000}"/>
    <cellStyle name="Normal 16 3 9 4" xfId="14248" xr:uid="{00000000-0005-0000-0000-000098370000}"/>
    <cellStyle name="Normal 16 3 9 5" xfId="14249" xr:uid="{00000000-0005-0000-0000-000099370000}"/>
    <cellStyle name="Normal 16 3 9 6" xfId="14250" xr:uid="{00000000-0005-0000-0000-00009A370000}"/>
    <cellStyle name="Normal 16 4" xfId="14251" xr:uid="{00000000-0005-0000-0000-00009B370000}"/>
    <cellStyle name="Normal 16 4 10" xfId="14252" xr:uid="{00000000-0005-0000-0000-00009C370000}"/>
    <cellStyle name="Normal 16 4 11" xfId="14253" xr:uid="{00000000-0005-0000-0000-00009D370000}"/>
    <cellStyle name="Normal 16 4 12" xfId="14254" xr:uid="{00000000-0005-0000-0000-00009E370000}"/>
    <cellStyle name="Normal 16 4 13" xfId="14255" xr:uid="{00000000-0005-0000-0000-00009F370000}"/>
    <cellStyle name="Normal 16 4 14" xfId="14256" xr:uid="{00000000-0005-0000-0000-0000A0370000}"/>
    <cellStyle name="Normal 16 4 2" xfId="14257" xr:uid="{00000000-0005-0000-0000-0000A1370000}"/>
    <cellStyle name="Normal 16 4 2 10" xfId="14258" xr:uid="{00000000-0005-0000-0000-0000A2370000}"/>
    <cellStyle name="Normal 16 4 2 11" xfId="14259" xr:uid="{00000000-0005-0000-0000-0000A3370000}"/>
    <cellStyle name="Normal 16 4 2 12" xfId="14260" xr:uid="{00000000-0005-0000-0000-0000A4370000}"/>
    <cellStyle name="Normal 16 4 2 2" xfId="14261" xr:uid="{00000000-0005-0000-0000-0000A5370000}"/>
    <cellStyle name="Normal 16 4 2 2 10" xfId="14262" xr:uid="{00000000-0005-0000-0000-0000A6370000}"/>
    <cellStyle name="Normal 16 4 2 2 11" xfId="14263" xr:uid="{00000000-0005-0000-0000-0000A7370000}"/>
    <cellStyle name="Normal 16 4 2 2 2" xfId="14264" xr:uid="{00000000-0005-0000-0000-0000A8370000}"/>
    <cellStyle name="Normal 16 4 2 2 2 2" xfId="14265" xr:uid="{00000000-0005-0000-0000-0000A9370000}"/>
    <cellStyle name="Normal 16 4 2 2 2 2 2" xfId="14266" xr:uid="{00000000-0005-0000-0000-0000AA370000}"/>
    <cellStyle name="Normal 16 4 2 2 2 2 3" xfId="14267" xr:uid="{00000000-0005-0000-0000-0000AB370000}"/>
    <cellStyle name="Normal 16 4 2 2 2 2 4" xfId="14268" xr:uid="{00000000-0005-0000-0000-0000AC370000}"/>
    <cellStyle name="Normal 16 4 2 2 2 2 5" xfId="14269" xr:uid="{00000000-0005-0000-0000-0000AD370000}"/>
    <cellStyle name="Normal 16 4 2 2 2 2 6" xfId="14270" xr:uid="{00000000-0005-0000-0000-0000AE370000}"/>
    <cellStyle name="Normal 16 4 2 2 2 3" xfId="14271" xr:uid="{00000000-0005-0000-0000-0000AF370000}"/>
    <cellStyle name="Normal 16 4 2 2 2 3 2" xfId="14272" xr:uid="{00000000-0005-0000-0000-0000B0370000}"/>
    <cellStyle name="Normal 16 4 2 2 2 3 3" xfId="14273" xr:uid="{00000000-0005-0000-0000-0000B1370000}"/>
    <cellStyle name="Normal 16 4 2 2 2 3 4" xfId="14274" xr:uid="{00000000-0005-0000-0000-0000B2370000}"/>
    <cellStyle name="Normal 16 4 2 2 2 3 5" xfId="14275" xr:uid="{00000000-0005-0000-0000-0000B3370000}"/>
    <cellStyle name="Normal 16 4 2 2 2 3 6" xfId="14276" xr:uid="{00000000-0005-0000-0000-0000B4370000}"/>
    <cellStyle name="Normal 16 4 2 2 2 4" xfId="14277" xr:uid="{00000000-0005-0000-0000-0000B5370000}"/>
    <cellStyle name="Normal 16 4 2 2 2 5" xfId="14278" xr:uid="{00000000-0005-0000-0000-0000B6370000}"/>
    <cellStyle name="Normal 16 4 2 2 2 6" xfId="14279" xr:uid="{00000000-0005-0000-0000-0000B7370000}"/>
    <cellStyle name="Normal 16 4 2 2 2 7" xfId="14280" xr:uid="{00000000-0005-0000-0000-0000B8370000}"/>
    <cellStyle name="Normal 16 4 2 2 2 8" xfId="14281" xr:uid="{00000000-0005-0000-0000-0000B9370000}"/>
    <cellStyle name="Normal 16 4 2 2 3" xfId="14282" xr:uid="{00000000-0005-0000-0000-0000BA370000}"/>
    <cellStyle name="Normal 16 4 2 2 3 2" xfId="14283" xr:uid="{00000000-0005-0000-0000-0000BB370000}"/>
    <cellStyle name="Normal 16 4 2 2 3 2 2" xfId="14284" xr:uid="{00000000-0005-0000-0000-0000BC370000}"/>
    <cellStyle name="Normal 16 4 2 2 3 2 3" xfId="14285" xr:uid="{00000000-0005-0000-0000-0000BD370000}"/>
    <cellStyle name="Normal 16 4 2 2 3 2 4" xfId="14286" xr:uid="{00000000-0005-0000-0000-0000BE370000}"/>
    <cellStyle name="Normal 16 4 2 2 3 2 5" xfId="14287" xr:uid="{00000000-0005-0000-0000-0000BF370000}"/>
    <cellStyle name="Normal 16 4 2 2 3 2 6" xfId="14288" xr:uid="{00000000-0005-0000-0000-0000C0370000}"/>
    <cellStyle name="Normal 16 4 2 2 3 3" xfId="14289" xr:uid="{00000000-0005-0000-0000-0000C1370000}"/>
    <cellStyle name="Normal 16 4 2 2 3 3 2" xfId="14290" xr:uid="{00000000-0005-0000-0000-0000C2370000}"/>
    <cellStyle name="Normal 16 4 2 2 3 3 3" xfId="14291" xr:uid="{00000000-0005-0000-0000-0000C3370000}"/>
    <cellStyle name="Normal 16 4 2 2 3 3 4" xfId="14292" xr:uid="{00000000-0005-0000-0000-0000C4370000}"/>
    <cellStyle name="Normal 16 4 2 2 3 3 5" xfId="14293" xr:uid="{00000000-0005-0000-0000-0000C5370000}"/>
    <cellStyle name="Normal 16 4 2 2 3 3 6" xfId="14294" xr:uid="{00000000-0005-0000-0000-0000C6370000}"/>
    <cellStyle name="Normal 16 4 2 2 3 4" xfId="14295" xr:uid="{00000000-0005-0000-0000-0000C7370000}"/>
    <cellStyle name="Normal 16 4 2 2 3 5" xfId="14296" xr:uid="{00000000-0005-0000-0000-0000C8370000}"/>
    <cellStyle name="Normal 16 4 2 2 3 6" xfId="14297" xr:uid="{00000000-0005-0000-0000-0000C9370000}"/>
    <cellStyle name="Normal 16 4 2 2 3 7" xfId="14298" xr:uid="{00000000-0005-0000-0000-0000CA370000}"/>
    <cellStyle name="Normal 16 4 2 2 3 8" xfId="14299" xr:uid="{00000000-0005-0000-0000-0000CB370000}"/>
    <cellStyle name="Normal 16 4 2 2 4" xfId="14300" xr:uid="{00000000-0005-0000-0000-0000CC370000}"/>
    <cellStyle name="Normal 16 4 2 2 4 2" xfId="14301" xr:uid="{00000000-0005-0000-0000-0000CD370000}"/>
    <cellStyle name="Normal 16 4 2 2 4 2 2" xfId="14302" xr:uid="{00000000-0005-0000-0000-0000CE370000}"/>
    <cellStyle name="Normal 16 4 2 2 4 2 3" xfId="14303" xr:uid="{00000000-0005-0000-0000-0000CF370000}"/>
    <cellStyle name="Normal 16 4 2 2 4 2 4" xfId="14304" xr:uid="{00000000-0005-0000-0000-0000D0370000}"/>
    <cellStyle name="Normal 16 4 2 2 4 2 5" xfId="14305" xr:uid="{00000000-0005-0000-0000-0000D1370000}"/>
    <cellStyle name="Normal 16 4 2 2 4 2 6" xfId="14306" xr:uid="{00000000-0005-0000-0000-0000D2370000}"/>
    <cellStyle name="Normal 16 4 2 2 4 3" xfId="14307" xr:uid="{00000000-0005-0000-0000-0000D3370000}"/>
    <cellStyle name="Normal 16 4 2 2 4 3 2" xfId="14308" xr:uid="{00000000-0005-0000-0000-0000D4370000}"/>
    <cellStyle name="Normal 16 4 2 2 4 3 3" xfId="14309" xr:uid="{00000000-0005-0000-0000-0000D5370000}"/>
    <cellStyle name="Normal 16 4 2 2 4 3 4" xfId="14310" xr:uid="{00000000-0005-0000-0000-0000D6370000}"/>
    <cellStyle name="Normal 16 4 2 2 4 3 5" xfId="14311" xr:uid="{00000000-0005-0000-0000-0000D7370000}"/>
    <cellStyle name="Normal 16 4 2 2 4 3 6" xfId="14312" xr:uid="{00000000-0005-0000-0000-0000D8370000}"/>
    <cellStyle name="Normal 16 4 2 2 4 4" xfId="14313" xr:uid="{00000000-0005-0000-0000-0000D9370000}"/>
    <cellStyle name="Normal 16 4 2 2 4 5" xfId="14314" xr:uid="{00000000-0005-0000-0000-0000DA370000}"/>
    <cellStyle name="Normal 16 4 2 2 4 6" xfId="14315" xr:uid="{00000000-0005-0000-0000-0000DB370000}"/>
    <cellStyle name="Normal 16 4 2 2 4 7" xfId="14316" xr:uid="{00000000-0005-0000-0000-0000DC370000}"/>
    <cellStyle name="Normal 16 4 2 2 4 8" xfId="14317" xr:uid="{00000000-0005-0000-0000-0000DD370000}"/>
    <cellStyle name="Normal 16 4 2 2 5" xfId="14318" xr:uid="{00000000-0005-0000-0000-0000DE370000}"/>
    <cellStyle name="Normal 16 4 2 2 5 2" xfId="14319" xr:uid="{00000000-0005-0000-0000-0000DF370000}"/>
    <cellStyle name="Normal 16 4 2 2 5 3" xfId="14320" xr:uid="{00000000-0005-0000-0000-0000E0370000}"/>
    <cellStyle name="Normal 16 4 2 2 5 4" xfId="14321" xr:uid="{00000000-0005-0000-0000-0000E1370000}"/>
    <cellStyle name="Normal 16 4 2 2 5 5" xfId="14322" xr:uid="{00000000-0005-0000-0000-0000E2370000}"/>
    <cellStyle name="Normal 16 4 2 2 5 6" xfId="14323" xr:uid="{00000000-0005-0000-0000-0000E3370000}"/>
    <cellStyle name="Normal 16 4 2 2 6" xfId="14324" xr:uid="{00000000-0005-0000-0000-0000E4370000}"/>
    <cellStyle name="Normal 16 4 2 2 6 2" xfId="14325" xr:uid="{00000000-0005-0000-0000-0000E5370000}"/>
    <cellStyle name="Normal 16 4 2 2 6 3" xfId="14326" xr:uid="{00000000-0005-0000-0000-0000E6370000}"/>
    <cellStyle name="Normal 16 4 2 2 6 4" xfId="14327" xr:uid="{00000000-0005-0000-0000-0000E7370000}"/>
    <cellStyle name="Normal 16 4 2 2 6 5" xfId="14328" xr:uid="{00000000-0005-0000-0000-0000E8370000}"/>
    <cellStyle name="Normal 16 4 2 2 6 6" xfId="14329" xr:uid="{00000000-0005-0000-0000-0000E9370000}"/>
    <cellStyle name="Normal 16 4 2 2 7" xfId="14330" xr:uid="{00000000-0005-0000-0000-0000EA370000}"/>
    <cellStyle name="Normal 16 4 2 2 8" xfId="14331" xr:uid="{00000000-0005-0000-0000-0000EB370000}"/>
    <cellStyle name="Normal 16 4 2 2 9" xfId="14332" xr:uid="{00000000-0005-0000-0000-0000EC370000}"/>
    <cellStyle name="Normal 16 4 2 3" xfId="14333" xr:uid="{00000000-0005-0000-0000-0000ED370000}"/>
    <cellStyle name="Normal 16 4 2 3 2" xfId="14334" xr:uid="{00000000-0005-0000-0000-0000EE370000}"/>
    <cellStyle name="Normal 16 4 2 3 2 2" xfId="14335" xr:uid="{00000000-0005-0000-0000-0000EF370000}"/>
    <cellStyle name="Normal 16 4 2 3 2 3" xfId="14336" xr:uid="{00000000-0005-0000-0000-0000F0370000}"/>
    <cellStyle name="Normal 16 4 2 3 2 4" xfId="14337" xr:uid="{00000000-0005-0000-0000-0000F1370000}"/>
    <cellStyle name="Normal 16 4 2 3 2 5" xfId="14338" xr:uid="{00000000-0005-0000-0000-0000F2370000}"/>
    <cellStyle name="Normal 16 4 2 3 2 6" xfId="14339" xr:uid="{00000000-0005-0000-0000-0000F3370000}"/>
    <cellStyle name="Normal 16 4 2 3 3" xfId="14340" xr:uid="{00000000-0005-0000-0000-0000F4370000}"/>
    <cellStyle name="Normal 16 4 2 3 3 2" xfId="14341" xr:uid="{00000000-0005-0000-0000-0000F5370000}"/>
    <cellStyle name="Normal 16 4 2 3 3 3" xfId="14342" xr:uid="{00000000-0005-0000-0000-0000F6370000}"/>
    <cellStyle name="Normal 16 4 2 3 3 4" xfId="14343" xr:uid="{00000000-0005-0000-0000-0000F7370000}"/>
    <cellStyle name="Normal 16 4 2 3 3 5" xfId="14344" xr:uid="{00000000-0005-0000-0000-0000F8370000}"/>
    <cellStyle name="Normal 16 4 2 3 3 6" xfId="14345" xr:uid="{00000000-0005-0000-0000-0000F9370000}"/>
    <cellStyle name="Normal 16 4 2 3 4" xfId="14346" xr:uid="{00000000-0005-0000-0000-0000FA370000}"/>
    <cellStyle name="Normal 16 4 2 3 5" xfId="14347" xr:uid="{00000000-0005-0000-0000-0000FB370000}"/>
    <cellStyle name="Normal 16 4 2 3 6" xfId="14348" xr:uid="{00000000-0005-0000-0000-0000FC370000}"/>
    <cellStyle name="Normal 16 4 2 3 7" xfId="14349" xr:uid="{00000000-0005-0000-0000-0000FD370000}"/>
    <cellStyle name="Normal 16 4 2 3 8" xfId="14350" xr:uid="{00000000-0005-0000-0000-0000FE370000}"/>
    <cellStyle name="Normal 16 4 2 4" xfId="14351" xr:uid="{00000000-0005-0000-0000-0000FF370000}"/>
    <cellStyle name="Normal 16 4 2 4 2" xfId="14352" xr:uid="{00000000-0005-0000-0000-000000380000}"/>
    <cellStyle name="Normal 16 4 2 4 2 2" xfId="14353" xr:uid="{00000000-0005-0000-0000-000001380000}"/>
    <cellStyle name="Normal 16 4 2 4 2 3" xfId="14354" xr:uid="{00000000-0005-0000-0000-000002380000}"/>
    <cellStyle name="Normal 16 4 2 4 2 4" xfId="14355" xr:uid="{00000000-0005-0000-0000-000003380000}"/>
    <cellStyle name="Normal 16 4 2 4 2 5" xfId="14356" xr:uid="{00000000-0005-0000-0000-000004380000}"/>
    <cellStyle name="Normal 16 4 2 4 2 6" xfId="14357" xr:uid="{00000000-0005-0000-0000-000005380000}"/>
    <cellStyle name="Normal 16 4 2 4 3" xfId="14358" xr:uid="{00000000-0005-0000-0000-000006380000}"/>
    <cellStyle name="Normal 16 4 2 4 3 2" xfId="14359" xr:uid="{00000000-0005-0000-0000-000007380000}"/>
    <cellStyle name="Normal 16 4 2 4 3 3" xfId="14360" xr:uid="{00000000-0005-0000-0000-000008380000}"/>
    <cellStyle name="Normal 16 4 2 4 3 4" xfId="14361" xr:uid="{00000000-0005-0000-0000-000009380000}"/>
    <cellStyle name="Normal 16 4 2 4 3 5" xfId="14362" xr:uid="{00000000-0005-0000-0000-00000A380000}"/>
    <cellStyle name="Normal 16 4 2 4 3 6" xfId="14363" xr:uid="{00000000-0005-0000-0000-00000B380000}"/>
    <cellStyle name="Normal 16 4 2 4 4" xfId="14364" xr:uid="{00000000-0005-0000-0000-00000C380000}"/>
    <cellStyle name="Normal 16 4 2 4 5" xfId="14365" xr:uid="{00000000-0005-0000-0000-00000D380000}"/>
    <cellStyle name="Normal 16 4 2 4 6" xfId="14366" xr:uid="{00000000-0005-0000-0000-00000E380000}"/>
    <cellStyle name="Normal 16 4 2 4 7" xfId="14367" xr:uid="{00000000-0005-0000-0000-00000F380000}"/>
    <cellStyle name="Normal 16 4 2 4 8" xfId="14368" xr:uid="{00000000-0005-0000-0000-000010380000}"/>
    <cellStyle name="Normal 16 4 2 5" xfId="14369" xr:uid="{00000000-0005-0000-0000-000011380000}"/>
    <cellStyle name="Normal 16 4 2 5 2" xfId="14370" xr:uid="{00000000-0005-0000-0000-000012380000}"/>
    <cellStyle name="Normal 16 4 2 5 2 2" xfId="14371" xr:uid="{00000000-0005-0000-0000-000013380000}"/>
    <cellStyle name="Normal 16 4 2 5 2 3" xfId="14372" xr:uid="{00000000-0005-0000-0000-000014380000}"/>
    <cellStyle name="Normal 16 4 2 5 2 4" xfId="14373" xr:uid="{00000000-0005-0000-0000-000015380000}"/>
    <cellStyle name="Normal 16 4 2 5 2 5" xfId="14374" xr:uid="{00000000-0005-0000-0000-000016380000}"/>
    <cellStyle name="Normal 16 4 2 5 2 6" xfId="14375" xr:uid="{00000000-0005-0000-0000-000017380000}"/>
    <cellStyle name="Normal 16 4 2 5 3" xfId="14376" xr:uid="{00000000-0005-0000-0000-000018380000}"/>
    <cellStyle name="Normal 16 4 2 5 3 2" xfId="14377" xr:uid="{00000000-0005-0000-0000-000019380000}"/>
    <cellStyle name="Normal 16 4 2 5 3 3" xfId="14378" xr:uid="{00000000-0005-0000-0000-00001A380000}"/>
    <cellStyle name="Normal 16 4 2 5 3 4" xfId="14379" xr:uid="{00000000-0005-0000-0000-00001B380000}"/>
    <cellStyle name="Normal 16 4 2 5 3 5" xfId="14380" xr:uid="{00000000-0005-0000-0000-00001C380000}"/>
    <cellStyle name="Normal 16 4 2 5 3 6" xfId="14381" xr:uid="{00000000-0005-0000-0000-00001D380000}"/>
    <cellStyle name="Normal 16 4 2 5 4" xfId="14382" xr:uid="{00000000-0005-0000-0000-00001E380000}"/>
    <cellStyle name="Normal 16 4 2 5 5" xfId="14383" xr:uid="{00000000-0005-0000-0000-00001F380000}"/>
    <cellStyle name="Normal 16 4 2 5 6" xfId="14384" xr:uid="{00000000-0005-0000-0000-000020380000}"/>
    <cellStyle name="Normal 16 4 2 5 7" xfId="14385" xr:uid="{00000000-0005-0000-0000-000021380000}"/>
    <cellStyle name="Normal 16 4 2 5 8" xfId="14386" xr:uid="{00000000-0005-0000-0000-000022380000}"/>
    <cellStyle name="Normal 16 4 2 6" xfId="14387" xr:uid="{00000000-0005-0000-0000-000023380000}"/>
    <cellStyle name="Normal 16 4 2 6 2" xfId="14388" xr:uid="{00000000-0005-0000-0000-000024380000}"/>
    <cellStyle name="Normal 16 4 2 6 3" xfId="14389" xr:uid="{00000000-0005-0000-0000-000025380000}"/>
    <cellStyle name="Normal 16 4 2 6 4" xfId="14390" xr:uid="{00000000-0005-0000-0000-000026380000}"/>
    <cellStyle name="Normal 16 4 2 6 5" xfId="14391" xr:uid="{00000000-0005-0000-0000-000027380000}"/>
    <cellStyle name="Normal 16 4 2 6 6" xfId="14392" xr:uid="{00000000-0005-0000-0000-000028380000}"/>
    <cellStyle name="Normal 16 4 2 7" xfId="14393" xr:uid="{00000000-0005-0000-0000-000029380000}"/>
    <cellStyle name="Normal 16 4 2 7 2" xfId="14394" xr:uid="{00000000-0005-0000-0000-00002A380000}"/>
    <cellStyle name="Normal 16 4 2 7 3" xfId="14395" xr:uid="{00000000-0005-0000-0000-00002B380000}"/>
    <cellStyle name="Normal 16 4 2 7 4" xfId="14396" xr:uid="{00000000-0005-0000-0000-00002C380000}"/>
    <cellStyle name="Normal 16 4 2 7 5" xfId="14397" xr:uid="{00000000-0005-0000-0000-00002D380000}"/>
    <cellStyle name="Normal 16 4 2 7 6" xfId="14398" xr:uid="{00000000-0005-0000-0000-00002E380000}"/>
    <cellStyle name="Normal 16 4 2 8" xfId="14399" xr:uid="{00000000-0005-0000-0000-00002F380000}"/>
    <cellStyle name="Normal 16 4 2 9" xfId="14400" xr:uid="{00000000-0005-0000-0000-000030380000}"/>
    <cellStyle name="Normal 16 4 3" xfId="14401" xr:uid="{00000000-0005-0000-0000-000031380000}"/>
    <cellStyle name="Normal 16 4 3 10" xfId="14402" xr:uid="{00000000-0005-0000-0000-000032380000}"/>
    <cellStyle name="Normal 16 4 3 11" xfId="14403" xr:uid="{00000000-0005-0000-0000-000033380000}"/>
    <cellStyle name="Normal 16 4 3 12" xfId="14404" xr:uid="{00000000-0005-0000-0000-000034380000}"/>
    <cellStyle name="Normal 16 4 3 2" xfId="14405" xr:uid="{00000000-0005-0000-0000-000035380000}"/>
    <cellStyle name="Normal 16 4 3 2 10" xfId="14406" xr:uid="{00000000-0005-0000-0000-000036380000}"/>
    <cellStyle name="Normal 16 4 3 2 11" xfId="14407" xr:uid="{00000000-0005-0000-0000-000037380000}"/>
    <cellStyle name="Normal 16 4 3 2 2" xfId="14408" xr:uid="{00000000-0005-0000-0000-000038380000}"/>
    <cellStyle name="Normal 16 4 3 2 2 2" xfId="14409" xr:uid="{00000000-0005-0000-0000-000039380000}"/>
    <cellStyle name="Normal 16 4 3 2 2 2 2" xfId="14410" xr:uid="{00000000-0005-0000-0000-00003A380000}"/>
    <cellStyle name="Normal 16 4 3 2 2 2 3" xfId="14411" xr:uid="{00000000-0005-0000-0000-00003B380000}"/>
    <cellStyle name="Normal 16 4 3 2 2 2 4" xfId="14412" xr:uid="{00000000-0005-0000-0000-00003C380000}"/>
    <cellStyle name="Normal 16 4 3 2 2 2 5" xfId="14413" xr:uid="{00000000-0005-0000-0000-00003D380000}"/>
    <cellStyle name="Normal 16 4 3 2 2 2 6" xfId="14414" xr:uid="{00000000-0005-0000-0000-00003E380000}"/>
    <cellStyle name="Normal 16 4 3 2 2 3" xfId="14415" xr:uid="{00000000-0005-0000-0000-00003F380000}"/>
    <cellStyle name="Normal 16 4 3 2 2 3 2" xfId="14416" xr:uid="{00000000-0005-0000-0000-000040380000}"/>
    <cellStyle name="Normal 16 4 3 2 2 3 3" xfId="14417" xr:uid="{00000000-0005-0000-0000-000041380000}"/>
    <cellStyle name="Normal 16 4 3 2 2 3 4" xfId="14418" xr:uid="{00000000-0005-0000-0000-000042380000}"/>
    <cellStyle name="Normal 16 4 3 2 2 3 5" xfId="14419" xr:uid="{00000000-0005-0000-0000-000043380000}"/>
    <cellStyle name="Normal 16 4 3 2 2 3 6" xfId="14420" xr:uid="{00000000-0005-0000-0000-000044380000}"/>
    <cellStyle name="Normal 16 4 3 2 2 4" xfId="14421" xr:uid="{00000000-0005-0000-0000-000045380000}"/>
    <cellStyle name="Normal 16 4 3 2 2 5" xfId="14422" xr:uid="{00000000-0005-0000-0000-000046380000}"/>
    <cellStyle name="Normal 16 4 3 2 2 6" xfId="14423" xr:uid="{00000000-0005-0000-0000-000047380000}"/>
    <cellStyle name="Normal 16 4 3 2 2 7" xfId="14424" xr:uid="{00000000-0005-0000-0000-000048380000}"/>
    <cellStyle name="Normal 16 4 3 2 2 8" xfId="14425" xr:uid="{00000000-0005-0000-0000-000049380000}"/>
    <cellStyle name="Normal 16 4 3 2 3" xfId="14426" xr:uid="{00000000-0005-0000-0000-00004A380000}"/>
    <cellStyle name="Normal 16 4 3 2 3 2" xfId="14427" xr:uid="{00000000-0005-0000-0000-00004B380000}"/>
    <cellStyle name="Normal 16 4 3 2 3 2 2" xfId="14428" xr:uid="{00000000-0005-0000-0000-00004C380000}"/>
    <cellStyle name="Normal 16 4 3 2 3 2 3" xfId="14429" xr:uid="{00000000-0005-0000-0000-00004D380000}"/>
    <cellStyle name="Normal 16 4 3 2 3 2 4" xfId="14430" xr:uid="{00000000-0005-0000-0000-00004E380000}"/>
    <cellStyle name="Normal 16 4 3 2 3 2 5" xfId="14431" xr:uid="{00000000-0005-0000-0000-00004F380000}"/>
    <cellStyle name="Normal 16 4 3 2 3 2 6" xfId="14432" xr:uid="{00000000-0005-0000-0000-000050380000}"/>
    <cellStyle name="Normal 16 4 3 2 3 3" xfId="14433" xr:uid="{00000000-0005-0000-0000-000051380000}"/>
    <cellStyle name="Normal 16 4 3 2 3 3 2" xfId="14434" xr:uid="{00000000-0005-0000-0000-000052380000}"/>
    <cellStyle name="Normal 16 4 3 2 3 3 3" xfId="14435" xr:uid="{00000000-0005-0000-0000-000053380000}"/>
    <cellStyle name="Normal 16 4 3 2 3 3 4" xfId="14436" xr:uid="{00000000-0005-0000-0000-000054380000}"/>
    <cellStyle name="Normal 16 4 3 2 3 3 5" xfId="14437" xr:uid="{00000000-0005-0000-0000-000055380000}"/>
    <cellStyle name="Normal 16 4 3 2 3 3 6" xfId="14438" xr:uid="{00000000-0005-0000-0000-000056380000}"/>
    <cellStyle name="Normal 16 4 3 2 3 4" xfId="14439" xr:uid="{00000000-0005-0000-0000-000057380000}"/>
    <cellStyle name="Normal 16 4 3 2 3 5" xfId="14440" xr:uid="{00000000-0005-0000-0000-000058380000}"/>
    <cellStyle name="Normal 16 4 3 2 3 6" xfId="14441" xr:uid="{00000000-0005-0000-0000-000059380000}"/>
    <cellStyle name="Normal 16 4 3 2 3 7" xfId="14442" xr:uid="{00000000-0005-0000-0000-00005A380000}"/>
    <cellStyle name="Normal 16 4 3 2 3 8" xfId="14443" xr:uid="{00000000-0005-0000-0000-00005B380000}"/>
    <cellStyle name="Normal 16 4 3 2 4" xfId="14444" xr:uid="{00000000-0005-0000-0000-00005C380000}"/>
    <cellStyle name="Normal 16 4 3 2 4 2" xfId="14445" xr:uid="{00000000-0005-0000-0000-00005D380000}"/>
    <cellStyle name="Normal 16 4 3 2 4 2 2" xfId="14446" xr:uid="{00000000-0005-0000-0000-00005E380000}"/>
    <cellStyle name="Normal 16 4 3 2 4 2 3" xfId="14447" xr:uid="{00000000-0005-0000-0000-00005F380000}"/>
    <cellStyle name="Normal 16 4 3 2 4 2 4" xfId="14448" xr:uid="{00000000-0005-0000-0000-000060380000}"/>
    <cellStyle name="Normal 16 4 3 2 4 2 5" xfId="14449" xr:uid="{00000000-0005-0000-0000-000061380000}"/>
    <cellStyle name="Normal 16 4 3 2 4 2 6" xfId="14450" xr:uid="{00000000-0005-0000-0000-000062380000}"/>
    <cellStyle name="Normal 16 4 3 2 4 3" xfId="14451" xr:uid="{00000000-0005-0000-0000-000063380000}"/>
    <cellStyle name="Normal 16 4 3 2 4 3 2" xfId="14452" xr:uid="{00000000-0005-0000-0000-000064380000}"/>
    <cellStyle name="Normal 16 4 3 2 4 3 3" xfId="14453" xr:uid="{00000000-0005-0000-0000-000065380000}"/>
    <cellStyle name="Normal 16 4 3 2 4 3 4" xfId="14454" xr:uid="{00000000-0005-0000-0000-000066380000}"/>
    <cellStyle name="Normal 16 4 3 2 4 3 5" xfId="14455" xr:uid="{00000000-0005-0000-0000-000067380000}"/>
    <cellStyle name="Normal 16 4 3 2 4 3 6" xfId="14456" xr:uid="{00000000-0005-0000-0000-000068380000}"/>
    <cellStyle name="Normal 16 4 3 2 4 4" xfId="14457" xr:uid="{00000000-0005-0000-0000-000069380000}"/>
    <cellStyle name="Normal 16 4 3 2 4 5" xfId="14458" xr:uid="{00000000-0005-0000-0000-00006A380000}"/>
    <cellStyle name="Normal 16 4 3 2 4 6" xfId="14459" xr:uid="{00000000-0005-0000-0000-00006B380000}"/>
    <cellStyle name="Normal 16 4 3 2 4 7" xfId="14460" xr:uid="{00000000-0005-0000-0000-00006C380000}"/>
    <cellStyle name="Normal 16 4 3 2 4 8" xfId="14461" xr:uid="{00000000-0005-0000-0000-00006D380000}"/>
    <cellStyle name="Normal 16 4 3 2 5" xfId="14462" xr:uid="{00000000-0005-0000-0000-00006E380000}"/>
    <cellStyle name="Normal 16 4 3 2 5 2" xfId="14463" xr:uid="{00000000-0005-0000-0000-00006F380000}"/>
    <cellStyle name="Normal 16 4 3 2 5 3" xfId="14464" xr:uid="{00000000-0005-0000-0000-000070380000}"/>
    <cellStyle name="Normal 16 4 3 2 5 4" xfId="14465" xr:uid="{00000000-0005-0000-0000-000071380000}"/>
    <cellStyle name="Normal 16 4 3 2 5 5" xfId="14466" xr:uid="{00000000-0005-0000-0000-000072380000}"/>
    <cellStyle name="Normal 16 4 3 2 5 6" xfId="14467" xr:uid="{00000000-0005-0000-0000-000073380000}"/>
    <cellStyle name="Normal 16 4 3 2 6" xfId="14468" xr:uid="{00000000-0005-0000-0000-000074380000}"/>
    <cellStyle name="Normal 16 4 3 2 6 2" xfId="14469" xr:uid="{00000000-0005-0000-0000-000075380000}"/>
    <cellStyle name="Normal 16 4 3 2 6 3" xfId="14470" xr:uid="{00000000-0005-0000-0000-000076380000}"/>
    <cellStyle name="Normal 16 4 3 2 6 4" xfId="14471" xr:uid="{00000000-0005-0000-0000-000077380000}"/>
    <cellStyle name="Normal 16 4 3 2 6 5" xfId="14472" xr:uid="{00000000-0005-0000-0000-000078380000}"/>
    <cellStyle name="Normal 16 4 3 2 6 6" xfId="14473" xr:uid="{00000000-0005-0000-0000-000079380000}"/>
    <cellStyle name="Normal 16 4 3 2 7" xfId="14474" xr:uid="{00000000-0005-0000-0000-00007A380000}"/>
    <cellStyle name="Normal 16 4 3 2 8" xfId="14475" xr:uid="{00000000-0005-0000-0000-00007B380000}"/>
    <cellStyle name="Normal 16 4 3 2 9" xfId="14476" xr:uid="{00000000-0005-0000-0000-00007C380000}"/>
    <cellStyle name="Normal 16 4 3 3" xfId="14477" xr:uid="{00000000-0005-0000-0000-00007D380000}"/>
    <cellStyle name="Normal 16 4 3 3 2" xfId="14478" xr:uid="{00000000-0005-0000-0000-00007E380000}"/>
    <cellStyle name="Normal 16 4 3 3 2 2" xfId="14479" xr:uid="{00000000-0005-0000-0000-00007F380000}"/>
    <cellStyle name="Normal 16 4 3 3 2 3" xfId="14480" xr:uid="{00000000-0005-0000-0000-000080380000}"/>
    <cellStyle name="Normal 16 4 3 3 2 4" xfId="14481" xr:uid="{00000000-0005-0000-0000-000081380000}"/>
    <cellStyle name="Normal 16 4 3 3 2 5" xfId="14482" xr:uid="{00000000-0005-0000-0000-000082380000}"/>
    <cellStyle name="Normal 16 4 3 3 2 6" xfId="14483" xr:uid="{00000000-0005-0000-0000-000083380000}"/>
    <cellStyle name="Normal 16 4 3 3 3" xfId="14484" xr:uid="{00000000-0005-0000-0000-000084380000}"/>
    <cellStyle name="Normal 16 4 3 3 3 2" xfId="14485" xr:uid="{00000000-0005-0000-0000-000085380000}"/>
    <cellStyle name="Normal 16 4 3 3 3 3" xfId="14486" xr:uid="{00000000-0005-0000-0000-000086380000}"/>
    <cellStyle name="Normal 16 4 3 3 3 4" xfId="14487" xr:uid="{00000000-0005-0000-0000-000087380000}"/>
    <cellStyle name="Normal 16 4 3 3 3 5" xfId="14488" xr:uid="{00000000-0005-0000-0000-000088380000}"/>
    <cellStyle name="Normal 16 4 3 3 3 6" xfId="14489" xr:uid="{00000000-0005-0000-0000-000089380000}"/>
    <cellStyle name="Normal 16 4 3 3 4" xfId="14490" xr:uid="{00000000-0005-0000-0000-00008A380000}"/>
    <cellStyle name="Normal 16 4 3 3 5" xfId="14491" xr:uid="{00000000-0005-0000-0000-00008B380000}"/>
    <cellStyle name="Normal 16 4 3 3 6" xfId="14492" xr:uid="{00000000-0005-0000-0000-00008C380000}"/>
    <cellStyle name="Normal 16 4 3 3 7" xfId="14493" xr:uid="{00000000-0005-0000-0000-00008D380000}"/>
    <cellStyle name="Normal 16 4 3 3 8" xfId="14494" xr:uid="{00000000-0005-0000-0000-00008E380000}"/>
    <cellStyle name="Normal 16 4 3 4" xfId="14495" xr:uid="{00000000-0005-0000-0000-00008F380000}"/>
    <cellStyle name="Normal 16 4 3 4 2" xfId="14496" xr:uid="{00000000-0005-0000-0000-000090380000}"/>
    <cellStyle name="Normal 16 4 3 4 2 2" xfId="14497" xr:uid="{00000000-0005-0000-0000-000091380000}"/>
    <cellStyle name="Normal 16 4 3 4 2 3" xfId="14498" xr:uid="{00000000-0005-0000-0000-000092380000}"/>
    <cellStyle name="Normal 16 4 3 4 2 4" xfId="14499" xr:uid="{00000000-0005-0000-0000-000093380000}"/>
    <cellStyle name="Normal 16 4 3 4 2 5" xfId="14500" xr:uid="{00000000-0005-0000-0000-000094380000}"/>
    <cellStyle name="Normal 16 4 3 4 2 6" xfId="14501" xr:uid="{00000000-0005-0000-0000-000095380000}"/>
    <cellStyle name="Normal 16 4 3 4 3" xfId="14502" xr:uid="{00000000-0005-0000-0000-000096380000}"/>
    <cellStyle name="Normal 16 4 3 4 3 2" xfId="14503" xr:uid="{00000000-0005-0000-0000-000097380000}"/>
    <cellStyle name="Normal 16 4 3 4 3 3" xfId="14504" xr:uid="{00000000-0005-0000-0000-000098380000}"/>
    <cellStyle name="Normal 16 4 3 4 3 4" xfId="14505" xr:uid="{00000000-0005-0000-0000-000099380000}"/>
    <cellStyle name="Normal 16 4 3 4 3 5" xfId="14506" xr:uid="{00000000-0005-0000-0000-00009A380000}"/>
    <cellStyle name="Normal 16 4 3 4 3 6" xfId="14507" xr:uid="{00000000-0005-0000-0000-00009B380000}"/>
    <cellStyle name="Normal 16 4 3 4 4" xfId="14508" xr:uid="{00000000-0005-0000-0000-00009C380000}"/>
    <cellStyle name="Normal 16 4 3 4 5" xfId="14509" xr:uid="{00000000-0005-0000-0000-00009D380000}"/>
    <cellStyle name="Normal 16 4 3 4 6" xfId="14510" xr:uid="{00000000-0005-0000-0000-00009E380000}"/>
    <cellStyle name="Normal 16 4 3 4 7" xfId="14511" xr:uid="{00000000-0005-0000-0000-00009F380000}"/>
    <cellStyle name="Normal 16 4 3 4 8" xfId="14512" xr:uid="{00000000-0005-0000-0000-0000A0380000}"/>
    <cellStyle name="Normal 16 4 3 5" xfId="14513" xr:uid="{00000000-0005-0000-0000-0000A1380000}"/>
    <cellStyle name="Normal 16 4 3 5 2" xfId="14514" xr:uid="{00000000-0005-0000-0000-0000A2380000}"/>
    <cellStyle name="Normal 16 4 3 5 2 2" xfId="14515" xr:uid="{00000000-0005-0000-0000-0000A3380000}"/>
    <cellStyle name="Normal 16 4 3 5 2 3" xfId="14516" xr:uid="{00000000-0005-0000-0000-0000A4380000}"/>
    <cellStyle name="Normal 16 4 3 5 2 4" xfId="14517" xr:uid="{00000000-0005-0000-0000-0000A5380000}"/>
    <cellStyle name="Normal 16 4 3 5 2 5" xfId="14518" xr:uid="{00000000-0005-0000-0000-0000A6380000}"/>
    <cellStyle name="Normal 16 4 3 5 2 6" xfId="14519" xr:uid="{00000000-0005-0000-0000-0000A7380000}"/>
    <cellStyle name="Normal 16 4 3 5 3" xfId="14520" xr:uid="{00000000-0005-0000-0000-0000A8380000}"/>
    <cellStyle name="Normal 16 4 3 5 3 2" xfId="14521" xr:uid="{00000000-0005-0000-0000-0000A9380000}"/>
    <cellStyle name="Normal 16 4 3 5 3 3" xfId="14522" xr:uid="{00000000-0005-0000-0000-0000AA380000}"/>
    <cellStyle name="Normal 16 4 3 5 3 4" xfId="14523" xr:uid="{00000000-0005-0000-0000-0000AB380000}"/>
    <cellStyle name="Normal 16 4 3 5 3 5" xfId="14524" xr:uid="{00000000-0005-0000-0000-0000AC380000}"/>
    <cellStyle name="Normal 16 4 3 5 3 6" xfId="14525" xr:uid="{00000000-0005-0000-0000-0000AD380000}"/>
    <cellStyle name="Normal 16 4 3 5 4" xfId="14526" xr:uid="{00000000-0005-0000-0000-0000AE380000}"/>
    <cellStyle name="Normal 16 4 3 5 5" xfId="14527" xr:uid="{00000000-0005-0000-0000-0000AF380000}"/>
    <cellStyle name="Normal 16 4 3 5 6" xfId="14528" xr:uid="{00000000-0005-0000-0000-0000B0380000}"/>
    <cellStyle name="Normal 16 4 3 5 7" xfId="14529" xr:uid="{00000000-0005-0000-0000-0000B1380000}"/>
    <cellStyle name="Normal 16 4 3 5 8" xfId="14530" xr:uid="{00000000-0005-0000-0000-0000B2380000}"/>
    <cellStyle name="Normal 16 4 3 6" xfId="14531" xr:uid="{00000000-0005-0000-0000-0000B3380000}"/>
    <cellStyle name="Normal 16 4 3 6 2" xfId="14532" xr:uid="{00000000-0005-0000-0000-0000B4380000}"/>
    <cellStyle name="Normal 16 4 3 6 3" xfId="14533" xr:uid="{00000000-0005-0000-0000-0000B5380000}"/>
    <cellStyle name="Normal 16 4 3 6 4" xfId="14534" xr:uid="{00000000-0005-0000-0000-0000B6380000}"/>
    <cellStyle name="Normal 16 4 3 6 5" xfId="14535" xr:uid="{00000000-0005-0000-0000-0000B7380000}"/>
    <cellStyle name="Normal 16 4 3 6 6" xfId="14536" xr:uid="{00000000-0005-0000-0000-0000B8380000}"/>
    <cellStyle name="Normal 16 4 3 7" xfId="14537" xr:uid="{00000000-0005-0000-0000-0000B9380000}"/>
    <cellStyle name="Normal 16 4 3 7 2" xfId="14538" xr:uid="{00000000-0005-0000-0000-0000BA380000}"/>
    <cellStyle name="Normal 16 4 3 7 3" xfId="14539" xr:uid="{00000000-0005-0000-0000-0000BB380000}"/>
    <cellStyle name="Normal 16 4 3 7 4" xfId="14540" xr:uid="{00000000-0005-0000-0000-0000BC380000}"/>
    <cellStyle name="Normal 16 4 3 7 5" xfId="14541" xr:uid="{00000000-0005-0000-0000-0000BD380000}"/>
    <cellStyle name="Normal 16 4 3 7 6" xfId="14542" xr:uid="{00000000-0005-0000-0000-0000BE380000}"/>
    <cellStyle name="Normal 16 4 3 8" xfId="14543" xr:uid="{00000000-0005-0000-0000-0000BF380000}"/>
    <cellStyle name="Normal 16 4 3 9" xfId="14544" xr:uid="{00000000-0005-0000-0000-0000C0380000}"/>
    <cellStyle name="Normal 16 4 4" xfId="14545" xr:uid="{00000000-0005-0000-0000-0000C1380000}"/>
    <cellStyle name="Normal 16 4 4 10" xfId="14546" xr:uid="{00000000-0005-0000-0000-0000C2380000}"/>
    <cellStyle name="Normal 16 4 4 11" xfId="14547" xr:uid="{00000000-0005-0000-0000-0000C3380000}"/>
    <cellStyle name="Normal 16 4 4 2" xfId="14548" xr:uid="{00000000-0005-0000-0000-0000C4380000}"/>
    <cellStyle name="Normal 16 4 4 2 2" xfId="14549" xr:uid="{00000000-0005-0000-0000-0000C5380000}"/>
    <cellStyle name="Normal 16 4 4 2 2 2" xfId="14550" xr:uid="{00000000-0005-0000-0000-0000C6380000}"/>
    <cellStyle name="Normal 16 4 4 2 2 3" xfId="14551" xr:uid="{00000000-0005-0000-0000-0000C7380000}"/>
    <cellStyle name="Normal 16 4 4 2 2 4" xfId="14552" xr:uid="{00000000-0005-0000-0000-0000C8380000}"/>
    <cellStyle name="Normal 16 4 4 2 2 5" xfId="14553" xr:uid="{00000000-0005-0000-0000-0000C9380000}"/>
    <cellStyle name="Normal 16 4 4 2 2 6" xfId="14554" xr:uid="{00000000-0005-0000-0000-0000CA380000}"/>
    <cellStyle name="Normal 16 4 4 2 3" xfId="14555" xr:uid="{00000000-0005-0000-0000-0000CB380000}"/>
    <cellStyle name="Normal 16 4 4 2 3 2" xfId="14556" xr:uid="{00000000-0005-0000-0000-0000CC380000}"/>
    <cellStyle name="Normal 16 4 4 2 3 3" xfId="14557" xr:uid="{00000000-0005-0000-0000-0000CD380000}"/>
    <cellStyle name="Normal 16 4 4 2 3 4" xfId="14558" xr:uid="{00000000-0005-0000-0000-0000CE380000}"/>
    <cellStyle name="Normal 16 4 4 2 3 5" xfId="14559" xr:uid="{00000000-0005-0000-0000-0000CF380000}"/>
    <cellStyle name="Normal 16 4 4 2 3 6" xfId="14560" xr:uid="{00000000-0005-0000-0000-0000D0380000}"/>
    <cellStyle name="Normal 16 4 4 2 4" xfId="14561" xr:uid="{00000000-0005-0000-0000-0000D1380000}"/>
    <cellStyle name="Normal 16 4 4 2 5" xfId="14562" xr:uid="{00000000-0005-0000-0000-0000D2380000}"/>
    <cellStyle name="Normal 16 4 4 2 6" xfId="14563" xr:uid="{00000000-0005-0000-0000-0000D3380000}"/>
    <cellStyle name="Normal 16 4 4 2 7" xfId="14564" xr:uid="{00000000-0005-0000-0000-0000D4380000}"/>
    <cellStyle name="Normal 16 4 4 2 8" xfId="14565" xr:uid="{00000000-0005-0000-0000-0000D5380000}"/>
    <cellStyle name="Normal 16 4 4 3" xfId="14566" xr:uid="{00000000-0005-0000-0000-0000D6380000}"/>
    <cellStyle name="Normal 16 4 4 3 2" xfId="14567" xr:uid="{00000000-0005-0000-0000-0000D7380000}"/>
    <cellStyle name="Normal 16 4 4 3 2 2" xfId="14568" xr:uid="{00000000-0005-0000-0000-0000D8380000}"/>
    <cellStyle name="Normal 16 4 4 3 2 3" xfId="14569" xr:uid="{00000000-0005-0000-0000-0000D9380000}"/>
    <cellStyle name="Normal 16 4 4 3 2 4" xfId="14570" xr:uid="{00000000-0005-0000-0000-0000DA380000}"/>
    <cellStyle name="Normal 16 4 4 3 2 5" xfId="14571" xr:uid="{00000000-0005-0000-0000-0000DB380000}"/>
    <cellStyle name="Normal 16 4 4 3 2 6" xfId="14572" xr:uid="{00000000-0005-0000-0000-0000DC380000}"/>
    <cellStyle name="Normal 16 4 4 3 3" xfId="14573" xr:uid="{00000000-0005-0000-0000-0000DD380000}"/>
    <cellStyle name="Normal 16 4 4 3 3 2" xfId="14574" xr:uid="{00000000-0005-0000-0000-0000DE380000}"/>
    <cellStyle name="Normal 16 4 4 3 3 3" xfId="14575" xr:uid="{00000000-0005-0000-0000-0000DF380000}"/>
    <cellStyle name="Normal 16 4 4 3 3 4" xfId="14576" xr:uid="{00000000-0005-0000-0000-0000E0380000}"/>
    <cellStyle name="Normal 16 4 4 3 3 5" xfId="14577" xr:uid="{00000000-0005-0000-0000-0000E1380000}"/>
    <cellStyle name="Normal 16 4 4 3 3 6" xfId="14578" xr:uid="{00000000-0005-0000-0000-0000E2380000}"/>
    <cellStyle name="Normal 16 4 4 3 4" xfId="14579" xr:uid="{00000000-0005-0000-0000-0000E3380000}"/>
    <cellStyle name="Normal 16 4 4 3 5" xfId="14580" xr:uid="{00000000-0005-0000-0000-0000E4380000}"/>
    <cellStyle name="Normal 16 4 4 3 6" xfId="14581" xr:uid="{00000000-0005-0000-0000-0000E5380000}"/>
    <cellStyle name="Normal 16 4 4 3 7" xfId="14582" xr:uid="{00000000-0005-0000-0000-0000E6380000}"/>
    <cellStyle name="Normal 16 4 4 3 8" xfId="14583" xr:uid="{00000000-0005-0000-0000-0000E7380000}"/>
    <cellStyle name="Normal 16 4 4 4" xfId="14584" xr:uid="{00000000-0005-0000-0000-0000E8380000}"/>
    <cellStyle name="Normal 16 4 4 4 2" xfId="14585" xr:uid="{00000000-0005-0000-0000-0000E9380000}"/>
    <cellStyle name="Normal 16 4 4 4 2 2" xfId="14586" xr:uid="{00000000-0005-0000-0000-0000EA380000}"/>
    <cellStyle name="Normal 16 4 4 4 2 3" xfId="14587" xr:uid="{00000000-0005-0000-0000-0000EB380000}"/>
    <cellStyle name="Normal 16 4 4 4 2 4" xfId="14588" xr:uid="{00000000-0005-0000-0000-0000EC380000}"/>
    <cellStyle name="Normal 16 4 4 4 2 5" xfId="14589" xr:uid="{00000000-0005-0000-0000-0000ED380000}"/>
    <cellStyle name="Normal 16 4 4 4 2 6" xfId="14590" xr:uid="{00000000-0005-0000-0000-0000EE380000}"/>
    <cellStyle name="Normal 16 4 4 4 3" xfId="14591" xr:uid="{00000000-0005-0000-0000-0000EF380000}"/>
    <cellStyle name="Normal 16 4 4 4 3 2" xfId="14592" xr:uid="{00000000-0005-0000-0000-0000F0380000}"/>
    <cellStyle name="Normal 16 4 4 4 3 3" xfId="14593" xr:uid="{00000000-0005-0000-0000-0000F1380000}"/>
    <cellStyle name="Normal 16 4 4 4 3 4" xfId="14594" xr:uid="{00000000-0005-0000-0000-0000F2380000}"/>
    <cellStyle name="Normal 16 4 4 4 3 5" xfId="14595" xr:uid="{00000000-0005-0000-0000-0000F3380000}"/>
    <cellStyle name="Normal 16 4 4 4 3 6" xfId="14596" xr:uid="{00000000-0005-0000-0000-0000F4380000}"/>
    <cellStyle name="Normal 16 4 4 4 4" xfId="14597" xr:uid="{00000000-0005-0000-0000-0000F5380000}"/>
    <cellStyle name="Normal 16 4 4 4 5" xfId="14598" xr:uid="{00000000-0005-0000-0000-0000F6380000}"/>
    <cellStyle name="Normal 16 4 4 4 6" xfId="14599" xr:uid="{00000000-0005-0000-0000-0000F7380000}"/>
    <cellStyle name="Normal 16 4 4 4 7" xfId="14600" xr:uid="{00000000-0005-0000-0000-0000F8380000}"/>
    <cellStyle name="Normal 16 4 4 4 8" xfId="14601" xr:uid="{00000000-0005-0000-0000-0000F9380000}"/>
    <cellStyle name="Normal 16 4 4 5" xfId="14602" xr:uid="{00000000-0005-0000-0000-0000FA380000}"/>
    <cellStyle name="Normal 16 4 4 5 2" xfId="14603" xr:uid="{00000000-0005-0000-0000-0000FB380000}"/>
    <cellStyle name="Normal 16 4 4 5 3" xfId="14604" xr:uid="{00000000-0005-0000-0000-0000FC380000}"/>
    <cellStyle name="Normal 16 4 4 5 4" xfId="14605" xr:uid="{00000000-0005-0000-0000-0000FD380000}"/>
    <cellStyle name="Normal 16 4 4 5 5" xfId="14606" xr:uid="{00000000-0005-0000-0000-0000FE380000}"/>
    <cellStyle name="Normal 16 4 4 5 6" xfId="14607" xr:uid="{00000000-0005-0000-0000-0000FF380000}"/>
    <cellStyle name="Normal 16 4 4 6" xfId="14608" xr:uid="{00000000-0005-0000-0000-000000390000}"/>
    <cellStyle name="Normal 16 4 4 6 2" xfId="14609" xr:uid="{00000000-0005-0000-0000-000001390000}"/>
    <cellStyle name="Normal 16 4 4 6 3" xfId="14610" xr:uid="{00000000-0005-0000-0000-000002390000}"/>
    <cellStyle name="Normal 16 4 4 6 4" xfId="14611" xr:uid="{00000000-0005-0000-0000-000003390000}"/>
    <cellStyle name="Normal 16 4 4 6 5" xfId="14612" xr:uid="{00000000-0005-0000-0000-000004390000}"/>
    <cellStyle name="Normal 16 4 4 6 6" xfId="14613" xr:uid="{00000000-0005-0000-0000-000005390000}"/>
    <cellStyle name="Normal 16 4 4 7" xfId="14614" xr:uid="{00000000-0005-0000-0000-000006390000}"/>
    <cellStyle name="Normal 16 4 4 8" xfId="14615" xr:uid="{00000000-0005-0000-0000-000007390000}"/>
    <cellStyle name="Normal 16 4 4 9" xfId="14616" xr:uid="{00000000-0005-0000-0000-000008390000}"/>
    <cellStyle name="Normal 16 4 5" xfId="14617" xr:uid="{00000000-0005-0000-0000-000009390000}"/>
    <cellStyle name="Normal 16 4 5 2" xfId="14618" xr:uid="{00000000-0005-0000-0000-00000A390000}"/>
    <cellStyle name="Normal 16 4 5 2 2" xfId="14619" xr:uid="{00000000-0005-0000-0000-00000B390000}"/>
    <cellStyle name="Normal 16 4 5 2 3" xfId="14620" xr:uid="{00000000-0005-0000-0000-00000C390000}"/>
    <cellStyle name="Normal 16 4 5 2 4" xfId="14621" xr:uid="{00000000-0005-0000-0000-00000D390000}"/>
    <cellStyle name="Normal 16 4 5 2 5" xfId="14622" xr:uid="{00000000-0005-0000-0000-00000E390000}"/>
    <cellStyle name="Normal 16 4 5 2 6" xfId="14623" xr:uid="{00000000-0005-0000-0000-00000F390000}"/>
    <cellStyle name="Normal 16 4 5 3" xfId="14624" xr:uid="{00000000-0005-0000-0000-000010390000}"/>
    <cellStyle name="Normal 16 4 5 3 2" xfId="14625" xr:uid="{00000000-0005-0000-0000-000011390000}"/>
    <cellStyle name="Normal 16 4 5 3 3" xfId="14626" xr:uid="{00000000-0005-0000-0000-000012390000}"/>
    <cellStyle name="Normal 16 4 5 3 4" xfId="14627" xr:uid="{00000000-0005-0000-0000-000013390000}"/>
    <cellStyle name="Normal 16 4 5 3 5" xfId="14628" xr:uid="{00000000-0005-0000-0000-000014390000}"/>
    <cellStyle name="Normal 16 4 5 3 6" xfId="14629" xr:uid="{00000000-0005-0000-0000-000015390000}"/>
    <cellStyle name="Normal 16 4 5 4" xfId="14630" xr:uid="{00000000-0005-0000-0000-000016390000}"/>
    <cellStyle name="Normal 16 4 5 5" xfId="14631" xr:uid="{00000000-0005-0000-0000-000017390000}"/>
    <cellStyle name="Normal 16 4 5 6" xfId="14632" xr:uid="{00000000-0005-0000-0000-000018390000}"/>
    <cellStyle name="Normal 16 4 5 7" xfId="14633" xr:uid="{00000000-0005-0000-0000-000019390000}"/>
    <cellStyle name="Normal 16 4 5 8" xfId="14634" xr:uid="{00000000-0005-0000-0000-00001A390000}"/>
    <cellStyle name="Normal 16 4 6" xfId="14635" xr:uid="{00000000-0005-0000-0000-00001B390000}"/>
    <cellStyle name="Normal 16 4 6 2" xfId="14636" xr:uid="{00000000-0005-0000-0000-00001C390000}"/>
    <cellStyle name="Normal 16 4 6 2 2" xfId="14637" xr:uid="{00000000-0005-0000-0000-00001D390000}"/>
    <cellStyle name="Normal 16 4 6 2 3" xfId="14638" xr:uid="{00000000-0005-0000-0000-00001E390000}"/>
    <cellStyle name="Normal 16 4 6 2 4" xfId="14639" xr:uid="{00000000-0005-0000-0000-00001F390000}"/>
    <cellStyle name="Normal 16 4 6 2 5" xfId="14640" xr:uid="{00000000-0005-0000-0000-000020390000}"/>
    <cellStyle name="Normal 16 4 6 2 6" xfId="14641" xr:uid="{00000000-0005-0000-0000-000021390000}"/>
    <cellStyle name="Normal 16 4 6 3" xfId="14642" xr:uid="{00000000-0005-0000-0000-000022390000}"/>
    <cellStyle name="Normal 16 4 6 3 2" xfId="14643" xr:uid="{00000000-0005-0000-0000-000023390000}"/>
    <cellStyle name="Normal 16 4 6 3 3" xfId="14644" xr:uid="{00000000-0005-0000-0000-000024390000}"/>
    <cellStyle name="Normal 16 4 6 3 4" xfId="14645" xr:uid="{00000000-0005-0000-0000-000025390000}"/>
    <cellStyle name="Normal 16 4 6 3 5" xfId="14646" xr:uid="{00000000-0005-0000-0000-000026390000}"/>
    <cellStyle name="Normal 16 4 6 3 6" xfId="14647" xr:uid="{00000000-0005-0000-0000-000027390000}"/>
    <cellStyle name="Normal 16 4 6 4" xfId="14648" xr:uid="{00000000-0005-0000-0000-000028390000}"/>
    <cellStyle name="Normal 16 4 6 5" xfId="14649" xr:uid="{00000000-0005-0000-0000-000029390000}"/>
    <cellStyle name="Normal 16 4 6 6" xfId="14650" xr:uid="{00000000-0005-0000-0000-00002A390000}"/>
    <cellStyle name="Normal 16 4 6 7" xfId="14651" xr:uid="{00000000-0005-0000-0000-00002B390000}"/>
    <cellStyle name="Normal 16 4 6 8" xfId="14652" xr:uid="{00000000-0005-0000-0000-00002C390000}"/>
    <cellStyle name="Normal 16 4 7" xfId="14653" xr:uid="{00000000-0005-0000-0000-00002D390000}"/>
    <cellStyle name="Normal 16 4 7 2" xfId="14654" xr:uid="{00000000-0005-0000-0000-00002E390000}"/>
    <cellStyle name="Normal 16 4 7 2 2" xfId="14655" xr:uid="{00000000-0005-0000-0000-00002F390000}"/>
    <cellStyle name="Normal 16 4 7 2 3" xfId="14656" xr:uid="{00000000-0005-0000-0000-000030390000}"/>
    <cellStyle name="Normal 16 4 7 2 4" xfId="14657" xr:uid="{00000000-0005-0000-0000-000031390000}"/>
    <cellStyle name="Normal 16 4 7 2 5" xfId="14658" xr:uid="{00000000-0005-0000-0000-000032390000}"/>
    <cellStyle name="Normal 16 4 7 2 6" xfId="14659" xr:uid="{00000000-0005-0000-0000-000033390000}"/>
    <cellStyle name="Normal 16 4 7 3" xfId="14660" xr:uid="{00000000-0005-0000-0000-000034390000}"/>
    <cellStyle name="Normal 16 4 7 3 2" xfId="14661" xr:uid="{00000000-0005-0000-0000-000035390000}"/>
    <cellStyle name="Normal 16 4 7 3 3" xfId="14662" xr:uid="{00000000-0005-0000-0000-000036390000}"/>
    <cellStyle name="Normal 16 4 7 3 4" xfId="14663" xr:uid="{00000000-0005-0000-0000-000037390000}"/>
    <cellStyle name="Normal 16 4 7 3 5" xfId="14664" xr:uid="{00000000-0005-0000-0000-000038390000}"/>
    <cellStyle name="Normal 16 4 7 3 6" xfId="14665" xr:uid="{00000000-0005-0000-0000-000039390000}"/>
    <cellStyle name="Normal 16 4 7 4" xfId="14666" xr:uid="{00000000-0005-0000-0000-00003A390000}"/>
    <cellStyle name="Normal 16 4 7 5" xfId="14667" xr:uid="{00000000-0005-0000-0000-00003B390000}"/>
    <cellStyle name="Normal 16 4 7 6" xfId="14668" xr:uid="{00000000-0005-0000-0000-00003C390000}"/>
    <cellStyle name="Normal 16 4 7 7" xfId="14669" xr:uid="{00000000-0005-0000-0000-00003D390000}"/>
    <cellStyle name="Normal 16 4 7 8" xfId="14670" xr:uid="{00000000-0005-0000-0000-00003E390000}"/>
    <cellStyle name="Normal 16 4 8" xfId="14671" xr:uid="{00000000-0005-0000-0000-00003F390000}"/>
    <cellStyle name="Normal 16 4 8 2" xfId="14672" xr:uid="{00000000-0005-0000-0000-000040390000}"/>
    <cellStyle name="Normal 16 4 8 3" xfId="14673" xr:uid="{00000000-0005-0000-0000-000041390000}"/>
    <cellStyle name="Normal 16 4 8 4" xfId="14674" xr:uid="{00000000-0005-0000-0000-000042390000}"/>
    <cellStyle name="Normal 16 4 8 5" xfId="14675" xr:uid="{00000000-0005-0000-0000-000043390000}"/>
    <cellStyle name="Normal 16 4 8 6" xfId="14676" xr:uid="{00000000-0005-0000-0000-000044390000}"/>
    <cellStyle name="Normal 16 4 9" xfId="14677" xr:uid="{00000000-0005-0000-0000-000045390000}"/>
    <cellStyle name="Normal 16 4 9 2" xfId="14678" xr:uid="{00000000-0005-0000-0000-000046390000}"/>
    <cellStyle name="Normal 16 4 9 3" xfId="14679" xr:uid="{00000000-0005-0000-0000-000047390000}"/>
    <cellStyle name="Normal 16 4 9 4" xfId="14680" xr:uid="{00000000-0005-0000-0000-000048390000}"/>
    <cellStyle name="Normal 16 4 9 5" xfId="14681" xr:uid="{00000000-0005-0000-0000-000049390000}"/>
    <cellStyle name="Normal 16 4 9 6" xfId="14682" xr:uid="{00000000-0005-0000-0000-00004A390000}"/>
    <cellStyle name="Normal 16 5" xfId="14683" xr:uid="{00000000-0005-0000-0000-00004B390000}"/>
    <cellStyle name="Normal 16 5 10" xfId="14684" xr:uid="{00000000-0005-0000-0000-00004C390000}"/>
    <cellStyle name="Normal 16 5 11" xfId="14685" xr:uid="{00000000-0005-0000-0000-00004D390000}"/>
    <cellStyle name="Normal 16 5 12" xfId="14686" xr:uid="{00000000-0005-0000-0000-00004E390000}"/>
    <cellStyle name="Normal 16 5 2" xfId="14687" xr:uid="{00000000-0005-0000-0000-00004F390000}"/>
    <cellStyle name="Normal 16 5 2 10" xfId="14688" xr:uid="{00000000-0005-0000-0000-000050390000}"/>
    <cellStyle name="Normal 16 5 2 11" xfId="14689" xr:uid="{00000000-0005-0000-0000-000051390000}"/>
    <cellStyle name="Normal 16 5 2 2" xfId="14690" xr:uid="{00000000-0005-0000-0000-000052390000}"/>
    <cellStyle name="Normal 16 5 2 2 2" xfId="14691" xr:uid="{00000000-0005-0000-0000-000053390000}"/>
    <cellStyle name="Normal 16 5 2 2 2 2" xfId="14692" xr:uid="{00000000-0005-0000-0000-000054390000}"/>
    <cellStyle name="Normal 16 5 2 2 2 3" xfId="14693" xr:uid="{00000000-0005-0000-0000-000055390000}"/>
    <cellStyle name="Normal 16 5 2 2 2 4" xfId="14694" xr:uid="{00000000-0005-0000-0000-000056390000}"/>
    <cellStyle name="Normal 16 5 2 2 2 5" xfId="14695" xr:uid="{00000000-0005-0000-0000-000057390000}"/>
    <cellStyle name="Normal 16 5 2 2 2 6" xfId="14696" xr:uid="{00000000-0005-0000-0000-000058390000}"/>
    <cellStyle name="Normal 16 5 2 2 3" xfId="14697" xr:uid="{00000000-0005-0000-0000-000059390000}"/>
    <cellStyle name="Normal 16 5 2 2 3 2" xfId="14698" xr:uid="{00000000-0005-0000-0000-00005A390000}"/>
    <cellStyle name="Normal 16 5 2 2 3 3" xfId="14699" xr:uid="{00000000-0005-0000-0000-00005B390000}"/>
    <cellStyle name="Normal 16 5 2 2 3 4" xfId="14700" xr:uid="{00000000-0005-0000-0000-00005C390000}"/>
    <cellStyle name="Normal 16 5 2 2 3 5" xfId="14701" xr:uid="{00000000-0005-0000-0000-00005D390000}"/>
    <cellStyle name="Normal 16 5 2 2 3 6" xfId="14702" xr:uid="{00000000-0005-0000-0000-00005E390000}"/>
    <cellStyle name="Normal 16 5 2 2 4" xfId="14703" xr:uid="{00000000-0005-0000-0000-00005F390000}"/>
    <cellStyle name="Normal 16 5 2 2 5" xfId="14704" xr:uid="{00000000-0005-0000-0000-000060390000}"/>
    <cellStyle name="Normal 16 5 2 2 6" xfId="14705" xr:uid="{00000000-0005-0000-0000-000061390000}"/>
    <cellStyle name="Normal 16 5 2 2 7" xfId="14706" xr:uid="{00000000-0005-0000-0000-000062390000}"/>
    <cellStyle name="Normal 16 5 2 2 8" xfId="14707" xr:uid="{00000000-0005-0000-0000-000063390000}"/>
    <cellStyle name="Normal 16 5 2 3" xfId="14708" xr:uid="{00000000-0005-0000-0000-000064390000}"/>
    <cellStyle name="Normal 16 5 2 3 2" xfId="14709" xr:uid="{00000000-0005-0000-0000-000065390000}"/>
    <cellStyle name="Normal 16 5 2 3 2 2" xfId="14710" xr:uid="{00000000-0005-0000-0000-000066390000}"/>
    <cellStyle name="Normal 16 5 2 3 2 3" xfId="14711" xr:uid="{00000000-0005-0000-0000-000067390000}"/>
    <cellStyle name="Normal 16 5 2 3 2 4" xfId="14712" xr:uid="{00000000-0005-0000-0000-000068390000}"/>
    <cellStyle name="Normal 16 5 2 3 2 5" xfId="14713" xr:uid="{00000000-0005-0000-0000-000069390000}"/>
    <cellStyle name="Normal 16 5 2 3 2 6" xfId="14714" xr:uid="{00000000-0005-0000-0000-00006A390000}"/>
    <cellStyle name="Normal 16 5 2 3 3" xfId="14715" xr:uid="{00000000-0005-0000-0000-00006B390000}"/>
    <cellStyle name="Normal 16 5 2 3 3 2" xfId="14716" xr:uid="{00000000-0005-0000-0000-00006C390000}"/>
    <cellStyle name="Normal 16 5 2 3 3 3" xfId="14717" xr:uid="{00000000-0005-0000-0000-00006D390000}"/>
    <cellStyle name="Normal 16 5 2 3 3 4" xfId="14718" xr:uid="{00000000-0005-0000-0000-00006E390000}"/>
    <cellStyle name="Normal 16 5 2 3 3 5" xfId="14719" xr:uid="{00000000-0005-0000-0000-00006F390000}"/>
    <cellStyle name="Normal 16 5 2 3 3 6" xfId="14720" xr:uid="{00000000-0005-0000-0000-000070390000}"/>
    <cellStyle name="Normal 16 5 2 3 4" xfId="14721" xr:uid="{00000000-0005-0000-0000-000071390000}"/>
    <cellStyle name="Normal 16 5 2 3 5" xfId="14722" xr:uid="{00000000-0005-0000-0000-000072390000}"/>
    <cellStyle name="Normal 16 5 2 3 6" xfId="14723" xr:uid="{00000000-0005-0000-0000-000073390000}"/>
    <cellStyle name="Normal 16 5 2 3 7" xfId="14724" xr:uid="{00000000-0005-0000-0000-000074390000}"/>
    <cellStyle name="Normal 16 5 2 3 8" xfId="14725" xr:uid="{00000000-0005-0000-0000-000075390000}"/>
    <cellStyle name="Normal 16 5 2 4" xfId="14726" xr:uid="{00000000-0005-0000-0000-000076390000}"/>
    <cellStyle name="Normal 16 5 2 4 2" xfId="14727" xr:uid="{00000000-0005-0000-0000-000077390000}"/>
    <cellStyle name="Normal 16 5 2 4 2 2" xfId="14728" xr:uid="{00000000-0005-0000-0000-000078390000}"/>
    <cellStyle name="Normal 16 5 2 4 2 3" xfId="14729" xr:uid="{00000000-0005-0000-0000-000079390000}"/>
    <cellStyle name="Normal 16 5 2 4 2 4" xfId="14730" xr:uid="{00000000-0005-0000-0000-00007A390000}"/>
    <cellStyle name="Normal 16 5 2 4 2 5" xfId="14731" xr:uid="{00000000-0005-0000-0000-00007B390000}"/>
    <cellStyle name="Normal 16 5 2 4 2 6" xfId="14732" xr:uid="{00000000-0005-0000-0000-00007C390000}"/>
    <cellStyle name="Normal 16 5 2 4 3" xfId="14733" xr:uid="{00000000-0005-0000-0000-00007D390000}"/>
    <cellStyle name="Normal 16 5 2 4 3 2" xfId="14734" xr:uid="{00000000-0005-0000-0000-00007E390000}"/>
    <cellStyle name="Normal 16 5 2 4 3 3" xfId="14735" xr:uid="{00000000-0005-0000-0000-00007F390000}"/>
    <cellStyle name="Normal 16 5 2 4 3 4" xfId="14736" xr:uid="{00000000-0005-0000-0000-000080390000}"/>
    <cellStyle name="Normal 16 5 2 4 3 5" xfId="14737" xr:uid="{00000000-0005-0000-0000-000081390000}"/>
    <cellStyle name="Normal 16 5 2 4 3 6" xfId="14738" xr:uid="{00000000-0005-0000-0000-000082390000}"/>
    <cellStyle name="Normal 16 5 2 4 4" xfId="14739" xr:uid="{00000000-0005-0000-0000-000083390000}"/>
    <cellStyle name="Normal 16 5 2 4 5" xfId="14740" xr:uid="{00000000-0005-0000-0000-000084390000}"/>
    <cellStyle name="Normal 16 5 2 4 6" xfId="14741" xr:uid="{00000000-0005-0000-0000-000085390000}"/>
    <cellStyle name="Normal 16 5 2 4 7" xfId="14742" xr:uid="{00000000-0005-0000-0000-000086390000}"/>
    <cellStyle name="Normal 16 5 2 4 8" xfId="14743" xr:uid="{00000000-0005-0000-0000-000087390000}"/>
    <cellStyle name="Normal 16 5 2 5" xfId="14744" xr:uid="{00000000-0005-0000-0000-000088390000}"/>
    <cellStyle name="Normal 16 5 2 5 2" xfId="14745" xr:uid="{00000000-0005-0000-0000-000089390000}"/>
    <cellStyle name="Normal 16 5 2 5 3" xfId="14746" xr:uid="{00000000-0005-0000-0000-00008A390000}"/>
    <cellStyle name="Normal 16 5 2 5 4" xfId="14747" xr:uid="{00000000-0005-0000-0000-00008B390000}"/>
    <cellStyle name="Normal 16 5 2 5 5" xfId="14748" xr:uid="{00000000-0005-0000-0000-00008C390000}"/>
    <cellStyle name="Normal 16 5 2 5 6" xfId="14749" xr:uid="{00000000-0005-0000-0000-00008D390000}"/>
    <cellStyle name="Normal 16 5 2 6" xfId="14750" xr:uid="{00000000-0005-0000-0000-00008E390000}"/>
    <cellStyle name="Normal 16 5 2 6 2" xfId="14751" xr:uid="{00000000-0005-0000-0000-00008F390000}"/>
    <cellStyle name="Normal 16 5 2 6 3" xfId="14752" xr:uid="{00000000-0005-0000-0000-000090390000}"/>
    <cellStyle name="Normal 16 5 2 6 4" xfId="14753" xr:uid="{00000000-0005-0000-0000-000091390000}"/>
    <cellStyle name="Normal 16 5 2 6 5" xfId="14754" xr:uid="{00000000-0005-0000-0000-000092390000}"/>
    <cellStyle name="Normal 16 5 2 6 6" xfId="14755" xr:uid="{00000000-0005-0000-0000-000093390000}"/>
    <cellStyle name="Normal 16 5 2 7" xfId="14756" xr:uid="{00000000-0005-0000-0000-000094390000}"/>
    <cellStyle name="Normal 16 5 2 8" xfId="14757" xr:uid="{00000000-0005-0000-0000-000095390000}"/>
    <cellStyle name="Normal 16 5 2 9" xfId="14758" xr:uid="{00000000-0005-0000-0000-000096390000}"/>
    <cellStyle name="Normal 16 5 3" xfId="14759" xr:uid="{00000000-0005-0000-0000-000097390000}"/>
    <cellStyle name="Normal 16 5 3 2" xfId="14760" xr:uid="{00000000-0005-0000-0000-000098390000}"/>
    <cellStyle name="Normal 16 5 3 2 2" xfId="14761" xr:uid="{00000000-0005-0000-0000-000099390000}"/>
    <cellStyle name="Normal 16 5 3 2 3" xfId="14762" xr:uid="{00000000-0005-0000-0000-00009A390000}"/>
    <cellStyle name="Normal 16 5 3 2 4" xfId="14763" xr:uid="{00000000-0005-0000-0000-00009B390000}"/>
    <cellStyle name="Normal 16 5 3 2 5" xfId="14764" xr:uid="{00000000-0005-0000-0000-00009C390000}"/>
    <cellStyle name="Normal 16 5 3 2 6" xfId="14765" xr:uid="{00000000-0005-0000-0000-00009D390000}"/>
    <cellStyle name="Normal 16 5 3 3" xfId="14766" xr:uid="{00000000-0005-0000-0000-00009E390000}"/>
    <cellStyle name="Normal 16 5 3 3 2" xfId="14767" xr:uid="{00000000-0005-0000-0000-00009F390000}"/>
    <cellStyle name="Normal 16 5 3 3 3" xfId="14768" xr:uid="{00000000-0005-0000-0000-0000A0390000}"/>
    <cellStyle name="Normal 16 5 3 3 4" xfId="14769" xr:uid="{00000000-0005-0000-0000-0000A1390000}"/>
    <cellStyle name="Normal 16 5 3 3 5" xfId="14770" xr:uid="{00000000-0005-0000-0000-0000A2390000}"/>
    <cellStyle name="Normal 16 5 3 3 6" xfId="14771" xr:uid="{00000000-0005-0000-0000-0000A3390000}"/>
    <cellStyle name="Normal 16 5 3 4" xfId="14772" xr:uid="{00000000-0005-0000-0000-0000A4390000}"/>
    <cellStyle name="Normal 16 5 3 5" xfId="14773" xr:uid="{00000000-0005-0000-0000-0000A5390000}"/>
    <cellStyle name="Normal 16 5 3 6" xfId="14774" xr:uid="{00000000-0005-0000-0000-0000A6390000}"/>
    <cellStyle name="Normal 16 5 3 7" xfId="14775" xr:uid="{00000000-0005-0000-0000-0000A7390000}"/>
    <cellStyle name="Normal 16 5 3 8" xfId="14776" xr:uid="{00000000-0005-0000-0000-0000A8390000}"/>
    <cellStyle name="Normal 16 5 4" xfId="14777" xr:uid="{00000000-0005-0000-0000-0000A9390000}"/>
    <cellStyle name="Normal 16 5 4 2" xfId="14778" xr:uid="{00000000-0005-0000-0000-0000AA390000}"/>
    <cellStyle name="Normal 16 5 4 2 2" xfId="14779" xr:uid="{00000000-0005-0000-0000-0000AB390000}"/>
    <cellStyle name="Normal 16 5 4 2 3" xfId="14780" xr:uid="{00000000-0005-0000-0000-0000AC390000}"/>
    <cellStyle name="Normal 16 5 4 2 4" xfId="14781" xr:uid="{00000000-0005-0000-0000-0000AD390000}"/>
    <cellStyle name="Normal 16 5 4 2 5" xfId="14782" xr:uid="{00000000-0005-0000-0000-0000AE390000}"/>
    <cellStyle name="Normal 16 5 4 2 6" xfId="14783" xr:uid="{00000000-0005-0000-0000-0000AF390000}"/>
    <cellStyle name="Normal 16 5 4 3" xfId="14784" xr:uid="{00000000-0005-0000-0000-0000B0390000}"/>
    <cellStyle name="Normal 16 5 4 3 2" xfId="14785" xr:uid="{00000000-0005-0000-0000-0000B1390000}"/>
    <cellStyle name="Normal 16 5 4 3 3" xfId="14786" xr:uid="{00000000-0005-0000-0000-0000B2390000}"/>
    <cellStyle name="Normal 16 5 4 3 4" xfId="14787" xr:uid="{00000000-0005-0000-0000-0000B3390000}"/>
    <cellStyle name="Normal 16 5 4 3 5" xfId="14788" xr:uid="{00000000-0005-0000-0000-0000B4390000}"/>
    <cellStyle name="Normal 16 5 4 3 6" xfId="14789" xr:uid="{00000000-0005-0000-0000-0000B5390000}"/>
    <cellStyle name="Normal 16 5 4 4" xfId="14790" xr:uid="{00000000-0005-0000-0000-0000B6390000}"/>
    <cellStyle name="Normal 16 5 4 5" xfId="14791" xr:uid="{00000000-0005-0000-0000-0000B7390000}"/>
    <cellStyle name="Normal 16 5 4 6" xfId="14792" xr:uid="{00000000-0005-0000-0000-0000B8390000}"/>
    <cellStyle name="Normal 16 5 4 7" xfId="14793" xr:uid="{00000000-0005-0000-0000-0000B9390000}"/>
    <cellStyle name="Normal 16 5 4 8" xfId="14794" xr:uid="{00000000-0005-0000-0000-0000BA390000}"/>
    <cellStyle name="Normal 16 5 5" xfId="14795" xr:uid="{00000000-0005-0000-0000-0000BB390000}"/>
    <cellStyle name="Normal 16 5 5 2" xfId="14796" xr:uid="{00000000-0005-0000-0000-0000BC390000}"/>
    <cellStyle name="Normal 16 5 5 2 2" xfId="14797" xr:uid="{00000000-0005-0000-0000-0000BD390000}"/>
    <cellStyle name="Normal 16 5 5 2 3" xfId="14798" xr:uid="{00000000-0005-0000-0000-0000BE390000}"/>
    <cellStyle name="Normal 16 5 5 2 4" xfId="14799" xr:uid="{00000000-0005-0000-0000-0000BF390000}"/>
    <cellStyle name="Normal 16 5 5 2 5" xfId="14800" xr:uid="{00000000-0005-0000-0000-0000C0390000}"/>
    <cellStyle name="Normal 16 5 5 2 6" xfId="14801" xr:uid="{00000000-0005-0000-0000-0000C1390000}"/>
    <cellStyle name="Normal 16 5 5 3" xfId="14802" xr:uid="{00000000-0005-0000-0000-0000C2390000}"/>
    <cellStyle name="Normal 16 5 5 3 2" xfId="14803" xr:uid="{00000000-0005-0000-0000-0000C3390000}"/>
    <cellStyle name="Normal 16 5 5 3 3" xfId="14804" xr:uid="{00000000-0005-0000-0000-0000C4390000}"/>
    <cellStyle name="Normal 16 5 5 3 4" xfId="14805" xr:uid="{00000000-0005-0000-0000-0000C5390000}"/>
    <cellStyle name="Normal 16 5 5 3 5" xfId="14806" xr:uid="{00000000-0005-0000-0000-0000C6390000}"/>
    <cellStyle name="Normal 16 5 5 3 6" xfId="14807" xr:uid="{00000000-0005-0000-0000-0000C7390000}"/>
    <cellStyle name="Normal 16 5 5 4" xfId="14808" xr:uid="{00000000-0005-0000-0000-0000C8390000}"/>
    <cellStyle name="Normal 16 5 5 5" xfId="14809" xr:uid="{00000000-0005-0000-0000-0000C9390000}"/>
    <cellStyle name="Normal 16 5 5 6" xfId="14810" xr:uid="{00000000-0005-0000-0000-0000CA390000}"/>
    <cellStyle name="Normal 16 5 5 7" xfId="14811" xr:uid="{00000000-0005-0000-0000-0000CB390000}"/>
    <cellStyle name="Normal 16 5 5 8" xfId="14812" xr:uid="{00000000-0005-0000-0000-0000CC390000}"/>
    <cellStyle name="Normal 16 5 6" xfId="14813" xr:uid="{00000000-0005-0000-0000-0000CD390000}"/>
    <cellStyle name="Normal 16 5 6 2" xfId="14814" xr:uid="{00000000-0005-0000-0000-0000CE390000}"/>
    <cellStyle name="Normal 16 5 6 3" xfId="14815" xr:uid="{00000000-0005-0000-0000-0000CF390000}"/>
    <cellStyle name="Normal 16 5 6 4" xfId="14816" xr:uid="{00000000-0005-0000-0000-0000D0390000}"/>
    <cellStyle name="Normal 16 5 6 5" xfId="14817" xr:uid="{00000000-0005-0000-0000-0000D1390000}"/>
    <cellStyle name="Normal 16 5 6 6" xfId="14818" xr:uid="{00000000-0005-0000-0000-0000D2390000}"/>
    <cellStyle name="Normal 16 5 7" xfId="14819" xr:uid="{00000000-0005-0000-0000-0000D3390000}"/>
    <cellStyle name="Normal 16 5 7 2" xfId="14820" xr:uid="{00000000-0005-0000-0000-0000D4390000}"/>
    <cellStyle name="Normal 16 5 7 3" xfId="14821" xr:uid="{00000000-0005-0000-0000-0000D5390000}"/>
    <cellStyle name="Normal 16 5 7 4" xfId="14822" xr:uid="{00000000-0005-0000-0000-0000D6390000}"/>
    <cellStyle name="Normal 16 5 7 5" xfId="14823" xr:uid="{00000000-0005-0000-0000-0000D7390000}"/>
    <cellStyle name="Normal 16 5 7 6" xfId="14824" xr:uid="{00000000-0005-0000-0000-0000D8390000}"/>
    <cellStyle name="Normal 16 5 8" xfId="14825" xr:uid="{00000000-0005-0000-0000-0000D9390000}"/>
    <cellStyle name="Normal 16 5 9" xfId="14826" xr:uid="{00000000-0005-0000-0000-0000DA390000}"/>
    <cellStyle name="Normal 16 6" xfId="14827" xr:uid="{00000000-0005-0000-0000-0000DB390000}"/>
    <cellStyle name="Normal 16 6 10" xfId="14828" xr:uid="{00000000-0005-0000-0000-0000DC390000}"/>
    <cellStyle name="Normal 16 6 11" xfId="14829" xr:uid="{00000000-0005-0000-0000-0000DD390000}"/>
    <cellStyle name="Normal 16 6 12" xfId="14830" xr:uid="{00000000-0005-0000-0000-0000DE390000}"/>
    <cellStyle name="Normal 16 6 2" xfId="14831" xr:uid="{00000000-0005-0000-0000-0000DF390000}"/>
    <cellStyle name="Normal 16 6 2 10" xfId="14832" xr:uid="{00000000-0005-0000-0000-0000E0390000}"/>
    <cellStyle name="Normal 16 6 2 11" xfId="14833" xr:uid="{00000000-0005-0000-0000-0000E1390000}"/>
    <cellStyle name="Normal 16 6 2 2" xfId="14834" xr:uid="{00000000-0005-0000-0000-0000E2390000}"/>
    <cellStyle name="Normal 16 6 2 2 2" xfId="14835" xr:uid="{00000000-0005-0000-0000-0000E3390000}"/>
    <cellStyle name="Normal 16 6 2 2 2 2" xfId="14836" xr:uid="{00000000-0005-0000-0000-0000E4390000}"/>
    <cellStyle name="Normal 16 6 2 2 2 3" xfId="14837" xr:uid="{00000000-0005-0000-0000-0000E5390000}"/>
    <cellStyle name="Normal 16 6 2 2 2 4" xfId="14838" xr:uid="{00000000-0005-0000-0000-0000E6390000}"/>
    <cellStyle name="Normal 16 6 2 2 2 5" xfId="14839" xr:uid="{00000000-0005-0000-0000-0000E7390000}"/>
    <cellStyle name="Normal 16 6 2 2 2 6" xfId="14840" xr:uid="{00000000-0005-0000-0000-0000E8390000}"/>
    <cellStyle name="Normal 16 6 2 2 3" xfId="14841" xr:uid="{00000000-0005-0000-0000-0000E9390000}"/>
    <cellStyle name="Normal 16 6 2 2 3 2" xfId="14842" xr:uid="{00000000-0005-0000-0000-0000EA390000}"/>
    <cellStyle name="Normal 16 6 2 2 3 3" xfId="14843" xr:uid="{00000000-0005-0000-0000-0000EB390000}"/>
    <cellStyle name="Normal 16 6 2 2 3 4" xfId="14844" xr:uid="{00000000-0005-0000-0000-0000EC390000}"/>
    <cellStyle name="Normal 16 6 2 2 3 5" xfId="14845" xr:uid="{00000000-0005-0000-0000-0000ED390000}"/>
    <cellStyle name="Normal 16 6 2 2 3 6" xfId="14846" xr:uid="{00000000-0005-0000-0000-0000EE390000}"/>
    <cellStyle name="Normal 16 6 2 2 4" xfId="14847" xr:uid="{00000000-0005-0000-0000-0000EF390000}"/>
    <cellStyle name="Normal 16 6 2 2 5" xfId="14848" xr:uid="{00000000-0005-0000-0000-0000F0390000}"/>
    <cellStyle name="Normal 16 6 2 2 6" xfId="14849" xr:uid="{00000000-0005-0000-0000-0000F1390000}"/>
    <cellStyle name="Normal 16 6 2 2 7" xfId="14850" xr:uid="{00000000-0005-0000-0000-0000F2390000}"/>
    <cellStyle name="Normal 16 6 2 2 8" xfId="14851" xr:uid="{00000000-0005-0000-0000-0000F3390000}"/>
    <cellStyle name="Normal 16 6 2 3" xfId="14852" xr:uid="{00000000-0005-0000-0000-0000F4390000}"/>
    <cellStyle name="Normal 16 6 2 3 2" xfId="14853" xr:uid="{00000000-0005-0000-0000-0000F5390000}"/>
    <cellStyle name="Normal 16 6 2 3 2 2" xfId="14854" xr:uid="{00000000-0005-0000-0000-0000F6390000}"/>
    <cellStyle name="Normal 16 6 2 3 2 3" xfId="14855" xr:uid="{00000000-0005-0000-0000-0000F7390000}"/>
    <cellStyle name="Normal 16 6 2 3 2 4" xfId="14856" xr:uid="{00000000-0005-0000-0000-0000F8390000}"/>
    <cellStyle name="Normal 16 6 2 3 2 5" xfId="14857" xr:uid="{00000000-0005-0000-0000-0000F9390000}"/>
    <cellStyle name="Normal 16 6 2 3 2 6" xfId="14858" xr:uid="{00000000-0005-0000-0000-0000FA390000}"/>
    <cellStyle name="Normal 16 6 2 3 3" xfId="14859" xr:uid="{00000000-0005-0000-0000-0000FB390000}"/>
    <cellStyle name="Normal 16 6 2 3 3 2" xfId="14860" xr:uid="{00000000-0005-0000-0000-0000FC390000}"/>
    <cellStyle name="Normal 16 6 2 3 3 3" xfId="14861" xr:uid="{00000000-0005-0000-0000-0000FD390000}"/>
    <cellStyle name="Normal 16 6 2 3 3 4" xfId="14862" xr:uid="{00000000-0005-0000-0000-0000FE390000}"/>
    <cellStyle name="Normal 16 6 2 3 3 5" xfId="14863" xr:uid="{00000000-0005-0000-0000-0000FF390000}"/>
    <cellStyle name="Normal 16 6 2 3 3 6" xfId="14864" xr:uid="{00000000-0005-0000-0000-0000003A0000}"/>
    <cellStyle name="Normal 16 6 2 3 4" xfId="14865" xr:uid="{00000000-0005-0000-0000-0000013A0000}"/>
    <cellStyle name="Normal 16 6 2 3 5" xfId="14866" xr:uid="{00000000-0005-0000-0000-0000023A0000}"/>
    <cellStyle name="Normal 16 6 2 3 6" xfId="14867" xr:uid="{00000000-0005-0000-0000-0000033A0000}"/>
    <cellStyle name="Normal 16 6 2 3 7" xfId="14868" xr:uid="{00000000-0005-0000-0000-0000043A0000}"/>
    <cellStyle name="Normal 16 6 2 3 8" xfId="14869" xr:uid="{00000000-0005-0000-0000-0000053A0000}"/>
    <cellStyle name="Normal 16 6 2 4" xfId="14870" xr:uid="{00000000-0005-0000-0000-0000063A0000}"/>
    <cellStyle name="Normal 16 6 2 4 2" xfId="14871" xr:uid="{00000000-0005-0000-0000-0000073A0000}"/>
    <cellStyle name="Normal 16 6 2 4 2 2" xfId="14872" xr:uid="{00000000-0005-0000-0000-0000083A0000}"/>
    <cellStyle name="Normal 16 6 2 4 2 3" xfId="14873" xr:uid="{00000000-0005-0000-0000-0000093A0000}"/>
    <cellStyle name="Normal 16 6 2 4 2 4" xfId="14874" xr:uid="{00000000-0005-0000-0000-00000A3A0000}"/>
    <cellStyle name="Normal 16 6 2 4 2 5" xfId="14875" xr:uid="{00000000-0005-0000-0000-00000B3A0000}"/>
    <cellStyle name="Normal 16 6 2 4 2 6" xfId="14876" xr:uid="{00000000-0005-0000-0000-00000C3A0000}"/>
    <cellStyle name="Normal 16 6 2 4 3" xfId="14877" xr:uid="{00000000-0005-0000-0000-00000D3A0000}"/>
    <cellStyle name="Normal 16 6 2 4 3 2" xfId="14878" xr:uid="{00000000-0005-0000-0000-00000E3A0000}"/>
    <cellStyle name="Normal 16 6 2 4 3 3" xfId="14879" xr:uid="{00000000-0005-0000-0000-00000F3A0000}"/>
    <cellStyle name="Normal 16 6 2 4 3 4" xfId="14880" xr:uid="{00000000-0005-0000-0000-0000103A0000}"/>
    <cellStyle name="Normal 16 6 2 4 3 5" xfId="14881" xr:uid="{00000000-0005-0000-0000-0000113A0000}"/>
    <cellStyle name="Normal 16 6 2 4 3 6" xfId="14882" xr:uid="{00000000-0005-0000-0000-0000123A0000}"/>
    <cellStyle name="Normal 16 6 2 4 4" xfId="14883" xr:uid="{00000000-0005-0000-0000-0000133A0000}"/>
    <cellStyle name="Normal 16 6 2 4 5" xfId="14884" xr:uid="{00000000-0005-0000-0000-0000143A0000}"/>
    <cellStyle name="Normal 16 6 2 4 6" xfId="14885" xr:uid="{00000000-0005-0000-0000-0000153A0000}"/>
    <cellStyle name="Normal 16 6 2 4 7" xfId="14886" xr:uid="{00000000-0005-0000-0000-0000163A0000}"/>
    <cellStyle name="Normal 16 6 2 4 8" xfId="14887" xr:uid="{00000000-0005-0000-0000-0000173A0000}"/>
    <cellStyle name="Normal 16 6 2 5" xfId="14888" xr:uid="{00000000-0005-0000-0000-0000183A0000}"/>
    <cellStyle name="Normal 16 6 2 5 2" xfId="14889" xr:uid="{00000000-0005-0000-0000-0000193A0000}"/>
    <cellStyle name="Normal 16 6 2 5 3" xfId="14890" xr:uid="{00000000-0005-0000-0000-00001A3A0000}"/>
    <cellStyle name="Normal 16 6 2 5 4" xfId="14891" xr:uid="{00000000-0005-0000-0000-00001B3A0000}"/>
    <cellStyle name="Normal 16 6 2 5 5" xfId="14892" xr:uid="{00000000-0005-0000-0000-00001C3A0000}"/>
    <cellStyle name="Normal 16 6 2 5 6" xfId="14893" xr:uid="{00000000-0005-0000-0000-00001D3A0000}"/>
    <cellStyle name="Normal 16 6 2 6" xfId="14894" xr:uid="{00000000-0005-0000-0000-00001E3A0000}"/>
    <cellStyle name="Normal 16 6 2 6 2" xfId="14895" xr:uid="{00000000-0005-0000-0000-00001F3A0000}"/>
    <cellStyle name="Normal 16 6 2 6 3" xfId="14896" xr:uid="{00000000-0005-0000-0000-0000203A0000}"/>
    <cellStyle name="Normal 16 6 2 6 4" xfId="14897" xr:uid="{00000000-0005-0000-0000-0000213A0000}"/>
    <cellStyle name="Normal 16 6 2 6 5" xfId="14898" xr:uid="{00000000-0005-0000-0000-0000223A0000}"/>
    <cellStyle name="Normal 16 6 2 6 6" xfId="14899" xr:uid="{00000000-0005-0000-0000-0000233A0000}"/>
    <cellStyle name="Normal 16 6 2 7" xfId="14900" xr:uid="{00000000-0005-0000-0000-0000243A0000}"/>
    <cellStyle name="Normal 16 6 2 8" xfId="14901" xr:uid="{00000000-0005-0000-0000-0000253A0000}"/>
    <cellStyle name="Normal 16 6 2 9" xfId="14902" xr:uid="{00000000-0005-0000-0000-0000263A0000}"/>
    <cellStyle name="Normal 16 6 3" xfId="14903" xr:uid="{00000000-0005-0000-0000-0000273A0000}"/>
    <cellStyle name="Normal 16 6 3 2" xfId="14904" xr:uid="{00000000-0005-0000-0000-0000283A0000}"/>
    <cellStyle name="Normal 16 6 3 2 2" xfId="14905" xr:uid="{00000000-0005-0000-0000-0000293A0000}"/>
    <cellStyle name="Normal 16 6 3 2 3" xfId="14906" xr:uid="{00000000-0005-0000-0000-00002A3A0000}"/>
    <cellStyle name="Normal 16 6 3 2 4" xfId="14907" xr:uid="{00000000-0005-0000-0000-00002B3A0000}"/>
    <cellStyle name="Normal 16 6 3 2 5" xfId="14908" xr:uid="{00000000-0005-0000-0000-00002C3A0000}"/>
    <cellStyle name="Normal 16 6 3 2 6" xfId="14909" xr:uid="{00000000-0005-0000-0000-00002D3A0000}"/>
    <cellStyle name="Normal 16 6 3 3" xfId="14910" xr:uid="{00000000-0005-0000-0000-00002E3A0000}"/>
    <cellStyle name="Normal 16 6 3 3 2" xfId="14911" xr:uid="{00000000-0005-0000-0000-00002F3A0000}"/>
    <cellStyle name="Normal 16 6 3 3 3" xfId="14912" xr:uid="{00000000-0005-0000-0000-0000303A0000}"/>
    <cellStyle name="Normal 16 6 3 3 4" xfId="14913" xr:uid="{00000000-0005-0000-0000-0000313A0000}"/>
    <cellStyle name="Normal 16 6 3 3 5" xfId="14914" xr:uid="{00000000-0005-0000-0000-0000323A0000}"/>
    <cellStyle name="Normal 16 6 3 3 6" xfId="14915" xr:uid="{00000000-0005-0000-0000-0000333A0000}"/>
    <cellStyle name="Normal 16 6 3 4" xfId="14916" xr:uid="{00000000-0005-0000-0000-0000343A0000}"/>
    <cellStyle name="Normal 16 6 3 5" xfId="14917" xr:uid="{00000000-0005-0000-0000-0000353A0000}"/>
    <cellStyle name="Normal 16 6 3 6" xfId="14918" xr:uid="{00000000-0005-0000-0000-0000363A0000}"/>
    <cellStyle name="Normal 16 6 3 7" xfId="14919" xr:uid="{00000000-0005-0000-0000-0000373A0000}"/>
    <cellStyle name="Normal 16 6 3 8" xfId="14920" xr:uid="{00000000-0005-0000-0000-0000383A0000}"/>
    <cellStyle name="Normal 16 6 4" xfId="14921" xr:uid="{00000000-0005-0000-0000-0000393A0000}"/>
    <cellStyle name="Normal 16 6 4 2" xfId="14922" xr:uid="{00000000-0005-0000-0000-00003A3A0000}"/>
    <cellStyle name="Normal 16 6 4 2 2" xfId="14923" xr:uid="{00000000-0005-0000-0000-00003B3A0000}"/>
    <cellStyle name="Normal 16 6 4 2 3" xfId="14924" xr:uid="{00000000-0005-0000-0000-00003C3A0000}"/>
    <cellStyle name="Normal 16 6 4 2 4" xfId="14925" xr:uid="{00000000-0005-0000-0000-00003D3A0000}"/>
    <cellStyle name="Normal 16 6 4 2 5" xfId="14926" xr:uid="{00000000-0005-0000-0000-00003E3A0000}"/>
    <cellStyle name="Normal 16 6 4 2 6" xfId="14927" xr:uid="{00000000-0005-0000-0000-00003F3A0000}"/>
    <cellStyle name="Normal 16 6 4 3" xfId="14928" xr:uid="{00000000-0005-0000-0000-0000403A0000}"/>
    <cellStyle name="Normal 16 6 4 3 2" xfId="14929" xr:uid="{00000000-0005-0000-0000-0000413A0000}"/>
    <cellStyle name="Normal 16 6 4 3 3" xfId="14930" xr:uid="{00000000-0005-0000-0000-0000423A0000}"/>
    <cellStyle name="Normal 16 6 4 3 4" xfId="14931" xr:uid="{00000000-0005-0000-0000-0000433A0000}"/>
    <cellStyle name="Normal 16 6 4 3 5" xfId="14932" xr:uid="{00000000-0005-0000-0000-0000443A0000}"/>
    <cellStyle name="Normal 16 6 4 3 6" xfId="14933" xr:uid="{00000000-0005-0000-0000-0000453A0000}"/>
    <cellStyle name="Normal 16 6 4 4" xfId="14934" xr:uid="{00000000-0005-0000-0000-0000463A0000}"/>
    <cellStyle name="Normal 16 6 4 5" xfId="14935" xr:uid="{00000000-0005-0000-0000-0000473A0000}"/>
    <cellStyle name="Normal 16 6 4 6" xfId="14936" xr:uid="{00000000-0005-0000-0000-0000483A0000}"/>
    <cellStyle name="Normal 16 6 4 7" xfId="14937" xr:uid="{00000000-0005-0000-0000-0000493A0000}"/>
    <cellStyle name="Normal 16 6 4 8" xfId="14938" xr:uid="{00000000-0005-0000-0000-00004A3A0000}"/>
    <cellStyle name="Normal 16 6 5" xfId="14939" xr:uid="{00000000-0005-0000-0000-00004B3A0000}"/>
    <cellStyle name="Normal 16 6 5 2" xfId="14940" xr:uid="{00000000-0005-0000-0000-00004C3A0000}"/>
    <cellStyle name="Normal 16 6 5 2 2" xfId="14941" xr:uid="{00000000-0005-0000-0000-00004D3A0000}"/>
    <cellStyle name="Normal 16 6 5 2 3" xfId="14942" xr:uid="{00000000-0005-0000-0000-00004E3A0000}"/>
    <cellStyle name="Normal 16 6 5 2 4" xfId="14943" xr:uid="{00000000-0005-0000-0000-00004F3A0000}"/>
    <cellStyle name="Normal 16 6 5 2 5" xfId="14944" xr:uid="{00000000-0005-0000-0000-0000503A0000}"/>
    <cellStyle name="Normal 16 6 5 2 6" xfId="14945" xr:uid="{00000000-0005-0000-0000-0000513A0000}"/>
    <cellStyle name="Normal 16 6 5 3" xfId="14946" xr:uid="{00000000-0005-0000-0000-0000523A0000}"/>
    <cellStyle name="Normal 16 6 5 3 2" xfId="14947" xr:uid="{00000000-0005-0000-0000-0000533A0000}"/>
    <cellStyle name="Normal 16 6 5 3 3" xfId="14948" xr:uid="{00000000-0005-0000-0000-0000543A0000}"/>
    <cellStyle name="Normal 16 6 5 3 4" xfId="14949" xr:uid="{00000000-0005-0000-0000-0000553A0000}"/>
    <cellStyle name="Normal 16 6 5 3 5" xfId="14950" xr:uid="{00000000-0005-0000-0000-0000563A0000}"/>
    <cellStyle name="Normal 16 6 5 3 6" xfId="14951" xr:uid="{00000000-0005-0000-0000-0000573A0000}"/>
    <cellStyle name="Normal 16 6 5 4" xfId="14952" xr:uid="{00000000-0005-0000-0000-0000583A0000}"/>
    <cellStyle name="Normal 16 6 5 5" xfId="14953" xr:uid="{00000000-0005-0000-0000-0000593A0000}"/>
    <cellStyle name="Normal 16 6 5 6" xfId="14954" xr:uid="{00000000-0005-0000-0000-00005A3A0000}"/>
    <cellStyle name="Normal 16 6 5 7" xfId="14955" xr:uid="{00000000-0005-0000-0000-00005B3A0000}"/>
    <cellStyle name="Normal 16 6 5 8" xfId="14956" xr:uid="{00000000-0005-0000-0000-00005C3A0000}"/>
    <cellStyle name="Normal 16 6 6" xfId="14957" xr:uid="{00000000-0005-0000-0000-00005D3A0000}"/>
    <cellStyle name="Normal 16 6 6 2" xfId="14958" xr:uid="{00000000-0005-0000-0000-00005E3A0000}"/>
    <cellStyle name="Normal 16 6 6 3" xfId="14959" xr:uid="{00000000-0005-0000-0000-00005F3A0000}"/>
    <cellStyle name="Normal 16 6 6 4" xfId="14960" xr:uid="{00000000-0005-0000-0000-0000603A0000}"/>
    <cellStyle name="Normal 16 6 6 5" xfId="14961" xr:uid="{00000000-0005-0000-0000-0000613A0000}"/>
    <cellStyle name="Normal 16 6 6 6" xfId="14962" xr:uid="{00000000-0005-0000-0000-0000623A0000}"/>
    <cellStyle name="Normal 16 6 7" xfId="14963" xr:uid="{00000000-0005-0000-0000-0000633A0000}"/>
    <cellStyle name="Normal 16 6 7 2" xfId="14964" xr:uid="{00000000-0005-0000-0000-0000643A0000}"/>
    <cellStyle name="Normal 16 6 7 3" xfId="14965" xr:uid="{00000000-0005-0000-0000-0000653A0000}"/>
    <cellStyle name="Normal 16 6 7 4" xfId="14966" xr:uid="{00000000-0005-0000-0000-0000663A0000}"/>
    <cellStyle name="Normal 16 6 7 5" xfId="14967" xr:uid="{00000000-0005-0000-0000-0000673A0000}"/>
    <cellStyle name="Normal 16 6 7 6" xfId="14968" xr:uid="{00000000-0005-0000-0000-0000683A0000}"/>
    <cellStyle name="Normal 16 6 8" xfId="14969" xr:uid="{00000000-0005-0000-0000-0000693A0000}"/>
    <cellStyle name="Normal 16 6 9" xfId="14970" xr:uid="{00000000-0005-0000-0000-00006A3A0000}"/>
    <cellStyle name="Normal 16 7" xfId="14971" xr:uid="{00000000-0005-0000-0000-00006B3A0000}"/>
    <cellStyle name="Normal 16 7 10" xfId="14972" xr:uid="{00000000-0005-0000-0000-00006C3A0000}"/>
    <cellStyle name="Normal 16 7 11" xfId="14973" xr:uid="{00000000-0005-0000-0000-00006D3A0000}"/>
    <cellStyle name="Normal 16 7 2" xfId="14974" xr:uid="{00000000-0005-0000-0000-00006E3A0000}"/>
    <cellStyle name="Normal 16 7 2 2" xfId="14975" xr:uid="{00000000-0005-0000-0000-00006F3A0000}"/>
    <cellStyle name="Normal 16 7 2 2 2" xfId="14976" xr:uid="{00000000-0005-0000-0000-0000703A0000}"/>
    <cellStyle name="Normal 16 7 2 2 3" xfId="14977" xr:uid="{00000000-0005-0000-0000-0000713A0000}"/>
    <cellStyle name="Normal 16 7 2 2 4" xfId="14978" xr:uid="{00000000-0005-0000-0000-0000723A0000}"/>
    <cellStyle name="Normal 16 7 2 2 5" xfId="14979" xr:uid="{00000000-0005-0000-0000-0000733A0000}"/>
    <cellStyle name="Normal 16 7 2 2 6" xfId="14980" xr:uid="{00000000-0005-0000-0000-0000743A0000}"/>
    <cellStyle name="Normal 16 7 2 3" xfId="14981" xr:uid="{00000000-0005-0000-0000-0000753A0000}"/>
    <cellStyle name="Normal 16 7 2 3 2" xfId="14982" xr:uid="{00000000-0005-0000-0000-0000763A0000}"/>
    <cellStyle name="Normal 16 7 2 3 3" xfId="14983" xr:uid="{00000000-0005-0000-0000-0000773A0000}"/>
    <cellStyle name="Normal 16 7 2 3 4" xfId="14984" xr:uid="{00000000-0005-0000-0000-0000783A0000}"/>
    <cellStyle name="Normal 16 7 2 3 5" xfId="14985" xr:uid="{00000000-0005-0000-0000-0000793A0000}"/>
    <cellStyle name="Normal 16 7 2 3 6" xfId="14986" xr:uid="{00000000-0005-0000-0000-00007A3A0000}"/>
    <cellStyle name="Normal 16 7 2 4" xfId="14987" xr:uid="{00000000-0005-0000-0000-00007B3A0000}"/>
    <cellStyle name="Normal 16 7 2 5" xfId="14988" xr:uid="{00000000-0005-0000-0000-00007C3A0000}"/>
    <cellStyle name="Normal 16 7 2 6" xfId="14989" xr:uid="{00000000-0005-0000-0000-00007D3A0000}"/>
    <cellStyle name="Normal 16 7 2 7" xfId="14990" xr:uid="{00000000-0005-0000-0000-00007E3A0000}"/>
    <cellStyle name="Normal 16 7 2 8" xfId="14991" xr:uid="{00000000-0005-0000-0000-00007F3A0000}"/>
    <cellStyle name="Normal 16 7 3" xfId="14992" xr:uid="{00000000-0005-0000-0000-0000803A0000}"/>
    <cellStyle name="Normal 16 7 3 2" xfId="14993" xr:uid="{00000000-0005-0000-0000-0000813A0000}"/>
    <cellStyle name="Normal 16 7 3 2 2" xfId="14994" xr:uid="{00000000-0005-0000-0000-0000823A0000}"/>
    <cellStyle name="Normal 16 7 3 2 3" xfId="14995" xr:uid="{00000000-0005-0000-0000-0000833A0000}"/>
    <cellStyle name="Normal 16 7 3 2 4" xfId="14996" xr:uid="{00000000-0005-0000-0000-0000843A0000}"/>
    <cellStyle name="Normal 16 7 3 2 5" xfId="14997" xr:uid="{00000000-0005-0000-0000-0000853A0000}"/>
    <cellStyle name="Normal 16 7 3 2 6" xfId="14998" xr:uid="{00000000-0005-0000-0000-0000863A0000}"/>
    <cellStyle name="Normal 16 7 3 3" xfId="14999" xr:uid="{00000000-0005-0000-0000-0000873A0000}"/>
    <cellStyle name="Normal 16 7 3 3 2" xfId="15000" xr:uid="{00000000-0005-0000-0000-0000883A0000}"/>
    <cellStyle name="Normal 16 7 3 3 3" xfId="15001" xr:uid="{00000000-0005-0000-0000-0000893A0000}"/>
    <cellStyle name="Normal 16 7 3 3 4" xfId="15002" xr:uid="{00000000-0005-0000-0000-00008A3A0000}"/>
    <cellStyle name="Normal 16 7 3 3 5" xfId="15003" xr:uid="{00000000-0005-0000-0000-00008B3A0000}"/>
    <cellStyle name="Normal 16 7 3 3 6" xfId="15004" xr:uid="{00000000-0005-0000-0000-00008C3A0000}"/>
    <cellStyle name="Normal 16 7 3 4" xfId="15005" xr:uid="{00000000-0005-0000-0000-00008D3A0000}"/>
    <cellStyle name="Normal 16 7 3 5" xfId="15006" xr:uid="{00000000-0005-0000-0000-00008E3A0000}"/>
    <cellStyle name="Normal 16 7 3 6" xfId="15007" xr:uid="{00000000-0005-0000-0000-00008F3A0000}"/>
    <cellStyle name="Normal 16 7 3 7" xfId="15008" xr:uid="{00000000-0005-0000-0000-0000903A0000}"/>
    <cellStyle name="Normal 16 7 3 8" xfId="15009" xr:uid="{00000000-0005-0000-0000-0000913A0000}"/>
    <cellStyle name="Normal 16 7 4" xfId="15010" xr:uid="{00000000-0005-0000-0000-0000923A0000}"/>
    <cellStyle name="Normal 16 7 4 2" xfId="15011" xr:uid="{00000000-0005-0000-0000-0000933A0000}"/>
    <cellStyle name="Normal 16 7 4 2 2" xfId="15012" xr:uid="{00000000-0005-0000-0000-0000943A0000}"/>
    <cellStyle name="Normal 16 7 4 2 3" xfId="15013" xr:uid="{00000000-0005-0000-0000-0000953A0000}"/>
    <cellStyle name="Normal 16 7 4 2 4" xfId="15014" xr:uid="{00000000-0005-0000-0000-0000963A0000}"/>
    <cellStyle name="Normal 16 7 4 2 5" xfId="15015" xr:uid="{00000000-0005-0000-0000-0000973A0000}"/>
    <cellStyle name="Normal 16 7 4 2 6" xfId="15016" xr:uid="{00000000-0005-0000-0000-0000983A0000}"/>
    <cellStyle name="Normal 16 7 4 3" xfId="15017" xr:uid="{00000000-0005-0000-0000-0000993A0000}"/>
    <cellStyle name="Normal 16 7 4 3 2" xfId="15018" xr:uid="{00000000-0005-0000-0000-00009A3A0000}"/>
    <cellStyle name="Normal 16 7 4 3 3" xfId="15019" xr:uid="{00000000-0005-0000-0000-00009B3A0000}"/>
    <cellStyle name="Normal 16 7 4 3 4" xfId="15020" xr:uid="{00000000-0005-0000-0000-00009C3A0000}"/>
    <cellStyle name="Normal 16 7 4 3 5" xfId="15021" xr:uid="{00000000-0005-0000-0000-00009D3A0000}"/>
    <cellStyle name="Normal 16 7 4 3 6" xfId="15022" xr:uid="{00000000-0005-0000-0000-00009E3A0000}"/>
    <cellStyle name="Normal 16 7 4 4" xfId="15023" xr:uid="{00000000-0005-0000-0000-00009F3A0000}"/>
    <cellStyle name="Normal 16 7 4 5" xfId="15024" xr:uid="{00000000-0005-0000-0000-0000A03A0000}"/>
    <cellStyle name="Normal 16 7 4 6" xfId="15025" xr:uid="{00000000-0005-0000-0000-0000A13A0000}"/>
    <cellStyle name="Normal 16 7 4 7" xfId="15026" xr:uid="{00000000-0005-0000-0000-0000A23A0000}"/>
    <cellStyle name="Normal 16 7 4 8" xfId="15027" xr:uid="{00000000-0005-0000-0000-0000A33A0000}"/>
    <cellStyle name="Normal 16 7 5" xfId="15028" xr:uid="{00000000-0005-0000-0000-0000A43A0000}"/>
    <cellStyle name="Normal 16 7 5 2" xfId="15029" xr:uid="{00000000-0005-0000-0000-0000A53A0000}"/>
    <cellStyle name="Normal 16 7 5 3" xfId="15030" xr:uid="{00000000-0005-0000-0000-0000A63A0000}"/>
    <cellStyle name="Normal 16 7 5 4" xfId="15031" xr:uid="{00000000-0005-0000-0000-0000A73A0000}"/>
    <cellStyle name="Normal 16 7 5 5" xfId="15032" xr:uid="{00000000-0005-0000-0000-0000A83A0000}"/>
    <cellStyle name="Normal 16 7 5 6" xfId="15033" xr:uid="{00000000-0005-0000-0000-0000A93A0000}"/>
    <cellStyle name="Normal 16 7 6" xfId="15034" xr:uid="{00000000-0005-0000-0000-0000AA3A0000}"/>
    <cellStyle name="Normal 16 7 6 2" xfId="15035" xr:uid="{00000000-0005-0000-0000-0000AB3A0000}"/>
    <cellStyle name="Normal 16 7 6 3" xfId="15036" xr:uid="{00000000-0005-0000-0000-0000AC3A0000}"/>
    <cellStyle name="Normal 16 7 6 4" xfId="15037" xr:uid="{00000000-0005-0000-0000-0000AD3A0000}"/>
    <cellStyle name="Normal 16 7 6 5" xfId="15038" xr:uid="{00000000-0005-0000-0000-0000AE3A0000}"/>
    <cellStyle name="Normal 16 7 6 6" xfId="15039" xr:uid="{00000000-0005-0000-0000-0000AF3A0000}"/>
    <cellStyle name="Normal 16 7 7" xfId="15040" xr:uid="{00000000-0005-0000-0000-0000B03A0000}"/>
    <cellStyle name="Normal 16 7 8" xfId="15041" xr:uid="{00000000-0005-0000-0000-0000B13A0000}"/>
    <cellStyle name="Normal 16 7 9" xfId="15042" xr:uid="{00000000-0005-0000-0000-0000B23A0000}"/>
    <cellStyle name="Normal 16 8" xfId="15043" xr:uid="{00000000-0005-0000-0000-0000B33A0000}"/>
    <cellStyle name="Normal 16 8 2" xfId="15044" xr:uid="{00000000-0005-0000-0000-0000B43A0000}"/>
    <cellStyle name="Normal 16 8 2 2" xfId="15045" xr:uid="{00000000-0005-0000-0000-0000B53A0000}"/>
    <cellStyle name="Normal 16 8 2 3" xfId="15046" xr:uid="{00000000-0005-0000-0000-0000B63A0000}"/>
    <cellStyle name="Normal 16 8 2 4" xfId="15047" xr:uid="{00000000-0005-0000-0000-0000B73A0000}"/>
    <cellStyle name="Normal 16 8 2 5" xfId="15048" xr:uid="{00000000-0005-0000-0000-0000B83A0000}"/>
    <cellStyle name="Normal 16 8 2 6" xfId="15049" xr:uid="{00000000-0005-0000-0000-0000B93A0000}"/>
    <cellStyle name="Normal 16 8 3" xfId="15050" xr:uid="{00000000-0005-0000-0000-0000BA3A0000}"/>
    <cellStyle name="Normal 16 8 3 2" xfId="15051" xr:uid="{00000000-0005-0000-0000-0000BB3A0000}"/>
    <cellStyle name="Normal 16 8 3 3" xfId="15052" xr:uid="{00000000-0005-0000-0000-0000BC3A0000}"/>
    <cellStyle name="Normal 16 8 3 4" xfId="15053" xr:uid="{00000000-0005-0000-0000-0000BD3A0000}"/>
    <cellStyle name="Normal 16 8 3 5" xfId="15054" xr:uid="{00000000-0005-0000-0000-0000BE3A0000}"/>
    <cellStyle name="Normal 16 8 3 6" xfId="15055" xr:uid="{00000000-0005-0000-0000-0000BF3A0000}"/>
    <cellStyle name="Normal 16 8 4" xfId="15056" xr:uid="{00000000-0005-0000-0000-0000C03A0000}"/>
    <cellStyle name="Normal 16 8 5" xfId="15057" xr:uid="{00000000-0005-0000-0000-0000C13A0000}"/>
    <cellStyle name="Normal 16 8 6" xfId="15058" xr:uid="{00000000-0005-0000-0000-0000C23A0000}"/>
    <cellStyle name="Normal 16 8 7" xfId="15059" xr:uid="{00000000-0005-0000-0000-0000C33A0000}"/>
    <cellStyle name="Normal 16 8 8" xfId="15060" xr:uid="{00000000-0005-0000-0000-0000C43A0000}"/>
    <cellStyle name="Normal 16 9" xfId="15061" xr:uid="{00000000-0005-0000-0000-0000C53A0000}"/>
    <cellStyle name="Normal 16 9 2" xfId="15062" xr:uid="{00000000-0005-0000-0000-0000C63A0000}"/>
    <cellStyle name="Normal 16 9 2 2" xfId="15063" xr:uid="{00000000-0005-0000-0000-0000C73A0000}"/>
    <cellStyle name="Normal 16 9 2 3" xfId="15064" xr:uid="{00000000-0005-0000-0000-0000C83A0000}"/>
    <cellStyle name="Normal 16 9 2 4" xfId="15065" xr:uid="{00000000-0005-0000-0000-0000C93A0000}"/>
    <cellStyle name="Normal 16 9 2 5" xfId="15066" xr:uid="{00000000-0005-0000-0000-0000CA3A0000}"/>
    <cellStyle name="Normal 16 9 2 6" xfId="15067" xr:uid="{00000000-0005-0000-0000-0000CB3A0000}"/>
    <cellStyle name="Normal 16 9 3" xfId="15068" xr:uid="{00000000-0005-0000-0000-0000CC3A0000}"/>
    <cellStyle name="Normal 16 9 3 2" xfId="15069" xr:uid="{00000000-0005-0000-0000-0000CD3A0000}"/>
    <cellStyle name="Normal 16 9 3 3" xfId="15070" xr:uid="{00000000-0005-0000-0000-0000CE3A0000}"/>
    <cellStyle name="Normal 16 9 3 4" xfId="15071" xr:uid="{00000000-0005-0000-0000-0000CF3A0000}"/>
    <cellStyle name="Normal 16 9 3 5" xfId="15072" xr:uid="{00000000-0005-0000-0000-0000D03A0000}"/>
    <cellStyle name="Normal 16 9 3 6" xfId="15073" xr:uid="{00000000-0005-0000-0000-0000D13A0000}"/>
    <cellStyle name="Normal 16 9 4" xfId="15074" xr:uid="{00000000-0005-0000-0000-0000D23A0000}"/>
    <cellStyle name="Normal 16 9 5" xfId="15075" xr:uid="{00000000-0005-0000-0000-0000D33A0000}"/>
    <cellStyle name="Normal 16 9 6" xfId="15076" xr:uid="{00000000-0005-0000-0000-0000D43A0000}"/>
    <cellStyle name="Normal 16 9 7" xfId="15077" xr:uid="{00000000-0005-0000-0000-0000D53A0000}"/>
    <cellStyle name="Normal 16 9 8" xfId="15078" xr:uid="{00000000-0005-0000-0000-0000D63A0000}"/>
    <cellStyle name="Normal 17" xfId="15079" xr:uid="{00000000-0005-0000-0000-0000D73A0000}"/>
    <cellStyle name="Normal 17 10" xfId="15080" xr:uid="{00000000-0005-0000-0000-0000D83A0000}"/>
    <cellStyle name="Normal 17 10 2" xfId="15081" xr:uid="{00000000-0005-0000-0000-0000D93A0000}"/>
    <cellStyle name="Normal 17 11" xfId="15082" xr:uid="{00000000-0005-0000-0000-0000DA3A0000}"/>
    <cellStyle name="Normal 17 11 2" xfId="15083" xr:uid="{00000000-0005-0000-0000-0000DB3A0000}"/>
    <cellStyle name="Normal 17 12" xfId="15084" xr:uid="{00000000-0005-0000-0000-0000DC3A0000}"/>
    <cellStyle name="Normal 17 12 2" xfId="15085" xr:uid="{00000000-0005-0000-0000-0000DD3A0000}"/>
    <cellStyle name="Normal 17 13" xfId="15086" xr:uid="{00000000-0005-0000-0000-0000DE3A0000}"/>
    <cellStyle name="Normal 17 13 2" xfId="15087" xr:uid="{00000000-0005-0000-0000-0000DF3A0000}"/>
    <cellStyle name="Normal 17 14" xfId="15088" xr:uid="{00000000-0005-0000-0000-0000E03A0000}"/>
    <cellStyle name="Normal 17 14 2" xfId="15089" xr:uid="{00000000-0005-0000-0000-0000E13A0000}"/>
    <cellStyle name="Normal 17 15" xfId="15090" xr:uid="{00000000-0005-0000-0000-0000E23A0000}"/>
    <cellStyle name="Normal 17 15 2" xfId="15091" xr:uid="{00000000-0005-0000-0000-0000E33A0000}"/>
    <cellStyle name="Normal 17 16" xfId="15092" xr:uid="{00000000-0005-0000-0000-0000E43A0000}"/>
    <cellStyle name="Normal 17 16 2" xfId="15093" xr:uid="{00000000-0005-0000-0000-0000E53A0000}"/>
    <cellStyle name="Normal 17 17" xfId="15094" xr:uid="{00000000-0005-0000-0000-0000E63A0000}"/>
    <cellStyle name="Normal 17 18" xfId="15095" xr:uid="{00000000-0005-0000-0000-0000E73A0000}"/>
    <cellStyle name="Normal 17 18 2" xfId="15096" xr:uid="{00000000-0005-0000-0000-0000E83A0000}"/>
    <cellStyle name="Normal 17 18 2 2" xfId="15097" xr:uid="{00000000-0005-0000-0000-0000E93A0000}"/>
    <cellStyle name="Normal 17 18 2 3" xfId="15098" xr:uid="{00000000-0005-0000-0000-0000EA3A0000}"/>
    <cellStyle name="Normal 17 18 2 4" xfId="15099" xr:uid="{00000000-0005-0000-0000-0000EB3A0000}"/>
    <cellStyle name="Normal 17 18 2 5" xfId="15100" xr:uid="{00000000-0005-0000-0000-0000EC3A0000}"/>
    <cellStyle name="Normal 17 18 2 6" xfId="15101" xr:uid="{00000000-0005-0000-0000-0000ED3A0000}"/>
    <cellStyle name="Normal 17 18 3" xfId="15102" xr:uid="{00000000-0005-0000-0000-0000EE3A0000}"/>
    <cellStyle name="Normal 17 18 3 2" xfId="15103" xr:uid="{00000000-0005-0000-0000-0000EF3A0000}"/>
    <cellStyle name="Normal 17 18 3 3" xfId="15104" xr:uid="{00000000-0005-0000-0000-0000F03A0000}"/>
    <cellStyle name="Normal 17 18 3 4" xfId="15105" xr:uid="{00000000-0005-0000-0000-0000F13A0000}"/>
    <cellStyle name="Normal 17 18 3 5" xfId="15106" xr:uid="{00000000-0005-0000-0000-0000F23A0000}"/>
    <cellStyle name="Normal 17 18 3 6" xfId="15107" xr:uid="{00000000-0005-0000-0000-0000F33A0000}"/>
    <cellStyle name="Normal 17 18 4" xfId="15108" xr:uid="{00000000-0005-0000-0000-0000F43A0000}"/>
    <cellStyle name="Normal 17 18 5" xfId="15109" xr:uid="{00000000-0005-0000-0000-0000F53A0000}"/>
    <cellStyle name="Normal 17 18 6" xfId="15110" xr:uid="{00000000-0005-0000-0000-0000F63A0000}"/>
    <cellStyle name="Normal 17 18 7" xfId="15111" xr:uid="{00000000-0005-0000-0000-0000F73A0000}"/>
    <cellStyle name="Normal 17 18 8" xfId="15112" xr:uid="{00000000-0005-0000-0000-0000F83A0000}"/>
    <cellStyle name="Normal 17 19" xfId="15113" xr:uid="{00000000-0005-0000-0000-0000F93A0000}"/>
    <cellStyle name="Normal 17 19 2" xfId="15114" xr:uid="{00000000-0005-0000-0000-0000FA3A0000}"/>
    <cellStyle name="Normal 17 19 2 2" xfId="15115" xr:uid="{00000000-0005-0000-0000-0000FB3A0000}"/>
    <cellStyle name="Normal 17 19 2 3" xfId="15116" xr:uid="{00000000-0005-0000-0000-0000FC3A0000}"/>
    <cellStyle name="Normal 17 19 2 4" xfId="15117" xr:uid="{00000000-0005-0000-0000-0000FD3A0000}"/>
    <cellStyle name="Normal 17 19 2 5" xfId="15118" xr:uid="{00000000-0005-0000-0000-0000FE3A0000}"/>
    <cellStyle name="Normal 17 19 2 6" xfId="15119" xr:uid="{00000000-0005-0000-0000-0000FF3A0000}"/>
    <cellStyle name="Normal 17 19 3" xfId="15120" xr:uid="{00000000-0005-0000-0000-0000003B0000}"/>
    <cellStyle name="Normal 17 19 3 2" xfId="15121" xr:uid="{00000000-0005-0000-0000-0000013B0000}"/>
    <cellStyle name="Normal 17 19 3 3" xfId="15122" xr:uid="{00000000-0005-0000-0000-0000023B0000}"/>
    <cellStyle name="Normal 17 19 3 4" xfId="15123" xr:uid="{00000000-0005-0000-0000-0000033B0000}"/>
    <cellStyle name="Normal 17 19 3 5" xfId="15124" xr:uid="{00000000-0005-0000-0000-0000043B0000}"/>
    <cellStyle name="Normal 17 19 3 6" xfId="15125" xr:uid="{00000000-0005-0000-0000-0000053B0000}"/>
    <cellStyle name="Normal 17 19 4" xfId="15126" xr:uid="{00000000-0005-0000-0000-0000063B0000}"/>
    <cellStyle name="Normal 17 19 5" xfId="15127" xr:uid="{00000000-0005-0000-0000-0000073B0000}"/>
    <cellStyle name="Normal 17 19 6" xfId="15128" xr:uid="{00000000-0005-0000-0000-0000083B0000}"/>
    <cellStyle name="Normal 17 19 7" xfId="15129" xr:uid="{00000000-0005-0000-0000-0000093B0000}"/>
    <cellStyle name="Normal 17 19 8" xfId="15130" xr:uid="{00000000-0005-0000-0000-00000A3B0000}"/>
    <cellStyle name="Normal 17 2" xfId="15131" xr:uid="{00000000-0005-0000-0000-00000B3B0000}"/>
    <cellStyle name="Normal 17 2 2" xfId="15132" xr:uid="{00000000-0005-0000-0000-00000C3B0000}"/>
    <cellStyle name="Normal 17 20" xfId="15133" xr:uid="{00000000-0005-0000-0000-00000D3B0000}"/>
    <cellStyle name="Normal 17 20 2" xfId="15134" xr:uid="{00000000-0005-0000-0000-00000E3B0000}"/>
    <cellStyle name="Normal 17 20 2 2" xfId="15135" xr:uid="{00000000-0005-0000-0000-00000F3B0000}"/>
    <cellStyle name="Normal 17 20 2 3" xfId="15136" xr:uid="{00000000-0005-0000-0000-0000103B0000}"/>
    <cellStyle name="Normal 17 20 2 4" xfId="15137" xr:uid="{00000000-0005-0000-0000-0000113B0000}"/>
    <cellStyle name="Normal 17 20 2 5" xfId="15138" xr:uid="{00000000-0005-0000-0000-0000123B0000}"/>
    <cellStyle name="Normal 17 20 2 6" xfId="15139" xr:uid="{00000000-0005-0000-0000-0000133B0000}"/>
    <cellStyle name="Normal 17 20 3" xfId="15140" xr:uid="{00000000-0005-0000-0000-0000143B0000}"/>
    <cellStyle name="Normal 17 20 3 2" xfId="15141" xr:uid="{00000000-0005-0000-0000-0000153B0000}"/>
    <cellStyle name="Normal 17 20 3 3" xfId="15142" xr:uid="{00000000-0005-0000-0000-0000163B0000}"/>
    <cellStyle name="Normal 17 20 3 4" xfId="15143" xr:uid="{00000000-0005-0000-0000-0000173B0000}"/>
    <cellStyle name="Normal 17 20 3 5" xfId="15144" xr:uid="{00000000-0005-0000-0000-0000183B0000}"/>
    <cellStyle name="Normal 17 20 3 6" xfId="15145" xr:uid="{00000000-0005-0000-0000-0000193B0000}"/>
    <cellStyle name="Normal 17 20 4" xfId="15146" xr:uid="{00000000-0005-0000-0000-00001A3B0000}"/>
    <cellStyle name="Normal 17 20 5" xfId="15147" xr:uid="{00000000-0005-0000-0000-00001B3B0000}"/>
    <cellStyle name="Normal 17 20 6" xfId="15148" xr:uid="{00000000-0005-0000-0000-00001C3B0000}"/>
    <cellStyle name="Normal 17 20 7" xfId="15149" xr:uid="{00000000-0005-0000-0000-00001D3B0000}"/>
    <cellStyle name="Normal 17 20 8" xfId="15150" xr:uid="{00000000-0005-0000-0000-00001E3B0000}"/>
    <cellStyle name="Normal 17 21" xfId="15151" xr:uid="{00000000-0005-0000-0000-00001F3B0000}"/>
    <cellStyle name="Normal 17 21 2" xfId="15152" xr:uid="{00000000-0005-0000-0000-0000203B0000}"/>
    <cellStyle name="Normal 17 21 3" xfId="15153" xr:uid="{00000000-0005-0000-0000-0000213B0000}"/>
    <cellStyle name="Normal 17 21 4" xfId="15154" xr:uid="{00000000-0005-0000-0000-0000223B0000}"/>
    <cellStyle name="Normal 17 21 5" xfId="15155" xr:uid="{00000000-0005-0000-0000-0000233B0000}"/>
    <cellStyle name="Normal 17 21 6" xfId="15156" xr:uid="{00000000-0005-0000-0000-0000243B0000}"/>
    <cellStyle name="Normal 17 22" xfId="15157" xr:uid="{00000000-0005-0000-0000-0000253B0000}"/>
    <cellStyle name="Normal 17 22 2" xfId="15158" xr:uid="{00000000-0005-0000-0000-0000263B0000}"/>
    <cellStyle name="Normal 17 22 3" xfId="15159" xr:uid="{00000000-0005-0000-0000-0000273B0000}"/>
    <cellStyle name="Normal 17 22 4" xfId="15160" xr:uid="{00000000-0005-0000-0000-0000283B0000}"/>
    <cellStyle name="Normal 17 22 5" xfId="15161" xr:uid="{00000000-0005-0000-0000-0000293B0000}"/>
    <cellStyle name="Normal 17 22 6" xfId="15162" xr:uid="{00000000-0005-0000-0000-00002A3B0000}"/>
    <cellStyle name="Normal 17 23" xfId="15163" xr:uid="{00000000-0005-0000-0000-00002B3B0000}"/>
    <cellStyle name="Normal 17 24" xfId="15164" xr:uid="{00000000-0005-0000-0000-00002C3B0000}"/>
    <cellStyle name="Normal 17 25" xfId="15165" xr:uid="{00000000-0005-0000-0000-00002D3B0000}"/>
    <cellStyle name="Normal 17 26" xfId="15166" xr:uid="{00000000-0005-0000-0000-00002E3B0000}"/>
    <cellStyle name="Normal 17 27" xfId="15167" xr:uid="{00000000-0005-0000-0000-00002F3B0000}"/>
    <cellStyle name="Normal 17 3" xfId="15168" xr:uid="{00000000-0005-0000-0000-0000303B0000}"/>
    <cellStyle name="Normal 17 3 2" xfId="15169" xr:uid="{00000000-0005-0000-0000-0000313B0000}"/>
    <cellStyle name="Normal 17 4" xfId="15170" xr:uid="{00000000-0005-0000-0000-0000323B0000}"/>
    <cellStyle name="Normal 17 4 2" xfId="15171" xr:uid="{00000000-0005-0000-0000-0000333B0000}"/>
    <cellStyle name="Normal 17 5" xfId="15172" xr:uid="{00000000-0005-0000-0000-0000343B0000}"/>
    <cellStyle name="Normal 17 5 2" xfId="15173" xr:uid="{00000000-0005-0000-0000-0000353B0000}"/>
    <cellStyle name="Normal 17 6" xfId="15174" xr:uid="{00000000-0005-0000-0000-0000363B0000}"/>
    <cellStyle name="Normal 17 6 2" xfId="15175" xr:uid="{00000000-0005-0000-0000-0000373B0000}"/>
    <cellStyle name="Normal 17 7" xfId="15176" xr:uid="{00000000-0005-0000-0000-0000383B0000}"/>
    <cellStyle name="Normal 17 7 2" xfId="15177" xr:uid="{00000000-0005-0000-0000-0000393B0000}"/>
    <cellStyle name="Normal 17 8" xfId="15178" xr:uid="{00000000-0005-0000-0000-00003A3B0000}"/>
    <cellStyle name="Normal 17 8 2" xfId="15179" xr:uid="{00000000-0005-0000-0000-00003B3B0000}"/>
    <cellStyle name="Normal 17 9" xfId="15180" xr:uid="{00000000-0005-0000-0000-00003C3B0000}"/>
    <cellStyle name="Normal 17 9 2" xfId="15181" xr:uid="{00000000-0005-0000-0000-00003D3B0000}"/>
    <cellStyle name="Normal 18" xfId="15182" xr:uid="{00000000-0005-0000-0000-00003E3B0000}"/>
    <cellStyle name="Normal 18 10" xfId="15183" xr:uid="{00000000-0005-0000-0000-00003F3B0000}"/>
    <cellStyle name="Normal 18 10 2" xfId="15184" xr:uid="{00000000-0005-0000-0000-0000403B0000}"/>
    <cellStyle name="Normal 18 11" xfId="15185" xr:uid="{00000000-0005-0000-0000-0000413B0000}"/>
    <cellStyle name="Normal 18 11 2" xfId="15186" xr:uid="{00000000-0005-0000-0000-0000423B0000}"/>
    <cellStyle name="Normal 18 12" xfId="15187" xr:uid="{00000000-0005-0000-0000-0000433B0000}"/>
    <cellStyle name="Normal 18 12 2" xfId="15188" xr:uid="{00000000-0005-0000-0000-0000443B0000}"/>
    <cellStyle name="Normal 18 13" xfId="15189" xr:uid="{00000000-0005-0000-0000-0000453B0000}"/>
    <cellStyle name="Normal 18 13 2" xfId="15190" xr:uid="{00000000-0005-0000-0000-0000463B0000}"/>
    <cellStyle name="Normal 18 14" xfId="15191" xr:uid="{00000000-0005-0000-0000-0000473B0000}"/>
    <cellStyle name="Normal 18 14 2" xfId="15192" xr:uid="{00000000-0005-0000-0000-0000483B0000}"/>
    <cellStyle name="Normal 18 15" xfId="15193" xr:uid="{00000000-0005-0000-0000-0000493B0000}"/>
    <cellStyle name="Normal 18 15 2" xfId="15194" xr:uid="{00000000-0005-0000-0000-00004A3B0000}"/>
    <cellStyle name="Normal 18 16" xfId="15195" xr:uid="{00000000-0005-0000-0000-00004B3B0000}"/>
    <cellStyle name="Normal 18 16 2" xfId="15196" xr:uid="{00000000-0005-0000-0000-00004C3B0000}"/>
    <cellStyle name="Normal 18 17" xfId="15197" xr:uid="{00000000-0005-0000-0000-00004D3B0000}"/>
    <cellStyle name="Normal 18 18" xfId="15198" xr:uid="{00000000-0005-0000-0000-00004E3B0000}"/>
    <cellStyle name="Normal 18 18 2" xfId="15199" xr:uid="{00000000-0005-0000-0000-00004F3B0000}"/>
    <cellStyle name="Normal 18 18 2 2" xfId="15200" xr:uid="{00000000-0005-0000-0000-0000503B0000}"/>
    <cellStyle name="Normal 18 18 2 3" xfId="15201" xr:uid="{00000000-0005-0000-0000-0000513B0000}"/>
    <cellStyle name="Normal 18 18 2 4" xfId="15202" xr:uid="{00000000-0005-0000-0000-0000523B0000}"/>
    <cellStyle name="Normal 18 18 2 5" xfId="15203" xr:uid="{00000000-0005-0000-0000-0000533B0000}"/>
    <cellStyle name="Normal 18 18 2 6" xfId="15204" xr:uid="{00000000-0005-0000-0000-0000543B0000}"/>
    <cellStyle name="Normal 18 18 3" xfId="15205" xr:uid="{00000000-0005-0000-0000-0000553B0000}"/>
    <cellStyle name="Normal 18 18 3 2" xfId="15206" xr:uid="{00000000-0005-0000-0000-0000563B0000}"/>
    <cellStyle name="Normal 18 18 3 3" xfId="15207" xr:uid="{00000000-0005-0000-0000-0000573B0000}"/>
    <cellStyle name="Normal 18 18 3 4" xfId="15208" xr:uid="{00000000-0005-0000-0000-0000583B0000}"/>
    <cellStyle name="Normal 18 18 3 5" xfId="15209" xr:uid="{00000000-0005-0000-0000-0000593B0000}"/>
    <cellStyle name="Normal 18 18 3 6" xfId="15210" xr:uid="{00000000-0005-0000-0000-00005A3B0000}"/>
    <cellStyle name="Normal 18 18 4" xfId="15211" xr:uid="{00000000-0005-0000-0000-00005B3B0000}"/>
    <cellStyle name="Normal 18 18 5" xfId="15212" xr:uid="{00000000-0005-0000-0000-00005C3B0000}"/>
    <cellStyle name="Normal 18 18 6" xfId="15213" xr:uid="{00000000-0005-0000-0000-00005D3B0000}"/>
    <cellStyle name="Normal 18 18 7" xfId="15214" xr:uid="{00000000-0005-0000-0000-00005E3B0000}"/>
    <cellStyle name="Normal 18 18 8" xfId="15215" xr:uid="{00000000-0005-0000-0000-00005F3B0000}"/>
    <cellStyle name="Normal 18 19" xfId="15216" xr:uid="{00000000-0005-0000-0000-0000603B0000}"/>
    <cellStyle name="Normal 18 19 2" xfId="15217" xr:uid="{00000000-0005-0000-0000-0000613B0000}"/>
    <cellStyle name="Normal 18 19 2 2" xfId="15218" xr:uid="{00000000-0005-0000-0000-0000623B0000}"/>
    <cellStyle name="Normal 18 19 2 3" xfId="15219" xr:uid="{00000000-0005-0000-0000-0000633B0000}"/>
    <cellStyle name="Normal 18 19 2 4" xfId="15220" xr:uid="{00000000-0005-0000-0000-0000643B0000}"/>
    <cellStyle name="Normal 18 19 2 5" xfId="15221" xr:uid="{00000000-0005-0000-0000-0000653B0000}"/>
    <cellStyle name="Normal 18 19 2 6" xfId="15222" xr:uid="{00000000-0005-0000-0000-0000663B0000}"/>
    <cellStyle name="Normal 18 19 3" xfId="15223" xr:uid="{00000000-0005-0000-0000-0000673B0000}"/>
    <cellStyle name="Normal 18 19 3 2" xfId="15224" xr:uid="{00000000-0005-0000-0000-0000683B0000}"/>
    <cellStyle name="Normal 18 19 3 3" xfId="15225" xr:uid="{00000000-0005-0000-0000-0000693B0000}"/>
    <cellStyle name="Normal 18 19 3 4" xfId="15226" xr:uid="{00000000-0005-0000-0000-00006A3B0000}"/>
    <cellStyle name="Normal 18 19 3 5" xfId="15227" xr:uid="{00000000-0005-0000-0000-00006B3B0000}"/>
    <cellStyle name="Normal 18 19 3 6" xfId="15228" xr:uid="{00000000-0005-0000-0000-00006C3B0000}"/>
    <cellStyle name="Normal 18 19 4" xfId="15229" xr:uid="{00000000-0005-0000-0000-00006D3B0000}"/>
    <cellStyle name="Normal 18 19 5" xfId="15230" xr:uid="{00000000-0005-0000-0000-00006E3B0000}"/>
    <cellStyle name="Normal 18 19 6" xfId="15231" xr:uid="{00000000-0005-0000-0000-00006F3B0000}"/>
    <cellStyle name="Normal 18 19 7" xfId="15232" xr:uid="{00000000-0005-0000-0000-0000703B0000}"/>
    <cellStyle name="Normal 18 19 8" xfId="15233" xr:uid="{00000000-0005-0000-0000-0000713B0000}"/>
    <cellStyle name="Normal 18 2" xfId="15234" xr:uid="{00000000-0005-0000-0000-0000723B0000}"/>
    <cellStyle name="Normal 18 2 2" xfId="15235" xr:uid="{00000000-0005-0000-0000-0000733B0000}"/>
    <cellStyle name="Normal 18 20" xfId="15236" xr:uid="{00000000-0005-0000-0000-0000743B0000}"/>
    <cellStyle name="Normal 18 20 2" xfId="15237" xr:uid="{00000000-0005-0000-0000-0000753B0000}"/>
    <cellStyle name="Normal 18 20 2 2" xfId="15238" xr:uid="{00000000-0005-0000-0000-0000763B0000}"/>
    <cellStyle name="Normal 18 20 2 3" xfId="15239" xr:uid="{00000000-0005-0000-0000-0000773B0000}"/>
    <cellStyle name="Normal 18 20 2 4" xfId="15240" xr:uid="{00000000-0005-0000-0000-0000783B0000}"/>
    <cellStyle name="Normal 18 20 2 5" xfId="15241" xr:uid="{00000000-0005-0000-0000-0000793B0000}"/>
    <cellStyle name="Normal 18 20 2 6" xfId="15242" xr:uid="{00000000-0005-0000-0000-00007A3B0000}"/>
    <cellStyle name="Normal 18 20 3" xfId="15243" xr:uid="{00000000-0005-0000-0000-00007B3B0000}"/>
    <cellStyle name="Normal 18 20 3 2" xfId="15244" xr:uid="{00000000-0005-0000-0000-00007C3B0000}"/>
    <cellStyle name="Normal 18 20 3 3" xfId="15245" xr:uid="{00000000-0005-0000-0000-00007D3B0000}"/>
    <cellStyle name="Normal 18 20 3 4" xfId="15246" xr:uid="{00000000-0005-0000-0000-00007E3B0000}"/>
    <cellStyle name="Normal 18 20 3 5" xfId="15247" xr:uid="{00000000-0005-0000-0000-00007F3B0000}"/>
    <cellStyle name="Normal 18 20 3 6" xfId="15248" xr:uid="{00000000-0005-0000-0000-0000803B0000}"/>
    <cellStyle name="Normal 18 20 4" xfId="15249" xr:uid="{00000000-0005-0000-0000-0000813B0000}"/>
    <cellStyle name="Normal 18 20 5" xfId="15250" xr:uid="{00000000-0005-0000-0000-0000823B0000}"/>
    <cellStyle name="Normal 18 20 6" xfId="15251" xr:uid="{00000000-0005-0000-0000-0000833B0000}"/>
    <cellStyle name="Normal 18 20 7" xfId="15252" xr:uid="{00000000-0005-0000-0000-0000843B0000}"/>
    <cellStyle name="Normal 18 20 8" xfId="15253" xr:uid="{00000000-0005-0000-0000-0000853B0000}"/>
    <cellStyle name="Normal 18 21" xfId="15254" xr:uid="{00000000-0005-0000-0000-0000863B0000}"/>
    <cellStyle name="Normal 18 21 2" xfId="15255" xr:uid="{00000000-0005-0000-0000-0000873B0000}"/>
    <cellStyle name="Normal 18 21 3" xfId="15256" xr:uid="{00000000-0005-0000-0000-0000883B0000}"/>
    <cellStyle name="Normal 18 21 4" xfId="15257" xr:uid="{00000000-0005-0000-0000-0000893B0000}"/>
    <cellStyle name="Normal 18 21 5" xfId="15258" xr:uid="{00000000-0005-0000-0000-00008A3B0000}"/>
    <cellStyle name="Normal 18 21 6" xfId="15259" xr:uid="{00000000-0005-0000-0000-00008B3B0000}"/>
    <cellStyle name="Normal 18 22" xfId="15260" xr:uid="{00000000-0005-0000-0000-00008C3B0000}"/>
    <cellStyle name="Normal 18 22 2" xfId="15261" xr:uid="{00000000-0005-0000-0000-00008D3B0000}"/>
    <cellStyle name="Normal 18 22 3" xfId="15262" xr:uid="{00000000-0005-0000-0000-00008E3B0000}"/>
    <cellStyle name="Normal 18 22 4" xfId="15263" xr:uid="{00000000-0005-0000-0000-00008F3B0000}"/>
    <cellStyle name="Normal 18 22 5" xfId="15264" xr:uid="{00000000-0005-0000-0000-0000903B0000}"/>
    <cellStyle name="Normal 18 22 6" xfId="15265" xr:uid="{00000000-0005-0000-0000-0000913B0000}"/>
    <cellStyle name="Normal 18 23" xfId="15266" xr:uid="{00000000-0005-0000-0000-0000923B0000}"/>
    <cellStyle name="Normal 18 24" xfId="15267" xr:uid="{00000000-0005-0000-0000-0000933B0000}"/>
    <cellStyle name="Normal 18 25" xfId="15268" xr:uid="{00000000-0005-0000-0000-0000943B0000}"/>
    <cellStyle name="Normal 18 26" xfId="15269" xr:uid="{00000000-0005-0000-0000-0000953B0000}"/>
    <cellStyle name="Normal 18 27" xfId="15270" xr:uid="{00000000-0005-0000-0000-0000963B0000}"/>
    <cellStyle name="Normal 18 3" xfId="15271" xr:uid="{00000000-0005-0000-0000-0000973B0000}"/>
    <cellStyle name="Normal 18 3 2" xfId="15272" xr:uid="{00000000-0005-0000-0000-0000983B0000}"/>
    <cellStyle name="Normal 18 4" xfId="15273" xr:uid="{00000000-0005-0000-0000-0000993B0000}"/>
    <cellStyle name="Normal 18 4 2" xfId="15274" xr:uid="{00000000-0005-0000-0000-00009A3B0000}"/>
    <cellStyle name="Normal 18 5" xfId="15275" xr:uid="{00000000-0005-0000-0000-00009B3B0000}"/>
    <cellStyle name="Normal 18 5 2" xfId="15276" xr:uid="{00000000-0005-0000-0000-00009C3B0000}"/>
    <cellStyle name="Normal 18 6" xfId="15277" xr:uid="{00000000-0005-0000-0000-00009D3B0000}"/>
    <cellStyle name="Normal 18 6 2" xfId="15278" xr:uid="{00000000-0005-0000-0000-00009E3B0000}"/>
    <cellStyle name="Normal 18 7" xfId="15279" xr:uid="{00000000-0005-0000-0000-00009F3B0000}"/>
    <cellStyle name="Normal 18 7 2" xfId="15280" xr:uid="{00000000-0005-0000-0000-0000A03B0000}"/>
    <cellStyle name="Normal 18 8" xfId="15281" xr:uid="{00000000-0005-0000-0000-0000A13B0000}"/>
    <cellStyle name="Normal 18 8 2" xfId="15282" xr:uid="{00000000-0005-0000-0000-0000A23B0000}"/>
    <cellStyle name="Normal 18 9" xfId="15283" xr:uid="{00000000-0005-0000-0000-0000A33B0000}"/>
    <cellStyle name="Normal 18 9 2" xfId="15284" xr:uid="{00000000-0005-0000-0000-0000A43B0000}"/>
    <cellStyle name="Normal 19" xfId="15285" xr:uid="{00000000-0005-0000-0000-0000A53B0000}"/>
    <cellStyle name="Normal 19 10" xfId="15286" xr:uid="{00000000-0005-0000-0000-0000A63B0000}"/>
    <cellStyle name="Normal 19 10 2" xfId="15287" xr:uid="{00000000-0005-0000-0000-0000A73B0000}"/>
    <cellStyle name="Normal 19 11" xfId="15288" xr:uid="{00000000-0005-0000-0000-0000A83B0000}"/>
    <cellStyle name="Normal 19 11 2" xfId="15289" xr:uid="{00000000-0005-0000-0000-0000A93B0000}"/>
    <cellStyle name="Normal 19 12" xfId="15290" xr:uid="{00000000-0005-0000-0000-0000AA3B0000}"/>
    <cellStyle name="Normal 19 12 2" xfId="15291" xr:uid="{00000000-0005-0000-0000-0000AB3B0000}"/>
    <cellStyle name="Normal 19 13" xfId="15292" xr:uid="{00000000-0005-0000-0000-0000AC3B0000}"/>
    <cellStyle name="Normal 19 13 2" xfId="15293" xr:uid="{00000000-0005-0000-0000-0000AD3B0000}"/>
    <cellStyle name="Normal 19 14" xfId="15294" xr:uid="{00000000-0005-0000-0000-0000AE3B0000}"/>
    <cellStyle name="Normal 19 14 2" xfId="15295" xr:uid="{00000000-0005-0000-0000-0000AF3B0000}"/>
    <cellStyle name="Normal 19 15" xfId="15296" xr:uid="{00000000-0005-0000-0000-0000B03B0000}"/>
    <cellStyle name="Normal 19 15 2" xfId="15297" xr:uid="{00000000-0005-0000-0000-0000B13B0000}"/>
    <cellStyle name="Normal 19 16" xfId="15298" xr:uid="{00000000-0005-0000-0000-0000B23B0000}"/>
    <cellStyle name="Normal 19 16 2" xfId="15299" xr:uid="{00000000-0005-0000-0000-0000B33B0000}"/>
    <cellStyle name="Normal 19 17" xfId="15300" xr:uid="{00000000-0005-0000-0000-0000B43B0000}"/>
    <cellStyle name="Normal 19 18" xfId="15301" xr:uid="{00000000-0005-0000-0000-0000B53B0000}"/>
    <cellStyle name="Normal 19 18 2" xfId="15302" xr:uid="{00000000-0005-0000-0000-0000B63B0000}"/>
    <cellStyle name="Normal 19 18 2 2" xfId="15303" xr:uid="{00000000-0005-0000-0000-0000B73B0000}"/>
    <cellStyle name="Normal 19 18 2 3" xfId="15304" xr:uid="{00000000-0005-0000-0000-0000B83B0000}"/>
    <cellStyle name="Normal 19 18 2 4" xfId="15305" xr:uid="{00000000-0005-0000-0000-0000B93B0000}"/>
    <cellStyle name="Normal 19 18 2 5" xfId="15306" xr:uid="{00000000-0005-0000-0000-0000BA3B0000}"/>
    <cellStyle name="Normal 19 18 2 6" xfId="15307" xr:uid="{00000000-0005-0000-0000-0000BB3B0000}"/>
    <cellStyle name="Normal 19 18 3" xfId="15308" xr:uid="{00000000-0005-0000-0000-0000BC3B0000}"/>
    <cellStyle name="Normal 19 18 3 2" xfId="15309" xr:uid="{00000000-0005-0000-0000-0000BD3B0000}"/>
    <cellStyle name="Normal 19 18 3 3" xfId="15310" xr:uid="{00000000-0005-0000-0000-0000BE3B0000}"/>
    <cellStyle name="Normal 19 18 3 4" xfId="15311" xr:uid="{00000000-0005-0000-0000-0000BF3B0000}"/>
    <cellStyle name="Normal 19 18 3 5" xfId="15312" xr:uid="{00000000-0005-0000-0000-0000C03B0000}"/>
    <cellStyle name="Normal 19 18 3 6" xfId="15313" xr:uid="{00000000-0005-0000-0000-0000C13B0000}"/>
    <cellStyle name="Normal 19 18 4" xfId="15314" xr:uid="{00000000-0005-0000-0000-0000C23B0000}"/>
    <cellStyle name="Normal 19 18 5" xfId="15315" xr:uid="{00000000-0005-0000-0000-0000C33B0000}"/>
    <cellStyle name="Normal 19 18 6" xfId="15316" xr:uid="{00000000-0005-0000-0000-0000C43B0000}"/>
    <cellStyle name="Normal 19 18 7" xfId="15317" xr:uid="{00000000-0005-0000-0000-0000C53B0000}"/>
    <cellStyle name="Normal 19 18 8" xfId="15318" xr:uid="{00000000-0005-0000-0000-0000C63B0000}"/>
    <cellStyle name="Normal 19 19" xfId="15319" xr:uid="{00000000-0005-0000-0000-0000C73B0000}"/>
    <cellStyle name="Normal 19 19 2" xfId="15320" xr:uid="{00000000-0005-0000-0000-0000C83B0000}"/>
    <cellStyle name="Normal 19 19 2 2" xfId="15321" xr:uid="{00000000-0005-0000-0000-0000C93B0000}"/>
    <cellStyle name="Normal 19 19 2 3" xfId="15322" xr:uid="{00000000-0005-0000-0000-0000CA3B0000}"/>
    <cellStyle name="Normal 19 19 2 4" xfId="15323" xr:uid="{00000000-0005-0000-0000-0000CB3B0000}"/>
    <cellStyle name="Normal 19 19 2 5" xfId="15324" xr:uid="{00000000-0005-0000-0000-0000CC3B0000}"/>
    <cellStyle name="Normal 19 19 2 6" xfId="15325" xr:uid="{00000000-0005-0000-0000-0000CD3B0000}"/>
    <cellStyle name="Normal 19 19 3" xfId="15326" xr:uid="{00000000-0005-0000-0000-0000CE3B0000}"/>
    <cellStyle name="Normal 19 19 3 2" xfId="15327" xr:uid="{00000000-0005-0000-0000-0000CF3B0000}"/>
    <cellStyle name="Normal 19 19 3 3" xfId="15328" xr:uid="{00000000-0005-0000-0000-0000D03B0000}"/>
    <cellStyle name="Normal 19 19 3 4" xfId="15329" xr:uid="{00000000-0005-0000-0000-0000D13B0000}"/>
    <cellStyle name="Normal 19 19 3 5" xfId="15330" xr:uid="{00000000-0005-0000-0000-0000D23B0000}"/>
    <cellStyle name="Normal 19 19 3 6" xfId="15331" xr:uid="{00000000-0005-0000-0000-0000D33B0000}"/>
    <cellStyle name="Normal 19 19 4" xfId="15332" xr:uid="{00000000-0005-0000-0000-0000D43B0000}"/>
    <cellStyle name="Normal 19 19 5" xfId="15333" xr:uid="{00000000-0005-0000-0000-0000D53B0000}"/>
    <cellStyle name="Normal 19 19 6" xfId="15334" xr:uid="{00000000-0005-0000-0000-0000D63B0000}"/>
    <cellStyle name="Normal 19 19 7" xfId="15335" xr:uid="{00000000-0005-0000-0000-0000D73B0000}"/>
    <cellStyle name="Normal 19 19 8" xfId="15336" xr:uid="{00000000-0005-0000-0000-0000D83B0000}"/>
    <cellStyle name="Normal 19 2" xfId="15337" xr:uid="{00000000-0005-0000-0000-0000D93B0000}"/>
    <cellStyle name="Normal 19 2 2" xfId="15338" xr:uid="{00000000-0005-0000-0000-0000DA3B0000}"/>
    <cellStyle name="Normal 19 20" xfId="15339" xr:uid="{00000000-0005-0000-0000-0000DB3B0000}"/>
    <cellStyle name="Normal 19 20 2" xfId="15340" xr:uid="{00000000-0005-0000-0000-0000DC3B0000}"/>
    <cellStyle name="Normal 19 20 2 2" xfId="15341" xr:uid="{00000000-0005-0000-0000-0000DD3B0000}"/>
    <cellStyle name="Normal 19 20 2 3" xfId="15342" xr:uid="{00000000-0005-0000-0000-0000DE3B0000}"/>
    <cellStyle name="Normal 19 20 2 4" xfId="15343" xr:uid="{00000000-0005-0000-0000-0000DF3B0000}"/>
    <cellStyle name="Normal 19 20 2 5" xfId="15344" xr:uid="{00000000-0005-0000-0000-0000E03B0000}"/>
    <cellStyle name="Normal 19 20 2 6" xfId="15345" xr:uid="{00000000-0005-0000-0000-0000E13B0000}"/>
    <cellStyle name="Normal 19 20 3" xfId="15346" xr:uid="{00000000-0005-0000-0000-0000E23B0000}"/>
    <cellStyle name="Normal 19 20 3 2" xfId="15347" xr:uid="{00000000-0005-0000-0000-0000E33B0000}"/>
    <cellStyle name="Normal 19 20 3 3" xfId="15348" xr:uid="{00000000-0005-0000-0000-0000E43B0000}"/>
    <cellStyle name="Normal 19 20 3 4" xfId="15349" xr:uid="{00000000-0005-0000-0000-0000E53B0000}"/>
    <cellStyle name="Normal 19 20 3 5" xfId="15350" xr:uid="{00000000-0005-0000-0000-0000E63B0000}"/>
    <cellStyle name="Normal 19 20 3 6" xfId="15351" xr:uid="{00000000-0005-0000-0000-0000E73B0000}"/>
    <cellStyle name="Normal 19 20 4" xfId="15352" xr:uid="{00000000-0005-0000-0000-0000E83B0000}"/>
    <cellStyle name="Normal 19 20 5" xfId="15353" xr:uid="{00000000-0005-0000-0000-0000E93B0000}"/>
    <cellStyle name="Normal 19 20 6" xfId="15354" xr:uid="{00000000-0005-0000-0000-0000EA3B0000}"/>
    <cellStyle name="Normal 19 20 7" xfId="15355" xr:uid="{00000000-0005-0000-0000-0000EB3B0000}"/>
    <cellStyle name="Normal 19 20 8" xfId="15356" xr:uid="{00000000-0005-0000-0000-0000EC3B0000}"/>
    <cellStyle name="Normal 19 21" xfId="15357" xr:uid="{00000000-0005-0000-0000-0000ED3B0000}"/>
    <cellStyle name="Normal 19 21 2" xfId="15358" xr:uid="{00000000-0005-0000-0000-0000EE3B0000}"/>
    <cellStyle name="Normal 19 21 3" xfId="15359" xr:uid="{00000000-0005-0000-0000-0000EF3B0000}"/>
    <cellStyle name="Normal 19 21 4" xfId="15360" xr:uid="{00000000-0005-0000-0000-0000F03B0000}"/>
    <cellStyle name="Normal 19 21 5" xfId="15361" xr:uid="{00000000-0005-0000-0000-0000F13B0000}"/>
    <cellStyle name="Normal 19 21 6" xfId="15362" xr:uid="{00000000-0005-0000-0000-0000F23B0000}"/>
    <cellStyle name="Normal 19 22" xfId="15363" xr:uid="{00000000-0005-0000-0000-0000F33B0000}"/>
    <cellStyle name="Normal 19 22 2" xfId="15364" xr:uid="{00000000-0005-0000-0000-0000F43B0000}"/>
    <cellStyle name="Normal 19 22 3" xfId="15365" xr:uid="{00000000-0005-0000-0000-0000F53B0000}"/>
    <cellStyle name="Normal 19 22 4" xfId="15366" xr:uid="{00000000-0005-0000-0000-0000F63B0000}"/>
    <cellStyle name="Normal 19 22 5" xfId="15367" xr:uid="{00000000-0005-0000-0000-0000F73B0000}"/>
    <cellStyle name="Normal 19 22 6" xfId="15368" xr:uid="{00000000-0005-0000-0000-0000F83B0000}"/>
    <cellStyle name="Normal 19 23" xfId="15369" xr:uid="{00000000-0005-0000-0000-0000F93B0000}"/>
    <cellStyle name="Normal 19 24" xfId="15370" xr:uid="{00000000-0005-0000-0000-0000FA3B0000}"/>
    <cellStyle name="Normal 19 25" xfId="15371" xr:uid="{00000000-0005-0000-0000-0000FB3B0000}"/>
    <cellStyle name="Normal 19 26" xfId="15372" xr:uid="{00000000-0005-0000-0000-0000FC3B0000}"/>
    <cellStyle name="Normal 19 27" xfId="15373" xr:uid="{00000000-0005-0000-0000-0000FD3B0000}"/>
    <cellStyle name="Normal 19 3" xfId="15374" xr:uid="{00000000-0005-0000-0000-0000FE3B0000}"/>
    <cellStyle name="Normal 19 3 2" xfId="15375" xr:uid="{00000000-0005-0000-0000-0000FF3B0000}"/>
    <cellStyle name="Normal 19 4" xfId="15376" xr:uid="{00000000-0005-0000-0000-0000003C0000}"/>
    <cellStyle name="Normal 19 4 2" xfId="15377" xr:uid="{00000000-0005-0000-0000-0000013C0000}"/>
    <cellStyle name="Normal 19 5" xfId="15378" xr:uid="{00000000-0005-0000-0000-0000023C0000}"/>
    <cellStyle name="Normal 19 5 2" xfId="15379" xr:uid="{00000000-0005-0000-0000-0000033C0000}"/>
    <cellStyle name="Normal 19 6" xfId="15380" xr:uid="{00000000-0005-0000-0000-0000043C0000}"/>
    <cellStyle name="Normal 19 6 2" xfId="15381" xr:uid="{00000000-0005-0000-0000-0000053C0000}"/>
    <cellStyle name="Normal 19 7" xfId="15382" xr:uid="{00000000-0005-0000-0000-0000063C0000}"/>
    <cellStyle name="Normal 19 7 2" xfId="15383" xr:uid="{00000000-0005-0000-0000-0000073C0000}"/>
    <cellStyle name="Normal 19 8" xfId="15384" xr:uid="{00000000-0005-0000-0000-0000083C0000}"/>
    <cellStyle name="Normal 19 8 2" xfId="15385" xr:uid="{00000000-0005-0000-0000-0000093C0000}"/>
    <cellStyle name="Normal 19 9" xfId="15386" xr:uid="{00000000-0005-0000-0000-00000A3C0000}"/>
    <cellStyle name="Normal 19 9 2" xfId="15387" xr:uid="{00000000-0005-0000-0000-00000B3C0000}"/>
    <cellStyle name="Normal 2" xfId="22" xr:uid="{00000000-0005-0000-0000-00000C3C0000}"/>
    <cellStyle name="Normal 2 10" xfId="15388" xr:uid="{00000000-0005-0000-0000-00000D3C0000}"/>
    <cellStyle name="Normal 2 10 2" xfId="15389" xr:uid="{00000000-0005-0000-0000-00000E3C0000}"/>
    <cellStyle name="Normal 2 11" xfId="15390" xr:uid="{00000000-0005-0000-0000-00000F3C0000}"/>
    <cellStyle name="Normal 2 11 2" xfId="15391" xr:uid="{00000000-0005-0000-0000-0000103C0000}"/>
    <cellStyle name="Normal 2 12" xfId="15392" xr:uid="{00000000-0005-0000-0000-0000113C0000}"/>
    <cellStyle name="Normal 2 12 2" xfId="15393" xr:uid="{00000000-0005-0000-0000-0000123C0000}"/>
    <cellStyle name="Normal 2 13" xfId="15394" xr:uid="{00000000-0005-0000-0000-0000133C0000}"/>
    <cellStyle name="Normal 2 13 2" xfId="15395" xr:uid="{00000000-0005-0000-0000-0000143C0000}"/>
    <cellStyle name="Normal 2 14" xfId="15396" xr:uid="{00000000-0005-0000-0000-0000153C0000}"/>
    <cellStyle name="Normal 2 14 2" xfId="15397" xr:uid="{00000000-0005-0000-0000-0000163C0000}"/>
    <cellStyle name="Normal 2 15" xfId="15398" xr:uid="{00000000-0005-0000-0000-0000173C0000}"/>
    <cellStyle name="Normal 2 15 2" xfId="15399" xr:uid="{00000000-0005-0000-0000-0000183C0000}"/>
    <cellStyle name="Normal 2 16" xfId="15400" xr:uid="{00000000-0005-0000-0000-0000193C0000}"/>
    <cellStyle name="Normal 2 16 2" xfId="15401" xr:uid="{00000000-0005-0000-0000-00001A3C0000}"/>
    <cellStyle name="Normal 2 17" xfId="15402" xr:uid="{00000000-0005-0000-0000-00001B3C0000}"/>
    <cellStyle name="Normal 2 17 2" xfId="15403" xr:uid="{00000000-0005-0000-0000-00001C3C0000}"/>
    <cellStyle name="Normal 2 18" xfId="15404" xr:uid="{00000000-0005-0000-0000-00001D3C0000}"/>
    <cellStyle name="Normal 2 18 2" xfId="15405" xr:uid="{00000000-0005-0000-0000-00001E3C0000}"/>
    <cellStyle name="Normal 2 19" xfId="15406" xr:uid="{00000000-0005-0000-0000-00001F3C0000}"/>
    <cellStyle name="Normal 2 19 2" xfId="15407" xr:uid="{00000000-0005-0000-0000-0000203C0000}"/>
    <cellStyle name="Normal 2 2" xfId="23" xr:uid="{00000000-0005-0000-0000-0000213C0000}"/>
    <cellStyle name="Normal 2 2 2" xfId="24" xr:uid="{00000000-0005-0000-0000-0000223C0000}"/>
    <cellStyle name="Normal 2 2 2 2" xfId="15408" xr:uid="{00000000-0005-0000-0000-0000233C0000}"/>
    <cellStyle name="Normal 2 2 3" xfId="25" xr:uid="{00000000-0005-0000-0000-0000243C0000}"/>
    <cellStyle name="Normal 2 2 4" xfId="40906" xr:uid="{00000000-0005-0000-0000-0000253C0000}"/>
    <cellStyle name="Normal 2 20" xfId="15409" xr:uid="{00000000-0005-0000-0000-0000263C0000}"/>
    <cellStyle name="Normal 2 20 2" xfId="15410" xr:uid="{00000000-0005-0000-0000-0000273C0000}"/>
    <cellStyle name="Normal 2 21" xfId="15411" xr:uid="{00000000-0005-0000-0000-0000283C0000}"/>
    <cellStyle name="Normal 2 21 2" xfId="15412" xr:uid="{00000000-0005-0000-0000-0000293C0000}"/>
    <cellStyle name="Normal 2 22" xfId="15413" xr:uid="{00000000-0005-0000-0000-00002A3C0000}"/>
    <cellStyle name="Normal 2 22 2" xfId="15414" xr:uid="{00000000-0005-0000-0000-00002B3C0000}"/>
    <cellStyle name="Normal 2 23" xfId="15415" xr:uid="{00000000-0005-0000-0000-00002C3C0000}"/>
    <cellStyle name="Normal 2 23 2" xfId="15416" xr:uid="{00000000-0005-0000-0000-00002D3C0000}"/>
    <cellStyle name="Normal 2 24" xfId="15417" xr:uid="{00000000-0005-0000-0000-00002E3C0000}"/>
    <cellStyle name="Normal 2 24 2" xfId="15418" xr:uid="{00000000-0005-0000-0000-00002F3C0000}"/>
    <cellStyle name="Normal 2 25" xfId="15419" xr:uid="{00000000-0005-0000-0000-0000303C0000}"/>
    <cellStyle name="Normal 2 25 2" xfId="15420" xr:uid="{00000000-0005-0000-0000-0000313C0000}"/>
    <cellStyle name="Normal 2 26" xfId="15421" xr:uid="{00000000-0005-0000-0000-0000323C0000}"/>
    <cellStyle name="Normal 2 26 2" xfId="15422" xr:uid="{00000000-0005-0000-0000-0000333C0000}"/>
    <cellStyle name="Normal 2 27" xfId="15423" xr:uid="{00000000-0005-0000-0000-0000343C0000}"/>
    <cellStyle name="Normal 2 27 2" xfId="15424" xr:uid="{00000000-0005-0000-0000-0000353C0000}"/>
    <cellStyle name="Normal 2 28" xfId="15425" xr:uid="{00000000-0005-0000-0000-0000363C0000}"/>
    <cellStyle name="Normal 2 28 2" xfId="15426" xr:uid="{00000000-0005-0000-0000-0000373C0000}"/>
    <cellStyle name="Normal 2 29" xfId="15427" xr:uid="{00000000-0005-0000-0000-0000383C0000}"/>
    <cellStyle name="Normal 2 29 2" xfId="15428" xr:uid="{00000000-0005-0000-0000-0000393C0000}"/>
    <cellStyle name="Normal 2 3" xfId="42" xr:uid="{00000000-0005-0000-0000-00003A3C0000}"/>
    <cellStyle name="Normal 2 3 2" xfId="15429" xr:uid="{00000000-0005-0000-0000-00003B3C0000}"/>
    <cellStyle name="Normal 2 3 3" xfId="26" xr:uid="{00000000-0005-0000-0000-00003C3C0000}"/>
    <cellStyle name="Normal 2 30" xfId="15430" xr:uid="{00000000-0005-0000-0000-00003D3C0000}"/>
    <cellStyle name="Normal 2 30 2" xfId="15431" xr:uid="{00000000-0005-0000-0000-00003E3C0000}"/>
    <cellStyle name="Normal 2 31" xfId="15432" xr:uid="{00000000-0005-0000-0000-00003F3C0000}"/>
    <cellStyle name="Normal 2 31 2" xfId="15433" xr:uid="{00000000-0005-0000-0000-0000403C0000}"/>
    <cellStyle name="Normal 2 32" xfId="15434" xr:uid="{00000000-0005-0000-0000-0000413C0000}"/>
    <cellStyle name="Normal 2 32 2" xfId="15435" xr:uid="{00000000-0005-0000-0000-0000423C0000}"/>
    <cellStyle name="Normal 2 33" xfId="15436" xr:uid="{00000000-0005-0000-0000-0000433C0000}"/>
    <cellStyle name="Normal 2 33 2" xfId="15437" xr:uid="{00000000-0005-0000-0000-0000443C0000}"/>
    <cellStyle name="Normal 2 34" xfId="15438" xr:uid="{00000000-0005-0000-0000-0000453C0000}"/>
    <cellStyle name="Normal 2 34 2" xfId="15439" xr:uid="{00000000-0005-0000-0000-0000463C0000}"/>
    <cellStyle name="Normal 2 35" xfId="15440" xr:uid="{00000000-0005-0000-0000-0000473C0000}"/>
    <cellStyle name="Normal 2 35 2" xfId="15441" xr:uid="{00000000-0005-0000-0000-0000483C0000}"/>
    <cellStyle name="Normal 2 36" xfId="15442" xr:uid="{00000000-0005-0000-0000-0000493C0000}"/>
    <cellStyle name="Normal 2 36 2" xfId="15443" xr:uid="{00000000-0005-0000-0000-00004A3C0000}"/>
    <cellStyle name="Normal 2 37" xfId="15444" xr:uid="{00000000-0005-0000-0000-00004B3C0000}"/>
    <cellStyle name="Normal 2 37 2" xfId="15445" xr:uid="{00000000-0005-0000-0000-00004C3C0000}"/>
    <cellStyle name="Normal 2 38" xfId="15446" xr:uid="{00000000-0005-0000-0000-00004D3C0000}"/>
    <cellStyle name="Normal 2 38 2" xfId="15447" xr:uid="{00000000-0005-0000-0000-00004E3C0000}"/>
    <cellStyle name="Normal 2 39" xfId="15448" xr:uid="{00000000-0005-0000-0000-00004F3C0000}"/>
    <cellStyle name="Normal 2 39 2" xfId="15449" xr:uid="{00000000-0005-0000-0000-0000503C0000}"/>
    <cellStyle name="Normal 2 4" xfId="27" xr:uid="{00000000-0005-0000-0000-0000513C0000}"/>
    <cellStyle name="Normal 2 4 2" xfId="4" xr:uid="{00000000-0005-0000-0000-0000523C0000}"/>
    <cellStyle name="Normal 2 4 2 2" xfId="15450" xr:uid="{00000000-0005-0000-0000-0000533C0000}"/>
    <cellStyle name="Normal 2 4 3" xfId="15451" xr:uid="{00000000-0005-0000-0000-0000543C0000}"/>
    <cellStyle name="Normal 2 40" xfId="15452" xr:uid="{00000000-0005-0000-0000-0000553C0000}"/>
    <cellStyle name="Normal 2 40 2" xfId="15453" xr:uid="{00000000-0005-0000-0000-0000563C0000}"/>
    <cellStyle name="Normal 2 41" xfId="15454" xr:uid="{00000000-0005-0000-0000-0000573C0000}"/>
    <cellStyle name="Normal 2 41 2" xfId="15455" xr:uid="{00000000-0005-0000-0000-0000583C0000}"/>
    <cellStyle name="Normal 2 42" xfId="15456" xr:uid="{00000000-0005-0000-0000-0000593C0000}"/>
    <cellStyle name="Normal 2 42 2" xfId="15457" xr:uid="{00000000-0005-0000-0000-00005A3C0000}"/>
    <cellStyle name="Normal 2 43" xfId="15458" xr:uid="{00000000-0005-0000-0000-00005B3C0000}"/>
    <cellStyle name="Normal 2 43 2" xfId="15459" xr:uid="{00000000-0005-0000-0000-00005C3C0000}"/>
    <cellStyle name="Normal 2 44" xfId="15460" xr:uid="{00000000-0005-0000-0000-00005D3C0000}"/>
    <cellStyle name="Normal 2 44 2" xfId="15461" xr:uid="{00000000-0005-0000-0000-00005E3C0000}"/>
    <cellStyle name="Normal 2 45" xfId="15462" xr:uid="{00000000-0005-0000-0000-00005F3C0000}"/>
    <cellStyle name="Normal 2 45 2" xfId="15463" xr:uid="{00000000-0005-0000-0000-0000603C0000}"/>
    <cellStyle name="Normal 2 46" xfId="15464" xr:uid="{00000000-0005-0000-0000-0000613C0000}"/>
    <cellStyle name="Normal 2 46 2" xfId="15465" xr:uid="{00000000-0005-0000-0000-0000623C0000}"/>
    <cellStyle name="Normal 2 47" xfId="15466" xr:uid="{00000000-0005-0000-0000-0000633C0000}"/>
    <cellStyle name="Normal 2 47 2" xfId="15467" xr:uid="{00000000-0005-0000-0000-0000643C0000}"/>
    <cellStyle name="Normal 2 48" xfId="15468" xr:uid="{00000000-0005-0000-0000-0000653C0000}"/>
    <cellStyle name="Normal 2 48 2" xfId="15469" xr:uid="{00000000-0005-0000-0000-0000663C0000}"/>
    <cellStyle name="Normal 2 49" xfId="15470" xr:uid="{00000000-0005-0000-0000-0000673C0000}"/>
    <cellStyle name="Normal 2 49 2" xfId="15471" xr:uid="{00000000-0005-0000-0000-0000683C0000}"/>
    <cellStyle name="Normal 2 5" xfId="28" xr:uid="{00000000-0005-0000-0000-0000693C0000}"/>
    <cellStyle name="Normal 2 5 2" xfId="15472" xr:uid="{00000000-0005-0000-0000-00006A3C0000}"/>
    <cellStyle name="Normal 2 50" xfId="15473" xr:uid="{00000000-0005-0000-0000-00006B3C0000}"/>
    <cellStyle name="Normal 2 50 2" xfId="15474" xr:uid="{00000000-0005-0000-0000-00006C3C0000}"/>
    <cellStyle name="Normal 2 51" xfId="15475" xr:uid="{00000000-0005-0000-0000-00006D3C0000}"/>
    <cellStyle name="Normal 2 51 2" xfId="15476" xr:uid="{00000000-0005-0000-0000-00006E3C0000}"/>
    <cellStyle name="Normal 2 52" xfId="15477" xr:uid="{00000000-0005-0000-0000-00006F3C0000}"/>
    <cellStyle name="Normal 2 52 2" xfId="15478" xr:uid="{00000000-0005-0000-0000-0000703C0000}"/>
    <cellStyle name="Normal 2 53" xfId="15479" xr:uid="{00000000-0005-0000-0000-0000713C0000}"/>
    <cellStyle name="Normal 2 53 2" xfId="15480" xr:uid="{00000000-0005-0000-0000-0000723C0000}"/>
    <cellStyle name="Normal 2 54" xfId="15481" xr:uid="{00000000-0005-0000-0000-0000733C0000}"/>
    <cellStyle name="Normal 2 54 2" xfId="15482" xr:uid="{00000000-0005-0000-0000-0000743C0000}"/>
    <cellStyle name="Normal 2 55" xfId="15483" xr:uid="{00000000-0005-0000-0000-0000753C0000}"/>
    <cellStyle name="Normal 2 55 2" xfId="15484" xr:uid="{00000000-0005-0000-0000-0000763C0000}"/>
    <cellStyle name="Normal 2 56" xfId="15485" xr:uid="{00000000-0005-0000-0000-0000773C0000}"/>
    <cellStyle name="Normal 2 56 2" xfId="15486" xr:uid="{00000000-0005-0000-0000-0000783C0000}"/>
    <cellStyle name="Normal 2 57" xfId="15487" xr:uid="{00000000-0005-0000-0000-0000793C0000}"/>
    <cellStyle name="Normal 2 57 2" xfId="15488" xr:uid="{00000000-0005-0000-0000-00007A3C0000}"/>
    <cellStyle name="Normal 2 58" xfId="15489" xr:uid="{00000000-0005-0000-0000-00007B3C0000}"/>
    <cellStyle name="Normal 2 58 2" xfId="15490" xr:uid="{00000000-0005-0000-0000-00007C3C0000}"/>
    <cellStyle name="Normal 2 59" xfId="15491" xr:uid="{00000000-0005-0000-0000-00007D3C0000}"/>
    <cellStyle name="Normal 2 59 2" xfId="15492" xr:uid="{00000000-0005-0000-0000-00007E3C0000}"/>
    <cellStyle name="Normal 2 6" xfId="15493" xr:uid="{00000000-0005-0000-0000-00007F3C0000}"/>
    <cellStyle name="Normal 2 6 2" xfId="15494" xr:uid="{00000000-0005-0000-0000-0000803C0000}"/>
    <cellStyle name="Normal 2 60" xfId="15495" xr:uid="{00000000-0005-0000-0000-0000813C0000}"/>
    <cellStyle name="Normal 2 60 2" xfId="15496" xr:uid="{00000000-0005-0000-0000-0000823C0000}"/>
    <cellStyle name="Normal 2 61" xfId="15497" xr:uid="{00000000-0005-0000-0000-0000833C0000}"/>
    <cellStyle name="Normal 2 61 2" xfId="15498" xr:uid="{00000000-0005-0000-0000-0000843C0000}"/>
    <cellStyle name="Normal 2 62" xfId="15499" xr:uid="{00000000-0005-0000-0000-0000853C0000}"/>
    <cellStyle name="Normal 2 62 2" xfId="15500" xr:uid="{00000000-0005-0000-0000-0000863C0000}"/>
    <cellStyle name="Normal 2 63" xfId="15501" xr:uid="{00000000-0005-0000-0000-0000873C0000}"/>
    <cellStyle name="Normal 2 63 2" xfId="15502" xr:uid="{00000000-0005-0000-0000-0000883C0000}"/>
    <cellStyle name="Normal 2 64" xfId="15503" xr:uid="{00000000-0005-0000-0000-0000893C0000}"/>
    <cellStyle name="Normal 2 64 2" xfId="15504" xr:uid="{00000000-0005-0000-0000-00008A3C0000}"/>
    <cellStyle name="Normal 2 65" xfId="15505" xr:uid="{00000000-0005-0000-0000-00008B3C0000}"/>
    <cellStyle name="Normal 2 65 2" xfId="15506" xr:uid="{00000000-0005-0000-0000-00008C3C0000}"/>
    <cellStyle name="Normal 2 66" xfId="15507" xr:uid="{00000000-0005-0000-0000-00008D3C0000}"/>
    <cellStyle name="Normal 2 66 2" xfId="15508" xr:uid="{00000000-0005-0000-0000-00008E3C0000}"/>
    <cellStyle name="Normal 2 67" xfId="15509" xr:uid="{00000000-0005-0000-0000-00008F3C0000}"/>
    <cellStyle name="Normal 2 67 2" xfId="15510" xr:uid="{00000000-0005-0000-0000-0000903C0000}"/>
    <cellStyle name="Normal 2 68" xfId="15511" xr:uid="{00000000-0005-0000-0000-0000913C0000}"/>
    <cellStyle name="Normal 2 68 2" xfId="15512" xr:uid="{00000000-0005-0000-0000-0000923C0000}"/>
    <cellStyle name="Normal 2 69" xfId="15513" xr:uid="{00000000-0005-0000-0000-0000933C0000}"/>
    <cellStyle name="Normal 2 69 2" xfId="15514" xr:uid="{00000000-0005-0000-0000-0000943C0000}"/>
    <cellStyle name="Normal 2 7" xfId="15515" xr:uid="{00000000-0005-0000-0000-0000953C0000}"/>
    <cellStyle name="Normal 2 7 2" xfId="15516" xr:uid="{00000000-0005-0000-0000-0000963C0000}"/>
    <cellStyle name="Normal 2 70" xfId="15517" xr:uid="{00000000-0005-0000-0000-0000973C0000}"/>
    <cellStyle name="Normal 2 70 2" xfId="15518" xr:uid="{00000000-0005-0000-0000-0000983C0000}"/>
    <cellStyle name="Normal 2 71" xfId="15519" xr:uid="{00000000-0005-0000-0000-0000993C0000}"/>
    <cellStyle name="Normal 2 71 2" xfId="15520" xr:uid="{00000000-0005-0000-0000-00009A3C0000}"/>
    <cellStyle name="Normal 2 72" xfId="15521" xr:uid="{00000000-0005-0000-0000-00009B3C0000}"/>
    <cellStyle name="Normal 2 72 2" xfId="15522" xr:uid="{00000000-0005-0000-0000-00009C3C0000}"/>
    <cellStyle name="Normal 2 73" xfId="15523" xr:uid="{00000000-0005-0000-0000-00009D3C0000}"/>
    <cellStyle name="Normal 2 74" xfId="15524" xr:uid="{00000000-0005-0000-0000-00009E3C0000}"/>
    <cellStyle name="Normal 2 75" xfId="15525" xr:uid="{00000000-0005-0000-0000-00009F3C0000}"/>
    <cellStyle name="Normal 2 76" xfId="15526" xr:uid="{00000000-0005-0000-0000-0000A03C0000}"/>
    <cellStyle name="Normal 2 77" xfId="15527" xr:uid="{00000000-0005-0000-0000-0000A13C0000}"/>
    <cellStyle name="Normal 2 78" xfId="15528" xr:uid="{00000000-0005-0000-0000-0000A23C0000}"/>
    <cellStyle name="Normal 2 8" xfId="15529" xr:uid="{00000000-0005-0000-0000-0000A33C0000}"/>
    <cellStyle name="Normal 2 8 2" xfId="15530" xr:uid="{00000000-0005-0000-0000-0000A43C0000}"/>
    <cellStyle name="Normal 2 9" xfId="15531" xr:uid="{00000000-0005-0000-0000-0000A53C0000}"/>
    <cellStyle name="Normal 2 9 2" xfId="15532" xr:uid="{00000000-0005-0000-0000-0000A63C0000}"/>
    <cellStyle name="Normal 20" xfId="15533" xr:uid="{00000000-0005-0000-0000-0000A73C0000}"/>
    <cellStyle name="Normal 20 10" xfId="15534" xr:uid="{00000000-0005-0000-0000-0000A83C0000}"/>
    <cellStyle name="Normal 20 10 2" xfId="15535" xr:uid="{00000000-0005-0000-0000-0000A93C0000}"/>
    <cellStyle name="Normal 20 11" xfId="15536" xr:uid="{00000000-0005-0000-0000-0000AA3C0000}"/>
    <cellStyle name="Normal 20 11 2" xfId="15537" xr:uid="{00000000-0005-0000-0000-0000AB3C0000}"/>
    <cellStyle name="Normal 20 12" xfId="15538" xr:uid="{00000000-0005-0000-0000-0000AC3C0000}"/>
    <cellStyle name="Normal 20 12 2" xfId="15539" xr:uid="{00000000-0005-0000-0000-0000AD3C0000}"/>
    <cellStyle name="Normal 20 13" xfId="15540" xr:uid="{00000000-0005-0000-0000-0000AE3C0000}"/>
    <cellStyle name="Normal 20 13 2" xfId="15541" xr:uid="{00000000-0005-0000-0000-0000AF3C0000}"/>
    <cellStyle name="Normal 20 14" xfId="15542" xr:uid="{00000000-0005-0000-0000-0000B03C0000}"/>
    <cellStyle name="Normal 20 14 2" xfId="15543" xr:uid="{00000000-0005-0000-0000-0000B13C0000}"/>
    <cellStyle name="Normal 20 15" xfId="15544" xr:uid="{00000000-0005-0000-0000-0000B23C0000}"/>
    <cellStyle name="Normal 20 15 2" xfId="15545" xr:uid="{00000000-0005-0000-0000-0000B33C0000}"/>
    <cellStyle name="Normal 20 16" xfId="15546" xr:uid="{00000000-0005-0000-0000-0000B43C0000}"/>
    <cellStyle name="Normal 20 16 2" xfId="15547" xr:uid="{00000000-0005-0000-0000-0000B53C0000}"/>
    <cellStyle name="Normal 20 17" xfId="15548" xr:uid="{00000000-0005-0000-0000-0000B63C0000}"/>
    <cellStyle name="Normal 20 18" xfId="15549" xr:uid="{00000000-0005-0000-0000-0000B73C0000}"/>
    <cellStyle name="Normal 20 18 2" xfId="15550" xr:uid="{00000000-0005-0000-0000-0000B83C0000}"/>
    <cellStyle name="Normal 20 18 2 2" xfId="15551" xr:uid="{00000000-0005-0000-0000-0000B93C0000}"/>
    <cellStyle name="Normal 20 18 2 3" xfId="15552" xr:uid="{00000000-0005-0000-0000-0000BA3C0000}"/>
    <cellStyle name="Normal 20 18 2 4" xfId="15553" xr:uid="{00000000-0005-0000-0000-0000BB3C0000}"/>
    <cellStyle name="Normal 20 18 2 5" xfId="15554" xr:uid="{00000000-0005-0000-0000-0000BC3C0000}"/>
    <cellStyle name="Normal 20 18 2 6" xfId="15555" xr:uid="{00000000-0005-0000-0000-0000BD3C0000}"/>
    <cellStyle name="Normal 20 18 3" xfId="15556" xr:uid="{00000000-0005-0000-0000-0000BE3C0000}"/>
    <cellStyle name="Normal 20 18 3 2" xfId="15557" xr:uid="{00000000-0005-0000-0000-0000BF3C0000}"/>
    <cellStyle name="Normal 20 18 3 3" xfId="15558" xr:uid="{00000000-0005-0000-0000-0000C03C0000}"/>
    <cellStyle name="Normal 20 18 3 4" xfId="15559" xr:uid="{00000000-0005-0000-0000-0000C13C0000}"/>
    <cellStyle name="Normal 20 18 3 5" xfId="15560" xr:uid="{00000000-0005-0000-0000-0000C23C0000}"/>
    <cellStyle name="Normal 20 18 3 6" xfId="15561" xr:uid="{00000000-0005-0000-0000-0000C33C0000}"/>
    <cellStyle name="Normal 20 18 4" xfId="15562" xr:uid="{00000000-0005-0000-0000-0000C43C0000}"/>
    <cellStyle name="Normal 20 18 5" xfId="15563" xr:uid="{00000000-0005-0000-0000-0000C53C0000}"/>
    <cellStyle name="Normal 20 18 6" xfId="15564" xr:uid="{00000000-0005-0000-0000-0000C63C0000}"/>
    <cellStyle name="Normal 20 18 7" xfId="15565" xr:uid="{00000000-0005-0000-0000-0000C73C0000}"/>
    <cellStyle name="Normal 20 18 8" xfId="15566" xr:uid="{00000000-0005-0000-0000-0000C83C0000}"/>
    <cellStyle name="Normal 20 19" xfId="15567" xr:uid="{00000000-0005-0000-0000-0000C93C0000}"/>
    <cellStyle name="Normal 20 19 2" xfId="15568" xr:uid="{00000000-0005-0000-0000-0000CA3C0000}"/>
    <cellStyle name="Normal 20 19 2 2" xfId="15569" xr:uid="{00000000-0005-0000-0000-0000CB3C0000}"/>
    <cellStyle name="Normal 20 19 2 3" xfId="15570" xr:uid="{00000000-0005-0000-0000-0000CC3C0000}"/>
    <cellStyle name="Normal 20 19 2 4" xfId="15571" xr:uid="{00000000-0005-0000-0000-0000CD3C0000}"/>
    <cellStyle name="Normal 20 19 2 5" xfId="15572" xr:uid="{00000000-0005-0000-0000-0000CE3C0000}"/>
    <cellStyle name="Normal 20 19 2 6" xfId="15573" xr:uid="{00000000-0005-0000-0000-0000CF3C0000}"/>
    <cellStyle name="Normal 20 19 3" xfId="15574" xr:uid="{00000000-0005-0000-0000-0000D03C0000}"/>
    <cellStyle name="Normal 20 19 3 2" xfId="15575" xr:uid="{00000000-0005-0000-0000-0000D13C0000}"/>
    <cellStyle name="Normal 20 19 3 3" xfId="15576" xr:uid="{00000000-0005-0000-0000-0000D23C0000}"/>
    <cellStyle name="Normal 20 19 3 4" xfId="15577" xr:uid="{00000000-0005-0000-0000-0000D33C0000}"/>
    <cellStyle name="Normal 20 19 3 5" xfId="15578" xr:uid="{00000000-0005-0000-0000-0000D43C0000}"/>
    <cellStyle name="Normal 20 19 3 6" xfId="15579" xr:uid="{00000000-0005-0000-0000-0000D53C0000}"/>
    <cellStyle name="Normal 20 19 4" xfId="15580" xr:uid="{00000000-0005-0000-0000-0000D63C0000}"/>
    <cellStyle name="Normal 20 19 5" xfId="15581" xr:uid="{00000000-0005-0000-0000-0000D73C0000}"/>
    <cellStyle name="Normal 20 19 6" xfId="15582" xr:uid="{00000000-0005-0000-0000-0000D83C0000}"/>
    <cellStyle name="Normal 20 19 7" xfId="15583" xr:uid="{00000000-0005-0000-0000-0000D93C0000}"/>
    <cellStyle name="Normal 20 19 8" xfId="15584" xr:uid="{00000000-0005-0000-0000-0000DA3C0000}"/>
    <cellStyle name="Normal 20 2" xfId="15585" xr:uid="{00000000-0005-0000-0000-0000DB3C0000}"/>
    <cellStyle name="Normal 20 2 2" xfId="15586" xr:uid="{00000000-0005-0000-0000-0000DC3C0000}"/>
    <cellStyle name="Normal 20 20" xfId="15587" xr:uid="{00000000-0005-0000-0000-0000DD3C0000}"/>
    <cellStyle name="Normal 20 20 2" xfId="15588" xr:uid="{00000000-0005-0000-0000-0000DE3C0000}"/>
    <cellStyle name="Normal 20 20 2 2" xfId="15589" xr:uid="{00000000-0005-0000-0000-0000DF3C0000}"/>
    <cellStyle name="Normal 20 20 2 3" xfId="15590" xr:uid="{00000000-0005-0000-0000-0000E03C0000}"/>
    <cellStyle name="Normal 20 20 2 4" xfId="15591" xr:uid="{00000000-0005-0000-0000-0000E13C0000}"/>
    <cellStyle name="Normal 20 20 2 5" xfId="15592" xr:uid="{00000000-0005-0000-0000-0000E23C0000}"/>
    <cellStyle name="Normal 20 20 2 6" xfId="15593" xr:uid="{00000000-0005-0000-0000-0000E33C0000}"/>
    <cellStyle name="Normal 20 20 3" xfId="15594" xr:uid="{00000000-0005-0000-0000-0000E43C0000}"/>
    <cellStyle name="Normal 20 20 3 2" xfId="15595" xr:uid="{00000000-0005-0000-0000-0000E53C0000}"/>
    <cellStyle name="Normal 20 20 3 3" xfId="15596" xr:uid="{00000000-0005-0000-0000-0000E63C0000}"/>
    <cellStyle name="Normal 20 20 3 4" xfId="15597" xr:uid="{00000000-0005-0000-0000-0000E73C0000}"/>
    <cellStyle name="Normal 20 20 3 5" xfId="15598" xr:uid="{00000000-0005-0000-0000-0000E83C0000}"/>
    <cellStyle name="Normal 20 20 3 6" xfId="15599" xr:uid="{00000000-0005-0000-0000-0000E93C0000}"/>
    <cellStyle name="Normal 20 20 4" xfId="15600" xr:uid="{00000000-0005-0000-0000-0000EA3C0000}"/>
    <cellStyle name="Normal 20 20 5" xfId="15601" xr:uid="{00000000-0005-0000-0000-0000EB3C0000}"/>
    <cellStyle name="Normal 20 20 6" xfId="15602" xr:uid="{00000000-0005-0000-0000-0000EC3C0000}"/>
    <cellStyle name="Normal 20 20 7" xfId="15603" xr:uid="{00000000-0005-0000-0000-0000ED3C0000}"/>
    <cellStyle name="Normal 20 20 8" xfId="15604" xr:uid="{00000000-0005-0000-0000-0000EE3C0000}"/>
    <cellStyle name="Normal 20 21" xfId="15605" xr:uid="{00000000-0005-0000-0000-0000EF3C0000}"/>
    <cellStyle name="Normal 20 21 2" xfId="15606" xr:uid="{00000000-0005-0000-0000-0000F03C0000}"/>
    <cellStyle name="Normal 20 21 3" xfId="15607" xr:uid="{00000000-0005-0000-0000-0000F13C0000}"/>
    <cellStyle name="Normal 20 21 4" xfId="15608" xr:uid="{00000000-0005-0000-0000-0000F23C0000}"/>
    <cellStyle name="Normal 20 21 5" xfId="15609" xr:uid="{00000000-0005-0000-0000-0000F33C0000}"/>
    <cellStyle name="Normal 20 21 6" xfId="15610" xr:uid="{00000000-0005-0000-0000-0000F43C0000}"/>
    <cellStyle name="Normal 20 22" xfId="15611" xr:uid="{00000000-0005-0000-0000-0000F53C0000}"/>
    <cellStyle name="Normal 20 22 2" xfId="15612" xr:uid="{00000000-0005-0000-0000-0000F63C0000}"/>
    <cellStyle name="Normal 20 22 3" xfId="15613" xr:uid="{00000000-0005-0000-0000-0000F73C0000}"/>
    <cellStyle name="Normal 20 22 4" xfId="15614" xr:uid="{00000000-0005-0000-0000-0000F83C0000}"/>
    <cellStyle name="Normal 20 22 5" xfId="15615" xr:uid="{00000000-0005-0000-0000-0000F93C0000}"/>
    <cellStyle name="Normal 20 22 6" xfId="15616" xr:uid="{00000000-0005-0000-0000-0000FA3C0000}"/>
    <cellStyle name="Normal 20 23" xfId="15617" xr:uid="{00000000-0005-0000-0000-0000FB3C0000}"/>
    <cellStyle name="Normal 20 24" xfId="15618" xr:uid="{00000000-0005-0000-0000-0000FC3C0000}"/>
    <cellStyle name="Normal 20 25" xfId="15619" xr:uid="{00000000-0005-0000-0000-0000FD3C0000}"/>
    <cellStyle name="Normal 20 26" xfId="15620" xr:uid="{00000000-0005-0000-0000-0000FE3C0000}"/>
    <cellStyle name="Normal 20 27" xfId="15621" xr:uid="{00000000-0005-0000-0000-0000FF3C0000}"/>
    <cellStyle name="Normal 20 3" xfId="15622" xr:uid="{00000000-0005-0000-0000-0000003D0000}"/>
    <cellStyle name="Normal 20 3 2" xfId="15623" xr:uid="{00000000-0005-0000-0000-0000013D0000}"/>
    <cellStyle name="Normal 20 4" xfId="15624" xr:uid="{00000000-0005-0000-0000-0000023D0000}"/>
    <cellStyle name="Normal 20 4 2" xfId="15625" xr:uid="{00000000-0005-0000-0000-0000033D0000}"/>
    <cellStyle name="Normal 20 5" xfId="15626" xr:uid="{00000000-0005-0000-0000-0000043D0000}"/>
    <cellStyle name="Normal 20 5 2" xfId="15627" xr:uid="{00000000-0005-0000-0000-0000053D0000}"/>
    <cellStyle name="Normal 20 6" xfId="15628" xr:uid="{00000000-0005-0000-0000-0000063D0000}"/>
    <cellStyle name="Normal 20 6 2" xfId="15629" xr:uid="{00000000-0005-0000-0000-0000073D0000}"/>
    <cellStyle name="Normal 20 7" xfId="15630" xr:uid="{00000000-0005-0000-0000-0000083D0000}"/>
    <cellStyle name="Normal 20 7 2" xfId="15631" xr:uid="{00000000-0005-0000-0000-0000093D0000}"/>
    <cellStyle name="Normal 20 8" xfId="15632" xr:uid="{00000000-0005-0000-0000-00000A3D0000}"/>
    <cellStyle name="Normal 20 8 2" xfId="15633" xr:uid="{00000000-0005-0000-0000-00000B3D0000}"/>
    <cellStyle name="Normal 20 9" xfId="15634" xr:uid="{00000000-0005-0000-0000-00000C3D0000}"/>
    <cellStyle name="Normal 20 9 2" xfId="15635" xr:uid="{00000000-0005-0000-0000-00000D3D0000}"/>
    <cellStyle name="Normal 21" xfId="15636" xr:uid="{00000000-0005-0000-0000-00000E3D0000}"/>
    <cellStyle name="Normal 21 10" xfId="15637" xr:uid="{00000000-0005-0000-0000-00000F3D0000}"/>
    <cellStyle name="Normal 21 10 2" xfId="15638" xr:uid="{00000000-0005-0000-0000-0000103D0000}"/>
    <cellStyle name="Normal 21 10 2 2" xfId="15639" xr:uid="{00000000-0005-0000-0000-0000113D0000}"/>
    <cellStyle name="Normal 21 10 2 3" xfId="15640" xr:uid="{00000000-0005-0000-0000-0000123D0000}"/>
    <cellStyle name="Normal 21 10 2 4" xfId="15641" xr:uid="{00000000-0005-0000-0000-0000133D0000}"/>
    <cellStyle name="Normal 21 10 2 5" xfId="15642" xr:uid="{00000000-0005-0000-0000-0000143D0000}"/>
    <cellStyle name="Normal 21 10 2 6" xfId="15643" xr:uid="{00000000-0005-0000-0000-0000153D0000}"/>
    <cellStyle name="Normal 21 10 3" xfId="15644" xr:uid="{00000000-0005-0000-0000-0000163D0000}"/>
    <cellStyle name="Normal 21 10 3 2" xfId="15645" xr:uid="{00000000-0005-0000-0000-0000173D0000}"/>
    <cellStyle name="Normal 21 10 3 3" xfId="15646" xr:uid="{00000000-0005-0000-0000-0000183D0000}"/>
    <cellStyle name="Normal 21 10 3 4" xfId="15647" xr:uid="{00000000-0005-0000-0000-0000193D0000}"/>
    <cellStyle name="Normal 21 10 3 5" xfId="15648" xr:uid="{00000000-0005-0000-0000-00001A3D0000}"/>
    <cellStyle name="Normal 21 10 3 6" xfId="15649" xr:uid="{00000000-0005-0000-0000-00001B3D0000}"/>
    <cellStyle name="Normal 21 10 4" xfId="15650" xr:uid="{00000000-0005-0000-0000-00001C3D0000}"/>
    <cellStyle name="Normal 21 10 5" xfId="15651" xr:uid="{00000000-0005-0000-0000-00001D3D0000}"/>
    <cellStyle name="Normal 21 10 6" xfId="15652" xr:uid="{00000000-0005-0000-0000-00001E3D0000}"/>
    <cellStyle name="Normal 21 10 7" xfId="15653" xr:uid="{00000000-0005-0000-0000-00001F3D0000}"/>
    <cellStyle name="Normal 21 10 8" xfId="15654" xr:uid="{00000000-0005-0000-0000-0000203D0000}"/>
    <cellStyle name="Normal 21 11" xfId="15655" xr:uid="{00000000-0005-0000-0000-0000213D0000}"/>
    <cellStyle name="Normal 21 11 2" xfId="15656" xr:uid="{00000000-0005-0000-0000-0000223D0000}"/>
    <cellStyle name="Normal 21 11 3" xfId="15657" xr:uid="{00000000-0005-0000-0000-0000233D0000}"/>
    <cellStyle name="Normal 21 11 4" xfId="15658" xr:uid="{00000000-0005-0000-0000-0000243D0000}"/>
    <cellStyle name="Normal 21 11 5" xfId="15659" xr:uid="{00000000-0005-0000-0000-0000253D0000}"/>
    <cellStyle name="Normal 21 11 6" xfId="15660" xr:uid="{00000000-0005-0000-0000-0000263D0000}"/>
    <cellStyle name="Normal 21 12" xfId="15661" xr:uid="{00000000-0005-0000-0000-0000273D0000}"/>
    <cellStyle name="Normal 21 12 2" xfId="15662" xr:uid="{00000000-0005-0000-0000-0000283D0000}"/>
    <cellStyle name="Normal 21 12 3" xfId="15663" xr:uid="{00000000-0005-0000-0000-0000293D0000}"/>
    <cellStyle name="Normal 21 12 4" xfId="15664" xr:uid="{00000000-0005-0000-0000-00002A3D0000}"/>
    <cellStyle name="Normal 21 12 5" xfId="15665" xr:uid="{00000000-0005-0000-0000-00002B3D0000}"/>
    <cellStyle name="Normal 21 12 6" xfId="15666" xr:uid="{00000000-0005-0000-0000-00002C3D0000}"/>
    <cellStyle name="Normal 21 13" xfId="15667" xr:uid="{00000000-0005-0000-0000-00002D3D0000}"/>
    <cellStyle name="Normal 21 14" xfId="15668" xr:uid="{00000000-0005-0000-0000-00002E3D0000}"/>
    <cellStyle name="Normal 21 15" xfId="15669" xr:uid="{00000000-0005-0000-0000-00002F3D0000}"/>
    <cellStyle name="Normal 21 16" xfId="15670" xr:uid="{00000000-0005-0000-0000-0000303D0000}"/>
    <cellStyle name="Normal 21 17" xfId="15671" xr:uid="{00000000-0005-0000-0000-0000313D0000}"/>
    <cellStyle name="Normal 21 2" xfId="15672" xr:uid="{00000000-0005-0000-0000-0000323D0000}"/>
    <cellStyle name="Normal 21 2 10" xfId="15673" xr:uid="{00000000-0005-0000-0000-0000333D0000}"/>
    <cellStyle name="Normal 21 2 10 2" xfId="15674" xr:uid="{00000000-0005-0000-0000-0000343D0000}"/>
    <cellStyle name="Normal 21 2 10 3" xfId="15675" xr:uid="{00000000-0005-0000-0000-0000353D0000}"/>
    <cellStyle name="Normal 21 2 10 4" xfId="15676" xr:uid="{00000000-0005-0000-0000-0000363D0000}"/>
    <cellStyle name="Normal 21 2 10 5" xfId="15677" xr:uid="{00000000-0005-0000-0000-0000373D0000}"/>
    <cellStyle name="Normal 21 2 10 6" xfId="15678" xr:uid="{00000000-0005-0000-0000-0000383D0000}"/>
    <cellStyle name="Normal 21 2 11" xfId="15679" xr:uid="{00000000-0005-0000-0000-0000393D0000}"/>
    <cellStyle name="Normal 21 2 12" xfId="15680" xr:uid="{00000000-0005-0000-0000-00003A3D0000}"/>
    <cellStyle name="Normal 21 2 13" xfId="15681" xr:uid="{00000000-0005-0000-0000-00003B3D0000}"/>
    <cellStyle name="Normal 21 2 14" xfId="15682" xr:uid="{00000000-0005-0000-0000-00003C3D0000}"/>
    <cellStyle name="Normal 21 2 15" xfId="15683" xr:uid="{00000000-0005-0000-0000-00003D3D0000}"/>
    <cellStyle name="Normal 21 2 2" xfId="15684" xr:uid="{00000000-0005-0000-0000-00003E3D0000}"/>
    <cellStyle name="Normal 21 2 2 10" xfId="15685" xr:uid="{00000000-0005-0000-0000-00003F3D0000}"/>
    <cellStyle name="Normal 21 2 2 11" xfId="15686" xr:uid="{00000000-0005-0000-0000-0000403D0000}"/>
    <cellStyle name="Normal 21 2 2 12" xfId="15687" xr:uid="{00000000-0005-0000-0000-0000413D0000}"/>
    <cellStyle name="Normal 21 2 2 13" xfId="15688" xr:uid="{00000000-0005-0000-0000-0000423D0000}"/>
    <cellStyle name="Normal 21 2 2 14" xfId="15689" xr:uid="{00000000-0005-0000-0000-0000433D0000}"/>
    <cellStyle name="Normal 21 2 2 2" xfId="15690" xr:uid="{00000000-0005-0000-0000-0000443D0000}"/>
    <cellStyle name="Normal 21 2 2 2 10" xfId="15691" xr:uid="{00000000-0005-0000-0000-0000453D0000}"/>
    <cellStyle name="Normal 21 2 2 2 11" xfId="15692" xr:uid="{00000000-0005-0000-0000-0000463D0000}"/>
    <cellStyle name="Normal 21 2 2 2 12" xfId="15693" xr:uid="{00000000-0005-0000-0000-0000473D0000}"/>
    <cellStyle name="Normal 21 2 2 2 2" xfId="15694" xr:uid="{00000000-0005-0000-0000-0000483D0000}"/>
    <cellStyle name="Normal 21 2 2 2 2 10" xfId="15695" xr:uid="{00000000-0005-0000-0000-0000493D0000}"/>
    <cellStyle name="Normal 21 2 2 2 2 11" xfId="15696" xr:uid="{00000000-0005-0000-0000-00004A3D0000}"/>
    <cellStyle name="Normal 21 2 2 2 2 2" xfId="15697" xr:uid="{00000000-0005-0000-0000-00004B3D0000}"/>
    <cellStyle name="Normal 21 2 2 2 2 2 2" xfId="15698" xr:uid="{00000000-0005-0000-0000-00004C3D0000}"/>
    <cellStyle name="Normal 21 2 2 2 2 2 2 2" xfId="15699" xr:uid="{00000000-0005-0000-0000-00004D3D0000}"/>
    <cellStyle name="Normal 21 2 2 2 2 2 2 3" xfId="15700" xr:uid="{00000000-0005-0000-0000-00004E3D0000}"/>
    <cellStyle name="Normal 21 2 2 2 2 2 2 4" xfId="15701" xr:uid="{00000000-0005-0000-0000-00004F3D0000}"/>
    <cellStyle name="Normal 21 2 2 2 2 2 2 5" xfId="15702" xr:uid="{00000000-0005-0000-0000-0000503D0000}"/>
    <cellStyle name="Normal 21 2 2 2 2 2 2 6" xfId="15703" xr:uid="{00000000-0005-0000-0000-0000513D0000}"/>
    <cellStyle name="Normal 21 2 2 2 2 2 3" xfId="15704" xr:uid="{00000000-0005-0000-0000-0000523D0000}"/>
    <cellStyle name="Normal 21 2 2 2 2 2 3 2" xfId="15705" xr:uid="{00000000-0005-0000-0000-0000533D0000}"/>
    <cellStyle name="Normal 21 2 2 2 2 2 3 3" xfId="15706" xr:uid="{00000000-0005-0000-0000-0000543D0000}"/>
    <cellStyle name="Normal 21 2 2 2 2 2 3 4" xfId="15707" xr:uid="{00000000-0005-0000-0000-0000553D0000}"/>
    <cellStyle name="Normal 21 2 2 2 2 2 3 5" xfId="15708" xr:uid="{00000000-0005-0000-0000-0000563D0000}"/>
    <cellStyle name="Normal 21 2 2 2 2 2 3 6" xfId="15709" xr:uid="{00000000-0005-0000-0000-0000573D0000}"/>
    <cellStyle name="Normal 21 2 2 2 2 2 4" xfId="15710" xr:uid="{00000000-0005-0000-0000-0000583D0000}"/>
    <cellStyle name="Normal 21 2 2 2 2 2 5" xfId="15711" xr:uid="{00000000-0005-0000-0000-0000593D0000}"/>
    <cellStyle name="Normal 21 2 2 2 2 2 6" xfId="15712" xr:uid="{00000000-0005-0000-0000-00005A3D0000}"/>
    <cellStyle name="Normal 21 2 2 2 2 2 7" xfId="15713" xr:uid="{00000000-0005-0000-0000-00005B3D0000}"/>
    <cellStyle name="Normal 21 2 2 2 2 2 8" xfId="15714" xr:uid="{00000000-0005-0000-0000-00005C3D0000}"/>
    <cellStyle name="Normal 21 2 2 2 2 3" xfId="15715" xr:uid="{00000000-0005-0000-0000-00005D3D0000}"/>
    <cellStyle name="Normal 21 2 2 2 2 3 2" xfId="15716" xr:uid="{00000000-0005-0000-0000-00005E3D0000}"/>
    <cellStyle name="Normal 21 2 2 2 2 3 2 2" xfId="15717" xr:uid="{00000000-0005-0000-0000-00005F3D0000}"/>
    <cellStyle name="Normal 21 2 2 2 2 3 2 3" xfId="15718" xr:uid="{00000000-0005-0000-0000-0000603D0000}"/>
    <cellStyle name="Normal 21 2 2 2 2 3 2 4" xfId="15719" xr:uid="{00000000-0005-0000-0000-0000613D0000}"/>
    <cellStyle name="Normal 21 2 2 2 2 3 2 5" xfId="15720" xr:uid="{00000000-0005-0000-0000-0000623D0000}"/>
    <cellStyle name="Normal 21 2 2 2 2 3 2 6" xfId="15721" xr:uid="{00000000-0005-0000-0000-0000633D0000}"/>
    <cellStyle name="Normal 21 2 2 2 2 3 3" xfId="15722" xr:uid="{00000000-0005-0000-0000-0000643D0000}"/>
    <cellStyle name="Normal 21 2 2 2 2 3 3 2" xfId="15723" xr:uid="{00000000-0005-0000-0000-0000653D0000}"/>
    <cellStyle name="Normal 21 2 2 2 2 3 3 3" xfId="15724" xr:uid="{00000000-0005-0000-0000-0000663D0000}"/>
    <cellStyle name="Normal 21 2 2 2 2 3 3 4" xfId="15725" xr:uid="{00000000-0005-0000-0000-0000673D0000}"/>
    <cellStyle name="Normal 21 2 2 2 2 3 3 5" xfId="15726" xr:uid="{00000000-0005-0000-0000-0000683D0000}"/>
    <cellStyle name="Normal 21 2 2 2 2 3 3 6" xfId="15727" xr:uid="{00000000-0005-0000-0000-0000693D0000}"/>
    <cellStyle name="Normal 21 2 2 2 2 3 4" xfId="15728" xr:uid="{00000000-0005-0000-0000-00006A3D0000}"/>
    <cellStyle name="Normal 21 2 2 2 2 3 5" xfId="15729" xr:uid="{00000000-0005-0000-0000-00006B3D0000}"/>
    <cellStyle name="Normal 21 2 2 2 2 3 6" xfId="15730" xr:uid="{00000000-0005-0000-0000-00006C3D0000}"/>
    <cellStyle name="Normal 21 2 2 2 2 3 7" xfId="15731" xr:uid="{00000000-0005-0000-0000-00006D3D0000}"/>
    <cellStyle name="Normal 21 2 2 2 2 3 8" xfId="15732" xr:uid="{00000000-0005-0000-0000-00006E3D0000}"/>
    <cellStyle name="Normal 21 2 2 2 2 4" xfId="15733" xr:uid="{00000000-0005-0000-0000-00006F3D0000}"/>
    <cellStyle name="Normal 21 2 2 2 2 4 2" xfId="15734" xr:uid="{00000000-0005-0000-0000-0000703D0000}"/>
    <cellStyle name="Normal 21 2 2 2 2 4 2 2" xfId="15735" xr:uid="{00000000-0005-0000-0000-0000713D0000}"/>
    <cellStyle name="Normal 21 2 2 2 2 4 2 3" xfId="15736" xr:uid="{00000000-0005-0000-0000-0000723D0000}"/>
    <cellStyle name="Normal 21 2 2 2 2 4 2 4" xfId="15737" xr:uid="{00000000-0005-0000-0000-0000733D0000}"/>
    <cellStyle name="Normal 21 2 2 2 2 4 2 5" xfId="15738" xr:uid="{00000000-0005-0000-0000-0000743D0000}"/>
    <cellStyle name="Normal 21 2 2 2 2 4 2 6" xfId="15739" xr:uid="{00000000-0005-0000-0000-0000753D0000}"/>
    <cellStyle name="Normal 21 2 2 2 2 4 3" xfId="15740" xr:uid="{00000000-0005-0000-0000-0000763D0000}"/>
    <cellStyle name="Normal 21 2 2 2 2 4 3 2" xfId="15741" xr:uid="{00000000-0005-0000-0000-0000773D0000}"/>
    <cellStyle name="Normal 21 2 2 2 2 4 3 3" xfId="15742" xr:uid="{00000000-0005-0000-0000-0000783D0000}"/>
    <cellStyle name="Normal 21 2 2 2 2 4 3 4" xfId="15743" xr:uid="{00000000-0005-0000-0000-0000793D0000}"/>
    <cellStyle name="Normal 21 2 2 2 2 4 3 5" xfId="15744" xr:uid="{00000000-0005-0000-0000-00007A3D0000}"/>
    <cellStyle name="Normal 21 2 2 2 2 4 3 6" xfId="15745" xr:uid="{00000000-0005-0000-0000-00007B3D0000}"/>
    <cellStyle name="Normal 21 2 2 2 2 4 4" xfId="15746" xr:uid="{00000000-0005-0000-0000-00007C3D0000}"/>
    <cellStyle name="Normal 21 2 2 2 2 4 5" xfId="15747" xr:uid="{00000000-0005-0000-0000-00007D3D0000}"/>
    <cellStyle name="Normal 21 2 2 2 2 4 6" xfId="15748" xr:uid="{00000000-0005-0000-0000-00007E3D0000}"/>
    <cellStyle name="Normal 21 2 2 2 2 4 7" xfId="15749" xr:uid="{00000000-0005-0000-0000-00007F3D0000}"/>
    <cellStyle name="Normal 21 2 2 2 2 4 8" xfId="15750" xr:uid="{00000000-0005-0000-0000-0000803D0000}"/>
    <cellStyle name="Normal 21 2 2 2 2 5" xfId="15751" xr:uid="{00000000-0005-0000-0000-0000813D0000}"/>
    <cellStyle name="Normal 21 2 2 2 2 5 2" xfId="15752" xr:uid="{00000000-0005-0000-0000-0000823D0000}"/>
    <cellStyle name="Normal 21 2 2 2 2 5 3" xfId="15753" xr:uid="{00000000-0005-0000-0000-0000833D0000}"/>
    <cellStyle name="Normal 21 2 2 2 2 5 4" xfId="15754" xr:uid="{00000000-0005-0000-0000-0000843D0000}"/>
    <cellStyle name="Normal 21 2 2 2 2 5 5" xfId="15755" xr:uid="{00000000-0005-0000-0000-0000853D0000}"/>
    <cellStyle name="Normal 21 2 2 2 2 5 6" xfId="15756" xr:uid="{00000000-0005-0000-0000-0000863D0000}"/>
    <cellStyle name="Normal 21 2 2 2 2 6" xfId="15757" xr:uid="{00000000-0005-0000-0000-0000873D0000}"/>
    <cellStyle name="Normal 21 2 2 2 2 6 2" xfId="15758" xr:uid="{00000000-0005-0000-0000-0000883D0000}"/>
    <cellStyle name="Normal 21 2 2 2 2 6 3" xfId="15759" xr:uid="{00000000-0005-0000-0000-0000893D0000}"/>
    <cellStyle name="Normal 21 2 2 2 2 6 4" xfId="15760" xr:uid="{00000000-0005-0000-0000-00008A3D0000}"/>
    <cellStyle name="Normal 21 2 2 2 2 6 5" xfId="15761" xr:uid="{00000000-0005-0000-0000-00008B3D0000}"/>
    <cellStyle name="Normal 21 2 2 2 2 6 6" xfId="15762" xr:uid="{00000000-0005-0000-0000-00008C3D0000}"/>
    <cellStyle name="Normal 21 2 2 2 2 7" xfId="15763" xr:uid="{00000000-0005-0000-0000-00008D3D0000}"/>
    <cellStyle name="Normal 21 2 2 2 2 8" xfId="15764" xr:uid="{00000000-0005-0000-0000-00008E3D0000}"/>
    <cellStyle name="Normal 21 2 2 2 2 9" xfId="15765" xr:uid="{00000000-0005-0000-0000-00008F3D0000}"/>
    <cellStyle name="Normal 21 2 2 2 3" xfId="15766" xr:uid="{00000000-0005-0000-0000-0000903D0000}"/>
    <cellStyle name="Normal 21 2 2 2 3 2" xfId="15767" xr:uid="{00000000-0005-0000-0000-0000913D0000}"/>
    <cellStyle name="Normal 21 2 2 2 3 2 2" xfId="15768" xr:uid="{00000000-0005-0000-0000-0000923D0000}"/>
    <cellStyle name="Normal 21 2 2 2 3 2 3" xfId="15769" xr:uid="{00000000-0005-0000-0000-0000933D0000}"/>
    <cellStyle name="Normal 21 2 2 2 3 2 4" xfId="15770" xr:uid="{00000000-0005-0000-0000-0000943D0000}"/>
    <cellStyle name="Normal 21 2 2 2 3 2 5" xfId="15771" xr:uid="{00000000-0005-0000-0000-0000953D0000}"/>
    <cellStyle name="Normal 21 2 2 2 3 2 6" xfId="15772" xr:uid="{00000000-0005-0000-0000-0000963D0000}"/>
    <cellStyle name="Normal 21 2 2 2 3 3" xfId="15773" xr:uid="{00000000-0005-0000-0000-0000973D0000}"/>
    <cellStyle name="Normal 21 2 2 2 3 3 2" xfId="15774" xr:uid="{00000000-0005-0000-0000-0000983D0000}"/>
    <cellStyle name="Normal 21 2 2 2 3 3 3" xfId="15775" xr:uid="{00000000-0005-0000-0000-0000993D0000}"/>
    <cellStyle name="Normal 21 2 2 2 3 3 4" xfId="15776" xr:uid="{00000000-0005-0000-0000-00009A3D0000}"/>
    <cellStyle name="Normal 21 2 2 2 3 3 5" xfId="15777" xr:uid="{00000000-0005-0000-0000-00009B3D0000}"/>
    <cellStyle name="Normal 21 2 2 2 3 3 6" xfId="15778" xr:uid="{00000000-0005-0000-0000-00009C3D0000}"/>
    <cellStyle name="Normal 21 2 2 2 3 4" xfId="15779" xr:uid="{00000000-0005-0000-0000-00009D3D0000}"/>
    <cellStyle name="Normal 21 2 2 2 3 5" xfId="15780" xr:uid="{00000000-0005-0000-0000-00009E3D0000}"/>
    <cellStyle name="Normal 21 2 2 2 3 6" xfId="15781" xr:uid="{00000000-0005-0000-0000-00009F3D0000}"/>
    <cellStyle name="Normal 21 2 2 2 3 7" xfId="15782" xr:uid="{00000000-0005-0000-0000-0000A03D0000}"/>
    <cellStyle name="Normal 21 2 2 2 3 8" xfId="15783" xr:uid="{00000000-0005-0000-0000-0000A13D0000}"/>
    <cellStyle name="Normal 21 2 2 2 4" xfId="15784" xr:uid="{00000000-0005-0000-0000-0000A23D0000}"/>
    <cellStyle name="Normal 21 2 2 2 4 2" xfId="15785" xr:uid="{00000000-0005-0000-0000-0000A33D0000}"/>
    <cellStyle name="Normal 21 2 2 2 4 2 2" xfId="15786" xr:uid="{00000000-0005-0000-0000-0000A43D0000}"/>
    <cellStyle name="Normal 21 2 2 2 4 2 3" xfId="15787" xr:uid="{00000000-0005-0000-0000-0000A53D0000}"/>
    <cellStyle name="Normal 21 2 2 2 4 2 4" xfId="15788" xr:uid="{00000000-0005-0000-0000-0000A63D0000}"/>
    <cellStyle name="Normal 21 2 2 2 4 2 5" xfId="15789" xr:uid="{00000000-0005-0000-0000-0000A73D0000}"/>
    <cellStyle name="Normal 21 2 2 2 4 2 6" xfId="15790" xr:uid="{00000000-0005-0000-0000-0000A83D0000}"/>
    <cellStyle name="Normal 21 2 2 2 4 3" xfId="15791" xr:uid="{00000000-0005-0000-0000-0000A93D0000}"/>
    <cellStyle name="Normal 21 2 2 2 4 3 2" xfId="15792" xr:uid="{00000000-0005-0000-0000-0000AA3D0000}"/>
    <cellStyle name="Normal 21 2 2 2 4 3 3" xfId="15793" xr:uid="{00000000-0005-0000-0000-0000AB3D0000}"/>
    <cellStyle name="Normal 21 2 2 2 4 3 4" xfId="15794" xr:uid="{00000000-0005-0000-0000-0000AC3D0000}"/>
    <cellStyle name="Normal 21 2 2 2 4 3 5" xfId="15795" xr:uid="{00000000-0005-0000-0000-0000AD3D0000}"/>
    <cellStyle name="Normal 21 2 2 2 4 3 6" xfId="15796" xr:uid="{00000000-0005-0000-0000-0000AE3D0000}"/>
    <cellStyle name="Normal 21 2 2 2 4 4" xfId="15797" xr:uid="{00000000-0005-0000-0000-0000AF3D0000}"/>
    <cellStyle name="Normal 21 2 2 2 4 5" xfId="15798" xr:uid="{00000000-0005-0000-0000-0000B03D0000}"/>
    <cellStyle name="Normal 21 2 2 2 4 6" xfId="15799" xr:uid="{00000000-0005-0000-0000-0000B13D0000}"/>
    <cellStyle name="Normal 21 2 2 2 4 7" xfId="15800" xr:uid="{00000000-0005-0000-0000-0000B23D0000}"/>
    <cellStyle name="Normal 21 2 2 2 4 8" xfId="15801" xr:uid="{00000000-0005-0000-0000-0000B33D0000}"/>
    <cellStyle name="Normal 21 2 2 2 5" xfId="15802" xr:uid="{00000000-0005-0000-0000-0000B43D0000}"/>
    <cellStyle name="Normal 21 2 2 2 5 2" xfId="15803" xr:uid="{00000000-0005-0000-0000-0000B53D0000}"/>
    <cellStyle name="Normal 21 2 2 2 5 2 2" xfId="15804" xr:uid="{00000000-0005-0000-0000-0000B63D0000}"/>
    <cellStyle name="Normal 21 2 2 2 5 2 3" xfId="15805" xr:uid="{00000000-0005-0000-0000-0000B73D0000}"/>
    <cellStyle name="Normal 21 2 2 2 5 2 4" xfId="15806" xr:uid="{00000000-0005-0000-0000-0000B83D0000}"/>
    <cellStyle name="Normal 21 2 2 2 5 2 5" xfId="15807" xr:uid="{00000000-0005-0000-0000-0000B93D0000}"/>
    <cellStyle name="Normal 21 2 2 2 5 2 6" xfId="15808" xr:uid="{00000000-0005-0000-0000-0000BA3D0000}"/>
    <cellStyle name="Normal 21 2 2 2 5 3" xfId="15809" xr:uid="{00000000-0005-0000-0000-0000BB3D0000}"/>
    <cellStyle name="Normal 21 2 2 2 5 3 2" xfId="15810" xr:uid="{00000000-0005-0000-0000-0000BC3D0000}"/>
    <cellStyle name="Normal 21 2 2 2 5 3 3" xfId="15811" xr:uid="{00000000-0005-0000-0000-0000BD3D0000}"/>
    <cellStyle name="Normal 21 2 2 2 5 3 4" xfId="15812" xr:uid="{00000000-0005-0000-0000-0000BE3D0000}"/>
    <cellStyle name="Normal 21 2 2 2 5 3 5" xfId="15813" xr:uid="{00000000-0005-0000-0000-0000BF3D0000}"/>
    <cellStyle name="Normal 21 2 2 2 5 3 6" xfId="15814" xr:uid="{00000000-0005-0000-0000-0000C03D0000}"/>
    <cellStyle name="Normal 21 2 2 2 5 4" xfId="15815" xr:uid="{00000000-0005-0000-0000-0000C13D0000}"/>
    <cellStyle name="Normal 21 2 2 2 5 5" xfId="15816" xr:uid="{00000000-0005-0000-0000-0000C23D0000}"/>
    <cellStyle name="Normal 21 2 2 2 5 6" xfId="15817" xr:uid="{00000000-0005-0000-0000-0000C33D0000}"/>
    <cellStyle name="Normal 21 2 2 2 5 7" xfId="15818" xr:uid="{00000000-0005-0000-0000-0000C43D0000}"/>
    <cellStyle name="Normal 21 2 2 2 5 8" xfId="15819" xr:uid="{00000000-0005-0000-0000-0000C53D0000}"/>
    <cellStyle name="Normal 21 2 2 2 6" xfId="15820" xr:uid="{00000000-0005-0000-0000-0000C63D0000}"/>
    <cellStyle name="Normal 21 2 2 2 6 2" xfId="15821" xr:uid="{00000000-0005-0000-0000-0000C73D0000}"/>
    <cellStyle name="Normal 21 2 2 2 6 3" xfId="15822" xr:uid="{00000000-0005-0000-0000-0000C83D0000}"/>
    <cellStyle name="Normal 21 2 2 2 6 4" xfId="15823" xr:uid="{00000000-0005-0000-0000-0000C93D0000}"/>
    <cellStyle name="Normal 21 2 2 2 6 5" xfId="15824" xr:uid="{00000000-0005-0000-0000-0000CA3D0000}"/>
    <cellStyle name="Normal 21 2 2 2 6 6" xfId="15825" xr:uid="{00000000-0005-0000-0000-0000CB3D0000}"/>
    <cellStyle name="Normal 21 2 2 2 7" xfId="15826" xr:uid="{00000000-0005-0000-0000-0000CC3D0000}"/>
    <cellStyle name="Normal 21 2 2 2 7 2" xfId="15827" xr:uid="{00000000-0005-0000-0000-0000CD3D0000}"/>
    <cellStyle name="Normal 21 2 2 2 7 3" xfId="15828" xr:uid="{00000000-0005-0000-0000-0000CE3D0000}"/>
    <cellStyle name="Normal 21 2 2 2 7 4" xfId="15829" xr:uid="{00000000-0005-0000-0000-0000CF3D0000}"/>
    <cellStyle name="Normal 21 2 2 2 7 5" xfId="15830" xr:uid="{00000000-0005-0000-0000-0000D03D0000}"/>
    <cellStyle name="Normal 21 2 2 2 7 6" xfId="15831" xr:uid="{00000000-0005-0000-0000-0000D13D0000}"/>
    <cellStyle name="Normal 21 2 2 2 8" xfId="15832" xr:uid="{00000000-0005-0000-0000-0000D23D0000}"/>
    <cellStyle name="Normal 21 2 2 2 9" xfId="15833" xr:uid="{00000000-0005-0000-0000-0000D33D0000}"/>
    <cellStyle name="Normal 21 2 2 3" xfId="15834" xr:uid="{00000000-0005-0000-0000-0000D43D0000}"/>
    <cellStyle name="Normal 21 2 2 3 10" xfId="15835" xr:uid="{00000000-0005-0000-0000-0000D53D0000}"/>
    <cellStyle name="Normal 21 2 2 3 11" xfId="15836" xr:uid="{00000000-0005-0000-0000-0000D63D0000}"/>
    <cellStyle name="Normal 21 2 2 3 12" xfId="15837" xr:uid="{00000000-0005-0000-0000-0000D73D0000}"/>
    <cellStyle name="Normal 21 2 2 3 2" xfId="15838" xr:uid="{00000000-0005-0000-0000-0000D83D0000}"/>
    <cellStyle name="Normal 21 2 2 3 2 10" xfId="15839" xr:uid="{00000000-0005-0000-0000-0000D93D0000}"/>
    <cellStyle name="Normal 21 2 2 3 2 11" xfId="15840" xr:uid="{00000000-0005-0000-0000-0000DA3D0000}"/>
    <cellStyle name="Normal 21 2 2 3 2 2" xfId="15841" xr:uid="{00000000-0005-0000-0000-0000DB3D0000}"/>
    <cellStyle name="Normal 21 2 2 3 2 2 2" xfId="15842" xr:uid="{00000000-0005-0000-0000-0000DC3D0000}"/>
    <cellStyle name="Normal 21 2 2 3 2 2 2 2" xfId="15843" xr:uid="{00000000-0005-0000-0000-0000DD3D0000}"/>
    <cellStyle name="Normal 21 2 2 3 2 2 2 3" xfId="15844" xr:uid="{00000000-0005-0000-0000-0000DE3D0000}"/>
    <cellStyle name="Normal 21 2 2 3 2 2 2 4" xfId="15845" xr:uid="{00000000-0005-0000-0000-0000DF3D0000}"/>
    <cellStyle name="Normal 21 2 2 3 2 2 2 5" xfId="15846" xr:uid="{00000000-0005-0000-0000-0000E03D0000}"/>
    <cellStyle name="Normal 21 2 2 3 2 2 2 6" xfId="15847" xr:uid="{00000000-0005-0000-0000-0000E13D0000}"/>
    <cellStyle name="Normal 21 2 2 3 2 2 3" xfId="15848" xr:uid="{00000000-0005-0000-0000-0000E23D0000}"/>
    <cellStyle name="Normal 21 2 2 3 2 2 3 2" xfId="15849" xr:uid="{00000000-0005-0000-0000-0000E33D0000}"/>
    <cellStyle name="Normal 21 2 2 3 2 2 3 3" xfId="15850" xr:uid="{00000000-0005-0000-0000-0000E43D0000}"/>
    <cellStyle name="Normal 21 2 2 3 2 2 3 4" xfId="15851" xr:uid="{00000000-0005-0000-0000-0000E53D0000}"/>
    <cellStyle name="Normal 21 2 2 3 2 2 3 5" xfId="15852" xr:uid="{00000000-0005-0000-0000-0000E63D0000}"/>
    <cellStyle name="Normal 21 2 2 3 2 2 3 6" xfId="15853" xr:uid="{00000000-0005-0000-0000-0000E73D0000}"/>
    <cellStyle name="Normal 21 2 2 3 2 2 4" xfId="15854" xr:uid="{00000000-0005-0000-0000-0000E83D0000}"/>
    <cellStyle name="Normal 21 2 2 3 2 2 5" xfId="15855" xr:uid="{00000000-0005-0000-0000-0000E93D0000}"/>
    <cellStyle name="Normal 21 2 2 3 2 2 6" xfId="15856" xr:uid="{00000000-0005-0000-0000-0000EA3D0000}"/>
    <cellStyle name="Normal 21 2 2 3 2 2 7" xfId="15857" xr:uid="{00000000-0005-0000-0000-0000EB3D0000}"/>
    <cellStyle name="Normal 21 2 2 3 2 2 8" xfId="15858" xr:uid="{00000000-0005-0000-0000-0000EC3D0000}"/>
    <cellStyle name="Normal 21 2 2 3 2 3" xfId="15859" xr:uid="{00000000-0005-0000-0000-0000ED3D0000}"/>
    <cellStyle name="Normal 21 2 2 3 2 3 2" xfId="15860" xr:uid="{00000000-0005-0000-0000-0000EE3D0000}"/>
    <cellStyle name="Normal 21 2 2 3 2 3 2 2" xfId="15861" xr:uid="{00000000-0005-0000-0000-0000EF3D0000}"/>
    <cellStyle name="Normal 21 2 2 3 2 3 2 3" xfId="15862" xr:uid="{00000000-0005-0000-0000-0000F03D0000}"/>
    <cellStyle name="Normal 21 2 2 3 2 3 2 4" xfId="15863" xr:uid="{00000000-0005-0000-0000-0000F13D0000}"/>
    <cellStyle name="Normal 21 2 2 3 2 3 2 5" xfId="15864" xr:uid="{00000000-0005-0000-0000-0000F23D0000}"/>
    <cellStyle name="Normal 21 2 2 3 2 3 2 6" xfId="15865" xr:uid="{00000000-0005-0000-0000-0000F33D0000}"/>
    <cellStyle name="Normal 21 2 2 3 2 3 3" xfId="15866" xr:uid="{00000000-0005-0000-0000-0000F43D0000}"/>
    <cellStyle name="Normal 21 2 2 3 2 3 3 2" xfId="15867" xr:uid="{00000000-0005-0000-0000-0000F53D0000}"/>
    <cellStyle name="Normal 21 2 2 3 2 3 3 3" xfId="15868" xr:uid="{00000000-0005-0000-0000-0000F63D0000}"/>
    <cellStyle name="Normal 21 2 2 3 2 3 3 4" xfId="15869" xr:uid="{00000000-0005-0000-0000-0000F73D0000}"/>
    <cellStyle name="Normal 21 2 2 3 2 3 3 5" xfId="15870" xr:uid="{00000000-0005-0000-0000-0000F83D0000}"/>
    <cellStyle name="Normal 21 2 2 3 2 3 3 6" xfId="15871" xr:uid="{00000000-0005-0000-0000-0000F93D0000}"/>
    <cellStyle name="Normal 21 2 2 3 2 3 4" xfId="15872" xr:uid="{00000000-0005-0000-0000-0000FA3D0000}"/>
    <cellStyle name="Normal 21 2 2 3 2 3 5" xfId="15873" xr:uid="{00000000-0005-0000-0000-0000FB3D0000}"/>
    <cellStyle name="Normal 21 2 2 3 2 3 6" xfId="15874" xr:uid="{00000000-0005-0000-0000-0000FC3D0000}"/>
    <cellStyle name="Normal 21 2 2 3 2 3 7" xfId="15875" xr:uid="{00000000-0005-0000-0000-0000FD3D0000}"/>
    <cellStyle name="Normal 21 2 2 3 2 3 8" xfId="15876" xr:uid="{00000000-0005-0000-0000-0000FE3D0000}"/>
    <cellStyle name="Normal 21 2 2 3 2 4" xfId="15877" xr:uid="{00000000-0005-0000-0000-0000FF3D0000}"/>
    <cellStyle name="Normal 21 2 2 3 2 4 2" xfId="15878" xr:uid="{00000000-0005-0000-0000-0000003E0000}"/>
    <cellStyle name="Normal 21 2 2 3 2 4 2 2" xfId="15879" xr:uid="{00000000-0005-0000-0000-0000013E0000}"/>
    <cellStyle name="Normal 21 2 2 3 2 4 2 3" xfId="15880" xr:uid="{00000000-0005-0000-0000-0000023E0000}"/>
    <cellStyle name="Normal 21 2 2 3 2 4 2 4" xfId="15881" xr:uid="{00000000-0005-0000-0000-0000033E0000}"/>
    <cellStyle name="Normal 21 2 2 3 2 4 2 5" xfId="15882" xr:uid="{00000000-0005-0000-0000-0000043E0000}"/>
    <cellStyle name="Normal 21 2 2 3 2 4 2 6" xfId="15883" xr:uid="{00000000-0005-0000-0000-0000053E0000}"/>
    <cellStyle name="Normal 21 2 2 3 2 4 3" xfId="15884" xr:uid="{00000000-0005-0000-0000-0000063E0000}"/>
    <cellStyle name="Normal 21 2 2 3 2 4 3 2" xfId="15885" xr:uid="{00000000-0005-0000-0000-0000073E0000}"/>
    <cellStyle name="Normal 21 2 2 3 2 4 3 3" xfId="15886" xr:uid="{00000000-0005-0000-0000-0000083E0000}"/>
    <cellStyle name="Normal 21 2 2 3 2 4 3 4" xfId="15887" xr:uid="{00000000-0005-0000-0000-0000093E0000}"/>
    <cellStyle name="Normal 21 2 2 3 2 4 3 5" xfId="15888" xr:uid="{00000000-0005-0000-0000-00000A3E0000}"/>
    <cellStyle name="Normal 21 2 2 3 2 4 3 6" xfId="15889" xr:uid="{00000000-0005-0000-0000-00000B3E0000}"/>
    <cellStyle name="Normal 21 2 2 3 2 4 4" xfId="15890" xr:uid="{00000000-0005-0000-0000-00000C3E0000}"/>
    <cellStyle name="Normal 21 2 2 3 2 4 5" xfId="15891" xr:uid="{00000000-0005-0000-0000-00000D3E0000}"/>
    <cellStyle name="Normal 21 2 2 3 2 4 6" xfId="15892" xr:uid="{00000000-0005-0000-0000-00000E3E0000}"/>
    <cellStyle name="Normal 21 2 2 3 2 4 7" xfId="15893" xr:uid="{00000000-0005-0000-0000-00000F3E0000}"/>
    <cellStyle name="Normal 21 2 2 3 2 4 8" xfId="15894" xr:uid="{00000000-0005-0000-0000-0000103E0000}"/>
    <cellStyle name="Normal 21 2 2 3 2 5" xfId="15895" xr:uid="{00000000-0005-0000-0000-0000113E0000}"/>
    <cellStyle name="Normal 21 2 2 3 2 5 2" xfId="15896" xr:uid="{00000000-0005-0000-0000-0000123E0000}"/>
    <cellStyle name="Normal 21 2 2 3 2 5 3" xfId="15897" xr:uid="{00000000-0005-0000-0000-0000133E0000}"/>
    <cellStyle name="Normal 21 2 2 3 2 5 4" xfId="15898" xr:uid="{00000000-0005-0000-0000-0000143E0000}"/>
    <cellStyle name="Normal 21 2 2 3 2 5 5" xfId="15899" xr:uid="{00000000-0005-0000-0000-0000153E0000}"/>
    <cellStyle name="Normal 21 2 2 3 2 5 6" xfId="15900" xr:uid="{00000000-0005-0000-0000-0000163E0000}"/>
    <cellStyle name="Normal 21 2 2 3 2 6" xfId="15901" xr:uid="{00000000-0005-0000-0000-0000173E0000}"/>
    <cellStyle name="Normal 21 2 2 3 2 6 2" xfId="15902" xr:uid="{00000000-0005-0000-0000-0000183E0000}"/>
    <cellStyle name="Normal 21 2 2 3 2 6 3" xfId="15903" xr:uid="{00000000-0005-0000-0000-0000193E0000}"/>
    <cellStyle name="Normal 21 2 2 3 2 6 4" xfId="15904" xr:uid="{00000000-0005-0000-0000-00001A3E0000}"/>
    <cellStyle name="Normal 21 2 2 3 2 6 5" xfId="15905" xr:uid="{00000000-0005-0000-0000-00001B3E0000}"/>
    <cellStyle name="Normal 21 2 2 3 2 6 6" xfId="15906" xr:uid="{00000000-0005-0000-0000-00001C3E0000}"/>
    <cellStyle name="Normal 21 2 2 3 2 7" xfId="15907" xr:uid="{00000000-0005-0000-0000-00001D3E0000}"/>
    <cellStyle name="Normal 21 2 2 3 2 8" xfId="15908" xr:uid="{00000000-0005-0000-0000-00001E3E0000}"/>
    <cellStyle name="Normal 21 2 2 3 2 9" xfId="15909" xr:uid="{00000000-0005-0000-0000-00001F3E0000}"/>
    <cellStyle name="Normal 21 2 2 3 3" xfId="15910" xr:uid="{00000000-0005-0000-0000-0000203E0000}"/>
    <cellStyle name="Normal 21 2 2 3 3 2" xfId="15911" xr:uid="{00000000-0005-0000-0000-0000213E0000}"/>
    <cellStyle name="Normal 21 2 2 3 3 2 2" xfId="15912" xr:uid="{00000000-0005-0000-0000-0000223E0000}"/>
    <cellStyle name="Normal 21 2 2 3 3 2 3" xfId="15913" xr:uid="{00000000-0005-0000-0000-0000233E0000}"/>
    <cellStyle name="Normal 21 2 2 3 3 2 4" xfId="15914" xr:uid="{00000000-0005-0000-0000-0000243E0000}"/>
    <cellStyle name="Normal 21 2 2 3 3 2 5" xfId="15915" xr:uid="{00000000-0005-0000-0000-0000253E0000}"/>
    <cellStyle name="Normal 21 2 2 3 3 2 6" xfId="15916" xr:uid="{00000000-0005-0000-0000-0000263E0000}"/>
    <cellStyle name="Normal 21 2 2 3 3 3" xfId="15917" xr:uid="{00000000-0005-0000-0000-0000273E0000}"/>
    <cellStyle name="Normal 21 2 2 3 3 3 2" xfId="15918" xr:uid="{00000000-0005-0000-0000-0000283E0000}"/>
    <cellStyle name="Normal 21 2 2 3 3 3 3" xfId="15919" xr:uid="{00000000-0005-0000-0000-0000293E0000}"/>
    <cellStyle name="Normal 21 2 2 3 3 3 4" xfId="15920" xr:uid="{00000000-0005-0000-0000-00002A3E0000}"/>
    <cellStyle name="Normal 21 2 2 3 3 3 5" xfId="15921" xr:uid="{00000000-0005-0000-0000-00002B3E0000}"/>
    <cellStyle name="Normal 21 2 2 3 3 3 6" xfId="15922" xr:uid="{00000000-0005-0000-0000-00002C3E0000}"/>
    <cellStyle name="Normal 21 2 2 3 3 4" xfId="15923" xr:uid="{00000000-0005-0000-0000-00002D3E0000}"/>
    <cellStyle name="Normal 21 2 2 3 3 5" xfId="15924" xr:uid="{00000000-0005-0000-0000-00002E3E0000}"/>
    <cellStyle name="Normal 21 2 2 3 3 6" xfId="15925" xr:uid="{00000000-0005-0000-0000-00002F3E0000}"/>
    <cellStyle name="Normal 21 2 2 3 3 7" xfId="15926" xr:uid="{00000000-0005-0000-0000-0000303E0000}"/>
    <cellStyle name="Normal 21 2 2 3 3 8" xfId="15927" xr:uid="{00000000-0005-0000-0000-0000313E0000}"/>
    <cellStyle name="Normal 21 2 2 3 4" xfId="15928" xr:uid="{00000000-0005-0000-0000-0000323E0000}"/>
    <cellStyle name="Normal 21 2 2 3 4 2" xfId="15929" xr:uid="{00000000-0005-0000-0000-0000333E0000}"/>
    <cellStyle name="Normal 21 2 2 3 4 2 2" xfId="15930" xr:uid="{00000000-0005-0000-0000-0000343E0000}"/>
    <cellStyle name="Normal 21 2 2 3 4 2 3" xfId="15931" xr:uid="{00000000-0005-0000-0000-0000353E0000}"/>
    <cellStyle name="Normal 21 2 2 3 4 2 4" xfId="15932" xr:uid="{00000000-0005-0000-0000-0000363E0000}"/>
    <cellStyle name="Normal 21 2 2 3 4 2 5" xfId="15933" xr:uid="{00000000-0005-0000-0000-0000373E0000}"/>
    <cellStyle name="Normal 21 2 2 3 4 2 6" xfId="15934" xr:uid="{00000000-0005-0000-0000-0000383E0000}"/>
    <cellStyle name="Normal 21 2 2 3 4 3" xfId="15935" xr:uid="{00000000-0005-0000-0000-0000393E0000}"/>
    <cellStyle name="Normal 21 2 2 3 4 3 2" xfId="15936" xr:uid="{00000000-0005-0000-0000-00003A3E0000}"/>
    <cellStyle name="Normal 21 2 2 3 4 3 3" xfId="15937" xr:uid="{00000000-0005-0000-0000-00003B3E0000}"/>
    <cellStyle name="Normal 21 2 2 3 4 3 4" xfId="15938" xr:uid="{00000000-0005-0000-0000-00003C3E0000}"/>
    <cellStyle name="Normal 21 2 2 3 4 3 5" xfId="15939" xr:uid="{00000000-0005-0000-0000-00003D3E0000}"/>
    <cellStyle name="Normal 21 2 2 3 4 3 6" xfId="15940" xr:uid="{00000000-0005-0000-0000-00003E3E0000}"/>
    <cellStyle name="Normal 21 2 2 3 4 4" xfId="15941" xr:uid="{00000000-0005-0000-0000-00003F3E0000}"/>
    <cellStyle name="Normal 21 2 2 3 4 5" xfId="15942" xr:uid="{00000000-0005-0000-0000-0000403E0000}"/>
    <cellStyle name="Normal 21 2 2 3 4 6" xfId="15943" xr:uid="{00000000-0005-0000-0000-0000413E0000}"/>
    <cellStyle name="Normal 21 2 2 3 4 7" xfId="15944" xr:uid="{00000000-0005-0000-0000-0000423E0000}"/>
    <cellStyle name="Normal 21 2 2 3 4 8" xfId="15945" xr:uid="{00000000-0005-0000-0000-0000433E0000}"/>
    <cellStyle name="Normal 21 2 2 3 5" xfId="15946" xr:uid="{00000000-0005-0000-0000-0000443E0000}"/>
    <cellStyle name="Normal 21 2 2 3 5 2" xfId="15947" xr:uid="{00000000-0005-0000-0000-0000453E0000}"/>
    <cellStyle name="Normal 21 2 2 3 5 2 2" xfId="15948" xr:uid="{00000000-0005-0000-0000-0000463E0000}"/>
    <cellStyle name="Normal 21 2 2 3 5 2 3" xfId="15949" xr:uid="{00000000-0005-0000-0000-0000473E0000}"/>
    <cellStyle name="Normal 21 2 2 3 5 2 4" xfId="15950" xr:uid="{00000000-0005-0000-0000-0000483E0000}"/>
    <cellStyle name="Normal 21 2 2 3 5 2 5" xfId="15951" xr:uid="{00000000-0005-0000-0000-0000493E0000}"/>
    <cellStyle name="Normal 21 2 2 3 5 2 6" xfId="15952" xr:uid="{00000000-0005-0000-0000-00004A3E0000}"/>
    <cellStyle name="Normal 21 2 2 3 5 3" xfId="15953" xr:uid="{00000000-0005-0000-0000-00004B3E0000}"/>
    <cellStyle name="Normal 21 2 2 3 5 3 2" xfId="15954" xr:uid="{00000000-0005-0000-0000-00004C3E0000}"/>
    <cellStyle name="Normal 21 2 2 3 5 3 3" xfId="15955" xr:uid="{00000000-0005-0000-0000-00004D3E0000}"/>
    <cellStyle name="Normal 21 2 2 3 5 3 4" xfId="15956" xr:uid="{00000000-0005-0000-0000-00004E3E0000}"/>
    <cellStyle name="Normal 21 2 2 3 5 3 5" xfId="15957" xr:uid="{00000000-0005-0000-0000-00004F3E0000}"/>
    <cellStyle name="Normal 21 2 2 3 5 3 6" xfId="15958" xr:uid="{00000000-0005-0000-0000-0000503E0000}"/>
    <cellStyle name="Normal 21 2 2 3 5 4" xfId="15959" xr:uid="{00000000-0005-0000-0000-0000513E0000}"/>
    <cellStyle name="Normal 21 2 2 3 5 5" xfId="15960" xr:uid="{00000000-0005-0000-0000-0000523E0000}"/>
    <cellStyle name="Normal 21 2 2 3 5 6" xfId="15961" xr:uid="{00000000-0005-0000-0000-0000533E0000}"/>
    <cellStyle name="Normal 21 2 2 3 5 7" xfId="15962" xr:uid="{00000000-0005-0000-0000-0000543E0000}"/>
    <cellStyle name="Normal 21 2 2 3 5 8" xfId="15963" xr:uid="{00000000-0005-0000-0000-0000553E0000}"/>
    <cellStyle name="Normal 21 2 2 3 6" xfId="15964" xr:uid="{00000000-0005-0000-0000-0000563E0000}"/>
    <cellStyle name="Normal 21 2 2 3 6 2" xfId="15965" xr:uid="{00000000-0005-0000-0000-0000573E0000}"/>
    <cellStyle name="Normal 21 2 2 3 6 3" xfId="15966" xr:uid="{00000000-0005-0000-0000-0000583E0000}"/>
    <cellStyle name="Normal 21 2 2 3 6 4" xfId="15967" xr:uid="{00000000-0005-0000-0000-0000593E0000}"/>
    <cellStyle name="Normal 21 2 2 3 6 5" xfId="15968" xr:uid="{00000000-0005-0000-0000-00005A3E0000}"/>
    <cellStyle name="Normal 21 2 2 3 6 6" xfId="15969" xr:uid="{00000000-0005-0000-0000-00005B3E0000}"/>
    <cellStyle name="Normal 21 2 2 3 7" xfId="15970" xr:uid="{00000000-0005-0000-0000-00005C3E0000}"/>
    <cellStyle name="Normal 21 2 2 3 7 2" xfId="15971" xr:uid="{00000000-0005-0000-0000-00005D3E0000}"/>
    <cellStyle name="Normal 21 2 2 3 7 3" xfId="15972" xr:uid="{00000000-0005-0000-0000-00005E3E0000}"/>
    <cellStyle name="Normal 21 2 2 3 7 4" xfId="15973" xr:uid="{00000000-0005-0000-0000-00005F3E0000}"/>
    <cellStyle name="Normal 21 2 2 3 7 5" xfId="15974" xr:uid="{00000000-0005-0000-0000-0000603E0000}"/>
    <cellStyle name="Normal 21 2 2 3 7 6" xfId="15975" xr:uid="{00000000-0005-0000-0000-0000613E0000}"/>
    <cellStyle name="Normal 21 2 2 3 8" xfId="15976" xr:uid="{00000000-0005-0000-0000-0000623E0000}"/>
    <cellStyle name="Normal 21 2 2 3 9" xfId="15977" xr:uid="{00000000-0005-0000-0000-0000633E0000}"/>
    <cellStyle name="Normal 21 2 2 4" xfId="15978" xr:uid="{00000000-0005-0000-0000-0000643E0000}"/>
    <cellStyle name="Normal 21 2 2 4 10" xfId="15979" xr:uid="{00000000-0005-0000-0000-0000653E0000}"/>
    <cellStyle name="Normal 21 2 2 4 11" xfId="15980" xr:uid="{00000000-0005-0000-0000-0000663E0000}"/>
    <cellStyle name="Normal 21 2 2 4 2" xfId="15981" xr:uid="{00000000-0005-0000-0000-0000673E0000}"/>
    <cellStyle name="Normal 21 2 2 4 2 2" xfId="15982" xr:uid="{00000000-0005-0000-0000-0000683E0000}"/>
    <cellStyle name="Normal 21 2 2 4 2 2 2" xfId="15983" xr:uid="{00000000-0005-0000-0000-0000693E0000}"/>
    <cellStyle name="Normal 21 2 2 4 2 2 3" xfId="15984" xr:uid="{00000000-0005-0000-0000-00006A3E0000}"/>
    <cellStyle name="Normal 21 2 2 4 2 2 4" xfId="15985" xr:uid="{00000000-0005-0000-0000-00006B3E0000}"/>
    <cellStyle name="Normal 21 2 2 4 2 2 5" xfId="15986" xr:uid="{00000000-0005-0000-0000-00006C3E0000}"/>
    <cellStyle name="Normal 21 2 2 4 2 2 6" xfId="15987" xr:uid="{00000000-0005-0000-0000-00006D3E0000}"/>
    <cellStyle name="Normal 21 2 2 4 2 3" xfId="15988" xr:uid="{00000000-0005-0000-0000-00006E3E0000}"/>
    <cellStyle name="Normal 21 2 2 4 2 3 2" xfId="15989" xr:uid="{00000000-0005-0000-0000-00006F3E0000}"/>
    <cellStyle name="Normal 21 2 2 4 2 3 3" xfId="15990" xr:uid="{00000000-0005-0000-0000-0000703E0000}"/>
    <cellStyle name="Normal 21 2 2 4 2 3 4" xfId="15991" xr:uid="{00000000-0005-0000-0000-0000713E0000}"/>
    <cellStyle name="Normal 21 2 2 4 2 3 5" xfId="15992" xr:uid="{00000000-0005-0000-0000-0000723E0000}"/>
    <cellStyle name="Normal 21 2 2 4 2 3 6" xfId="15993" xr:uid="{00000000-0005-0000-0000-0000733E0000}"/>
    <cellStyle name="Normal 21 2 2 4 2 4" xfId="15994" xr:uid="{00000000-0005-0000-0000-0000743E0000}"/>
    <cellStyle name="Normal 21 2 2 4 2 5" xfId="15995" xr:uid="{00000000-0005-0000-0000-0000753E0000}"/>
    <cellStyle name="Normal 21 2 2 4 2 6" xfId="15996" xr:uid="{00000000-0005-0000-0000-0000763E0000}"/>
    <cellStyle name="Normal 21 2 2 4 2 7" xfId="15997" xr:uid="{00000000-0005-0000-0000-0000773E0000}"/>
    <cellStyle name="Normal 21 2 2 4 2 8" xfId="15998" xr:uid="{00000000-0005-0000-0000-0000783E0000}"/>
    <cellStyle name="Normal 21 2 2 4 3" xfId="15999" xr:uid="{00000000-0005-0000-0000-0000793E0000}"/>
    <cellStyle name="Normal 21 2 2 4 3 2" xfId="16000" xr:uid="{00000000-0005-0000-0000-00007A3E0000}"/>
    <cellStyle name="Normal 21 2 2 4 3 2 2" xfId="16001" xr:uid="{00000000-0005-0000-0000-00007B3E0000}"/>
    <cellStyle name="Normal 21 2 2 4 3 2 3" xfId="16002" xr:uid="{00000000-0005-0000-0000-00007C3E0000}"/>
    <cellStyle name="Normal 21 2 2 4 3 2 4" xfId="16003" xr:uid="{00000000-0005-0000-0000-00007D3E0000}"/>
    <cellStyle name="Normal 21 2 2 4 3 2 5" xfId="16004" xr:uid="{00000000-0005-0000-0000-00007E3E0000}"/>
    <cellStyle name="Normal 21 2 2 4 3 2 6" xfId="16005" xr:uid="{00000000-0005-0000-0000-00007F3E0000}"/>
    <cellStyle name="Normal 21 2 2 4 3 3" xfId="16006" xr:uid="{00000000-0005-0000-0000-0000803E0000}"/>
    <cellStyle name="Normal 21 2 2 4 3 3 2" xfId="16007" xr:uid="{00000000-0005-0000-0000-0000813E0000}"/>
    <cellStyle name="Normal 21 2 2 4 3 3 3" xfId="16008" xr:uid="{00000000-0005-0000-0000-0000823E0000}"/>
    <cellStyle name="Normal 21 2 2 4 3 3 4" xfId="16009" xr:uid="{00000000-0005-0000-0000-0000833E0000}"/>
    <cellStyle name="Normal 21 2 2 4 3 3 5" xfId="16010" xr:uid="{00000000-0005-0000-0000-0000843E0000}"/>
    <cellStyle name="Normal 21 2 2 4 3 3 6" xfId="16011" xr:uid="{00000000-0005-0000-0000-0000853E0000}"/>
    <cellStyle name="Normal 21 2 2 4 3 4" xfId="16012" xr:uid="{00000000-0005-0000-0000-0000863E0000}"/>
    <cellStyle name="Normal 21 2 2 4 3 5" xfId="16013" xr:uid="{00000000-0005-0000-0000-0000873E0000}"/>
    <cellStyle name="Normal 21 2 2 4 3 6" xfId="16014" xr:uid="{00000000-0005-0000-0000-0000883E0000}"/>
    <cellStyle name="Normal 21 2 2 4 3 7" xfId="16015" xr:uid="{00000000-0005-0000-0000-0000893E0000}"/>
    <cellStyle name="Normal 21 2 2 4 3 8" xfId="16016" xr:uid="{00000000-0005-0000-0000-00008A3E0000}"/>
    <cellStyle name="Normal 21 2 2 4 4" xfId="16017" xr:uid="{00000000-0005-0000-0000-00008B3E0000}"/>
    <cellStyle name="Normal 21 2 2 4 4 2" xfId="16018" xr:uid="{00000000-0005-0000-0000-00008C3E0000}"/>
    <cellStyle name="Normal 21 2 2 4 4 2 2" xfId="16019" xr:uid="{00000000-0005-0000-0000-00008D3E0000}"/>
    <cellStyle name="Normal 21 2 2 4 4 2 3" xfId="16020" xr:uid="{00000000-0005-0000-0000-00008E3E0000}"/>
    <cellStyle name="Normal 21 2 2 4 4 2 4" xfId="16021" xr:uid="{00000000-0005-0000-0000-00008F3E0000}"/>
    <cellStyle name="Normal 21 2 2 4 4 2 5" xfId="16022" xr:uid="{00000000-0005-0000-0000-0000903E0000}"/>
    <cellStyle name="Normal 21 2 2 4 4 2 6" xfId="16023" xr:uid="{00000000-0005-0000-0000-0000913E0000}"/>
    <cellStyle name="Normal 21 2 2 4 4 3" xfId="16024" xr:uid="{00000000-0005-0000-0000-0000923E0000}"/>
    <cellStyle name="Normal 21 2 2 4 4 3 2" xfId="16025" xr:uid="{00000000-0005-0000-0000-0000933E0000}"/>
    <cellStyle name="Normal 21 2 2 4 4 3 3" xfId="16026" xr:uid="{00000000-0005-0000-0000-0000943E0000}"/>
    <cellStyle name="Normal 21 2 2 4 4 3 4" xfId="16027" xr:uid="{00000000-0005-0000-0000-0000953E0000}"/>
    <cellStyle name="Normal 21 2 2 4 4 3 5" xfId="16028" xr:uid="{00000000-0005-0000-0000-0000963E0000}"/>
    <cellStyle name="Normal 21 2 2 4 4 3 6" xfId="16029" xr:uid="{00000000-0005-0000-0000-0000973E0000}"/>
    <cellStyle name="Normal 21 2 2 4 4 4" xfId="16030" xr:uid="{00000000-0005-0000-0000-0000983E0000}"/>
    <cellStyle name="Normal 21 2 2 4 4 5" xfId="16031" xr:uid="{00000000-0005-0000-0000-0000993E0000}"/>
    <cellStyle name="Normal 21 2 2 4 4 6" xfId="16032" xr:uid="{00000000-0005-0000-0000-00009A3E0000}"/>
    <cellStyle name="Normal 21 2 2 4 4 7" xfId="16033" xr:uid="{00000000-0005-0000-0000-00009B3E0000}"/>
    <cellStyle name="Normal 21 2 2 4 4 8" xfId="16034" xr:uid="{00000000-0005-0000-0000-00009C3E0000}"/>
    <cellStyle name="Normal 21 2 2 4 5" xfId="16035" xr:uid="{00000000-0005-0000-0000-00009D3E0000}"/>
    <cellStyle name="Normal 21 2 2 4 5 2" xfId="16036" xr:uid="{00000000-0005-0000-0000-00009E3E0000}"/>
    <cellStyle name="Normal 21 2 2 4 5 3" xfId="16037" xr:uid="{00000000-0005-0000-0000-00009F3E0000}"/>
    <cellStyle name="Normal 21 2 2 4 5 4" xfId="16038" xr:uid="{00000000-0005-0000-0000-0000A03E0000}"/>
    <cellStyle name="Normal 21 2 2 4 5 5" xfId="16039" xr:uid="{00000000-0005-0000-0000-0000A13E0000}"/>
    <cellStyle name="Normal 21 2 2 4 5 6" xfId="16040" xr:uid="{00000000-0005-0000-0000-0000A23E0000}"/>
    <cellStyle name="Normal 21 2 2 4 6" xfId="16041" xr:uid="{00000000-0005-0000-0000-0000A33E0000}"/>
    <cellStyle name="Normal 21 2 2 4 6 2" xfId="16042" xr:uid="{00000000-0005-0000-0000-0000A43E0000}"/>
    <cellStyle name="Normal 21 2 2 4 6 3" xfId="16043" xr:uid="{00000000-0005-0000-0000-0000A53E0000}"/>
    <cellStyle name="Normal 21 2 2 4 6 4" xfId="16044" xr:uid="{00000000-0005-0000-0000-0000A63E0000}"/>
    <cellStyle name="Normal 21 2 2 4 6 5" xfId="16045" xr:uid="{00000000-0005-0000-0000-0000A73E0000}"/>
    <cellStyle name="Normal 21 2 2 4 6 6" xfId="16046" xr:uid="{00000000-0005-0000-0000-0000A83E0000}"/>
    <cellStyle name="Normal 21 2 2 4 7" xfId="16047" xr:uid="{00000000-0005-0000-0000-0000A93E0000}"/>
    <cellStyle name="Normal 21 2 2 4 8" xfId="16048" xr:uid="{00000000-0005-0000-0000-0000AA3E0000}"/>
    <cellStyle name="Normal 21 2 2 4 9" xfId="16049" xr:uid="{00000000-0005-0000-0000-0000AB3E0000}"/>
    <cellStyle name="Normal 21 2 2 5" xfId="16050" xr:uid="{00000000-0005-0000-0000-0000AC3E0000}"/>
    <cellStyle name="Normal 21 2 2 5 2" xfId="16051" xr:uid="{00000000-0005-0000-0000-0000AD3E0000}"/>
    <cellStyle name="Normal 21 2 2 5 2 2" xfId="16052" xr:uid="{00000000-0005-0000-0000-0000AE3E0000}"/>
    <cellStyle name="Normal 21 2 2 5 2 3" xfId="16053" xr:uid="{00000000-0005-0000-0000-0000AF3E0000}"/>
    <cellStyle name="Normal 21 2 2 5 2 4" xfId="16054" xr:uid="{00000000-0005-0000-0000-0000B03E0000}"/>
    <cellStyle name="Normal 21 2 2 5 2 5" xfId="16055" xr:uid="{00000000-0005-0000-0000-0000B13E0000}"/>
    <cellStyle name="Normal 21 2 2 5 2 6" xfId="16056" xr:uid="{00000000-0005-0000-0000-0000B23E0000}"/>
    <cellStyle name="Normal 21 2 2 5 3" xfId="16057" xr:uid="{00000000-0005-0000-0000-0000B33E0000}"/>
    <cellStyle name="Normal 21 2 2 5 3 2" xfId="16058" xr:uid="{00000000-0005-0000-0000-0000B43E0000}"/>
    <cellStyle name="Normal 21 2 2 5 3 3" xfId="16059" xr:uid="{00000000-0005-0000-0000-0000B53E0000}"/>
    <cellStyle name="Normal 21 2 2 5 3 4" xfId="16060" xr:uid="{00000000-0005-0000-0000-0000B63E0000}"/>
    <cellStyle name="Normal 21 2 2 5 3 5" xfId="16061" xr:uid="{00000000-0005-0000-0000-0000B73E0000}"/>
    <cellStyle name="Normal 21 2 2 5 3 6" xfId="16062" xr:uid="{00000000-0005-0000-0000-0000B83E0000}"/>
    <cellStyle name="Normal 21 2 2 5 4" xfId="16063" xr:uid="{00000000-0005-0000-0000-0000B93E0000}"/>
    <cellStyle name="Normal 21 2 2 5 5" xfId="16064" xr:uid="{00000000-0005-0000-0000-0000BA3E0000}"/>
    <cellStyle name="Normal 21 2 2 5 6" xfId="16065" xr:uid="{00000000-0005-0000-0000-0000BB3E0000}"/>
    <cellStyle name="Normal 21 2 2 5 7" xfId="16066" xr:uid="{00000000-0005-0000-0000-0000BC3E0000}"/>
    <cellStyle name="Normal 21 2 2 5 8" xfId="16067" xr:uid="{00000000-0005-0000-0000-0000BD3E0000}"/>
    <cellStyle name="Normal 21 2 2 6" xfId="16068" xr:uid="{00000000-0005-0000-0000-0000BE3E0000}"/>
    <cellStyle name="Normal 21 2 2 6 2" xfId="16069" xr:uid="{00000000-0005-0000-0000-0000BF3E0000}"/>
    <cellStyle name="Normal 21 2 2 6 2 2" xfId="16070" xr:uid="{00000000-0005-0000-0000-0000C03E0000}"/>
    <cellStyle name="Normal 21 2 2 6 2 3" xfId="16071" xr:uid="{00000000-0005-0000-0000-0000C13E0000}"/>
    <cellStyle name="Normal 21 2 2 6 2 4" xfId="16072" xr:uid="{00000000-0005-0000-0000-0000C23E0000}"/>
    <cellStyle name="Normal 21 2 2 6 2 5" xfId="16073" xr:uid="{00000000-0005-0000-0000-0000C33E0000}"/>
    <cellStyle name="Normal 21 2 2 6 2 6" xfId="16074" xr:uid="{00000000-0005-0000-0000-0000C43E0000}"/>
    <cellStyle name="Normal 21 2 2 6 3" xfId="16075" xr:uid="{00000000-0005-0000-0000-0000C53E0000}"/>
    <cellStyle name="Normal 21 2 2 6 3 2" xfId="16076" xr:uid="{00000000-0005-0000-0000-0000C63E0000}"/>
    <cellStyle name="Normal 21 2 2 6 3 3" xfId="16077" xr:uid="{00000000-0005-0000-0000-0000C73E0000}"/>
    <cellStyle name="Normal 21 2 2 6 3 4" xfId="16078" xr:uid="{00000000-0005-0000-0000-0000C83E0000}"/>
    <cellStyle name="Normal 21 2 2 6 3 5" xfId="16079" xr:uid="{00000000-0005-0000-0000-0000C93E0000}"/>
    <cellStyle name="Normal 21 2 2 6 3 6" xfId="16080" xr:uid="{00000000-0005-0000-0000-0000CA3E0000}"/>
    <cellStyle name="Normal 21 2 2 6 4" xfId="16081" xr:uid="{00000000-0005-0000-0000-0000CB3E0000}"/>
    <cellStyle name="Normal 21 2 2 6 5" xfId="16082" xr:uid="{00000000-0005-0000-0000-0000CC3E0000}"/>
    <cellStyle name="Normal 21 2 2 6 6" xfId="16083" xr:uid="{00000000-0005-0000-0000-0000CD3E0000}"/>
    <cellStyle name="Normal 21 2 2 6 7" xfId="16084" xr:uid="{00000000-0005-0000-0000-0000CE3E0000}"/>
    <cellStyle name="Normal 21 2 2 6 8" xfId="16085" xr:uid="{00000000-0005-0000-0000-0000CF3E0000}"/>
    <cellStyle name="Normal 21 2 2 7" xfId="16086" xr:uid="{00000000-0005-0000-0000-0000D03E0000}"/>
    <cellStyle name="Normal 21 2 2 7 2" xfId="16087" xr:uid="{00000000-0005-0000-0000-0000D13E0000}"/>
    <cellStyle name="Normal 21 2 2 7 2 2" xfId="16088" xr:uid="{00000000-0005-0000-0000-0000D23E0000}"/>
    <cellStyle name="Normal 21 2 2 7 2 3" xfId="16089" xr:uid="{00000000-0005-0000-0000-0000D33E0000}"/>
    <cellStyle name="Normal 21 2 2 7 2 4" xfId="16090" xr:uid="{00000000-0005-0000-0000-0000D43E0000}"/>
    <cellStyle name="Normal 21 2 2 7 2 5" xfId="16091" xr:uid="{00000000-0005-0000-0000-0000D53E0000}"/>
    <cellStyle name="Normal 21 2 2 7 2 6" xfId="16092" xr:uid="{00000000-0005-0000-0000-0000D63E0000}"/>
    <cellStyle name="Normal 21 2 2 7 3" xfId="16093" xr:uid="{00000000-0005-0000-0000-0000D73E0000}"/>
    <cellStyle name="Normal 21 2 2 7 3 2" xfId="16094" xr:uid="{00000000-0005-0000-0000-0000D83E0000}"/>
    <cellStyle name="Normal 21 2 2 7 3 3" xfId="16095" xr:uid="{00000000-0005-0000-0000-0000D93E0000}"/>
    <cellStyle name="Normal 21 2 2 7 3 4" xfId="16096" xr:uid="{00000000-0005-0000-0000-0000DA3E0000}"/>
    <cellStyle name="Normal 21 2 2 7 3 5" xfId="16097" xr:uid="{00000000-0005-0000-0000-0000DB3E0000}"/>
    <cellStyle name="Normal 21 2 2 7 3 6" xfId="16098" xr:uid="{00000000-0005-0000-0000-0000DC3E0000}"/>
    <cellStyle name="Normal 21 2 2 7 4" xfId="16099" xr:uid="{00000000-0005-0000-0000-0000DD3E0000}"/>
    <cellStyle name="Normal 21 2 2 7 5" xfId="16100" xr:uid="{00000000-0005-0000-0000-0000DE3E0000}"/>
    <cellStyle name="Normal 21 2 2 7 6" xfId="16101" xr:uid="{00000000-0005-0000-0000-0000DF3E0000}"/>
    <cellStyle name="Normal 21 2 2 7 7" xfId="16102" xr:uid="{00000000-0005-0000-0000-0000E03E0000}"/>
    <cellStyle name="Normal 21 2 2 7 8" xfId="16103" xr:uid="{00000000-0005-0000-0000-0000E13E0000}"/>
    <cellStyle name="Normal 21 2 2 8" xfId="16104" xr:uid="{00000000-0005-0000-0000-0000E23E0000}"/>
    <cellStyle name="Normal 21 2 2 8 2" xfId="16105" xr:uid="{00000000-0005-0000-0000-0000E33E0000}"/>
    <cellStyle name="Normal 21 2 2 8 3" xfId="16106" xr:uid="{00000000-0005-0000-0000-0000E43E0000}"/>
    <cellStyle name="Normal 21 2 2 8 4" xfId="16107" xr:uid="{00000000-0005-0000-0000-0000E53E0000}"/>
    <cellStyle name="Normal 21 2 2 8 5" xfId="16108" xr:uid="{00000000-0005-0000-0000-0000E63E0000}"/>
    <cellStyle name="Normal 21 2 2 8 6" xfId="16109" xr:uid="{00000000-0005-0000-0000-0000E73E0000}"/>
    <cellStyle name="Normal 21 2 2 9" xfId="16110" xr:uid="{00000000-0005-0000-0000-0000E83E0000}"/>
    <cellStyle name="Normal 21 2 2 9 2" xfId="16111" xr:uid="{00000000-0005-0000-0000-0000E93E0000}"/>
    <cellStyle name="Normal 21 2 2 9 3" xfId="16112" xr:uid="{00000000-0005-0000-0000-0000EA3E0000}"/>
    <cellStyle name="Normal 21 2 2 9 4" xfId="16113" xr:uid="{00000000-0005-0000-0000-0000EB3E0000}"/>
    <cellStyle name="Normal 21 2 2 9 5" xfId="16114" xr:uid="{00000000-0005-0000-0000-0000EC3E0000}"/>
    <cellStyle name="Normal 21 2 2 9 6" xfId="16115" xr:uid="{00000000-0005-0000-0000-0000ED3E0000}"/>
    <cellStyle name="Normal 21 2 3" xfId="16116" xr:uid="{00000000-0005-0000-0000-0000EE3E0000}"/>
    <cellStyle name="Normal 21 2 3 10" xfId="16117" xr:uid="{00000000-0005-0000-0000-0000EF3E0000}"/>
    <cellStyle name="Normal 21 2 3 11" xfId="16118" xr:uid="{00000000-0005-0000-0000-0000F03E0000}"/>
    <cellStyle name="Normal 21 2 3 12" xfId="16119" xr:uid="{00000000-0005-0000-0000-0000F13E0000}"/>
    <cellStyle name="Normal 21 2 3 2" xfId="16120" xr:uid="{00000000-0005-0000-0000-0000F23E0000}"/>
    <cellStyle name="Normal 21 2 3 2 10" xfId="16121" xr:uid="{00000000-0005-0000-0000-0000F33E0000}"/>
    <cellStyle name="Normal 21 2 3 2 11" xfId="16122" xr:uid="{00000000-0005-0000-0000-0000F43E0000}"/>
    <cellStyle name="Normal 21 2 3 2 2" xfId="16123" xr:uid="{00000000-0005-0000-0000-0000F53E0000}"/>
    <cellStyle name="Normal 21 2 3 2 2 2" xfId="16124" xr:uid="{00000000-0005-0000-0000-0000F63E0000}"/>
    <cellStyle name="Normal 21 2 3 2 2 2 2" xfId="16125" xr:uid="{00000000-0005-0000-0000-0000F73E0000}"/>
    <cellStyle name="Normal 21 2 3 2 2 2 3" xfId="16126" xr:uid="{00000000-0005-0000-0000-0000F83E0000}"/>
    <cellStyle name="Normal 21 2 3 2 2 2 4" xfId="16127" xr:uid="{00000000-0005-0000-0000-0000F93E0000}"/>
    <cellStyle name="Normal 21 2 3 2 2 2 5" xfId="16128" xr:uid="{00000000-0005-0000-0000-0000FA3E0000}"/>
    <cellStyle name="Normal 21 2 3 2 2 2 6" xfId="16129" xr:uid="{00000000-0005-0000-0000-0000FB3E0000}"/>
    <cellStyle name="Normal 21 2 3 2 2 3" xfId="16130" xr:uid="{00000000-0005-0000-0000-0000FC3E0000}"/>
    <cellStyle name="Normal 21 2 3 2 2 3 2" xfId="16131" xr:uid="{00000000-0005-0000-0000-0000FD3E0000}"/>
    <cellStyle name="Normal 21 2 3 2 2 3 3" xfId="16132" xr:uid="{00000000-0005-0000-0000-0000FE3E0000}"/>
    <cellStyle name="Normal 21 2 3 2 2 3 4" xfId="16133" xr:uid="{00000000-0005-0000-0000-0000FF3E0000}"/>
    <cellStyle name="Normal 21 2 3 2 2 3 5" xfId="16134" xr:uid="{00000000-0005-0000-0000-0000003F0000}"/>
    <cellStyle name="Normal 21 2 3 2 2 3 6" xfId="16135" xr:uid="{00000000-0005-0000-0000-0000013F0000}"/>
    <cellStyle name="Normal 21 2 3 2 2 4" xfId="16136" xr:uid="{00000000-0005-0000-0000-0000023F0000}"/>
    <cellStyle name="Normal 21 2 3 2 2 5" xfId="16137" xr:uid="{00000000-0005-0000-0000-0000033F0000}"/>
    <cellStyle name="Normal 21 2 3 2 2 6" xfId="16138" xr:uid="{00000000-0005-0000-0000-0000043F0000}"/>
    <cellStyle name="Normal 21 2 3 2 2 7" xfId="16139" xr:uid="{00000000-0005-0000-0000-0000053F0000}"/>
    <cellStyle name="Normal 21 2 3 2 2 8" xfId="16140" xr:uid="{00000000-0005-0000-0000-0000063F0000}"/>
    <cellStyle name="Normal 21 2 3 2 3" xfId="16141" xr:uid="{00000000-0005-0000-0000-0000073F0000}"/>
    <cellStyle name="Normal 21 2 3 2 3 2" xfId="16142" xr:uid="{00000000-0005-0000-0000-0000083F0000}"/>
    <cellStyle name="Normal 21 2 3 2 3 2 2" xfId="16143" xr:uid="{00000000-0005-0000-0000-0000093F0000}"/>
    <cellStyle name="Normal 21 2 3 2 3 2 3" xfId="16144" xr:uid="{00000000-0005-0000-0000-00000A3F0000}"/>
    <cellStyle name="Normal 21 2 3 2 3 2 4" xfId="16145" xr:uid="{00000000-0005-0000-0000-00000B3F0000}"/>
    <cellStyle name="Normal 21 2 3 2 3 2 5" xfId="16146" xr:uid="{00000000-0005-0000-0000-00000C3F0000}"/>
    <cellStyle name="Normal 21 2 3 2 3 2 6" xfId="16147" xr:uid="{00000000-0005-0000-0000-00000D3F0000}"/>
    <cellStyle name="Normal 21 2 3 2 3 3" xfId="16148" xr:uid="{00000000-0005-0000-0000-00000E3F0000}"/>
    <cellStyle name="Normal 21 2 3 2 3 3 2" xfId="16149" xr:uid="{00000000-0005-0000-0000-00000F3F0000}"/>
    <cellStyle name="Normal 21 2 3 2 3 3 3" xfId="16150" xr:uid="{00000000-0005-0000-0000-0000103F0000}"/>
    <cellStyle name="Normal 21 2 3 2 3 3 4" xfId="16151" xr:uid="{00000000-0005-0000-0000-0000113F0000}"/>
    <cellStyle name="Normal 21 2 3 2 3 3 5" xfId="16152" xr:uid="{00000000-0005-0000-0000-0000123F0000}"/>
    <cellStyle name="Normal 21 2 3 2 3 3 6" xfId="16153" xr:uid="{00000000-0005-0000-0000-0000133F0000}"/>
    <cellStyle name="Normal 21 2 3 2 3 4" xfId="16154" xr:uid="{00000000-0005-0000-0000-0000143F0000}"/>
    <cellStyle name="Normal 21 2 3 2 3 5" xfId="16155" xr:uid="{00000000-0005-0000-0000-0000153F0000}"/>
    <cellStyle name="Normal 21 2 3 2 3 6" xfId="16156" xr:uid="{00000000-0005-0000-0000-0000163F0000}"/>
    <cellStyle name="Normal 21 2 3 2 3 7" xfId="16157" xr:uid="{00000000-0005-0000-0000-0000173F0000}"/>
    <cellStyle name="Normal 21 2 3 2 3 8" xfId="16158" xr:uid="{00000000-0005-0000-0000-0000183F0000}"/>
    <cellStyle name="Normal 21 2 3 2 4" xfId="16159" xr:uid="{00000000-0005-0000-0000-0000193F0000}"/>
    <cellStyle name="Normal 21 2 3 2 4 2" xfId="16160" xr:uid="{00000000-0005-0000-0000-00001A3F0000}"/>
    <cellStyle name="Normal 21 2 3 2 4 2 2" xfId="16161" xr:uid="{00000000-0005-0000-0000-00001B3F0000}"/>
    <cellStyle name="Normal 21 2 3 2 4 2 3" xfId="16162" xr:uid="{00000000-0005-0000-0000-00001C3F0000}"/>
    <cellStyle name="Normal 21 2 3 2 4 2 4" xfId="16163" xr:uid="{00000000-0005-0000-0000-00001D3F0000}"/>
    <cellStyle name="Normal 21 2 3 2 4 2 5" xfId="16164" xr:uid="{00000000-0005-0000-0000-00001E3F0000}"/>
    <cellStyle name="Normal 21 2 3 2 4 2 6" xfId="16165" xr:uid="{00000000-0005-0000-0000-00001F3F0000}"/>
    <cellStyle name="Normal 21 2 3 2 4 3" xfId="16166" xr:uid="{00000000-0005-0000-0000-0000203F0000}"/>
    <cellStyle name="Normal 21 2 3 2 4 3 2" xfId="16167" xr:uid="{00000000-0005-0000-0000-0000213F0000}"/>
    <cellStyle name="Normal 21 2 3 2 4 3 3" xfId="16168" xr:uid="{00000000-0005-0000-0000-0000223F0000}"/>
    <cellStyle name="Normal 21 2 3 2 4 3 4" xfId="16169" xr:uid="{00000000-0005-0000-0000-0000233F0000}"/>
    <cellStyle name="Normal 21 2 3 2 4 3 5" xfId="16170" xr:uid="{00000000-0005-0000-0000-0000243F0000}"/>
    <cellStyle name="Normal 21 2 3 2 4 3 6" xfId="16171" xr:uid="{00000000-0005-0000-0000-0000253F0000}"/>
    <cellStyle name="Normal 21 2 3 2 4 4" xfId="16172" xr:uid="{00000000-0005-0000-0000-0000263F0000}"/>
    <cellStyle name="Normal 21 2 3 2 4 5" xfId="16173" xr:uid="{00000000-0005-0000-0000-0000273F0000}"/>
    <cellStyle name="Normal 21 2 3 2 4 6" xfId="16174" xr:uid="{00000000-0005-0000-0000-0000283F0000}"/>
    <cellStyle name="Normal 21 2 3 2 4 7" xfId="16175" xr:uid="{00000000-0005-0000-0000-0000293F0000}"/>
    <cellStyle name="Normal 21 2 3 2 4 8" xfId="16176" xr:uid="{00000000-0005-0000-0000-00002A3F0000}"/>
    <cellStyle name="Normal 21 2 3 2 5" xfId="16177" xr:uid="{00000000-0005-0000-0000-00002B3F0000}"/>
    <cellStyle name="Normal 21 2 3 2 5 2" xfId="16178" xr:uid="{00000000-0005-0000-0000-00002C3F0000}"/>
    <cellStyle name="Normal 21 2 3 2 5 3" xfId="16179" xr:uid="{00000000-0005-0000-0000-00002D3F0000}"/>
    <cellStyle name="Normal 21 2 3 2 5 4" xfId="16180" xr:uid="{00000000-0005-0000-0000-00002E3F0000}"/>
    <cellStyle name="Normal 21 2 3 2 5 5" xfId="16181" xr:uid="{00000000-0005-0000-0000-00002F3F0000}"/>
    <cellStyle name="Normal 21 2 3 2 5 6" xfId="16182" xr:uid="{00000000-0005-0000-0000-0000303F0000}"/>
    <cellStyle name="Normal 21 2 3 2 6" xfId="16183" xr:uid="{00000000-0005-0000-0000-0000313F0000}"/>
    <cellStyle name="Normal 21 2 3 2 6 2" xfId="16184" xr:uid="{00000000-0005-0000-0000-0000323F0000}"/>
    <cellStyle name="Normal 21 2 3 2 6 3" xfId="16185" xr:uid="{00000000-0005-0000-0000-0000333F0000}"/>
    <cellStyle name="Normal 21 2 3 2 6 4" xfId="16186" xr:uid="{00000000-0005-0000-0000-0000343F0000}"/>
    <cellStyle name="Normal 21 2 3 2 6 5" xfId="16187" xr:uid="{00000000-0005-0000-0000-0000353F0000}"/>
    <cellStyle name="Normal 21 2 3 2 6 6" xfId="16188" xr:uid="{00000000-0005-0000-0000-0000363F0000}"/>
    <cellStyle name="Normal 21 2 3 2 7" xfId="16189" xr:uid="{00000000-0005-0000-0000-0000373F0000}"/>
    <cellStyle name="Normal 21 2 3 2 8" xfId="16190" xr:uid="{00000000-0005-0000-0000-0000383F0000}"/>
    <cellStyle name="Normal 21 2 3 2 9" xfId="16191" xr:uid="{00000000-0005-0000-0000-0000393F0000}"/>
    <cellStyle name="Normal 21 2 3 3" xfId="16192" xr:uid="{00000000-0005-0000-0000-00003A3F0000}"/>
    <cellStyle name="Normal 21 2 3 3 2" xfId="16193" xr:uid="{00000000-0005-0000-0000-00003B3F0000}"/>
    <cellStyle name="Normal 21 2 3 3 2 2" xfId="16194" xr:uid="{00000000-0005-0000-0000-00003C3F0000}"/>
    <cellStyle name="Normal 21 2 3 3 2 3" xfId="16195" xr:uid="{00000000-0005-0000-0000-00003D3F0000}"/>
    <cellStyle name="Normal 21 2 3 3 2 4" xfId="16196" xr:uid="{00000000-0005-0000-0000-00003E3F0000}"/>
    <cellStyle name="Normal 21 2 3 3 2 5" xfId="16197" xr:uid="{00000000-0005-0000-0000-00003F3F0000}"/>
    <cellStyle name="Normal 21 2 3 3 2 6" xfId="16198" xr:uid="{00000000-0005-0000-0000-0000403F0000}"/>
    <cellStyle name="Normal 21 2 3 3 3" xfId="16199" xr:uid="{00000000-0005-0000-0000-0000413F0000}"/>
    <cellStyle name="Normal 21 2 3 3 3 2" xfId="16200" xr:uid="{00000000-0005-0000-0000-0000423F0000}"/>
    <cellStyle name="Normal 21 2 3 3 3 3" xfId="16201" xr:uid="{00000000-0005-0000-0000-0000433F0000}"/>
    <cellStyle name="Normal 21 2 3 3 3 4" xfId="16202" xr:uid="{00000000-0005-0000-0000-0000443F0000}"/>
    <cellStyle name="Normal 21 2 3 3 3 5" xfId="16203" xr:uid="{00000000-0005-0000-0000-0000453F0000}"/>
    <cellStyle name="Normal 21 2 3 3 3 6" xfId="16204" xr:uid="{00000000-0005-0000-0000-0000463F0000}"/>
    <cellStyle name="Normal 21 2 3 3 4" xfId="16205" xr:uid="{00000000-0005-0000-0000-0000473F0000}"/>
    <cellStyle name="Normal 21 2 3 3 5" xfId="16206" xr:uid="{00000000-0005-0000-0000-0000483F0000}"/>
    <cellStyle name="Normal 21 2 3 3 6" xfId="16207" xr:uid="{00000000-0005-0000-0000-0000493F0000}"/>
    <cellStyle name="Normal 21 2 3 3 7" xfId="16208" xr:uid="{00000000-0005-0000-0000-00004A3F0000}"/>
    <cellStyle name="Normal 21 2 3 3 8" xfId="16209" xr:uid="{00000000-0005-0000-0000-00004B3F0000}"/>
    <cellStyle name="Normal 21 2 3 4" xfId="16210" xr:uid="{00000000-0005-0000-0000-00004C3F0000}"/>
    <cellStyle name="Normal 21 2 3 4 2" xfId="16211" xr:uid="{00000000-0005-0000-0000-00004D3F0000}"/>
    <cellStyle name="Normal 21 2 3 4 2 2" xfId="16212" xr:uid="{00000000-0005-0000-0000-00004E3F0000}"/>
    <cellStyle name="Normal 21 2 3 4 2 3" xfId="16213" xr:uid="{00000000-0005-0000-0000-00004F3F0000}"/>
    <cellStyle name="Normal 21 2 3 4 2 4" xfId="16214" xr:uid="{00000000-0005-0000-0000-0000503F0000}"/>
    <cellStyle name="Normal 21 2 3 4 2 5" xfId="16215" xr:uid="{00000000-0005-0000-0000-0000513F0000}"/>
    <cellStyle name="Normal 21 2 3 4 2 6" xfId="16216" xr:uid="{00000000-0005-0000-0000-0000523F0000}"/>
    <cellStyle name="Normal 21 2 3 4 3" xfId="16217" xr:uid="{00000000-0005-0000-0000-0000533F0000}"/>
    <cellStyle name="Normal 21 2 3 4 3 2" xfId="16218" xr:uid="{00000000-0005-0000-0000-0000543F0000}"/>
    <cellStyle name="Normal 21 2 3 4 3 3" xfId="16219" xr:uid="{00000000-0005-0000-0000-0000553F0000}"/>
    <cellStyle name="Normal 21 2 3 4 3 4" xfId="16220" xr:uid="{00000000-0005-0000-0000-0000563F0000}"/>
    <cellStyle name="Normal 21 2 3 4 3 5" xfId="16221" xr:uid="{00000000-0005-0000-0000-0000573F0000}"/>
    <cellStyle name="Normal 21 2 3 4 3 6" xfId="16222" xr:uid="{00000000-0005-0000-0000-0000583F0000}"/>
    <cellStyle name="Normal 21 2 3 4 4" xfId="16223" xr:uid="{00000000-0005-0000-0000-0000593F0000}"/>
    <cellStyle name="Normal 21 2 3 4 5" xfId="16224" xr:uid="{00000000-0005-0000-0000-00005A3F0000}"/>
    <cellStyle name="Normal 21 2 3 4 6" xfId="16225" xr:uid="{00000000-0005-0000-0000-00005B3F0000}"/>
    <cellStyle name="Normal 21 2 3 4 7" xfId="16226" xr:uid="{00000000-0005-0000-0000-00005C3F0000}"/>
    <cellStyle name="Normal 21 2 3 4 8" xfId="16227" xr:uid="{00000000-0005-0000-0000-00005D3F0000}"/>
    <cellStyle name="Normal 21 2 3 5" xfId="16228" xr:uid="{00000000-0005-0000-0000-00005E3F0000}"/>
    <cellStyle name="Normal 21 2 3 5 2" xfId="16229" xr:uid="{00000000-0005-0000-0000-00005F3F0000}"/>
    <cellStyle name="Normal 21 2 3 5 2 2" xfId="16230" xr:uid="{00000000-0005-0000-0000-0000603F0000}"/>
    <cellStyle name="Normal 21 2 3 5 2 3" xfId="16231" xr:uid="{00000000-0005-0000-0000-0000613F0000}"/>
    <cellStyle name="Normal 21 2 3 5 2 4" xfId="16232" xr:uid="{00000000-0005-0000-0000-0000623F0000}"/>
    <cellStyle name="Normal 21 2 3 5 2 5" xfId="16233" xr:uid="{00000000-0005-0000-0000-0000633F0000}"/>
    <cellStyle name="Normal 21 2 3 5 2 6" xfId="16234" xr:uid="{00000000-0005-0000-0000-0000643F0000}"/>
    <cellStyle name="Normal 21 2 3 5 3" xfId="16235" xr:uid="{00000000-0005-0000-0000-0000653F0000}"/>
    <cellStyle name="Normal 21 2 3 5 3 2" xfId="16236" xr:uid="{00000000-0005-0000-0000-0000663F0000}"/>
    <cellStyle name="Normal 21 2 3 5 3 3" xfId="16237" xr:uid="{00000000-0005-0000-0000-0000673F0000}"/>
    <cellStyle name="Normal 21 2 3 5 3 4" xfId="16238" xr:uid="{00000000-0005-0000-0000-0000683F0000}"/>
    <cellStyle name="Normal 21 2 3 5 3 5" xfId="16239" xr:uid="{00000000-0005-0000-0000-0000693F0000}"/>
    <cellStyle name="Normal 21 2 3 5 3 6" xfId="16240" xr:uid="{00000000-0005-0000-0000-00006A3F0000}"/>
    <cellStyle name="Normal 21 2 3 5 4" xfId="16241" xr:uid="{00000000-0005-0000-0000-00006B3F0000}"/>
    <cellStyle name="Normal 21 2 3 5 5" xfId="16242" xr:uid="{00000000-0005-0000-0000-00006C3F0000}"/>
    <cellStyle name="Normal 21 2 3 5 6" xfId="16243" xr:uid="{00000000-0005-0000-0000-00006D3F0000}"/>
    <cellStyle name="Normal 21 2 3 5 7" xfId="16244" xr:uid="{00000000-0005-0000-0000-00006E3F0000}"/>
    <cellStyle name="Normal 21 2 3 5 8" xfId="16245" xr:uid="{00000000-0005-0000-0000-00006F3F0000}"/>
    <cellStyle name="Normal 21 2 3 6" xfId="16246" xr:uid="{00000000-0005-0000-0000-0000703F0000}"/>
    <cellStyle name="Normal 21 2 3 6 2" xfId="16247" xr:uid="{00000000-0005-0000-0000-0000713F0000}"/>
    <cellStyle name="Normal 21 2 3 6 3" xfId="16248" xr:uid="{00000000-0005-0000-0000-0000723F0000}"/>
    <cellStyle name="Normal 21 2 3 6 4" xfId="16249" xr:uid="{00000000-0005-0000-0000-0000733F0000}"/>
    <cellStyle name="Normal 21 2 3 6 5" xfId="16250" xr:uid="{00000000-0005-0000-0000-0000743F0000}"/>
    <cellStyle name="Normal 21 2 3 6 6" xfId="16251" xr:uid="{00000000-0005-0000-0000-0000753F0000}"/>
    <cellStyle name="Normal 21 2 3 7" xfId="16252" xr:uid="{00000000-0005-0000-0000-0000763F0000}"/>
    <cellStyle name="Normal 21 2 3 7 2" xfId="16253" xr:uid="{00000000-0005-0000-0000-0000773F0000}"/>
    <cellStyle name="Normal 21 2 3 7 3" xfId="16254" xr:uid="{00000000-0005-0000-0000-0000783F0000}"/>
    <cellStyle name="Normal 21 2 3 7 4" xfId="16255" xr:uid="{00000000-0005-0000-0000-0000793F0000}"/>
    <cellStyle name="Normal 21 2 3 7 5" xfId="16256" xr:uid="{00000000-0005-0000-0000-00007A3F0000}"/>
    <cellStyle name="Normal 21 2 3 7 6" xfId="16257" xr:uid="{00000000-0005-0000-0000-00007B3F0000}"/>
    <cellStyle name="Normal 21 2 3 8" xfId="16258" xr:uid="{00000000-0005-0000-0000-00007C3F0000}"/>
    <cellStyle name="Normal 21 2 3 9" xfId="16259" xr:uid="{00000000-0005-0000-0000-00007D3F0000}"/>
    <cellStyle name="Normal 21 2 4" xfId="16260" xr:uid="{00000000-0005-0000-0000-00007E3F0000}"/>
    <cellStyle name="Normal 21 2 4 10" xfId="16261" xr:uid="{00000000-0005-0000-0000-00007F3F0000}"/>
    <cellStyle name="Normal 21 2 4 11" xfId="16262" xr:uid="{00000000-0005-0000-0000-0000803F0000}"/>
    <cellStyle name="Normal 21 2 4 12" xfId="16263" xr:uid="{00000000-0005-0000-0000-0000813F0000}"/>
    <cellStyle name="Normal 21 2 4 2" xfId="16264" xr:uid="{00000000-0005-0000-0000-0000823F0000}"/>
    <cellStyle name="Normal 21 2 4 2 10" xfId="16265" xr:uid="{00000000-0005-0000-0000-0000833F0000}"/>
    <cellStyle name="Normal 21 2 4 2 11" xfId="16266" xr:uid="{00000000-0005-0000-0000-0000843F0000}"/>
    <cellStyle name="Normal 21 2 4 2 2" xfId="16267" xr:uid="{00000000-0005-0000-0000-0000853F0000}"/>
    <cellStyle name="Normal 21 2 4 2 2 2" xfId="16268" xr:uid="{00000000-0005-0000-0000-0000863F0000}"/>
    <cellStyle name="Normal 21 2 4 2 2 2 2" xfId="16269" xr:uid="{00000000-0005-0000-0000-0000873F0000}"/>
    <cellStyle name="Normal 21 2 4 2 2 2 3" xfId="16270" xr:uid="{00000000-0005-0000-0000-0000883F0000}"/>
    <cellStyle name="Normal 21 2 4 2 2 2 4" xfId="16271" xr:uid="{00000000-0005-0000-0000-0000893F0000}"/>
    <cellStyle name="Normal 21 2 4 2 2 2 5" xfId="16272" xr:uid="{00000000-0005-0000-0000-00008A3F0000}"/>
    <cellStyle name="Normal 21 2 4 2 2 2 6" xfId="16273" xr:uid="{00000000-0005-0000-0000-00008B3F0000}"/>
    <cellStyle name="Normal 21 2 4 2 2 3" xfId="16274" xr:uid="{00000000-0005-0000-0000-00008C3F0000}"/>
    <cellStyle name="Normal 21 2 4 2 2 3 2" xfId="16275" xr:uid="{00000000-0005-0000-0000-00008D3F0000}"/>
    <cellStyle name="Normal 21 2 4 2 2 3 3" xfId="16276" xr:uid="{00000000-0005-0000-0000-00008E3F0000}"/>
    <cellStyle name="Normal 21 2 4 2 2 3 4" xfId="16277" xr:uid="{00000000-0005-0000-0000-00008F3F0000}"/>
    <cellStyle name="Normal 21 2 4 2 2 3 5" xfId="16278" xr:uid="{00000000-0005-0000-0000-0000903F0000}"/>
    <cellStyle name="Normal 21 2 4 2 2 3 6" xfId="16279" xr:uid="{00000000-0005-0000-0000-0000913F0000}"/>
    <cellStyle name="Normal 21 2 4 2 2 4" xfId="16280" xr:uid="{00000000-0005-0000-0000-0000923F0000}"/>
    <cellStyle name="Normal 21 2 4 2 2 5" xfId="16281" xr:uid="{00000000-0005-0000-0000-0000933F0000}"/>
    <cellStyle name="Normal 21 2 4 2 2 6" xfId="16282" xr:uid="{00000000-0005-0000-0000-0000943F0000}"/>
    <cellStyle name="Normal 21 2 4 2 2 7" xfId="16283" xr:uid="{00000000-0005-0000-0000-0000953F0000}"/>
    <cellStyle name="Normal 21 2 4 2 2 8" xfId="16284" xr:uid="{00000000-0005-0000-0000-0000963F0000}"/>
    <cellStyle name="Normal 21 2 4 2 3" xfId="16285" xr:uid="{00000000-0005-0000-0000-0000973F0000}"/>
    <cellStyle name="Normal 21 2 4 2 3 2" xfId="16286" xr:uid="{00000000-0005-0000-0000-0000983F0000}"/>
    <cellStyle name="Normal 21 2 4 2 3 2 2" xfId="16287" xr:uid="{00000000-0005-0000-0000-0000993F0000}"/>
    <cellStyle name="Normal 21 2 4 2 3 2 3" xfId="16288" xr:uid="{00000000-0005-0000-0000-00009A3F0000}"/>
    <cellStyle name="Normal 21 2 4 2 3 2 4" xfId="16289" xr:uid="{00000000-0005-0000-0000-00009B3F0000}"/>
    <cellStyle name="Normal 21 2 4 2 3 2 5" xfId="16290" xr:uid="{00000000-0005-0000-0000-00009C3F0000}"/>
    <cellStyle name="Normal 21 2 4 2 3 2 6" xfId="16291" xr:uid="{00000000-0005-0000-0000-00009D3F0000}"/>
    <cellStyle name="Normal 21 2 4 2 3 3" xfId="16292" xr:uid="{00000000-0005-0000-0000-00009E3F0000}"/>
    <cellStyle name="Normal 21 2 4 2 3 3 2" xfId="16293" xr:uid="{00000000-0005-0000-0000-00009F3F0000}"/>
    <cellStyle name="Normal 21 2 4 2 3 3 3" xfId="16294" xr:uid="{00000000-0005-0000-0000-0000A03F0000}"/>
    <cellStyle name="Normal 21 2 4 2 3 3 4" xfId="16295" xr:uid="{00000000-0005-0000-0000-0000A13F0000}"/>
    <cellStyle name="Normal 21 2 4 2 3 3 5" xfId="16296" xr:uid="{00000000-0005-0000-0000-0000A23F0000}"/>
    <cellStyle name="Normal 21 2 4 2 3 3 6" xfId="16297" xr:uid="{00000000-0005-0000-0000-0000A33F0000}"/>
    <cellStyle name="Normal 21 2 4 2 3 4" xfId="16298" xr:uid="{00000000-0005-0000-0000-0000A43F0000}"/>
    <cellStyle name="Normal 21 2 4 2 3 5" xfId="16299" xr:uid="{00000000-0005-0000-0000-0000A53F0000}"/>
    <cellStyle name="Normal 21 2 4 2 3 6" xfId="16300" xr:uid="{00000000-0005-0000-0000-0000A63F0000}"/>
    <cellStyle name="Normal 21 2 4 2 3 7" xfId="16301" xr:uid="{00000000-0005-0000-0000-0000A73F0000}"/>
    <cellStyle name="Normal 21 2 4 2 3 8" xfId="16302" xr:uid="{00000000-0005-0000-0000-0000A83F0000}"/>
    <cellStyle name="Normal 21 2 4 2 4" xfId="16303" xr:uid="{00000000-0005-0000-0000-0000A93F0000}"/>
    <cellStyle name="Normal 21 2 4 2 4 2" xfId="16304" xr:uid="{00000000-0005-0000-0000-0000AA3F0000}"/>
    <cellStyle name="Normal 21 2 4 2 4 2 2" xfId="16305" xr:uid="{00000000-0005-0000-0000-0000AB3F0000}"/>
    <cellStyle name="Normal 21 2 4 2 4 2 3" xfId="16306" xr:uid="{00000000-0005-0000-0000-0000AC3F0000}"/>
    <cellStyle name="Normal 21 2 4 2 4 2 4" xfId="16307" xr:uid="{00000000-0005-0000-0000-0000AD3F0000}"/>
    <cellStyle name="Normal 21 2 4 2 4 2 5" xfId="16308" xr:uid="{00000000-0005-0000-0000-0000AE3F0000}"/>
    <cellStyle name="Normal 21 2 4 2 4 2 6" xfId="16309" xr:uid="{00000000-0005-0000-0000-0000AF3F0000}"/>
    <cellStyle name="Normal 21 2 4 2 4 3" xfId="16310" xr:uid="{00000000-0005-0000-0000-0000B03F0000}"/>
    <cellStyle name="Normal 21 2 4 2 4 3 2" xfId="16311" xr:uid="{00000000-0005-0000-0000-0000B13F0000}"/>
    <cellStyle name="Normal 21 2 4 2 4 3 3" xfId="16312" xr:uid="{00000000-0005-0000-0000-0000B23F0000}"/>
    <cellStyle name="Normal 21 2 4 2 4 3 4" xfId="16313" xr:uid="{00000000-0005-0000-0000-0000B33F0000}"/>
    <cellStyle name="Normal 21 2 4 2 4 3 5" xfId="16314" xr:uid="{00000000-0005-0000-0000-0000B43F0000}"/>
    <cellStyle name="Normal 21 2 4 2 4 3 6" xfId="16315" xr:uid="{00000000-0005-0000-0000-0000B53F0000}"/>
    <cellStyle name="Normal 21 2 4 2 4 4" xfId="16316" xr:uid="{00000000-0005-0000-0000-0000B63F0000}"/>
    <cellStyle name="Normal 21 2 4 2 4 5" xfId="16317" xr:uid="{00000000-0005-0000-0000-0000B73F0000}"/>
    <cellStyle name="Normal 21 2 4 2 4 6" xfId="16318" xr:uid="{00000000-0005-0000-0000-0000B83F0000}"/>
    <cellStyle name="Normal 21 2 4 2 4 7" xfId="16319" xr:uid="{00000000-0005-0000-0000-0000B93F0000}"/>
    <cellStyle name="Normal 21 2 4 2 4 8" xfId="16320" xr:uid="{00000000-0005-0000-0000-0000BA3F0000}"/>
    <cellStyle name="Normal 21 2 4 2 5" xfId="16321" xr:uid="{00000000-0005-0000-0000-0000BB3F0000}"/>
    <cellStyle name="Normal 21 2 4 2 5 2" xfId="16322" xr:uid="{00000000-0005-0000-0000-0000BC3F0000}"/>
    <cellStyle name="Normal 21 2 4 2 5 3" xfId="16323" xr:uid="{00000000-0005-0000-0000-0000BD3F0000}"/>
    <cellStyle name="Normal 21 2 4 2 5 4" xfId="16324" xr:uid="{00000000-0005-0000-0000-0000BE3F0000}"/>
    <cellStyle name="Normal 21 2 4 2 5 5" xfId="16325" xr:uid="{00000000-0005-0000-0000-0000BF3F0000}"/>
    <cellStyle name="Normal 21 2 4 2 5 6" xfId="16326" xr:uid="{00000000-0005-0000-0000-0000C03F0000}"/>
    <cellStyle name="Normal 21 2 4 2 6" xfId="16327" xr:uid="{00000000-0005-0000-0000-0000C13F0000}"/>
    <cellStyle name="Normal 21 2 4 2 6 2" xfId="16328" xr:uid="{00000000-0005-0000-0000-0000C23F0000}"/>
    <cellStyle name="Normal 21 2 4 2 6 3" xfId="16329" xr:uid="{00000000-0005-0000-0000-0000C33F0000}"/>
    <cellStyle name="Normal 21 2 4 2 6 4" xfId="16330" xr:uid="{00000000-0005-0000-0000-0000C43F0000}"/>
    <cellStyle name="Normal 21 2 4 2 6 5" xfId="16331" xr:uid="{00000000-0005-0000-0000-0000C53F0000}"/>
    <cellStyle name="Normal 21 2 4 2 6 6" xfId="16332" xr:uid="{00000000-0005-0000-0000-0000C63F0000}"/>
    <cellStyle name="Normal 21 2 4 2 7" xfId="16333" xr:uid="{00000000-0005-0000-0000-0000C73F0000}"/>
    <cellStyle name="Normal 21 2 4 2 8" xfId="16334" xr:uid="{00000000-0005-0000-0000-0000C83F0000}"/>
    <cellStyle name="Normal 21 2 4 2 9" xfId="16335" xr:uid="{00000000-0005-0000-0000-0000C93F0000}"/>
    <cellStyle name="Normal 21 2 4 3" xfId="16336" xr:uid="{00000000-0005-0000-0000-0000CA3F0000}"/>
    <cellStyle name="Normal 21 2 4 3 2" xfId="16337" xr:uid="{00000000-0005-0000-0000-0000CB3F0000}"/>
    <cellStyle name="Normal 21 2 4 3 2 2" xfId="16338" xr:uid="{00000000-0005-0000-0000-0000CC3F0000}"/>
    <cellStyle name="Normal 21 2 4 3 2 3" xfId="16339" xr:uid="{00000000-0005-0000-0000-0000CD3F0000}"/>
    <cellStyle name="Normal 21 2 4 3 2 4" xfId="16340" xr:uid="{00000000-0005-0000-0000-0000CE3F0000}"/>
    <cellStyle name="Normal 21 2 4 3 2 5" xfId="16341" xr:uid="{00000000-0005-0000-0000-0000CF3F0000}"/>
    <cellStyle name="Normal 21 2 4 3 2 6" xfId="16342" xr:uid="{00000000-0005-0000-0000-0000D03F0000}"/>
    <cellStyle name="Normal 21 2 4 3 3" xfId="16343" xr:uid="{00000000-0005-0000-0000-0000D13F0000}"/>
    <cellStyle name="Normal 21 2 4 3 3 2" xfId="16344" xr:uid="{00000000-0005-0000-0000-0000D23F0000}"/>
    <cellStyle name="Normal 21 2 4 3 3 3" xfId="16345" xr:uid="{00000000-0005-0000-0000-0000D33F0000}"/>
    <cellStyle name="Normal 21 2 4 3 3 4" xfId="16346" xr:uid="{00000000-0005-0000-0000-0000D43F0000}"/>
    <cellStyle name="Normal 21 2 4 3 3 5" xfId="16347" xr:uid="{00000000-0005-0000-0000-0000D53F0000}"/>
    <cellStyle name="Normal 21 2 4 3 3 6" xfId="16348" xr:uid="{00000000-0005-0000-0000-0000D63F0000}"/>
    <cellStyle name="Normal 21 2 4 3 4" xfId="16349" xr:uid="{00000000-0005-0000-0000-0000D73F0000}"/>
    <cellStyle name="Normal 21 2 4 3 5" xfId="16350" xr:uid="{00000000-0005-0000-0000-0000D83F0000}"/>
    <cellStyle name="Normal 21 2 4 3 6" xfId="16351" xr:uid="{00000000-0005-0000-0000-0000D93F0000}"/>
    <cellStyle name="Normal 21 2 4 3 7" xfId="16352" xr:uid="{00000000-0005-0000-0000-0000DA3F0000}"/>
    <cellStyle name="Normal 21 2 4 3 8" xfId="16353" xr:uid="{00000000-0005-0000-0000-0000DB3F0000}"/>
    <cellStyle name="Normal 21 2 4 4" xfId="16354" xr:uid="{00000000-0005-0000-0000-0000DC3F0000}"/>
    <cellStyle name="Normal 21 2 4 4 2" xfId="16355" xr:uid="{00000000-0005-0000-0000-0000DD3F0000}"/>
    <cellStyle name="Normal 21 2 4 4 2 2" xfId="16356" xr:uid="{00000000-0005-0000-0000-0000DE3F0000}"/>
    <cellStyle name="Normal 21 2 4 4 2 3" xfId="16357" xr:uid="{00000000-0005-0000-0000-0000DF3F0000}"/>
    <cellStyle name="Normal 21 2 4 4 2 4" xfId="16358" xr:uid="{00000000-0005-0000-0000-0000E03F0000}"/>
    <cellStyle name="Normal 21 2 4 4 2 5" xfId="16359" xr:uid="{00000000-0005-0000-0000-0000E13F0000}"/>
    <cellStyle name="Normal 21 2 4 4 2 6" xfId="16360" xr:uid="{00000000-0005-0000-0000-0000E23F0000}"/>
    <cellStyle name="Normal 21 2 4 4 3" xfId="16361" xr:uid="{00000000-0005-0000-0000-0000E33F0000}"/>
    <cellStyle name="Normal 21 2 4 4 3 2" xfId="16362" xr:uid="{00000000-0005-0000-0000-0000E43F0000}"/>
    <cellStyle name="Normal 21 2 4 4 3 3" xfId="16363" xr:uid="{00000000-0005-0000-0000-0000E53F0000}"/>
    <cellStyle name="Normal 21 2 4 4 3 4" xfId="16364" xr:uid="{00000000-0005-0000-0000-0000E63F0000}"/>
    <cellStyle name="Normal 21 2 4 4 3 5" xfId="16365" xr:uid="{00000000-0005-0000-0000-0000E73F0000}"/>
    <cellStyle name="Normal 21 2 4 4 3 6" xfId="16366" xr:uid="{00000000-0005-0000-0000-0000E83F0000}"/>
    <cellStyle name="Normal 21 2 4 4 4" xfId="16367" xr:uid="{00000000-0005-0000-0000-0000E93F0000}"/>
    <cellStyle name="Normal 21 2 4 4 5" xfId="16368" xr:uid="{00000000-0005-0000-0000-0000EA3F0000}"/>
    <cellStyle name="Normal 21 2 4 4 6" xfId="16369" xr:uid="{00000000-0005-0000-0000-0000EB3F0000}"/>
    <cellStyle name="Normal 21 2 4 4 7" xfId="16370" xr:uid="{00000000-0005-0000-0000-0000EC3F0000}"/>
    <cellStyle name="Normal 21 2 4 4 8" xfId="16371" xr:uid="{00000000-0005-0000-0000-0000ED3F0000}"/>
    <cellStyle name="Normal 21 2 4 5" xfId="16372" xr:uid="{00000000-0005-0000-0000-0000EE3F0000}"/>
    <cellStyle name="Normal 21 2 4 5 2" xfId="16373" xr:uid="{00000000-0005-0000-0000-0000EF3F0000}"/>
    <cellStyle name="Normal 21 2 4 5 2 2" xfId="16374" xr:uid="{00000000-0005-0000-0000-0000F03F0000}"/>
    <cellStyle name="Normal 21 2 4 5 2 3" xfId="16375" xr:uid="{00000000-0005-0000-0000-0000F13F0000}"/>
    <cellStyle name="Normal 21 2 4 5 2 4" xfId="16376" xr:uid="{00000000-0005-0000-0000-0000F23F0000}"/>
    <cellStyle name="Normal 21 2 4 5 2 5" xfId="16377" xr:uid="{00000000-0005-0000-0000-0000F33F0000}"/>
    <cellStyle name="Normal 21 2 4 5 2 6" xfId="16378" xr:uid="{00000000-0005-0000-0000-0000F43F0000}"/>
    <cellStyle name="Normal 21 2 4 5 3" xfId="16379" xr:uid="{00000000-0005-0000-0000-0000F53F0000}"/>
    <cellStyle name="Normal 21 2 4 5 3 2" xfId="16380" xr:uid="{00000000-0005-0000-0000-0000F63F0000}"/>
    <cellStyle name="Normal 21 2 4 5 3 3" xfId="16381" xr:uid="{00000000-0005-0000-0000-0000F73F0000}"/>
    <cellStyle name="Normal 21 2 4 5 3 4" xfId="16382" xr:uid="{00000000-0005-0000-0000-0000F83F0000}"/>
    <cellStyle name="Normal 21 2 4 5 3 5" xfId="16383" xr:uid="{00000000-0005-0000-0000-0000F93F0000}"/>
    <cellStyle name="Normal 21 2 4 5 3 6" xfId="16384" xr:uid="{00000000-0005-0000-0000-0000FA3F0000}"/>
    <cellStyle name="Normal 21 2 4 5 4" xfId="16385" xr:uid="{00000000-0005-0000-0000-0000FB3F0000}"/>
    <cellStyle name="Normal 21 2 4 5 5" xfId="16386" xr:uid="{00000000-0005-0000-0000-0000FC3F0000}"/>
    <cellStyle name="Normal 21 2 4 5 6" xfId="16387" xr:uid="{00000000-0005-0000-0000-0000FD3F0000}"/>
    <cellStyle name="Normal 21 2 4 5 7" xfId="16388" xr:uid="{00000000-0005-0000-0000-0000FE3F0000}"/>
    <cellStyle name="Normal 21 2 4 5 8" xfId="16389" xr:uid="{00000000-0005-0000-0000-0000FF3F0000}"/>
    <cellStyle name="Normal 21 2 4 6" xfId="16390" xr:uid="{00000000-0005-0000-0000-000000400000}"/>
    <cellStyle name="Normal 21 2 4 6 2" xfId="16391" xr:uid="{00000000-0005-0000-0000-000001400000}"/>
    <cellStyle name="Normal 21 2 4 6 3" xfId="16392" xr:uid="{00000000-0005-0000-0000-000002400000}"/>
    <cellStyle name="Normal 21 2 4 6 4" xfId="16393" xr:uid="{00000000-0005-0000-0000-000003400000}"/>
    <cellStyle name="Normal 21 2 4 6 5" xfId="16394" xr:uid="{00000000-0005-0000-0000-000004400000}"/>
    <cellStyle name="Normal 21 2 4 6 6" xfId="16395" xr:uid="{00000000-0005-0000-0000-000005400000}"/>
    <cellStyle name="Normal 21 2 4 7" xfId="16396" xr:uid="{00000000-0005-0000-0000-000006400000}"/>
    <cellStyle name="Normal 21 2 4 7 2" xfId="16397" xr:uid="{00000000-0005-0000-0000-000007400000}"/>
    <cellStyle name="Normal 21 2 4 7 3" xfId="16398" xr:uid="{00000000-0005-0000-0000-000008400000}"/>
    <cellStyle name="Normal 21 2 4 7 4" xfId="16399" xr:uid="{00000000-0005-0000-0000-000009400000}"/>
    <cellStyle name="Normal 21 2 4 7 5" xfId="16400" xr:uid="{00000000-0005-0000-0000-00000A400000}"/>
    <cellStyle name="Normal 21 2 4 7 6" xfId="16401" xr:uid="{00000000-0005-0000-0000-00000B400000}"/>
    <cellStyle name="Normal 21 2 4 8" xfId="16402" xr:uid="{00000000-0005-0000-0000-00000C400000}"/>
    <cellStyle name="Normal 21 2 4 9" xfId="16403" xr:uid="{00000000-0005-0000-0000-00000D400000}"/>
    <cellStyle name="Normal 21 2 5" xfId="16404" xr:uid="{00000000-0005-0000-0000-00000E400000}"/>
    <cellStyle name="Normal 21 2 5 10" xfId="16405" xr:uid="{00000000-0005-0000-0000-00000F400000}"/>
    <cellStyle name="Normal 21 2 5 11" xfId="16406" xr:uid="{00000000-0005-0000-0000-000010400000}"/>
    <cellStyle name="Normal 21 2 5 2" xfId="16407" xr:uid="{00000000-0005-0000-0000-000011400000}"/>
    <cellStyle name="Normal 21 2 5 2 2" xfId="16408" xr:uid="{00000000-0005-0000-0000-000012400000}"/>
    <cellStyle name="Normal 21 2 5 2 2 2" xfId="16409" xr:uid="{00000000-0005-0000-0000-000013400000}"/>
    <cellStyle name="Normal 21 2 5 2 2 3" xfId="16410" xr:uid="{00000000-0005-0000-0000-000014400000}"/>
    <cellStyle name="Normal 21 2 5 2 2 4" xfId="16411" xr:uid="{00000000-0005-0000-0000-000015400000}"/>
    <cellStyle name="Normal 21 2 5 2 2 5" xfId="16412" xr:uid="{00000000-0005-0000-0000-000016400000}"/>
    <cellStyle name="Normal 21 2 5 2 2 6" xfId="16413" xr:uid="{00000000-0005-0000-0000-000017400000}"/>
    <cellStyle name="Normal 21 2 5 2 3" xfId="16414" xr:uid="{00000000-0005-0000-0000-000018400000}"/>
    <cellStyle name="Normal 21 2 5 2 3 2" xfId="16415" xr:uid="{00000000-0005-0000-0000-000019400000}"/>
    <cellStyle name="Normal 21 2 5 2 3 3" xfId="16416" xr:uid="{00000000-0005-0000-0000-00001A400000}"/>
    <cellStyle name="Normal 21 2 5 2 3 4" xfId="16417" xr:uid="{00000000-0005-0000-0000-00001B400000}"/>
    <cellStyle name="Normal 21 2 5 2 3 5" xfId="16418" xr:uid="{00000000-0005-0000-0000-00001C400000}"/>
    <cellStyle name="Normal 21 2 5 2 3 6" xfId="16419" xr:uid="{00000000-0005-0000-0000-00001D400000}"/>
    <cellStyle name="Normal 21 2 5 2 4" xfId="16420" xr:uid="{00000000-0005-0000-0000-00001E400000}"/>
    <cellStyle name="Normal 21 2 5 2 5" xfId="16421" xr:uid="{00000000-0005-0000-0000-00001F400000}"/>
    <cellStyle name="Normal 21 2 5 2 6" xfId="16422" xr:uid="{00000000-0005-0000-0000-000020400000}"/>
    <cellStyle name="Normal 21 2 5 2 7" xfId="16423" xr:uid="{00000000-0005-0000-0000-000021400000}"/>
    <cellStyle name="Normal 21 2 5 2 8" xfId="16424" xr:uid="{00000000-0005-0000-0000-000022400000}"/>
    <cellStyle name="Normal 21 2 5 3" xfId="16425" xr:uid="{00000000-0005-0000-0000-000023400000}"/>
    <cellStyle name="Normal 21 2 5 3 2" xfId="16426" xr:uid="{00000000-0005-0000-0000-000024400000}"/>
    <cellStyle name="Normal 21 2 5 3 2 2" xfId="16427" xr:uid="{00000000-0005-0000-0000-000025400000}"/>
    <cellStyle name="Normal 21 2 5 3 2 3" xfId="16428" xr:uid="{00000000-0005-0000-0000-000026400000}"/>
    <cellStyle name="Normal 21 2 5 3 2 4" xfId="16429" xr:uid="{00000000-0005-0000-0000-000027400000}"/>
    <cellStyle name="Normal 21 2 5 3 2 5" xfId="16430" xr:uid="{00000000-0005-0000-0000-000028400000}"/>
    <cellStyle name="Normal 21 2 5 3 2 6" xfId="16431" xr:uid="{00000000-0005-0000-0000-000029400000}"/>
    <cellStyle name="Normal 21 2 5 3 3" xfId="16432" xr:uid="{00000000-0005-0000-0000-00002A400000}"/>
    <cellStyle name="Normal 21 2 5 3 3 2" xfId="16433" xr:uid="{00000000-0005-0000-0000-00002B400000}"/>
    <cellStyle name="Normal 21 2 5 3 3 3" xfId="16434" xr:uid="{00000000-0005-0000-0000-00002C400000}"/>
    <cellStyle name="Normal 21 2 5 3 3 4" xfId="16435" xr:uid="{00000000-0005-0000-0000-00002D400000}"/>
    <cellStyle name="Normal 21 2 5 3 3 5" xfId="16436" xr:uid="{00000000-0005-0000-0000-00002E400000}"/>
    <cellStyle name="Normal 21 2 5 3 3 6" xfId="16437" xr:uid="{00000000-0005-0000-0000-00002F400000}"/>
    <cellStyle name="Normal 21 2 5 3 4" xfId="16438" xr:uid="{00000000-0005-0000-0000-000030400000}"/>
    <cellStyle name="Normal 21 2 5 3 5" xfId="16439" xr:uid="{00000000-0005-0000-0000-000031400000}"/>
    <cellStyle name="Normal 21 2 5 3 6" xfId="16440" xr:uid="{00000000-0005-0000-0000-000032400000}"/>
    <cellStyle name="Normal 21 2 5 3 7" xfId="16441" xr:uid="{00000000-0005-0000-0000-000033400000}"/>
    <cellStyle name="Normal 21 2 5 3 8" xfId="16442" xr:uid="{00000000-0005-0000-0000-000034400000}"/>
    <cellStyle name="Normal 21 2 5 4" xfId="16443" xr:uid="{00000000-0005-0000-0000-000035400000}"/>
    <cellStyle name="Normal 21 2 5 4 2" xfId="16444" xr:uid="{00000000-0005-0000-0000-000036400000}"/>
    <cellStyle name="Normal 21 2 5 4 2 2" xfId="16445" xr:uid="{00000000-0005-0000-0000-000037400000}"/>
    <cellStyle name="Normal 21 2 5 4 2 3" xfId="16446" xr:uid="{00000000-0005-0000-0000-000038400000}"/>
    <cellStyle name="Normal 21 2 5 4 2 4" xfId="16447" xr:uid="{00000000-0005-0000-0000-000039400000}"/>
    <cellStyle name="Normal 21 2 5 4 2 5" xfId="16448" xr:uid="{00000000-0005-0000-0000-00003A400000}"/>
    <cellStyle name="Normal 21 2 5 4 2 6" xfId="16449" xr:uid="{00000000-0005-0000-0000-00003B400000}"/>
    <cellStyle name="Normal 21 2 5 4 3" xfId="16450" xr:uid="{00000000-0005-0000-0000-00003C400000}"/>
    <cellStyle name="Normal 21 2 5 4 3 2" xfId="16451" xr:uid="{00000000-0005-0000-0000-00003D400000}"/>
    <cellStyle name="Normal 21 2 5 4 3 3" xfId="16452" xr:uid="{00000000-0005-0000-0000-00003E400000}"/>
    <cellStyle name="Normal 21 2 5 4 3 4" xfId="16453" xr:uid="{00000000-0005-0000-0000-00003F400000}"/>
    <cellStyle name="Normal 21 2 5 4 3 5" xfId="16454" xr:uid="{00000000-0005-0000-0000-000040400000}"/>
    <cellStyle name="Normal 21 2 5 4 3 6" xfId="16455" xr:uid="{00000000-0005-0000-0000-000041400000}"/>
    <cellStyle name="Normal 21 2 5 4 4" xfId="16456" xr:uid="{00000000-0005-0000-0000-000042400000}"/>
    <cellStyle name="Normal 21 2 5 4 5" xfId="16457" xr:uid="{00000000-0005-0000-0000-000043400000}"/>
    <cellStyle name="Normal 21 2 5 4 6" xfId="16458" xr:uid="{00000000-0005-0000-0000-000044400000}"/>
    <cellStyle name="Normal 21 2 5 4 7" xfId="16459" xr:uid="{00000000-0005-0000-0000-000045400000}"/>
    <cellStyle name="Normal 21 2 5 4 8" xfId="16460" xr:uid="{00000000-0005-0000-0000-000046400000}"/>
    <cellStyle name="Normal 21 2 5 5" xfId="16461" xr:uid="{00000000-0005-0000-0000-000047400000}"/>
    <cellStyle name="Normal 21 2 5 5 2" xfId="16462" xr:uid="{00000000-0005-0000-0000-000048400000}"/>
    <cellStyle name="Normal 21 2 5 5 3" xfId="16463" xr:uid="{00000000-0005-0000-0000-000049400000}"/>
    <cellStyle name="Normal 21 2 5 5 4" xfId="16464" xr:uid="{00000000-0005-0000-0000-00004A400000}"/>
    <cellStyle name="Normal 21 2 5 5 5" xfId="16465" xr:uid="{00000000-0005-0000-0000-00004B400000}"/>
    <cellStyle name="Normal 21 2 5 5 6" xfId="16466" xr:uid="{00000000-0005-0000-0000-00004C400000}"/>
    <cellStyle name="Normal 21 2 5 6" xfId="16467" xr:uid="{00000000-0005-0000-0000-00004D400000}"/>
    <cellStyle name="Normal 21 2 5 6 2" xfId="16468" xr:uid="{00000000-0005-0000-0000-00004E400000}"/>
    <cellStyle name="Normal 21 2 5 6 3" xfId="16469" xr:uid="{00000000-0005-0000-0000-00004F400000}"/>
    <cellStyle name="Normal 21 2 5 6 4" xfId="16470" xr:uid="{00000000-0005-0000-0000-000050400000}"/>
    <cellStyle name="Normal 21 2 5 6 5" xfId="16471" xr:uid="{00000000-0005-0000-0000-000051400000}"/>
    <cellStyle name="Normal 21 2 5 6 6" xfId="16472" xr:uid="{00000000-0005-0000-0000-000052400000}"/>
    <cellStyle name="Normal 21 2 5 7" xfId="16473" xr:uid="{00000000-0005-0000-0000-000053400000}"/>
    <cellStyle name="Normal 21 2 5 8" xfId="16474" xr:uid="{00000000-0005-0000-0000-000054400000}"/>
    <cellStyle name="Normal 21 2 5 9" xfId="16475" xr:uid="{00000000-0005-0000-0000-000055400000}"/>
    <cellStyle name="Normal 21 2 6" xfId="16476" xr:uid="{00000000-0005-0000-0000-000056400000}"/>
    <cellStyle name="Normal 21 2 6 2" xfId="16477" xr:uid="{00000000-0005-0000-0000-000057400000}"/>
    <cellStyle name="Normal 21 2 6 2 2" xfId="16478" xr:uid="{00000000-0005-0000-0000-000058400000}"/>
    <cellStyle name="Normal 21 2 6 2 3" xfId="16479" xr:uid="{00000000-0005-0000-0000-000059400000}"/>
    <cellStyle name="Normal 21 2 6 2 4" xfId="16480" xr:uid="{00000000-0005-0000-0000-00005A400000}"/>
    <cellStyle name="Normal 21 2 6 2 5" xfId="16481" xr:uid="{00000000-0005-0000-0000-00005B400000}"/>
    <cellStyle name="Normal 21 2 6 2 6" xfId="16482" xr:uid="{00000000-0005-0000-0000-00005C400000}"/>
    <cellStyle name="Normal 21 2 6 3" xfId="16483" xr:uid="{00000000-0005-0000-0000-00005D400000}"/>
    <cellStyle name="Normal 21 2 6 3 2" xfId="16484" xr:uid="{00000000-0005-0000-0000-00005E400000}"/>
    <cellStyle name="Normal 21 2 6 3 3" xfId="16485" xr:uid="{00000000-0005-0000-0000-00005F400000}"/>
    <cellStyle name="Normal 21 2 6 3 4" xfId="16486" xr:uid="{00000000-0005-0000-0000-000060400000}"/>
    <cellStyle name="Normal 21 2 6 3 5" xfId="16487" xr:uid="{00000000-0005-0000-0000-000061400000}"/>
    <cellStyle name="Normal 21 2 6 3 6" xfId="16488" xr:uid="{00000000-0005-0000-0000-000062400000}"/>
    <cellStyle name="Normal 21 2 6 4" xfId="16489" xr:uid="{00000000-0005-0000-0000-000063400000}"/>
    <cellStyle name="Normal 21 2 6 5" xfId="16490" xr:uid="{00000000-0005-0000-0000-000064400000}"/>
    <cellStyle name="Normal 21 2 6 6" xfId="16491" xr:uid="{00000000-0005-0000-0000-000065400000}"/>
    <cellStyle name="Normal 21 2 6 7" xfId="16492" xr:uid="{00000000-0005-0000-0000-000066400000}"/>
    <cellStyle name="Normal 21 2 6 8" xfId="16493" xr:uid="{00000000-0005-0000-0000-000067400000}"/>
    <cellStyle name="Normal 21 2 7" xfId="16494" xr:uid="{00000000-0005-0000-0000-000068400000}"/>
    <cellStyle name="Normal 21 2 7 2" xfId="16495" xr:uid="{00000000-0005-0000-0000-000069400000}"/>
    <cellStyle name="Normal 21 2 7 2 2" xfId="16496" xr:uid="{00000000-0005-0000-0000-00006A400000}"/>
    <cellStyle name="Normal 21 2 7 2 3" xfId="16497" xr:uid="{00000000-0005-0000-0000-00006B400000}"/>
    <cellStyle name="Normal 21 2 7 2 4" xfId="16498" xr:uid="{00000000-0005-0000-0000-00006C400000}"/>
    <cellStyle name="Normal 21 2 7 2 5" xfId="16499" xr:uid="{00000000-0005-0000-0000-00006D400000}"/>
    <cellStyle name="Normal 21 2 7 2 6" xfId="16500" xr:uid="{00000000-0005-0000-0000-00006E400000}"/>
    <cellStyle name="Normal 21 2 7 3" xfId="16501" xr:uid="{00000000-0005-0000-0000-00006F400000}"/>
    <cellStyle name="Normal 21 2 7 3 2" xfId="16502" xr:uid="{00000000-0005-0000-0000-000070400000}"/>
    <cellStyle name="Normal 21 2 7 3 3" xfId="16503" xr:uid="{00000000-0005-0000-0000-000071400000}"/>
    <cellStyle name="Normal 21 2 7 3 4" xfId="16504" xr:uid="{00000000-0005-0000-0000-000072400000}"/>
    <cellStyle name="Normal 21 2 7 3 5" xfId="16505" xr:uid="{00000000-0005-0000-0000-000073400000}"/>
    <cellStyle name="Normal 21 2 7 3 6" xfId="16506" xr:uid="{00000000-0005-0000-0000-000074400000}"/>
    <cellStyle name="Normal 21 2 7 4" xfId="16507" xr:uid="{00000000-0005-0000-0000-000075400000}"/>
    <cellStyle name="Normal 21 2 7 5" xfId="16508" xr:uid="{00000000-0005-0000-0000-000076400000}"/>
    <cellStyle name="Normal 21 2 7 6" xfId="16509" xr:uid="{00000000-0005-0000-0000-000077400000}"/>
    <cellStyle name="Normal 21 2 7 7" xfId="16510" xr:uid="{00000000-0005-0000-0000-000078400000}"/>
    <cellStyle name="Normal 21 2 7 8" xfId="16511" xr:uid="{00000000-0005-0000-0000-000079400000}"/>
    <cellStyle name="Normal 21 2 8" xfId="16512" xr:uid="{00000000-0005-0000-0000-00007A400000}"/>
    <cellStyle name="Normal 21 2 8 2" xfId="16513" xr:uid="{00000000-0005-0000-0000-00007B400000}"/>
    <cellStyle name="Normal 21 2 8 2 2" xfId="16514" xr:uid="{00000000-0005-0000-0000-00007C400000}"/>
    <cellStyle name="Normal 21 2 8 2 3" xfId="16515" xr:uid="{00000000-0005-0000-0000-00007D400000}"/>
    <cellStyle name="Normal 21 2 8 2 4" xfId="16516" xr:uid="{00000000-0005-0000-0000-00007E400000}"/>
    <cellStyle name="Normal 21 2 8 2 5" xfId="16517" xr:uid="{00000000-0005-0000-0000-00007F400000}"/>
    <cellStyle name="Normal 21 2 8 2 6" xfId="16518" xr:uid="{00000000-0005-0000-0000-000080400000}"/>
    <cellStyle name="Normal 21 2 8 3" xfId="16519" xr:uid="{00000000-0005-0000-0000-000081400000}"/>
    <cellStyle name="Normal 21 2 8 3 2" xfId="16520" xr:uid="{00000000-0005-0000-0000-000082400000}"/>
    <cellStyle name="Normal 21 2 8 3 3" xfId="16521" xr:uid="{00000000-0005-0000-0000-000083400000}"/>
    <cellStyle name="Normal 21 2 8 3 4" xfId="16522" xr:uid="{00000000-0005-0000-0000-000084400000}"/>
    <cellStyle name="Normal 21 2 8 3 5" xfId="16523" xr:uid="{00000000-0005-0000-0000-000085400000}"/>
    <cellStyle name="Normal 21 2 8 3 6" xfId="16524" xr:uid="{00000000-0005-0000-0000-000086400000}"/>
    <cellStyle name="Normal 21 2 8 4" xfId="16525" xr:uid="{00000000-0005-0000-0000-000087400000}"/>
    <cellStyle name="Normal 21 2 8 5" xfId="16526" xr:uid="{00000000-0005-0000-0000-000088400000}"/>
    <cellStyle name="Normal 21 2 8 6" xfId="16527" xr:uid="{00000000-0005-0000-0000-000089400000}"/>
    <cellStyle name="Normal 21 2 8 7" xfId="16528" xr:uid="{00000000-0005-0000-0000-00008A400000}"/>
    <cellStyle name="Normal 21 2 8 8" xfId="16529" xr:uid="{00000000-0005-0000-0000-00008B400000}"/>
    <cellStyle name="Normal 21 2 9" xfId="16530" xr:uid="{00000000-0005-0000-0000-00008C400000}"/>
    <cellStyle name="Normal 21 2 9 2" xfId="16531" xr:uid="{00000000-0005-0000-0000-00008D400000}"/>
    <cellStyle name="Normal 21 2 9 3" xfId="16532" xr:uid="{00000000-0005-0000-0000-00008E400000}"/>
    <cellStyle name="Normal 21 2 9 4" xfId="16533" xr:uid="{00000000-0005-0000-0000-00008F400000}"/>
    <cellStyle name="Normal 21 2 9 5" xfId="16534" xr:uid="{00000000-0005-0000-0000-000090400000}"/>
    <cellStyle name="Normal 21 2 9 6" xfId="16535" xr:uid="{00000000-0005-0000-0000-000091400000}"/>
    <cellStyle name="Normal 21 3" xfId="16536" xr:uid="{00000000-0005-0000-0000-000092400000}"/>
    <cellStyle name="Normal 21 3 10" xfId="16537" xr:uid="{00000000-0005-0000-0000-000093400000}"/>
    <cellStyle name="Normal 21 3 10 2" xfId="16538" xr:uid="{00000000-0005-0000-0000-000094400000}"/>
    <cellStyle name="Normal 21 3 10 3" xfId="16539" xr:uid="{00000000-0005-0000-0000-000095400000}"/>
    <cellStyle name="Normal 21 3 10 4" xfId="16540" xr:uid="{00000000-0005-0000-0000-000096400000}"/>
    <cellStyle name="Normal 21 3 10 5" xfId="16541" xr:uid="{00000000-0005-0000-0000-000097400000}"/>
    <cellStyle name="Normal 21 3 10 6" xfId="16542" xr:uid="{00000000-0005-0000-0000-000098400000}"/>
    <cellStyle name="Normal 21 3 11" xfId="16543" xr:uid="{00000000-0005-0000-0000-000099400000}"/>
    <cellStyle name="Normal 21 3 12" xfId="16544" xr:uid="{00000000-0005-0000-0000-00009A400000}"/>
    <cellStyle name="Normal 21 3 13" xfId="16545" xr:uid="{00000000-0005-0000-0000-00009B400000}"/>
    <cellStyle name="Normal 21 3 14" xfId="16546" xr:uid="{00000000-0005-0000-0000-00009C400000}"/>
    <cellStyle name="Normal 21 3 15" xfId="16547" xr:uid="{00000000-0005-0000-0000-00009D400000}"/>
    <cellStyle name="Normal 21 3 2" xfId="16548" xr:uid="{00000000-0005-0000-0000-00009E400000}"/>
    <cellStyle name="Normal 21 3 2 10" xfId="16549" xr:uid="{00000000-0005-0000-0000-00009F400000}"/>
    <cellStyle name="Normal 21 3 2 11" xfId="16550" xr:uid="{00000000-0005-0000-0000-0000A0400000}"/>
    <cellStyle name="Normal 21 3 2 12" xfId="16551" xr:uid="{00000000-0005-0000-0000-0000A1400000}"/>
    <cellStyle name="Normal 21 3 2 13" xfId="16552" xr:uid="{00000000-0005-0000-0000-0000A2400000}"/>
    <cellStyle name="Normal 21 3 2 14" xfId="16553" xr:uid="{00000000-0005-0000-0000-0000A3400000}"/>
    <cellStyle name="Normal 21 3 2 2" xfId="16554" xr:uid="{00000000-0005-0000-0000-0000A4400000}"/>
    <cellStyle name="Normal 21 3 2 2 10" xfId="16555" xr:uid="{00000000-0005-0000-0000-0000A5400000}"/>
    <cellStyle name="Normal 21 3 2 2 11" xfId="16556" xr:uid="{00000000-0005-0000-0000-0000A6400000}"/>
    <cellStyle name="Normal 21 3 2 2 12" xfId="16557" xr:uid="{00000000-0005-0000-0000-0000A7400000}"/>
    <cellStyle name="Normal 21 3 2 2 2" xfId="16558" xr:uid="{00000000-0005-0000-0000-0000A8400000}"/>
    <cellStyle name="Normal 21 3 2 2 2 10" xfId="16559" xr:uid="{00000000-0005-0000-0000-0000A9400000}"/>
    <cellStyle name="Normal 21 3 2 2 2 11" xfId="16560" xr:uid="{00000000-0005-0000-0000-0000AA400000}"/>
    <cellStyle name="Normal 21 3 2 2 2 2" xfId="16561" xr:uid="{00000000-0005-0000-0000-0000AB400000}"/>
    <cellStyle name="Normal 21 3 2 2 2 2 2" xfId="16562" xr:uid="{00000000-0005-0000-0000-0000AC400000}"/>
    <cellStyle name="Normal 21 3 2 2 2 2 2 2" xfId="16563" xr:uid="{00000000-0005-0000-0000-0000AD400000}"/>
    <cellStyle name="Normal 21 3 2 2 2 2 2 3" xfId="16564" xr:uid="{00000000-0005-0000-0000-0000AE400000}"/>
    <cellStyle name="Normal 21 3 2 2 2 2 2 4" xfId="16565" xr:uid="{00000000-0005-0000-0000-0000AF400000}"/>
    <cellStyle name="Normal 21 3 2 2 2 2 2 5" xfId="16566" xr:uid="{00000000-0005-0000-0000-0000B0400000}"/>
    <cellStyle name="Normal 21 3 2 2 2 2 2 6" xfId="16567" xr:uid="{00000000-0005-0000-0000-0000B1400000}"/>
    <cellStyle name="Normal 21 3 2 2 2 2 3" xfId="16568" xr:uid="{00000000-0005-0000-0000-0000B2400000}"/>
    <cellStyle name="Normal 21 3 2 2 2 2 3 2" xfId="16569" xr:uid="{00000000-0005-0000-0000-0000B3400000}"/>
    <cellStyle name="Normal 21 3 2 2 2 2 3 3" xfId="16570" xr:uid="{00000000-0005-0000-0000-0000B4400000}"/>
    <cellStyle name="Normal 21 3 2 2 2 2 3 4" xfId="16571" xr:uid="{00000000-0005-0000-0000-0000B5400000}"/>
    <cellStyle name="Normal 21 3 2 2 2 2 3 5" xfId="16572" xr:uid="{00000000-0005-0000-0000-0000B6400000}"/>
    <cellStyle name="Normal 21 3 2 2 2 2 3 6" xfId="16573" xr:uid="{00000000-0005-0000-0000-0000B7400000}"/>
    <cellStyle name="Normal 21 3 2 2 2 2 4" xfId="16574" xr:uid="{00000000-0005-0000-0000-0000B8400000}"/>
    <cellStyle name="Normal 21 3 2 2 2 2 5" xfId="16575" xr:uid="{00000000-0005-0000-0000-0000B9400000}"/>
    <cellStyle name="Normal 21 3 2 2 2 2 6" xfId="16576" xr:uid="{00000000-0005-0000-0000-0000BA400000}"/>
    <cellStyle name="Normal 21 3 2 2 2 2 7" xfId="16577" xr:uid="{00000000-0005-0000-0000-0000BB400000}"/>
    <cellStyle name="Normal 21 3 2 2 2 2 8" xfId="16578" xr:uid="{00000000-0005-0000-0000-0000BC400000}"/>
    <cellStyle name="Normal 21 3 2 2 2 3" xfId="16579" xr:uid="{00000000-0005-0000-0000-0000BD400000}"/>
    <cellStyle name="Normal 21 3 2 2 2 3 2" xfId="16580" xr:uid="{00000000-0005-0000-0000-0000BE400000}"/>
    <cellStyle name="Normal 21 3 2 2 2 3 2 2" xfId="16581" xr:uid="{00000000-0005-0000-0000-0000BF400000}"/>
    <cellStyle name="Normal 21 3 2 2 2 3 2 3" xfId="16582" xr:uid="{00000000-0005-0000-0000-0000C0400000}"/>
    <cellStyle name="Normal 21 3 2 2 2 3 2 4" xfId="16583" xr:uid="{00000000-0005-0000-0000-0000C1400000}"/>
    <cellStyle name="Normal 21 3 2 2 2 3 2 5" xfId="16584" xr:uid="{00000000-0005-0000-0000-0000C2400000}"/>
    <cellStyle name="Normal 21 3 2 2 2 3 2 6" xfId="16585" xr:uid="{00000000-0005-0000-0000-0000C3400000}"/>
    <cellStyle name="Normal 21 3 2 2 2 3 3" xfId="16586" xr:uid="{00000000-0005-0000-0000-0000C4400000}"/>
    <cellStyle name="Normal 21 3 2 2 2 3 3 2" xfId="16587" xr:uid="{00000000-0005-0000-0000-0000C5400000}"/>
    <cellStyle name="Normal 21 3 2 2 2 3 3 3" xfId="16588" xr:uid="{00000000-0005-0000-0000-0000C6400000}"/>
    <cellStyle name="Normal 21 3 2 2 2 3 3 4" xfId="16589" xr:uid="{00000000-0005-0000-0000-0000C7400000}"/>
    <cellStyle name="Normal 21 3 2 2 2 3 3 5" xfId="16590" xr:uid="{00000000-0005-0000-0000-0000C8400000}"/>
    <cellStyle name="Normal 21 3 2 2 2 3 3 6" xfId="16591" xr:uid="{00000000-0005-0000-0000-0000C9400000}"/>
    <cellStyle name="Normal 21 3 2 2 2 3 4" xfId="16592" xr:uid="{00000000-0005-0000-0000-0000CA400000}"/>
    <cellStyle name="Normal 21 3 2 2 2 3 5" xfId="16593" xr:uid="{00000000-0005-0000-0000-0000CB400000}"/>
    <cellStyle name="Normal 21 3 2 2 2 3 6" xfId="16594" xr:uid="{00000000-0005-0000-0000-0000CC400000}"/>
    <cellStyle name="Normal 21 3 2 2 2 3 7" xfId="16595" xr:uid="{00000000-0005-0000-0000-0000CD400000}"/>
    <cellStyle name="Normal 21 3 2 2 2 3 8" xfId="16596" xr:uid="{00000000-0005-0000-0000-0000CE400000}"/>
    <cellStyle name="Normal 21 3 2 2 2 4" xfId="16597" xr:uid="{00000000-0005-0000-0000-0000CF400000}"/>
    <cellStyle name="Normal 21 3 2 2 2 4 2" xfId="16598" xr:uid="{00000000-0005-0000-0000-0000D0400000}"/>
    <cellStyle name="Normal 21 3 2 2 2 4 2 2" xfId="16599" xr:uid="{00000000-0005-0000-0000-0000D1400000}"/>
    <cellStyle name="Normal 21 3 2 2 2 4 2 3" xfId="16600" xr:uid="{00000000-0005-0000-0000-0000D2400000}"/>
    <cellStyle name="Normal 21 3 2 2 2 4 2 4" xfId="16601" xr:uid="{00000000-0005-0000-0000-0000D3400000}"/>
    <cellStyle name="Normal 21 3 2 2 2 4 2 5" xfId="16602" xr:uid="{00000000-0005-0000-0000-0000D4400000}"/>
    <cellStyle name="Normal 21 3 2 2 2 4 2 6" xfId="16603" xr:uid="{00000000-0005-0000-0000-0000D5400000}"/>
    <cellStyle name="Normal 21 3 2 2 2 4 3" xfId="16604" xr:uid="{00000000-0005-0000-0000-0000D6400000}"/>
    <cellStyle name="Normal 21 3 2 2 2 4 3 2" xfId="16605" xr:uid="{00000000-0005-0000-0000-0000D7400000}"/>
    <cellStyle name="Normal 21 3 2 2 2 4 3 3" xfId="16606" xr:uid="{00000000-0005-0000-0000-0000D8400000}"/>
    <cellStyle name="Normal 21 3 2 2 2 4 3 4" xfId="16607" xr:uid="{00000000-0005-0000-0000-0000D9400000}"/>
    <cellStyle name="Normal 21 3 2 2 2 4 3 5" xfId="16608" xr:uid="{00000000-0005-0000-0000-0000DA400000}"/>
    <cellStyle name="Normal 21 3 2 2 2 4 3 6" xfId="16609" xr:uid="{00000000-0005-0000-0000-0000DB400000}"/>
    <cellStyle name="Normal 21 3 2 2 2 4 4" xfId="16610" xr:uid="{00000000-0005-0000-0000-0000DC400000}"/>
    <cellStyle name="Normal 21 3 2 2 2 4 5" xfId="16611" xr:uid="{00000000-0005-0000-0000-0000DD400000}"/>
    <cellStyle name="Normal 21 3 2 2 2 4 6" xfId="16612" xr:uid="{00000000-0005-0000-0000-0000DE400000}"/>
    <cellStyle name="Normal 21 3 2 2 2 4 7" xfId="16613" xr:uid="{00000000-0005-0000-0000-0000DF400000}"/>
    <cellStyle name="Normal 21 3 2 2 2 4 8" xfId="16614" xr:uid="{00000000-0005-0000-0000-0000E0400000}"/>
    <cellStyle name="Normal 21 3 2 2 2 5" xfId="16615" xr:uid="{00000000-0005-0000-0000-0000E1400000}"/>
    <cellStyle name="Normal 21 3 2 2 2 5 2" xfId="16616" xr:uid="{00000000-0005-0000-0000-0000E2400000}"/>
    <cellStyle name="Normal 21 3 2 2 2 5 3" xfId="16617" xr:uid="{00000000-0005-0000-0000-0000E3400000}"/>
    <cellStyle name="Normal 21 3 2 2 2 5 4" xfId="16618" xr:uid="{00000000-0005-0000-0000-0000E4400000}"/>
    <cellStyle name="Normal 21 3 2 2 2 5 5" xfId="16619" xr:uid="{00000000-0005-0000-0000-0000E5400000}"/>
    <cellStyle name="Normal 21 3 2 2 2 5 6" xfId="16620" xr:uid="{00000000-0005-0000-0000-0000E6400000}"/>
    <cellStyle name="Normal 21 3 2 2 2 6" xfId="16621" xr:uid="{00000000-0005-0000-0000-0000E7400000}"/>
    <cellStyle name="Normal 21 3 2 2 2 6 2" xfId="16622" xr:uid="{00000000-0005-0000-0000-0000E8400000}"/>
    <cellStyle name="Normal 21 3 2 2 2 6 3" xfId="16623" xr:uid="{00000000-0005-0000-0000-0000E9400000}"/>
    <cellStyle name="Normal 21 3 2 2 2 6 4" xfId="16624" xr:uid="{00000000-0005-0000-0000-0000EA400000}"/>
    <cellStyle name="Normal 21 3 2 2 2 6 5" xfId="16625" xr:uid="{00000000-0005-0000-0000-0000EB400000}"/>
    <cellStyle name="Normal 21 3 2 2 2 6 6" xfId="16626" xr:uid="{00000000-0005-0000-0000-0000EC400000}"/>
    <cellStyle name="Normal 21 3 2 2 2 7" xfId="16627" xr:uid="{00000000-0005-0000-0000-0000ED400000}"/>
    <cellStyle name="Normal 21 3 2 2 2 8" xfId="16628" xr:uid="{00000000-0005-0000-0000-0000EE400000}"/>
    <cellStyle name="Normal 21 3 2 2 2 9" xfId="16629" xr:uid="{00000000-0005-0000-0000-0000EF400000}"/>
    <cellStyle name="Normal 21 3 2 2 3" xfId="16630" xr:uid="{00000000-0005-0000-0000-0000F0400000}"/>
    <cellStyle name="Normal 21 3 2 2 3 2" xfId="16631" xr:uid="{00000000-0005-0000-0000-0000F1400000}"/>
    <cellStyle name="Normal 21 3 2 2 3 2 2" xfId="16632" xr:uid="{00000000-0005-0000-0000-0000F2400000}"/>
    <cellStyle name="Normal 21 3 2 2 3 2 3" xfId="16633" xr:uid="{00000000-0005-0000-0000-0000F3400000}"/>
    <cellStyle name="Normal 21 3 2 2 3 2 4" xfId="16634" xr:uid="{00000000-0005-0000-0000-0000F4400000}"/>
    <cellStyle name="Normal 21 3 2 2 3 2 5" xfId="16635" xr:uid="{00000000-0005-0000-0000-0000F5400000}"/>
    <cellStyle name="Normal 21 3 2 2 3 2 6" xfId="16636" xr:uid="{00000000-0005-0000-0000-0000F6400000}"/>
    <cellStyle name="Normal 21 3 2 2 3 3" xfId="16637" xr:uid="{00000000-0005-0000-0000-0000F7400000}"/>
    <cellStyle name="Normal 21 3 2 2 3 3 2" xfId="16638" xr:uid="{00000000-0005-0000-0000-0000F8400000}"/>
    <cellStyle name="Normal 21 3 2 2 3 3 3" xfId="16639" xr:uid="{00000000-0005-0000-0000-0000F9400000}"/>
    <cellStyle name="Normal 21 3 2 2 3 3 4" xfId="16640" xr:uid="{00000000-0005-0000-0000-0000FA400000}"/>
    <cellStyle name="Normal 21 3 2 2 3 3 5" xfId="16641" xr:uid="{00000000-0005-0000-0000-0000FB400000}"/>
    <cellStyle name="Normal 21 3 2 2 3 3 6" xfId="16642" xr:uid="{00000000-0005-0000-0000-0000FC400000}"/>
    <cellStyle name="Normal 21 3 2 2 3 4" xfId="16643" xr:uid="{00000000-0005-0000-0000-0000FD400000}"/>
    <cellStyle name="Normal 21 3 2 2 3 5" xfId="16644" xr:uid="{00000000-0005-0000-0000-0000FE400000}"/>
    <cellStyle name="Normal 21 3 2 2 3 6" xfId="16645" xr:uid="{00000000-0005-0000-0000-0000FF400000}"/>
    <cellStyle name="Normal 21 3 2 2 3 7" xfId="16646" xr:uid="{00000000-0005-0000-0000-000000410000}"/>
    <cellStyle name="Normal 21 3 2 2 3 8" xfId="16647" xr:uid="{00000000-0005-0000-0000-000001410000}"/>
    <cellStyle name="Normal 21 3 2 2 4" xfId="16648" xr:uid="{00000000-0005-0000-0000-000002410000}"/>
    <cellStyle name="Normal 21 3 2 2 4 2" xfId="16649" xr:uid="{00000000-0005-0000-0000-000003410000}"/>
    <cellStyle name="Normal 21 3 2 2 4 2 2" xfId="16650" xr:uid="{00000000-0005-0000-0000-000004410000}"/>
    <cellStyle name="Normal 21 3 2 2 4 2 3" xfId="16651" xr:uid="{00000000-0005-0000-0000-000005410000}"/>
    <cellStyle name="Normal 21 3 2 2 4 2 4" xfId="16652" xr:uid="{00000000-0005-0000-0000-000006410000}"/>
    <cellStyle name="Normal 21 3 2 2 4 2 5" xfId="16653" xr:uid="{00000000-0005-0000-0000-000007410000}"/>
    <cellStyle name="Normal 21 3 2 2 4 2 6" xfId="16654" xr:uid="{00000000-0005-0000-0000-000008410000}"/>
    <cellStyle name="Normal 21 3 2 2 4 3" xfId="16655" xr:uid="{00000000-0005-0000-0000-000009410000}"/>
    <cellStyle name="Normal 21 3 2 2 4 3 2" xfId="16656" xr:uid="{00000000-0005-0000-0000-00000A410000}"/>
    <cellStyle name="Normal 21 3 2 2 4 3 3" xfId="16657" xr:uid="{00000000-0005-0000-0000-00000B410000}"/>
    <cellStyle name="Normal 21 3 2 2 4 3 4" xfId="16658" xr:uid="{00000000-0005-0000-0000-00000C410000}"/>
    <cellStyle name="Normal 21 3 2 2 4 3 5" xfId="16659" xr:uid="{00000000-0005-0000-0000-00000D410000}"/>
    <cellStyle name="Normal 21 3 2 2 4 3 6" xfId="16660" xr:uid="{00000000-0005-0000-0000-00000E410000}"/>
    <cellStyle name="Normal 21 3 2 2 4 4" xfId="16661" xr:uid="{00000000-0005-0000-0000-00000F410000}"/>
    <cellStyle name="Normal 21 3 2 2 4 5" xfId="16662" xr:uid="{00000000-0005-0000-0000-000010410000}"/>
    <cellStyle name="Normal 21 3 2 2 4 6" xfId="16663" xr:uid="{00000000-0005-0000-0000-000011410000}"/>
    <cellStyle name="Normal 21 3 2 2 4 7" xfId="16664" xr:uid="{00000000-0005-0000-0000-000012410000}"/>
    <cellStyle name="Normal 21 3 2 2 4 8" xfId="16665" xr:uid="{00000000-0005-0000-0000-000013410000}"/>
    <cellStyle name="Normal 21 3 2 2 5" xfId="16666" xr:uid="{00000000-0005-0000-0000-000014410000}"/>
    <cellStyle name="Normal 21 3 2 2 5 2" xfId="16667" xr:uid="{00000000-0005-0000-0000-000015410000}"/>
    <cellStyle name="Normal 21 3 2 2 5 2 2" xfId="16668" xr:uid="{00000000-0005-0000-0000-000016410000}"/>
    <cellStyle name="Normal 21 3 2 2 5 2 3" xfId="16669" xr:uid="{00000000-0005-0000-0000-000017410000}"/>
    <cellStyle name="Normal 21 3 2 2 5 2 4" xfId="16670" xr:uid="{00000000-0005-0000-0000-000018410000}"/>
    <cellStyle name="Normal 21 3 2 2 5 2 5" xfId="16671" xr:uid="{00000000-0005-0000-0000-000019410000}"/>
    <cellStyle name="Normal 21 3 2 2 5 2 6" xfId="16672" xr:uid="{00000000-0005-0000-0000-00001A410000}"/>
    <cellStyle name="Normal 21 3 2 2 5 3" xfId="16673" xr:uid="{00000000-0005-0000-0000-00001B410000}"/>
    <cellStyle name="Normal 21 3 2 2 5 3 2" xfId="16674" xr:uid="{00000000-0005-0000-0000-00001C410000}"/>
    <cellStyle name="Normal 21 3 2 2 5 3 3" xfId="16675" xr:uid="{00000000-0005-0000-0000-00001D410000}"/>
    <cellStyle name="Normal 21 3 2 2 5 3 4" xfId="16676" xr:uid="{00000000-0005-0000-0000-00001E410000}"/>
    <cellStyle name="Normal 21 3 2 2 5 3 5" xfId="16677" xr:uid="{00000000-0005-0000-0000-00001F410000}"/>
    <cellStyle name="Normal 21 3 2 2 5 3 6" xfId="16678" xr:uid="{00000000-0005-0000-0000-000020410000}"/>
    <cellStyle name="Normal 21 3 2 2 5 4" xfId="16679" xr:uid="{00000000-0005-0000-0000-000021410000}"/>
    <cellStyle name="Normal 21 3 2 2 5 5" xfId="16680" xr:uid="{00000000-0005-0000-0000-000022410000}"/>
    <cellStyle name="Normal 21 3 2 2 5 6" xfId="16681" xr:uid="{00000000-0005-0000-0000-000023410000}"/>
    <cellStyle name="Normal 21 3 2 2 5 7" xfId="16682" xr:uid="{00000000-0005-0000-0000-000024410000}"/>
    <cellStyle name="Normal 21 3 2 2 5 8" xfId="16683" xr:uid="{00000000-0005-0000-0000-000025410000}"/>
    <cellStyle name="Normal 21 3 2 2 6" xfId="16684" xr:uid="{00000000-0005-0000-0000-000026410000}"/>
    <cellStyle name="Normal 21 3 2 2 6 2" xfId="16685" xr:uid="{00000000-0005-0000-0000-000027410000}"/>
    <cellStyle name="Normal 21 3 2 2 6 3" xfId="16686" xr:uid="{00000000-0005-0000-0000-000028410000}"/>
    <cellStyle name="Normal 21 3 2 2 6 4" xfId="16687" xr:uid="{00000000-0005-0000-0000-000029410000}"/>
    <cellStyle name="Normal 21 3 2 2 6 5" xfId="16688" xr:uid="{00000000-0005-0000-0000-00002A410000}"/>
    <cellStyle name="Normal 21 3 2 2 6 6" xfId="16689" xr:uid="{00000000-0005-0000-0000-00002B410000}"/>
    <cellStyle name="Normal 21 3 2 2 7" xfId="16690" xr:uid="{00000000-0005-0000-0000-00002C410000}"/>
    <cellStyle name="Normal 21 3 2 2 7 2" xfId="16691" xr:uid="{00000000-0005-0000-0000-00002D410000}"/>
    <cellStyle name="Normal 21 3 2 2 7 3" xfId="16692" xr:uid="{00000000-0005-0000-0000-00002E410000}"/>
    <cellStyle name="Normal 21 3 2 2 7 4" xfId="16693" xr:uid="{00000000-0005-0000-0000-00002F410000}"/>
    <cellStyle name="Normal 21 3 2 2 7 5" xfId="16694" xr:uid="{00000000-0005-0000-0000-000030410000}"/>
    <cellStyle name="Normal 21 3 2 2 7 6" xfId="16695" xr:uid="{00000000-0005-0000-0000-000031410000}"/>
    <cellStyle name="Normal 21 3 2 2 8" xfId="16696" xr:uid="{00000000-0005-0000-0000-000032410000}"/>
    <cellStyle name="Normal 21 3 2 2 9" xfId="16697" xr:uid="{00000000-0005-0000-0000-000033410000}"/>
    <cellStyle name="Normal 21 3 2 3" xfId="16698" xr:uid="{00000000-0005-0000-0000-000034410000}"/>
    <cellStyle name="Normal 21 3 2 3 10" xfId="16699" xr:uid="{00000000-0005-0000-0000-000035410000}"/>
    <cellStyle name="Normal 21 3 2 3 11" xfId="16700" xr:uid="{00000000-0005-0000-0000-000036410000}"/>
    <cellStyle name="Normal 21 3 2 3 12" xfId="16701" xr:uid="{00000000-0005-0000-0000-000037410000}"/>
    <cellStyle name="Normal 21 3 2 3 2" xfId="16702" xr:uid="{00000000-0005-0000-0000-000038410000}"/>
    <cellStyle name="Normal 21 3 2 3 2 10" xfId="16703" xr:uid="{00000000-0005-0000-0000-000039410000}"/>
    <cellStyle name="Normal 21 3 2 3 2 11" xfId="16704" xr:uid="{00000000-0005-0000-0000-00003A410000}"/>
    <cellStyle name="Normal 21 3 2 3 2 2" xfId="16705" xr:uid="{00000000-0005-0000-0000-00003B410000}"/>
    <cellStyle name="Normal 21 3 2 3 2 2 2" xfId="16706" xr:uid="{00000000-0005-0000-0000-00003C410000}"/>
    <cellStyle name="Normal 21 3 2 3 2 2 2 2" xfId="16707" xr:uid="{00000000-0005-0000-0000-00003D410000}"/>
    <cellStyle name="Normal 21 3 2 3 2 2 2 3" xfId="16708" xr:uid="{00000000-0005-0000-0000-00003E410000}"/>
    <cellStyle name="Normal 21 3 2 3 2 2 2 4" xfId="16709" xr:uid="{00000000-0005-0000-0000-00003F410000}"/>
    <cellStyle name="Normal 21 3 2 3 2 2 2 5" xfId="16710" xr:uid="{00000000-0005-0000-0000-000040410000}"/>
    <cellStyle name="Normal 21 3 2 3 2 2 2 6" xfId="16711" xr:uid="{00000000-0005-0000-0000-000041410000}"/>
    <cellStyle name="Normal 21 3 2 3 2 2 3" xfId="16712" xr:uid="{00000000-0005-0000-0000-000042410000}"/>
    <cellStyle name="Normal 21 3 2 3 2 2 3 2" xfId="16713" xr:uid="{00000000-0005-0000-0000-000043410000}"/>
    <cellStyle name="Normal 21 3 2 3 2 2 3 3" xfId="16714" xr:uid="{00000000-0005-0000-0000-000044410000}"/>
    <cellStyle name="Normal 21 3 2 3 2 2 3 4" xfId="16715" xr:uid="{00000000-0005-0000-0000-000045410000}"/>
    <cellStyle name="Normal 21 3 2 3 2 2 3 5" xfId="16716" xr:uid="{00000000-0005-0000-0000-000046410000}"/>
    <cellStyle name="Normal 21 3 2 3 2 2 3 6" xfId="16717" xr:uid="{00000000-0005-0000-0000-000047410000}"/>
    <cellStyle name="Normal 21 3 2 3 2 2 4" xfId="16718" xr:uid="{00000000-0005-0000-0000-000048410000}"/>
    <cellStyle name="Normal 21 3 2 3 2 2 5" xfId="16719" xr:uid="{00000000-0005-0000-0000-000049410000}"/>
    <cellStyle name="Normal 21 3 2 3 2 2 6" xfId="16720" xr:uid="{00000000-0005-0000-0000-00004A410000}"/>
    <cellStyle name="Normal 21 3 2 3 2 2 7" xfId="16721" xr:uid="{00000000-0005-0000-0000-00004B410000}"/>
    <cellStyle name="Normal 21 3 2 3 2 2 8" xfId="16722" xr:uid="{00000000-0005-0000-0000-00004C410000}"/>
    <cellStyle name="Normal 21 3 2 3 2 3" xfId="16723" xr:uid="{00000000-0005-0000-0000-00004D410000}"/>
    <cellStyle name="Normal 21 3 2 3 2 3 2" xfId="16724" xr:uid="{00000000-0005-0000-0000-00004E410000}"/>
    <cellStyle name="Normal 21 3 2 3 2 3 2 2" xfId="16725" xr:uid="{00000000-0005-0000-0000-00004F410000}"/>
    <cellStyle name="Normal 21 3 2 3 2 3 2 3" xfId="16726" xr:uid="{00000000-0005-0000-0000-000050410000}"/>
    <cellStyle name="Normal 21 3 2 3 2 3 2 4" xfId="16727" xr:uid="{00000000-0005-0000-0000-000051410000}"/>
    <cellStyle name="Normal 21 3 2 3 2 3 2 5" xfId="16728" xr:uid="{00000000-0005-0000-0000-000052410000}"/>
    <cellStyle name="Normal 21 3 2 3 2 3 2 6" xfId="16729" xr:uid="{00000000-0005-0000-0000-000053410000}"/>
    <cellStyle name="Normal 21 3 2 3 2 3 3" xfId="16730" xr:uid="{00000000-0005-0000-0000-000054410000}"/>
    <cellStyle name="Normal 21 3 2 3 2 3 3 2" xfId="16731" xr:uid="{00000000-0005-0000-0000-000055410000}"/>
    <cellStyle name="Normal 21 3 2 3 2 3 3 3" xfId="16732" xr:uid="{00000000-0005-0000-0000-000056410000}"/>
    <cellStyle name="Normal 21 3 2 3 2 3 3 4" xfId="16733" xr:uid="{00000000-0005-0000-0000-000057410000}"/>
    <cellStyle name="Normal 21 3 2 3 2 3 3 5" xfId="16734" xr:uid="{00000000-0005-0000-0000-000058410000}"/>
    <cellStyle name="Normal 21 3 2 3 2 3 3 6" xfId="16735" xr:uid="{00000000-0005-0000-0000-000059410000}"/>
    <cellStyle name="Normal 21 3 2 3 2 3 4" xfId="16736" xr:uid="{00000000-0005-0000-0000-00005A410000}"/>
    <cellStyle name="Normal 21 3 2 3 2 3 5" xfId="16737" xr:uid="{00000000-0005-0000-0000-00005B410000}"/>
    <cellStyle name="Normal 21 3 2 3 2 3 6" xfId="16738" xr:uid="{00000000-0005-0000-0000-00005C410000}"/>
    <cellStyle name="Normal 21 3 2 3 2 3 7" xfId="16739" xr:uid="{00000000-0005-0000-0000-00005D410000}"/>
    <cellStyle name="Normal 21 3 2 3 2 3 8" xfId="16740" xr:uid="{00000000-0005-0000-0000-00005E410000}"/>
    <cellStyle name="Normal 21 3 2 3 2 4" xfId="16741" xr:uid="{00000000-0005-0000-0000-00005F410000}"/>
    <cellStyle name="Normal 21 3 2 3 2 4 2" xfId="16742" xr:uid="{00000000-0005-0000-0000-000060410000}"/>
    <cellStyle name="Normal 21 3 2 3 2 4 2 2" xfId="16743" xr:uid="{00000000-0005-0000-0000-000061410000}"/>
    <cellStyle name="Normal 21 3 2 3 2 4 2 3" xfId="16744" xr:uid="{00000000-0005-0000-0000-000062410000}"/>
    <cellStyle name="Normal 21 3 2 3 2 4 2 4" xfId="16745" xr:uid="{00000000-0005-0000-0000-000063410000}"/>
    <cellStyle name="Normal 21 3 2 3 2 4 2 5" xfId="16746" xr:uid="{00000000-0005-0000-0000-000064410000}"/>
    <cellStyle name="Normal 21 3 2 3 2 4 2 6" xfId="16747" xr:uid="{00000000-0005-0000-0000-000065410000}"/>
    <cellStyle name="Normal 21 3 2 3 2 4 3" xfId="16748" xr:uid="{00000000-0005-0000-0000-000066410000}"/>
    <cellStyle name="Normal 21 3 2 3 2 4 3 2" xfId="16749" xr:uid="{00000000-0005-0000-0000-000067410000}"/>
    <cellStyle name="Normal 21 3 2 3 2 4 3 3" xfId="16750" xr:uid="{00000000-0005-0000-0000-000068410000}"/>
    <cellStyle name="Normal 21 3 2 3 2 4 3 4" xfId="16751" xr:uid="{00000000-0005-0000-0000-000069410000}"/>
    <cellStyle name="Normal 21 3 2 3 2 4 3 5" xfId="16752" xr:uid="{00000000-0005-0000-0000-00006A410000}"/>
    <cellStyle name="Normal 21 3 2 3 2 4 3 6" xfId="16753" xr:uid="{00000000-0005-0000-0000-00006B410000}"/>
    <cellStyle name="Normal 21 3 2 3 2 4 4" xfId="16754" xr:uid="{00000000-0005-0000-0000-00006C410000}"/>
    <cellStyle name="Normal 21 3 2 3 2 4 5" xfId="16755" xr:uid="{00000000-0005-0000-0000-00006D410000}"/>
    <cellStyle name="Normal 21 3 2 3 2 4 6" xfId="16756" xr:uid="{00000000-0005-0000-0000-00006E410000}"/>
    <cellStyle name="Normal 21 3 2 3 2 4 7" xfId="16757" xr:uid="{00000000-0005-0000-0000-00006F410000}"/>
    <cellStyle name="Normal 21 3 2 3 2 4 8" xfId="16758" xr:uid="{00000000-0005-0000-0000-000070410000}"/>
    <cellStyle name="Normal 21 3 2 3 2 5" xfId="16759" xr:uid="{00000000-0005-0000-0000-000071410000}"/>
    <cellStyle name="Normal 21 3 2 3 2 5 2" xfId="16760" xr:uid="{00000000-0005-0000-0000-000072410000}"/>
    <cellStyle name="Normal 21 3 2 3 2 5 3" xfId="16761" xr:uid="{00000000-0005-0000-0000-000073410000}"/>
    <cellStyle name="Normal 21 3 2 3 2 5 4" xfId="16762" xr:uid="{00000000-0005-0000-0000-000074410000}"/>
    <cellStyle name="Normal 21 3 2 3 2 5 5" xfId="16763" xr:uid="{00000000-0005-0000-0000-000075410000}"/>
    <cellStyle name="Normal 21 3 2 3 2 5 6" xfId="16764" xr:uid="{00000000-0005-0000-0000-000076410000}"/>
    <cellStyle name="Normal 21 3 2 3 2 6" xfId="16765" xr:uid="{00000000-0005-0000-0000-000077410000}"/>
    <cellStyle name="Normal 21 3 2 3 2 6 2" xfId="16766" xr:uid="{00000000-0005-0000-0000-000078410000}"/>
    <cellStyle name="Normal 21 3 2 3 2 6 3" xfId="16767" xr:uid="{00000000-0005-0000-0000-000079410000}"/>
    <cellStyle name="Normal 21 3 2 3 2 6 4" xfId="16768" xr:uid="{00000000-0005-0000-0000-00007A410000}"/>
    <cellStyle name="Normal 21 3 2 3 2 6 5" xfId="16769" xr:uid="{00000000-0005-0000-0000-00007B410000}"/>
    <cellStyle name="Normal 21 3 2 3 2 6 6" xfId="16770" xr:uid="{00000000-0005-0000-0000-00007C410000}"/>
    <cellStyle name="Normal 21 3 2 3 2 7" xfId="16771" xr:uid="{00000000-0005-0000-0000-00007D410000}"/>
    <cellStyle name="Normal 21 3 2 3 2 8" xfId="16772" xr:uid="{00000000-0005-0000-0000-00007E410000}"/>
    <cellStyle name="Normal 21 3 2 3 2 9" xfId="16773" xr:uid="{00000000-0005-0000-0000-00007F410000}"/>
    <cellStyle name="Normal 21 3 2 3 3" xfId="16774" xr:uid="{00000000-0005-0000-0000-000080410000}"/>
    <cellStyle name="Normal 21 3 2 3 3 2" xfId="16775" xr:uid="{00000000-0005-0000-0000-000081410000}"/>
    <cellStyle name="Normal 21 3 2 3 3 2 2" xfId="16776" xr:uid="{00000000-0005-0000-0000-000082410000}"/>
    <cellStyle name="Normal 21 3 2 3 3 2 3" xfId="16777" xr:uid="{00000000-0005-0000-0000-000083410000}"/>
    <cellStyle name="Normal 21 3 2 3 3 2 4" xfId="16778" xr:uid="{00000000-0005-0000-0000-000084410000}"/>
    <cellStyle name="Normal 21 3 2 3 3 2 5" xfId="16779" xr:uid="{00000000-0005-0000-0000-000085410000}"/>
    <cellStyle name="Normal 21 3 2 3 3 2 6" xfId="16780" xr:uid="{00000000-0005-0000-0000-000086410000}"/>
    <cellStyle name="Normal 21 3 2 3 3 3" xfId="16781" xr:uid="{00000000-0005-0000-0000-000087410000}"/>
    <cellStyle name="Normal 21 3 2 3 3 3 2" xfId="16782" xr:uid="{00000000-0005-0000-0000-000088410000}"/>
    <cellStyle name="Normal 21 3 2 3 3 3 3" xfId="16783" xr:uid="{00000000-0005-0000-0000-000089410000}"/>
    <cellStyle name="Normal 21 3 2 3 3 3 4" xfId="16784" xr:uid="{00000000-0005-0000-0000-00008A410000}"/>
    <cellStyle name="Normal 21 3 2 3 3 3 5" xfId="16785" xr:uid="{00000000-0005-0000-0000-00008B410000}"/>
    <cellStyle name="Normal 21 3 2 3 3 3 6" xfId="16786" xr:uid="{00000000-0005-0000-0000-00008C410000}"/>
    <cellStyle name="Normal 21 3 2 3 3 4" xfId="16787" xr:uid="{00000000-0005-0000-0000-00008D410000}"/>
    <cellStyle name="Normal 21 3 2 3 3 5" xfId="16788" xr:uid="{00000000-0005-0000-0000-00008E410000}"/>
    <cellStyle name="Normal 21 3 2 3 3 6" xfId="16789" xr:uid="{00000000-0005-0000-0000-00008F410000}"/>
    <cellStyle name="Normal 21 3 2 3 3 7" xfId="16790" xr:uid="{00000000-0005-0000-0000-000090410000}"/>
    <cellStyle name="Normal 21 3 2 3 3 8" xfId="16791" xr:uid="{00000000-0005-0000-0000-000091410000}"/>
    <cellStyle name="Normal 21 3 2 3 4" xfId="16792" xr:uid="{00000000-0005-0000-0000-000092410000}"/>
    <cellStyle name="Normal 21 3 2 3 4 2" xfId="16793" xr:uid="{00000000-0005-0000-0000-000093410000}"/>
    <cellStyle name="Normal 21 3 2 3 4 2 2" xfId="16794" xr:uid="{00000000-0005-0000-0000-000094410000}"/>
    <cellStyle name="Normal 21 3 2 3 4 2 3" xfId="16795" xr:uid="{00000000-0005-0000-0000-000095410000}"/>
    <cellStyle name="Normal 21 3 2 3 4 2 4" xfId="16796" xr:uid="{00000000-0005-0000-0000-000096410000}"/>
    <cellStyle name="Normal 21 3 2 3 4 2 5" xfId="16797" xr:uid="{00000000-0005-0000-0000-000097410000}"/>
    <cellStyle name="Normal 21 3 2 3 4 2 6" xfId="16798" xr:uid="{00000000-0005-0000-0000-000098410000}"/>
    <cellStyle name="Normal 21 3 2 3 4 3" xfId="16799" xr:uid="{00000000-0005-0000-0000-000099410000}"/>
    <cellStyle name="Normal 21 3 2 3 4 3 2" xfId="16800" xr:uid="{00000000-0005-0000-0000-00009A410000}"/>
    <cellStyle name="Normal 21 3 2 3 4 3 3" xfId="16801" xr:uid="{00000000-0005-0000-0000-00009B410000}"/>
    <cellStyle name="Normal 21 3 2 3 4 3 4" xfId="16802" xr:uid="{00000000-0005-0000-0000-00009C410000}"/>
    <cellStyle name="Normal 21 3 2 3 4 3 5" xfId="16803" xr:uid="{00000000-0005-0000-0000-00009D410000}"/>
    <cellStyle name="Normal 21 3 2 3 4 3 6" xfId="16804" xr:uid="{00000000-0005-0000-0000-00009E410000}"/>
    <cellStyle name="Normal 21 3 2 3 4 4" xfId="16805" xr:uid="{00000000-0005-0000-0000-00009F410000}"/>
    <cellStyle name="Normal 21 3 2 3 4 5" xfId="16806" xr:uid="{00000000-0005-0000-0000-0000A0410000}"/>
    <cellStyle name="Normal 21 3 2 3 4 6" xfId="16807" xr:uid="{00000000-0005-0000-0000-0000A1410000}"/>
    <cellStyle name="Normal 21 3 2 3 4 7" xfId="16808" xr:uid="{00000000-0005-0000-0000-0000A2410000}"/>
    <cellStyle name="Normal 21 3 2 3 4 8" xfId="16809" xr:uid="{00000000-0005-0000-0000-0000A3410000}"/>
    <cellStyle name="Normal 21 3 2 3 5" xfId="16810" xr:uid="{00000000-0005-0000-0000-0000A4410000}"/>
    <cellStyle name="Normal 21 3 2 3 5 2" xfId="16811" xr:uid="{00000000-0005-0000-0000-0000A5410000}"/>
    <cellStyle name="Normal 21 3 2 3 5 2 2" xfId="16812" xr:uid="{00000000-0005-0000-0000-0000A6410000}"/>
    <cellStyle name="Normal 21 3 2 3 5 2 3" xfId="16813" xr:uid="{00000000-0005-0000-0000-0000A7410000}"/>
    <cellStyle name="Normal 21 3 2 3 5 2 4" xfId="16814" xr:uid="{00000000-0005-0000-0000-0000A8410000}"/>
    <cellStyle name="Normal 21 3 2 3 5 2 5" xfId="16815" xr:uid="{00000000-0005-0000-0000-0000A9410000}"/>
    <cellStyle name="Normal 21 3 2 3 5 2 6" xfId="16816" xr:uid="{00000000-0005-0000-0000-0000AA410000}"/>
    <cellStyle name="Normal 21 3 2 3 5 3" xfId="16817" xr:uid="{00000000-0005-0000-0000-0000AB410000}"/>
    <cellStyle name="Normal 21 3 2 3 5 3 2" xfId="16818" xr:uid="{00000000-0005-0000-0000-0000AC410000}"/>
    <cellStyle name="Normal 21 3 2 3 5 3 3" xfId="16819" xr:uid="{00000000-0005-0000-0000-0000AD410000}"/>
    <cellStyle name="Normal 21 3 2 3 5 3 4" xfId="16820" xr:uid="{00000000-0005-0000-0000-0000AE410000}"/>
    <cellStyle name="Normal 21 3 2 3 5 3 5" xfId="16821" xr:uid="{00000000-0005-0000-0000-0000AF410000}"/>
    <cellStyle name="Normal 21 3 2 3 5 3 6" xfId="16822" xr:uid="{00000000-0005-0000-0000-0000B0410000}"/>
    <cellStyle name="Normal 21 3 2 3 5 4" xfId="16823" xr:uid="{00000000-0005-0000-0000-0000B1410000}"/>
    <cellStyle name="Normal 21 3 2 3 5 5" xfId="16824" xr:uid="{00000000-0005-0000-0000-0000B2410000}"/>
    <cellStyle name="Normal 21 3 2 3 5 6" xfId="16825" xr:uid="{00000000-0005-0000-0000-0000B3410000}"/>
    <cellStyle name="Normal 21 3 2 3 5 7" xfId="16826" xr:uid="{00000000-0005-0000-0000-0000B4410000}"/>
    <cellStyle name="Normal 21 3 2 3 5 8" xfId="16827" xr:uid="{00000000-0005-0000-0000-0000B5410000}"/>
    <cellStyle name="Normal 21 3 2 3 6" xfId="16828" xr:uid="{00000000-0005-0000-0000-0000B6410000}"/>
    <cellStyle name="Normal 21 3 2 3 6 2" xfId="16829" xr:uid="{00000000-0005-0000-0000-0000B7410000}"/>
    <cellStyle name="Normal 21 3 2 3 6 3" xfId="16830" xr:uid="{00000000-0005-0000-0000-0000B8410000}"/>
    <cellStyle name="Normal 21 3 2 3 6 4" xfId="16831" xr:uid="{00000000-0005-0000-0000-0000B9410000}"/>
    <cellStyle name="Normal 21 3 2 3 6 5" xfId="16832" xr:uid="{00000000-0005-0000-0000-0000BA410000}"/>
    <cellStyle name="Normal 21 3 2 3 6 6" xfId="16833" xr:uid="{00000000-0005-0000-0000-0000BB410000}"/>
    <cellStyle name="Normal 21 3 2 3 7" xfId="16834" xr:uid="{00000000-0005-0000-0000-0000BC410000}"/>
    <cellStyle name="Normal 21 3 2 3 7 2" xfId="16835" xr:uid="{00000000-0005-0000-0000-0000BD410000}"/>
    <cellStyle name="Normal 21 3 2 3 7 3" xfId="16836" xr:uid="{00000000-0005-0000-0000-0000BE410000}"/>
    <cellStyle name="Normal 21 3 2 3 7 4" xfId="16837" xr:uid="{00000000-0005-0000-0000-0000BF410000}"/>
    <cellStyle name="Normal 21 3 2 3 7 5" xfId="16838" xr:uid="{00000000-0005-0000-0000-0000C0410000}"/>
    <cellStyle name="Normal 21 3 2 3 7 6" xfId="16839" xr:uid="{00000000-0005-0000-0000-0000C1410000}"/>
    <cellStyle name="Normal 21 3 2 3 8" xfId="16840" xr:uid="{00000000-0005-0000-0000-0000C2410000}"/>
    <cellStyle name="Normal 21 3 2 3 9" xfId="16841" xr:uid="{00000000-0005-0000-0000-0000C3410000}"/>
    <cellStyle name="Normal 21 3 2 4" xfId="16842" xr:uid="{00000000-0005-0000-0000-0000C4410000}"/>
    <cellStyle name="Normal 21 3 2 4 10" xfId="16843" xr:uid="{00000000-0005-0000-0000-0000C5410000}"/>
    <cellStyle name="Normal 21 3 2 4 11" xfId="16844" xr:uid="{00000000-0005-0000-0000-0000C6410000}"/>
    <cellStyle name="Normal 21 3 2 4 2" xfId="16845" xr:uid="{00000000-0005-0000-0000-0000C7410000}"/>
    <cellStyle name="Normal 21 3 2 4 2 2" xfId="16846" xr:uid="{00000000-0005-0000-0000-0000C8410000}"/>
    <cellStyle name="Normal 21 3 2 4 2 2 2" xfId="16847" xr:uid="{00000000-0005-0000-0000-0000C9410000}"/>
    <cellStyle name="Normal 21 3 2 4 2 2 3" xfId="16848" xr:uid="{00000000-0005-0000-0000-0000CA410000}"/>
    <cellStyle name="Normal 21 3 2 4 2 2 4" xfId="16849" xr:uid="{00000000-0005-0000-0000-0000CB410000}"/>
    <cellStyle name="Normal 21 3 2 4 2 2 5" xfId="16850" xr:uid="{00000000-0005-0000-0000-0000CC410000}"/>
    <cellStyle name="Normal 21 3 2 4 2 2 6" xfId="16851" xr:uid="{00000000-0005-0000-0000-0000CD410000}"/>
    <cellStyle name="Normal 21 3 2 4 2 3" xfId="16852" xr:uid="{00000000-0005-0000-0000-0000CE410000}"/>
    <cellStyle name="Normal 21 3 2 4 2 3 2" xfId="16853" xr:uid="{00000000-0005-0000-0000-0000CF410000}"/>
    <cellStyle name="Normal 21 3 2 4 2 3 3" xfId="16854" xr:uid="{00000000-0005-0000-0000-0000D0410000}"/>
    <cellStyle name="Normal 21 3 2 4 2 3 4" xfId="16855" xr:uid="{00000000-0005-0000-0000-0000D1410000}"/>
    <cellStyle name="Normal 21 3 2 4 2 3 5" xfId="16856" xr:uid="{00000000-0005-0000-0000-0000D2410000}"/>
    <cellStyle name="Normal 21 3 2 4 2 3 6" xfId="16857" xr:uid="{00000000-0005-0000-0000-0000D3410000}"/>
    <cellStyle name="Normal 21 3 2 4 2 4" xfId="16858" xr:uid="{00000000-0005-0000-0000-0000D4410000}"/>
    <cellStyle name="Normal 21 3 2 4 2 5" xfId="16859" xr:uid="{00000000-0005-0000-0000-0000D5410000}"/>
    <cellStyle name="Normal 21 3 2 4 2 6" xfId="16860" xr:uid="{00000000-0005-0000-0000-0000D6410000}"/>
    <cellStyle name="Normal 21 3 2 4 2 7" xfId="16861" xr:uid="{00000000-0005-0000-0000-0000D7410000}"/>
    <cellStyle name="Normal 21 3 2 4 2 8" xfId="16862" xr:uid="{00000000-0005-0000-0000-0000D8410000}"/>
    <cellStyle name="Normal 21 3 2 4 3" xfId="16863" xr:uid="{00000000-0005-0000-0000-0000D9410000}"/>
    <cellStyle name="Normal 21 3 2 4 3 2" xfId="16864" xr:uid="{00000000-0005-0000-0000-0000DA410000}"/>
    <cellStyle name="Normal 21 3 2 4 3 2 2" xfId="16865" xr:uid="{00000000-0005-0000-0000-0000DB410000}"/>
    <cellStyle name="Normal 21 3 2 4 3 2 3" xfId="16866" xr:uid="{00000000-0005-0000-0000-0000DC410000}"/>
    <cellStyle name="Normal 21 3 2 4 3 2 4" xfId="16867" xr:uid="{00000000-0005-0000-0000-0000DD410000}"/>
    <cellStyle name="Normal 21 3 2 4 3 2 5" xfId="16868" xr:uid="{00000000-0005-0000-0000-0000DE410000}"/>
    <cellStyle name="Normal 21 3 2 4 3 2 6" xfId="16869" xr:uid="{00000000-0005-0000-0000-0000DF410000}"/>
    <cellStyle name="Normal 21 3 2 4 3 3" xfId="16870" xr:uid="{00000000-0005-0000-0000-0000E0410000}"/>
    <cellStyle name="Normal 21 3 2 4 3 3 2" xfId="16871" xr:uid="{00000000-0005-0000-0000-0000E1410000}"/>
    <cellStyle name="Normal 21 3 2 4 3 3 3" xfId="16872" xr:uid="{00000000-0005-0000-0000-0000E2410000}"/>
    <cellStyle name="Normal 21 3 2 4 3 3 4" xfId="16873" xr:uid="{00000000-0005-0000-0000-0000E3410000}"/>
    <cellStyle name="Normal 21 3 2 4 3 3 5" xfId="16874" xr:uid="{00000000-0005-0000-0000-0000E4410000}"/>
    <cellStyle name="Normal 21 3 2 4 3 3 6" xfId="16875" xr:uid="{00000000-0005-0000-0000-0000E5410000}"/>
    <cellStyle name="Normal 21 3 2 4 3 4" xfId="16876" xr:uid="{00000000-0005-0000-0000-0000E6410000}"/>
    <cellStyle name="Normal 21 3 2 4 3 5" xfId="16877" xr:uid="{00000000-0005-0000-0000-0000E7410000}"/>
    <cellStyle name="Normal 21 3 2 4 3 6" xfId="16878" xr:uid="{00000000-0005-0000-0000-0000E8410000}"/>
    <cellStyle name="Normal 21 3 2 4 3 7" xfId="16879" xr:uid="{00000000-0005-0000-0000-0000E9410000}"/>
    <cellStyle name="Normal 21 3 2 4 3 8" xfId="16880" xr:uid="{00000000-0005-0000-0000-0000EA410000}"/>
    <cellStyle name="Normal 21 3 2 4 4" xfId="16881" xr:uid="{00000000-0005-0000-0000-0000EB410000}"/>
    <cellStyle name="Normal 21 3 2 4 4 2" xfId="16882" xr:uid="{00000000-0005-0000-0000-0000EC410000}"/>
    <cellStyle name="Normal 21 3 2 4 4 2 2" xfId="16883" xr:uid="{00000000-0005-0000-0000-0000ED410000}"/>
    <cellStyle name="Normal 21 3 2 4 4 2 3" xfId="16884" xr:uid="{00000000-0005-0000-0000-0000EE410000}"/>
    <cellStyle name="Normal 21 3 2 4 4 2 4" xfId="16885" xr:uid="{00000000-0005-0000-0000-0000EF410000}"/>
    <cellStyle name="Normal 21 3 2 4 4 2 5" xfId="16886" xr:uid="{00000000-0005-0000-0000-0000F0410000}"/>
    <cellStyle name="Normal 21 3 2 4 4 2 6" xfId="16887" xr:uid="{00000000-0005-0000-0000-0000F1410000}"/>
    <cellStyle name="Normal 21 3 2 4 4 3" xfId="16888" xr:uid="{00000000-0005-0000-0000-0000F2410000}"/>
    <cellStyle name="Normal 21 3 2 4 4 3 2" xfId="16889" xr:uid="{00000000-0005-0000-0000-0000F3410000}"/>
    <cellStyle name="Normal 21 3 2 4 4 3 3" xfId="16890" xr:uid="{00000000-0005-0000-0000-0000F4410000}"/>
    <cellStyle name="Normal 21 3 2 4 4 3 4" xfId="16891" xr:uid="{00000000-0005-0000-0000-0000F5410000}"/>
    <cellStyle name="Normal 21 3 2 4 4 3 5" xfId="16892" xr:uid="{00000000-0005-0000-0000-0000F6410000}"/>
    <cellStyle name="Normal 21 3 2 4 4 3 6" xfId="16893" xr:uid="{00000000-0005-0000-0000-0000F7410000}"/>
    <cellStyle name="Normal 21 3 2 4 4 4" xfId="16894" xr:uid="{00000000-0005-0000-0000-0000F8410000}"/>
    <cellStyle name="Normal 21 3 2 4 4 5" xfId="16895" xr:uid="{00000000-0005-0000-0000-0000F9410000}"/>
    <cellStyle name="Normal 21 3 2 4 4 6" xfId="16896" xr:uid="{00000000-0005-0000-0000-0000FA410000}"/>
    <cellStyle name="Normal 21 3 2 4 4 7" xfId="16897" xr:uid="{00000000-0005-0000-0000-0000FB410000}"/>
    <cellStyle name="Normal 21 3 2 4 4 8" xfId="16898" xr:uid="{00000000-0005-0000-0000-0000FC410000}"/>
    <cellStyle name="Normal 21 3 2 4 5" xfId="16899" xr:uid="{00000000-0005-0000-0000-0000FD410000}"/>
    <cellStyle name="Normal 21 3 2 4 5 2" xfId="16900" xr:uid="{00000000-0005-0000-0000-0000FE410000}"/>
    <cellStyle name="Normal 21 3 2 4 5 3" xfId="16901" xr:uid="{00000000-0005-0000-0000-0000FF410000}"/>
    <cellStyle name="Normal 21 3 2 4 5 4" xfId="16902" xr:uid="{00000000-0005-0000-0000-000000420000}"/>
    <cellStyle name="Normal 21 3 2 4 5 5" xfId="16903" xr:uid="{00000000-0005-0000-0000-000001420000}"/>
    <cellStyle name="Normal 21 3 2 4 5 6" xfId="16904" xr:uid="{00000000-0005-0000-0000-000002420000}"/>
    <cellStyle name="Normal 21 3 2 4 6" xfId="16905" xr:uid="{00000000-0005-0000-0000-000003420000}"/>
    <cellStyle name="Normal 21 3 2 4 6 2" xfId="16906" xr:uid="{00000000-0005-0000-0000-000004420000}"/>
    <cellStyle name="Normal 21 3 2 4 6 3" xfId="16907" xr:uid="{00000000-0005-0000-0000-000005420000}"/>
    <cellStyle name="Normal 21 3 2 4 6 4" xfId="16908" xr:uid="{00000000-0005-0000-0000-000006420000}"/>
    <cellStyle name="Normal 21 3 2 4 6 5" xfId="16909" xr:uid="{00000000-0005-0000-0000-000007420000}"/>
    <cellStyle name="Normal 21 3 2 4 6 6" xfId="16910" xr:uid="{00000000-0005-0000-0000-000008420000}"/>
    <cellStyle name="Normal 21 3 2 4 7" xfId="16911" xr:uid="{00000000-0005-0000-0000-000009420000}"/>
    <cellStyle name="Normal 21 3 2 4 8" xfId="16912" xr:uid="{00000000-0005-0000-0000-00000A420000}"/>
    <cellStyle name="Normal 21 3 2 4 9" xfId="16913" xr:uid="{00000000-0005-0000-0000-00000B420000}"/>
    <cellStyle name="Normal 21 3 2 5" xfId="16914" xr:uid="{00000000-0005-0000-0000-00000C420000}"/>
    <cellStyle name="Normal 21 3 2 5 2" xfId="16915" xr:uid="{00000000-0005-0000-0000-00000D420000}"/>
    <cellStyle name="Normal 21 3 2 5 2 2" xfId="16916" xr:uid="{00000000-0005-0000-0000-00000E420000}"/>
    <cellStyle name="Normal 21 3 2 5 2 3" xfId="16917" xr:uid="{00000000-0005-0000-0000-00000F420000}"/>
    <cellStyle name="Normal 21 3 2 5 2 4" xfId="16918" xr:uid="{00000000-0005-0000-0000-000010420000}"/>
    <cellStyle name="Normal 21 3 2 5 2 5" xfId="16919" xr:uid="{00000000-0005-0000-0000-000011420000}"/>
    <cellStyle name="Normal 21 3 2 5 2 6" xfId="16920" xr:uid="{00000000-0005-0000-0000-000012420000}"/>
    <cellStyle name="Normal 21 3 2 5 3" xfId="16921" xr:uid="{00000000-0005-0000-0000-000013420000}"/>
    <cellStyle name="Normal 21 3 2 5 3 2" xfId="16922" xr:uid="{00000000-0005-0000-0000-000014420000}"/>
    <cellStyle name="Normal 21 3 2 5 3 3" xfId="16923" xr:uid="{00000000-0005-0000-0000-000015420000}"/>
    <cellStyle name="Normal 21 3 2 5 3 4" xfId="16924" xr:uid="{00000000-0005-0000-0000-000016420000}"/>
    <cellStyle name="Normal 21 3 2 5 3 5" xfId="16925" xr:uid="{00000000-0005-0000-0000-000017420000}"/>
    <cellStyle name="Normal 21 3 2 5 3 6" xfId="16926" xr:uid="{00000000-0005-0000-0000-000018420000}"/>
    <cellStyle name="Normal 21 3 2 5 4" xfId="16927" xr:uid="{00000000-0005-0000-0000-000019420000}"/>
    <cellStyle name="Normal 21 3 2 5 5" xfId="16928" xr:uid="{00000000-0005-0000-0000-00001A420000}"/>
    <cellStyle name="Normal 21 3 2 5 6" xfId="16929" xr:uid="{00000000-0005-0000-0000-00001B420000}"/>
    <cellStyle name="Normal 21 3 2 5 7" xfId="16930" xr:uid="{00000000-0005-0000-0000-00001C420000}"/>
    <cellStyle name="Normal 21 3 2 5 8" xfId="16931" xr:uid="{00000000-0005-0000-0000-00001D420000}"/>
    <cellStyle name="Normal 21 3 2 6" xfId="16932" xr:uid="{00000000-0005-0000-0000-00001E420000}"/>
    <cellStyle name="Normal 21 3 2 6 2" xfId="16933" xr:uid="{00000000-0005-0000-0000-00001F420000}"/>
    <cellStyle name="Normal 21 3 2 6 2 2" xfId="16934" xr:uid="{00000000-0005-0000-0000-000020420000}"/>
    <cellStyle name="Normal 21 3 2 6 2 3" xfId="16935" xr:uid="{00000000-0005-0000-0000-000021420000}"/>
    <cellStyle name="Normal 21 3 2 6 2 4" xfId="16936" xr:uid="{00000000-0005-0000-0000-000022420000}"/>
    <cellStyle name="Normal 21 3 2 6 2 5" xfId="16937" xr:uid="{00000000-0005-0000-0000-000023420000}"/>
    <cellStyle name="Normal 21 3 2 6 2 6" xfId="16938" xr:uid="{00000000-0005-0000-0000-000024420000}"/>
    <cellStyle name="Normal 21 3 2 6 3" xfId="16939" xr:uid="{00000000-0005-0000-0000-000025420000}"/>
    <cellStyle name="Normal 21 3 2 6 3 2" xfId="16940" xr:uid="{00000000-0005-0000-0000-000026420000}"/>
    <cellStyle name="Normal 21 3 2 6 3 3" xfId="16941" xr:uid="{00000000-0005-0000-0000-000027420000}"/>
    <cellStyle name="Normal 21 3 2 6 3 4" xfId="16942" xr:uid="{00000000-0005-0000-0000-000028420000}"/>
    <cellStyle name="Normal 21 3 2 6 3 5" xfId="16943" xr:uid="{00000000-0005-0000-0000-000029420000}"/>
    <cellStyle name="Normal 21 3 2 6 3 6" xfId="16944" xr:uid="{00000000-0005-0000-0000-00002A420000}"/>
    <cellStyle name="Normal 21 3 2 6 4" xfId="16945" xr:uid="{00000000-0005-0000-0000-00002B420000}"/>
    <cellStyle name="Normal 21 3 2 6 5" xfId="16946" xr:uid="{00000000-0005-0000-0000-00002C420000}"/>
    <cellStyle name="Normal 21 3 2 6 6" xfId="16947" xr:uid="{00000000-0005-0000-0000-00002D420000}"/>
    <cellStyle name="Normal 21 3 2 6 7" xfId="16948" xr:uid="{00000000-0005-0000-0000-00002E420000}"/>
    <cellStyle name="Normal 21 3 2 6 8" xfId="16949" xr:uid="{00000000-0005-0000-0000-00002F420000}"/>
    <cellStyle name="Normal 21 3 2 7" xfId="16950" xr:uid="{00000000-0005-0000-0000-000030420000}"/>
    <cellStyle name="Normal 21 3 2 7 2" xfId="16951" xr:uid="{00000000-0005-0000-0000-000031420000}"/>
    <cellStyle name="Normal 21 3 2 7 2 2" xfId="16952" xr:uid="{00000000-0005-0000-0000-000032420000}"/>
    <cellStyle name="Normal 21 3 2 7 2 3" xfId="16953" xr:uid="{00000000-0005-0000-0000-000033420000}"/>
    <cellStyle name="Normal 21 3 2 7 2 4" xfId="16954" xr:uid="{00000000-0005-0000-0000-000034420000}"/>
    <cellStyle name="Normal 21 3 2 7 2 5" xfId="16955" xr:uid="{00000000-0005-0000-0000-000035420000}"/>
    <cellStyle name="Normal 21 3 2 7 2 6" xfId="16956" xr:uid="{00000000-0005-0000-0000-000036420000}"/>
    <cellStyle name="Normal 21 3 2 7 3" xfId="16957" xr:uid="{00000000-0005-0000-0000-000037420000}"/>
    <cellStyle name="Normal 21 3 2 7 3 2" xfId="16958" xr:uid="{00000000-0005-0000-0000-000038420000}"/>
    <cellStyle name="Normal 21 3 2 7 3 3" xfId="16959" xr:uid="{00000000-0005-0000-0000-000039420000}"/>
    <cellStyle name="Normal 21 3 2 7 3 4" xfId="16960" xr:uid="{00000000-0005-0000-0000-00003A420000}"/>
    <cellStyle name="Normal 21 3 2 7 3 5" xfId="16961" xr:uid="{00000000-0005-0000-0000-00003B420000}"/>
    <cellStyle name="Normal 21 3 2 7 3 6" xfId="16962" xr:uid="{00000000-0005-0000-0000-00003C420000}"/>
    <cellStyle name="Normal 21 3 2 7 4" xfId="16963" xr:uid="{00000000-0005-0000-0000-00003D420000}"/>
    <cellStyle name="Normal 21 3 2 7 5" xfId="16964" xr:uid="{00000000-0005-0000-0000-00003E420000}"/>
    <cellStyle name="Normal 21 3 2 7 6" xfId="16965" xr:uid="{00000000-0005-0000-0000-00003F420000}"/>
    <cellStyle name="Normal 21 3 2 7 7" xfId="16966" xr:uid="{00000000-0005-0000-0000-000040420000}"/>
    <cellStyle name="Normal 21 3 2 7 8" xfId="16967" xr:uid="{00000000-0005-0000-0000-000041420000}"/>
    <cellStyle name="Normal 21 3 2 8" xfId="16968" xr:uid="{00000000-0005-0000-0000-000042420000}"/>
    <cellStyle name="Normal 21 3 2 8 2" xfId="16969" xr:uid="{00000000-0005-0000-0000-000043420000}"/>
    <cellStyle name="Normal 21 3 2 8 3" xfId="16970" xr:uid="{00000000-0005-0000-0000-000044420000}"/>
    <cellStyle name="Normal 21 3 2 8 4" xfId="16971" xr:uid="{00000000-0005-0000-0000-000045420000}"/>
    <cellStyle name="Normal 21 3 2 8 5" xfId="16972" xr:uid="{00000000-0005-0000-0000-000046420000}"/>
    <cellStyle name="Normal 21 3 2 8 6" xfId="16973" xr:uid="{00000000-0005-0000-0000-000047420000}"/>
    <cellStyle name="Normal 21 3 2 9" xfId="16974" xr:uid="{00000000-0005-0000-0000-000048420000}"/>
    <cellStyle name="Normal 21 3 2 9 2" xfId="16975" xr:uid="{00000000-0005-0000-0000-000049420000}"/>
    <cellStyle name="Normal 21 3 2 9 3" xfId="16976" xr:uid="{00000000-0005-0000-0000-00004A420000}"/>
    <cellStyle name="Normal 21 3 2 9 4" xfId="16977" xr:uid="{00000000-0005-0000-0000-00004B420000}"/>
    <cellStyle name="Normal 21 3 2 9 5" xfId="16978" xr:uid="{00000000-0005-0000-0000-00004C420000}"/>
    <cellStyle name="Normal 21 3 2 9 6" xfId="16979" xr:uid="{00000000-0005-0000-0000-00004D420000}"/>
    <cellStyle name="Normal 21 3 3" xfId="16980" xr:uid="{00000000-0005-0000-0000-00004E420000}"/>
    <cellStyle name="Normal 21 3 3 10" xfId="16981" xr:uid="{00000000-0005-0000-0000-00004F420000}"/>
    <cellStyle name="Normal 21 3 3 11" xfId="16982" xr:uid="{00000000-0005-0000-0000-000050420000}"/>
    <cellStyle name="Normal 21 3 3 12" xfId="16983" xr:uid="{00000000-0005-0000-0000-000051420000}"/>
    <cellStyle name="Normal 21 3 3 2" xfId="16984" xr:uid="{00000000-0005-0000-0000-000052420000}"/>
    <cellStyle name="Normal 21 3 3 2 10" xfId="16985" xr:uid="{00000000-0005-0000-0000-000053420000}"/>
    <cellStyle name="Normal 21 3 3 2 11" xfId="16986" xr:uid="{00000000-0005-0000-0000-000054420000}"/>
    <cellStyle name="Normal 21 3 3 2 2" xfId="16987" xr:uid="{00000000-0005-0000-0000-000055420000}"/>
    <cellStyle name="Normal 21 3 3 2 2 2" xfId="16988" xr:uid="{00000000-0005-0000-0000-000056420000}"/>
    <cellStyle name="Normal 21 3 3 2 2 2 2" xfId="16989" xr:uid="{00000000-0005-0000-0000-000057420000}"/>
    <cellStyle name="Normal 21 3 3 2 2 2 3" xfId="16990" xr:uid="{00000000-0005-0000-0000-000058420000}"/>
    <cellStyle name="Normal 21 3 3 2 2 2 4" xfId="16991" xr:uid="{00000000-0005-0000-0000-000059420000}"/>
    <cellStyle name="Normal 21 3 3 2 2 2 5" xfId="16992" xr:uid="{00000000-0005-0000-0000-00005A420000}"/>
    <cellStyle name="Normal 21 3 3 2 2 2 6" xfId="16993" xr:uid="{00000000-0005-0000-0000-00005B420000}"/>
    <cellStyle name="Normal 21 3 3 2 2 3" xfId="16994" xr:uid="{00000000-0005-0000-0000-00005C420000}"/>
    <cellStyle name="Normal 21 3 3 2 2 3 2" xfId="16995" xr:uid="{00000000-0005-0000-0000-00005D420000}"/>
    <cellStyle name="Normal 21 3 3 2 2 3 3" xfId="16996" xr:uid="{00000000-0005-0000-0000-00005E420000}"/>
    <cellStyle name="Normal 21 3 3 2 2 3 4" xfId="16997" xr:uid="{00000000-0005-0000-0000-00005F420000}"/>
    <cellStyle name="Normal 21 3 3 2 2 3 5" xfId="16998" xr:uid="{00000000-0005-0000-0000-000060420000}"/>
    <cellStyle name="Normal 21 3 3 2 2 3 6" xfId="16999" xr:uid="{00000000-0005-0000-0000-000061420000}"/>
    <cellStyle name="Normal 21 3 3 2 2 4" xfId="17000" xr:uid="{00000000-0005-0000-0000-000062420000}"/>
    <cellStyle name="Normal 21 3 3 2 2 5" xfId="17001" xr:uid="{00000000-0005-0000-0000-000063420000}"/>
    <cellStyle name="Normal 21 3 3 2 2 6" xfId="17002" xr:uid="{00000000-0005-0000-0000-000064420000}"/>
    <cellStyle name="Normal 21 3 3 2 2 7" xfId="17003" xr:uid="{00000000-0005-0000-0000-000065420000}"/>
    <cellStyle name="Normal 21 3 3 2 2 8" xfId="17004" xr:uid="{00000000-0005-0000-0000-000066420000}"/>
    <cellStyle name="Normal 21 3 3 2 3" xfId="17005" xr:uid="{00000000-0005-0000-0000-000067420000}"/>
    <cellStyle name="Normal 21 3 3 2 3 2" xfId="17006" xr:uid="{00000000-0005-0000-0000-000068420000}"/>
    <cellStyle name="Normal 21 3 3 2 3 2 2" xfId="17007" xr:uid="{00000000-0005-0000-0000-000069420000}"/>
    <cellStyle name="Normal 21 3 3 2 3 2 3" xfId="17008" xr:uid="{00000000-0005-0000-0000-00006A420000}"/>
    <cellStyle name="Normal 21 3 3 2 3 2 4" xfId="17009" xr:uid="{00000000-0005-0000-0000-00006B420000}"/>
    <cellStyle name="Normal 21 3 3 2 3 2 5" xfId="17010" xr:uid="{00000000-0005-0000-0000-00006C420000}"/>
    <cellStyle name="Normal 21 3 3 2 3 2 6" xfId="17011" xr:uid="{00000000-0005-0000-0000-00006D420000}"/>
    <cellStyle name="Normal 21 3 3 2 3 3" xfId="17012" xr:uid="{00000000-0005-0000-0000-00006E420000}"/>
    <cellStyle name="Normal 21 3 3 2 3 3 2" xfId="17013" xr:uid="{00000000-0005-0000-0000-00006F420000}"/>
    <cellStyle name="Normal 21 3 3 2 3 3 3" xfId="17014" xr:uid="{00000000-0005-0000-0000-000070420000}"/>
    <cellStyle name="Normal 21 3 3 2 3 3 4" xfId="17015" xr:uid="{00000000-0005-0000-0000-000071420000}"/>
    <cellStyle name="Normal 21 3 3 2 3 3 5" xfId="17016" xr:uid="{00000000-0005-0000-0000-000072420000}"/>
    <cellStyle name="Normal 21 3 3 2 3 3 6" xfId="17017" xr:uid="{00000000-0005-0000-0000-000073420000}"/>
    <cellStyle name="Normal 21 3 3 2 3 4" xfId="17018" xr:uid="{00000000-0005-0000-0000-000074420000}"/>
    <cellStyle name="Normal 21 3 3 2 3 5" xfId="17019" xr:uid="{00000000-0005-0000-0000-000075420000}"/>
    <cellStyle name="Normal 21 3 3 2 3 6" xfId="17020" xr:uid="{00000000-0005-0000-0000-000076420000}"/>
    <cellStyle name="Normal 21 3 3 2 3 7" xfId="17021" xr:uid="{00000000-0005-0000-0000-000077420000}"/>
    <cellStyle name="Normal 21 3 3 2 3 8" xfId="17022" xr:uid="{00000000-0005-0000-0000-000078420000}"/>
    <cellStyle name="Normal 21 3 3 2 4" xfId="17023" xr:uid="{00000000-0005-0000-0000-000079420000}"/>
    <cellStyle name="Normal 21 3 3 2 4 2" xfId="17024" xr:uid="{00000000-0005-0000-0000-00007A420000}"/>
    <cellStyle name="Normal 21 3 3 2 4 2 2" xfId="17025" xr:uid="{00000000-0005-0000-0000-00007B420000}"/>
    <cellStyle name="Normal 21 3 3 2 4 2 3" xfId="17026" xr:uid="{00000000-0005-0000-0000-00007C420000}"/>
    <cellStyle name="Normal 21 3 3 2 4 2 4" xfId="17027" xr:uid="{00000000-0005-0000-0000-00007D420000}"/>
    <cellStyle name="Normal 21 3 3 2 4 2 5" xfId="17028" xr:uid="{00000000-0005-0000-0000-00007E420000}"/>
    <cellStyle name="Normal 21 3 3 2 4 2 6" xfId="17029" xr:uid="{00000000-0005-0000-0000-00007F420000}"/>
    <cellStyle name="Normal 21 3 3 2 4 3" xfId="17030" xr:uid="{00000000-0005-0000-0000-000080420000}"/>
    <cellStyle name="Normal 21 3 3 2 4 3 2" xfId="17031" xr:uid="{00000000-0005-0000-0000-000081420000}"/>
    <cellStyle name="Normal 21 3 3 2 4 3 3" xfId="17032" xr:uid="{00000000-0005-0000-0000-000082420000}"/>
    <cellStyle name="Normal 21 3 3 2 4 3 4" xfId="17033" xr:uid="{00000000-0005-0000-0000-000083420000}"/>
    <cellStyle name="Normal 21 3 3 2 4 3 5" xfId="17034" xr:uid="{00000000-0005-0000-0000-000084420000}"/>
    <cellStyle name="Normal 21 3 3 2 4 3 6" xfId="17035" xr:uid="{00000000-0005-0000-0000-000085420000}"/>
    <cellStyle name="Normal 21 3 3 2 4 4" xfId="17036" xr:uid="{00000000-0005-0000-0000-000086420000}"/>
    <cellStyle name="Normal 21 3 3 2 4 5" xfId="17037" xr:uid="{00000000-0005-0000-0000-000087420000}"/>
    <cellStyle name="Normal 21 3 3 2 4 6" xfId="17038" xr:uid="{00000000-0005-0000-0000-000088420000}"/>
    <cellStyle name="Normal 21 3 3 2 4 7" xfId="17039" xr:uid="{00000000-0005-0000-0000-000089420000}"/>
    <cellStyle name="Normal 21 3 3 2 4 8" xfId="17040" xr:uid="{00000000-0005-0000-0000-00008A420000}"/>
    <cellStyle name="Normal 21 3 3 2 5" xfId="17041" xr:uid="{00000000-0005-0000-0000-00008B420000}"/>
    <cellStyle name="Normal 21 3 3 2 5 2" xfId="17042" xr:uid="{00000000-0005-0000-0000-00008C420000}"/>
    <cellStyle name="Normal 21 3 3 2 5 3" xfId="17043" xr:uid="{00000000-0005-0000-0000-00008D420000}"/>
    <cellStyle name="Normal 21 3 3 2 5 4" xfId="17044" xr:uid="{00000000-0005-0000-0000-00008E420000}"/>
    <cellStyle name="Normal 21 3 3 2 5 5" xfId="17045" xr:uid="{00000000-0005-0000-0000-00008F420000}"/>
    <cellStyle name="Normal 21 3 3 2 5 6" xfId="17046" xr:uid="{00000000-0005-0000-0000-000090420000}"/>
    <cellStyle name="Normal 21 3 3 2 6" xfId="17047" xr:uid="{00000000-0005-0000-0000-000091420000}"/>
    <cellStyle name="Normal 21 3 3 2 6 2" xfId="17048" xr:uid="{00000000-0005-0000-0000-000092420000}"/>
    <cellStyle name="Normal 21 3 3 2 6 3" xfId="17049" xr:uid="{00000000-0005-0000-0000-000093420000}"/>
    <cellStyle name="Normal 21 3 3 2 6 4" xfId="17050" xr:uid="{00000000-0005-0000-0000-000094420000}"/>
    <cellStyle name="Normal 21 3 3 2 6 5" xfId="17051" xr:uid="{00000000-0005-0000-0000-000095420000}"/>
    <cellStyle name="Normal 21 3 3 2 6 6" xfId="17052" xr:uid="{00000000-0005-0000-0000-000096420000}"/>
    <cellStyle name="Normal 21 3 3 2 7" xfId="17053" xr:uid="{00000000-0005-0000-0000-000097420000}"/>
    <cellStyle name="Normal 21 3 3 2 8" xfId="17054" xr:uid="{00000000-0005-0000-0000-000098420000}"/>
    <cellStyle name="Normal 21 3 3 2 9" xfId="17055" xr:uid="{00000000-0005-0000-0000-000099420000}"/>
    <cellStyle name="Normal 21 3 3 3" xfId="17056" xr:uid="{00000000-0005-0000-0000-00009A420000}"/>
    <cellStyle name="Normal 21 3 3 3 2" xfId="17057" xr:uid="{00000000-0005-0000-0000-00009B420000}"/>
    <cellStyle name="Normal 21 3 3 3 2 2" xfId="17058" xr:uid="{00000000-0005-0000-0000-00009C420000}"/>
    <cellStyle name="Normal 21 3 3 3 2 3" xfId="17059" xr:uid="{00000000-0005-0000-0000-00009D420000}"/>
    <cellStyle name="Normal 21 3 3 3 2 4" xfId="17060" xr:uid="{00000000-0005-0000-0000-00009E420000}"/>
    <cellStyle name="Normal 21 3 3 3 2 5" xfId="17061" xr:uid="{00000000-0005-0000-0000-00009F420000}"/>
    <cellStyle name="Normal 21 3 3 3 2 6" xfId="17062" xr:uid="{00000000-0005-0000-0000-0000A0420000}"/>
    <cellStyle name="Normal 21 3 3 3 3" xfId="17063" xr:uid="{00000000-0005-0000-0000-0000A1420000}"/>
    <cellStyle name="Normal 21 3 3 3 3 2" xfId="17064" xr:uid="{00000000-0005-0000-0000-0000A2420000}"/>
    <cellStyle name="Normal 21 3 3 3 3 3" xfId="17065" xr:uid="{00000000-0005-0000-0000-0000A3420000}"/>
    <cellStyle name="Normal 21 3 3 3 3 4" xfId="17066" xr:uid="{00000000-0005-0000-0000-0000A4420000}"/>
    <cellStyle name="Normal 21 3 3 3 3 5" xfId="17067" xr:uid="{00000000-0005-0000-0000-0000A5420000}"/>
    <cellStyle name="Normal 21 3 3 3 3 6" xfId="17068" xr:uid="{00000000-0005-0000-0000-0000A6420000}"/>
    <cellStyle name="Normal 21 3 3 3 4" xfId="17069" xr:uid="{00000000-0005-0000-0000-0000A7420000}"/>
    <cellStyle name="Normal 21 3 3 3 5" xfId="17070" xr:uid="{00000000-0005-0000-0000-0000A8420000}"/>
    <cellStyle name="Normal 21 3 3 3 6" xfId="17071" xr:uid="{00000000-0005-0000-0000-0000A9420000}"/>
    <cellStyle name="Normal 21 3 3 3 7" xfId="17072" xr:uid="{00000000-0005-0000-0000-0000AA420000}"/>
    <cellStyle name="Normal 21 3 3 3 8" xfId="17073" xr:uid="{00000000-0005-0000-0000-0000AB420000}"/>
    <cellStyle name="Normal 21 3 3 4" xfId="17074" xr:uid="{00000000-0005-0000-0000-0000AC420000}"/>
    <cellStyle name="Normal 21 3 3 4 2" xfId="17075" xr:uid="{00000000-0005-0000-0000-0000AD420000}"/>
    <cellStyle name="Normal 21 3 3 4 2 2" xfId="17076" xr:uid="{00000000-0005-0000-0000-0000AE420000}"/>
    <cellStyle name="Normal 21 3 3 4 2 3" xfId="17077" xr:uid="{00000000-0005-0000-0000-0000AF420000}"/>
    <cellStyle name="Normal 21 3 3 4 2 4" xfId="17078" xr:uid="{00000000-0005-0000-0000-0000B0420000}"/>
    <cellStyle name="Normal 21 3 3 4 2 5" xfId="17079" xr:uid="{00000000-0005-0000-0000-0000B1420000}"/>
    <cellStyle name="Normal 21 3 3 4 2 6" xfId="17080" xr:uid="{00000000-0005-0000-0000-0000B2420000}"/>
    <cellStyle name="Normal 21 3 3 4 3" xfId="17081" xr:uid="{00000000-0005-0000-0000-0000B3420000}"/>
    <cellStyle name="Normal 21 3 3 4 3 2" xfId="17082" xr:uid="{00000000-0005-0000-0000-0000B4420000}"/>
    <cellStyle name="Normal 21 3 3 4 3 3" xfId="17083" xr:uid="{00000000-0005-0000-0000-0000B5420000}"/>
    <cellStyle name="Normal 21 3 3 4 3 4" xfId="17084" xr:uid="{00000000-0005-0000-0000-0000B6420000}"/>
    <cellStyle name="Normal 21 3 3 4 3 5" xfId="17085" xr:uid="{00000000-0005-0000-0000-0000B7420000}"/>
    <cellStyle name="Normal 21 3 3 4 3 6" xfId="17086" xr:uid="{00000000-0005-0000-0000-0000B8420000}"/>
    <cellStyle name="Normal 21 3 3 4 4" xfId="17087" xr:uid="{00000000-0005-0000-0000-0000B9420000}"/>
    <cellStyle name="Normal 21 3 3 4 5" xfId="17088" xr:uid="{00000000-0005-0000-0000-0000BA420000}"/>
    <cellStyle name="Normal 21 3 3 4 6" xfId="17089" xr:uid="{00000000-0005-0000-0000-0000BB420000}"/>
    <cellStyle name="Normal 21 3 3 4 7" xfId="17090" xr:uid="{00000000-0005-0000-0000-0000BC420000}"/>
    <cellStyle name="Normal 21 3 3 4 8" xfId="17091" xr:uid="{00000000-0005-0000-0000-0000BD420000}"/>
    <cellStyle name="Normal 21 3 3 5" xfId="17092" xr:uid="{00000000-0005-0000-0000-0000BE420000}"/>
    <cellStyle name="Normal 21 3 3 5 2" xfId="17093" xr:uid="{00000000-0005-0000-0000-0000BF420000}"/>
    <cellStyle name="Normal 21 3 3 5 2 2" xfId="17094" xr:uid="{00000000-0005-0000-0000-0000C0420000}"/>
    <cellStyle name="Normal 21 3 3 5 2 3" xfId="17095" xr:uid="{00000000-0005-0000-0000-0000C1420000}"/>
    <cellStyle name="Normal 21 3 3 5 2 4" xfId="17096" xr:uid="{00000000-0005-0000-0000-0000C2420000}"/>
    <cellStyle name="Normal 21 3 3 5 2 5" xfId="17097" xr:uid="{00000000-0005-0000-0000-0000C3420000}"/>
    <cellStyle name="Normal 21 3 3 5 2 6" xfId="17098" xr:uid="{00000000-0005-0000-0000-0000C4420000}"/>
    <cellStyle name="Normal 21 3 3 5 3" xfId="17099" xr:uid="{00000000-0005-0000-0000-0000C5420000}"/>
    <cellStyle name="Normal 21 3 3 5 3 2" xfId="17100" xr:uid="{00000000-0005-0000-0000-0000C6420000}"/>
    <cellStyle name="Normal 21 3 3 5 3 3" xfId="17101" xr:uid="{00000000-0005-0000-0000-0000C7420000}"/>
    <cellStyle name="Normal 21 3 3 5 3 4" xfId="17102" xr:uid="{00000000-0005-0000-0000-0000C8420000}"/>
    <cellStyle name="Normal 21 3 3 5 3 5" xfId="17103" xr:uid="{00000000-0005-0000-0000-0000C9420000}"/>
    <cellStyle name="Normal 21 3 3 5 3 6" xfId="17104" xr:uid="{00000000-0005-0000-0000-0000CA420000}"/>
    <cellStyle name="Normal 21 3 3 5 4" xfId="17105" xr:uid="{00000000-0005-0000-0000-0000CB420000}"/>
    <cellStyle name="Normal 21 3 3 5 5" xfId="17106" xr:uid="{00000000-0005-0000-0000-0000CC420000}"/>
    <cellStyle name="Normal 21 3 3 5 6" xfId="17107" xr:uid="{00000000-0005-0000-0000-0000CD420000}"/>
    <cellStyle name="Normal 21 3 3 5 7" xfId="17108" xr:uid="{00000000-0005-0000-0000-0000CE420000}"/>
    <cellStyle name="Normal 21 3 3 5 8" xfId="17109" xr:uid="{00000000-0005-0000-0000-0000CF420000}"/>
    <cellStyle name="Normal 21 3 3 6" xfId="17110" xr:uid="{00000000-0005-0000-0000-0000D0420000}"/>
    <cellStyle name="Normal 21 3 3 6 2" xfId="17111" xr:uid="{00000000-0005-0000-0000-0000D1420000}"/>
    <cellStyle name="Normal 21 3 3 6 3" xfId="17112" xr:uid="{00000000-0005-0000-0000-0000D2420000}"/>
    <cellStyle name="Normal 21 3 3 6 4" xfId="17113" xr:uid="{00000000-0005-0000-0000-0000D3420000}"/>
    <cellStyle name="Normal 21 3 3 6 5" xfId="17114" xr:uid="{00000000-0005-0000-0000-0000D4420000}"/>
    <cellStyle name="Normal 21 3 3 6 6" xfId="17115" xr:uid="{00000000-0005-0000-0000-0000D5420000}"/>
    <cellStyle name="Normal 21 3 3 7" xfId="17116" xr:uid="{00000000-0005-0000-0000-0000D6420000}"/>
    <cellStyle name="Normal 21 3 3 7 2" xfId="17117" xr:uid="{00000000-0005-0000-0000-0000D7420000}"/>
    <cellStyle name="Normal 21 3 3 7 3" xfId="17118" xr:uid="{00000000-0005-0000-0000-0000D8420000}"/>
    <cellStyle name="Normal 21 3 3 7 4" xfId="17119" xr:uid="{00000000-0005-0000-0000-0000D9420000}"/>
    <cellStyle name="Normal 21 3 3 7 5" xfId="17120" xr:uid="{00000000-0005-0000-0000-0000DA420000}"/>
    <cellStyle name="Normal 21 3 3 7 6" xfId="17121" xr:uid="{00000000-0005-0000-0000-0000DB420000}"/>
    <cellStyle name="Normal 21 3 3 8" xfId="17122" xr:uid="{00000000-0005-0000-0000-0000DC420000}"/>
    <cellStyle name="Normal 21 3 3 9" xfId="17123" xr:uid="{00000000-0005-0000-0000-0000DD420000}"/>
    <cellStyle name="Normal 21 3 4" xfId="17124" xr:uid="{00000000-0005-0000-0000-0000DE420000}"/>
    <cellStyle name="Normal 21 3 4 10" xfId="17125" xr:uid="{00000000-0005-0000-0000-0000DF420000}"/>
    <cellStyle name="Normal 21 3 4 11" xfId="17126" xr:uid="{00000000-0005-0000-0000-0000E0420000}"/>
    <cellStyle name="Normal 21 3 4 12" xfId="17127" xr:uid="{00000000-0005-0000-0000-0000E1420000}"/>
    <cellStyle name="Normal 21 3 4 2" xfId="17128" xr:uid="{00000000-0005-0000-0000-0000E2420000}"/>
    <cellStyle name="Normal 21 3 4 2 10" xfId="17129" xr:uid="{00000000-0005-0000-0000-0000E3420000}"/>
    <cellStyle name="Normal 21 3 4 2 11" xfId="17130" xr:uid="{00000000-0005-0000-0000-0000E4420000}"/>
    <cellStyle name="Normal 21 3 4 2 2" xfId="17131" xr:uid="{00000000-0005-0000-0000-0000E5420000}"/>
    <cellStyle name="Normal 21 3 4 2 2 2" xfId="17132" xr:uid="{00000000-0005-0000-0000-0000E6420000}"/>
    <cellStyle name="Normal 21 3 4 2 2 2 2" xfId="17133" xr:uid="{00000000-0005-0000-0000-0000E7420000}"/>
    <cellStyle name="Normal 21 3 4 2 2 2 3" xfId="17134" xr:uid="{00000000-0005-0000-0000-0000E8420000}"/>
    <cellStyle name="Normal 21 3 4 2 2 2 4" xfId="17135" xr:uid="{00000000-0005-0000-0000-0000E9420000}"/>
    <cellStyle name="Normal 21 3 4 2 2 2 5" xfId="17136" xr:uid="{00000000-0005-0000-0000-0000EA420000}"/>
    <cellStyle name="Normal 21 3 4 2 2 2 6" xfId="17137" xr:uid="{00000000-0005-0000-0000-0000EB420000}"/>
    <cellStyle name="Normal 21 3 4 2 2 3" xfId="17138" xr:uid="{00000000-0005-0000-0000-0000EC420000}"/>
    <cellStyle name="Normal 21 3 4 2 2 3 2" xfId="17139" xr:uid="{00000000-0005-0000-0000-0000ED420000}"/>
    <cellStyle name="Normal 21 3 4 2 2 3 3" xfId="17140" xr:uid="{00000000-0005-0000-0000-0000EE420000}"/>
    <cellStyle name="Normal 21 3 4 2 2 3 4" xfId="17141" xr:uid="{00000000-0005-0000-0000-0000EF420000}"/>
    <cellStyle name="Normal 21 3 4 2 2 3 5" xfId="17142" xr:uid="{00000000-0005-0000-0000-0000F0420000}"/>
    <cellStyle name="Normal 21 3 4 2 2 3 6" xfId="17143" xr:uid="{00000000-0005-0000-0000-0000F1420000}"/>
    <cellStyle name="Normal 21 3 4 2 2 4" xfId="17144" xr:uid="{00000000-0005-0000-0000-0000F2420000}"/>
    <cellStyle name="Normal 21 3 4 2 2 5" xfId="17145" xr:uid="{00000000-0005-0000-0000-0000F3420000}"/>
    <cellStyle name="Normal 21 3 4 2 2 6" xfId="17146" xr:uid="{00000000-0005-0000-0000-0000F4420000}"/>
    <cellStyle name="Normal 21 3 4 2 2 7" xfId="17147" xr:uid="{00000000-0005-0000-0000-0000F5420000}"/>
    <cellStyle name="Normal 21 3 4 2 2 8" xfId="17148" xr:uid="{00000000-0005-0000-0000-0000F6420000}"/>
    <cellStyle name="Normal 21 3 4 2 3" xfId="17149" xr:uid="{00000000-0005-0000-0000-0000F7420000}"/>
    <cellStyle name="Normal 21 3 4 2 3 2" xfId="17150" xr:uid="{00000000-0005-0000-0000-0000F8420000}"/>
    <cellStyle name="Normal 21 3 4 2 3 2 2" xfId="17151" xr:uid="{00000000-0005-0000-0000-0000F9420000}"/>
    <cellStyle name="Normal 21 3 4 2 3 2 3" xfId="17152" xr:uid="{00000000-0005-0000-0000-0000FA420000}"/>
    <cellStyle name="Normal 21 3 4 2 3 2 4" xfId="17153" xr:uid="{00000000-0005-0000-0000-0000FB420000}"/>
    <cellStyle name="Normal 21 3 4 2 3 2 5" xfId="17154" xr:uid="{00000000-0005-0000-0000-0000FC420000}"/>
    <cellStyle name="Normal 21 3 4 2 3 2 6" xfId="17155" xr:uid="{00000000-0005-0000-0000-0000FD420000}"/>
    <cellStyle name="Normal 21 3 4 2 3 3" xfId="17156" xr:uid="{00000000-0005-0000-0000-0000FE420000}"/>
    <cellStyle name="Normal 21 3 4 2 3 3 2" xfId="17157" xr:uid="{00000000-0005-0000-0000-0000FF420000}"/>
    <cellStyle name="Normal 21 3 4 2 3 3 3" xfId="17158" xr:uid="{00000000-0005-0000-0000-000000430000}"/>
    <cellStyle name="Normal 21 3 4 2 3 3 4" xfId="17159" xr:uid="{00000000-0005-0000-0000-000001430000}"/>
    <cellStyle name="Normal 21 3 4 2 3 3 5" xfId="17160" xr:uid="{00000000-0005-0000-0000-000002430000}"/>
    <cellStyle name="Normal 21 3 4 2 3 3 6" xfId="17161" xr:uid="{00000000-0005-0000-0000-000003430000}"/>
    <cellStyle name="Normal 21 3 4 2 3 4" xfId="17162" xr:uid="{00000000-0005-0000-0000-000004430000}"/>
    <cellStyle name="Normal 21 3 4 2 3 5" xfId="17163" xr:uid="{00000000-0005-0000-0000-000005430000}"/>
    <cellStyle name="Normal 21 3 4 2 3 6" xfId="17164" xr:uid="{00000000-0005-0000-0000-000006430000}"/>
    <cellStyle name="Normal 21 3 4 2 3 7" xfId="17165" xr:uid="{00000000-0005-0000-0000-000007430000}"/>
    <cellStyle name="Normal 21 3 4 2 3 8" xfId="17166" xr:uid="{00000000-0005-0000-0000-000008430000}"/>
    <cellStyle name="Normal 21 3 4 2 4" xfId="17167" xr:uid="{00000000-0005-0000-0000-000009430000}"/>
    <cellStyle name="Normal 21 3 4 2 4 2" xfId="17168" xr:uid="{00000000-0005-0000-0000-00000A430000}"/>
    <cellStyle name="Normal 21 3 4 2 4 2 2" xfId="17169" xr:uid="{00000000-0005-0000-0000-00000B430000}"/>
    <cellStyle name="Normal 21 3 4 2 4 2 3" xfId="17170" xr:uid="{00000000-0005-0000-0000-00000C430000}"/>
    <cellStyle name="Normal 21 3 4 2 4 2 4" xfId="17171" xr:uid="{00000000-0005-0000-0000-00000D430000}"/>
    <cellStyle name="Normal 21 3 4 2 4 2 5" xfId="17172" xr:uid="{00000000-0005-0000-0000-00000E430000}"/>
    <cellStyle name="Normal 21 3 4 2 4 2 6" xfId="17173" xr:uid="{00000000-0005-0000-0000-00000F430000}"/>
    <cellStyle name="Normal 21 3 4 2 4 3" xfId="17174" xr:uid="{00000000-0005-0000-0000-000010430000}"/>
    <cellStyle name="Normal 21 3 4 2 4 3 2" xfId="17175" xr:uid="{00000000-0005-0000-0000-000011430000}"/>
    <cellStyle name="Normal 21 3 4 2 4 3 3" xfId="17176" xr:uid="{00000000-0005-0000-0000-000012430000}"/>
    <cellStyle name="Normal 21 3 4 2 4 3 4" xfId="17177" xr:uid="{00000000-0005-0000-0000-000013430000}"/>
    <cellStyle name="Normal 21 3 4 2 4 3 5" xfId="17178" xr:uid="{00000000-0005-0000-0000-000014430000}"/>
    <cellStyle name="Normal 21 3 4 2 4 3 6" xfId="17179" xr:uid="{00000000-0005-0000-0000-000015430000}"/>
    <cellStyle name="Normal 21 3 4 2 4 4" xfId="17180" xr:uid="{00000000-0005-0000-0000-000016430000}"/>
    <cellStyle name="Normal 21 3 4 2 4 5" xfId="17181" xr:uid="{00000000-0005-0000-0000-000017430000}"/>
    <cellStyle name="Normal 21 3 4 2 4 6" xfId="17182" xr:uid="{00000000-0005-0000-0000-000018430000}"/>
    <cellStyle name="Normal 21 3 4 2 4 7" xfId="17183" xr:uid="{00000000-0005-0000-0000-000019430000}"/>
    <cellStyle name="Normal 21 3 4 2 4 8" xfId="17184" xr:uid="{00000000-0005-0000-0000-00001A430000}"/>
    <cellStyle name="Normal 21 3 4 2 5" xfId="17185" xr:uid="{00000000-0005-0000-0000-00001B430000}"/>
    <cellStyle name="Normal 21 3 4 2 5 2" xfId="17186" xr:uid="{00000000-0005-0000-0000-00001C430000}"/>
    <cellStyle name="Normal 21 3 4 2 5 3" xfId="17187" xr:uid="{00000000-0005-0000-0000-00001D430000}"/>
    <cellStyle name="Normal 21 3 4 2 5 4" xfId="17188" xr:uid="{00000000-0005-0000-0000-00001E430000}"/>
    <cellStyle name="Normal 21 3 4 2 5 5" xfId="17189" xr:uid="{00000000-0005-0000-0000-00001F430000}"/>
    <cellStyle name="Normal 21 3 4 2 5 6" xfId="17190" xr:uid="{00000000-0005-0000-0000-000020430000}"/>
    <cellStyle name="Normal 21 3 4 2 6" xfId="17191" xr:uid="{00000000-0005-0000-0000-000021430000}"/>
    <cellStyle name="Normal 21 3 4 2 6 2" xfId="17192" xr:uid="{00000000-0005-0000-0000-000022430000}"/>
    <cellStyle name="Normal 21 3 4 2 6 3" xfId="17193" xr:uid="{00000000-0005-0000-0000-000023430000}"/>
    <cellStyle name="Normal 21 3 4 2 6 4" xfId="17194" xr:uid="{00000000-0005-0000-0000-000024430000}"/>
    <cellStyle name="Normal 21 3 4 2 6 5" xfId="17195" xr:uid="{00000000-0005-0000-0000-000025430000}"/>
    <cellStyle name="Normal 21 3 4 2 6 6" xfId="17196" xr:uid="{00000000-0005-0000-0000-000026430000}"/>
    <cellStyle name="Normal 21 3 4 2 7" xfId="17197" xr:uid="{00000000-0005-0000-0000-000027430000}"/>
    <cellStyle name="Normal 21 3 4 2 8" xfId="17198" xr:uid="{00000000-0005-0000-0000-000028430000}"/>
    <cellStyle name="Normal 21 3 4 2 9" xfId="17199" xr:uid="{00000000-0005-0000-0000-000029430000}"/>
    <cellStyle name="Normal 21 3 4 3" xfId="17200" xr:uid="{00000000-0005-0000-0000-00002A430000}"/>
    <cellStyle name="Normal 21 3 4 3 2" xfId="17201" xr:uid="{00000000-0005-0000-0000-00002B430000}"/>
    <cellStyle name="Normal 21 3 4 3 2 2" xfId="17202" xr:uid="{00000000-0005-0000-0000-00002C430000}"/>
    <cellStyle name="Normal 21 3 4 3 2 3" xfId="17203" xr:uid="{00000000-0005-0000-0000-00002D430000}"/>
    <cellStyle name="Normal 21 3 4 3 2 4" xfId="17204" xr:uid="{00000000-0005-0000-0000-00002E430000}"/>
    <cellStyle name="Normal 21 3 4 3 2 5" xfId="17205" xr:uid="{00000000-0005-0000-0000-00002F430000}"/>
    <cellStyle name="Normal 21 3 4 3 2 6" xfId="17206" xr:uid="{00000000-0005-0000-0000-000030430000}"/>
    <cellStyle name="Normal 21 3 4 3 3" xfId="17207" xr:uid="{00000000-0005-0000-0000-000031430000}"/>
    <cellStyle name="Normal 21 3 4 3 3 2" xfId="17208" xr:uid="{00000000-0005-0000-0000-000032430000}"/>
    <cellStyle name="Normal 21 3 4 3 3 3" xfId="17209" xr:uid="{00000000-0005-0000-0000-000033430000}"/>
    <cellStyle name="Normal 21 3 4 3 3 4" xfId="17210" xr:uid="{00000000-0005-0000-0000-000034430000}"/>
    <cellStyle name="Normal 21 3 4 3 3 5" xfId="17211" xr:uid="{00000000-0005-0000-0000-000035430000}"/>
    <cellStyle name="Normal 21 3 4 3 3 6" xfId="17212" xr:uid="{00000000-0005-0000-0000-000036430000}"/>
    <cellStyle name="Normal 21 3 4 3 4" xfId="17213" xr:uid="{00000000-0005-0000-0000-000037430000}"/>
    <cellStyle name="Normal 21 3 4 3 5" xfId="17214" xr:uid="{00000000-0005-0000-0000-000038430000}"/>
    <cellStyle name="Normal 21 3 4 3 6" xfId="17215" xr:uid="{00000000-0005-0000-0000-000039430000}"/>
    <cellStyle name="Normal 21 3 4 3 7" xfId="17216" xr:uid="{00000000-0005-0000-0000-00003A430000}"/>
    <cellStyle name="Normal 21 3 4 3 8" xfId="17217" xr:uid="{00000000-0005-0000-0000-00003B430000}"/>
    <cellStyle name="Normal 21 3 4 4" xfId="17218" xr:uid="{00000000-0005-0000-0000-00003C430000}"/>
    <cellStyle name="Normal 21 3 4 4 2" xfId="17219" xr:uid="{00000000-0005-0000-0000-00003D430000}"/>
    <cellStyle name="Normal 21 3 4 4 2 2" xfId="17220" xr:uid="{00000000-0005-0000-0000-00003E430000}"/>
    <cellStyle name="Normal 21 3 4 4 2 3" xfId="17221" xr:uid="{00000000-0005-0000-0000-00003F430000}"/>
    <cellStyle name="Normal 21 3 4 4 2 4" xfId="17222" xr:uid="{00000000-0005-0000-0000-000040430000}"/>
    <cellStyle name="Normal 21 3 4 4 2 5" xfId="17223" xr:uid="{00000000-0005-0000-0000-000041430000}"/>
    <cellStyle name="Normal 21 3 4 4 2 6" xfId="17224" xr:uid="{00000000-0005-0000-0000-000042430000}"/>
    <cellStyle name="Normal 21 3 4 4 3" xfId="17225" xr:uid="{00000000-0005-0000-0000-000043430000}"/>
    <cellStyle name="Normal 21 3 4 4 3 2" xfId="17226" xr:uid="{00000000-0005-0000-0000-000044430000}"/>
    <cellStyle name="Normal 21 3 4 4 3 3" xfId="17227" xr:uid="{00000000-0005-0000-0000-000045430000}"/>
    <cellStyle name="Normal 21 3 4 4 3 4" xfId="17228" xr:uid="{00000000-0005-0000-0000-000046430000}"/>
    <cellStyle name="Normal 21 3 4 4 3 5" xfId="17229" xr:uid="{00000000-0005-0000-0000-000047430000}"/>
    <cellStyle name="Normal 21 3 4 4 3 6" xfId="17230" xr:uid="{00000000-0005-0000-0000-000048430000}"/>
    <cellStyle name="Normal 21 3 4 4 4" xfId="17231" xr:uid="{00000000-0005-0000-0000-000049430000}"/>
    <cellStyle name="Normal 21 3 4 4 5" xfId="17232" xr:uid="{00000000-0005-0000-0000-00004A430000}"/>
    <cellStyle name="Normal 21 3 4 4 6" xfId="17233" xr:uid="{00000000-0005-0000-0000-00004B430000}"/>
    <cellStyle name="Normal 21 3 4 4 7" xfId="17234" xr:uid="{00000000-0005-0000-0000-00004C430000}"/>
    <cellStyle name="Normal 21 3 4 4 8" xfId="17235" xr:uid="{00000000-0005-0000-0000-00004D430000}"/>
    <cellStyle name="Normal 21 3 4 5" xfId="17236" xr:uid="{00000000-0005-0000-0000-00004E430000}"/>
    <cellStyle name="Normal 21 3 4 5 2" xfId="17237" xr:uid="{00000000-0005-0000-0000-00004F430000}"/>
    <cellStyle name="Normal 21 3 4 5 2 2" xfId="17238" xr:uid="{00000000-0005-0000-0000-000050430000}"/>
    <cellStyle name="Normal 21 3 4 5 2 3" xfId="17239" xr:uid="{00000000-0005-0000-0000-000051430000}"/>
    <cellStyle name="Normal 21 3 4 5 2 4" xfId="17240" xr:uid="{00000000-0005-0000-0000-000052430000}"/>
    <cellStyle name="Normal 21 3 4 5 2 5" xfId="17241" xr:uid="{00000000-0005-0000-0000-000053430000}"/>
    <cellStyle name="Normal 21 3 4 5 2 6" xfId="17242" xr:uid="{00000000-0005-0000-0000-000054430000}"/>
    <cellStyle name="Normal 21 3 4 5 3" xfId="17243" xr:uid="{00000000-0005-0000-0000-000055430000}"/>
    <cellStyle name="Normal 21 3 4 5 3 2" xfId="17244" xr:uid="{00000000-0005-0000-0000-000056430000}"/>
    <cellStyle name="Normal 21 3 4 5 3 3" xfId="17245" xr:uid="{00000000-0005-0000-0000-000057430000}"/>
    <cellStyle name="Normal 21 3 4 5 3 4" xfId="17246" xr:uid="{00000000-0005-0000-0000-000058430000}"/>
    <cellStyle name="Normal 21 3 4 5 3 5" xfId="17247" xr:uid="{00000000-0005-0000-0000-000059430000}"/>
    <cellStyle name="Normal 21 3 4 5 3 6" xfId="17248" xr:uid="{00000000-0005-0000-0000-00005A430000}"/>
    <cellStyle name="Normal 21 3 4 5 4" xfId="17249" xr:uid="{00000000-0005-0000-0000-00005B430000}"/>
    <cellStyle name="Normal 21 3 4 5 5" xfId="17250" xr:uid="{00000000-0005-0000-0000-00005C430000}"/>
    <cellStyle name="Normal 21 3 4 5 6" xfId="17251" xr:uid="{00000000-0005-0000-0000-00005D430000}"/>
    <cellStyle name="Normal 21 3 4 5 7" xfId="17252" xr:uid="{00000000-0005-0000-0000-00005E430000}"/>
    <cellStyle name="Normal 21 3 4 5 8" xfId="17253" xr:uid="{00000000-0005-0000-0000-00005F430000}"/>
    <cellStyle name="Normal 21 3 4 6" xfId="17254" xr:uid="{00000000-0005-0000-0000-000060430000}"/>
    <cellStyle name="Normal 21 3 4 6 2" xfId="17255" xr:uid="{00000000-0005-0000-0000-000061430000}"/>
    <cellStyle name="Normal 21 3 4 6 3" xfId="17256" xr:uid="{00000000-0005-0000-0000-000062430000}"/>
    <cellStyle name="Normal 21 3 4 6 4" xfId="17257" xr:uid="{00000000-0005-0000-0000-000063430000}"/>
    <cellStyle name="Normal 21 3 4 6 5" xfId="17258" xr:uid="{00000000-0005-0000-0000-000064430000}"/>
    <cellStyle name="Normal 21 3 4 6 6" xfId="17259" xr:uid="{00000000-0005-0000-0000-000065430000}"/>
    <cellStyle name="Normal 21 3 4 7" xfId="17260" xr:uid="{00000000-0005-0000-0000-000066430000}"/>
    <cellStyle name="Normal 21 3 4 7 2" xfId="17261" xr:uid="{00000000-0005-0000-0000-000067430000}"/>
    <cellStyle name="Normal 21 3 4 7 3" xfId="17262" xr:uid="{00000000-0005-0000-0000-000068430000}"/>
    <cellStyle name="Normal 21 3 4 7 4" xfId="17263" xr:uid="{00000000-0005-0000-0000-000069430000}"/>
    <cellStyle name="Normal 21 3 4 7 5" xfId="17264" xr:uid="{00000000-0005-0000-0000-00006A430000}"/>
    <cellStyle name="Normal 21 3 4 7 6" xfId="17265" xr:uid="{00000000-0005-0000-0000-00006B430000}"/>
    <cellStyle name="Normal 21 3 4 8" xfId="17266" xr:uid="{00000000-0005-0000-0000-00006C430000}"/>
    <cellStyle name="Normal 21 3 4 9" xfId="17267" xr:uid="{00000000-0005-0000-0000-00006D430000}"/>
    <cellStyle name="Normal 21 3 5" xfId="17268" xr:uid="{00000000-0005-0000-0000-00006E430000}"/>
    <cellStyle name="Normal 21 3 5 10" xfId="17269" xr:uid="{00000000-0005-0000-0000-00006F430000}"/>
    <cellStyle name="Normal 21 3 5 11" xfId="17270" xr:uid="{00000000-0005-0000-0000-000070430000}"/>
    <cellStyle name="Normal 21 3 5 2" xfId="17271" xr:uid="{00000000-0005-0000-0000-000071430000}"/>
    <cellStyle name="Normal 21 3 5 2 2" xfId="17272" xr:uid="{00000000-0005-0000-0000-000072430000}"/>
    <cellStyle name="Normal 21 3 5 2 2 2" xfId="17273" xr:uid="{00000000-0005-0000-0000-000073430000}"/>
    <cellStyle name="Normal 21 3 5 2 2 3" xfId="17274" xr:uid="{00000000-0005-0000-0000-000074430000}"/>
    <cellStyle name="Normal 21 3 5 2 2 4" xfId="17275" xr:uid="{00000000-0005-0000-0000-000075430000}"/>
    <cellStyle name="Normal 21 3 5 2 2 5" xfId="17276" xr:uid="{00000000-0005-0000-0000-000076430000}"/>
    <cellStyle name="Normal 21 3 5 2 2 6" xfId="17277" xr:uid="{00000000-0005-0000-0000-000077430000}"/>
    <cellStyle name="Normal 21 3 5 2 3" xfId="17278" xr:uid="{00000000-0005-0000-0000-000078430000}"/>
    <cellStyle name="Normal 21 3 5 2 3 2" xfId="17279" xr:uid="{00000000-0005-0000-0000-000079430000}"/>
    <cellStyle name="Normal 21 3 5 2 3 3" xfId="17280" xr:uid="{00000000-0005-0000-0000-00007A430000}"/>
    <cellStyle name="Normal 21 3 5 2 3 4" xfId="17281" xr:uid="{00000000-0005-0000-0000-00007B430000}"/>
    <cellStyle name="Normal 21 3 5 2 3 5" xfId="17282" xr:uid="{00000000-0005-0000-0000-00007C430000}"/>
    <cellStyle name="Normal 21 3 5 2 3 6" xfId="17283" xr:uid="{00000000-0005-0000-0000-00007D430000}"/>
    <cellStyle name="Normal 21 3 5 2 4" xfId="17284" xr:uid="{00000000-0005-0000-0000-00007E430000}"/>
    <cellStyle name="Normal 21 3 5 2 5" xfId="17285" xr:uid="{00000000-0005-0000-0000-00007F430000}"/>
    <cellStyle name="Normal 21 3 5 2 6" xfId="17286" xr:uid="{00000000-0005-0000-0000-000080430000}"/>
    <cellStyle name="Normal 21 3 5 2 7" xfId="17287" xr:uid="{00000000-0005-0000-0000-000081430000}"/>
    <cellStyle name="Normal 21 3 5 2 8" xfId="17288" xr:uid="{00000000-0005-0000-0000-000082430000}"/>
    <cellStyle name="Normal 21 3 5 3" xfId="17289" xr:uid="{00000000-0005-0000-0000-000083430000}"/>
    <cellStyle name="Normal 21 3 5 3 2" xfId="17290" xr:uid="{00000000-0005-0000-0000-000084430000}"/>
    <cellStyle name="Normal 21 3 5 3 2 2" xfId="17291" xr:uid="{00000000-0005-0000-0000-000085430000}"/>
    <cellStyle name="Normal 21 3 5 3 2 3" xfId="17292" xr:uid="{00000000-0005-0000-0000-000086430000}"/>
    <cellStyle name="Normal 21 3 5 3 2 4" xfId="17293" xr:uid="{00000000-0005-0000-0000-000087430000}"/>
    <cellStyle name="Normal 21 3 5 3 2 5" xfId="17294" xr:uid="{00000000-0005-0000-0000-000088430000}"/>
    <cellStyle name="Normal 21 3 5 3 2 6" xfId="17295" xr:uid="{00000000-0005-0000-0000-000089430000}"/>
    <cellStyle name="Normal 21 3 5 3 3" xfId="17296" xr:uid="{00000000-0005-0000-0000-00008A430000}"/>
    <cellStyle name="Normal 21 3 5 3 3 2" xfId="17297" xr:uid="{00000000-0005-0000-0000-00008B430000}"/>
    <cellStyle name="Normal 21 3 5 3 3 3" xfId="17298" xr:uid="{00000000-0005-0000-0000-00008C430000}"/>
    <cellStyle name="Normal 21 3 5 3 3 4" xfId="17299" xr:uid="{00000000-0005-0000-0000-00008D430000}"/>
    <cellStyle name="Normal 21 3 5 3 3 5" xfId="17300" xr:uid="{00000000-0005-0000-0000-00008E430000}"/>
    <cellStyle name="Normal 21 3 5 3 3 6" xfId="17301" xr:uid="{00000000-0005-0000-0000-00008F430000}"/>
    <cellStyle name="Normal 21 3 5 3 4" xfId="17302" xr:uid="{00000000-0005-0000-0000-000090430000}"/>
    <cellStyle name="Normal 21 3 5 3 5" xfId="17303" xr:uid="{00000000-0005-0000-0000-000091430000}"/>
    <cellStyle name="Normal 21 3 5 3 6" xfId="17304" xr:uid="{00000000-0005-0000-0000-000092430000}"/>
    <cellStyle name="Normal 21 3 5 3 7" xfId="17305" xr:uid="{00000000-0005-0000-0000-000093430000}"/>
    <cellStyle name="Normal 21 3 5 3 8" xfId="17306" xr:uid="{00000000-0005-0000-0000-000094430000}"/>
    <cellStyle name="Normal 21 3 5 4" xfId="17307" xr:uid="{00000000-0005-0000-0000-000095430000}"/>
    <cellStyle name="Normal 21 3 5 4 2" xfId="17308" xr:uid="{00000000-0005-0000-0000-000096430000}"/>
    <cellStyle name="Normal 21 3 5 4 2 2" xfId="17309" xr:uid="{00000000-0005-0000-0000-000097430000}"/>
    <cellStyle name="Normal 21 3 5 4 2 3" xfId="17310" xr:uid="{00000000-0005-0000-0000-000098430000}"/>
    <cellStyle name="Normal 21 3 5 4 2 4" xfId="17311" xr:uid="{00000000-0005-0000-0000-000099430000}"/>
    <cellStyle name="Normal 21 3 5 4 2 5" xfId="17312" xr:uid="{00000000-0005-0000-0000-00009A430000}"/>
    <cellStyle name="Normal 21 3 5 4 2 6" xfId="17313" xr:uid="{00000000-0005-0000-0000-00009B430000}"/>
    <cellStyle name="Normal 21 3 5 4 3" xfId="17314" xr:uid="{00000000-0005-0000-0000-00009C430000}"/>
    <cellStyle name="Normal 21 3 5 4 3 2" xfId="17315" xr:uid="{00000000-0005-0000-0000-00009D430000}"/>
    <cellStyle name="Normal 21 3 5 4 3 3" xfId="17316" xr:uid="{00000000-0005-0000-0000-00009E430000}"/>
    <cellStyle name="Normal 21 3 5 4 3 4" xfId="17317" xr:uid="{00000000-0005-0000-0000-00009F430000}"/>
    <cellStyle name="Normal 21 3 5 4 3 5" xfId="17318" xr:uid="{00000000-0005-0000-0000-0000A0430000}"/>
    <cellStyle name="Normal 21 3 5 4 3 6" xfId="17319" xr:uid="{00000000-0005-0000-0000-0000A1430000}"/>
    <cellStyle name="Normal 21 3 5 4 4" xfId="17320" xr:uid="{00000000-0005-0000-0000-0000A2430000}"/>
    <cellStyle name="Normal 21 3 5 4 5" xfId="17321" xr:uid="{00000000-0005-0000-0000-0000A3430000}"/>
    <cellStyle name="Normal 21 3 5 4 6" xfId="17322" xr:uid="{00000000-0005-0000-0000-0000A4430000}"/>
    <cellStyle name="Normal 21 3 5 4 7" xfId="17323" xr:uid="{00000000-0005-0000-0000-0000A5430000}"/>
    <cellStyle name="Normal 21 3 5 4 8" xfId="17324" xr:uid="{00000000-0005-0000-0000-0000A6430000}"/>
    <cellStyle name="Normal 21 3 5 5" xfId="17325" xr:uid="{00000000-0005-0000-0000-0000A7430000}"/>
    <cellStyle name="Normal 21 3 5 5 2" xfId="17326" xr:uid="{00000000-0005-0000-0000-0000A8430000}"/>
    <cellStyle name="Normal 21 3 5 5 3" xfId="17327" xr:uid="{00000000-0005-0000-0000-0000A9430000}"/>
    <cellStyle name="Normal 21 3 5 5 4" xfId="17328" xr:uid="{00000000-0005-0000-0000-0000AA430000}"/>
    <cellStyle name="Normal 21 3 5 5 5" xfId="17329" xr:uid="{00000000-0005-0000-0000-0000AB430000}"/>
    <cellStyle name="Normal 21 3 5 5 6" xfId="17330" xr:uid="{00000000-0005-0000-0000-0000AC430000}"/>
    <cellStyle name="Normal 21 3 5 6" xfId="17331" xr:uid="{00000000-0005-0000-0000-0000AD430000}"/>
    <cellStyle name="Normal 21 3 5 6 2" xfId="17332" xr:uid="{00000000-0005-0000-0000-0000AE430000}"/>
    <cellStyle name="Normal 21 3 5 6 3" xfId="17333" xr:uid="{00000000-0005-0000-0000-0000AF430000}"/>
    <cellStyle name="Normal 21 3 5 6 4" xfId="17334" xr:uid="{00000000-0005-0000-0000-0000B0430000}"/>
    <cellStyle name="Normal 21 3 5 6 5" xfId="17335" xr:uid="{00000000-0005-0000-0000-0000B1430000}"/>
    <cellStyle name="Normal 21 3 5 6 6" xfId="17336" xr:uid="{00000000-0005-0000-0000-0000B2430000}"/>
    <cellStyle name="Normal 21 3 5 7" xfId="17337" xr:uid="{00000000-0005-0000-0000-0000B3430000}"/>
    <cellStyle name="Normal 21 3 5 8" xfId="17338" xr:uid="{00000000-0005-0000-0000-0000B4430000}"/>
    <cellStyle name="Normal 21 3 5 9" xfId="17339" xr:uid="{00000000-0005-0000-0000-0000B5430000}"/>
    <cellStyle name="Normal 21 3 6" xfId="17340" xr:uid="{00000000-0005-0000-0000-0000B6430000}"/>
    <cellStyle name="Normal 21 3 6 2" xfId="17341" xr:uid="{00000000-0005-0000-0000-0000B7430000}"/>
    <cellStyle name="Normal 21 3 6 2 2" xfId="17342" xr:uid="{00000000-0005-0000-0000-0000B8430000}"/>
    <cellStyle name="Normal 21 3 6 2 3" xfId="17343" xr:uid="{00000000-0005-0000-0000-0000B9430000}"/>
    <cellStyle name="Normal 21 3 6 2 4" xfId="17344" xr:uid="{00000000-0005-0000-0000-0000BA430000}"/>
    <cellStyle name="Normal 21 3 6 2 5" xfId="17345" xr:uid="{00000000-0005-0000-0000-0000BB430000}"/>
    <cellStyle name="Normal 21 3 6 2 6" xfId="17346" xr:uid="{00000000-0005-0000-0000-0000BC430000}"/>
    <cellStyle name="Normal 21 3 6 3" xfId="17347" xr:uid="{00000000-0005-0000-0000-0000BD430000}"/>
    <cellStyle name="Normal 21 3 6 3 2" xfId="17348" xr:uid="{00000000-0005-0000-0000-0000BE430000}"/>
    <cellStyle name="Normal 21 3 6 3 3" xfId="17349" xr:uid="{00000000-0005-0000-0000-0000BF430000}"/>
    <cellStyle name="Normal 21 3 6 3 4" xfId="17350" xr:uid="{00000000-0005-0000-0000-0000C0430000}"/>
    <cellStyle name="Normal 21 3 6 3 5" xfId="17351" xr:uid="{00000000-0005-0000-0000-0000C1430000}"/>
    <cellStyle name="Normal 21 3 6 3 6" xfId="17352" xr:uid="{00000000-0005-0000-0000-0000C2430000}"/>
    <cellStyle name="Normal 21 3 6 4" xfId="17353" xr:uid="{00000000-0005-0000-0000-0000C3430000}"/>
    <cellStyle name="Normal 21 3 6 5" xfId="17354" xr:uid="{00000000-0005-0000-0000-0000C4430000}"/>
    <cellStyle name="Normal 21 3 6 6" xfId="17355" xr:uid="{00000000-0005-0000-0000-0000C5430000}"/>
    <cellStyle name="Normal 21 3 6 7" xfId="17356" xr:uid="{00000000-0005-0000-0000-0000C6430000}"/>
    <cellStyle name="Normal 21 3 6 8" xfId="17357" xr:uid="{00000000-0005-0000-0000-0000C7430000}"/>
    <cellStyle name="Normal 21 3 7" xfId="17358" xr:uid="{00000000-0005-0000-0000-0000C8430000}"/>
    <cellStyle name="Normal 21 3 7 2" xfId="17359" xr:uid="{00000000-0005-0000-0000-0000C9430000}"/>
    <cellStyle name="Normal 21 3 7 2 2" xfId="17360" xr:uid="{00000000-0005-0000-0000-0000CA430000}"/>
    <cellStyle name="Normal 21 3 7 2 3" xfId="17361" xr:uid="{00000000-0005-0000-0000-0000CB430000}"/>
    <cellStyle name="Normal 21 3 7 2 4" xfId="17362" xr:uid="{00000000-0005-0000-0000-0000CC430000}"/>
    <cellStyle name="Normal 21 3 7 2 5" xfId="17363" xr:uid="{00000000-0005-0000-0000-0000CD430000}"/>
    <cellStyle name="Normal 21 3 7 2 6" xfId="17364" xr:uid="{00000000-0005-0000-0000-0000CE430000}"/>
    <cellStyle name="Normal 21 3 7 3" xfId="17365" xr:uid="{00000000-0005-0000-0000-0000CF430000}"/>
    <cellStyle name="Normal 21 3 7 3 2" xfId="17366" xr:uid="{00000000-0005-0000-0000-0000D0430000}"/>
    <cellStyle name="Normal 21 3 7 3 3" xfId="17367" xr:uid="{00000000-0005-0000-0000-0000D1430000}"/>
    <cellStyle name="Normal 21 3 7 3 4" xfId="17368" xr:uid="{00000000-0005-0000-0000-0000D2430000}"/>
    <cellStyle name="Normal 21 3 7 3 5" xfId="17369" xr:uid="{00000000-0005-0000-0000-0000D3430000}"/>
    <cellStyle name="Normal 21 3 7 3 6" xfId="17370" xr:uid="{00000000-0005-0000-0000-0000D4430000}"/>
    <cellStyle name="Normal 21 3 7 4" xfId="17371" xr:uid="{00000000-0005-0000-0000-0000D5430000}"/>
    <cellStyle name="Normal 21 3 7 5" xfId="17372" xr:uid="{00000000-0005-0000-0000-0000D6430000}"/>
    <cellStyle name="Normal 21 3 7 6" xfId="17373" xr:uid="{00000000-0005-0000-0000-0000D7430000}"/>
    <cellStyle name="Normal 21 3 7 7" xfId="17374" xr:uid="{00000000-0005-0000-0000-0000D8430000}"/>
    <cellStyle name="Normal 21 3 7 8" xfId="17375" xr:uid="{00000000-0005-0000-0000-0000D9430000}"/>
    <cellStyle name="Normal 21 3 8" xfId="17376" xr:uid="{00000000-0005-0000-0000-0000DA430000}"/>
    <cellStyle name="Normal 21 3 8 2" xfId="17377" xr:uid="{00000000-0005-0000-0000-0000DB430000}"/>
    <cellStyle name="Normal 21 3 8 2 2" xfId="17378" xr:uid="{00000000-0005-0000-0000-0000DC430000}"/>
    <cellStyle name="Normal 21 3 8 2 3" xfId="17379" xr:uid="{00000000-0005-0000-0000-0000DD430000}"/>
    <cellStyle name="Normal 21 3 8 2 4" xfId="17380" xr:uid="{00000000-0005-0000-0000-0000DE430000}"/>
    <cellStyle name="Normal 21 3 8 2 5" xfId="17381" xr:uid="{00000000-0005-0000-0000-0000DF430000}"/>
    <cellStyle name="Normal 21 3 8 2 6" xfId="17382" xr:uid="{00000000-0005-0000-0000-0000E0430000}"/>
    <cellStyle name="Normal 21 3 8 3" xfId="17383" xr:uid="{00000000-0005-0000-0000-0000E1430000}"/>
    <cellStyle name="Normal 21 3 8 3 2" xfId="17384" xr:uid="{00000000-0005-0000-0000-0000E2430000}"/>
    <cellStyle name="Normal 21 3 8 3 3" xfId="17385" xr:uid="{00000000-0005-0000-0000-0000E3430000}"/>
    <cellStyle name="Normal 21 3 8 3 4" xfId="17386" xr:uid="{00000000-0005-0000-0000-0000E4430000}"/>
    <cellStyle name="Normal 21 3 8 3 5" xfId="17387" xr:uid="{00000000-0005-0000-0000-0000E5430000}"/>
    <cellStyle name="Normal 21 3 8 3 6" xfId="17388" xr:uid="{00000000-0005-0000-0000-0000E6430000}"/>
    <cellStyle name="Normal 21 3 8 4" xfId="17389" xr:uid="{00000000-0005-0000-0000-0000E7430000}"/>
    <cellStyle name="Normal 21 3 8 5" xfId="17390" xr:uid="{00000000-0005-0000-0000-0000E8430000}"/>
    <cellStyle name="Normal 21 3 8 6" xfId="17391" xr:uid="{00000000-0005-0000-0000-0000E9430000}"/>
    <cellStyle name="Normal 21 3 8 7" xfId="17392" xr:uid="{00000000-0005-0000-0000-0000EA430000}"/>
    <cellStyle name="Normal 21 3 8 8" xfId="17393" xr:uid="{00000000-0005-0000-0000-0000EB430000}"/>
    <cellStyle name="Normal 21 3 9" xfId="17394" xr:uid="{00000000-0005-0000-0000-0000EC430000}"/>
    <cellStyle name="Normal 21 3 9 2" xfId="17395" xr:uid="{00000000-0005-0000-0000-0000ED430000}"/>
    <cellStyle name="Normal 21 3 9 3" xfId="17396" xr:uid="{00000000-0005-0000-0000-0000EE430000}"/>
    <cellStyle name="Normal 21 3 9 4" xfId="17397" xr:uid="{00000000-0005-0000-0000-0000EF430000}"/>
    <cellStyle name="Normal 21 3 9 5" xfId="17398" xr:uid="{00000000-0005-0000-0000-0000F0430000}"/>
    <cellStyle name="Normal 21 3 9 6" xfId="17399" xr:uid="{00000000-0005-0000-0000-0000F1430000}"/>
    <cellStyle name="Normal 21 4" xfId="17400" xr:uid="{00000000-0005-0000-0000-0000F2430000}"/>
    <cellStyle name="Normal 21 4 10" xfId="17401" xr:uid="{00000000-0005-0000-0000-0000F3430000}"/>
    <cellStyle name="Normal 21 4 11" xfId="17402" xr:uid="{00000000-0005-0000-0000-0000F4430000}"/>
    <cellStyle name="Normal 21 4 12" xfId="17403" xr:uid="{00000000-0005-0000-0000-0000F5430000}"/>
    <cellStyle name="Normal 21 4 13" xfId="17404" xr:uid="{00000000-0005-0000-0000-0000F6430000}"/>
    <cellStyle name="Normal 21 4 14" xfId="17405" xr:uid="{00000000-0005-0000-0000-0000F7430000}"/>
    <cellStyle name="Normal 21 4 2" xfId="17406" xr:uid="{00000000-0005-0000-0000-0000F8430000}"/>
    <cellStyle name="Normal 21 4 2 10" xfId="17407" xr:uid="{00000000-0005-0000-0000-0000F9430000}"/>
    <cellStyle name="Normal 21 4 2 11" xfId="17408" xr:uid="{00000000-0005-0000-0000-0000FA430000}"/>
    <cellStyle name="Normal 21 4 2 12" xfId="17409" xr:uid="{00000000-0005-0000-0000-0000FB430000}"/>
    <cellStyle name="Normal 21 4 2 2" xfId="17410" xr:uid="{00000000-0005-0000-0000-0000FC430000}"/>
    <cellStyle name="Normal 21 4 2 2 10" xfId="17411" xr:uid="{00000000-0005-0000-0000-0000FD430000}"/>
    <cellStyle name="Normal 21 4 2 2 11" xfId="17412" xr:uid="{00000000-0005-0000-0000-0000FE430000}"/>
    <cellStyle name="Normal 21 4 2 2 2" xfId="17413" xr:uid="{00000000-0005-0000-0000-0000FF430000}"/>
    <cellStyle name="Normal 21 4 2 2 2 2" xfId="17414" xr:uid="{00000000-0005-0000-0000-000000440000}"/>
    <cellStyle name="Normal 21 4 2 2 2 2 2" xfId="17415" xr:uid="{00000000-0005-0000-0000-000001440000}"/>
    <cellStyle name="Normal 21 4 2 2 2 2 3" xfId="17416" xr:uid="{00000000-0005-0000-0000-000002440000}"/>
    <cellStyle name="Normal 21 4 2 2 2 2 4" xfId="17417" xr:uid="{00000000-0005-0000-0000-000003440000}"/>
    <cellStyle name="Normal 21 4 2 2 2 2 5" xfId="17418" xr:uid="{00000000-0005-0000-0000-000004440000}"/>
    <cellStyle name="Normal 21 4 2 2 2 2 6" xfId="17419" xr:uid="{00000000-0005-0000-0000-000005440000}"/>
    <cellStyle name="Normal 21 4 2 2 2 3" xfId="17420" xr:uid="{00000000-0005-0000-0000-000006440000}"/>
    <cellStyle name="Normal 21 4 2 2 2 3 2" xfId="17421" xr:uid="{00000000-0005-0000-0000-000007440000}"/>
    <cellStyle name="Normal 21 4 2 2 2 3 3" xfId="17422" xr:uid="{00000000-0005-0000-0000-000008440000}"/>
    <cellStyle name="Normal 21 4 2 2 2 3 4" xfId="17423" xr:uid="{00000000-0005-0000-0000-000009440000}"/>
    <cellStyle name="Normal 21 4 2 2 2 3 5" xfId="17424" xr:uid="{00000000-0005-0000-0000-00000A440000}"/>
    <cellStyle name="Normal 21 4 2 2 2 3 6" xfId="17425" xr:uid="{00000000-0005-0000-0000-00000B440000}"/>
    <cellStyle name="Normal 21 4 2 2 2 4" xfId="17426" xr:uid="{00000000-0005-0000-0000-00000C440000}"/>
    <cellStyle name="Normal 21 4 2 2 2 5" xfId="17427" xr:uid="{00000000-0005-0000-0000-00000D440000}"/>
    <cellStyle name="Normal 21 4 2 2 2 6" xfId="17428" xr:uid="{00000000-0005-0000-0000-00000E440000}"/>
    <cellStyle name="Normal 21 4 2 2 2 7" xfId="17429" xr:uid="{00000000-0005-0000-0000-00000F440000}"/>
    <cellStyle name="Normal 21 4 2 2 2 8" xfId="17430" xr:uid="{00000000-0005-0000-0000-000010440000}"/>
    <cellStyle name="Normal 21 4 2 2 3" xfId="17431" xr:uid="{00000000-0005-0000-0000-000011440000}"/>
    <cellStyle name="Normal 21 4 2 2 3 2" xfId="17432" xr:uid="{00000000-0005-0000-0000-000012440000}"/>
    <cellStyle name="Normal 21 4 2 2 3 2 2" xfId="17433" xr:uid="{00000000-0005-0000-0000-000013440000}"/>
    <cellStyle name="Normal 21 4 2 2 3 2 3" xfId="17434" xr:uid="{00000000-0005-0000-0000-000014440000}"/>
    <cellStyle name="Normal 21 4 2 2 3 2 4" xfId="17435" xr:uid="{00000000-0005-0000-0000-000015440000}"/>
    <cellStyle name="Normal 21 4 2 2 3 2 5" xfId="17436" xr:uid="{00000000-0005-0000-0000-000016440000}"/>
    <cellStyle name="Normal 21 4 2 2 3 2 6" xfId="17437" xr:uid="{00000000-0005-0000-0000-000017440000}"/>
    <cellStyle name="Normal 21 4 2 2 3 3" xfId="17438" xr:uid="{00000000-0005-0000-0000-000018440000}"/>
    <cellStyle name="Normal 21 4 2 2 3 3 2" xfId="17439" xr:uid="{00000000-0005-0000-0000-000019440000}"/>
    <cellStyle name="Normal 21 4 2 2 3 3 3" xfId="17440" xr:uid="{00000000-0005-0000-0000-00001A440000}"/>
    <cellStyle name="Normal 21 4 2 2 3 3 4" xfId="17441" xr:uid="{00000000-0005-0000-0000-00001B440000}"/>
    <cellStyle name="Normal 21 4 2 2 3 3 5" xfId="17442" xr:uid="{00000000-0005-0000-0000-00001C440000}"/>
    <cellStyle name="Normal 21 4 2 2 3 3 6" xfId="17443" xr:uid="{00000000-0005-0000-0000-00001D440000}"/>
    <cellStyle name="Normal 21 4 2 2 3 4" xfId="17444" xr:uid="{00000000-0005-0000-0000-00001E440000}"/>
    <cellStyle name="Normal 21 4 2 2 3 5" xfId="17445" xr:uid="{00000000-0005-0000-0000-00001F440000}"/>
    <cellStyle name="Normal 21 4 2 2 3 6" xfId="17446" xr:uid="{00000000-0005-0000-0000-000020440000}"/>
    <cellStyle name="Normal 21 4 2 2 3 7" xfId="17447" xr:uid="{00000000-0005-0000-0000-000021440000}"/>
    <cellStyle name="Normal 21 4 2 2 3 8" xfId="17448" xr:uid="{00000000-0005-0000-0000-000022440000}"/>
    <cellStyle name="Normal 21 4 2 2 4" xfId="17449" xr:uid="{00000000-0005-0000-0000-000023440000}"/>
    <cellStyle name="Normal 21 4 2 2 4 2" xfId="17450" xr:uid="{00000000-0005-0000-0000-000024440000}"/>
    <cellStyle name="Normal 21 4 2 2 4 2 2" xfId="17451" xr:uid="{00000000-0005-0000-0000-000025440000}"/>
    <cellStyle name="Normal 21 4 2 2 4 2 3" xfId="17452" xr:uid="{00000000-0005-0000-0000-000026440000}"/>
    <cellStyle name="Normal 21 4 2 2 4 2 4" xfId="17453" xr:uid="{00000000-0005-0000-0000-000027440000}"/>
    <cellStyle name="Normal 21 4 2 2 4 2 5" xfId="17454" xr:uid="{00000000-0005-0000-0000-000028440000}"/>
    <cellStyle name="Normal 21 4 2 2 4 2 6" xfId="17455" xr:uid="{00000000-0005-0000-0000-000029440000}"/>
    <cellStyle name="Normal 21 4 2 2 4 3" xfId="17456" xr:uid="{00000000-0005-0000-0000-00002A440000}"/>
    <cellStyle name="Normal 21 4 2 2 4 3 2" xfId="17457" xr:uid="{00000000-0005-0000-0000-00002B440000}"/>
    <cellStyle name="Normal 21 4 2 2 4 3 3" xfId="17458" xr:uid="{00000000-0005-0000-0000-00002C440000}"/>
    <cellStyle name="Normal 21 4 2 2 4 3 4" xfId="17459" xr:uid="{00000000-0005-0000-0000-00002D440000}"/>
    <cellStyle name="Normal 21 4 2 2 4 3 5" xfId="17460" xr:uid="{00000000-0005-0000-0000-00002E440000}"/>
    <cellStyle name="Normal 21 4 2 2 4 3 6" xfId="17461" xr:uid="{00000000-0005-0000-0000-00002F440000}"/>
    <cellStyle name="Normal 21 4 2 2 4 4" xfId="17462" xr:uid="{00000000-0005-0000-0000-000030440000}"/>
    <cellStyle name="Normal 21 4 2 2 4 5" xfId="17463" xr:uid="{00000000-0005-0000-0000-000031440000}"/>
    <cellStyle name="Normal 21 4 2 2 4 6" xfId="17464" xr:uid="{00000000-0005-0000-0000-000032440000}"/>
    <cellStyle name="Normal 21 4 2 2 4 7" xfId="17465" xr:uid="{00000000-0005-0000-0000-000033440000}"/>
    <cellStyle name="Normal 21 4 2 2 4 8" xfId="17466" xr:uid="{00000000-0005-0000-0000-000034440000}"/>
    <cellStyle name="Normal 21 4 2 2 5" xfId="17467" xr:uid="{00000000-0005-0000-0000-000035440000}"/>
    <cellStyle name="Normal 21 4 2 2 5 2" xfId="17468" xr:uid="{00000000-0005-0000-0000-000036440000}"/>
    <cellStyle name="Normal 21 4 2 2 5 3" xfId="17469" xr:uid="{00000000-0005-0000-0000-000037440000}"/>
    <cellStyle name="Normal 21 4 2 2 5 4" xfId="17470" xr:uid="{00000000-0005-0000-0000-000038440000}"/>
    <cellStyle name="Normal 21 4 2 2 5 5" xfId="17471" xr:uid="{00000000-0005-0000-0000-000039440000}"/>
    <cellStyle name="Normal 21 4 2 2 5 6" xfId="17472" xr:uid="{00000000-0005-0000-0000-00003A440000}"/>
    <cellStyle name="Normal 21 4 2 2 6" xfId="17473" xr:uid="{00000000-0005-0000-0000-00003B440000}"/>
    <cellStyle name="Normal 21 4 2 2 6 2" xfId="17474" xr:uid="{00000000-0005-0000-0000-00003C440000}"/>
    <cellStyle name="Normal 21 4 2 2 6 3" xfId="17475" xr:uid="{00000000-0005-0000-0000-00003D440000}"/>
    <cellStyle name="Normal 21 4 2 2 6 4" xfId="17476" xr:uid="{00000000-0005-0000-0000-00003E440000}"/>
    <cellStyle name="Normal 21 4 2 2 6 5" xfId="17477" xr:uid="{00000000-0005-0000-0000-00003F440000}"/>
    <cellStyle name="Normal 21 4 2 2 6 6" xfId="17478" xr:uid="{00000000-0005-0000-0000-000040440000}"/>
    <cellStyle name="Normal 21 4 2 2 7" xfId="17479" xr:uid="{00000000-0005-0000-0000-000041440000}"/>
    <cellStyle name="Normal 21 4 2 2 8" xfId="17480" xr:uid="{00000000-0005-0000-0000-000042440000}"/>
    <cellStyle name="Normal 21 4 2 2 9" xfId="17481" xr:uid="{00000000-0005-0000-0000-000043440000}"/>
    <cellStyle name="Normal 21 4 2 3" xfId="17482" xr:uid="{00000000-0005-0000-0000-000044440000}"/>
    <cellStyle name="Normal 21 4 2 3 2" xfId="17483" xr:uid="{00000000-0005-0000-0000-000045440000}"/>
    <cellStyle name="Normal 21 4 2 3 2 2" xfId="17484" xr:uid="{00000000-0005-0000-0000-000046440000}"/>
    <cellStyle name="Normal 21 4 2 3 2 3" xfId="17485" xr:uid="{00000000-0005-0000-0000-000047440000}"/>
    <cellStyle name="Normal 21 4 2 3 2 4" xfId="17486" xr:uid="{00000000-0005-0000-0000-000048440000}"/>
    <cellStyle name="Normal 21 4 2 3 2 5" xfId="17487" xr:uid="{00000000-0005-0000-0000-000049440000}"/>
    <cellStyle name="Normal 21 4 2 3 2 6" xfId="17488" xr:uid="{00000000-0005-0000-0000-00004A440000}"/>
    <cellStyle name="Normal 21 4 2 3 3" xfId="17489" xr:uid="{00000000-0005-0000-0000-00004B440000}"/>
    <cellStyle name="Normal 21 4 2 3 3 2" xfId="17490" xr:uid="{00000000-0005-0000-0000-00004C440000}"/>
    <cellStyle name="Normal 21 4 2 3 3 3" xfId="17491" xr:uid="{00000000-0005-0000-0000-00004D440000}"/>
    <cellStyle name="Normal 21 4 2 3 3 4" xfId="17492" xr:uid="{00000000-0005-0000-0000-00004E440000}"/>
    <cellStyle name="Normal 21 4 2 3 3 5" xfId="17493" xr:uid="{00000000-0005-0000-0000-00004F440000}"/>
    <cellStyle name="Normal 21 4 2 3 3 6" xfId="17494" xr:uid="{00000000-0005-0000-0000-000050440000}"/>
    <cellStyle name="Normal 21 4 2 3 4" xfId="17495" xr:uid="{00000000-0005-0000-0000-000051440000}"/>
    <cellStyle name="Normal 21 4 2 3 5" xfId="17496" xr:uid="{00000000-0005-0000-0000-000052440000}"/>
    <cellStyle name="Normal 21 4 2 3 6" xfId="17497" xr:uid="{00000000-0005-0000-0000-000053440000}"/>
    <cellStyle name="Normal 21 4 2 3 7" xfId="17498" xr:uid="{00000000-0005-0000-0000-000054440000}"/>
    <cellStyle name="Normal 21 4 2 3 8" xfId="17499" xr:uid="{00000000-0005-0000-0000-000055440000}"/>
    <cellStyle name="Normal 21 4 2 4" xfId="17500" xr:uid="{00000000-0005-0000-0000-000056440000}"/>
    <cellStyle name="Normal 21 4 2 4 2" xfId="17501" xr:uid="{00000000-0005-0000-0000-000057440000}"/>
    <cellStyle name="Normal 21 4 2 4 2 2" xfId="17502" xr:uid="{00000000-0005-0000-0000-000058440000}"/>
    <cellStyle name="Normal 21 4 2 4 2 3" xfId="17503" xr:uid="{00000000-0005-0000-0000-000059440000}"/>
    <cellStyle name="Normal 21 4 2 4 2 4" xfId="17504" xr:uid="{00000000-0005-0000-0000-00005A440000}"/>
    <cellStyle name="Normal 21 4 2 4 2 5" xfId="17505" xr:uid="{00000000-0005-0000-0000-00005B440000}"/>
    <cellStyle name="Normal 21 4 2 4 2 6" xfId="17506" xr:uid="{00000000-0005-0000-0000-00005C440000}"/>
    <cellStyle name="Normal 21 4 2 4 3" xfId="17507" xr:uid="{00000000-0005-0000-0000-00005D440000}"/>
    <cellStyle name="Normal 21 4 2 4 3 2" xfId="17508" xr:uid="{00000000-0005-0000-0000-00005E440000}"/>
    <cellStyle name="Normal 21 4 2 4 3 3" xfId="17509" xr:uid="{00000000-0005-0000-0000-00005F440000}"/>
    <cellStyle name="Normal 21 4 2 4 3 4" xfId="17510" xr:uid="{00000000-0005-0000-0000-000060440000}"/>
    <cellStyle name="Normal 21 4 2 4 3 5" xfId="17511" xr:uid="{00000000-0005-0000-0000-000061440000}"/>
    <cellStyle name="Normal 21 4 2 4 3 6" xfId="17512" xr:uid="{00000000-0005-0000-0000-000062440000}"/>
    <cellStyle name="Normal 21 4 2 4 4" xfId="17513" xr:uid="{00000000-0005-0000-0000-000063440000}"/>
    <cellStyle name="Normal 21 4 2 4 5" xfId="17514" xr:uid="{00000000-0005-0000-0000-000064440000}"/>
    <cellStyle name="Normal 21 4 2 4 6" xfId="17515" xr:uid="{00000000-0005-0000-0000-000065440000}"/>
    <cellStyle name="Normal 21 4 2 4 7" xfId="17516" xr:uid="{00000000-0005-0000-0000-000066440000}"/>
    <cellStyle name="Normal 21 4 2 4 8" xfId="17517" xr:uid="{00000000-0005-0000-0000-000067440000}"/>
    <cellStyle name="Normal 21 4 2 5" xfId="17518" xr:uid="{00000000-0005-0000-0000-000068440000}"/>
    <cellStyle name="Normal 21 4 2 5 2" xfId="17519" xr:uid="{00000000-0005-0000-0000-000069440000}"/>
    <cellStyle name="Normal 21 4 2 5 2 2" xfId="17520" xr:uid="{00000000-0005-0000-0000-00006A440000}"/>
    <cellStyle name="Normal 21 4 2 5 2 3" xfId="17521" xr:uid="{00000000-0005-0000-0000-00006B440000}"/>
    <cellStyle name="Normal 21 4 2 5 2 4" xfId="17522" xr:uid="{00000000-0005-0000-0000-00006C440000}"/>
    <cellStyle name="Normal 21 4 2 5 2 5" xfId="17523" xr:uid="{00000000-0005-0000-0000-00006D440000}"/>
    <cellStyle name="Normal 21 4 2 5 2 6" xfId="17524" xr:uid="{00000000-0005-0000-0000-00006E440000}"/>
    <cellStyle name="Normal 21 4 2 5 3" xfId="17525" xr:uid="{00000000-0005-0000-0000-00006F440000}"/>
    <cellStyle name="Normal 21 4 2 5 3 2" xfId="17526" xr:uid="{00000000-0005-0000-0000-000070440000}"/>
    <cellStyle name="Normal 21 4 2 5 3 3" xfId="17527" xr:uid="{00000000-0005-0000-0000-000071440000}"/>
    <cellStyle name="Normal 21 4 2 5 3 4" xfId="17528" xr:uid="{00000000-0005-0000-0000-000072440000}"/>
    <cellStyle name="Normal 21 4 2 5 3 5" xfId="17529" xr:uid="{00000000-0005-0000-0000-000073440000}"/>
    <cellStyle name="Normal 21 4 2 5 3 6" xfId="17530" xr:uid="{00000000-0005-0000-0000-000074440000}"/>
    <cellStyle name="Normal 21 4 2 5 4" xfId="17531" xr:uid="{00000000-0005-0000-0000-000075440000}"/>
    <cellStyle name="Normal 21 4 2 5 5" xfId="17532" xr:uid="{00000000-0005-0000-0000-000076440000}"/>
    <cellStyle name="Normal 21 4 2 5 6" xfId="17533" xr:uid="{00000000-0005-0000-0000-000077440000}"/>
    <cellStyle name="Normal 21 4 2 5 7" xfId="17534" xr:uid="{00000000-0005-0000-0000-000078440000}"/>
    <cellStyle name="Normal 21 4 2 5 8" xfId="17535" xr:uid="{00000000-0005-0000-0000-000079440000}"/>
    <cellStyle name="Normal 21 4 2 6" xfId="17536" xr:uid="{00000000-0005-0000-0000-00007A440000}"/>
    <cellStyle name="Normal 21 4 2 6 2" xfId="17537" xr:uid="{00000000-0005-0000-0000-00007B440000}"/>
    <cellStyle name="Normal 21 4 2 6 3" xfId="17538" xr:uid="{00000000-0005-0000-0000-00007C440000}"/>
    <cellStyle name="Normal 21 4 2 6 4" xfId="17539" xr:uid="{00000000-0005-0000-0000-00007D440000}"/>
    <cellStyle name="Normal 21 4 2 6 5" xfId="17540" xr:uid="{00000000-0005-0000-0000-00007E440000}"/>
    <cellStyle name="Normal 21 4 2 6 6" xfId="17541" xr:uid="{00000000-0005-0000-0000-00007F440000}"/>
    <cellStyle name="Normal 21 4 2 7" xfId="17542" xr:uid="{00000000-0005-0000-0000-000080440000}"/>
    <cellStyle name="Normal 21 4 2 7 2" xfId="17543" xr:uid="{00000000-0005-0000-0000-000081440000}"/>
    <cellStyle name="Normal 21 4 2 7 3" xfId="17544" xr:uid="{00000000-0005-0000-0000-000082440000}"/>
    <cellStyle name="Normal 21 4 2 7 4" xfId="17545" xr:uid="{00000000-0005-0000-0000-000083440000}"/>
    <cellStyle name="Normal 21 4 2 7 5" xfId="17546" xr:uid="{00000000-0005-0000-0000-000084440000}"/>
    <cellStyle name="Normal 21 4 2 7 6" xfId="17547" xr:uid="{00000000-0005-0000-0000-000085440000}"/>
    <cellStyle name="Normal 21 4 2 8" xfId="17548" xr:uid="{00000000-0005-0000-0000-000086440000}"/>
    <cellStyle name="Normal 21 4 2 9" xfId="17549" xr:uid="{00000000-0005-0000-0000-000087440000}"/>
    <cellStyle name="Normal 21 4 3" xfId="17550" xr:uid="{00000000-0005-0000-0000-000088440000}"/>
    <cellStyle name="Normal 21 4 3 10" xfId="17551" xr:uid="{00000000-0005-0000-0000-000089440000}"/>
    <cellStyle name="Normal 21 4 3 11" xfId="17552" xr:uid="{00000000-0005-0000-0000-00008A440000}"/>
    <cellStyle name="Normal 21 4 3 12" xfId="17553" xr:uid="{00000000-0005-0000-0000-00008B440000}"/>
    <cellStyle name="Normal 21 4 3 2" xfId="17554" xr:uid="{00000000-0005-0000-0000-00008C440000}"/>
    <cellStyle name="Normal 21 4 3 2 10" xfId="17555" xr:uid="{00000000-0005-0000-0000-00008D440000}"/>
    <cellStyle name="Normal 21 4 3 2 11" xfId="17556" xr:uid="{00000000-0005-0000-0000-00008E440000}"/>
    <cellStyle name="Normal 21 4 3 2 2" xfId="17557" xr:uid="{00000000-0005-0000-0000-00008F440000}"/>
    <cellStyle name="Normal 21 4 3 2 2 2" xfId="17558" xr:uid="{00000000-0005-0000-0000-000090440000}"/>
    <cellStyle name="Normal 21 4 3 2 2 2 2" xfId="17559" xr:uid="{00000000-0005-0000-0000-000091440000}"/>
    <cellStyle name="Normal 21 4 3 2 2 2 3" xfId="17560" xr:uid="{00000000-0005-0000-0000-000092440000}"/>
    <cellStyle name="Normal 21 4 3 2 2 2 4" xfId="17561" xr:uid="{00000000-0005-0000-0000-000093440000}"/>
    <cellStyle name="Normal 21 4 3 2 2 2 5" xfId="17562" xr:uid="{00000000-0005-0000-0000-000094440000}"/>
    <cellStyle name="Normal 21 4 3 2 2 2 6" xfId="17563" xr:uid="{00000000-0005-0000-0000-000095440000}"/>
    <cellStyle name="Normal 21 4 3 2 2 3" xfId="17564" xr:uid="{00000000-0005-0000-0000-000096440000}"/>
    <cellStyle name="Normal 21 4 3 2 2 3 2" xfId="17565" xr:uid="{00000000-0005-0000-0000-000097440000}"/>
    <cellStyle name="Normal 21 4 3 2 2 3 3" xfId="17566" xr:uid="{00000000-0005-0000-0000-000098440000}"/>
    <cellStyle name="Normal 21 4 3 2 2 3 4" xfId="17567" xr:uid="{00000000-0005-0000-0000-000099440000}"/>
    <cellStyle name="Normal 21 4 3 2 2 3 5" xfId="17568" xr:uid="{00000000-0005-0000-0000-00009A440000}"/>
    <cellStyle name="Normal 21 4 3 2 2 3 6" xfId="17569" xr:uid="{00000000-0005-0000-0000-00009B440000}"/>
    <cellStyle name="Normal 21 4 3 2 2 4" xfId="17570" xr:uid="{00000000-0005-0000-0000-00009C440000}"/>
    <cellStyle name="Normal 21 4 3 2 2 5" xfId="17571" xr:uid="{00000000-0005-0000-0000-00009D440000}"/>
    <cellStyle name="Normal 21 4 3 2 2 6" xfId="17572" xr:uid="{00000000-0005-0000-0000-00009E440000}"/>
    <cellStyle name="Normal 21 4 3 2 2 7" xfId="17573" xr:uid="{00000000-0005-0000-0000-00009F440000}"/>
    <cellStyle name="Normal 21 4 3 2 2 8" xfId="17574" xr:uid="{00000000-0005-0000-0000-0000A0440000}"/>
    <cellStyle name="Normal 21 4 3 2 3" xfId="17575" xr:uid="{00000000-0005-0000-0000-0000A1440000}"/>
    <cellStyle name="Normal 21 4 3 2 3 2" xfId="17576" xr:uid="{00000000-0005-0000-0000-0000A2440000}"/>
    <cellStyle name="Normal 21 4 3 2 3 2 2" xfId="17577" xr:uid="{00000000-0005-0000-0000-0000A3440000}"/>
    <cellStyle name="Normal 21 4 3 2 3 2 3" xfId="17578" xr:uid="{00000000-0005-0000-0000-0000A4440000}"/>
    <cellStyle name="Normal 21 4 3 2 3 2 4" xfId="17579" xr:uid="{00000000-0005-0000-0000-0000A5440000}"/>
    <cellStyle name="Normal 21 4 3 2 3 2 5" xfId="17580" xr:uid="{00000000-0005-0000-0000-0000A6440000}"/>
    <cellStyle name="Normal 21 4 3 2 3 2 6" xfId="17581" xr:uid="{00000000-0005-0000-0000-0000A7440000}"/>
    <cellStyle name="Normal 21 4 3 2 3 3" xfId="17582" xr:uid="{00000000-0005-0000-0000-0000A8440000}"/>
    <cellStyle name="Normal 21 4 3 2 3 3 2" xfId="17583" xr:uid="{00000000-0005-0000-0000-0000A9440000}"/>
    <cellStyle name="Normal 21 4 3 2 3 3 3" xfId="17584" xr:uid="{00000000-0005-0000-0000-0000AA440000}"/>
    <cellStyle name="Normal 21 4 3 2 3 3 4" xfId="17585" xr:uid="{00000000-0005-0000-0000-0000AB440000}"/>
    <cellStyle name="Normal 21 4 3 2 3 3 5" xfId="17586" xr:uid="{00000000-0005-0000-0000-0000AC440000}"/>
    <cellStyle name="Normal 21 4 3 2 3 3 6" xfId="17587" xr:uid="{00000000-0005-0000-0000-0000AD440000}"/>
    <cellStyle name="Normal 21 4 3 2 3 4" xfId="17588" xr:uid="{00000000-0005-0000-0000-0000AE440000}"/>
    <cellStyle name="Normal 21 4 3 2 3 5" xfId="17589" xr:uid="{00000000-0005-0000-0000-0000AF440000}"/>
    <cellStyle name="Normal 21 4 3 2 3 6" xfId="17590" xr:uid="{00000000-0005-0000-0000-0000B0440000}"/>
    <cellStyle name="Normal 21 4 3 2 3 7" xfId="17591" xr:uid="{00000000-0005-0000-0000-0000B1440000}"/>
    <cellStyle name="Normal 21 4 3 2 3 8" xfId="17592" xr:uid="{00000000-0005-0000-0000-0000B2440000}"/>
    <cellStyle name="Normal 21 4 3 2 4" xfId="17593" xr:uid="{00000000-0005-0000-0000-0000B3440000}"/>
    <cellStyle name="Normal 21 4 3 2 4 2" xfId="17594" xr:uid="{00000000-0005-0000-0000-0000B4440000}"/>
    <cellStyle name="Normal 21 4 3 2 4 2 2" xfId="17595" xr:uid="{00000000-0005-0000-0000-0000B5440000}"/>
    <cellStyle name="Normal 21 4 3 2 4 2 3" xfId="17596" xr:uid="{00000000-0005-0000-0000-0000B6440000}"/>
    <cellStyle name="Normal 21 4 3 2 4 2 4" xfId="17597" xr:uid="{00000000-0005-0000-0000-0000B7440000}"/>
    <cellStyle name="Normal 21 4 3 2 4 2 5" xfId="17598" xr:uid="{00000000-0005-0000-0000-0000B8440000}"/>
    <cellStyle name="Normal 21 4 3 2 4 2 6" xfId="17599" xr:uid="{00000000-0005-0000-0000-0000B9440000}"/>
    <cellStyle name="Normal 21 4 3 2 4 3" xfId="17600" xr:uid="{00000000-0005-0000-0000-0000BA440000}"/>
    <cellStyle name="Normal 21 4 3 2 4 3 2" xfId="17601" xr:uid="{00000000-0005-0000-0000-0000BB440000}"/>
    <cellStyle name="Normal 21 4 3 2 4 3 3" xfId="17602" xr:uid="{00000000-0005-0000-0000-0000BC440000}"/>
    <cellStyle name="Normal 21 4 3 2 4 3 4" xfId="17603" xr:uid="{00000000-0005-0000-0000-0000BD440000}"/>
    <cellStyle name="Normal 21 4 3 2 4 3 5" xfId="17604" xr:uid="{00000000-0005-0000-0000-0000BE440000}"/>
    <cellStyle name="Normal 21 4 3 2 4 3 6" xfId="17605" xr:uid="{00000000-0005-0000-0000-0000BF440000}"/>
    <cellStyle name="Normal 21 4 3 2 4 4" xfId="17606" xr:uid="{00000000-0005-0000-0000-0000C0440000}"/>
    <cellStyle name="Normal 21 4 3 2 4 5" xfId="17607" xr:uid="{00000000-0005-0000-0000-0000C1440000}"/>
    <cellStyle name="Normal 21 4 3 2 4 6" xfId="17608" xr:uid="{00000000-0005-0000-0000-0000C2440000}"/>
    <cellStyle name="Normal 21 4 3 2 4 7" xfId="17609" xr:uid="{00000000-0005-0000-0000-0000C3440000}"/>
    <cellStyle name="Normal 21 4 3 2 4 8" xfId="17610" xr:uid="{00000000-0005-0000-0000-0000C4440000}"/>
    <cellStyle name="Normal 21 4 3 2 5" xfId="17611" xr:uid="{00000000-0005-0000-0000-0000C5440000}"/>
    <cellStyle name="Normal 21 4 3 2 5 2" xfId="17612" xr:uid="{00000000-0005-0000-0000-0000C6440000}"/>
    <cellStyle name="Normal 21 4 3 2 5 3" xfId="17613" xr:uid="{00000000-0005-0000-0000-0000C7440000}"/>
    <cellStyle name="Normal 21 4 3 2 5 4" xfId="17614" xr:uid="{00000000-0005-0000-0000-0000C8440000}"/>
    <cellStyle name="Normal 21 4 3 2 5 5" xfId="17615" xr:uid="{00000000-0005-0000-0000-0000C9440000}"/>
    <cellStyle name="Normal 21 4 3 2 5 6" xfId="17616" xr:uid="{00000000-0005-0000-0000-0000CA440000}"/>
    <cellStyle name="Normal 21 4 3 2 6" xfId="17617" xr:uid="{00000000-0005-0000-0000-0000CB440000}"/>
    <cellStyle name="Normal 21 4 3 2 6 2" xfId="17618" xr:uid="{00000000-0005-0000-0000-0000CC440000}"/>
    <cellStyle name="Normal 21 4 3 2 6 3" xfId="17619" xr:uid="{00000000-0005-0000-0000-0000CD440000}"/>
    <cellStyle name="Normal 21 4 3 2 6 4" xfId="17620" xr:uid="{00000000-0005-0000-0000-0000CE440000}"/>
    <cellStyle name="Normal 21 4 3 2 6 5" xfId="17621" xr:uid="{00000000-0005-0000-0000-0000CF440000}"/>
    <cellStyle name="Normal 21 4 3 2 6 6" xfId="17622" xr:uid="{00000000-0005-0000-0000-0000D0440000}"/>
    <cellStyle name="Normal 21 4 3 2 7" xfId="17623" xr:uid="{00000000-0005-0000-0000-0000D1440000}"/>
    <cellStyle name="Normal 21 4 3 2 8" xfId="17624" xr:uid="{00000000-0005-0000-0000-0000D2440000}"/>
    <cellStyle name="Normal 21 4 3 2 9" xfId="17625" xr:uid="{00000000-0005-0000-0000-0000D3440000}"/>
    <cellStyle name="Normal 21 4 3 3" xfId="17626" xr:uid="{00000000-0005-0000-0000-0000D4440000}"/>
    <cellStyle name="Normal 21 4 3 3 2" xfId="17627" xr:uid="{00000000-0005-0000-0000-0000D5440000}"/>
    <cellStyle name="Normal 21 4 3 3 2 2" xfId="17628" xr:uid="{00000000-0005-0000-0000-0000D6440000}"/>
    <cellStyle name="Normal 21 4 3 3 2 3" xfId="17629" xr:uid="{00000000-0005-0000-0000-0000D7440000}"/>
    <cellStyle name="Normal 21 4 3 3 2 4" xfId="17630" xr:uid="{00000000-0005-0000-0000-0000D8440000}"/>
    <cellStyle name="Normal 21 4 3 3 2 5" xfId="17631" xr:uid="{00000000-0005-0000-0000-0000D9440000}"/>
    <cellStyle name="Normal 21 4 3 3 2 6" xfId="17632" xr:uid="{00000000-0005-0000-0000-0000DA440000}"/>
    <cellStyle name="Normal 21 4 3 3 3" xfId="17633" xr:uid="{00000000-0005-0000-0000-0000DB440000}"/>
    <cellStyle name="Normal 21 4 3 3 3 2" xfId="17634" xr:uid="{00000000-0005-0000-0000-0000DC440000}"/>
    <cellStyle name="Normal 21 4 3 3 3 3" xfId="17635" xr:uid="{00000000-0005-0000-0000-0000DD440000}"/>
    <cellStyle name="Normal 21 4 3 3 3 4" xfId="17636" xr:uid="{00000000-0005-0000-0000-0000DE440000}"/>
    <cellStyle name="Normal 21 4 3 3 3 5" xfId="17637" xr:uid="{00000000-0005-0000-0000-0000DF440000}"/>
    <cellStyle name="Normal 21 4 3 3 3 6" xfId="17638" xr:uid="{00000000-0005-0000-0000-0000E0440000}"/>
    <cellStyle name="Normal 21 4 3 3 4" xfId="17639" xr:uid="{00000000-0005-0000-0000-0000E1440000}"/>
    <cellStyle name="Normal 21 4 3 3 5" xfId="17640" xr:uid="{00000000-0005-0000-0000-0000E2440000}"/>
    <cellStyle name="Normal 21 4 3 3 6" xfId="17641" xr:uid="{00000000-0005-0000-0000-0000E3440000}"/>
    <cellStyle name="Normal 21 4 3 3 7" xfId="17642" xr:uid="{00000000-0005-0000-0000-0000E4440000}"/>
    <cellStyle name="Normal 21 4 3 3 8" xfId="17643" xr:uid="{00000000-0005-0000-0000-0000E5440000}"/>
    <cellStyle name="Normal 21 4 3 4" xfId="17644" xr:uid="{00000000-0005-0000-0000-0000E6440000}"/>
    <cellStyle name="Normal 21 4 3 4 2" xfId="17645" xr:uid="{00000000-0005-0000-0000-0000E7440000}"/>
    <cellStyle name="Normal 21 4 3 4 2 2" xfId="17646" xr:uid="{00000000-0005-0000-0000-0000E8440000}"/>
    <cellStyle name="Normal 21 4 3 4 2 3" xfId="17647" xr:uid="{00000000-0005-0000-0000-0000E9440000}"/>
    <cellStyle name="Normal 21 4 3 4 2 4" xfId="17648" xr:uid="{00000000-0005-0000-0000-0000EA440000}"/>
    <cellStyle name="Normal 21 4 3 4 2 5" xfId="17649" xr:uid="{00000000-0005-0000-0000-0000EB440000}"/>
    <cellStyle name="Normal 21 4 3 4 2 6" xfId="17650" xr:uid="{00000000-0005-0000-0000-0000EC440000}"/>
    <cellStyle name="Normal 21 4 3 4 3" xfId="17651" xr:uid="{00000000-0005-0000-0000-0000ED440000}"/>
    <cellStyle name="Normal 21 4 3 4 3 2" xfId="17652" xr:uid="{00000000-0005-0000-0000-0000EE440000}"/>
    <cellStyle name="Normal 21 4 3 4 3 3" xfId="17653" xr:uid="{00000000-0005-0000-0000-0000EF440000}"/>
    <cellStyle name="Normal 21 4 3 4 3 4" xfId="17654" xr:uid="{00000000-0005-0000-0000-0000F0440000}"/>
    <cellStyle name="Normal 21 4 3 4 3 5" xfId="17655" xr:uid="{00000000-0005-0000-0000-0000F1440000}"/>
    <cellStyle name="Normal 21 4 3 4 3 6" xfId="17656" xr:uid="{00000000-0005-0000-0000-0000F2440000}"/>
    <cellStyle name="Normal 21 4 3 4 4" xfId="17657" xr:uid="{00000000-0005-0000-0000-0000F3440000}"/>
    <cellStyle name="Normal 21 4 3 4 5" xfId="17658" xr:uid="{00000000-0005-0000-0000-0000F4440000}"/>
    <cellStyle name="Normal 21 4 3 4 6" xfId="17659" xr:uid="{00000000-0005-0000-0000-0000F5440000}"/>
    <cellStyle name="Normal 21 4 3 4 7" xfId="17660" xr:uid="{00000000-0005-0000-0000-0000F6440000}"/>
    <cellStyle name="Normal 21 4 3 4 8" xfId="17661" xr:uid="{00000000-0005-0000-0000-0000F7440000}"/>
    <cellStyle name="Normal 21 4 3 5" xfId="17662" xr:uid="{00000000-0005-0000-0000-0000F8440000}"/>
    <cellStyle name="Normal 21 4 3 5 2" xfId="17663" xr:uid="{00000000-0005-0000-0000-0000F9440000}"/>
    <cellStyle name="Normal 21 4 3 5 2 2" xfId="17664" xr:uid="{00000000-0005-0000-0000-0000FA440000}"/>
    <cellStyle name="Normal 21 4 3 5 2 3" xfId="17665" xr:uid="{00000000-0005-0000-0000-0000FB440000}"/>
    <cellStyle name="Normal 21 4 3 5 2 4" xfId="17666" xr:uid="{00000000-0005-0000-0000-0000FC440000}"/>
    <cellStyle name="Normal 21 4 3 5 2 5" xfId="17667" xr:uid="{00000000-0005-0000-0000-0000FD440000}"/>
    <cellStyle name="Normal 21 4 3 5 2 6" xfId="17668" xr:uid="{00000000-0005-0000-0000-0000FE440000}"/>
    <cellStyle name="Normal 21 4 3 5 3" xfId="17669" xr:uid="{00000000-0005-0000-0000-0000FF440000}"/>
    <cellStyle name="Normal 21 4 3 5 3 2" xfId="17670" xr:uid="{00000000-0005-0000-0000-000000450000}"/>
    <cellStyle name="Normal 21 4 3 5 3 3" xfId="17671" xr:uid="{00000000-0005-0000-0000-000001450000}"/>
    <cellStyle name="Normal 21 4 3 5 3 4" xfId="17672" xr:uid="{00000000-0005-0000-0000-000002450000}"/>
    <cellStyle name="Normal 21 4 3 5 3 5" xfId="17673" xr:uid="{00000000-0005-0000-0000-000003450000}"/>
    <cellStyle name="Normal 21 4 3 5 3 6" xfId="17674" xr:uid="{00000000-0005-0000-0000-000004450000}"/>
    <cellStyle name="Normal 21 4 3 5 4" xfId="17675" xr:uid="{00000000-0005-0000-0000-000005450000}"/>
    <cellStyle name="Normal 21 4 3 5 5" xfId="17676" xr:uid="{00000000-0005-0000-0000-000006450000}"/>
    <cellStyle name="Normal 21 4 3 5 6" xfId="17677" xr:uid="{00000000-0005-0000-0000-000007450000}"/>
    <cellStyle name="Normal 21 4 3 5 7" xfId="17678" xr:uid="{00000000-0005-0000-0000-000008450000}"/>
    <cellStyle name="Normal 21 4 3 5 8" xfId="17679" xr:uid="{00000000-0005-0000-0000-000009450000}"/>
    <cellStyle name="Normal 21 4 3 6" xfId="17680" xr:uid="{00000000-0005-0000-0000-00000A450000}"/>
    <cellStyle name="Normal 21 4 3 6 2" xfId="17681" xr:uid="{00000000-0005-0000-0000-00000B450000}"/>
    <cellStyle name="Normal 21 4 3 6 3" xfId="17682" xr:uid="{00000000-0005-0000-0000-00000C450000}"/>
    <cellStyle name="Normal 21 4 3 6 4" xfId="17683" xr:uid="{00000000-0005-0000-0000-00000D450000}"/>
    <cellStyle name="Normal 21 4 3 6 5" xfId="17684" xr:uid="{00000000-0005-0000-0000-00000E450000}"/>
    <cellStyle name="Normal 21 4 3 6 6" xfId="17685" xr:uid="{00000000-0005-0000-0000-00000F450000}"/>
    <cellStyle name="Normal 21 4 3 7" xfId="17686" xr:uid="{00000000-0005-0000-0000-000010450000}"/>
    <cellStyle name="Normal 21 4 3 7 2" xfId="17687" xr:uid="{00000000-0005-0000-0000-000011450000}"/>
    <cellStyle name="Normal 21 4 3 7 3" xfId="17688" xr:uid="{00000000-0005-0000-0000-000012450000}"/>
    <cellStyle name="Normal 21 4 3 7 4" xfId="17689" xr:uid="{00000000-0005-0000-0000-000013450000}"/>
    <cellStyle name="Normal 21 4 3 7 5" xfId="17690" xr:uid="{00000000-0005-0000-0000-000014450000}"/>
    <cellStyle name="Normal 21 4 3 7 6" xfId="17691" xr:uid="{00000000-0005-0000-0000-000015450000}"/>
    <cellStyle name="Normal 21 4 3 8" xfId="17692" xr:uid="{00000000-0005-0000-0000-000016450000}"/>
    <cellStyle name="Normal 21 4 3 9" xfId="17693" xr:uid="{00000000-0005-0000-0000-000017450000}"/>
    <cellStyle name="Normal 21 4 4" xfId="17694" xr:uid="{00000000-0005-0000-0000-000018450000}"/>
    <cellStyle name="Normal 21 4 4 10" xfId="17695" xr:uid="{00000000-0005-0000-0000-000019450000}"/>
    <cellStyle name="Normal 21 4 4 11" xfId="17696" xr:uid="{00000000-0005-0000-0000-00001A450000}"/>
    <cellStyle name="Normal 21 4 4 2" xfId="17697" xr:uid="{00000000-0005-0000-0000-00001B450000}"/>
    <cellStyle name="Normal 21 4 4 2 2" xfId="17698" xr:uid="{00000000-0005-0000-0000-00001C450000}"/>
    <cellStyle name="Normal 21 4 4 2 2 2" xfId="17699" xr:uid="{00000000-0005-0000-0000-00001D450000}"/>
    <cellStyle name="Normal 21 4 4 2 2 3" xfId="17700" xr:uid="{00000000-0005-0000-0000-00001E450000}"/>
    <cellStyle name="Normal 21 4 4 2 2 4" xfId="17701" xr:uid="{00000000-0005-0000-0000-00001F450000}"/>
    <cellStyle name="Normal 21 4 4 2 2 5" xfId="17702" xr:uid="{00000000-0005-0000-0000-000020450000}"/>
    <cellStyle name="Normal 21 4 4 2 2 6" xfId="17703" xr:uid="{00000000-0005-0000-0000-000021450000}"/>
    <cellStyle name="Normal 21 4 4 2 3" xfId="17704" xr:uid="{00000000-0005-0000-0000-000022450000}"/>
    <cellStyle name="Normal 21 4 4 2 3 2" xfId="17705" xr:uid="{00000000-0005-0000-0000-000023450000}"/>
    <cellStyle name="Normal 21 4 4 2 3 3" xfId="17706" xr:uid="{00000000-0005-0000-0000-000024450000}"/>
    <cellStyle name="Normal 21 4 4 2 3 4" xfId="17707" xr:uid="{00000000-0005-0000-0000-000025450000}"/>
    <cellStyle name="Normal 21 4 4 2 3 5" xfId="17708" xr:uid="{00000000-0005-0000-0000-000026450000}"/>
    <cellStyle name="Normal 21 4 4 2 3 6" xfId="17709" xr:uid="{00000000-0005-0000-0000-000027450000}"/>
    <cellStyle name="Normal 21 4 4 2 4" xfId="17710" xr:uid="{00000000-0005-0000-0000-000028450000}"/>
    <cellStyle name="Normal 21 4 4 2 5" xfId="17711" xr:uid="{00000000-0005-0000-0000-000029450000}"/>
    <cellStyle name="Normal 21 4 4 2 6" xfId="17712" xr:uid="{00000000-0005-0000-0000-00002A450000}"/>
    <cellStyle name="Normal 21 4 4 2 7" xfId="17713" xr:uid="{00000000-0005-0000-0000-00002B450000}"/>
    <cellStyle name="Normal 21 4 4 2 8" xfId="17714" xr:uid="{00000000-0005-0000-0000-00002C450000}"/>
    <cellStyle name="Normal 21 4 4 3" xfId="17715" xr:uid="{00000000-0005-0000-0000-00002D450000}"/>
    <cellStyle name="Normal 21 4 4 3 2" xfId="17716" xr:uid="{00000000-0005-0000-0000-00002E450000}"/>
    <cellStyle name="Normal 21 4 4 3 2 2" xfId="17717" xr:uid="{00000000-0005-0000-0000-00002F450000}"/>
    <cellStyle name="Normal 21 4 4 3 2 3" xfId="17718" xr:uid="{00000000-0005-0000-0000-000030450000}"/>
    <cellStyle name="Normal 21 4 4 3 2 4" xfId="17719" xr:uid="{00000000-0005-0000-0000-000031450000}"/>
    <cellStyle name="Normal 21 4 4 3 2 5" xfId="17720" xr:uid="{00000000-0005-0000-0000-000032450000}"/>
    <cellStyle name="Normal 21 4 4 3 2 6" xfId="17721" xr:uid="{00000000-0005-0000-0000-000033450000}"/>
    <cellStyle name="Normal 21 4 4 3 3" xfId="17722" xr:uid="{00000000-0005-0000-0000-000034450000}"/>
    <cellStyle name="Normal 21 4 4 3 3 2" xfId="17723" xr:uid="{00000000-0005-0000-0000-000035450000}"/>
    <cellStyle name="Normal 21 4 4 3 3 3" xfId="17724" xr:uid="{00000000-0005-0000-0000-000036450000}"/>
    <cellStyle name="Normal 21 4 4 3 3 4" xfId="17725" xr:uid="{00000000-0005-0000-0000-000037450000}"/>
    <cellStyle name="Normal 21 4 4 3 3 5" xfId="17726" xr:uid="{00000000-0005-0000-0000-000038450000}"/>
    <cellStyle name="Normal 21 4 4 3 3 6" xfId="17727" xr:uid="{00000000-0005-0000-0000-000039450000}"/>
    <cellStyle name="Normal 21 4 4 3 4" xfId="17728" xr:uid="{00000000-0005-0000-0000-00003A450000}"/>
    <cellStyle name="Normal 21 4 4 3 5" xfId="17729" xr:uid="{00000000-0005-0000-0000-00003B450000}"/>
    <cellStyle name="Normal 21 4 4 3 6" xfId="17730" xr:uid="{00000000-0005-0000-0000-00003C450000}"/>
    <cellStyle name="Normal 21 4 4 3 7" xfId="17731" xr:uid="{00000000-0005-0000-0000-00003D450000}"/>
    <cellStyle name="Normal 21 4 4 3 8" xfId="17732" xr:uid="{00000000-0005-0000-0000-00003E450000}"/>
    <cellStyle name="Normal 21 4 4 4" xfId="17733" xr:uid="{00000000-0005-0000-0000-00003F450000}"/>
    <cellStyle name="Normal 21 4 4 4 2" xfId="17734" xr:uid="{00000000-0005-0000-0000-000040450000}"/>
    <cellStyle name="Normal 21 4 4 4 2 2" xfId="17735" xr:uid="{00000000-0005-0000-0000-000041450000}"/>
    <cellStyle name="Normal 21 4 4 4 2 3" xfId="17736" xr:uid="{00000000-0005-0000-0000-000042450000}"/>
    <cellStyle name="Normal 21 4 4 4 2 4" xfId="17737" xr:uid="{00000000-0005-0000-0000-000043450000}"/>
    <cellStyle name="Normal 21 4 4 4 2 5" xfId="17738" xr:uid="{00000000-0005-0000-0000-000044450000}"/>
    <cellStyle name="Normal 21 4 4 4 2 6" xfId="17739" xr:uid="{00000000-0005-0000-0000-000045450000}"/>
    <cellStyle name="Normal 21 4 4 4 3" xfId="17740" xr:uid="{00000000-0005-0000-0000-000046450000}"/>
    <cellStyle name="Normal 21 4 4 4 3 2" xfId="17741" xr:uid="{00000000-0005-0000-0000-000047450000}"/>
    <cellStyle name="Normal 21 4 4 4 3 3" xfId="17742" xr:uid="{00000000-0005-0000-0000-000048450000}"/>
    <cellStyle name="Normal 21 4 4 4 3 4" xfId="17743" xr:uid="{00000000-0005-0000-0000-000049450000}"/>
    <cellStyle name="Normal 21 4 4 4 3 5" xfId="17744" xr:uid="{00000000-0005-0000-0000-00004A450000}"/>
    <cellStyle name="Normal 21 4 4 4 3 6" xfId="17745" xr:uid="{00000000-0005-0000-0000-00004B450000}"/>
    <cellStyle name="Normal 21 4 4 4 4" xfId="17746" xr:uid="{00000000-0005-0000-0000-00004C450000}"/>
    <cellStyle name="Normal 21 4 4 4 5" xfId="17747" xr:uid="{00000000-0005-0000-0000-00004D450000}"/>
    <cellStyle name="Normal 21 4 4 4 6" xfId="17748" xr:uid="{00000000-0005-0000-0000-00004E450000}"/>
    <cellStyle name="Normal 21 4 4 4 7" xfId="17749" xr:uid="{00000000-0005-0000-0000-00004F450000}"/>
    <cellStyle name="Normal 21 4 4 4 8" xfId="17750" xr:uid="{00000000-0005-0000-0000-000050450000}"/>
    <cellStyle name="Normal 21 4 4 5" xfId="17751" xr:uid="{00000000-0005-0000-0000-000051450000}"/>
    <cellStyle name="Normal 21 4 4 5 2" xfId="17752" xr:uid="{00000000-0005-0000-0000-000052450000}"/>
    <cellStyle name="Normal 21 4 4 5 3" xfId="17753" xr:uid="{00000000-0005-0000-0000-000053450000}"/>
    <cellStyle name="Normal 21 4 4 5 4" xfId="17754" xr:uid="{00000000-0005-0000-0000-000054450000}"/>
    <cellStyle name="Normal 21 4 4 5 5" xfId="17755" xr:uid="{00000000-0005-0000-0000-000055450000}"/>
    <cellStyle name="Normal 21 4 4 5 6" xfId="17756" xr:uid="{00000000-0005-0000-0000-000056450000}"/>
    <cellStyle name="Normal 21 4 4 6" xfId="17757" xr:uid="{00000000-0005-0000-0000-000057450000}"/>
    <cellStyle name="Normal 21 4 4 6 2" xfId="17758" xr:uid="{00000000-0005-0000-0000-000058450000}"/>
    <cellStyle name="Normal 21 4 4 6 3" xfId="17759" xr:uid="{00000000-0005-0000-0000-000059450000}"/>
    <cellStyle name="Normal 21 4 4 6 4" xfId="17760" xr:uid="{00000000-0005-0000-0000-00005A450000}"/>
    <cellStyle name="Normal 21 4 4 6 5" xfId="17761" xr:uid="{00000000-0005-0000-0000-00005B450000}"/>
    <cellStyle name="Normal 21 4 4 6 6" xfId="17762" xr:uid="{00000000-0005-0000-0000-00005C450000}"/>
    <cellStyle name="Normal 21 4 4 7" xfId="17763" xr:uid="{00000000-0005-0000-0000-00005D450000}"/>
    <cellStyle name="Normal 21 4 4 8" xfId="17764" xr:uid="{00000000-0005-0000-0000-00005E450000}"/>
    <cellStyle name="Normal 21 4 4 9" xfId="17765" xr:uid="{00000000-0005-0000-0000-00005F450000}"/>
    <cellStyle name="Normal 21 4 5" xfId="17766" xr:uid="{00000000-0005-0000-0000-000060450000}"/>
    <cellStyle name="Normal 21 4 5 2" xfId="17767" xr:uid="{00000000-0005-0000-0000-000061450000}"/>
    <cellStyle name="Normal 21 4 5 2 2" xfId="17768" xr:uid="{00000000-0005-0000-0000-000062450000}"/>
    <cellStyle name="Normal 21 4 5 2 3" xfId="17769" xr:uid="{00000000-0005-0000-0000-000063450000}"/>
    <cellStyle name="Normal 21 4 5 2 4" xfId="17770" xr:uid="{00000000-0005-0000-0000-000064450000}"/>
    <cellStyle name="Normal 21 4 5 2 5" xfId="17771" xr:uid="{00000000-0005-0000-0000-000065450000}"/>
    <cellStyle name="Normal 21 4 5 2 6" xfId="17772" xr:uid="{00000000-0005-0000-0000-000066450000}"/>
    <cellStyle name="Normal 21 4 5 3" xfId="17773" xr:uid="{00000000-0005-0000-0000-000067450000}"/>
    <cellStyle name="Normal 21 4 5 3 2" xfId="17774" xr:uid="{00000000-0005-0000-0000-000068450000}"/>
    <cellStyle name="Normal 21 4 5 3 3" xfId="17775" xr:uid="{00000000-0005-0000-0000-000069450000}"/>
    <cellStyle name="Normal 21 4 5 3 4" xfId="17776" xr:uid="{00000000-0005-0000-0000-00006A450000}"/>
    <cellStyle name="Normal 21 4 5 3 5" xfId="17777" xr:uid="{00000000-0005-0000-0000-00006B450000}"/>
    <cellStyle name="Normal 21 4 5 3 6" xfId="17778" xr:uid="{00000000-0005-0000-0000-00006C450000}"/>
    <cellStyle name="Normal 21 4 5 4" xfId="17779" xr:uid="{00000000-0005-0000-0000-00006D450000}"/>
    <cellStyle name="Normal 21 4 5 5" xfId="17780" xr:uid="{00000000-0005-0000-0000-00006E450000}"/>
    <cellStyle name="Normal 21 4 5 6" xfId="17781" xr:uid="{00000000-0005-0000-0000-00006F450000}"/>
    <cellStyle name="Normal 21 4 5 7" xfId="17782" xr:uid="{00000000-0005-0000-0000-000070450000}"/>
    <cellStyle name="Normal 21 4 5 8" xfId="17783" xr:uid="{00000000-0005-0000-0000-000071450000}"/>
    <cellStyle name="Normal 21 4 6" xfId="17784" xr:uid="{00000000-0005-0000-0000-000072450000}"/>
    <cellStyle name="Normal 21 4 6 2" xfId="17785" xr:uid="{00000000-0005-0000-0000-000073450000}"/>
    <cellStyle name="Normal 21 4 6 2 2" xfId="17786" xr:uid="{00000000-0005-0000-0000-000074450000}"/>
    <cellStyle name="Normal 21 4 6 2 3" xfId="17787" xr:uid="{00000000-0005-0000-0000-000075450000}"/>
    <cellStyle name="Normal 21 4 6 2 4" xfId="17788" xr:uid="{00000000-0005-0000-0000-000076450000}"/>
    <cellStyle name="Normal 21 4 6 2 5" xfId="17789" xr:uid="{00000000-0005-0000-0000-000077450000}"/>
    <cellStyle name="Normal 21 4 6 2 6" xfId="17790" xr:uid="{00000000-0005-0000-0000-000078450000}"/>
    <cellStyle name="Normal 21 4 6 3" xfId="17791" xr:uid="{00000000-0005-0000-0000-000079450000}"/>
    <cellStyle name="Normal 21 4 6 3 2" xfId="17792" xr:uid="{00000000-0005-0000-0000-00007A450000}"/>
    <cellStyle name="Normal 21 4 6 3 3" xfId="17793" xr:uid="{00000000-0005-0000-0000-00007B450000}"/>
    <cellStyle name="Normal 21 4 6 3 4" xfId="17794" xr:uid="{00000000-0005-0000-0000-00007C450000}"/>
    <cellStyle name="Normal 21 4 6 3 5" xfId="17795" xr:uid="{00000000-0005-0000-0000-00007D450000}"/>
    <cellStyle name="Normal 21 4 6 3 6" xfId="17796" xr:uid="{00000000-0005-0000-0000-00007E450000}"/>
    <cellStyle name="Normal 21 4 6 4" xfId="17797" xr:uid="{00000000-0005-0000-0000-00007F450000}"/>
    <cellStyle name="Normal 21 4 6 5" xfId="17798" xr:uid="{00000000-0005-0000-0000-000080450000}"/>
    <cellStyle name="Normal 21 4 6 6" xfId="17799" xr:uid="{00000000-0005-0000-0000-000081450000}"/>
    <cellStyle name="Normal 21 4 6 7" xfId="17800" xr:uid="{00000000-0005-0000-0000-000082450000}"/>
    <cellStyle name="Normal 21 4 6 8" xfId="17801" xr:uid="{00000000-0005-0000-0000-000083450000}"/>
    <cellStyle name="Normal 21 4 7" xfId="17802" xr:uid="{00000000-0005-0000-0000-000084450000}"/>
    <cellStyle name="Normal 21 4 7 2" xfId="17803" xr:uid="{00000000-0005-0000-0000-000085450000}"/>
    <cellStyle name="Normal 21 4 7 2 2" xfId="17804" xr:uid="{00000000-0005-0000-0000-000086450000}"/>
    <cellStyle name="Normal 21 4 7 2 3" xfId="17805" xr:uid="{00000000-0005-0000-0000-000087450000}"/>
    <cellStyle name="Normal 21 4 7 2 4" xfId="17806" xr:uid="{00000000-0005-0000-0000-000088450000}"/>
    <cellStyle name="Normal 21 4 7 2 5" xfId="17807" xr:uid="{00000000-0005-0000-0000-000089450000}"/>
    <cellStyle name="Normal 21 4 7 2 6" xfId="17808" xr:uid="{00000000-0005-0000-0000-00008A450000}"/>
    <cellStyle name="Normal 21 4 7 3" xfId="17809" xr:uid="{00000000-0005-0000-0000-00008B450000}"/>
    <cellStyle name="Normal 21 4 7 3 2" xfId="17810" xr:uid="{00000000-0005-0000-0000-00008C450000}"/>
    <cellStyle name="Normal 21 4 7 3 3" xfId="17811" xr:uid="{00000000-0005-0000-0000-00008D450000}"/>
    <cellStyle name="Normal 21 4 7 3 4" xfId="17812" xr:uid="{00000000-0005-0000-0000-00008E450000}"/>
    <cellStyle name="Normal 21 4 7 3 5" xfId="17813" xr:uid="{00000000-0005-0000-0000-00008F450000}"/>
    <cellStyle name="Normal 21 4 7 3 6" xfId="17814" xr:uid="{00000000-0005-0000-0000-000090450000}"/>
    <cellStyle name="Normal 21 4 7 4" xfId="17815" xr:uid="{00000000-0005-0000-0000-000091450000}"/>
    <cellStyle name="Normal 21 4 7 5" xfId="17816" xr:uid="{00000000-0005-0000-0000-000092450000}"/>
    <cellStyle name="Normal 21 4 7 6" xfId="17817" xr:uid="{00000000-0005-0000-0000-000093450000}"/>
    <cellStyle name="Normal 21 4 7 7" xfId="17818" xr:uid="{00000000-0005-0000-0000-000094450000}"/>
    <cellStyle name="Normal 21 4 7 8" xfId="17819" xr:uid="{00000000-0005-0000-0000-000095450000}"/>
    <cellStyle name="Normal 21 4 8" xfId="17820" xr:uid="{00000000-0005-0000-0000-000096450000}"/>
    <cellStyle name="Normal 21 4 8 2" xfId="17821" xr:uid="{00000000-0005-0000-0000-000097450000}"/>
    <cellStyle name="Normal 21 4 8 3" xfId="17822" xr:uid="{00000000-0005-0000-0000-000098450000}"/>
    <cellStyle name="Normal 21 4 8 4" xfId="17823" xr:uid="{00000000-0005-0000-0000-000099450000}"/>
    <cellStyle name="Normal 21 4 8 5" xfId="17824" xr:uid="{00000000-0005-0000-0000-00009A450000}"/>
    <cellStyle name="Normal 21 4 8 6" xfId="17825" xr:uid="{00000000-0005-0000-0000-00009B450000}"/>
    <cellStyle name="Normal 21 4 9" xfId="17826" xr:uid="{00000000-0005-0000-0000-00009C450000}"/>
    <cellStyle name="Normal 21 4 9 2" xfId="17827" xr:uid="{00000000-0005-0000-0000-00009D450000}"/>
    <cellStyle name="Normal 21 4 9 3" xfId="17828" xr:uid="{00000000-0005-0000-0000-00009E450000}"/>
    <cellStyle name="Normal 21 4 9 4" xfId="17829" xr:uid="{00000000-0005-0000-0000-00009F450000}"/>
    <cellStyle name="Normal 21 4 9 5" xfId="17830" xr:uid="{00000000-0005-0000-0000-0000A0450000}"/>
    <cellStyle name="Normal 21 4 9 6" xfId="17831" xr:uid="{00000000-0005-0000-0000-0000A1450000}"/>
    <cellStyle name="Normal 21 5" xfId="17832" xr:uid="{00000000-0005-0000-0000-0000A2450000}"/>
    <cellStyle name="Normal 21 5 10" xfId="17833" xr:uid="{00000000-0005-0000-0000-0000A3450000}"/>
    <cellStyle name="Normal 21 5 11" xfId="17834" xr:uid="{00000000-0005-0000-0000-0000A4450000}"/>
    <cellStyle name="Normal 21 5 12" xfId="17835" xr:uid="{00000000-0005-0000-0000-0000A5450000}"/>
    <cellStyle name="Normal 21 5 2" xfId="17836" xr:uid="{00000000-0005-0000-0000-0000A6450000}"/>
    <cellStyle name="Normal 21 5 2 10" xfId="17837" xr:uid="{00000000-0005-0000-0000-0000A7450000}"/>
    <cellStyle name="Normal 21 5 2 11" xfId="17838" xr:uid="{00000000-0005-0000-0000-0000A8450000}"/>
    <cellStyle name="Normal 21 5 2 2" xfId="17839" xr:uid="{00000000-0005-0000-0000-0000A9450000}"/>
    <cellStyle name="Normal 21 5 2 2 2" xfId="17840" xr:uid="{00000000-0005-0000-0000-0000AA450000}"/>
    <cellStyle name="Normal 21 5 2 2 2 2" xfId="17841" xr:uid="{00000000-0005-0000-0000-0000AB450000}"/>
    <cellStyle name="Normal 21 5 2 2 2 3" xfId="17842" xr:uid="{00000000-0005-0000-0000-0000AC450000}"/>
    <cellStyle name="Normal 21 5 2 2 2 4" xfId="17843" xr:uid="{00000000-0005-0000-0000-0000AD450000}"/>
    <cellStyle name="Normal 21 5 2 2 2 5" xfId="17844" xr:uid="{00000000-0005-0000-0000-0000AE450000}"/>
    <cellStyle name="Normal 21 5 2 2 2 6" xfId="17845" xr:uid="{00000000-0005-0000-0000-0000AF450000}"/>
    <cellStyle name="Normal 21 5 2 2 3" xfId="17846" xr:uid="{00000000-0005-0000-0000-0000B0450000}"/>
    <cellStyle name="Normal 21 5 2 2 3 2" xfId="17847" xr:uid="{00000000-0005-0000-0000-0000B1450000}"/>
    <cellStyle name="Normal 21 5 2 2 3 3" xfId="17848" xr:uid="{00000000-0005-0000-0000-0000B2450000}"/>
    <cellStyle name="Normal 21 5 2 2 3 4" xfId="17849" xr:uid="{00000000-0005-0000-0000-0000B3450000}"/>
    <cellStyle name="Normal 21 5 2 2 3 5" xfId="17850" xr:uid="{00000000-0005-0000-0000-0000B4450000}"/>
    <cellStyle name="Normal 21 5 2 2 3 6" xfId="17851" xr:uid="{00000000-0005-0000-0000-0000B5450000}"/>
    <cellStyle name="Normal 21 5 2 2 4" xfId="17852" xr:uid="{00000000-0005-0000-0000-0000B6450000}"/>
    <cellStyle name="Normal 21 5 2 2 5" xfId="17853" xr:uid="{00000000-0005-0000-0000-0000B7450000}"/>
    <cellStyle name="Normal 21 5 2 2 6" xfId="17854" xr:uid="{00000000-0005-0000-0000-0000B8450000}"/>
    <cellStyle name="Normal 21 5 2 2 7" xfId="17855" xr:uid="{00000000-0005-0000-0000-0000B9450000}"/>
    <cellStyle name="Normal 21 5 2 2 8" xfId="17856" xr:uid="{00000000-0005-0000-0000-0000BA450000}"/>
    <cellStyle name="Normal 21 5 2 3" xfId="17857" xr:uid="{00000000-0005-0000-0000-0000BB450000}"/>
    <cellStyle name="Normal 21 5 2 3 2" xfId="17858" xr:uid="{00000000-0005-0000-0000-0000BC450000}"/>
    <cellStyle name="Normal 21 5 2 3 2 2" xfId="17859" xr:uid="{00000000-0005-0000-0000-0000BD450000}"/>
    <cellStyle name="Normal 21 5 2 3 2 3" xfId="17860" xr:uid="{00000000-0005-0000-0000-0000BE450000}"/>
    <cellStyle name="Normal 21 5 2 3 2 4" xfId="17861" xr:uid="{00000000-0005-0000-0000-0000BF450000}"/>
    <cellStyle name="Normal 21 5 2 3 2 5" xfId="17862" xr:uid="{00000000-0005-0000-0000-0000C0450000}"/>
    <cellStyle name="Normal 21 5 2 3 2 6" xfId="17863" xr:uid="{00000000-0005-0000-0000-0000C1450000}"/>
    <cellStyle name="Normal 21 5 2 3 3" xfId="17864" xr:uid="{00000000-0005-0000-0000-0000C2450000}"/>
    <cellStyle name="Normal 21 5 2 3 3 2" xfId="17865" xr:uid="{00000000-0005-0000-0000-0000C3450000}"/>
    <cellStyle name="Normal 21 5 2 3 3 3" xfId="17866" xr:uid="{00000000-0005-0000-0000-0000C4450000}"/>
    <cellStyle name="Normal 21 5 2 3 3 4" xfId="17867" xr:uid="{00000000-0005-0000-0000-0000C5450000}"/>
    <cellStyle name="Normal 21 5 2 3 3 5" xfId="17868" xr:uid="{00000000-0005-0000-0000-0000C6450000}"/>
    <cellStyle name="Normal 21 5 2 3 3 6" xfId="17869" xr:uid="{00000000-0005-0000-0000-0000C7450000}"/>
    <cellStyle name="Normal 21 5 2 3 4" xfId="17870" xr:uid="{00000000-0005-0000-0000-0000C8450000}"/>
    <cellStyle name="Normal 21 5 2 3 5" xfId="17871" xr:uid="{00000000-0005-0000-0000-0000C9450000}"/>
    <cellStyle name="Normal 21 5 2 3 6" xfId="17872" xr:uid="{00000000-0005-0000-0000-0000CA450000}"/>
    <cellStyle name="Normal 21 5 2 3 7" xfId="17873" xr:uid="{00000000-0005-0000-0000-0000CB450000}"/>
    <cellStyle name="Normal 21 5 2 3 8" xfId="17874" xr:uid="{00000000-0005-0000-0000-0000CC450000}"/>
    <cellStyle name="Normal 21 5 2 4" xfId="17875" xr:uid="{00000000-0005-0000-0000-0000CD450000}"/>
    <cellStyle name="Normal 21 5 2 4 2" xfId="17876" xr:uid="{00000000-0005-0000-0000-0000CE450000}"/>
    <cellStyle name="Normal 21 5 2 4 2 2" xfId="17877" xr:uid="{00000000-0005-0000-0000-0000CF450000}"/>
    <cellStyle name="Normal 21 5 2 4 2 3" xfId="17878" xr:uid="{00000000-0005-0000-0000-0000D0450000}"/>
    <cellStyle name="Normal 21 5 2 4 2 4" xfId="17879" xr:uid="{00000000-0005-0000-0000-0000D1450000}"/>
    <cellStyle name="Normal 21 5 2 4 2 5" xfId="17880" xr:uid="{00000000-0005-0000-0000-0000D2450000}"/>
    <cellStyle name="Normal 21 5 2 4 2 6" xfId="17881" xr:uid="{00000000-0005-0000-0000-0000D3450000}"/>
    <cellStyle name="Normal 21 5 2 4 3" xfId="17882" xr:uid="{00000000-0005-0000-0000-0000D4450000}"/>
    <cellStyle name="Normal 21 5 2 4 3 2" xfId="17883" xr:uid="{00000000-0005-0000-0000-0000D5450000}"/>
    <cellStyle name="Normal 21 5 2 4 3 3" xfId="17884" xr:uid="{00000000-0005-0000-0000-0000D6450000}"/>
    <cellStyle name="Normal 21 5 2 4 3 4" xfId="17885" xr:uid="{00000000-0005-0000-0000-0000D7450000}"/>
    <cellStyle name="Normal 21 5 2 4 3 5" xfId="17886" xr:uid="{00000000-0005-0000-0000-0000D8450000}"/>
    <cellStyle name="Normal 21 5 2 4 3 6" xfId="17887" xr:uid="{00000000-0005-0000-0000-0000D9450000}"/>
    <cellStyle name="Normal 21 5 2 4 4" xfId="17888" xr:uid="{00000000-0005-0000-0000-0000DA450000}"/>
    <cellStyle name="Normal 21 5 2 4 5" xfId="17889" xr:uid="{00000000-0005-0000-0000-0000DB450000}"/>
    <cellStyle name="Normal 21 5 2 4 6" xfId="17890" xr:uid="{00000000-0005-0000-0000-0000DC450000}"/>
    <cellStyle name="Normal 21 5 2 4 7" xfId="17891" xr:uid="{00000000-0005-0000-0000-0000DD450000}"/>
    <cellStyle name="Normal 21 5 2 4 8" xfId="17892" xr:uid="{00000000-0005-0000-0000-0000DE450000}"/>
    <cellStyle name="Normal 21 5 2 5" xfId="17893" xr:uid="{00000000-0005-0000-0000-0000DF450000}"/>
    <cellStyle name="Normal 21 5 2 5 2" xfId="17894" xr:uid="{00000000-0005-0000-0000-0000E0450000}"/>
    <cellStyle name="Normal 21 5 2 5 3" xfId="17895" xr:uid="{00000000-0005-0000-0000-0000E1450000}"/>
    <cellStyle name="Normal 21 5 2 5 4" xfId="17896" xr:uid="{00000000-0005-0000-0000-0000E2450000}"/>
    <cellStyle name="Normal 21 5 2 5 5" xfId="17897" xr:uid="{00000000-0005-0000-0000-0000E3450000}"/>
    <cellStyle name="Normal 21 5 2 5 6" xfId="17898" xr:uid="{00000000-0005-0000-0000-0000E4450000}"/>
    <cellStyle name="Normal 21 5 2 6" xfId="17899" xr:uid="{00000000-0005-0000-0000-0000E5450000}"/>
    <cellStyle name="Normal 21 5 2 6 2" xfId="17900" xr:uid="{00000000-0005-0000-0000-0000E6450000}"/>
    <cellStyle name="Normal 21 5 2 6 3" xfId="17901" xr:uid="{00000000-0005-0000-0000-0000E7450000}"/>
    <cellStyle name="Normal 21 5 2 6 4" xfId="17902" xr:uid="{00000000-0005-0000-0000-0000E8450000}"/>
    <cellStyle name="Normal 21 5 2 6 5" xfId="17903" xr:uid="{00000000-0005-0000-0000-0000E9450000}"/>
    <cellStyle name="Normal 21 5 2 6 6" xfId="17904" xr:uid="{00000000-0005-0000-0000-0000EA450000}"/>
    <cellStyle name="Normal 21 5 2 7" xfId="17905" xr:uid="{00000000-0005-0000-0000-0000EB450000}"/>
    <cellStyle name="Normal 21 5 2 8" xfId="17906" xr:uid="{00000000-0005-0000-0000-0000EC450000}"/>
    <cellStyle name="Normal 21 5 2 9" xfId="17907" xr:uid="{00000000-0005-0000-0000-0000ED450000}"/>
    <cellStyle name="Normal 21 5 3" xfId="17908" xr:uid="{00000000-0005-0000-0000-0000EE450000}"/>
    <cellStyle name="Normal 21 5 3 2" xfId="17909" xr:uid="{00000000-0005-0000-0000-0000EF450000}"/>
    <cellStyle name="Normal 21 5 3 2 2" xfId="17910" xr:uid="{00000000-0005-0000-0000-0000F0450000}"/>
    <cellStyle name="Normal 21 5 3 2 3" xfId="17911" xr:uid="{00000000-0005-0000-0000-0000F1450000}"/>
    <cellStyle name="Normal 21 5 3 2 4" xfId="17912" xr:uid="{00000000-0005-0000-0000-0000F2450000}"/>
    <cellStyle name="Normal 21 5 3 2 5" xfId="17913" xr:uid="{00000000-0005-0000-0000-0000F3450000}"/>
    <cellStyle name="Normal 21 5 3 2 6" xfId="17914" xr:uid="{00000000-0005-0000-0000-0000F4450000}"/>
    <cellStyle name="Normal 21 5 3 3" xfId="17915" xr:uid="{00000000-0005-0000-0000-0000F5450000}"/>
    <cellStyle name="Normal 21 5 3 3 2" xfId="17916" xr:uid="{00000000-0005-0000-0000-0000F6450000}"/>
    <cellStyle name="Normal 21 5 3 3 3" xfId="17917" xr:uid="{00000000-0005-0000-0000-0000F7450000}"/>
    <cellStyle name="Normal 21 5 3 3 4" xfId="17918" xr:uid="{00000000-0005-0000-0000-0000F8450000}"/>
    <cellStyle name="Normal 21 5 3 3 5" xfId="17919" xr:uid="{00000000-0005-0000-0000-0000F9450000}"/>
    <cellStyle name="Normal 21 5 3 3 6" xfId="17920" xr:uid="{00000000-0005-0000-0000-0000FA450000}"/>
    <cellStyle name="Normal 21 5 3 4" xfId="17921" xr:uid="{00000000-0005-0000-0000-0000FB450000}"/>
    <cellStyle name="Normal 21 5 3 5" xfId="17922" xr:uid="{00000000-0005-0000-0000-0000FC450000}"/>
    <cellStyle name="Normal 21 5 3 6" xfId="17923" xr:uid="{00000000-0005-0000-0000-0000FD450000}"/>
    <cellStyle name="Normal 21 5 3 7" xfId="17924" xr:uid="{00000000-0005-0000-0000-0000FE450000}"/>
    <cellStyle name="Normal 21 5 3 8" xfId="17925" xr:uid="{00000000-0005-0000-0000-0000FF450000}"/>
    <cellStyle name="Normal 21 5 4" xfId="17926" xr:uid="{00000000-0005-0000-0000-000000460000}"/>
    <cellStyle name="Normal 21 5 4 2" xfId="17927" xr:uid="{00000000-0005-0000-0000-000001460000}"/>
    <cellStyle name="Normal 21 5 4 2 2" xfId="17928" xr:uid="{00000000-0005-0000-0000-000002460000}"/>
    <cellStyle name="Normal 21 5 4 2 3" xfId="17929" xr:uid="{00000000-0005-0000-0000-000003460000}"/>
    <cellStyle name="Normal 21 5 4 2 4" xfId="17930" xr:uid="{00000000-0005-0000-0000-000004460000}"/>
    <cellStyle name="Normal 21 5 4 2 5" xfId="17931" xr:uid="{00000000-0005-0000-0000-000005460000}"/>
    <cellStyle name="Normal 21 5 4 2 6" xfId="17932" xr:uid="{00000000-0005-0000-0000-000006460000}"/>
    <cellStyle name="Normal 21 5 4 3" xfId="17933" xr:uid="{00000000-0005-0000-0000-000007460000}"/>
    <cellStyle name="Normal 21 5 4 3 2" xfId="17934" xr:uid="{00000000-0005-0000-0000-000008460000}"/>
    <cellStyle name="Normal 21 5 4 3 3" xfId="17935" xr:uid="{00000000-0005-0000-0000-000009460000}"/>
    <cellStyle name="Normal 21 5 4 3 4" xfId="17936" xr:uid="{00000000-0005-0000-0000-00000A460000}"/>
    <cellStyle name="Normal 21 5 4 3 5" xfId="17937" xr:uid="{00000000-0005-0000-0000-00000B460000}"/>
    <cellStyle name="Normal 21 5 4 3 6" xfId="17938" xr:uid="{00000000-0005-0000-0000-00000C460000}"/>
    <cellStyle name="Normal 21 5 4 4" xfId="17939" xr:uid="{00000000-0005-0000-0000-00000D460000}"/>
    <cellStyle name="Normal 21 5 4 5" xfId="17940" xr:uid="{00000000-0005-0000-0000-00000E460000}"/>
    <cellStyle name="Normal 21 5 4 6" xfId="17941" xr:uid="{00000000-0005-0000-0000-00000F460000}"/>
    <cellStyle name="Normal 21 5 4 7" xfId="17942" xr:uid="{00000000-0005-0000-0000-000010460000}"/>
    <cellStyle name="Normal 21 5 4 8" xfId="17943" xr:uid="{00000000-0005-0000-0000-000011460000}"/>
    <cellStyle name="Normal 21 5 5" xfId="17944" xr:uid="{00000000-0005-0000-0000-000012460000}"/>
    <cellStyle name="Normal 21 5 5 2" xfId="17945" xr:uid="{00000000-0005-0000-0000-000013460000}"/>
    <cellStyle name="Normal 21 5 5 2 2" xfId="17946" xr:uid="{00000000-0005-0000-0000-000014460000}"/>
    <cellStyle name="Normal 21 5 5 2 3" xfId="17947" xr:uid="{00000000-0005-0000-0000-000015460000}"/>
    <cellStyle name="Normal 21 5 5 2 4" xfId="17948" xr:uid="{00000000-0005-0000-0000-000016460000}"/>
    <cellStyle name="Normal 21 5 5 2 5" xfId="17949" xr:uid="{00000000-0005-0000-0000-000017460000}"/>
    <cellStyle name="Normal 21 5 5 2 6" xfId="17950" xr:uid="{00000000-0005-0000-0000-000018460000}"/>
    <cellStyle name="Normal 21 5 5 3" xfId="17951" xr:uid="{00000000-0005-0000-0000-000019460000}"/>
    <cellStyle name="Normal 21 5 5 3 2" xfId="17952" xr:uid="{00000000-0005-0000-0000-00001A460000}"/>
    <cellStyle name="Normal 21 5 5 3 3" xfId="17953" xr:uid="{00000000-0005-0000-0000-00001B460000}"/>
    <cellStyle name="Normal 21 5 5 3 4" xfId="17954" xr:uid="{00000000-0005-0000-0000-00001C460000}"/>
    <cellStyle name="Normal 21 5 5 3 5" xfId="17955" xr:uid="{00000000-0005-0000-0000-00001D460000}"/>
    <cellStyle name="Normal 21 5 5 3 6" xfId="17956" xr:uid="{00000000-0005-0000-0000-00001E460000}"/>
    <cellStyle name="Normal 21 5 5 4" xfId="17957" xr:uid="{00000000-0005-0000-0000-00001F460000}"/>
    <cellStyle name="Normal 21 5 5 5" xfId="17958" xr:uid="{00000000-0005-0000-0000-000020460000}"/>
    <cellStyle name="Normal 21 5 5 6" xfId="17959" xr:uid="{00000000-0005-0000-0000-000021460000}"/>
    <cellStyle name="Normal 21 5 5 7" xfId="17960" xr:uid="{00000000-0005-0000-0000-000022460000}"/>
    <cellStyle name="Normal 21 5 5 8" xfId="17961" xr:uid="{00000000-0005-0000-0000-000023460000}"/>
    <cellStyle name="Normal 21 5 6" xfId="17962" xr:uid="{00000000-0005-0000-0000-000024460000}"/>
    <cellStyle name="Normal 21 5 6 2" xfId="17963" xr:uid="{00000000-0005-0000-0000-000025460000}"/>
    <cellStyle name="Normal 21 5 6 3" xfId="17964" xr:uid="{00000000-0005-0000-0000-000026460000}"/>
    <cellStyle name="Normal 21 5 6 4" xfId="17965" xr:uid="{00000000-0005-0000-0000-000027460000}"/>
    <cellStyle name="Normal 21 5 6 5" xfId="17966" xr:uid="{00000000-0005-0000-0000-000028460000}"/>
    <cellStyle name="Normal 21 5 6 6" xfId="17967" xr:uid="{00000000-0005-0000-0000-000029460000}"/>
    <cellStyle name="Normal 21 5 7" xfId="17968" xr:uid="{00000000-0005-0000-0000-00002A460000}"/>
    <cellStyle name="Normal 21 5 7 2" xfId="17969" xr:uid="{00000000-0005-0000-0000-00002B460000}"/>
    <cellStyle name="Normal 21 5 7 3" xfId="17970" xr:uid="{00000000-0005-0000-0000-00002C460000}"/>
    <cellStyle name="Normal 21 5 7 4" xfId="17971" xr:uid="{00000000-0005-0000-0000-00002D460000}"/>
    <cellStyle name="Normal 21 5 7 5" xfId="17972" xr:uid="{00000000-0005-0000-0000-00002E460000}"/>
    <cellStyle name="Normal 21 5 7 6" xfId="17973" xr:uid="{00000000-0005-0000-0000-00002F460000}"/>
    <cellStyle name="Normal 21 5 8" xfId="17974" xr:uid="{00000000-0005-0000-0000-000030460000}"/>
    <cellStyle name="Normal 21 5 9" xfId="17975" xr:uid="{00000000-0005-0000-0000-000031460000}"/>
    <cellStyle name="Normal 21 6" xfId="17976" xr:uid="{00000000-0005-0000-0000-000032460000}"/>
    <cellStyle name="Normal 21 6 10" xfId="17977" xr:uid="{00000000-0005-0000-0000-000033460000}"/>
    <cellStyle name="Normal 21 6 11" xfId="17978" xr:uid="{00000000-0005-0000-0000-000034460000}"/>
    <cellStyle name="Normal 21 6 12" xfId="17979" xr:uid="{00000000-0005-0000-0000-000035460000}"/>
    <cellStyle name="Normal 21 6 2" xfId="17980" xr:uid="{00000000-0005-0000-0000-000036460000}"/>
    <cellStyle name="Normal 21 6 2 10" xfId="17981" xr:uid="{00000000-0005-0000-0000-000037460000}"/>
    <cellStyle name="Normal 21 6 2 11" xfId="17982" xr:uid="{00000000-0005-0000-0000-000038460000}"/>
    <cellStyle name="Normal 21 6 2 2" xfId="17983" xr:uid="{00000000-0005-0000-0000-000039460000}"/>
    <cellStyle name="Normal 21 6 2 2 2" xfId="17984" xr:uid="{00000000-0005-0000-0000-00003A460000}"/>
    <cellStyle name="Normal 21 6 2 2 2 2" xfId="17985" xr:uid="{00000000-0005-0000-0000-00003B460000}"/>
    <cellStyle name="Normal 21 6 2 2 2 3" xfId="17986" xr:uid="{00000000-0005-0000-0000-00003C460000}"/>
    <cellStyle name="Normal 21 6 2 2 2 4" xfId="17987" xr:uid="{00000000-0005-0000-0000-00003D460000}"/>
    <cellStyle name="Normal 21 6 2 2 2 5" xfId="17988" xr:uid="{00000000-0005-0000-0000-00003E460000}"/>
    <cellStyle name="Normal 21 6 2 2 2 6" xfId="17989" xr:uid="{00000000-0005-0000-0000-00003F460000}"/>
    <cellStyle name="Normal 21 6 2 2 3" xfId="17990" xr:uid="{00000000-0005-0000-0000-000040460000}"/>
    <cellStyle name="Normal 21 6 2 2 3 2" xfId="17991" xr:uid="{00000000-0005-0000-0000-000041460000}"/>
    <cellStyle name="Normal 21 6 2 2 3 3" xfId="17992" xr:uid="{00000000-0005-0000-0000-000042460000}"/>
    <cellStyle name="Normal 21 6 2 2 3 4" xfId="17993" xr:uid="{00000000-0005-0000-0000-000043460000}"/>
    <cellStyle name="Normal 21 6 2 2 3 5" xfId="17994" xr:uid="{00000000-0005-0000-0000-000044460000}"/>
    <cellStyle name="Normal 21 6 2 2 3 6" xfId="17995" xr:uid="{00000000-0005-0000-0000-000045460000}"/>
    <cellStyle name="Normal 21 6 2 2 4" xfId="17996" xr:uid="{00000000-0005-0000-0000-000046460000}"/>
    <cellStyle name="Normal 21 6 2 2 5" xfId="17997" xr:uid="{00000000-0005-0000-0000-000047460000}"/>
    <cellStyle name="Normal 21 6 2 2 6" xfId="17998" xr:uid="{00000000-0005-0000-0000-000048460000}"/>
    <cellStyle name="Normal 21 6 2 2 7" xfId="17999" xr:uid="{00000000-0005-0000-0000-000049460000}"/>
    <cellStyle name="Normal 21 6 2 2 8" xfId="18000" xr:uid="{00000000-0005-0000-0000-00004A460000}"/>
    <cellStyle name="Normal 21 6 2 3" xfId="18001" xr:uid="{00000000-0005-0000-0000-00004B460000}"/>
    <cellStyle name="Normal 21 6 2 3 2" xfId="18002" xr:uid="{00000000-0005-0000-0000-00004C460000}"/>
    <cellStyle name="Normal 21 6 2 3 2 2" xfId="18003" xr:uid="{00000000-0005-0000-0000-00004D460000}"/>
    <cellStyle name="Normal 21 6 2 3 2 3" xfId="18004" xr:uid="{00000000-0005-0000-0000-00004E460000}"/>
    <cellStyle name="Normal 21 6 2 3 2 4" xfId="18005" xr:uid="{00000000-0005-0000-0000-00004F460000}"/>
    <cellStyle name="Normal 21 6 2 3 2 5" xfId="18006" xr:uid="{00000000-0005-0000-0000-000050460000}"/>
    <cellStyle name="Normal 21 6 2 3 2 6" xfId="18007" xr:uid="{00000000-0005-0000-0000-000051460000}"/>
    <cellStyle name="Normal 21 6 2 3 3" xfId="18008" xr:uid="{00000000-0005-0000-0000-000052460000}"/>
    <cellStyle name="Normal 21 6 2 3 3 2" xfId="18009" xr:uid="{00000000-0005-0000-0000-000053460000}"/>
    <cellStyle name="Normal 21 6 2 3 3 3" xfId="18010" xr:uid="{00000000-0005-0000-0000-000054460000}"/>
    <cellStyle name="Normal 21 6 2 3 3 4" xfId="18011" xr:uid="{00000000-0005-0000-0000-000055460000}"/>
    <cellStyle name="Normal 21 6 2 3 3 5" xfId="18012" xr:uid="{00000000-0005-0000-0000-000056460000}"/>
    <cellStyle name="Normal 21 6 2 3 3 6" xfId="18013" xr:uid="{00000000-0005-0000-0000-000057460000}"/>
    <cellStyle name="Normal 21 6 2 3 4" xfId="18014" xr:uid="{00000000-0005-0000-0000-000058460000}"/>
    <cellStyle name="Normal 21 6 2 3 5" xfId="18015" xr:uid="{00000000-0005-0000-0000-000059460000}"/>
    <cellStyle name="Normal 21 6 2 3 6" xfId="18016" xr:uid="{00000000-0005-0000-0000-00005A460000}"/>
    <cellStyle name="Normal 21 6 2 3 7" xfId="18017" xr:uid="{00000000-0005-0000-0000-00005B460000}"/>
    <cellStyle name="Normal 21 6 2 3 8" xfId="18018" xr:uid="{00000000-0005-0000-0000-00005C460000}"/>
    <cellStyle name="Normal 21 6 2 4" xfId="18019" xr:uid="{00000000-0005-0000-0000-00005D460000}"/>
    <cellStyle name="Normal 21 6 2 4 2" xfId="18020" xr:uid="{00000000-0005-0000-0000-00005E460000}"/>
    <cellStyle name="Normal 21 6 2 4 2 2" xfId="18021" xr:uid="{00000000-0005-0000-0000-00005F460000}"/>
    <cellStyle name="Normal 21 6 2 4 2 3" xfId="18022" xr:uid="{00000000-0005-0000-0000-000060460000}"/>
    <cellStyle name="Normal 21 6 2 4 2 4" xfId="18023" xr:uid="{00000000-0005-0000-0000-000061460000}"/>
    <cellStyle name="Normal 21 6 2 4 2 5" xfId="18024" xr:uid="{00000000-0005-0000-0000-000062460000}"/>
    <cellStyle name="Normal 21 6 2 4 2 6" xfId="18025" xr:uid="{00000000-0005-0000-0000-000063460000}"/>
    <cellStyle name="Normal 21 6 2 4 3" xfId="18026" xr:uid="{00000000-0005-0000-0000-000064460000}"/>
    <cellStyle name="Normal 21 6 2 4 3 2" xfId="18027" xr:uid="{00000000-0005-0000-0000-000065460000}"/>
    <cellStyle name="Normal 21 6 2 4 3 3" xfId="18028" xr:uid="{00000000-0005-0000-0000-000066460000}"/>
    <cellStyle name="Normal 21 6 2 4 3 4" xfId="18029" xr:uid="{00000000-0005-0000-0000-000067460000}"/>
    <cellStyle name="Normal 21 6 2 4 3 5" xfId="18030" xr:uid="{00000000-0005-0000-0000-000068460000}"/>
    <cellStyle name="Normal 21 6 2 4 3 6" xfId="18031" xr:uid="{00000000-0005-0000-0000-000069460000}"/>
    <cellStyle name="Normal 21 6 2 4 4" xfId="18032" xr:uid="{00000000-0005-0000-0000-00006A460000}"/>
    <cellStyle name="Normal 21 6 2 4 5" xfId="18033" xr:uid="{00000000-0005-0000-0000-00006B460000}"/>
    <cellStyle name="Normal 21 6 2 4 6" xfId="18034" xr:uid="{00000000-0005-0000-0000-00006C460000}"/>
    <cellStyle name="Normal 21 6 2 4 7" xfId="18035" xr:uid="{00000000-0005-0000-0000-00006D460000}"/>
    <cellStyle name="Normal 21 6 2 4 8" xfId="18036" xr:uid="{00000000-0005-0000-0000-00006E460000}"/>
    <cellStyle name="Normal 21 6 2 5" xfId="18037" xr:uid="{00000000-0005-0000-0000-00006F460000}"/>
    <cellStyle name="Normal 21 6 2 5 2" xfId="18038" xr:uid="{00000000-0005-0000-0000-000070460000}"/>
    <cellStyle name="Normal 21 6 2 5 3" xfId="18039" xr:uid="{00000000-0005-0000-0000-000071460000}"/>
    <cellStyle name="Normal 21 6 2 5 4" xfId="18040" xr:uid="{00000000-0005-0000-0000-000072460000}"/>
    <cellStyle name="Normal 21 6 2 5 5" xfId="18041" xr:uid="{00000000-0005-0000-0000-000073460000}"/>
    <cellStyle name="Normal 21 6 2 5 6" xfId="18042" xr:uid="{00000000-0005-0000-0000-000074460000}"/>
    <cellStyle name="Normal 21 6 2 6" xfId="18043" xr:uid="{00000000-0005-0000-0000-000075460000}"/>
    <cellStyle name="Normal 21 6 2 6 2" xfId="18044" xr:uid="{00000000-0005-0000-0000-000076460000}"/>
    <cellStyle name="Normal 21 6 2 6 3" xfId="18045" xr:uid="{00000000-0005-0000-0000-000077460000}"/>
    <cellStyle name="Normal 21 6 2 6 4" xfId="18046" xr:uid="{00000000-0005-0000-0000-000078460000}"/>
    <cellStyle name="Normal 21 6 2 6 5" xfId="18047" xr:uid="{00000000-0005-0000-0000-000079460000}"/>
    <cellStyle name="Normal 21 6 2 6 6" xfId="18048" xr:uid="{00000000-0005-0000-0000-00007A460000}"/>
    <cellStyle name="Normal 21 6 2 7" xfId="18049" xr:uid="{00000000-0005-0000-0000-00007B460000}"/>
    <cellStyle name="Normal 21 6 2 8" xfId="18050" xr:uid="{00000000-0005-0000-0000-00007C460000}"/>
    <cellStyle name="Normal 21 6 2 9" xfId="18051" xr:uid="{00000000-0005-0000-0000-00007D460000}"/>
    <cellStyle name="Normal 21 6 3" xfId="18052" xr:uid="{00000000-0005-0000-0000-00007E460000}"/>
    <cellStyle name="Normal 21 6 3 2" xfId="18053" xr:uid="{00000000-0005-0000-0000-00007F460000}"/>
    <cellStyle name="Normal 21 6 3 2 2" xfId="18054" xr:uid="{00000000-0005-0000-0000-000080460000}"/>
    <cellStyle name="Normal 21 6 3 2 3" xfId="18055" xr:uid="{00000000-0005-0000-0000-000081460000}"/>
    <cellStyle name="Normal 21 6 3 2 4" xfId="18056" xr:uid="{00000000-0005-0000-0000-000082460000}"/>
    <cellStyle name="Normal 21 6 3 2 5" xfId="18057" xr:uid="{00000000-0005-0000-0000-000083460000}"/>
    <cellStyle name="Normal 21 6 3 2 6" xfId="18058" xr:uid="{00000000-0005-0000-0000-000084460000}"/>
    <cellStyle name="Normal 21 6 3 3" xfId="18059" xr:uid="{00000000-0005-0000-0000-000085460000}"/>
    <cellStyle name="Normal 21 6 3 3 2" xfId="18060" xr:uid="{00000000-0005-0000-0000-000086460000}"/>
    <cellStyle name="Normal 21 6 3 3 3" xfId="18061" xr:uid="{00000000-0005-0000-0000-000087460000}"/>
    <cellStyle name="Normal 21 6 3 3 4" xfId="18062" xr:uid="{00000000-0005-0000-0000-000088460000}"/>
    <cellStyle name="Normal 21 6 3 3 5" xfId="18063" xr:uid="{00000000-0005-0000-0000-000089460000}"/>
    <cellStyle name="Normal 21 6 3 3 6" xfId="18064" xr:uid="{00000000-0005-0000-0000-00008A460000}"/>
    <cellStyle name="Normal 21 6 3 4" xfId="18065" xr:uid="{00000000-0005-0000-0000-00008B460000}"/>
    <cellStyle name="Normal 21 6 3 5" xfId="18066" xr:uid="{00000000-0005-0000-0000-00008C460000}"/>
    <cellStyle name="Normal 21 6 3 6" xfId="18067" xr:uid="{00000000-0005-0000-0000-00008D460000}"/>
    <cellStyle name="Normal 21 6 3 7" xfId="18068" xr:uid="{00000000-0005-0000-0000-00008E460000}"/>
    <cellStyle name="Normal 21 6 3 8" xfId="18069" xr:uid="{00000000-0005-0000-0000-00008F460000}"/>
    <cellStyle name="Normal 21 6 4" xfId="18070" xr:uid="{00000000-0005-0000-0000-000090460000}"/>
    <cellStyle name="Normal 21 6 4 2" xfId="18071" xr:uid="{00000000-0005-0000-0000-000091460000}"/>
    <cellStyle name="Normal 21 6 4 2 2" xfId="18072" xr:uid="{00000000-0005-0000-0000-000092460000}"/>
    <cellStyle name="Normal 21 6 4 2 3" xfId="18073" xr:uid="{00000000-0005-0000-0000-000093460000}"/>
    <cellStyle name="Normal 21 6 4 2 4" xfId="18074" xr:uid="{00000000-0005-0000-0000-000094460000}"/>
    <cellStyle name="Normal 21 6 4 2 5" xfId="18075" xr:uid="{00000000-0005-0000-0000-000095460000}"/>
    <cellStyle name="Normal 21 6 4 2 6" xfId="18076" xr:uid="{00000000-0005-0000-0000-000096460000}"/>
    <cellStyle name="Normal 21 6 4 3" xfId="18077" xr:uid="{00000000-0005-0000-0000-000097460000}"/>
    <cellStyle name="Normal 21 6 4 3 2" xfId="18078" xr:uid="{00000000-0005-0000-0000-000098460000}"/>
    <cellStyle name="Normal 21 6 4 3 3" xfId="18079" xr:uid="{00000000-0005-0000-0000-000099460000}"/>
    <cellStyle name="Normal 21 6 4 3 4" xfId="18080" xr:uid="{00000000-0005-0000-0000-00009A460000}"/>
    <cellStyle name="Normal 21 6 4 3 5" xfId="18081" xr:uid="{00000000-0005-0000-0000-00009B460000}"/>
    <cellStyle name="Normal 21 6 4 3 6" xfId="18082" xr:uid="{00000000-0005-0000-0000-00009C460000}"/>
    <cellStyle name="Normal 21 6 4 4" xfId="18083" xr:uid="{00000000-0005-0000-0000-00009D460000}"/>
    <cellStyle name="Normal 21 6 4 5" xfId="18084" xr:uid="{00000000-0005-0000-0000-00009E460000}"/>
    <cellStyle name="Normal 21 6 4 6" xfId="18085" xr:uid="{00000000-0005-0000-0000-00009F460000}"/>
    <cellStyle name="Normal 21 6 4 7" xfId="18086" xr:uid="{00000000-0005-0000-0000-0000A0460000}"/>
    <cellStyle name="Normal 21 6 4 8" xfId="18087" xr:uid="{00000000-0005-0000-0000-0000A1460000}"/>
    <cellStyle name="Normal 21 6 5" xfId="18088" xr:uid="{00000000-0005-0000-0000-0000A2460000}"/>
    <cellStyle name="Normal 21 6 5 2" xfId="18089" xr:uid="{00000000-0005-0000-0000-0000A3460000}"/>
    <cellStyle name="Normal 21 6 5 2 2" xfId="18090" xr:uid="{00000000-0005-0000-0000-0000A4460000}"/>
    <cellStyle name="Normal 21 6 5 2 3" xfId="18091" xr:uid="{00000000-0005-0000-0000-0000A5460000}"/>
    <cellStyle name="Normal 21 6 5 2 4" xfId="18092" xr:uid="{00000000-0005-0000-0000-0000A6460000}"/>
    <cellStyle name="Normal 21 6 5 2 5" xfId="18093" xr:uid="{00000000-0005-0000-0000-0000A7460000}"/>
    <cellStyle name="Normal 21 6 5 2 6" xfId="18094" xr:uid="{00000000-0005-0000-0000-0000A8460000}"/>
    <cellStyle name="Normal 21 6 5 3" xfId="18095" xr:uid="{00000000-0005-0000-0000-0000A9460000}"/>
    <cellStyle name="Normal 21 6 5 3 2" xfId="18096" xr:uid="{00000000-0005-0000-0000-0000AA460000}"/>
    <cellStyle name="Normal 21 6 5 3 3" xfId="18097" xr:uid="{00000000-0005-0000-0000-0000AB460000}"/>
    <cellStyle name="Normal 21 6 5 3 4" xfId="18098" xr:uid="{00000000-0005-0000-0000-0000AC460000}"/>
    <cellStyle name="Normal 21 6 5 3 5" xfId="18099" xr:uid="{00000000-0005-0000-0000-0000AD460000}"/>
    <cellStyle name="Normal 21 6 5 3 6" xfId="18100" xr:uid="{00000000-0005-0000-0000-0000AE460000}"/>
    <cellStyle name="Normal 21 6 5 4" xfId="18101" xr:uid="{00000000-0005-0000-0000-0000AF460000}"/>
    <cellStyle name="Normal 21 6 5 5" xfId="18102" xr:uid="{00000000-0005-0000-0000-0000B0460000}"/>
    <cellStyle name="Normal 21 6 5 6" xfId="18103" xr:uid="{00000000-0005-0000-0000-0000B1460000}"/>
    <cellStyle name="Normal 21 6 5 7" xfId="18104" xr:uid="{00000000-0005-0000-0000-0000B2460000}"/>
    <cellStyle name="Normal 21 6 5 8" xfId="18105" xr:uid="{00000000-0005-0000-0000-0000B3460000}"/>
    <cellStyle name="Normal 21 6 6" xfId="18106" xr:uid="{00000000-0005-0000-0000-0000B4460000}"/>
    <cellStyle name="Normal 21 6 6 2" xfId="18107" xr:uid="{00000000-0005-0000-0000-0000B5460000}"/>
    <cellStyle name="Normal 21 6 6 3" xfId="18108" xr:uid="{00000000-0005-0000-0000-0000B6460000}"/>
    <cellStyle name="Normal 21 6 6 4" xfId="18109" xr:uid="{00000000-0005-0000-0000-0000B7460000}"/>
    <cellStyle name="Normal 21 6 6 5" xfId="18110" xr:uid="{00000000-0005-0000-0000-0000B8460000}"/>
    <cellStyle name="Normal 21 6 6 6" xfId="18111" xr:uid="{00000000-0005-0000-0000-0000B9460000}"/>
    <cellStyle name="Normal 21 6 7" xfId="18112" xr:uid="{00000000-0005-0000-0000-0000BA460000}"/>
    <cellStyle name="Normal 21 6 7 2" xfId="18113" xr:uid="{00000000-0005-0000-0000-0000BB460000}"/>
    <cellStyle name="Normal 21 6 7 3" xfId="18114" xr:uid="{00000000-0005-0000-0000-0000BC460000}"/>
    <cellStyle name="Normal 21 6 7 4" xfId="18115" xr:uid="{00000000-0005-0000-0000-0000BD460000}"/>
    <cellStyle name="Normal 21 6 7 5" xfId="18116" xr:uid="{00000000-0005-0000-0000-0000BE460000}"/>
    <cellStyle name="Normal 21 6 7 6" xfId="18117" xr:uid="{00000000-0005-0000-0000-0000BF460000}"/>
    <cellStyle name="Normal 21 6 8" xfId="18118" xr:uid="{00000000-0005-0000-0000-0000C0460000}"/>
    <cellStyle name="Normal 21 6 9" xfId="18119" xr:uid="{00000000-0005-0000-0000-0000C1460000}"/>
    <cellStyle name="Normal 21 7" xfId="18120" xr:uid="{00000000-0005-0000-0000-0000C2460000}"/>
    <cellStyle name="Normal 21 7 10" xfId="18121" xr:uid="{00000000-0005-0000-0000-0000C3460000}"/>
    <cellStyle name="Normal 21 7 11" xfId="18122" xr:uid="{00000000-0005-0000-0000-0000C4460000}"/>
    <cellStyle name="Normal 21 7 2" xfId="18123" xr:uid="{00000000-0005-0000-0000-0000C5460000}"/>
    <cellStyle name="Normal 21 7 2 2" xfId="18124" xr:uid="{00000000-0005-0000-0000-0000C6460000}"/>
    <cellStyle name="Normal 21 7 2 2 2" xfId="18125" xr:uid="{00000000-0005-0000-0000-0000C7460000}"/>
    <cellStyle name="Normal 21 7 2 2 3" xfId="18126" xr:uid="{00000000-0005-0000-0000-0000C8460000}"/>
    <cellStyle name="Normal 21 7 2 2 4" xfId="18127" xr:uid="{00000000-0005-0000-0000-0000C9460000}"/>
    <cellStyle name="Normal 21 7 2 2 5" xfId="18128" xr:uid="{00000000-0005-0000-0000-0000CA460000}"/>
    <cellStyle name="Normal 21 7 2 2 6" xfId="18129" xr:uid="{00000000-0005-0000-0000-0000CB460000}"/>
    <cellStyle name="Normal 21 7 2 3" xfId="18130" xr:uid="{00000000-0005-0000-0000-0000CC460000}"/>
    <cellStyle name="Normal 21 7 2 3 2" xfId="18131" xr:uid="{00000000-0005-0000-0000-0000CD460000}"/>
    <cellStyle name="Normal 21 7 2 3 3" xfId="18132" xr:uid="{00000000-0005-0000-0000-0000CE460000}"/>
    <cellStyle name="Normal 21 7 2 3 4" xfId="18133" xr:uid="{00000000-0005-0000-0000-0000CF460000}"/>
    <cellStyle name="Normal 21 7 2 3 5" xfId="18134" xr:uid="{00000000-0005-0000-0000-0000D0460000}"/>
    <cellStyle name="Normal 21 7 2 3 6" xfId="18135" xr:uid="{00000000-0005-0000-0000-0000D1460000}"/>
    <cellStyle name="Normal 21 7 2 4" xfId="18136" xr:uid="{00000000-0005-0000-0000-0000D2460000}"/>
    <cellStyle name="Normal 21 7 2 5" xfId="18137" xr:uid="{00000000-0005-0000-0000-0000D3460000}"/>
    <cellStyle name="Normal 21 7 2 6" xfId="18138" xr:uid="{00000000-0005-0000-0000-0000D4460000}"/>
    <cellStyle name="Normal 21 7 2 7" xfId="18139" xr:uid="{00000000-0005-0000-0000-0000D5460000}"/>
    <cellStyle name="Normal 21 7 2 8" xfId="18140" xr:uid="{00000000-0005-0000-0000-0000D6460000}"/>
    <cellStyle name="Normal 21 7 3" xfId="18141" xr:uid="{00000000-0005-0000-0000-0000D7460000}"/>
    <cellStyle name="Normal 21 7 3 2" xfId="18142" xr:uid="{00000000-0005-0000-0000-0000D8460000}"/>
    <cellStyle name="Normal 21 7 3 2 2" xfId="18143" xr:uid="{00000000-0005-0000-0000-0000D9460000}"/>
    <cellStyle name="Normal 21 7 3 2 3" xfId="18144" xr:uid="{00000000-0005-0000-0000-0000DA460000}"/>
    <cellStyle name="Normal 21 7 3 2 4" xfId="18145" xr:uid="{00000000-0005-0000-0000-0000DB460000}"/>
    <cellStyle name="Normal 21 7 3 2 5" xfId="18146" xr:uid="{00000000-0005-0000-0000-0000DC460000}"/>
    <cellStyle name="Normal 21 7 3 2 6" xfId="18147" xr:uid="{00000000-0005-0000-0000-0000DD460000}"/>
    <cellStyle name="Normal 21 7 3 3" xfId="18148" xr:uid="{00000000-0005-0000-0000-0000DE460000}"/>
    <cellStyle name="Normal 21 7 3 3 2" xfId="18149" xr:uid="{00000000-0005-0000-0000-0000DF460000}"/>
    <cellStyle name="Normal 21 7 3 3 3" xfId="18150" xr:uid="{00000000-0005-0000-0000-0000E0460000}"/>
    <cellStyle name="Normal 21 7 3 3 4" xfId="18151" xr:uid="{00000000-0005-0000-0000-0000E1460000}"/>
    <cellStyle name="Normal 21 7 3 3 5" xfId="18152" xr:uid="{00000000-0005-0000-0000-0000E2460000}"/>
    <cellStyle name="Normal 21 7 3 3 6" xfId="18153" xr:uid="{00000000-0005-0000-0000-0000E3460000}"/>
    <cellStyle name="Normal 21 7 3 4" xfId="18154" xr:uid="{00000000-0005-0000-0000-0000E4460000}"/>
    <cellStyle name="Normal 21 7 3 5" xfId="18155" xr:uid="{00000000-0005-0000-0000-0000E5460000}"/>
    <cellStyle name="Normal 21 7 3 6" xfId="18156" xr:uid="{00000000-0005-0000-0000-0000E6460000}"/>
    <cellStyle name="Normal 21 7 3 7" xfId="18157" xr:uid="{00000000-0005-0000-0000-0000E7460000}"/>
    <cellStyle name="Normal 21 7 3 8" xfId="18158" xr:uid="{00000000-0005-0000-0000-0000E8460000}"/>
    <cellStyle name="Normal 21 7 4" xfId="18159" xr:uid="{00000000-0005-0000-0000-0000E9460000}"/>
    <cellStyle name="Normal 21 7 4 2" xfId="18160" xr:uid="{00000000-0005-0000-0000-0000EA460000}"/>
    <cellStyle name="Normal 21 7 4 2 2" xfId="18161" xr:uid="{00000000-0005-0000-0000-0000EB460000}"/>
    <cellStyle name="Normal 21 7 4 2 3" xfId="18162" xr:uid="{00000000-0005-0000-0000-0000EC460000}"/>
    <cellStyle name="Normal 21 7 4 2 4" xfId="18163" xr:uid="{00000000-0005-0000-0000-0000ED460000}"/>
    <cellStyle name="Normal 21 7 4 2 5" xfId="18164" xr:uid="{00000000-0005-0000-0000-0000EE460000}"/>
    <cellStyle name="Normal 21 7 4 2 6" xfId="18165" xr:uid="{00000000-0005-0000-0000-0000EF460000}"/>
    <cellStyle name="Normal 21 7 4 3" xfId="18166" xr:uid="{00000000-0005-0000-0000-0000F0460000}"/>
    <cellStyle name="Normal 21 7 4 3 2" xfId="18167" xr:uid="{00000000-0005-0000-0000-0000F1460000}"/>
    <cellStyle name="Normal 21 7 4 3 3" xfId="18168" xr:uid="{00000000-0005-0000-0000-0000F2460000}"/>
    <cellStyle name="Normal 21 7 4 3 4" xfId="18169" xr:uid="{00000000-0005-0000-0000-0000F3460000}"/>
    <cellStyle name="Normal 21 7 4 3 5" xfId="18170" xr:uid="{00000000-0005-0000-0000-0000F4460000}"/>
    <cellStyle name="Normal 21 7 4 3 6" xfId="18171" xr:uid="{00000000-0005-0000-0000-0000F5460000}"/>
    <cellStyle name="Normal 21 7 4 4" xfId="18172" xr:uid="{00000000-0005-0000-0000-0000F6460000}"/>
    <cellStyle name="Normal 21 7 4 5" xfId="18173" xr:uid="{00000000-0005-0000-0000-0000F7460000}"/>
    <cellStyle name="Normal 21 7 4 6" xfId="18174" xr:uid="{00000000-0005-0000-0000-0000F8460000}"/>
    <cellStyle name="Normal 21 7 4 7" xfId="18175" xr:uid="{00000000-0005-0000-0000-0000F9460000}"/>
    <cellStyle name="Normal 21 7 4 8" xfId="18176" xr:uid="{00000000-0005-0000-0000-0000FA460000}"/>
    <cellStyle name="Normal 21 7 5" xfId="18177" xr:uid="{00000000-0005-0000-0000-0000FB460000}"/>
    <cellStyle name="Normal 21 7 5 2" xfId="18178" xr:uid="{00000000-0005-0000-0000-0000FC460000}"/>
    <cellStyle name="Normal 21 7 5 3" xfId="18179" xr:uid="{00000000-0005-0000-0000-0000FD460000}"/>
    <cellStyle name="Normal 21 7 5 4" xfId="18180" xr:uid="{00000000-0005-0000-0000-0000FE460000}"/>
    <cellStyle name="Normal 21 7 5 5" xfId="18181" xr:uid="{00000000-0005-0000-0000-0000FF460000}"/>
    <cellStyle name="Normal 21 7 5 6" xfId="18182" xr:uid="{00000000-0005-0000-0000-000000470000}"/>
    <cellStyle name="Normal 21 7 6" xfId="18183" xr:uid="{00000000-0005-0000-0000-000001470000}"/>
    <cellStyle name="Normal 21 7 6 2" xfId="18184" xr:uid="{00000000-0005-0000-0000-000002470000}"/>
    <cellStyle name="Normal 21 7 6 3" xfId="18185" xr:uid="{00000000-0005-0000-0000-000003470000}"/>
    <cellStyle name="Normal 21 7 6 4" xfId="18186" xr:uid="{00000000-0005-0000-0000-000004470000}"/>
    <cellStyle name="Normal 21 7 6 5" xfId="18187" xr:uid="{00000000-0005-0000-0000-000005470000}"/>
    <cellStyle name="Normal 21 7 6 6" xfId="18188" xr:uid="{00000000-0005-0000-0000-000006470000}"/>
    <cellStyle name="Normal 21 7 7" xfId="18189" xr:uid="{00000000-0005-0000-0000-000007470000}"/>
    <cellStyle name="Normal 21 7 8" xfId="18190" xr:uid="{00000000-0005-0000-0000-000008470000}"/>
    <cellStyle name="Normal 21 7 9" xfId="18191" xr:uid="{00000000-0005-0000-0000-000009470000}"/>
    <cellStyle name="Normal 21 8" xfId="18192" xr:uid="{00000000-0005-0000-0000-00000A470000}"/>
    <cellStyle name="Normal 21 8 2" xfId="18193" xr:uid="{00000000-0005-0000-0000-00000B470000}"/>
    <cellStyle name="Normal 21 8 2 2" xfId="18194" xr:uid="{00000000-0005-0000-0000-00000C470000}"/>
    <cellStyle name="Normal 21 8 2 3" xfId="18195" xr:uid="{00000000-0005-0000-0000-00000D470000}"/>
    <cellStyle name="Normal 21 8 2 4" xfId="18196" xr:uid="{00000000-0005-0000-0000-00000E470000}"/>
    <cellStyle name="Normal 21 8 2 5" xfId="18197" xr:uid="{00000000-0005-0000-0000-00000F470000}"/>
    <cellStyle name="Normal 21 8 2 6" xfId="18198" xr:uid="{00000000-0005-0000-0000-000010470000}"/>
    <cellStyle name="Normal 21 8 3" xfId="18199" xr:uid="{00000000-0005-0000-0000-000011470000}"/>
    <cellStyle name="Normal 21 8 3 2" xfId="18200" xr:uid="{00000000-0005-0000-0000-000012470000}"/>
    <cellStyle name="Normal 21 8 3 3" xfId="18201" xr:uid="{00000000-0005-0000-0000-000013470000}"/>
    <cellStyle name="Normal 21 8 3 4" xfId="18202" xr:uid="{00000000-0005-0000-0000-000014470000}"/>
    <cellStyle name="Normal 21 8 3 5" xfId="18203" xr:uid="{00000000-0005-0000-0000-000015470000}"/>
    <cellStyle name="Normal 21 8 3 6" xfId="18204" xr:uid="{00000000-0005-0000-0000-000016470000}"/>
    <cellStyle name="Normal 21 8 4" xfId="18205" xr:uid="{00000000-0005-0000-0000-000017470000}"/>
    <cellStyle name="Normal 21 8 5" xfId="18206" xr:uid="{00000000-0005-0000-0000-000018470000}"/>
    <cellStyle name="Normal 21 8 6" xfId="18207" xr:uid="{00000000-0005-0000-0000-000019470000}"/>
    <cellStyle name="Normal 21 8 7" xfId="18208" xr:uid="{00000000-0005-0000-0000-00001A470000}"/>
    <cellStyle name="Normal 21 8 8" xfId="18209" xr:uid="{00000000-0005-0000-0000-00001B470000}"/>
    <cellStyle name="Normal 21 9" xfId="18210" xr:uid="{00000000-0005-0000-0000-00001C470000}"/>
    <cellStyle name="Normal 21 9 2" xfId="18211" xr:uid="{00000000-0005-0000-0000-00001D470000}"/>
    <cellStyle name="Normal 21 9 2 2" xfId="18212" xr:uid="{00000000-0005-0000-0000-00001E470000}"/>
    <cellStyle name="Normal 21 9 2 3" xfId="18213" xr:uid="{00000000-0005-0000-0000-00001F470000}"/>
    <cellStyle name="Normal 21 9 2 4" xfId="18214" xr:uid="{00000000-0005-0000-0000-000020470000}"/>
    <cellStyle name="Normal 21 9 2 5" xfId="18215" xr:uid="{00000000-0005-0000-0000-000021470000}"/>
    <cellStyle name="Normal 21 9 2 6" xfId="18216" xr:uid="{00000000-0005-0000-0000-000022470000}"/>
    <cellStyle name="Normal 21 9 3" xfId="18217" xr:uid="{00000000-0005-0000-0000-000023470000}"/>
    <cellStyle name="Normal 21 9 3 2" xfId="18218" xr:uid="{00000000-0005-0000-0000-000024470000}"/>
    <cellStyle name="Normal 21 9 3 3" xfId="18219" xr:uid="{00000000-0005-0000-0000-000025470000}"/>
    <cellStyle name="Normal 21 9 3 4" xfId="18220" xr:uid="{00000000-0005-0000-0000-000026470000}"/>
    <cellStyle name="Normal 21 9 3 5" xfId="18221" xr:uid="{00000000-0005-0000-0000-000027470000}"/>
    <cellStyle name="Normal 21 9 3 6" xfId="18222" xr:uid="{00000000-0005-0000-0000-000028470000}"/>
    <cellStyle name="Normal 21 9 4" xfId="18223" xr:uid="{00000000-0005-0000-0000-000029470000}"/>
    <cellStyle name="Normal 21 9 5" xfId="18224" xr:uid="{00000000-0005-0000-0000-00002A470000}"/>
    <cellStyle name="Normal 21 9 6" xfId="18225" xr:uid="{00000000-0005-0000-0000-00002B470000}"/>
    <cellStyle name="Normal 21 9 7" xfId="18226" xr:uid="{00000000-0005-0000-0000-00002C470000}"/>
    <cellStyle name="Normal 21 9 8" xfId="18227" xr:uid="{00000000-0005-0000-0000-00002D470000}"/>
    <cellStyle name="Normal 22" xfId="18228" xr:uid="{00000000-0005-0000-0000-00002E470000}"/>
    <cellStyle name="Normal 22 10" xfId="18229" xr:uid="{00000000-0005-0000-0000-00002F470000}"/>
    <cellStyle name="Normal 22 10 2" xfId="18230" xr:uid="{00000000-0005-0000-0000-000030470000}"/>
    <cellStyle name="Normal 22 10 2 2" xfId="18231" xr:uid="{00000000-0005-0000-0000-000031470000}"/>
    <cellStyle name="Normal 22 10 2 3" xfId="18232" xr:uid="{00000000-0005-0000-0000-000032470000}"/>
    <cellStyle name="Normal 22 10 2 4" xfId="18233" xr:uid="{00000000-0005-0000-0000-000033470000}"/>
    <cellStyle name="Normal 22 10 2 5" xfId="18234" xr:uid="{00000000-0005-0000-0000-000034470000}"/>
    <cellStyle name="Normal 22 10 2 6" xfId="18235" xr:uid="{00000000-0005-0000-0000-000035470000}"/>
    <cellStyle name="Normal 22 10 3" xfId="18236" xr:uid="{00000000-0005-0000-0000-000036470000}"/>
    <cellStyle name="Normal 22 10 3 2" xfId="18237" xr:uid="{00000000-0005-0000-0000-000037470000}"/>
    <cellStyle name="Normal 22 10 3 3" xfId="18238" xr:uid="{00000000-0005-0000-0000-000038470000}"/>
    <cellStyle name="Normal 22 10 3 4" xfId="18239" xr:uid="{00000000-0005-0000-0000-000039470000}"/>
    <cellStyle name="Normal 22 10 3 5" xfId="18240" xr:uid="{00000000-0005-0000-0000-00003A470000}"/>
    <cellStyle name="Normal 22 10 3 6" xfId="18241" xr:uid="{00000000-0005-0000-0000-00003B470000}"/>
    <cellStyle name="Normal 22 10 4" xfId="18242" xr:uid="{00000000-0005-0000-0000-00003C470000}"/>
    <cellStyle name="Normal 22 10 5" xfId="18243" xr:uid="{00000000-0005-0000-0000-00003D470000}"/>
    <cellStyle name="Normal 22 10 6" xfId="18244" xr:uid="{00000000-0005-0000-0000-00003E470000}"/>
    <cellStyle name="Normal 22 10 7" xfId="18245" xr:uid="{00000000-0005-0000-0000-00003F470000}"/>
    <cellStyle name="Normal 22 10 8" xfId="18246" xr:uid="{00000000-0005-0000-0000-000040470000}"/>
    <cellStyle name="Normal 22 11" xfId="18247" xr:uid="{00000000-0005-0000-0000-000041470000}"/>
    <cellStyle name="Normal 22 11 2" xfId="18248" xr:uid="{00000000-0005-0000-0000-000042470000}"/>
    <cellStyle name="Normal 22 11 3" xfId="18249" xr:uid="{00000000-0005-0000-0000-000043470000}"/>
    <cellStyle name="Normal 22 11 4" xfId="18250" xr:uid="{00000000-0005-0000-0000-000044470000}"/>
    <cellStyle name="Normal 22 11 5" xfId="18251" xr:uid="{00000000-0005-0000-0000-000045470000}"/>
    <cellStyle name="Normal 22 11 6" xfId="18252" xr:uid="{00000000-0005-0000-0000-000046470000}"/>
    <cellStyle name="Normal 22 12" xfId="18253" xr:uid="{00000000-0005-0000-0000-000047470000}"/>
    <cellStyle name="Normal 22 12 2" xfId="18254" xr:uid="{00000000-0005-0000-0000-000048470000}"/>
    <cellStyle name="Normal 22 12 3" xfId="18255" xr:uid="{00000000-0005-0000-0000-000049470000}"/>
    <cellStyle name="Normal 22 12 4" xfId="18256" xr:uid="{00000000-0005-0000-0000-00004A470000}"/>
    <cellStyle name="Normal 22 12 5" xfId="18257" xr:uid="{00000000-0005-0000-0000-00004B470000}"/>
    <cellStyle name="Normal 22 12 6" xfId="18258" xr:uid="{00000000-0005-0000-0000-00004C470000}"/>
    <cellStyle name="Normal 22 13" xfId="18259" xr:uid="{00000000-0005-0000-0000-00004D470000}"/>
    <cellStyle name="Normal 22 14" xfId="18260" xr:uid="{00000000-0005-0000-0000-00004E470000}"/>
    <cellStyle name="Normal 22 15" xfId="18261" xr:uid="{00000000-0005-0000-0000-00004F470000}"/>
    <cellStyle name="Normal 22 16" xfId="18262" xr:uid="{00000000-0005-0000-0000-000050470000}"/>
    <cellStyle name="Normal 22 17" xfId="18263" xr:uid="{00000000-0005-0000-0000-000051470000}"/>
    <cellStyle name="Normal 22 2" xfId="18264" xr:uid="{00000000-0005-0000-0000-000052470000}"/>
    <cellStyle name="Normal 22 2 10" xfId="18265" xr:uid="{00000000-0005-0000-0000-000053470000}"/>
    <cellStyle name="Normal 22 2 10 2" xfId="18266" xr:uid="{00000000-0005-0000-0000-000054470000}"/>
    <cellStyle name="Normal 22 2 10 3" xfId="18267" xr:uid="{00000000-0005-0000-0000-000055470000}"/>
    <cellStyle name="Normal 22 2 10 4" xfId="18268" xr:uid="{00000000-0005-0000-0000-000056470000}"/>
    <cellStyle name="Normal 22 2 10 5" xfId="18269" xr:uid="{00000000-0005-0000-0000-000057470000}"/>
    <cellStyle name="Normal 22 2 10 6" xfId="18270" xr:uid="{00000000-0005-0000-0000-000058470000}"/>
    <cellStyle name="Normal 22 2 11" xfId="18271" xr:uid="{00000000-0005-0000-0000-000059470000}"/>
    <cellStyle name="Normal 22 2 12" xfId="18272" xr:uid="{00000000-0005-0000-0000-00005A470000}"/>
    <cellStyle name="Normal 22 2 13" xfId="18273" xr:uid="{00000000-0005-0000-0000-00005B470000}"/>
    <cellStyle name="Normal 22 2 14" xfId="18274" xr:uid="{00000000-0005-0000-0000-00005C470000}"/>
    <cellStyle name="Normal 22 2 15" xfId="18275" xr:uid="{00000000-0005-0000-0000-00005D470000}"/>
    <cellStyle name="Normal 22 2 2" xfId="18276" xr:uid="{00000000-0005-0000-0000-00005E470000}"/>
    <cellStyle name="Normal 22 2 2 10" xfId="18277" xr:uid="{00000000-0005-0000-0000-00005F470000}"/>
    <cellStyle name="Normal 22 2 2 11" xfId="18278" xr:uid="{00000000-0005-0000-0000-000060470000}"/>
    <cellStyle name="Normal 22 2 2 12" xfId="18279" xr:uid="{00000000-0005-0000-0000-000061470000}"/>
    <cellStyle name="Normal 22 2 2 13" xfId="18280" xr:uid="{00000000-0005-0000-0000-000062470000}"/>
    <cellStyle name="Normal 22 2 2 14" xfId="18281" xr:uid="{00000000-0005-0000-0000-000063470000}"/>
    <cellStyle name="Normal 22 2 2 2" xfId="18282" xr:uid="{00000000-0005-0000-0000-000064470000}"/>
    <cellStyle name="Normal 22 2 2 2 10" xfId="18283" xr:uid="{00000000-0005-0000-0000-000065470000}"/>
    <cellStyle name="Normal 22 2 2 2 11" xfId="18284" xr:uid="{00000000-0005-0000-0000-000066470000}"/>
    <cellStyle name="Normal 22 2 2 2 12" xfId="18285" xr:uid="{00000000-0005-0000-0000-000067470000}"/>
    <cellStyle name="Normal 22 2 2 2 2" xfId="18286" xr:uid="{00000000-0005-0000-0000-000068470000}"/>
    <cellStyle name="Normal 22 2 2 2 2 10" xfId="18287" xr:uid="{00000000-0005-0000-0000-000069470000}"/>
    <cellStyle name="Normal 22 2 2 2 2 11" xfId="18288" xr:uid="{00000000-0005-0000-0000-00006A470000}"/>
    <cellStyle name="Normal 22 2 2 2 2 2" xfId="18289" xr:uid="{00000000-0005-0000-0000-00006B470000}"/>
    <cellStyle name="Normal 22 2 2 2 2 2 2" xfId="18290" xr:uid="{00000000-0005-0000-0000-00006C470000}"/>
    <cellStyle name="Normal 22 2 2 2 2 2 2 2" xfId="18291" xr:uid="{00000000-0005-0000-0000-00006D470000}"/>
    <cellStyle name="Normal 22 2 2 2 2 2 2 3" xfId="18292" xr:uid="{00000000-0005-0000-0000-00006E470000}"/>
    <cellStyle name="Normal 22 2 2 2 2 2 2 4" xfId="18293" xr:uid="{00000000-0005-0000-0000-00006F470000}"/>
    <cellStyle name="Normal 22 2 2 2 2 2 2 5" xfId="18294" xr:uid="{00000000-0005-0000-0000-000070470000}"/>
    <cellStyle name="Normal 22 2 2 2 2 2 2 6" xfId="18295" xr:uid="{00000000-0005-0000-0000-000071470000}"/>
    <cellStyle name="Normal 22 2 2 2 2 2 3" xfId="18296" xr:uid="{00000000-0005-0000-0000-000072470000}"/>
    <cellStyle name="Normal 22 2 2 2 2 2 3 2" xfId="18297" xr:uid="{00000000-0005-0000-0000-000073470000}"/>
    <cellStyle name="Normal 22 2 2 2 2 2 3 3" xfId="18298" xr:uid="{00000000-0005-0000-0000-000074470000}"/>
    <cellStyle name="Normal 22 2 2 2 2 2 3 4" xfId="18299" xr:uid="{00000000-0005-0000-0000-000075470000}"/>
    <cellStyle name="Normal 22 2 2 2 2 2 3 5" xfId="18300" xr:uid="{00000000-0005-0000-0000-000076470000}"/>
    <cellStyle name="Normal 22 2 2 2 2 2 3 6" xfId="18301" xr:uid="{00000000-0005-0000-0000-000077470000}"/>
    <cellStyle name="Normal 22 2 2 2 2 2 4" xfId="18302" xr:uid="{00000000-0005-0000-0000-000078470000}"/>
    <cellStyle name="Normal 22 2 2 2 2 2 5" xfId="18303" xr:uid="{00000000-0005-0000-0000-000079470000}"/>
    <cellStyle name="Normal 22 2 2 2 2 2 6" xfId="18304" xr:uid="{00000000-0005-0000-0000-00007A470000}"/>
    <cellStyle name="Normal 22 2 2 2 2 2 7" xfId="18305" xr:uid="{00000000-0005-0000-0000-00007B470000}"/>
    <cellStyle name="Normal 22 2 2 2 2 2 8" xfId="18306" xr:uid="{00000000-0005-0000-0000-00007C470000}"/>
    <cellStyle name="Normal 22 2 2 2 2 3" xfId="18307" xr:uid="{00000000-0005-0000-0000-00007D470000}"/>
    <cellStyle name="Normal 22 2 2 2 2 3 2" xfId="18308" xr:uid="{00000000-0005-0000-0000-00007E470000}"/>
    <cellStyle name="Normal 22 2 2 2 2 3 2 2" xfId="18309" xr:uid="{00000000-0005-0000-0000-00007F470000}"/>
    <cellStyle name="Normal 22 2 2 2 2 3 2 3" xfId="18310" xr:uid="{00000000-0005-0000-0000-000080470000}"/>
    <cellStyle name="Normal 22 2 2 2 2 3 2 4" xfId="18311" xr:uid="{00000000-0005-0000-0000-000081470000}"/>
    <cellStyle name="Normal 22 2 2 2 2 3 2 5" xfId="18312" xr:uid="{00000000-0005-0000-0000-000082470000}"/>
    <cellStyle name="Normal 22 2 2 2 2 3 2 6" xfId="18313" xr:uid="{00000000-0005-0000-0000-000083470000}"/>
    <cellStyle name="Normal 22 2 2 2 2 3 3" xfId="18314" xr:uid="{00000000-0005-0000-0000-000084470000}"/>
    <cellStyle name="Normal 22 2 2 2 2 3 3 2" xfId="18315" xr:uid="{00000000-0005-0000-0000-000085470000}"/>
    <cellStyle name="Normal 22 2 2 2 2 3 3 3" xfId="18316" xr:uid="{00000000-0005-0000-0000-000086470000}"/>
    <cellStyle name="Normal 22 2 2 2 2 3 3 4" xfId="18317" xr:uid="{00000000-0005-0000-0000-000087470000}"/>
    <cellStyle name="Normal 22 2 2 2 2 3 3 5" xfId="18318" xr:uid="{00000000-0005-0000-0000-000088470000}"/>
    <cellStyle name="Normal 22 2 2 2 2 3 3 6" xfId="18319" xr:uid="{00000000-0005-0000-0000-000089470000}"/>
    <cellStyle name="Normal 22 2 2 2 2 3 4" xfId="18320" xr:uid="{00000000-0005-0000-0000-00008A470000}"/>
    <cellStyle name="Normal 22 2 2 2 2 3 5" xfId="18321" xr:uid="{00000000-0005-0000-0000-00008B470000}"/>
    <cellStyle name="Normal 22 2 2 2 2 3 6" xfId="18322" xr:uid="{00000000-0005-0000-0000-00008C470000}"/>
    <cellStyle name="Normal 22 2 2 2 2 3 7" xfId="18323" xr:uid="{00000000-0005-0000-0000-00008D470000}"/>
    <cellStyle name="Normal 22 2 2 2 2 3 8" xfId="18324" xr:uid="{00000000-0005-0000-0000-00008E470000}"/>
    <cellStyle name="Normal 22 2 2 2 2 4" xfId="18325" xr:uid="{00000000-0005-0000-0000-00008F470000}"/>
    <cellStyle name="Normal 22 2 2 2 2 4 2" xfId="18326" xr:uid="{00000000-0005-0000-0000-000090470000}"/>
    <cellStyle name="Normal 22 2 2 2 2 4 2 2" xfId="18327" xr:uid="{00000000-0005-0000-0000-000091470000}"/>
    <cellStyle name="Normal 22 2 2 2 2 4 2 3" xfId="18328" xr:uid="{00000000-0005-0000-0000-000092470000}"/>
    <cellStyle name="Normal 22 2 2 2 2 4 2 4" xfId="18329" xr:uid="{00000000-0005-0000-0000-000093470000}"/>
    <cellStyle name="Normal 22 2 2 2 2 4 2 5" xfId="18330" xr:uid="{00000000-0005-0000-0000-000094470000}"/>
    <cellStyle name="Normal 22 2 2 2 2 4 2 6" xfId="18331" xr:uid="{00000000-0005-0000-0000-000095470000}"/>
    <cellStyle name="Normal 22 2 2 2 2 4 3" xfId="18332" xr:uid="{00000000-0005-0000-0000-000096470000}"/>
    <cellStyle name="Normal 22 2 2 2 2 4 3 2" xfId="18333" xr:uid="{00000000-0005-0000-0000-000097470000}"/>
    <cellStyle name="Normal 22 2 2 2 2 4 3 3" xfId="18334" xr:uid="{00000000-0005-0000-0000-000098470000}"/>
    <cellStyle name="Normal 22 2 2 2 2 4 3 4" xfId="18335" xr:uid="{00000000-0005-0000-0000-000099470000}"/>
    <cellStyle name="Normal 22 2 2 2 2 4 3 5" xfId="18336" xr:uid="{00000000-0005-0000-0000-00009A470000}"/>
    <cellStyle name="Normal 22 2 2 2 2 4 3 6" xfId="18337" xr:uid="{00000000-0005-0000-0000-00009B470000}"/>
    <cellStyle name="Normal 22 2 2 2 2 4 4" xfId="18338" xr:uid="{00000000-0005-0000-0000-00009C470000}"/>
    <cellStyle name="Normal 22 2 2 2 2 4 5" xfId="18339" xr:uid="{00000000-0005-0000-0000-00009D470000}"/>
    <cellStyle name="Normal 22 2 2 2 2 4 6" xfId="18340" xr:uid="{00000000-0005-0000-0000-00009E470000}"/>
    <cellStyle name="Normal 22 2 2 2 2 4 7" xfId="18341" xr:uid="{00000000-0005-0000-0000-00009F470000}"/>
    <cellStyle name="Normal 22 2 2 2 2 4 8" xfId="18342" xr:uid="{00000000-0005-0000-0000-0000A0470000}"/>
    <cellStyle name="Normal 22 2 2 2 2 5" xfId="18343" xr:uid="{00000000-0005-0000-0000-0000A1470000}"/>
    <cellStyle name="Normal 22 2 2 2 2 5 2" xfId="18344" xr:uid="{00000000-0005-0000-0000-0000A2470000}"/>
    <cellStyle name="Normal 22 2 2 2 2 5 3" xfId="18345" xr:uid="{00000000-0005-0000-0000-0000A3470000}"/>
    <cellStyle name="Normal 22 2 2 2 2 5 4" xfId="18346" xr:uid="{00000000-0005-0000-0000-0000A4470000}"/>
    <cellStyle name="Normal 22 2 2 2 2 5 5" xfId="18347" xr:uid="{00000000-0005-0000-0000-0000A5470000}"/>
    <cellStyle name="Normal 22 2 2 2 2 5 6" xfId="18348" xr:uid="{00000000-0005-0000-0000-0000A6470000}"/>
    <cellStyle name="Normal 22 2 2 2 2 6" xfId="18349" xr:uid="{00000000-0005-0000-0000-0000A7470000}"/>
    <cellStyle name="Normal 22 2 2 2 2 6 2" xfId="18350" xr:uid="{00000000-0005-0000-0000-0000A8470000}"/>
    <cellStyle name="Normal 22 2 2 2 2 6 3" xfId="18351" xr:uid="{00000000-0005-0000-0000-0000A9470000}"/>
    <cellStyle name="Normal 22 2 2 2 2 6 4" xfId="18352" xr:uid="{00000000-0005-0000-0000-0000AA470000}"/>
    <cellStyle name="Normal 22 2 2 2 2 6 5" xfId="18353" xr:uid="{00000000-0005-0000-0000-0000AB470000}"/>
    <cellStyle name="Normal 22 2 2 2 2 6 6" xfId="18354" xr:uid="{00000000-0005-0000-0000-0000AC470000}"/>
    <cellStyle name="Normal 22 2 2 2 2 7" xfId="18355" xr:uid="{00000000-0005-0000-0000-0000AD470000}"/>
    <cellStyle name="Normal 22 2 2 2 2 8" xfId="18356" xr:uid="{00000000-0005-0000-0000-0000AE470000}"/>
    <cellStyle name="Normal 22 2 2 2 2 9" xfId="18357" xr:uid="{00000000-0005-0000-0000-0000AF470000}"/>
    <cellStyle name="Normal 22 2 2 2 3" xfId="18358" xr:uid="{00000000-0005-0000-0000-0000B0470000}"/>
    <cellStyle name="Normal 22 2 2 2 3 2" xfId="18359" xr:uid="{00000000-0005-0000-0000-0000B1470000}"/>
    <cellStyle name="Normal 22 2 2 2 3 2 2" xfId="18360" xr:uid="{00000000-0005-0000-0000-0000B2470000}"/>
    <cellStyle name="Normal 22 2 2 2 3 2 3" xfId="18361" xr:uid="{00000000-0005-0000-0000-0000B3470000}"/>
    <cellStyle name="Normal 22 2 2 2 3 2 4" xfId="18362" xr:uid="{00000000-0005-0000-0000-0000B4470000}"/>
    <cellStyle name="Normal 22 2 2 2 3 2 5" xfId="18363" xr:uid="{00000000-0005-0000-0000-0000B5470000}"/>
    <cellStyle name="Normal 22 2 2 2 3 2 6" xfId="18364" xr:uid="{00000000-0005-0000-0000-0000B6470000}"/>
    <cellStyle name="Normal 22 2 2 2 3 3" xfId="18365" xr:uid="{00000000-0005-0000-0000-0000B7470000}"/>
    <cellStyle name="Normal 22 2 2 2 3 3 2" xfId="18366" xr:uid="{00000000-0005-0000-0000-0000B8470000}"/>
    <cellStyle name="Normal 22 2 2 2 3 3 3" xfId="18367" xr:uid="{00000000-0005-0000-0000-0000B9470000}"/>
    <cellStyle name="Normal 22 2 2 2 3 3 4" xfId="18368" xr:uid="{00000000-0005-0000-0000-0000BA470000}"/>
    <cellStyle name="Normal 22 2 2 2 3 3 5" xfId="18369" xr:uid="{00000000-0005-0000-0000-0000BB470000}"/>
    <cellStyle name="Normal 22 2 2 2 3 3 6" xfId="18370" xr:uid="{00000000-0005-0000-0000-0000BC470000}"/>
    <cellStyle name="Normal 22 2 2 2 3 4" xfId="18371" xr:uid="{00000000-0005-0000-0000-0000BD470000}"/>
    <cellStyle name="Normal 22 2 2 2 3 5" xfId="18372" xr:uid="{00000000-0005-0000-0000-0000BE470000}"/>
    <cellStyle name="Normal 22 2 2 2 3 6" xfId="18373" xr:uid="{00000000-0005-0000-0000-0000BF470000}"/>
    <cellStyle name="Normal 22 2 2 2 3 7" xfId="18374" xr:uid="{00000000-0005-0000-0000-0000C0470000}"/>
    <cellStyle name="Normal 22 2 2 2 3 8" xfId="18375" xr:uid="{00000000-0005-0000-0000-0000C1470000}"/>
    <cellStyle name="Normal 22 2 2 2 4" xfId="18376" xr:uid="{00000000-0005-0000-0000-0000C2470000}"/>
    <cellStyle name="Normal 22 2 2 2 4 2" xfId="18377" xr:uid="{00000000-0005-0000-0000-0000C3470000}"/>
    <cellStyle name="Normal 22 2 2 2 4 2 2" xfId="18378" xr:uid="{00000000-0005-0000-0000-0000C4470000}"/>
    <cellStyle name="Normal 22 2 2 2 4 2 3" xfId="18379" xr:uid="{00000000-0005-0000-0000-0000C5470000}"/>
    <cellStyle name="Normal 22 2 2 2 4 2 4" xfId="18380" xr:uid="{00000000-0005-0000-0000-0000C6470000}"/>
    <cellStyle name="Normal 22 2 2 2 4 2 5" xfId="18381" xr:uid="{00000000-0005-0000-0000-0000C7470000}"/>
    <cellStyle name="Normal 22 2 2 2 4 2 6" xfId="18382" xr:uid="{00000000-0005-0000-0000-0000C8470000}"/>
    <cellStyle name="Normal 22 2 2 2 4 3" xfId="18383" xr:uid="{00000000-0005-0000-0000-0000C9470000}"/>
    <cellStyle name="Normal 22 2 2 2 4 3 2" xfId="18384" xr:uid="{00000000-0005-0000-0000-0000CA470000}"/>
    <cellStyle name="Normal 22 2 2 2 4 3 3" xfId="18385" xr:uid="{00000000-0005-0000-0000-0000CB470000}"/>
    <cellStyle name="Normal 22 2 2 2 4 3 4" xfId="18386" xr:uid="{00000000-0005-0000-0000-0000CC470000}"/>
    <cellStyle name="Normal 22 2 2 2 4 3 5" xfId="18387" xr:uid="{00000000-0005-0000-0000-0000CD470000}"/>
    <cellStyle name="Normal 22 2 2 2 4 3 6" xfId="18388" xr:uid="{00000000-0005-0000-0000-0000CE470000}"/>
    <cellStyle name="Normal 22 2 2 2 4 4" xfId="18389" xr:uid="{00000000-0005-0000-0000-0000CF470000}"/>
    <cellStyle name="Normal 22 2 2 2 4 5" xfId="18390" xr:uid="{00000000-0005-0000-0000-0000D0470000}"/>
    <cellStyle name="Normal 22 2 2 2 4 6" xfId="18391" xr:uid="{00000000-0005-0000-0000-0000D1470000}"/>
    <cellStyle name="Normal 22 2 2 2 4 7" xfId="18392" xr:uid="{00000000-0005-0000-0000-0000D2470000}"/>
    <cellStyle name="Normal 22 2 2 2 4 8" xfId="18393" xr:uid="{00000000-0005-0000-0000-0000D3470000}"/>
    <cellStyle name="Normal 22 2 2 2 5" xfId="18394" xr:uid="{00000000-0005-0000-0000-0000D4470000}"/>
    <cellStyle name="Normal 22 2 2 2 5 2" xfId="18395" xr:uid="{00000000-0005-0000-0000-0000D5470000}"/>
    <cellStyle name="Normal 22 2 2 2 5 2 2" xfId="18396" xr:uid="{00000000-0005-0000-0000-0000D6470000}"/>
    <cellStyle name="Normal 22 2 2 2 5 2 3" xfId="18397" xr:uid="{00000000-0005-0000-0000-0000D7470000}"/>
    <cellStyle name="Normal 22 2 2 2 5 2 4" xfId="18398" xr:uid="{00000000-0005-0000-0000-0000D8470000}"/>
    <cellStyle name="Normal 22 2 2 2 5 2 5" xfId="18399" xr:uid="{00000000-0005-0000-0000-0000D9470000}"/>
    <cellStyle name="Normal 22 2 2 2 5 2 6" xfId="18400" xr:uid="{00000000-0005-0000-0000-0000DA470000}"/>
    <cellStyle name="Normal 22 2 2 2 5 3" xfId="18401" xr:uid="{00000000-0005-0000-0000-0000DB470000}"/>
    <cellStyle name="Normal 22 2 2 2 5 3 2" xfId="18402" xr:uid="{00000000-0005-0000-0000-0000DC470000}"/>
    <cellStyle name="Normal 22 2 2 2 5 3 3" xfId="18403" xr:uid="{00000000-0005-0000-0000-0000DD470000}"/>
    <cellStyle name="Normal 22 2 2 2 5 3 4" xfId="18404" xr:uid="{00000000-0005-0000-0000-0000DE470000}"/>
    <cellStyle name="Normal 22 2 2 2 5 3 5" xfId="18405" xr:uid="{00000000-0005-0000-0000-0000DF470000}"/>
    <cellStyle name="Normal 22 2 2 2 5 3 6" xfId="18406" xr:uid="{00000000-0005-0000-0000-0000E0470000}"/>
    <cellStyle name="Normal 22 2 2 2 5 4" xfId="18407" xr:uid="{00000000-0005-0000-0000-0000E1470000}"/>
    <cellStyle name="Normal 22 2 2 2 5 5" xfId="18408" xr:uid="{00000000-0005-0000-0000-0000E2470000}"/>
    <cellStyle name="Normal 22 2 2 2 5 6" xfId="18409" xr:uid="{00000000-0005-0000-0000-0000E3470000}"/>
    <cellStyle name="Normal 22 2 2 2 5 7" xfId="18410" xr:uid="{00000000-0005-0000-0000-0000E4470000}"/>
    <cellStyle name="Normal 22 2 2 2 5 8" xfId="18411" xr:uid="{00000000-0005-0000-0000-0000E5470000}"/>
    <cellStyle name="Normal 22 2 2 2 6" xfId="18412" xr:uid="{00000000-0005-0000-0000-0000E6470000}"/>
    <cellStyle name="Normal 22 2 2 2 6 2" xfId="18413" xr:uid="{00000000-0005-0000-0000-0000E7470000}"/>
    <cellStyle name="Normal 22 2 2 2 6 3" xfId="18414" xr:uid="{00000000-0005-0000-0000-0000E8470000}"/>
    <cellStyle name="Normal 22 2 2 2 6 4" xfId="18415" xr:uid="{00000000-0005-0000-0000-0000E9470000}"/>
    <cellStyle name="Normal 22 2 2 2 6 5" xfId="18416" xr:uid="{00000000-0005-0000-0000-0000EA470000}"/>
    <cellStyle name="Normal 22 2 2 2 6 6" xfId="18417" xr:uid="{00000000-0005-0000-0000-0000EB470000}"/>
    <cellStyle name="Normal 22 2 2 2 7" xfId="18418" xr:uid="{00000000-0005-0000-0000-0000EC470000}"/>
    <cellStyle name="Normal 22 2 2 2 7 2" xfId="18419" xr:uid="{00000000-0005-0000-0000-0000ED470000}"/>
    <cellStyle name="Normal 22 2 2 2 7 3" xfId="18420" xr:uid="{00000000-0005-0000-0000-0000EE470000}"/>
    <cellStyle name="Normal 22 2 2 2 7 4" xfId="18421" xr:uid="{00000000-0005-0000-0000-0000EF470000}"/>
    <cellStyle name="Normal 22 2 2 2 7 5" xfId="18422" xr:uid="{00000000-0005-0000-0000-0000F0470000}"/>
    <cellStyle name="Normal 22 2 2 2 7 6" xfId="18423" xr:uid="{00000000-0005-0000-0000-0000F1470000}"/>
    <cellStyle name="Normal 22 2 2 2 8" xfId="18424" xr:uid="{00000000-0005-0000-0000-0000F2470000}"/>
    <cellStyle name="Normal 22 2 2 2 9" xfId="18425" xr:uid="{00000000-0005-0000-0000-0000F3470000}"/>
    <cellStyle name="Normal 22 2 2 3" xfId="18426" xr:uid="{00000000-0005-0000-0000-0000F4470000}"/>
    <cellStyle name="Normal 22 2 2 3 10" xfId="18427" xr:uid="{00000000-0005-0000-0000-0000F5470000}"/>
    <cellStyle name="Normal 22 2 2 3 11" xfId="18428" xr:uid="{00000000-0005-0000-0000-0000F6470000}"/>
    <cellStyle name="Normal 22 2 2 3 12" xfId="18429" xr:uid="{00000000-0005-0000-0000-0000F7470000}"/>
    <cellStyle name="Normal 22 2 2 3 2" xfId="18430" xr:uid="{00000000-0005-0000-0000-0000F8470000}"/>
    <cellStyle name="Normal 22 2 2 3 2 10" xfId="18431" xr:uid="{00000000-0005-0000-0000-0000F9470000}"/>
    <cellStyle name="Normal 22 2 2 3 2 11" xfId="18432" xr:uid="{00000000-0005-0000-0000-0000FA470000}"/>
    <cellStyle name="Normal 22 2 2 3 2 2" xfId="18433" xr:uid="{00000000-0005-0000-0000-0000FB470000}"/>
    <cellStyle name="Normal 22 2 2 3 2 2 2" xfId="18434" xr:uid="{00000000-0005-0000-0000-0000FC470000}"/>
    <cellStyle name="Normal 22 2 2 3 2 2 2 2" xfId="18435" xr:uid="{00000000-0005-0000-0000-0000FD470000}"/>
    <cellStyle name="Normal 22 2 2 3 2 2 2 3" xfId="18436" xr:uid="{00000000-0005-0000-0000-0000FE470000}"/>
    <cellStyle name="Normal 22 2 2 3 2 2 2 4" xfId="18437" xr:uid="{00000000-0005-0000-0000-0000FF470000}"/>
    <cellStyle name="Normal 22 2 2 3 2 2 2 5" xfId="18438" xr:uid="{00000000-0005-0000-0000-000000480000}"/>
    <cellStyle name="Normal 22 2 2 3 2 2 2 6" xfId="18439" xr:uid="{00000000-0005-0000-0000-000001480000}"/>
    <cellStyle name="Normal 22 2 2 3 2 2 3" xfId="18440" xr:uid="{00000000-0005-0000-0000-000002480000}"/>
    <cellStyle name="Normal 22 2 2 3 2 2 3 2" xfId="18441" xr:uid="{00000000-0005-0000-0000-000003480000}"/>
    <cellStyle name="Normal 22 2 2 3 2 2 3 3" xfId="18442" xr:uid="{00000000-0005-0000-0000-000004480000}"/>
    <cellStyle name="Normal 22 2 2 3 2 2 3 4" xfId="18443" xr:uid="{00000000-0005-0000-0000-000005480000}"/>
    <cellStyle name="Normal 22 2 2 3 2 2 3 5" xfId="18444" xr:uid="{00000000-0005-0000-0000-000006480000}"/>
    <cellStyle name="Normal 22 2 2 3 2 2 3 6" xfId="18445" xr:uid="{00000000-0005-0000-0000-000007480000}"/>
    <cellStyle name="Normal 22 2 2 3 2 2 4" xfId="18446" xr:uid="{00000000-0005-0000-0000-000008480000}"/>
    <cellStyle name="Normal 22 2 2 3 2 2 5" xfId="18447" xr:uid="{00000000-0005-0000-0000-000009480000}"/>
    <cellStyle name="Normal 22 2 2 3 2 2 6" xfId="18448" xr:uid="{00000000-0005-0000-0000-00000A480000}"/>
    <cellStyle name="Normal 22 2 2 3 2 2 7" xfId="18449" xr:uid="{00000000-0005-0000-0000-00000B480000}"/>
    <cellStyle name="Normal 22 2 2 3 2 2 8" xfId="18450" xr:uid="{00000000-0005-0000-0000-00000C480000}"/>
    <cellStyle name="Normal 22 2 2 3 2 3" xfId="18451" xr:uid="{00000000-0005-0000-0000-00000D480000}"/>
    <cellStyle name="Normal 22 2 2 3 2 3 2" xfId="18452" xr:uid="{00000000-0005-0000-0000-00000E480000}"/>
    <cellStyle name="Normal 22 2 2 3 2 3 2 2" xfId="18453" xr:uid="{00000000-0005-0000-0000-00000F480000}"/>
    <cellStyle name="Normal 22 2 2 3 2 3 2 3" xfId="18454" xr:uid="{00000000-0005-0000-0000-000010480000}"/>
    <cellStyle name="Normal 22 2 2 3 2 3 2 4" xfId="18455" xr:uid="{00000000-0005-0000-0000-000011480000}"/>
    <cellStyle name="Normal 22 2 2 3 2 3 2 5" xfId="18456" xr:uid="{00000000-0005-0000-0000-000012480000}"/>
    <cellStyle name="Normal 22 2 2 3 2 3 2 6" xfId="18457" xr:uid="{00000000-0005-0000-0000-000013480000}"/>
    <cellStyle name="Normal 22 2 2 3 2 3 3" xfId="18458" xr:uid="{00000000-0005-0000-0000-000014480000}"/>
    <cellStyle name="Normal 22 2 2 3 2 3 3 2" xfId="18459" xr:uid="{00000000-0005-0000-0000-000015480000}"/>
    <cellStyle name="Normal 22 2 2 3 2 3 3 3" xfId="18460" xr:uid="{00000000-0005-0000-0000-000016480000}"/>
    <cellStyle name="Normal 22 2 2 3 2 3 3 4" xfId="18461" xr:uid="{00000000-0005-0000-0000-000017480000}"/>
    <cellStyle name="Normal 22 2 2 3 2 3 3 5" xfId="18462" xr:uid="{00000000-0005-0000-0000-000018480000}"/>
    <cellStyle name="Normal 22 2 2 3 2 3 3 6" xfId="18463" xr:uid="{00000000-0005-0000-0000-000019480000}"/>
    <cellStyle name="Normal 22 2 2 3 2 3 4" xfId="18464" xr:uid="{00000000-0005-0000-0000-00001A480000}"/>
    <cellStyle name="Normal 22 2 2 3 2 3 5" xfId="18465" xr:uid="{00000000-0005-0000-0000-00001B480000}"/>
    <cellStyle name="Normal 22 2 2 3 2 3 6" xfId="18466" xr:uid="{00000000-0005-0000-0000-00001C480000}"/>
    <cellStyle name="Normal 22 2 2 3 2 3 7" xfId="18467" xr:uid="{00000000-0005-0000-0000-00001D480000}"/>
    <cellStyle name="Normal 22 2 2 3 2 3 8" xfId="18468" xr:uid="{00000000-0005-0000-0000-00001E480000}"/>
    <cellStyle name="Normal 22 2 2 3 2 4" xfId="18469" xr:uid="{00000000-0005-0000-0000-00001F480000}"/>
    <cellStyle name="Normal 22 2 2 3 2 4 2" xfId="18470" xr:uid="{00000000-0005-0000-0000-000020480000}"/>
    <cellStyle name="Normal 22 2 2 3 2 4 2 2" xfId="18471" xr:uid="{00000000-0005-0000-0000-000021480000}"/>
    <cellStyle name="Normal 22 2 2 3 2 4 2 3" xfId="18472" xr:uid="{00000000-0005-0000-0000-000022480000}"/>
    <cellStyle name="Normal 22 2 2 3 2 4 2 4" xfId="18473" xr:uid="{00000000-0005-0000-0000-000023480000}"/>
    <cellStyle name="Normal 22 2 2 3 2 4 2 5" xfId="18474" xr:uid="{00000000-0005-0000-0000-000024480000}"/>
    <cellStyle name="Normal 22 2 2 3 2 4 2 6" xfId="18475" xr:uid="{00000000-0005-0000-0000-000025480000}"/>
    <cellStyle name="Normal 22 2 2 3 2 4 3" xfId="18476" xr:uid="{00000000-0005-0000-0000-000026480000}"/>
    <cellStyle name="Normal 22 2 2 3 2 4 3 2" xfId="18477" xr:uid="{00000000-0005-0000-0000-000027480000}"/>
    <cellStyle name="Normal 22 2 2 3 2 4 3 3" xfId="18478" xr:uid="{00000000-0005-0000-0000-000028480000}"/>
    <cellStyle name="Normal 22 2 2 3 2 4 3 4" xfId="18479" xr:uid="{00000000-0005-0000-0000-000029480000}"/>
    <cellStyle name="Normal 22 2 2 3 2 4 3 5" xfId="18480" xr:uid="{00000000-0005-0000-0000-00002A480000}"/>
    <cellStyle name="Normal 22 2 2 3 2 4 3 6" xfId="18481" xr:uid="{00000000-0005-0000-0000-00002B480000}"/>
    <cellStyle name="Normal 22 2 2 3 2 4 4" xfId="18482" xr:uid="{00000000-0005-0000-0000-00002C480000}"/>
    <cellStyle name="Normal 22 2 2 3 2 4 5" xfId="18483" xr:uid="{00000000-0005-0000-0000-00002D480000}"/>
    <cellStyle name="Normal 22 2 2 3 2 4 6" xfId="18484" xr:uid="{00000000-0005-0000-0000-00002E480000}"/>
    <cellStyle name="Normal 22 2 2 3 2 4 7" xfId="18485" xr:uid="{00000000-0005-0000-0000-00002F480000}"/>
    <cellStyle name="Normal 22 2 2 3 2 4 8" xfId="18486" xr:uid="{00000000-0005-0000-0000-000030480000}"/>
    <cellStyle name="Normal 22 2 2 3 2 5" xfId="18487" xr:uid="{00000000-0005-0000-0000-000031480000}"/>
    <cellStyle name="Normal 22 2 2 3 2 5 2" xfId="18488" xr:uid="{00000000-0005-0000-0000-000032480000}"/>
    <cellStyle name="Normal 22 2 2 3 2 5 3" xfId="18489" xr:uid="{00000000-0005-0000-0000-000033480000}"/>
    <cellStyle name="Normal 22 2 2 3 2 5 4" xfId="18490" xr:uid="{00000000-0005-0000-0000-000034480000}"/>
    <cellStyle name="Normal 22 2 2 3 2 5 5" xfId="18491" xr:uid="{00000000-0005-0000-0000-000035480000}"/>
    <cellStyle name="Normal 22 2 2 3 2 5 6" xfId="18492" xr:uid="{00000000-0005-0000-0000-000036480000}"/>
    <cellStyle name="Normal 22 2 2 3 2 6" xfId="18493" xr:uid="{00000000-0005-0000-0000-000037480000}"/>
    <cellStyle name="Normal 22 2 2 3 2 6 2" xfId="18494" xr:uid="{00000000-0005-0000-0000-000038480000}"/>
    <cellStyle name="Normal 22 2 2 3 2 6 3" xfId="18495" xr:uid="{00000000-0005-0000-0000-000039480000}"/>
    <cellStyle name="Normal 22 2 2 3 2 6 4" xfId="18496" xr:uid="{00000000-0005-0000-0000-00003A480000}"/>
    <cellStyle name="Normal 22 2 2 3 2 6 5" xfId="18497" xr:uid="{00000000-0005-0000-0000-00003B480000}"/>
    <cellStyle name="Normal 22 2 2 3 2 6 6" xfId="18498" xr:uid="{00000000-0005-0000-0000-00003C480000}"/>
    <cellStyle name="Normal 22 2 2 3 2 7" xfId="18499" xr:uid="{00000000-0005-0000-0000-00003D480000}"/>
    <cellStyle name="Normal 22 2 2 3 2 8" xfId="18500" xr:uid="{00000000-0005-0000-0000-00003E480000}"/>
    <cellStyle name="Normal 22 2 2 3 2 9" xfId="18501" xr:uid="{00000000-0005-0000-0000-00003F480000}"/>
    <cellStyle name="Normal 22 2 2 3 3" xfId="18502" xr:uid="{00000000-0005-0000-0000-000040480000}"/>
    <cellStyle name="Normal 22 2 2 3 3 2" xfId="18503" xr:uid="{00000000-0005-0000-0000-000041480000}"/>
    <cellStyle name="Normal 22 2 2 3 3 2 2" xfId="18504" xr:uid="{00000000-0005-0000-0000-000042480000}"/>
    <cellStyle name="Normal 22 2 2 3 3 2 3" xfId="18505" xr:uid="{00000000-0005-0000-0000-000043480000}"/>
    <cellStyle name="Normal 22 2 2 3 3 2 4" xfId="18506" xr:uid="{00000000-0005-0000-0000-000044480000}"/>
    <cellStyle name="Normal 22 2 2 3 3 2 5" xfId="18507" xr:uid="{00000000-0005-0000-0000-000045480000}"/>
    <cellStyle name="Normal 22 2 2 3 3 2 6" xfId="18508" xr:uid="{00000000-0005-0000-0000-000046480000}"/>
    <cellStyle name="Normal 22 2 2 3 3 3" xfId="18509" xr:uid="{00000000-0005-0000-0000-000047480000}"/>
    <cellStyle name="Normal 22 2 2 3 3 3 2" xfId="18510" xr:uid="{00000000-0005-0000-0000-000048480000}"/>
    <cellStyle name="Normal 22 2 2 3 3 3 3" xfId="18511" xr:uid="{00000000-0005-0000-0000-000049480000}"/>
    <cellStyle name="Normal 22 2 2 3 3 3 4" xfId="18512" xr:uid="{00000000-0005-0000-0000-00004A480000}"/>
    <cellStyle name="Normal 22 2 2 3 3 3 5" xfId="18513" xr:uid="{00000000-0005-0000-0000-00004B480000}"/>
    <cellStyle name="Normal 22 2 2 3 3 3 6" xfId="18514" xr:uid="{00000000-0005-0000-0000-00004C480000}"/>
    <cellStyle name="Normal 22 2 2 3 3 4" xfId="18515" xr:uid="{00000000-0005-0000-0000-00004D480000}"/>
    <cellStyle name="Normal 22 2 2 3 3 5" xfId="18516" xr:uid="{00000000-0005-0000-0000-00004E480000}"/>
    <cellStyle name="Normal 22 2 2 3 3 6" xfId="18517" xr:uid="{00000000-0005-0000-0000-00004F480000}"/>
    <cellStyle name="Normal 22 2 2 3 3 7" xfId="18518" xr:uid="{00000000-0005-0000-0000-000050480000}"/>
    <cellStyle name="Normal 22 2 2 3 3 8" xfId="18519" xr:uid="{00000000-0005-0000-0000-000051480000}"/>
    <cellStyle name="Normal 22 2 2 3 4" xfId="18520" xr:uid="{00000000-0005-0000-0000-000052480000}"/>
    <cellStyle name="Normal 22 2 2 3 4 2" xfId="18521" xr:uid="{00000000-0005-0000-0000-000053480000}"/>
    <cellStyle name="Normal 22 2 2 3 4 2 2" xfId="18522" xr:uid="{00000000-0005-0000-0000-000054480000}"/>
    <cellStyle name="Normal 22 2 2 3 4 2 3" xfId="18523" xr:uid="{00000000-0005-0000-0000-000055480000}"/>
    <cellStyle name="Normal 22 2 2 3 4 2 4" xfId="18524" xr:uid="{00000000-0005-0000-0000-000056480000}"/>
    <cellStyle name="Normal 22 2 2 3 4 2 5" xfId="18525" xr:uid="{00000000-0005-0000-0000-000057480000}"/>
    <cellStyle name="Normal 22 2 2 3 4 2 6" xfId="18526" xr:uid="{00000000-0005-0000-0000-000058480000}"/>
    <cellStyle name="Normal 22 2 2 3 4 3" xfId="18527" xr:uid="{00000000-0005-0000-0000-000059480000}"/>
    <cellStyle name="Normal 22 2 2 3 4 3 2" xfId="18528" xr:uid="{00000000-0005-0000-0000-00005A480000}"/>
    <cellStyle name="Normal 22 2 2 3 4 3 3" xfId="18529" xr:uid="{00000000-0005-0000-0000-00005B480000}"/>
    <cellStyle name="Normal 22 2 2 3 4 3 4" xfId="18530" xr:uid="{00000000-0005-0000-0000-00005C480000}"/>
    <cellStyle name="Normal 22 2 2 3 4 3 5" xfId="18531" xr:uid="{00000000-0005-0000-0000-00005D480000}"/>
    <cellStyle name="Normal 22 2 2 3 4 3 6" xfId="18532" xr:uid="{00000000-0005-0000-0000-00005E480000}"/>
    <cellStyle name="Normal 22 2 2 3 4 4" xfId="18533" xr:uid="{00000000-0005-0000-0000-00005F480000}"/>
    <cellStyle name="Normal 22 2 2 3 4 5" xfId="18534" xr:uid="{00000000-0005-0000-0000-000060480000}"/>
    <cellStyle name="Normal 22 2 2 3 4 6" xfId="18535" xr:uid="{00000000-0005-0000-0000-000061480000}"/>
    <cellStyle name="Normal 22 2 2 3 4 7" xfId="18536" xr:uid="{00000000-0005-0000-0000-000062480000}"/>
    <cellStyle name="Normal 22 2 2 3 4 8" xfId="18537" xr:uid="{00000000-0005-0000-0000-000063480000}"/>
    <cellStyle name="Normal 22 2 2 3 5" xfId="18538" xr:uid="{00000000-0005-0000-0000-000064480000}"/>
    <cellStyle name="Normal 22 2 2 3 5 2" xfId="18539" xr:uid="{00000000-0005-0000-0000-000065480000}"/>
    <cellStyle name="Normal 22 2 2 3 5 2 2" xfId="18540" xr:uid="{00000000-0005-0000-0000-000066480000}"/>
    <cellStyle name="Normal 22 2 2 3 5 2 3" xfId="18541" xr:uid="{00000000-0005-0000-0000-000067480000}"/>
    <cellStyle name="Normal 22 2 2 3 5 2 4" xfId="18542" xr:uid="{00000000-0005-0000-0000-000068480000}"/>
    <cellStyle name="Normal 22 2 2 3 5 2 5" xfId="18543" xr:uid="{00000000-0005-0000-0000-000069480000}"/>
    <cellStyle name="Normal 22 2 2 3 5 2 6" xfId="18544" xr:uid="{00000000-0005-0000-0000-00006A480000}"/>
    <cellStyle name="Normal 22 2 2 3 5 3" xfId="18545" xr:uid="{00000000-0005-0000-0000-00006B480000}"/>
    <cellStyle name="Normal 22 2 2 3 5 3 2" xfId="18546" xr:uid="{00000000-0005-0000-0000-00006C480000}"/>
    <cellStyle name="Normal 22 2 2 3 5 3 3" xfId="18547" xr:uid="{00000000-0005-0000-0000-00006D480000}"/>
    <cellStyle name="Normal 22 2 2 3 5 3 4" xfId="18548" xr:uid="{00000000-0005-0000-0000-00006E480000}"/>
    <cellStyle name="Normal 22 2 2 3 5 3 5" xfId="18549" xr:uid="{00000000-0005-0000-0000-00006F480000}"/>
    <cellStyle name="Normal 22 2 2 3 5 3 6" xfId="18550" xr:uid="{00000000-0005-0000-0000-000070480000}"/>
    <cellStyle name="Normal 22 2 2 3 5 4" xfId="18551" xr:uid="{00000000-0005-0000-0000-000071480000}"/>
    <cellStyle name="Normal 22 2 2 3 5 5" xfId="18552" xr:uid="{00000000-0005-0000-0000-000072480000}"/>
    <cellStyle name="Normal 22 2 2 3 5 6" xfId="18553" xr:uid="{00000000-0005-0000-0000-000073480000}"/>
    <cellStyle name="Normal 22 2 2 3 5 7" xfId="18554" xr:uid="{00000000-0005-0000-0000-000074480000}"/>
    <cellStyle name="Normal 22 2 2 3 5 8" xfId="18555" xr:uid="{00000000-0005-0000-0000-000075480000}"/>
    <cellStyle name="Normal 22 2 2 3 6" xfId="18556" xr:uid="{00000000-0005-0000-0000-000076480000}"/>
    <cellStyle name="Normal 22 2 2 3 6 2" xfId="18557" xr:uid="{00000000-0005-0000-0000-000077480000}"/>
    <cellStyle name="Normal 22 2 2 3 6 3" xfId="18558" xr:uid="{00000000-0005-0000-0000-000078480000}"/>
    <cellStyle name="Normal 22 2 2 3 6 4" xfId="18559" xr:uid="{00000000-0005-0000-0000-000079480000}"/>
    <cellStyle name="Normal 22 2 2 3 6 5" xfId="18560" xr:uid="{00000000-0005-0000-0000-00007A480000}"/>
    <cellStyle name="Normal 22 2 2 3 6 6" xfId="18561" xr:uid="{00000000-0005-0000-0000-00007B480000}"/>
    <cellStyle name="Normal 22 2 2 3 7" xfId="18562" xr:uid="{00000000-0005-0000-0000-00007C480000}"/>
    <cellStyle name="Normal 22 2 2 3 7 2" xfId="18563" xr:uid="{00000000-0005-0000-0000-00007D480000}"/>
    <cellStyle name="Normal 22 2 2 3 7 3" xfId="18564" xr:uid="{00000000-0005-0000-0000-00007E480000}"/>
    <cellStyle name="Normal 22 2 2 3 7 4" xfId="18565" xr:uid="{00000000-0005-0000-0000-00007F480000}"/>
    <cellStyle name="Normal 22 2 2 3 7 5" xfId="18566" xr:uid="{00000000-0005-0000-0000-000080480000}"/>
    <cellStyle name="Normal 22 2 2 3 7 6" xfId="18567" xr:uid="{00000000-0005-0000-0000-000081480000}"/>
    <cellStyle name="Normal 22 2 2 3 8" xfId="18568" xr:uid="{00000000-0005-0000-0000-000082480000}"/>
    <cellStyle name="Normal 22 2 2 3 9" xfId="18569" xr:uid="{00000000-0005-0000-0000-000083480000}"/>
    <cellStyle name="Normal 22 2 2 4" xfId="18570" xr:uid="{00000000-0005-0000-0000-000084480000}"/>
    <cellStyle name="Normal 22 2 2 4 10" xfId="18571" xr:uid="{00000000-0005-0000-0000-000085480000}"/>
    <cellStyle name="Normal 22 2 2 4 11" xfId="18572" xr:uid="{00000000-0005-0000-0000-000086480000}"/>
    <cellStyle name="Normal 22 2 2 4 2" xfId="18573" xr:uid="{00000000-0005-0000-0000-000087480000}"/>
    <cellStyle name="Normal 22 2 2 4 2 2" xfId="18574" xr:uid="{00000000-0005-0000-0000-000088480000}"/>
    <cellStyle name="Normal 22 2 2 4 2 2 2" xfId="18575" xr:uid="{00000000-0005-0000-0000-000089480000}"/>
    <cellStyle name="Normal 22 2 2 4 2 2 3" xfId="18576" xr:uid="{00000000-0005-0000-0000-00008A480000}"/>
    <cellStyle name="Normal 22 2 2 4 2 2 4" xfId="18577" xr:uid="{00000000-0005-0000-0000-00008B480000}"/>
    <cellStyle name="Normal 22 2 2 4 2 2 5" xfId="18578" xr:uid="{00000000-0005-0000-0000-00008C480000}"/>
    <cellStyle name="Normal 22 2 2 4 2 2 6" xfId="18579" xr:uid="{00000000-0005-0000-0000-00008D480000}"/>
    <cellStyle name="Normal 22 2 2 4 2 3" xfId="18580" xr:uid="{00000000-0005-0000-0000-00008E480000}"/>
    <cellStyle name="Normal 22 2 2 4 2 3 2" xfId="18581" xr:uid="{00000000-0005-0000-0000-00008F480000}"/>
    <cellStyle name="Normal 22 2 2 4 2 3 3" xfId="18582" xr:uid="{00000000-0005-0000-0000-000090480000}"/>
    <cellStyle name="Normal 22 2 2 4 2 3 4" xfId="18583" xr:uid="{00000000-0005-0000-0000-000091480000}"/>
    <cellStyle name="Normal 22 2 2 4 2 3 5" xfId="18584" xr:uid="{00000000-0005-0000-0000-000092480000}"/>
    <cellStyle name="Normal 22 2 2 4 2 3 6" xfId="18585" xr:uid="{00000000-0005-0000-0000-000093480000}"/>
    <cellStyle name="Normal 22 2 2 4 2 4" xfId="18586" xr:uid="{00000000-0005-0000-0000-000094480000}"/>
    <cellStyle name="Normal 22 2 2 4 2 5" xfId="18587" xr:uid="{00000000-0005-0000-0000-000095480000}"/>
    <cellStyle name="Normal 22 2 2 4 2 6" xfId="18588" xr:uid="{00000000-0005-0000-0000-000096480000}"/>
    <cellStyle name="Normal 22 2 2 4 2 7" xfId="18589" xr:uid="{00000000-0005-0000-0000-000097480000}"/>
    <cellStyle name="Normal 22 2 2 4 2 8" xfId="18590" xr:uid="{00000000-0005-0000-0000-000098480000}"/>
    <cellStyle name="Normal 22 2 2 4 3" xfId="18591" xr:uid="{00000000-0005-0000-0000-000099480000}"/>
    <cellStyle name="Normal 22 2 2 4 3 2" xfId="18592" xr:uid="{00000000-0005-0000-0000-00009A480000}"/>
    <cellStyle name="Normal 22 2 2 4 3 2 2" xfId="18593" xr:uid="{00000000-0005-0000-0000-00009B480000}"/>
    <cellStyle name="Normal 22 2 2 4 3 2 3" xfId="18594" xr:uid="{00000000-0005-0000-0000-00009C480000}"/>
    <cellStyle name="Normal 22 2 2 4 3 2 4" xfId="18595" xr:uid="{00000000-0005-0000-0000-00009D480000}"/>
    <cellStyle name="Normal 22 2 2 4 3 2 5" xfId="18596" xr:uid="{00000000-0005-0000-0000-00009E480000}"/>
    <cellStyle name="Normal 22 2 2 4 3 2 6" xfId="18597" xr:uid="{00000000-0005-0000-0000-00009F480000}"/>
    <cellStyle name="Normal 22 2 2 4 3 3" xfId="18598" xr:uid="{00000000-0005-0000-0000-0000A0480000}"/>
    <cellStyle name="Normal 22 2 2 4 3 3 2" xfId="18599" xr:uid="{00000000-0005-0000-0000-0000A1480000}"/>
    <cellStyle name="Normal 22 2 2 4 3 3 3" xfId="18600" xr:uid="{00000000-0005-0000-0000-0000A2480000}"/>
    <cellStyle name="Normal 22 2 2 4 3 3 4" xfId="18601" xr:uid="{00000000-0005-0000-0000-0000A3480000}"/>
    <cellStyle name="Normal 22 2 2 4 3 3 5" xfId="18602" xr:uid="{00000000-0005-0000-0000-0000A4480000}"/>
    <cellStyle name="Normal 22 2 2 4 3 3 6" xfId="18603" xr:uid="{00000000-0005-0000-0000-0000A5480000}"/>
    <cellStyle name="Normal 22 2 2 4 3 4" xfId="18604" xr:uid="{00000000-0005-0000-0000-0000A6480000}"/>
    <cellStyle name="Normal 22 2 2 4 3 5" xfId="18605" xr:uid="{00000000-0005-0000-0000-0000A7480000}"/>
    <cellStyle name="Normal 22 2 2 4 3 6" xfId="18606" xr:uid="{00000000-0005-0000-0000-0000A8480000}"/>
    <cellStyle name="Normal 22 2 2 4 3 7" xfId="18607" xr:uid="{00000000-0005-0000-0000-0000A9480000}"/>
    <cellStyle name="Normal 22 2 2 4 3 8" xfId="18608" xr:uid="{00000000-0005-0000-0000-0000AA480000}"/>
    <cellStyle name="Normal 22 2 2 4 4" xfId="18609" xr:uid="{00000000-0005-0000-0000-0000AB480000}"/>
    <cellStyle name="Normal 22 2 2 4 4 2" xfId="18610" xr:uid="{00000000-0005-0000-0000-0000AC480000}"/>
    <cellStyle name="Normal 22 2 2 4 4 2 2" xfId="18611" xr:uid="{00000000-0005-0000-0000-0000AD480000}"/>
    <cellStyle name="Normal 22 2 2 4 4 2 3" xfId="18612" xr:uid="{00000000-0005-0000-0000-0000AE480000}"/>
    <cellStyle name="Normal 22 2 2 4 4 2 4" xfId="18613" xr:uid="{00000000-0005-0000-0000-0000AF480000}"/>
    <cellStyle name="Normal 22 2 2 4 4 2 5" xfId="18614" xr:uid="{00000000-0005-0000-0000-0000B0480000}"/>
    <cellStyle name="Normal 22 2 2 4 4 2 6" xfId="18615" xr:uid="{00000000-0005-0000-0000-0000B1480000}"/>
    <cellStyle name="Normal 22 2 2 4 4 3" xfId="18616" xr:uid="{00000000-0005-0000-0000-0000B2480000}"/>
    <cellStyle name="Normal 22 2 2 4 4 3 2" xfId="18617" xr:uid="{00000000-0005-0000-0000-0000B3480000}"/>
    <cellStyle name="Normal 22 2 2 4 4 3 3" xfId="18618" xr:uid="{00000000-0005-0000-0000-0000B4480000}"/>
    <cellStyle name="Normal 22 2 2 4 4 3 4" xfId="18619" xr:uid="{00000000-0005-0000-0000-0000B5480000}"/>
    <cellStyle name="Normal 22 2 2 4 4 3 5" xfId="18620" xr:uid="{00000000-0005-0000-0000-0000B6480000}"/>
    <cellStyle name="Normal 22 2 2 4 4 3 6" xfId="18621" xr:uid="{00000000-0005-0000-0000-0000B7480000}"/>
    <cellStyle name="Normal 22 2 2 4 4 4" xfId="18622" xr:uid="{00000000-0005-0000-0000-0000B8480000}"/>
    <cellStyle name="Normal 22 2 2 4 4 5" xfId="18623" xr:uid="{00000000-0005-0000-0000-0000B9480000}"/>
    <cellStyle name="Normal 22 2 2 4 4 6" xfId="18624" xr:uid="{00000000-0005-0000-0000-0000BA480000}"/>
    <cellStyle name="Normal 22 2 2 4 4 7" xfId="18625" xr:uid="{00000000-0005-0000-0000-0000BB480000}"/>
    <cellStyle name="Normal 22 2 2 4 4 8" xfId="18626" xr:uid="{00000000-0005-0000-0000-0000BC480000}"/>
    <cellStyle name="Normal 22 2 2 4 5" xfId="18627" xr:uid="{00000000-0005-0000-0000-0000BD480000}"/>
    <cellStyle name="Normal 22 2 2 4 5 2" xfId="18628" xr:uid="{00000000-0005-0000-0000-0000BE480000}"/>
    <cellStyle name="Normal 22 2 2 4 5 3" xfId="18629" xr:uid="{00000000-0005-0000-0000-0000BF480000}"/>
    <cellStyle name="Normal 22 2 2 4 5 4" xfId="18630" xr:uid="{00000000-0005-0000-0000-0000C0480000}"/>
    <cellStyle name="Normal 22 2 2 4 5 5" xfId="18631" xr:uid="{00000000-0005-0000-0000-0000C1480000}"/>
    <cellStyle name="Normal 22 2 2 4 5 6" xfId="18632" xr:uid="{00000000-0005-0000-0000-0000C2480000}"/>
    <cellStyle name="Normal 22 2 2 4 6" xfId="18633" xr:uid="{00000000-0005-0000-0000-0000C3480000}"/>
    <cellStyle name="Normal 22 2 2 4 6 2" xfId="18634" xr:uid="{00000000-0005-0000-0000-0000C4480000}"/>
    <cellStyle name="Normal 22 2 2 4 6 3" xfId="18635" xr:uid="{00000000-0005-0000-0000-0000C5480000}"/>
    <cellStyle name="Normal 22 2 2 4 6 4" xfId="18636" xr:uid="{00000000-0005-0000-0000-0000C6480000}"/>
    <cellStyle name="Normal 22 2 2 4 6 5" xfId="18637" xr:uid="{00000000-0005-0000-0000-0000C7480000}"/>
    <cellStyle name="Normal 22 2 2 4 6 6" xfId="18638" xr:uid="{00000000-0005-0000-0000-0000C8480000}"/>
    <cellStyle name="Normal 22 2 2 4 7" xfId="18639" xr:uid="{00000000-0005-0000-0000-0000C9480000}"/>
    <cellStyle name="Normal 22 2 2 4 8" xfId="18640" xr:uid="{00000000-0005-0000-0000-0000CA480000}"/>
    <cellStyle name="Normal 22 2 2 4 9" xfId="18641" xr:uid="{00000000-0005-0000-0000-0000CB480000}"/>
    <cellStyle name="Normal 22 2 2 5" xfId="18642" xr:uid="{00000000-0005-0000-0000-0000CC480000}"/>
    <cellStyle name="Normal 22 2 2 5 2" xfId="18643" xr:uid="{00000000-0005-0000-0000-0000CD480000}"/>
    <cellStyle name="Normal 22 2 2 5 2 2" xfId="18644" xr:uid="{00000000-0005-0000-0000-0000CE480000}"/>
    <cellStyle name="Normal 22 2 2 5 2 3" xfId="18645" xr:uid="{00000000-0005-0000-0000-0000CF480000}"/>
    <cellStyle name="Normal 22 2 2 5 2 4" xfId="18646" xr:uid="{00000000-0005-0000-0000-0000D0480000}"/>
    <cellStyle name="Normal 22 2 2 5 2 5" xfId="18647" xr:uid="{00000000-0005-0000-0000-0000D1480000}"/>
    <cellStyle name="Normal 22 2 2 5 2 6" xfId="18648" xr:uid="{00000000-0005-0000-0000-0000D2480000}"/>
    <cellStyle name="Normal 22 2 2 5 3" xfId="18649" xr:uid="{00000000-0005-0000-0000-0000D3480000}"/>
    <cellStyle name="Normal 22 2 2 5 3 2" xfId="18650" xr:uid="{00000000-0005-0000-0000-0000D4480000}"/>
    <cellStyle name="Normal 22 2 2 5 3 3" xfId="18651" xr:uid="{00000000-0005-0000-0000-0000D5480000}"/>
    <cellStyle name="Normal 22 2 2 5 3 4" xfId="18652" xr:uid="{00000000-0005-0000-0000-0000D6480000}"/>
    <cellStyle name="Normal 22 2 2 5 3 5" xfId="18653" xr:uid="{00000000-0005-0000-0000-0000D7480000}"/>
    <cellStyle name="Normal 22 2 2 5 3 6" xfId="18654" xr:uid="{00000000-0005-0000-0000-0000D8480000}"/>
    <cellStyle name="Normal 22 2 2 5 4" xfId="18655" xr:uid="{00000000-0005-0000-0000-0000D9480000}"/>
    <cellStyle name="Normal 22 2 2 5 5" xfId="18656" xr:uid="{00000000-0005-0000-0000-0000DA480000}"/>
    <cellStyle name="Normal 22 2 2 5 6" xfId="18657" xr:uid="{00000000-0005-0000-0000-0000DB480000}"/>
    <cellStyle name="Normal 22 2 2 5 7" xfId="18658" xr:uid="{00000000-0005-0000-0000-0000DC480000}"/>
    <cellStyle name="Normal 22 2 2 5 8" xfId="18659" xr:uid="{00000000-0005-0000-0000-0000DD480000}"/>
    <cellStyle name="Normal 22 2 2 6" xfId="18660" xr:uid="{00000000-0005-0000-0000-0000DE480000}"/>
    <cellStyle name="Normal 22 2 2 6 2" xfId="18661" xr:uid="{00000000-0005-0000-0000-0000DF480000}"/>
    <cellStyle name="Normal 22 2 2 6 2 2" xfId="18662" xr:uid="{00000000-0005-0000-0000-0000E0480000}"/>
    <cellStyle name="Normal 22 2 2 6 2 3" xfId="18663" xr:uid="{00000000-0005-0000-0000-0000E1480000}"/>
    <cellStyle name="Normal 22 2 2 6 2 4" xfId="18664" xr:uid="{00000000-0005-0000-0000-0000E2480000}"/>
    <cellStyle name="Normal 22 2 2 6 2 5" xfId="18665" xr:uid="{00000000-0005-0000-0000-0000E3480000}"/>
    <cellStyle name="Normal 22 2 2 6 2 6" xfId="18666" xr:uid="{00000000-0005-0000-0000-0000E4480000}"/>
    <cellStyle name="Normal 22 2 2 6 3" xfId="18667" xr:uid="{00000000-0005-0000-0000-0000E5480000}"/>
    <cellStyle name="Normal 22 2 2 6 3 2" xfId="18668" xr:uid="{00000000-0005-0000-0000-0000E6480000}"/>
    <cellStyle name="Normal 22 2 2 6 3 3" xfId="18669" xr:uid="{00000000-0005-0000-0000-0000E7480000}"/>
    <cellStyle name="Normal 22 2 2 6 3 4" xfId="18670" xr:uid="{00000000-0005-0000-0000-0000E8480000}"/>
    <cellStyle name="Normal 22 2 2 6 3 5" xfId="18671" xr:uid="{00000000-0005-0000-0000-0000E9480000}"/>
    <cellStyle name="Normal 22 2 2 6 3 6" xfId="18672" xr:uid="{00000000-0005-0000-0000-0000EA480000}"/>
    <cellStyle name="Normal 22 2 2 6 4" xfId="18673" xr:uid="{00000000-0005-0000-0000-0000EB480000}"/>
    <cellStyle name="Normal 22 2 2 6 5" xfId="18674" xr:uid="{00000000-0005-0000-0000-0000EC480000}"/>
    <cellStyle name="Normal 22 2 2 6 6" xfId="18675" xr:uid="{00000000-0005-0000-0000-0000ED480000}"/>
    <cellStyle name="Normal 22 2 2 6 7" xfId="18676" xr:uid="{00000000-0005-0000-0000-0000EE480000}"/>
    <cellStyle name="Normal 22 2 2 6 8" xfId="18677" xr:uid="{00000000-0005-0000-0000-0000EF480000}"/>
    <cellStyle name="Normal 22 2 2 7" xfId="18678" xr:uid="{00000000-0005-0000-0000-0000F0480000}"/>
    <cellStyle name="Normal 22 2 2 7 2" xfId="18679" xr:uid="{00000000-0005-0000-0000-0000F1480000}"/>
    <cellStyle name="Normal 22 2 2 7 2 2" xfId="18680" xr:uid="{00000000-0005-0000-0000-0000F2480000}"/>
    <cellStyle name="Normal 22 2 2 7 2 3" xfId="18681" xr:uid="{00000000-0005-0000-0000-0000F3480000}"/>
    <cellStyle name="Normal 22 2 2 7 2 4" xfId="18682" xr:uid="{00000000-0005-0000-0000-0000F4480000}"/>
    <cellStyle name="Normal 22 2 2 7 2 5" xfId="18683" xr:uid="{00000000-0005-0000-0000-0000F5480000}"/>
    <cellStyle name="Normal 22 2 2 7 2 6" xfId="18684" xr:uid="{00000000-0005-0000-0000-0000F6480000}"/>
    <cellStyle name="Normal 22 2 2 7 3" xfId="18685" xr:uid="{00000000-0005-0000-0000-0000F7480000}"/>
    <cellStyle name="Normal 22 2 2 7 3 2" xfId="18686" xr:uid="{00000000-0005-0000-0000-0000F8480000}"/>
    <cellStyle name="Normal 22 2 2 7 3 3" xfId="18687" xr:uid="{00000000-0005-0000-0000-0000F9480000}"/>
    <cellStyle name="Normal 22 2 2 7 3 4" xfId="18688" xr:uid="{00000000-0005-0000-0000-0000FA480000}"/>
    <cellStyle name="Normal 22 2 2 7 3 5" xfId="18689" xr:uid="{00000000-0005-0000-0000-0000FB480000}"/>
    <cellStyle name="Normal 22 2 2 7 3 6" xfId="18690" xr:uid="{00000000-0005-0000-0000-0000FC480000}"/>
    <cellStyle name="Normal 22 2 2 7 4" xfId="18691" xr:uid="{00000000-0005-0000-0000-0000FD480000}"/>
    <cellStyle name="Normal 22 2 2 7 5" xfId="18692" xr:uid="{00000000-0005-0000-0000-0000FE480000}"/>
    <cellStyle name="Normal 22 2 2 7 6" xfId="18693" xr:uid="{00000000-0005-0000-0000-0000FF480000}"/>
    <cellStyle name="Normal 22 2 2 7 7" xfId="18694" xr:uid="{00000000-0005-0000-0000-000000490000}"/>
    <cellStyle name="Normal 22 2 2 7 8" xfId="18695" xr:uid="{00000000-0005-0000-0000-000001490000}"/>
    <cellStyle name="Normal 22 2 2 8" xfId="18696" xr:uid="{00000000-0005-0000-0000-000002490000}"/>
    <cellStyle name="Normal 22 2 2 8 2" xfId="18697" xr:uid="{00000000-0005-0000-0000-000003490000}"/>
    <cellStyle name="Normal 22 2 2 8 3" xfId="18698" xr:uid="{00000000-0005-0000-0000-000004490000}"/>
    <cellStyle name="Normal 22 2 2 8 4" xfId="18699" xr:uid="{00000000-0005-0000-0000-000005490000}"/>
    <cellStyle name="Normal 22 2 2 8 5" xfId="18700" xr:uid="{00000000-0005-0000-0000-000006490000}"/>
    <cellStyle name="Normal 22 2 2 8 6" xfId="18701" xr:uid="{00000000-0005-0000-0000-000007490000}"/>
    <cellStyle name="Normal 22 2 2 9" xfId="18702" xr:uid="{00000000-0005-0000-0000-000008490000}"/>
    <cellStyle name="Normal 22 2 2 9 2" xfId="18703" xr:uid="{00000000-0005-0000-0000-000009490000}"/>
    <cellStyle name="Normal 22 2 2 9 3" xfId="18704" xr:uid="{00000000-0005-0000-0000-00000A490000}"/>
    <cellStyle name="Normal 22 2 2 9 4" xfId="18705" xr:uid="{00000000-0005-0000-0000-00000B490000}"/>
    <cellStyle name="Normal 22 2 2 9 5" xfId="18706" xr:uid="{00000000-0005-0000-0000-00000C490000}"/>
    <cellStyle name="Normal 22 2 2 9 6" xfId="18707" xr:uid="{00000000-0005-0000-0000-00000D490000}"/>
    <cellStyle name="Normal 22 2 3" xfId="18708" xr:uid="{00000000-0005-0000-0000-00000E490000}"/>
    <cellStyle name="Normal 22 2 3 10" xfId="18709" xr:uid="{00000000-0005-0000-0000-00000F490000}"/>
    <cellStyle name="Normal 22 2 3 11" xfId="18710" xr:uid="{00000000-0005-0000-0000-000010490000}"/>
    <cellStyle name="Normal 22 2 3 12" xfId="18711" xr:uid="{00000000-0005-0000-0000-000011490000}"/>
    <cellStyle name="Normal 22 2 3 2" xfId="18712" xr:uid="{00000000-0005-0000-0000-000012490000}"/>
    <cellStyle name="Normal 22 2 3 2 10" xfId="18713" xr:uid="{00000000-0005-0000-0000-000013490000}"/>
    <cellStyle name="Normal 22 2 3 2 11" xfId="18714" xr:uid="{00000000-0005-0000-0000-000014490000}"/>
    <cellStyle name="Normal 22 2 3 2 2" xfId="18715" xr:uid="{00000000-0005-0000-0000-000015490000}"/>
    <cellStyle name="Normal 22 2 3 2 2 2" xfId="18716" xr:uid="{00000000-0005-0000-0000-000016490000}"/>
    <cellStyle name="Normal 22 2 3 2 2 2 2" xfId="18717" xr:uid="{00000000-0005-0000-0000-000017490000}"/>
    <cellStyle name="Normal 22 2 3 2 2 2 3" xfId="18718" xr:uid="{00000000-0005-0000-0000-000018490000}"/>
    <cellStyle name="Normal 22 2 3 2 2 2 4" xfId="18719" xr:uid="{00000000-0005-0000-0000-000019490000}"/>
    <cellStyle name="Normal 22 2 3 2 2 2 5" xfId="18720" xr:uid="{00000000-0005-0000-0000-00001A490000}"/>
    <cellStyle name="Normal 22 2 3 2 2 2 6" xfId="18721" xr:uid="{00000000-0005-0000-0000-00001B490000}"/>
    <cellStyle name="Normal 22 2 3 2 2 3" xfId="18722" xr:uid="{00000000-0005-0000-0000-00001C490000}"/>
    <cellStyle name="Normal 22 2 3 2 2 3 2" xfId="18723" xr:uid="{00000000-0005-0000-0000-00001D490000}"/>
    <cellStyle name="Normal 22 2 3 2 2 3 3" xfId="18724" xr:uid="{00000000-0005-0000-0000-00001E490000}"/>
    <cellStyle name="Normal 22 2 3 2 2 3 4" xfId="18725" xr:uid="{00000000-0005-0000-0000-00001F490000}"/>
    <cellStyle name="Normal 22 2 3 2 2 3 5" xfId="18726" xr:uid="{00000000-0005-0000-0000-000020490000}"/>
    <cellStyle name="Normal 22 2 3 2 2 3 6" xfId="18727" xr:uid="{00000000-0005-0000-0000-000021490000}"/>
    <cellStyle name="Normal 22 2 3 2 2 4" xfId="18728" xr:uid="{00000000-0005-0000-0000-000022490000}"/>
    <cellStyle name="Normal 22 2 3 2 2 5" xfId="18729" xr:uid="{00000000-0005-0000-0000-000023490000}"/>
    <cellStyle name="Normal 22 2 3 2 2 6" xfId="18730" xr:uid="{00000000-0005-0000-0000-000024490000}"/>
    <cellStyle name="Normal 22 2 3 2 2 7" xfId="18731" xr:uid="{00000000-0005-0000-0000-000025490000}"/>
    <cellStyle name="Normal 22 2 3 2 2 8" xfId="18732" xr:uid="{00000000-0005-0000-0000-000026490000}"/>
    <cellStyle name="Normal 22 2 3 2 3" xfId="18733" xr:uid="{00000000-0005-0000-0000-000027490000}"/>
    <cellStyle name="Normal 22 2 3 2 3 2" xfId="18734" xr:uid="{00000000-0005-0000-0000-000028490000}"/>
    <cellStyle name="Normal 22 2 3 2 3 2 2" xfId="18735" xr:uid="{00000000-0005-0000-0000-000029490000}"/>
    <cellStyle name="Normal 22 2 3 2 3 2 3" xfId="18736" xr:uid="{00000000-0005-0000-0000-00002A490000}"/>
    <cellStyle name="Normal 22 2 3 2 3 2 4" xfId="18737" xr:uid="{00000000-0005-0000-0000-00002B490000}"/>
    <cellStyle name="Normal 22 2 3 2 3 2 5" xfId="18738" xr:uid="{00000000-0005-0000-0000-00002C490000}"/>
    <cellStyle name="Normal 22 2 3 2 3 2 6" xfId="18739" xr:uid="{00000000-0005-0000-0000-00002D490000}"/>
    <cellStyle name="Normal 22 2 3 2 3 3" xfId="18740" xr:uid="{00000000-0005-0000-0000-00002E490000}"/>
    <cellStyle name="Normal 22 2 3 2 3 3 2" xfId="18741" xr:uid="{00000000-0005-0000-0000-00002F490000}"/>
    <cellStyle name="Normal 22 2 3 2 3 3 3" xfId="18742" xr:uid="{00000000-0005-0000-0000-000030490000}"/>
    <cellStyle name="Normal 22 2 3 2 3 3 4" xfId="18743" xr:uid="{00000000-0005-0000-0000-000031490000}"/>
    <cellStyle name="Normal 22 2 3 2 3 3 5" xfId="18744" xr:uid="{00000000-0005-0000-0000-000032490000}"/>
    <cellStyle name="Normal 22 2 3 2 3 3 6" xfId="18745" xr:uid="{00000000-0005-0000-0000-000033490000}"/>
    <cellStyle name="Normal 22 2 3 2 3 4" xfId="18746" xr:uid="{00000000-0005-0000-0000-000034490000}"/>
    <cellStyle name="Normal 22 2 3 2 3 5" xfId="18747" xr:uid="{00000000-0005-0000-0000-000035490000}"/>
    <cellStyle name="Normal 22 2 3 2 3 6" xfId="18748" xr:uid="{00000000-0005-0000-0000-000036490000}"/>
    <cellStyle name="Normal 22 2 3 2 3 7" xfId="18749" xr:uid="{00000000-0005-0000-0000-000037490000}"/>
    <cellStyle name="Normal 22 2 3 2 3 8" xfId="18750" xr:uid="{00000000-0005-0000-0000-000038490000}"/>
    <cellStyle name="Normal 22 2 3 2 4" xfId="18751" xr:uid="{00000000-0005-0000-0000-000039490000}"/>
    <cellStyle name="Normal 22 2 3 2 4 2" xfId="18752" xr:uid="{00000000-0005-0000-0000-00003A490000}"/>
    <cellStyle name="Normal 22 2 3 2 4 2 2" xfId="18753" xr:uid="{00000000-0005-0000-0000-00003B490000}"/>
    <cellStyle name="Normal 22 2 3 2 4 2 3" xfId="18754" xr:uid="{00000000-0005-0000-0000-00003C490000}"/>
    <cellStyle name="Normal 22 2 3 2 4 2 4" xfId="18755" xr:uid="{00000000-0005-0000-0000-00003D490000}"/>
    <cellStyle name="Normal 22 2 3 2 4 2 5" xfId="18756" xr:uid="{00000000-0005-0000-0000-00003E490000}"/>
    <cellStyle name="Normal 22 2 3 2 4 2 6" xfId="18757" xr:uid="{00000000-0005-0000-0000-00003F490000}"/>
    <cellStyle name="Normal 22 2 3 2 4 3" xfId="18758" xr:uid="{00000000-0005-0000-0000-000040490000}"/>
    <cellStyle name="Normal 22 2 3 2 4 3 2" xfId="18759" xr:uid="{00000000-0005-0000-0000-000041490000}"/>
    <cellStyle name="Normal 22 2 3 2 4 3 3" xfId="18760" xr:uid="{00000000-0005-0000-0000-000042490000}"/>
    <cellStyle name="Normal 22 2 3 2 4 3 4" xfId="18761" xr:uid="{00000000-0005-0000-0000-000043490000}"/>
    <cellStyle name="Normal 22 2 3 2 4 3 5" xfId="18762" xr:uid="{00000000-0005-0000-0000-000044490000}"/>
    <cellStyle name="Normal 22 2 3 2 4 3 6" xfId="18763" xr:uid="{00000000-0005-0000-0000-000045490000}"/>
    <cellStyle name="Normal 22 2 3 2 4 4" xfId="18764" xr:uid="{00000000-0005-0000-0000-000046490000}"/>
    <cellStyle name="Normal 22 2 3 2 4 5" xfId="18765" xr:uid="{00000000-0005-0000-0000-000047490000}"/>
    <cellStyle name="Normal 22 2 3 2 4 6" xfId="18766" xr:uid="{00000000-0005-0000-0000-000048490000}"/>
    <cellStyle name="Normal 22 2 3 2 4 7" xfId="18767" xr:uid="{00000000-0005-0000-0000-000049490000}"/>
    <cellStyle name="Normal 22 2 3 2 4 8" xfId="18768" xr:uid="{00000000-0005-0000-0000-00004A490000}"/>
    <cellStyle name="Normal 22 2 3 2 5" xfId="18769" xr:uid="{00000000-0005-0000-0000-00004B490000}"/>
    <cellStyle name="Normal 22 2 3 2 5 2" xfId="18770" xr:uid="{00000000-0005-0000-0000-00004C490000}"/>
    <cellStyle name="Normal 22 2 3 2 5 3" xfId="18771" xr:uid="{00000000-0005-0000-0000-00004D490000}"/>
    <cellStyle name="Normal 22 2 3 2 5 4" xfId="18772" xr:uid="{00000000-0005-0000-0000-00004E490000}"/>
    <cellStyle name="Normal 22 2 3 2 5 5" xfId="18773" xr:uid="{00000000-0005-0000-0000-00004F490000}"/>
    <cellStyle name="Normal 22 2 3 2 5 6" xfId="18774" xr:uid="{00000000-0005-0000-0000-000050490000}"/>
    <cellStyle name="Normal 22 2 3 2 6" xfId="18775" xr:uid="{00000000-0005-0000-0000-000051490000}"/>
    <cellStyle name="Normal 22 2 3 2 6 2" xfId="18776" xr:uid="{00000000-0005-0000-0000-000052490000}"/>
    <cellStyle name="Normal 22 2 3 2 6 3" xfId="18777" xr:uid="{00000000-0005-0000-0000-000053490000}"/>
    <cellStyle name="Normal 22 2 3 2 6 4" xfId="18778" xr:uid="{00000000-0005-0000-0000-000054490000}"/>
    <cellStyle name="Normal 22 2 3 2 6 5" xfId="18779" xr:uid="{00000000-0005-0000-0000-000055490000}"/>
    <cellStyle name="Normal 22 2 3 2 6 6" xfId="18780" xr:uid="{00000000-0005-0000-0000-000056490000}"/>
    <cellStyle name="Normal 22 2 3 2 7" xfId="18781" xr:uid="{00000000-0005-0000-0000-000057490000}"/>
    <cellStyle name="Normal 22 2 3 2 8" xfId="18782" xr:uid="{00000000-0005-0000-0000-000058490000}"/>
    <cellStyle name="Normal 22 2 3 2 9" xfId="18783" xr:uid="{00000000-0005-0000-0000-000059490000}"/>
    <cellStyle name="Normal 22 2 3 3" xfId="18784" xr:uid="{00000000-0005-0000-0000-00005A490000}"/>
    <cellStyle name="Normal 22 2 3 3 2" xfId="18785" xr:uid="{00000000-0005-0000-0000-00005B490000}"/>
    <cellStyle name="Normal 22 2 3 3 2 2" xfId="18786" xr:uid="{00000000-0005-0000-0000-00005C490000}"/>
    <cellStyle name="Normal 22 2 3 3 2 3" xfId="18787" xr:uid="{00000000-0005-0000-0000-00005D490000}"/>
    <cellStyle name="Normal 22 2 3 3 2 4" xfId="18788" xr:uid="{00000000-0005-0000-0000-00005E490000}"/>
    <cellStyle name="Normal 22 2 3 3 2 5" xfId="18789" xr:uid="{00000000-0005-0000-0000-00005F490000}"/>
    <cellStyle name="Normal 22 2 3 3 2 6" xfId="18790" xr:uid="{00000000-0005-0000-0000-000060490000}"/>
    <cellStyle name="Normal 22 2 3 3 3" xfId="18791" xr:uid="{00000000-0005-0000-0000-000061490000}"/>
    <cellStyle name="Normal 22 2 3 3 3 2" xfId="18792" xr:uid="{00000000-0005-0000-0000-000062490000}"/>
    <cellStyle name="Normal 22 2 3 3 3 3" xfId="18793" xr:uid="{00000000-0005-0000-0000-000063490000}"/>
    <cellStyle name="Normal 22 2 3 3 3 4" xfId="18794" xr:uid="{00000000-0005-0000-0000-000064490000}"/>
    <cellStyle name="Normal 22 2 3 3 3 5" xfId="18795" xr:uid="{00000000-0005-0000-0000-000065490000}"/>
    <cellStyle name="Normal 22 2 3 3 3 6" xfId="18796" xr:uid="{00000000-0005-0000-0000-000066490000}"/>
    <cellStyle name="Normal 22 2 3 3 4" xfId="18797" xr:uid="{00000000-0005-0000-0000-000067490000}"/>
    <cellStyle name="Normal 22 2 3 3 5" xfId="18798" xr:uid="{00000000-0005-0000-0000-000068490000}"/>
    <cellStyle name="Normal 22 2 3 3 6" xfId="18799" xr:uid="{00000000-0005-0000-0000-000069490000}"/>
    <cellStyle name="Normal 22 2 3 3 7" xfId="18800" xr:uid="{00000000-0005-0000-0000-00006A490000}"/>
    <cellStyle name="Normal 22 2 3 3 8" xfId="18801" xr:uid="{00000000-0005-0000-0000-00006B490000}"/>
    <cellStyle name="Normal 22 2 3 4" xfId="18802" xr:uid="{00000000-0005-0000-0000-00006C490000}"/>
    <cellStyle name="Normal 22 2 3 4 2" xfId="18803" xr:uid="{00000000-0005-0000-0000-00006D490000}"/>
    <cellStyle name="Normal 22 2 3 4 2 2" xfId="18804" xr:uid="{00000000-0005-0000-0000-00006E490000}"/>
    <cellStyle name="Normal 22 2 3 4 2 3" xfId="18805" xr:uid="{00000000-0005-0000-0000-00006F490000}"/>
    <cellStyle name="Normal 22 2 3 4 2 4" xfId="18806" xr:uid="{00000000-0005-0000-0000-000070490000}"/>
    <cellStyle name="Normal 22 2 3 4 2 5" xfId="18807" xr:uid="{00000000-0005-0000-0000-000071490000}"/>
    <cellStyle name="Normal 22 2 3 4 2 6" xfId="18808" xr:uid="{00000000-0005-0000-0000-000072490000}"/>
    <cellStyle name="Normal 22 2 3 4 3" xfId="18809" xr:uid="{00000000-0005-0000-0000-000073490000}"/>
    <cellStyle name="Normal 22 2 3 4 3 2" xfId="18810" xr:uid="{00000000-0005-0000-0000-000074490000}"/>
    <cellStyle name="Normal 22 2 3 4 3 3" xfId="18811" xr:uid="{00000000-0005-0000-0000-000075490000}"/>
    <cellStyle name="Normal 22 2 3 4 3 4" xfId="18812" xr:uid="{00000000-0005-0000-0000-000076490000}"/>
    <cellStyle name="Normal 22 2 3 4 3 5" xfId="18813" xr:uid="{00000000-0005-0000-0000-000077490000}"/>
    <cellStyle name="Normal 22 2 3 4 3 6" xfId="18814" xr:uid="{00000000-0005-0000-0000-000078490000}"/>
    <cellStyle name="Normal 22 2 3 4 4" xfId="18815" xr:uid="{00000000-0005-0000-0000-000079490000}"/>
    <cellStyle name="Normal 22 2 3 4 5" xfId="18816" xr:uid="{00000000-0005-0000-0000-00007A490000}"/>
    <cellStyle name="Normal 22 2 3 4 6" xfId="18817" xr:uid="{00000000-0005-0000-0000-00007B490000}"/>
    <cellStyle name="Normal 22 2 3 4 7" xfId="18818" xr:uid="{00000000-0005-0000-0000-00007C490000}"/>
    <cellStyle name="Normal 22 2 3 4 8" xfId="18819" xr:uid="{00000000-0005-0000-0000-00007D490000}"/>
    <cellStyle name="Normal 22 2 3 5" xfId="18820" xr:uid="{00000000-0005-0000-0000-00007E490000}"/>
    <cellStyle name="Normal 22 2 3 5 2" xfId="18821" xr:uid="{00000000-0005-0000-0000-00007F490000}"/>
    <cellStyle name="Normal 22 2 3 5 2 2" xfId="18822" xr:uid="{00000000-0005-0000-0000-000080490000}"/>
    <cellStyle name="Normal 22 2 3 5 2 3" xfId="18823" xr:uid="{00000000-0005-0000-0000-000081490000}"/>
    <cellStyle name="Normal 22 2 3 5 2 4" xfId="18824" xr:uid="{00000000-0005-0000-0000-000082490000}"/>
    <cellStyle name="Normal 22 2 3 5 2 5" xfId="18825" xr:uid="{00000000-0005-0000-0000-000083490000}"/>
    <cellStyle name="Normal 22 2 3 5 2 6" xfId="18826" xr:uid="{00000000-0005-0000-0000-000084490000}"/>
    <cellStyle name="Normal 22 2 3 5 3" xfId="18827" xr:uid="{00000000-0005-0000-0000-000085490000}"/>
    <cellStyle name="Normal 22 2 3 5 3 2" xfId="18828" xr:uid="{00000000-0005-0000-0000-000086490000}"/>
    <cellStyle name="Normal 22 2 3 5 3 3" xfId="18829" xr:uid="{00000000-0005-0000-0000-000087490000}"/>
    <cellStyle name="Normal 22 2 3 5 3 4" xfId="18830" xr:uid="{00000000-0005-0000-0000-000088490000}"/>
    <cellStyle name="Normal 22 2 3 5 3 5" xfId="18831" xr:uid="{00000000-0005-0000-0000-000089490000}"/>
    <cellStyle name="Normal 22 2 3 5 3 6" xfId="18832" xr:uid="{00000000-0005-0000-0000-00008A490000}"/>
    <cellStyle name="Normal 22 2 3 5 4" xfId="18833" xr:uid="{00000000-0005-0000-0000-00008B490000}"/>
    <cellStyle name="Normal 22 2 3 5 5" xfId="18834" xr:uid="{00000000-0005-0000-0000-00008C490000}"/>
    <cellStyle name="Normal 22 2 3 5 6" xfId="18835" xr:uid="{00000000-0005-0000-0000-00008D490000}"/>
    <cellStyle name="Normal 22 2 3 5 7" xfId="18836" xr:uid="{00000000-0005-0000-0000-00008E490000}"/>
    <cellStyle name="Normal 22 2 3 5 8" xfId="18837" xr:uid="{00000000-0005-0000-0000-00008F490000}"/>
    <cellStyle name="Normal 22 2 3 6" xfId="18838" xr:uid="{00000000-0005-0000-0000-000090490000}"/>
    <cellStyle name="Normal 22 2 3 6 2" xfId="18839" xr:uid="{00000000-0005-0000-0000-000091490000}"/>
    <cellStyle name="Normal 22 2 3 6 3" xfId="18840" xr:uid="{00000000-0005-0000-0000-000092490000}"/>
    <cellStyle name="Normal 22 2 3 6 4" xfId="18841" xr:uid="{00000000-0005-0000-0000-000093490000}"/>
    <cellStyle name="Normal 22 2 3 6 5" xfId="18842" xr:uid="{00000000-0005-0000-0000-000094490000}"/>
    <cellStyle name="Normal 22 2 3 6 6" xfId="18843" xr:uid="{00000000-0005-0000-0000-000095490000}"/>
    <cellStyle name="Normal 22 2 3 7" xfId="18844" xr:uid="{00000000-0005-0000-0000-000096490000}"/>
    <cellStyle name="Normal 22 2 3 7 2" xfId="18845" xr:uid="{00000000-0005-0000-0000-000097490000}"/>
    <cellStyle name="Normal 22 2 3 7 3" xfId="18846" xr:uid="{00000000-0005-0000-0000-000098490000}"/>
    <cellStyle name="Normal 22 2 3 7 4" xfId="18847" xr:uid="{00000000-0005-0000-0000-000099490000}"/>
    <cellStyle name="Normal 22 2 3 7 5" xfId="18848" xr:uid="{00000000-0005-0000-0000-00009A490000}"/>
    <cellStyle name="Normal 22 2 3 7 6" xfId="18849" xr:uid="{00000000-0005-0000-0000-00009B490000}"/>
    <cellStyle name="Normal 22 2 3 8" xfId="18850" xr:uid="{00000000-0005-0000-0000-00009C490000}"/>
    <cellStyle name="Normal 22 2 3 9" xfId="18851" xr:uid="{00000000-0005-0000-0000-00009D490000}"/>
    <cellStyle name="Normal 22 2 4" xfId="18852" xr:uid="{00000000-0005-0000-0000-00009E490000}"/>
    <cellStyle name="Normal 22 2 4 10" xfId="18853" xr:uid="{00000000-0005-0000-0000-00009F490000}"/>
    <cellStyle name="Normal 22 2 4 11" xfId="18854" xr:uid="{00000000-0005-0000-0000-0000A0490000}"/>
    <cellStyle name="Normal 22 2 4 12" xfId="18855" xr:uid="{00000000-0005-0000-0000-0000A1490000}"/>
    <cellStyle name="Normal 22 2 4 2" xfId="18856" xr:uid="{00000000-0005-0000-0000-0000A2490000}"/>
    <cellStyle name="Normal 22 2 4 2 10" xfId="18857" xr:uid="{00000000-0005-0000-0000-0000A3490000}"/>
    <cellStyle name="Normal 22 2 4 2 11" xfId="18858" xr:uid="{00000000-0005-0000-0000-0000A4490000}"/>
    <cellStyle name="Normal 22 2 4 2 2" xfId="18859" xr:uid="{00000000-0005-0000-0000-0000A5490000}"/>
    <cellStyle name="Normal 22 2 4 2 2 2" xfId="18860" xr:uid="{00000000-0005-0000-0000-0000A6490000}"/>
    <cellStyle name="Normal 22 2 4 2 2 2 2" xfId="18861" xr:uid="{00000000-0005-0000-0000-0000A7490000}"/>
    <cellStyle name="Normal 22 2 4 2 2 2 3" xfId="18862" xr:uid="{00000000-0005-0000-0000-0000A8490000}"/>
    <cellStyle name="Normal 22 2 4 2 2 2 4" xfId="18863" xr:uid="{00000000-0005-0000-0000-0000A9490000}"/>
    <cellStyle name="Normal 22 2 4 2 2 2 5" xfId="18864" xr:uid="{00000000-0005-0000-0000-0000AA490000}"/>
    <cellStyle name="Normal 22 2 4 2 2 2 6" xfId="18865" xr:uid="{00000000-0005-0000-0000-0000AB490000}"/>
    <cellStyle name="Normal 22 2 4 2 2 3" xfId="18866" xr:uid="{00000000-0005-0000-0000-0000AC490000}"/>
    <cellStyle name="Normal 22 2 4 2 2 3 2" xfId="18867" xr:uid="{00000000-0005-0000-0000-0000AD490000}"/>
    <cellStyle name="Normal 22 2 4 2 2 3 3" xfId="18868" xr:uid="{00000000-0005-0000-0000-0000AE490000}"/>
    <cellStyle name="Normal 22 2 4 2 2 3 4" xfId="18869" xr:uid="{00000000-0005-0000-0000-0000AF490000}"/>
    <cellStyle name="Normal 22 2 4 2 2 3 5" xfId="18870" xr:uid="{00000000-0005-0000-0000-0000B0490000}"/>
    <cellStyle name="Normal 22 2 4 2 2 3 6" xfId="18871" xr:uid="{00000000-0005-0000-0000-0000B1490000}"/>
    <cellStyle name="Normal 22 2 4 2 2 4" xfId="18872" xr:uid="{00000000-0005-0000-0000-0000B2490000}"/>
    <cellStyle name="Normal 22 2 4 2 2 5" xfId="18873" xr:uid="{00000000-0005-0000-0000-0000B3490000}"/>
    <cellStyle name="Normal 22 2 4 2 2 6" xfId="18874" xr:uid="{00000000-0005-0000-0000-0000B4490000}"/>
    <cellStyle name="Normal 22 2 4 2 2 7" xfId="18875" xr:uid="{00000000-0005-0000-0000-0000B5490000}"/>
    <cellStyle name="Normal 22 2 4 2 2 8" xfId="18876" xr:uid="{00000000-0005-0000-0000-0000B6490000}"/>
    <cellStyle name="Normal 22 2 4 2 3" xfId="18877" xr:uid="{00000000-0005-0000-0000-0000B7490000}"/>
    <cellStyle name="Normal 22 2 4 2 3 2" xfId="18878" xr:uid="{00000000-0005-0000-0000-0000B8490000}"/>
    <cellStyle name="Normal 22 2 4 2 3 2 2" xfId="18879" xr:uid="{00000000-0005-0000-0000-0000B9490000}"/>
    <cellStyle name="Normal 22 2 4 2 3 2 3" xfId="18880" xr:uid="{00000000-0005-0000-0000-0000BA490000}"/>
    <cellStyle name="Normal 22 2 4 2 3 2 4" xfId="18881" xr:uid="{00000000-0005-0000-0000-0000BB490000}"/>
    <cellStyle name="Normal 22 2 4 2 3 2 5" xfId="18882" xr:uid="{00000000-0005-0000-0000-0000BC490000}"/>
    <cellStyle name="Normal 22 2 4 2 3 2 6" xfId="18883" xr:uid="{00000000-0005-0000-0000-0000BD490000}"/>
    <cellStyle name="Normal 22 2 4 2 3 3" xfId="18884" xr:uid="{00000000-0005-0000-0000-0000BE490000}"/>
    <cellStyle name="Normal 22 2 4 2 3 3 2" xfId="18885" xr:uid="{00000000-0005-0000-0000-0000BF490000}"/>
    <cellStyle name="Normal 22 2 4 2 3 3 3" xfId="18886" xr:uid="{00000000-0005-0000-0000-0000C0490000}"/>
    <cellStyle name="Normal 22 2 4 2 3 3 4" xfId="18887" xr:uid="{00000000-0005-0000-0000-0000C1490000}"/>
    <cellStyle name="Normal 22 2 4 2 3 3 5" xfId="18888" xr:uid="{00000000-0005-0000-0000-0000C2490000}"/>
    <cellStyle name="Normal 22 2 4 2 3 3 6" xfId="18889" xr:uid="{00000000-0005-0000-0000-0000C3490000}"/>
    <cellStyle name="Normal 22 2 4 2 3 4" xfId="18890" xr:uid="{00000000-0005-0000-0000-0000C4490000}"/>
    <cellStyle name="Normal 22 2 4 2 3 5" xfId="18891" xr:uid="{00000000-0005-0000-0000-0000C5490000}"/>
    <cellStyle name="Normal 22 2 4 2 3 6" xfId="18892" xr:uid="{00000000-0005-0000-0000-0000C6490000}"/>
    <cellStyle name="Normal 22 2 4 2 3 7" xfId="18893" xr:uid="{00000000-0005-0000-0000-0000C7490000}"/>
    <cellStyle name="Normal 22 2 4 2 3 8" xfId="18894" xr:uid="{00000000-0005-0000-0000-0000C8490000}"/>
    <cellStyle name="Normal 22 2 4 2 4" xfId="18895" xr:uid="{00000000-0005-0000-0000-0000C9490000}"/>
    <cellStyle name="Normal 22 2 4 2 4 2" xfId="18896" xr:uid="{00000000-0005-0000-0000-0000CA490000}"/>
    <cellStyle name="Normal 22 2 4 2 4 2 2" xfId="18897" xr:uid="{00000000-0005-0000-0000-0000CB490000}"/>
    <cellStyle name="Normal 22 2 4 2 4 2 3" xfId="18898" xr:uid="{00000000-0005-0000-0000-0000CC490000}"/>
    <cellStyle name="Normal 22 2 4 2 4 2 4" xfId="18899" xr:uid="{00000000-0005-0000-0000-0000CD490000}"/>
    <cellStyle name="Normal 22 2 4 2 4 2 5" xfId="18900" xr:uid="{00000000-0005-0000-0000-0000CE490000}"/>
    <cellStyle name="Normal 22 2 4 2 4 2 6" xfId="18901" xr:uid="{00000000-0005-0000-0000-0000CF490000}"/>
    <cellStyle name="Normal 22 2 4 2 4 3" xfId="18902" xr:uid="{00000000-0005-0000-0000-0000D0490000}"/>
    <cellStyle name="Normal 22 2 4 2 4 3 2" xfId="18903" xr:uid="{00000000-0005-0000-0000-0000D1490000}"/>
    <cellStyle name="Normal 22 2 4 2 4 3 3" xfId="18904" xr:uid="{00000000-0005-0000-0000-0000D2490000}"/>
    <cellStyle name="Normal 22 2 4 2 4 3 4" xfId="18905" xr:uid="{00000000-0005-0000-0000-0000D3490000}"/>
    <cellStyle name="Normal 22 2 4 2 4 3 5" xfId="18906" xr:uid="{00000000-0005-0000-0000-0000D4490000}"/>
    <cellStyle name="Normal 22 2 4 2 4 3 6" xfId="18907" xr:uid="{00000000-0005-0000-0000-0000D5490000}"/>
    <cellStyle name="Normal 22 2 4 2 4 4" xfId="18908" xr:uid="{00000000-0005-0000-0000-0000D6490000}"/>
    <cellStyle name="Normal 22 2 4 2 4 5" xfId="18909" xr:uid="{00000000-0005-0000-0000-0000D7490000}"/>
    <cellStyle name="Normal 22 2 4 2 4 6" xfId="18910" xr:uid="{00000000-0005-0000-0000-0000D8490000}"/>
    <cellStyle name="Normal 22 2 4 2 4 7" xfId="18911" xr:uid="{00000000-0005-0000-0000-0000D9490000}"/>
    <cellStyle name="Normal 22 2 4 2 4 8" xfId="18912" xr:uid="{00000000-0005-0000-0000-0000DA490000}"/>
    <cellStyle name="Normal 22 2 4 2 5" xfId="18913" xr:uid="{00000000-0005-0000-0000-0000DB490000}"/>
    <cellStyle name="Normal 22 2 4 2 5 2" xfId="18914" xr:uid="{00000000-0005-0000-0000-0000DC490000}"/>
    <cellStyle name="Normal 22 2 4 2 5 3" xfId="18915" xr:uid="{00000000-0005-0000-0000-0000DD490000}"/>
    <cellStyle name="Normal 22 2 4 2 5 4" xfId="18916" xr:uid="{00000000-0005-0000-0000-0000DE490000}"/>
    <cellStyle name="Normal 22 2 4 2 5 5" xfId="18917" xr:uid="{00000000-0005-0000-0000-0000DF490000}"/>
    <cellStyle name="Normal 22 2 4 2 5 6" xfId="18918" xr:uid="{00000000-0005-0000-0000-0000E0490000}"/>
    <cellStyle name="Normal 22 2 4 2 6" xfId="18919" xr:uid="{00000000-0005-0000-0000-0000E1490000}"/>
    <cellStyle name="Normal 22 2 4 2 6 2" xfId="18920" xr:uid="{00000000-0005-0000-0000-0000E2490000}"/>
    <cellStyle name="Normal 22 2 4 2 6 3" xfId="18921" xr:uid="{00000000-0005-0000-0000-0000E3490000}"/>
    <cellStyle name="Normal 22 2 4 2 6 4" xfId="18922" xr:uid="{00000000-0005-0000-0000-0000E4490000}"/>
    <cellStyle name="Normal 22 2 4 2 6 5" xfId="18923" xr:uid="{00000000-0005-0000-0000-0000E5490000}"/>
    <cellStyle name="Normal 22 2 4 2 6 6" xfId="18924" xr:uid="{00000000-0005-0000-0000-0000E6490000}"/>
    <cellStyle name="Normal 22 2 4 2 7" xfId="18925" xr:uid="{00000000-0005-0000-0000-0000E7490000}"/>
    <cellStyle name="Normal 22 2 4 2 8" xfId="18926" xr:uid="{00000000-0005-0000-0000-0000E8490000}"/>
    <cellStyle name="Normal 22 2 4 2 9" xfId="18927" xr:uid="{00000000-0005-0000-0000-0000E9490000}"/>
    <cellStyle name="Normal 22 2 4 3" xfId="18928" xr:uid="{00000000-0005-0000-0000-0000EA490000}"/>
    <cellStyle name="Normal 22 2 4 3 2" xfId="18929" xr:uid="{00000000-0005-0000-0000-0000EB490000}"/>
    <cellStyle name="Normal 22 2 4 3 2 2" xfId="18930" xr:uid="{00000000-0005-0000-0000-0000EC490000}"/>
    <cellStyle name="Normal 22 2 4 3 2 3" xfId="18931" xr:uid="{00000000-0005-0000-0000-0000ED490000}"/>
    <cellStyle name="Normal 22 2 4 3 2 4" xfId="18932" xr:uid="{00000000-0005-0000-0000-0000EE490000}"/>
    <cellStyle name="Normal 22 2 4 3 2 5" xfId="18933" xr:uid="{00000000-0005-0000-0000-0000EF490000}"/>
    <cellStyle name="Normal 22 2 4 3 2 6" xfId="18934" xr:uid="{00000000-0005-0000-0000-0000F0490000}"/>
    <cellStyle name="Normal 22 2 4 3 3" xfId="18935" xr:uid="{00000000-0005-0000-0000-0000F1490000}"/>
    <cellStyle name="Normal 22 2 4 3 3 2" xfId="18936" xr:uid="{00000000-0005-0000-0000-0000F2490000}"/>
    <cellStyle name="Normal 22 2 4 3 3 3" xfId="18937" xr:uid="{00000000-0005-0000-0000-0000F3490000}"/>
    <cellStyle name="Normal 22 2 4 3 3 4" xfId="18938" xr:uid="{00000000-0005-0000-0000-0000F4490000}"/>
    <cellStyle name="Normal 22 2 4 3 3 5" xfId="18939" xr:uid="{00000000-0005-0000-0000-0000F5490000}"/>
    <cellStyle name="Normal 22 2 4 3 3 6" xfId="18940" xr:uid="{00000000-0005-0000-0000-0000F6490000}"/>
    <cellStyle name="Normal 22 2 4 3 4" xfId="18941" xr:uid="{00000000-0005-0000-0000-0000F7490000}"/>
    <cellStyle name="Normal 22 2 4 3 5" xfId="18942" xr:uid="{00000000-0005-0000-0000-0000F8490000}"/>
    <cellStyle name="Normal 22 2 4 3 6" xfId="18943" xr:uid="{00000000-0005-0000-0000-0000F9490000}"/>
    <cellStyle name="Normal 22 2 4 3 7" xfId="18944" xr:uid="{00000000-0005-0000-0000-0000FA490000}"/>
    <cellStyle name="Normal 22 2 4 3 8" xfId="18945" xr:uid="{00000000-0005-0000-0000-0000FB490000}"/>
    <cellStyle name="Normal 22 2 4 4" xfId="18946" xr:uid="{00000000-0005-0000-0000-0000FC490000}"/>
    <cellStyle name="Normal 22 2 4 4 2" xfId="18947" xr:uid="{00000000-0005-0000-0000-0000FD490000}"/>
    <cellStyle name="Normal 22 2 4 4 2 2" xfId="18948" xr:uid="{00000000-0005-0000-0000-0000FE490000}"/>
    <cellStyle name="Normal 22 2 4 4 2 3" xfId="18949" xr:uid="{00000000-0005-0000-0000-0000FF490000}"/>
    <cellStyle name="Normal 22 2 4 4 2 4" xfId="18950" xr:uid="{00000000-0005-0000-0000-0000004A0000}"/>
    <cellStyle name="Normal 22 2 4 4 2 5" xfId="18951" xr:uid="{00000000-0005-0000-0000-0000014A0000}"/>
    <cellStyle name="Normal 22 2 4 4 2 6" xfId="18952" xr:uid="{00000000-0005-0000-0000-0000024A0000}"/>
    <cellStyle name="Normal 22 2 4 4 3" xfId="18953" xr:uid="{00000000-0005-0000-0000-0000034A0000}"/>
    <cellStyle name="Normal 22 2 4 4 3 2" xfId="18954" xr:uid="{00000000-0005-0000-0000-0000044A0000}"/>
    <cellStyle name="Normal 22 2 4 4 3 3" xfId="18955" xr:uid="{00000000-0005-0000-0000-0000054A0000}"/>
    <cellStyle name="Normal 22 2 4 4 3 4" xfId="18956" xr:uid="{00000000-0005-0000-0000-0000064A0000}"/>
    <cellStyle name="Normal 22 2 4 4 3 5" xfId="18957" xr:uid="{00000000-0005-0000-0000-0000074A0000}"/>
    <cellStyle name="Normal 22 2 4 4 3 6" xfId="18958" xr:uid="{00000000-0005-0000-0000-0000084A0000}"/>
    <cellStyle name="Normal 22 2 4 4 4" xfId="18959" xr:uid="{00000000-0005-0000-0000-0000094A0000}"/>
    <cellStyle name="Normal 22 2 4 4 5" xfId="18960" xr:uid="{00000000-0005-0000-0000-00000A4A0000}"/>
    <cellStyle name="Normal 22 2 4 4 6" xfId="18961" xr:uid="{00000000-0005-0000-0000-00000B4A0000}"/>
    <cellStyle name="Normal 22 2 4 4 7" xfId="18962" xr:uid="{00000000-0005-0000-0000-00000C4A0000}"/>
    <cellStyle name="Normal 22 2 4 4 8" xfId="18963" xr:uid="{00000000-0005-0000-0000-00000D4A0000}"/>
    <cellStyle name="Normal 22 2 4 5" xfId="18964" xr:uid="{00000000-0005-0000-0000-00000E4A0000}"/>
    <cellStyle name="Normal 22 2 4 5 2" xfId="18965" xr:uid="{00000000-0005-0000-0000-00000F4A0000}"/>
    <cellStyle name="Normal 22 2 4 5 2 2" xfId="18966" xr:uid="{00000000-0005-0000-0000-0000104A0000}"/>
    <cellStyle name="Normal 22 2 4 5 2 3" xfId="18967" xr:uid="{00000000-0005-0000-0000-0000114A0000}"/>
    <cellStyle name="Normal 22 2 4 5 2 4" xfId="18968" xr:uid="{00000000-0005-0000-0000-0000124A0000}"/>
    <cellStyle name="Normal 22 2 4 5 2 5" xfId="18969" xr:uid="{00000000-0005-0000-0000-0000134A0000}"/>
    <cellStyle name="Normal 22 2 4 5 2 6" xfId="18970" xr:uid="{00000000-0005-0000-0000-0000144A0000}"/>
    <cellStyle name="Normal 22 2 4 5 3" xfId="18971" xr:uid="{00000000-0005-0000-0000-0000154A0000}"/>
    <cellStyle name="Normal 22 2 4 5 3 2" xfId="18972" xr:uid="{00000000-0005-0000-0000-0000164A0000}"/>
    <cellStyle name="Normal 22 2 4 5 3 3" xfId="18973" xr:uid="{00000000-0005-0000-0000-0000174A0000}"/>
    <cellStyle name="Normal 22 2 4 5 3 4" xfId="18974" xr:uid="{00000000-0005-0000-0000-0000184A0000}"/>
    <cellStyle name="Normal 22 2 4 5 3 5" xfId="18975" xr:uid="{00000000-0005-0000-0000-0000194A0000}"/>
    <cellStyle name="Normal 22 2 4 5 3 6" xfId="18976" xr:uid="{00000000-0005-0000-0000-00001A4A0000}"/>
    <cellStyle name="Normal 22 2 4 5 4" xfId="18977" xr:uid="{00000000-0005-0000-0000-00001B4A0000}"/>
    <cellStyle name="Normal 22 2 4 5 5" xfId="18978" xr:uid="{00000000-0005-0000-0000-00001C4A0000}"/>
    <cellStyle name="Normal 22 2 4 5 6" xfId="18979" xr:uid="{00000000-0005-0000-0000-00001D4A0000}"/>
    <cellStyle name="Normal 22 2 4 5 7" xfId="18980" xr:uid="{00000000-0005-0000-0000-00001E4A0000}"/>
    <cellStyle name="Normal 22 2 4 5 8" xfId="18981" xr:uid="{00000000-0005-0000-0000-00001F4A0000}"/>
    <cellStyle name="Normal 22 2 4 6" xfId="18982" xr:uid="{00000000-0005-0000-0000-0000204A0000}"/>
    <cellStyle name="Normal 22 2 4 6 2" xfId="18983" xr:uid="{00000000-0005-0000-0000-0000214A0000}"/>
    <cellStyle name="Normal 22 2 4 6 3" xfId="18984" xr:uid="{00000000-0005-0000-0000-0000224A0000}"/>
    <cellStyle name="Normal 22 2 4 6 4" xfId="18985" xr:uid="{00000000-0005-0000-0000-0000234A0000}"/>
    <cellStyle name="Normal 22 2 4 6 5" xfId="18986" xr:uid="{00000000-0005-0000-0000-0000244A0000}"/>
    <cellStyle name="Normal 22 2 4 6 6" xfId="18987" xr:uid="{00000000-0005-0000-0000-0000254A0000}"/>
    <cellStyle name="Normal 22 2 4 7" xfId="18988" xr:uid="{00000000-0005-0000-0000-0000264A0000}"/>
    <cellStyle name="Normal 22 2 4 7 2" xfId="18989" xr:uid="{00000000-0005-0000-0000-0000274A0000}"/>
    <cellStyle name="Normal 22 2 4 7 3" xfId="18990" xr:uid="{00000000-0005-0000-0000-0000284A0000}"/>
    <cellStyle name="Normal 22 2 4 7 4" xfId="18991" xr:uid="{00000000-0005-0000-0000-0000294A0000}"/>
    <cellStyle name="Normal 22 2 4 7 5" xfId="18992" xr:uid="{00000000-0005-0000-0000-00002A4A0000}"/>
    <cellStyle name="Normal 22 2 4 7 6" xfId="18993" xr:uid="{00000000-0005-0000-0000-00002B4A0000}"/>
    <cellStyle name="Normal 22 2 4 8" xfId="18994" xr:uid="{00000000-0005-0000-0000-00002C4A0000}"/>
    <cellStyle name="Normal 22 2 4 9" xfId="18995" xr:uid="{00000000-0005-0000-0000-00002D4A0000}"/>
    <cellStyle name="Normal 22 2 5" xfId="18996" xr:uid="{00000000-0005-0000-0000-00002E4A0000}"/>
    <cellStyle name="Normal 22 2 5 10" xfId="18997" xr:uid="{00000000-0005-0000-0000-00002F4A0000}"/>
    <cellStyle name="Normal 22 2 5 11" xfId="18998" xr:uid="{00000000-0005-0000-0000-0000304A0000}"/>
    <cellStyle name="Normal 22 2 5 2" xfId="18999" xr:uid="{00000000-0005-0000-0000-0000314A0000}"/>
    <cellStyle name="Normal 22 2 5 2 2" xfId="19000" xr:uid="{00000000-0005-0000-0000-0000324A0000}"/>
    <cellStyle name="Normal 22 2 5 2 2 2" xfId="19001" xr:uid="{00000000-0005-0000-0000-0000334A0000}"/>
    <cellStyle name="Normal 22 2 5 2 2 3" xfId="19002" xr:uid="{00000000-0005-0000-0000-0000344A0000}"/>
    <cellStyle name="Normal 22 2 5 2 2 4" xfId="19003" xr:uid="{00000000-0005-0000-0000-0000354A0000}"/>
    <cellStyle name="Normal 22 2 5 2 2 5" xfId="19004" xr:uid="{00000000-0005-0000-0000-0000364A0000}"/>
    <cellStyle name="Normal 22 2 5 2 2 6" xfId="19005" xr:uid="{00000000-0005-0000-0000-0000374A0000}"/>
    <cellStyle name="Normal 22 2 5 2 3" xfId="19006" xr:uid="{00000000-0005-0000-0000-0000384A0000}"/>
    <cellStyle name="Normal 22 2 5 2 3 2" xfId="19007" xr:uid="{00000000-0005-0000-0000-0000394A0000}"/>
    <cellStyle name="Normal 22 2 5 2 3 3" xfId="19008" xr:uid="{00000000-0005-0000-0000-00003A4A0000}"/>
    <cellStyle name="Normal 22 2 5 2 3 4" xfId="19009" xr:uid="{00000000-0005-0000-0000-00003B4A0000}"/>
    <cellStyle name="Normal 22 2 5 2 3 5" xfId="19010" xr:uid="{00000000-0005-0000-0000-00003C4A0000}"/>
    <cellStyle name="Normal 22 2 5 2 3 6" xfId="19011" xr:uid="{00000000-0005-0000-0000-00003D4A0000}"/>
    <cellStyle name="Normal 22 2 5 2 4" xfId="19012" xr:uid="{00000000-0005-0000-0000-00003E4A0000}"/>
    <cellStyle name="Normal 22 2 5 2 5" xfId="19013" xr:uid="{00000000-0005-0000-0000-00003F4A0000}"/>
    <cellStyle name="Normal 22 2 5 2 6" xfId="19014" xr:uid="{00000000-0005-0000-0000-0000404A0000}"/>
    <cellStyle name="Normal 22 2 5 2 7" xfId="19015" xr:uid="{00000000-0005-0000-0000-0000414A0000}"/>
    <cellStyle name="Normal 22 2 5 2 8" xfId="19016" xr:uid="{00000000-0005-0000-0000-0000424A0000}"/>
    <cellStyle name="Normal 22 2 5 3" xfId="19017" xr:uid="{00000000-0005-0000-0000-0000434A0000}"/>
    <cellStyle name="Normal 22 2 5 3 2" xfId="19018" xr:uid="{00000000-0005-0000-0000-0000444A0000}"/>
    <cellStyle name="Normal 22 2 5 3 2 2" xfId="19019" xr:uid="{00000000-0005-0000-0000-0000454A0000}"/>
    <cellStyle name="Normal 22 2 5 3 2 3" xfId="19020" xr:uid="{00000000-0005-0000-0000-0000464A0000}"/>
    <cellStyle name="Normal 22 2 5 3 2 4" xfId="19021" xr:uid="{00000000-0005-0000-0000-0000474A0000}"/>
    <cellStyle name="Normal 22 2 5 3 2 5" xfId="19022" xr:uid="{00000000-0005-0000-0000-0000484A0000}"/>
    <cellStyle name="Normal 22 2 5 3 2 6" xfId="19023" xr:uid="{00000000-0005-0000-0000-0000494A0000}"/>
    <cellStyle name="Normal 22 2 5 3 3" xfId="19024" xr:uid="{00000000-0005-0000-0000-00004A4A0000}"/>
    <cellStyle name="Normal 22 2 5 3 3 2" xfId="19025" xr:uid="{00000000-0005-0000-0000-00004B4A0000}"/>
    <cellStyle name="Normal 22 2 5 3 3 3" xfId="19026" xr:uid="{00000000-0005-0000-0000-00004C4A0000}"/>
    <cellStyle name="Normal 22 2 5 3 3 4" xfId="19027" xr:uid="{00000000-0005-0000-0000-00004D4A0000}"/>
    <cellStyle name="Normal 22 2 5 3 3 5" xfId="19028" xr:uid="{00000000-0005-0000-0000-00004E4A0000}"/>
    <cellStyle name="Normal 22 2 5 3 3 6" xfId="19029" xr:uid="{00000000-0005-0000-0000-00004F4A0000}"/>
    <cellStyle name="Normal 22 2 5 3 4" xfId="19030" xr:uid="{00000000-0005-0000-0000-0000504A0000}"/>
    <cellStyle name="Normal 22 2 5 3 5" xfId="19031" xr:uid="{00000000-0005-0000-0000-0000514A0000}"/>
    <cellStyle name="Normal 22 2 5 3 6" xfId="19032" xr:uid="{00000000-0005-0000-0000-0000524A0000}"/>
    <cellStyle name="Normal 22 2 5 3 7" xfId="19033" xr:uid="{00000000-0005-0000-0000-0000534A0000}"/>
    <cellStyle name="Normal 22 2 5 3 8" xfId="19034" xr:uid="{00000000-0005-0000-0000-0000544A0000}"/>
    <cellStyle name="Normal 22 2 5 4" xfId="19035" xr:uid="{00000000-0005-0000-0000-0000554A0000}"/>
    <cellStyle name="Normal 22 2 5 4 2" xfId="19036" xr:uid="{00000000-0005-0000-0000-0000564A0000}"/>
    <cellStyle name="Normal 22 2 5 4 2 2" xfId="19037" xr:uid="{00000000-0005-0000-0000-0000574A0000}"/>
    <cellStyle name="Normal 22 2 5 4 2 3" xfId="19038" xr:uid="{00000000-0005-0000-0000-0000584A0000}"/>
    <cellStyle name="Normal 22 2 5 4 2 4" xfId="19039" xr:uid="{00000000-0005-0000-0000-0000594A0000}"/>
    <cellStyle name="Normal 22 2 5 4 2 5" xfId="19040" xr:uid="{00000000-0005-0000-0000-00005A4A0000}"/>
    <cellStyle name="Normal 22 2 5 4 2 6" xfId="19041" xr:uid="{00000000-0005-0000-0000-00005B4A0000}"/>
    <cellStyle name="Normal 22 2 5 4 3" xfId="19042" xr:uid="{00000000-0005-0000-0000-00005C4A0000}"/>
    <cellStyle name="Normal 22 2 5 4 3 2" xfId="19043" xr:uid="{00000000-0005-0000-0000-00005D4A0000}"/>
    <cellStyle name="Normal 22 2 5 4 3 3" xfId="19044" xr:uid="{00000000-0005-0000-0000-00005E4A0000}"/>
    <cellStyle name="Normal 22 2 5 4 3 4" xfId="19045" xr:uid="{00000000-0005-0000-0000-00005F4A0000}"/>
    <cellStyle name="Normal 22 2 5 4 3 5" xfId="19046" xr:uid="{00000000-0005-0000-0000-0000604A0000}"/>
    <cellStyle name="Normal 22 2 5 4 3 6" xfId="19047" xr:uid="{00000000-0005-0000-0000-0000614A0000}"/>
    <cellStyle name="Normal 22 2 5 4 4" xfId="19048" xr:uid="{00000000-0005-0000-0000-0000624A0000}"/>
    <cellStyle name="Normal 22 2 5 4 5" xfId="19049" xr:uid="{00000000-0005-0000-0000-0000634A0000}"/>
    <cellStyle name="Normal 22 2 5 4 6" xfId="19050" xr:uid="{00000000-0005-0000-0000-0000644A0000}"/>
    <cellStyle name="Normal 22 2 5 4 7" xfId="19051" xr:uid="{00000000-0005-0000-0000-0000654A0000}"/>
    <cellStyle name="Normal 22 2 5 4 8" xfId="19052" xr:uid="{00000000-0005-0000-0000-0000664A0000}"/>
    <cellStyle name="Normal 22 2 5 5" xfId="19053" xr:uid="{00000000-0005-0000-0000-0000674A0000}"/>
    <cellStyle name="Normal 22 2 5 5 2" xfId="19054" xr:uid="{00000000-0005-0000-0000-0000684A0000}"/>
    <cellStyle name="Normal 22 2 5 5 3" xfId="19055" xr:uid="{00000000-0005-0000-0000-0000694A0000}"/>
    <cellStyle name="Normal 22 2 5 5 4" xfId="19056" xr:uid="{00000000-0005-0000-0000-00006A4A0000}"/>
    <cellStyle name="Normal 22 2 5 5 5" xfId="19057" xr:uid="{00000000-0005-0000-0000-00006B4A0000}"/>
    <cellStyle name="Normal 22 2 5 5 6" xfId="19058" xr:uid="{00000000-0005-0000-0000-00006C4A0000}"/>
    <cellStyle name="Normal 22 2 5 6" xfId="19059" xr:uid="{00000000-0005-0000-0000-00006D4A0000}"/>
    <cellStyle name="Normal 22 2 5 6 2" xfId="19060" xr:uid="{00000000-0005-0000-0000-00006E4A0000}"/>
    <cellStyle name="Normal 22 2 5 6 3" xfId="19061" xr:uid="{00000000-0005-0000-0000-00006F4A0000}"/>
    <cellStyle name="Normal 22 2 5 6 4" xfId="19062" xr:uid="{00000000-0005-0000-0000-0000704A0000}"/>
    <cellStyle name="Normal 22 2 5 6 5" xfId="19063" xr:uid="{00000000-0005-0000-0000-0000714A0000}"/>
    <cellStyle name="Normal 22 2 5 6 6" xfId="19064" xr:uid="{00000000-0005-0000-0000-0000724A0000}"/>
    <cellStyle name="Normal 22 2 5 7" xfId="19065" xr:uid="{00000000-0005-0000-0000-0000734A0000}"/>
    <cellStyle name="Normal 22 2 5 8" xfId="19066" xr:uid="{00000000-0005-0000-0000-0000744A0000}"/>
    <cellStyle name="Normal 22 2 5 9" xfId="19067" xr:uid="{00000000-0005-0000-0000-0000754A0000}"/>
    <cellStyle name="Normal 22 2 6" xfId="19068" xr:uid="{00000000-0005-0000-0000-0000764A0000}"/>
    <cellStyle name="Normal 22 2 6 2" xfId="19069" xr:uid="{00000000-0005-0000-0000-0000774A0000}"/>
    <cellStyle name="Normal 22 2 6 2 2" xfId="19070" xr:uid="{00000000-0005-0000-0000-0000784A0000}"/>
    <cellStyle name="Normal 22 2 6 2 3" xfId="19071" xr:uid="{00000000-0005-0000-0000-0000794A0000}"/>
    <cellStyle name="Normal 22 2 6 2 4" xfId="19072" xr:uid="{00000000-0005-0000-0000-00007A4A0000}"/>
    <cellStyle name="Normal 22 2 6 2 5" xfId="19073" xr:uid="{00000000-0005-0000-0000-00007B4A0000}"/>
    <cellStyle name="Normal 22 2 6 2 6" xfId="19074" xr:uid="{00000000-0005-0000-0000-00007C4A0000}"/>
    <cellStyle name="Normal 22 2 6 3" xfId="19075" xr:uid="{00000000-0005-0000-0000-00007D4A0000}"/>
    <cellStyle name="Normal 22 2 6 3 2" xfId="19076" xr:uid="{00000000-0005-0000-0000-00007E4A0000}"/>
    <cellStyle name="Normal 22 2 6 3 3" xfId="19077" xr:uid="{00000000-0005-0000-0000-00007F4A0000}"/>
    <cellStyle name="Normal 22 2 6 3 4" xfId="19078" xr:uid="{00000000-0005-0000-0000-0000804A0000}"/>
    <cellStyle name="Normal 22 2 6 3 5" xfId="19079" xr:uid="{00000000-0005-0000-0000-0000814A0000}"/>
    <cellStyle name="Normal 22 2 6 3 6" xfId="19080" xr:uid="{00000000-0005-0000-0000-0000824A0000}"/>
    <cellStyle name="Normal 22 2 6 4" xfId="19081" xr:uid="{00000000-0005-0000-0000-0000834A0000}"/>
    <cellStyle name="Normal 22 2 6 5" xfId="19082" xr:uid="{00000000-0005-0000-0000-0000844A0000}"/>
    <cellStyle name="Normal 22 2 6 6" xfId="19083" xr:uid="{00000000-0005-0000-0000-0000854A0000}"/>
    <cellStyle name="Normal 22 2 6 7" xfId="19084" xr:uid="{00000000-0005-0000-0000-0000864A0000}"/>
    <cellStyle name="Normal 22 2 6 8" xfId="19085" xr:uid="{00000000-0005-0000-0000-0000874A0000}"/>
    <cellStyle name="Normal 22 2 7" xfId="19086" xr:uid="{00000000-0005-0000-0000-0000884A0000}"/>
    <cellStyle name="Normal 22 2 7 2" xfId="19087" xr:uid="{00000000-0005-0000-0000-0000894A0000}"/>
    <cellStyle name="Normal 22 2 7 2 2" xfId="19088" xr:uid="{00000000-0005-0000-0000-00008A4A0000}"/>
    <cellStyle name="Normal 22 2 7 2 3" xfId="19089" xr:uid="{00000000-0005-0000-0000-00008B4A0000}"/>
    <cellStyle name="Normal 22 2 7 2 4" xfId="19090" xr:uid="{00000000-0005-0000-0000-00008C4A0000}"/>
    <cellStyle name="Normal 22 2 7 2 5" xfId="19091" xr:uid="{00000000-0005-0000-0000-00008D4A0000}"/>
    <cellStyle name="Normal 22 2 7 2 6" xfId="19092" xr:uid="{00000000-0005-0000-0000-00008E4A0000}"/>
    <cellStyle name="Normal 22 2 7 3" xfId="19093" xr:uid="{00000000-0005-0000-0000-00008F4A0000}"/>
    <cellStyle name="Normal 22 2 7 3 2" xfId="19094" xr:uid="{00000000-0005-0000-0000-0000904A0000}"/>
    <cellStyle name="Normal 22 2 7 3 3" xfId="19095" xr:uid="{00000000-0005-0000-0000-0000914A0000}"/>
    <cellStyle name="Normal 22 2 7 3 4" xfId="19096" xr:uid="{00000000-0005-0000-0000-0000924A0000}"/>
    <cellStyle name="Normal 22 2 7 3 5" xfId="19097" xr:uid="{00000000-0005-0000-0000-0000934A0000}"/>
    <cellStyle name="Normal 22 2 7 3 6" xfId="19098" xr:uid="{00000000-0005-0000-0000-0000944A0000}"/>
    <cellStyle name="Normal 22 2 7 4" xfId="19099" xr:uid="{00000000-0005-0000-0000-0000954A0000}"/>
    <cellStyle name="Normal 22 2 7 5" xfId="19100" xr:uid="{00000000-0005-0000-0000-0000964A0000}"/>
    <cellStyle name="Normal 22 2 7 6" xfId="19101" xr:uid="{00000000-0005-0000-0000-0000974A0000}"/>
    <cellStyle name="Normal 22 2 7 7" xfId="19102" xr:uid="{00000000-0005-0000-0000-0000984A0000}"/>
    <cellStyle name="Normal 22 2 7 8" xfId="19103" xr:uid="{00000000-0005-0000-0000-0000994A0000}"/>
    <cellStyle name="Normal 22 2 8" xfId="19104" xr:uid="{00000000-0005-0000-0000-00009A4A0000}"/>
    <cellStyle name="Normal 22 2 8 2" xfId="19105" xr:uid="{00000000-0005-0000-0000-00009B4A0000}"/>
    <cellStyle name="Normal 22 2 8 2 2" xfId="19106" xr:uid="{00000000-0005-0000-0000-00009C4A0000}"/>
    <cellStyle name="Normal 22 2 8 2 3" xfId="19107" xr:uid="{00000000-0005-0000-0000-00009D4A0000}"/>
    <cellStyle name="Normal 22 2 8 2 4" xfId="19108" xr:uid="{00000000-0005-0000-0000-00009E4A0000}"/>
    <cellStyle name="Normal 22 2 8 2 5" xfId="19109" xr:uid="{00000000-0005-0000-0000-00009F4A0000}"/>
    <cellStyle name="Normal 22 2 8 2 6" xfId="19110" xr:uid="{00000000-0005-0000-0000-0000A04A0000}"/>
    <cellStyle name="Normal 22 2 8 3" xfId="19111" xr:uid="{00000000-0005-0000-0000-0000A14A0000}"/>
    <cellStyle name="Normal 22 2 8 3 2" xfId="19112" xr:uid="{00000000-0005-0000-0000-0000A24A0000}"/>
    <cellStyle name="Normal 22 2 8 3 3" xfId="19113" xr:uid="{00000000-0005-0000-0000-0000A34A0000}"/>
    <cellStyle name="Normal 22 2 8 3 4" xfId="19114" xr:uid="{00000000-0005-0000-0000-0000A44A0000}"/>
    <cellStyle name="Normal 22 2 8 3 5" xfId="19115" xr:uid="{00000000-0005-0000-0000-0000A54A0000}"/>
    <cellStyle name="Normal 22 2 8 3 6" xfId="19116" xr:uid="{00000000-0005-0000-0000-0000A64A0000}"/>
    <cellStyle name="Normal 22 2 8 4" xfId="19117" xr:uid="{00000000-0005-0000-0000-0000A74A0000}"/>
    <cellStyle name="Normal 22 2 8 5" xfId="19118" xr:uid="{00000000-0005-0000-0000-0000A84A0000}"/>
    <cellStyle name="Normal 22 2 8 6" xfId="19119" xr:uid="{00000000-0005-0000-0000-0000A94A0000}"/>
    <cellStyle name="Normal 22 2 8 7" xfId="19120" xr:uid="{00000000-0005-0000-0000-0000AA4A0000}"/>
    <cellStyle name="Normal 22 2 8 8" xfId="19121" xr:uid="{00000000-0005-0000-0000-0000AB4A0000}"/>
    <cellStyle name="Normal 22 2 9" xfId="19122" xr:uid="{00000000-0005-0000-0000-0000AC4A0000}"/>
    <cellStyle name="Normal 22 2 9 2" xfId="19123" xr:uid="{00000000-0005-0000-0000-0000AD4A0000}"/>
    <cellStyle name="Normal 22 2 9 3" xfId="19124" xr:uid="{00000000-0005-0000-0000-0000AE4A0000}"/>
    <cellStyle name="Normal 22 2 9 4" xfId="19125" xr:uid="{00000000-0005-0000-0000-0000AF4A0000}"/>
    <cellStyle name="Normal 22 2 9 5" xfId="19126" xr:uid="{00000000-0005-0000-0000-0000B04A0000}"/>
    <cellStyle name="Normal 22 2 9 6" xfId="19127" xr:uid="{00000000-0005-0000-0000-0000B14A0000}"/>
    <cellStyle name="Normal 22 3" xfId="19128" xr:uid="{00000000-0005-0000-0000-0000B24A0000}"/>
    <cellStyle name="Normal 22 3 10" xfId="19129" xr:uid="{00000000-0005-0000-0000-0000B34A0000}"/>
    <cellStyle name="Normal 22 3 10 2" xfId="19130" xr:uid="{00000000-0005-0000-0000-0000B44A0000}"/>
    <cellStyle name="Normal 22 3 10 3" xfId="19131" xr:uid="{00000000-0005-0000-0000-0000B54A0000}"/>
    <cellStyle name="Normal 22 3 10 4" xfId="19132" xr:uid="{00000000-0005-0000-0000-0000B64A0000}"/>
    <cellStyle name="Normal 22 3 10 5" xfId="19133" xr:uid="{00000000-0005-0000-0000-0000B74A0000}"/>
    <cellStyle name="Normal 22 3 10 6" xfId="19134" xr:uid="{00000000-0005-0000-0000-0000B84A0000}"/>
    <cellStyle name="Normal 22 3 11" xfId="19135" xr:uid="{00000000-0005-0000-0000-0000B94A0000}"/>
    <cellStyle name="Normal 22 3 12" xfId="19136" xr:uid="{00000000-0005-0000-0000-0000BA4A0000}"/>
    <cellStyle name="Normal 22 3 13" xfId="19137" xr:uid="{00000000-0005-0000-0000-0000BB4A0000}"/>
    <cellStyle name="Normal 22 3 14" xfId="19138" xr:uid="{00000000-0005-0000-0000-0000BC4A0000}"/>
    <cellStyle name="Normal 22 3 15" xfId="19139" xr:uid="{00000000-0005-0000-0000-0000BD4A0000}"/>
    <cellStyle name="Normal 22 3 2" xfId="19140" xr:uid="{00000000-0005-0000-0000-0000BE4A0000}"/>
    <cellStyle name="Normal 22 3 2 10" xfId="19141" xr:uid="{00000000-0005-0000-0000-0000BF4A0000}"/>
    <cellStyle name="Normal 22 3 2 11" xfId="19142" xr:uid="{00000000-0005-0000-0000-0000C04A0000}"/>
    <cellStyle name="Normal 22 3 2 12" xfId="19143" xr:uid="{00000000-0005-0000-0000-0000C14A0000}"/>
    <cellStyle name="Normal 22 3 2 13" xfId="19144" xr:uid="{00000000-0005-0000-0000-0000C24A0000}"/>
    <cellStyle name="Normal 22 3 2 14" xfId="19145" xr:uid="{00000000-0005-0000-0000-0000C34A0000}"/>
    <cellStyle name="Normal 22 3 2 2" xfId="19146" xr:uid="{00000000-0005-0000-0000-0000C44A0000}"/>
    <cellStyle name="Normal 22 3 2 2 10" xfId="19147" xr:uid="{00000000-0005-0000-0000-0000C54A0000}"/>
    <cellStyle name="Normal 22 3 2 2 11" xfId="19148" xr:uid="{00000000-0005-0000-0000-0000C64A0000}"/>
    <cellStyle name="Normal 22 3 2 2 12" xfId="19149" xr:uid="{00000000-0005-0000-0000-0000C74A0000}"/>
    <cellStyle name="Normal 22 3 2 2 2" xfId="19150" xr:uid="{00000000-0005-0000-0000-0000C84A0000}"/>
    <cellStyle name="Normal 22 3 2 2 2 10" xfId="19151" xr:uid="{00000000-0005-0000-0000-0000C94A0000}"/>
    <cellStyle name="Normal 22 3 2 2 2 11" xfId="19152" xr:uid="{00000000-0005-0000-0000-0000CA4A0000}"/>
    <cellStyle name="Normal 22 3 2 2 2 2" xfId="19153" xr:uid="{00000000-0005-0000-0000-0000CB4A0000}"/>
    <cellStyle name="Normal 22 3 2 2 2 2 2" xfId="19154" xr:uid="{00000000-0005-0000-0000-0000CC4A0000}"/>
    <cellStyle name="Normal 22 3 2 2 2 2 2 2" xfId="19155" xr:uid="{00000000-0005-0000-0000-0000CD4A0000}"/>
    <cellStyle name="Normal 22 3 2 2 2 2 2 3" xfId="19156" xr:uid="{00000000-0005-0000-0000-0000CE4A0000}"/>
    <cellStyle name="Normal 22 3 2 2 2 2 2 4" xfId="19157" xr:uid="{00000000-0005-0000-0000-0000CF4A0000}"/>
    <cellStyle name="Normal 22 3 2 2 2 2 2 5" xfId="19158" xr:uid="{00000000-0005-0000-0000-0000D04A0000}"/>
    <cellStyle name="Normal 22 3 2 2 2 2 2 6" xfId="19159" xr:uid="{00000000-0005-0000-0000-0000D14A0000}"/>
    <cellStyle name="Normal 22 3 2 2 2 2 3" xfId="19160" xr:uid="{00000000-0005-0000-0000-0000D24A0000}"/>
    <cellStyle name="Normal 22 3 2 2 2 2 3 2" xfId="19161" xr:uid="{00000000-0005-0000-0000-0000D34A0000}"/>
    <cellStyle name="Normal 22 3 2 2 2 2 3 3" xfId="19162" xr:uid="{00000000-0005-0000-0000-0000D44A0000}"/>
    <cellStyle name="Normal 22 3 2 2 2 2 3 4" xfId="19163" xr:uid="{00000000-0005-0000-0000-0000D54A0000}"/>
    <cellStyle name="Normal 22 3 2 2 2 2 3 5" xfId="19164" xr:uid="{00000000-0005-0000-0000-0000D64A0000}"/>
    <cellStyle name="Normal 22 3 2 2 2 2 3 6" xfId="19165" xr:uid="{00000000-0005-0000-0000-0000D74A0000}"/>
    <cellStyle name="Normal 22 3 2 2 2 2 4" xfId="19166" xr:uid="{00000000-0005-0000-0000-0000D84A0000}"/>
    <cellStyle name="Normal 22 3 2 2 2 2 5" xfId="19167" xr:uid="{00000000-0005-0000-0000-0000D94A0000}"/>
    <cellStyle name="Normal 22 3 2 2 2 2 6" xfId="19168" xr:uid="{00000000-0005-0000-0000-0000DA4A0000}"/>
    <cellStyle name="Normal 22 3 2 2 2 2 7" xfId="19169" xr:uid="{00000000-0005-0000-0000-0000DB4A0000}"/>
    <cellStyle name="Normal 22 3 2 2 2 2 8" xfId="19170" xr:uid="{00000000-0005-0000-0000-0000DC4A0000}"/>
    <cellStyle name="Normal 22 3 2 2 2 3" xfId="19171" xr:uid="{00000000-0005-0000-0000-0000DD4A0000}"/>
    <cellStyle name="Normal 22 3 2 2 2 3 2" xfId="19172" xr:uid="{00000000-0005-0000-0000-0000DE4A0000}"/>
    <cellStyle name="Normal 22 3 2 2 2 3 2 2" xfId="19173" xr:uid="{00000000-0005-0000-0000-0000DF4A0000}"/>
    <cellStyle name="Normal 22 3 2 2 2 3 2 3" xfId="19174" xr:uid="{00000000-0005-0000-0000-0000E04A0000}"/>
    <cellStyle name="Normal 22 3 2 2 2 3 2 4" xfId="19175" xr:uid="{00000000-0005-0000-0000-0000E14A0000}"/>
    <cellStyle name="Normal 22 3 2 2 2 3 2 5" xfId="19176" xr:uid="{00000000-0005-0000-0000-0000E24A0000}"/>
    <cellStyle name="Normal 22 3 2 2 2 3 2 6" xfId="19177" xr:uid="{00000000-0005-0000-0000-0000E34A0000}"/>
    <cellStyle name="Normal 22 3 2 2 2 3 3" xfId="19178" xr:uid="{00000000-0005-0000-0000-0000E44A0000}"/>
    <cellStyle name="Normal 22 3 2 2 2 3 3 2" xfId="19179" xr:uid="{00000000-0005-0000-0000-0000E54A0000}"/>
    <cellStyle name="Normal 22 3 2 2 2 3 3 3" xfId="19180" xr:uid="{00000000-0005-0000-0000-0000E64A0000}"/>
    <cellStyle name="Normal 22 3 2 2 2 3 3 4" xfId="19181" xr:uid="{00000000-0005-0000-0000-0000E74A0000}"/>
    <cellStyle name="Normal 22 3 2 2 2 3 3 5" xfId="19182" xr:uid="{00000000-0005-0000-0000-0000E84A0000}"/>
    <cellStyle name="Normal 22 3 2 2 2 3 3 6" xfId="19183" xr:uid="{00000000-0005-0000-0000-0000E94A0000}"/>
    <cellStyle name="Normal 22 3 2 2 2 3 4" xfId="19184" xr:uid="{00000000-0005-0000-0000-0000EA4A0000}"/>
    <cellStyle name="Normal 22 3 2 2 2 3 5" xfId="19185" xr:uid="{00000000-0005-0000-0000-0000EB4A0000}"/>
    <cellStyle name="Normal 22 3 2 2 2 3 6" xfId="19186" xr:uid="{00000000-0005-0000-0000-0000EC4A0000}"/>
    <cellStyle name="Normal 22 3 2 2 2 3 7" xfId="19187" xr:uid="{00000000-0005-0000-0000-0000ED4A0000}"/>
    <cellStyle name="Normal 22 3 2 2 2 3 8" xfId="19188" xr:uid="{00000000-0005-0000-0000-0000EE4A0000}"/>
    <cellStyle name="Normal 22 3 2 2 2 4" xfId="19189" xr:uid="{00000000-0005-0000-0000-0000EF4A0000}"/>
    <cellStyle name="Normal 22 3 2 2 2 4 2" xfId="19190" xr:uid="{00000000-0005-0000-0000-0000F04A0000}"/>
    <cellStyle name="Normal 22 3 2 2 2 4 2 2" xfId="19191" xr:uid="{00000000-0005-0000-0000-0000F14A0000}"/>
    <cellStyle name="Normal 22 3 2 2 2 4 2 3" xfId="19192" xr:uid="{00000000-0005-0000-0000-0000F24A0000}"/>
    <cellStyle name="Normal 22 3 2 2 2 4 2 4" xfId="19193" xr:uid="{00000000-0005-0000-0000-0000F34A0000}"/>
    <cellStyle name="Normal 22 3 2 2 2 4 2 5" xfId="19194" xr:uid="{00000000-0005-0000-0000-0000F44A0000}"/>
    <cellStyle name="Normal 22 3 2 2 2 4 2 6" xfId="19195" xr:uid="{00000000-0005-0000-0000-0000F54A0000}"/>
    <cellStyle name="Normal 22 3 2 2 2 4 3" xfId="19196" xr:uid="{00000000-0005-0000-0000-0000F64A0000}"/>
    <cellStyle name="Normal 22 3 2 2 2 4 3 2" xfId="19197" xr:uid="{00000000-0005-0000-0000-0000F74A0000}"/>
    <cellStyle name="Normal 22 3 2 2 2 4 3 3" xfId="19198" xr:uid="{00000000-0005-0000-0000-0000F84A0000}"/>
    <cellStyle name="Normal 22 3 2 2 2 4 3 4" xfId="19199" xr:uid="{00000000-0005-0000-0000-0000F94A0000}"/>
    <cellStyle name="Normal 22 3 2 2 2 4 3 5" xfId="19200" xr:uid="{00000000-0005-0000-0000-0000FA4A0000}"/>
    <cellStyle name="Normal 22 3 2 2 2 4 3 6" xfId="19201" xr:uid="{00000000-0005-0000-0000-0000FB4A0000}"/>
    <cellStyle name="Normal 22 3 2 2 2 4 4" xfId="19202" xr:uid="{00000000-0005-0000-0000-0000FC4A0000}"/>
    <cellStyle name="Normal 22 3 2 2 2 4 5" xfId="19203" xr:uid="{00000000-0005-0000-0000-0000FD4A0000}"/>
    <cellStyle name="Normal 22 3 2 2 2 4 6" xfId="19204" xr:uid="{00000000-0005-0000-0000-0000FE4A0000}"/>
    <cellStyle name="Normal 22 3 2 2 2 4 7" xfId="19205" xr:uid="{00000000-0005-0000-0000-0000FF4A0000}"/>
    <cellStyle name="Normal 22 3 2 2 2 4 8" xfId="19206" xr:uid="{00000000-0005-0000-0000-0000004B0000}"/>
    <cellStyle name="Normal 22 3 2 2 2 5" xfId="19207" xr:uid="{00000000-0005-0000-0000-0000014B0000}"/>
    <cellStyle name="Normal 22 3 2 2 2 5 2" xfId="19208" xr:uid="{00000000-0005-0000-0000-0000024B0000}"/>
    <cellStyle name="Normal 22 3 2 2 2 5 3" xfId="19209" xr:uid="{00000000-0005-0000-0000-0000034B0000}"/>
    <cellStyle name="Normal 22 3 2 2 2 5 4" xfId="19210" xr:uid="{00000000-0005-0000-0000-0000044B0000}"/>
    <cellStyle name="Normal 22 3 2 2 2 5 5" xfId="19211" xr:uid="{00000000-0005-0000-0000-0000054B0000}"/>
    <cellStyle name="Normal 22 3 2 2 2 5 6" xfId="19212" xr:uid="{00000000-0005-0000-0000-0000064B0000}"/>
    <cellStyle name="Normal 22 3 2 2 2 6" xfId="19213" xr:uid="{00000000-0005-0000-0000-0000074B0000}"/>
    <cellStyle name="Normal 22 3 2 2 2 6 2" xfId="19214" xr:uid="{00000000-0005-0000-0000-0000084B0000}"/>
    <cellStyle name="Normal 22 3 2 2 2 6 3" xfId="19215" xr:uid="{00000000-0005-0000-0000-0000094B0000}"/>
    <cellStyle name="Normal 22 3 2 2 2 6 4" xfId="19216" xr:uid="{00000000-0005-0000-0000-00000A4B0000}"/>
    <cellStyle name="Normal 22 3 2 2 2 6 5" xfId="19217" xr:uid="{00000000-0005-0000-0000-00000B4B0000}"/>
    <cellStyle name="Normal 22 3 2 2 2 6 6" xfId="19218" xr:uid="{00000000-0005-0000-0000-00000C4B0000}"/>
    <cellStyle name="Normal 22 3 2 2 2 7" xfId="19219" xr:uid="{00000000-0005-0000-0000-00000D4B0000}"/>
    <cellStyle name="Normal 22 3 2 2 2 8" xfId="19220" xr:uid="{00000000-0005-0000-0000-00000E4B0000}"/>
    <cellStyle name="Normal 22 3 2 2 2 9" xfId="19221" xr:uid="{00000000-0005-0000-0000-00000F4B0000}"/>
    <cellStyle name="Normal 22 3 2 2 3" xfId="19222" xr:uid="{00000000-0005-0000-0000-0000104B0000}"/>
    <cellStyle name="Normal 22 3 2 2 3 2" xfId="19223" xr:uid="{00000000-0005-0000-0000-0000114B0000}"/>
    <cellStyle name="Normal 22 3 2 2 3 2 2" xfId="19224" xr:uid="{00000000-0005-0000-0000-0000124B0000}"/>
    <cellStyle name="Normal 22 3 2 2 3 2 3" xfId="19225" xr:uid="{00000000-0005-0000-0000-0000134B0000}"/>
    <cellStyle name="Normal 22 3 2 2 3 2 4" xfId="19226" xr:uid="{00000000-0005-0000-0000-0000144B0000}"/>
    <cellStyle name="Normal 22 3 2 2 3 2 5" xfId="19227" xr:uid="{00000000-0005-0000-0000-0000154B0000}"/>
    <cellStyle name="Normal 22 3 2 2 3 2 6" xfId="19228" xr:uid="{00000000-0005-0000-0000-0000164B0000}"/>
    <cellStyle name="Normal 22 3 2 2 3 3" xfId="19229" xr:uid="{00000000-0005-0000-0000-0000174B0000}"/>
    <cellStyle name="Normal 22 3 2 2 3 3 2" xfId="19230" xr:uid="{00000000-0005-0000-0000-0000184B0000}"/>
    <cellStyle name="Normal 22 3 2 2 3 3 3" xfId="19231" xr:uid="{00000000-0005-0000-0000-0000194B0000}"/>
    <cellStyle name="Normal 22 3 2 2 3 3 4" xfId="19232" xr:uid="{00000000-0005-0000-0000-00001A4B0000}"/>
    <cellStyle name="Normal 22 3 2 2 3 3 5" xfId="19233" xr:uid="{00000000-0005-0000-0000-00001B4B0000}"/>
    <cellStyle name="Normal 22 3 2 2 3 3 6" xfId="19234" xr:uid="{00000000-0005-0000-0000-00001C4B0000}"/>
    <cellStyle name="Normal 22 3 2 2 3 4" xfId="19235" xr:uid="{00000000-0005-0000-0000-00001D4B0000}"/>
    <cellStyle name="Normal 22 3 2 2 3 5" xfId="19236" xr:uid="{00000000-0005-0000-0000-00001E4B0000}"/>
    <cellStyle name="Normal 22 3 2 2 3 6" xfId="19237" xr:uid="{00000000-0005-0000-0000-00001F4B0000}"/>
    <cellStyle name="Normal 22 3 2 2 3 7" xfId="19238" xr:uid="{00000000-0005-0000-0000-0000204B0000}"/>
    <cellStyle name="Normal 22 3 2 2 3 8" xfId="19239" xr:uid="{00000000-0005-0000-0000-0000214B0000}"/>
    <cellStyle name="Normal 22 3 2 2 4" xfId="19240" xr:uid="{00000000-0005-0000-0000-0000224B0000}"/>
    <cellStyle name="Normal 22 3 2 2 4 2" xfId="19241" xr:uid="{00000000-0005-0000-0000-0000234B0000}"/>
    <cellStyle name="Normal 22 3 2 2 4 2 2" xfId="19242" xr:uid="{00000000-0005-0000-0000-0000244B0000}"/>
    <cellStyle name="Normal 22 3 2 2 4 2 3" xfId="19243" xr:uid="{00000000-0005-0000-0000-0000254B0000}"/>
    <cellStyle name="Normal 22 3 2 2 4 2 4" xfId="19244" xr:uid="{00000000-0005-0000-0000-0000264B0000}"/>
    <cellStyle name="Normal 22 3 2 2 4 2 5" xfId="19245" xr:uid="{00000000-0005-0000-0000-0000274B0000}"/>
    <cellStyle name="Normal 22 3 2 2 4 2 6" xfId="19246" xr:uid="{00000000-0005-0000-0000-0000284B0000}"/>
    <cellStyle name="Normal 22 3 2 2 4 3" xfId="19247" xr:uid="{00000000-0005-0000-0000-0000294B0000}"/>
    <cellStyle name="Normal 22 3 2 2 4 3 2" xfId="19248" xr:uid="{00000000-0005-0000-0000-00002A4B0000}"/>
    <cellStyle name="Normal 22 3 2 2 4 3 3" xfId="19249" xr:uid="{00000000-0005-0000-0000-00002B4B0000}"/>
    <cellStyle name="Normal 22 3 2 2 4 3 4" xfId="19250" xr:uid="{00000000-0005-0000-0000-00002C4B0000}"/>
    <cellStyle name="Normal 22 3 2 2 4 3 5" xfId="19251" xr:uid="{00000000-0005-0000-0000-00002D4B0000}"/>
    <cellStyle name="Normal 22 3 2 2 4 3 6" xfId="19252" xr:uid="{00000000-0005-0000-0000-00002E4B0000}"/>
    <cellStyle name="Normal 22 3 2 2 4 4" xfId="19253" xr:uid="{00000000-0005-0000-0000-00002F4B0000}"/>
    <cellStyle name="Normal 22 3 2 2 4 5" xfId="19254" xr:uid="{00000000-0005-0000-0000-0000304B0000}"/>
    <cellStyle name="Normal 22 3 2 2 4 6" xfId="19255" xr:uid="{00000000-0005-0000-0000-0000314B0000}"/>
    <cellStyle name="Normal 22 3 2 2 4 7" xfId="19256" xr:uid="{00000000-0005-0000-0000-0000324B0000}"/>
    <cellStyle name="Normal 22 3 2 2 4 8" xfId="19257" xr:uid="{00000000-0005-0000-0000-0000334B0000}"/>
    <cellStyle name="Normal 22 3 2 2 5" xfId="19258" xr:uid="{00000000-0005-0000-0000-0000344B0000}"/>
    <cellStyle name="Normal 22 3 2 2 5 2" xfId="19259" xr:uid="{00000000-0005-0000-0000-0000354B0000}"/>
    <cellStyle name="Normal 22 3 2 2 5 2 2" xfId="19260" xr:uid="{00000000-0005-0000-0000-0000364B0000}"/>
    <cellStyle name="Normal 22 3 2 2 5 2 3" xfId="19261" xr:uid="{00000000-0005-0000-0000-0000374B0000}"/>
    <cellStyle name="Normal 22 3 2 2 5 2 4" xfId="19262" xr:uid="{00000000-0005-0000-0000-0000384B0000}"/>
    <cellStyle name="Normal 22 3 2 2 5 2 5" xfId="19263" xr:uid="{00000000-0005-0000-0000-0000394B0000}"/>
    <cellStyle name="Normal 22 3 2 2 5 2 6" xfId="19264" xr:uid="{00000000-0005-0000-0000-00003A4B0000}"/>
    <cellStyle name="Normal 22 3 2 2 5 3" xfId="19265" xr:uid="{00000000-0005-0000-0000-00003B4B0000}"/>
    <cellStyle name="Normal 22 3 2 2 5 3 2" xfId="19266" xr:uid="{00000000-0005-0000-0000-00003C4B0000}"/>
    <cellStyle name="Normal 22 3 2 2 5 3 3" xfId="19267" xr:uid="{00000000-0005-0000-0000-00003D4B0000}"/>
    <cellStyle name="Normal 22 3 2 2 5 3 4" xfId="19268" xr:uid="{00000000-0005-0000-0000-00003E4B0000}"/>
    <cellStyle name="Normal 22 3 2 2 5 3 5" xfId="19269" xr:uid="{00000000-0005-0000-0000-00003F4B0000}"/>
    <cellStyle name="Normal 22 3 2 2 5 3 6" xfId="19270" xr:uid="{00000000-0005-0000-0000-0000404B0000}"/>
    <cellStyle name="Normal 22 3 2 2 5 4" xfId="19271" xr:uid="{00000000-0005-0000-0000-0000414B0000}"/>
    <cellStyle name="Normal 22 3 2 2 5 5" xfId="19272" xr:uid="{00000000-0005-0000-0000-0000424B0000}"/>
    <cellStyle name="Normal 22 3 2 2 5 6" xfId="19273" xr:uid="{00000000-0005-0000-0000-0000434B0000}"/>
    <cellStyle name="Normal 22 3 2 2 5 7" xfId="19274" xr:uid="{00000000-0005-0000-0000-0000444B0000}"/>
    <cellStyle name="Normal 22 3 2 2 5 8" xfId="19275" xr:uid="{00000000-0005-0000-0000-0000454B0000}"/>
    <cellStyle name="Normal 22 3 2 2 6" xfId="19276" xr:uid="{00000000-0005-0000-0000-0000464B0000}"/>
    <cellStyle name="Normal 22 3 2 2 6 2" xfId="19277" xr:uid="{00000000-0005-0000-0000-0000474B0000}"/>
    <cellStyle name="Normal 22 3 2 2 6 3" xfId="19278" xr:uid="{00000000-0005-0000-0000-0000484B0000}"/>
    <cellStyle name="Normal 22 3 2 2 6 4" xfId="19279" xr:uid="{00000000-0005-0000-0000-0000494B0000}"/>
    <cellStyle name="Normal 22 3 2 2 6 5" xfId="19280" xr:uid="{00000000-0005-0000-0000-00004A4B0000}"/>
    <cellStyle name="Normal 22 3 2 2 6 6" xfId="19281" xr:uid="{00000000-0005-0000-0000-00004B4B0000}"/>
    <cellStyle name="Normal 22 3 2 2 7" xfId="19282" xr:uid="{00000000-0005-0000-0000-00004C4B0000}"/>
    <cellStyle name="Normal 22 3 2 2 7 2" xfId="19283" xr:uid="{00000000-0005-0000-0000-00004D4B0000}"/>
    <cellStyle name="Normal 22 3 2 2 7 3" xfId="19284" xr:uid="{00000000-0005-0000-0000-00004E4B0000}"/>
    <cellStyle name="Normal 22 3 2 2 7 4" xfId="19285" xr:uid="{00000000-0005-0000-0000-00004F4B0000}"/>
    <cellStyle name="Normal 22 3 2 2 7 5" xfId="19286" xr:uid="{00000000-0005-0000-0000-0000504B0000}"/>
    <cellStyle name="Normal 22 3 2 2 7 6" xfId="19287" xr:uid="{00000000-0005-0000-0000-0000514B0000}"/>
    <cellStyle name="Normal 22 3 2 2 8" xfId="19288" xr:uid="{00000000-0005-0000-0000-0000524B0000}"/>
    <cellStyle name="Normal 22 3 2 2 9" xfId="19289" xr:uid="{00000000-0005-0000-0000-0000534B0000}"/>
    <cellStyle name="Normal 22 3 2 3" xfId="19290" xr:uid="{00000000-0005-0000-0000-0000544B0000}"/>
    <cellStyle name="Normal 22 3 2 3 10" xfId="19291" xr:uid="{00000000-0005-0000-0000-0000554B0000}"/>
    <cellStyle name="Normal 22 3 2 3 11" xfId="19292" xr:uid="{00000000-0005-0000-0000-0000564B0000}"/>
    <cellStyle name="Normal 22 3 2 3 12" xfId="19293" xr:uid="{00000000-0005-0000-0000-0000574B0000}"/>
    <cellStyle name="Normal 22 3 2 3 2" xfId="19294" xr:uid="{00000000-0005-0000-0000-0000584B0000}"/>
    <cellStyle name="Normal 22 3 2 3 2 10" xfId="19295" xr:uid="{00000000-0005-0000-0000-0000594B0000}"/>
    <cellStyle name="Normal 22 3 2 3 2 11" xfId="19296" xr:uid="{00000000-0005-0000-0000-00005A4B0000}"/>
    <cellStyle name="Normal 22 3 2 3 2 2" xfId="19297" xr:uid="{00000000-0005-0000-0000-00005B4B0000}"/>
    <cellStyle name="Normal 22 3 2 3 2 2 2" xfId="19298" xr:uid="{00000000-0005-0000-0000-00005C4B0000}"/>
    <cellStyle name="Normal 22 3 2 3 2 2 2 2" xfId="19299" xr:uid="{00000000-0005-0000-0000-00005D4B0000}"/>
    <cellStyle name="Normal 22 3 2 3 2 2 2 3" xfId="19300" xr:uid="{00000000-0005-0000-0000-00005E4B0000}"/>
    <cellStyle name="Normal 22 3 2 3 2 2 2 4" xfId="19301" xr:uid="{00000000-0005-0000-0000-00005F4B0000}"/>
    <cellStyle name="Normal 22 3 2 3 2 2 2 5" xfId="19302" xr:uid="{00000000-0005-0000-0000-0000604B0000}"/>
    <cellStyle name="Normal 22 3 2 3 2 2 2 6" xfId="19303" xr:uid="{00000000-0005-0000-0000-0000614B0000}"/>
    <cellStyle name="Normal 22 3 2 3 2 2 3" xfId="19304" xr:uid="{00000000-0005-0000-0000-0000624B0000}"/>
    <cellStyle name="Normal 22 3 2 3 2 2 3 2" xfId="19305" xr:uid="{00000000-0005-0000-0000-0000634B0000}"/>
    <cellStyle name="Normal 22 3 2 3 2 2 3 3" xfId="19306" xr:uid="{00000000-0005-0000-0000-0000644B0000}"/>
    <cellStyle name="Normal 22 3 2 3 2 2 3 4" xfId="19307" xr:uid="{00000000-0005-0000-0000-0000654B0000}"/>
    <cellStyle name="Normal 22 3 2 3 2 2 3 5" xfId="19308" xr:uid="{00000000-0005-0000-0000-0000664B0000}"/>
    <cellStyle name="Normal 22 3 2 3 2 2 3 6" xfId="19309" xr:uid="{00000000-0005-0000-0000-0000674B0000}"/>
    <cellStyle name="Normal 22 3 2 3 2 2 4" xfId="19310" xr:uid="{00000000-0005-0000-0000-0000684B0000}"/>
    <cellStyle name="Normal 22 3 2 3 2 2 5" xfId="19311" xr:uid="{00000000-0005-0000-0000-0000694B0000}"/>
    <cellStyle name="Normal 22 3 2 3 2 2 6" xfId="19312" xr:uid="{00000000-0005-0000-0000-00006A4B0000}"/>
    <cellStyle name="Normal 22 3 2 3 2 2 7" xfId="19313" xr:uid="{00000000-0005-0000-0000-00006B4B0000}"/>
    <cellStyle name="Normal 22 3 2 3 2 2 8" xfId="19314" xr:uid="{00000000-0005-0000-0000-00006C4B0000}"/>
    <cellStyle name="Normal 22 3 2 3 2 3" xfId="19315" xr:uid="{00000000-0005-0000-0000-00006D4B0000}"/>
    <cellStyle name="Normal 22 3 2 3 2 3 2" xfId="19316" xr:uid="{00000000-0005-0000-0000-00006E4B0000}"/>
    <cellStyle name="Normal 22 3 2 3 2 3 2 2" xfId="19317" xr:uid="{00000000-0005-0000-0000-00006F4B0000}"/>
    <cellStyle name="Normal 22 3 2 3 2 3 2 3" xfId="19318" xr:uid="{00000000-0005-0000-0000-0000704B0000}"/>
    <cellStyle name="Normal 22 3 2 3 2 3 2 4" xfId="19319" xr:uid="{00000000-0005-0000-0000-0000714B0000}"/>
    <cellStyle name="Normal 22 3 2 3 2 3 2 5" xfId="19320" xr:uid="{00000000-0005-0000-0000-0000724B0000}"/>
    <cellStyle name="Normal 22 3 2 3 2 3 2 6" xfId="19321" xr:uid="{00000000-0005-0000-0000-0000734B0000}"/>
    <cellStyle name="Normal 22 3 2 3 2 3 3" xfId="19322" xr:uid="{00000000-0005-0000-0000-0000744B0000}"/>
    <cellStyle name="Normal 22 3 2 3 2 3 3 2" xfId="19323" xr:uid="{00000000-0005-0000-0000-0000754B0000}"/>
    <cellStyle name="Normal 22 3 2 3 2 3 3 3" xfId="19324" xr:uid="{00000000-0005-0000-0000-0000764B0000}"/>
    <cellStyle name="Normal 22 3 2 3 2 3 3 4" xfId="19325" xr:uid="{00000000-0005-0000-0000-0000774B0000}"/>
    <cellStyle name="Normal 22 3 2 3 2 3 3 5" xfId="19326" xr:uid="{00000000-0005-0000-0000-0000784B0000}"/>
    <cellStyle name="Normal 22 3 2 3 2 3 3 6" xfId="19327" xr:uid="{00000000-0005-0000-0000-0000794B0000}"/>
    <cellStyle name="Normal 22 3 2 3 2 3 4" xfId="19328" xr:uid="{00000000-0005-0000-0000-00007A4B0000}"/>
    <cellStyle name="Normal 22 3 2 3 2 3 5" xfId="19329" xr:uid="{00000000-0005-0000-0000-00007B4B0000}"/>
    <cellStyle name="Normal 22 3 2 3 2 3 6" xfId="19330" xr:uid="{00000000-0005-0000-0000-00007C4B0000}"/>
    <cellStyle name="Normal 22 3 2 3 2 3 7" xfId="19331" xr:uid="{00000000-0005-0000-0000-00007D4B0000}"/>
    <cellStyle name="Normal 22 3 2 3 2 3 8" xfId="19332" xr:uid="{00000000-0005-0000-0000-00007E4B0000}"/>
    <cellStyle name="Normal 22 3 2 3 2 4" xfId="19333" xr:uid="{00000000-0005-0000-0000-00007F4B0000}"/>
    <cellStyle name="Normal 22 3 2 3 2 4 2" xfId="19334" xr:uid="{00000000-0005-0000-0000-0000804B0000}"/>
    <cellStyle name="Normal 22 3 2 3 2 4 2 2" xfId="19335" xr:uid="{00000000-0005-0000-0000-0000814B0000}"/>
    <cellStyle name="Normal 22 3 2 3 2 4 2 3" xfId="19336" xr:uid="{00000000-0005-0000-0000-0000824B0000}"/>
    <cellStyle name="Normal 22 3 2 3 2 4 2 4" xfId="19337" xr:uid="{00000000-0005-0000-0000-0000834B0000}"/>
    <cellStyle name="Normal 22 3 2 3 2 4 2 5" xfId="19338" xr:uid="{00000000-0005-0000-0000-0000844B0000}"/>
    <cellStyle name="Normal 22 3 2 3 2 4 2 6" xfId="19339" xr:uid="{00000000-0005-0000-0000-0000854B0000}"/>
    <cellStyle name="Normal 22 3 2 3 2 4 3" xfId="19340" xr:uid="{00000000-0005-0000-0000-0000864B0000}"/>
    <cellStyle name="Normal 22 3 2 3 2 4 3 2" xfId="19341" xr:uid="{00000000-0005-0000-0000-0000874B0000}"/>
    <cellStyle name="Normal 22 3 2 3 2 4 3 3" xfId="19342" xr:uid="{00000000-0005-0000-0000-0000884B0000}"/>
    <cellStyle name="Normal 22 3 2 3 2 4 3 4" xfId="19343" xr:uid="{00000000-0005-0000-0000-0000894B0000}"/>
    <cellStyle name="Normal 22 3 2 3 2 4 3 5" xfId="19344" xr:uid="{00000000-0005-0000-0000-00008A4B0000}"/>
    <cellStyle name="Normal 22 3 2 3 2 4 3 6" xfId="19345" xr:uid="{00000000-0005-0000-0000-00008B4B0000}"/>
    <cellStyle name="Normal 22 3 2 3 2 4 4" xfId="19346" xr:uid="{00000000-0005-0000-0000-00008C4B0000}"/>
    <cellStyle name="Normal 22 3 2 3 2 4 5" xfId="19347" xr:uid="{00000000-0005-0000-0000-00008D4B0000}"/>
    <cellStyle name="Normal 22 3 2 3 2 4 6" xfId="19348" xr:uid="{00000000-0005-0000-0000-00008E4B0000}"/>
    <cellStyle name="Normal 22 3 2 3 2 4 7" xfId="19349" xr:uid="{00000000-0005-0000-0000-00008F4B0000}"/>
    <cellStyle name="Normal 22 3 2 3 2 4 8" xfId="19350" xr:uid="{00000000-0005-0000-0000-0000904B0000}"/>
    <cellStyle name="Normal 22 3 2 3 2 5" xfId="19351" xr:uid="{00000000-0005-0000-0000-0000914B0000}"/>
    <cellStyle name="Normal 22 3 2 3 2 5 2" xfId="19352" xr:uid="{00000000-0005-0000-0000-0000924B0000}"/>
    <cellStyle name="Normal 22 3 2 3 2 5 3" xfId="19353" xr:uid="{00000000-0005-0000-0000-0000934B0000}"/>
    <cellStyle name="Normal 22 3 2 3 2 5 4" xfId="19354" xr:uid="{00000000-0005-0000-0000-0000944B0000}"/>
    <cellStyle name="Normal 22 3 2 3 2 5 5" xfId="19355" xr:uid="{00000000-0005-0000-0000-0000954B0000}"/>
    <cellStyle name="Normal 22 3 2 3 2 5 6" xfId="19356" xr:uid="{00000000-0005-0000-0000-0000964B0000}"/>
    <cellStyle name="Normal 22 3 2 3 2 6" xfId="19357" xr:uid="{00000000-0005-0000-0000-0000974B0000}"/>
    <cellStyle name="Normal 22 3 2 3 2 6 2" xfId="19358" xr:uid="{00000000-0005-0000-0000-0000984B0000}"/>
    <cellStyle name="Normal 22 3 2 3 2 6 3" xfId="19359" xr:uid="{00000000-0005-0000-0000-0000994B0000}"/>
    <cellStyle name="Normal 22 3 2 3 2 6 4" xfId="19360" xr:uid="{00000000-0005-0000-0000-00009A4B0000}"/>
    <cellStyle name="Normal 22 3 2 3 2 6 5" xfId="19361" xr:uid="{00000000-0005-0000-0000-00009B4B0000}"/>
    <cellStyle name="Normal 22 3 2 3 2 6 6" xfId="19362" xr:uid="{00000000-0005-0000-0000-00009C4B0000}"/>
    <cellStyle name="Normal 22 3 2 3 2 7" xfId="19363" xr:uid="{00000000-0005-0000-0000-00009D4B0000}"/>
    <cellStyle name="Normal 22 3 2 3 2 8" xfId="19364" xr:uid="{00000000-0005-0000-0000-00009E4B0000}"/>
    <cellStyle name="Normal 22 3 2 3 2 9" xfId="19365" xr:uid="{00000000-0005-0000-0000-00009F4B0000}"/>
    <cellStyle name="Normal 22 3 2 3 3" xfId="19366" xr:uid="{00000000-0005-0000-0000-0000A04B0000}"/>
    <cellStyle name="Normal 22 3 2 3 3 2" xfId="19367" xr:uid="{00000000-0005-0000-0000-0000A14B0000}"/>
    <cellStyle name="Normal 22 3 2 3 3 2 2" xfId="19368" xr:uid="{00000000-0005-0000-0000-0000A24B0000}"/>
    <cellStyle name="Normal 22 3 2 3 3 2 3" xfId="19369" xr:uid="{00000000-0005-0000-0000-0000A34B0000}"/>
    <cellStyle name="Normal 22 3 2 3 3 2 4" xfId="19370" xr:uid="{00000000-0005-0000-0000-0000A44B0000}"/>
    <cellStyle name="Normal 22 3 2 3 3 2 5" xfId="19371" xr:uid="{00000000-0005-0000-0000-0000A54B0000}"/>
    <cellStyle name="Normal 22 3 2 3 3 2 6" xfId="19372" xr:uid="{00000000-0005-0000-0000-0000A64B0000}"/>
    <cellStyle name="Normal 22 3 2 3 3 3" xfId="19373" xr:uid="{00000000-0005-0000-0000-0000A74B0000}"/>
    <cellStyle name="Normal 22 3 2 3 3 3 2" xfId="19374" xr:uid="{00000000-0005-0000-0000-0000A84B0000}"/>
    <cellStyle name="Normal 22 3 2 3 3 3 3" xfId="19375" xr:uid="{00000000-0005-0000-0000-0000A94B0000}"/>
    <cellStyle name="Normal 22 3 2 3 3 3 4" xfId="19376" xr:uid="{00000000-0005-0000-0000-0000AA4B0000}"/>
    <cellStyle name="Normal 22 3 2 3 3 3 5" xfId="19377" xr:uid="{00000000-0005-0000-0000-0000AB4B0000}"/>
    <cellStyle name="Normal 22 3 2 3 3 3 6" xfId="19378" xr:uid="{00000000-0005-0000-0000-0000AC4B0000}"/>
    <cellStyle name="Normal 22 3 2 3 3 4" xfId="19379" xr:uid="{00000000-0005-0000-0000-0000AD4B0000}"/>
    <cellStyle name="Normal 22 3 2 3 3 5" xfId="19380" xr:uid="{00000000-0005-0000-0000-0000AE4B0000}"/>
    <cellStyle name="Normal 22 3 2 3 3 6" xfId="19381" xr:uid="{00000000-0005-0000-0000-0000AF4B0000}"/>
    <cellStyle name="Normal 22 3 2 3 3 7" xfId="19382" xr:uid="{00000000-0005-0000-0000-0000B04B0000}"/>
    <cellStyle name="Normal 22 3 2 3 3 8" xfId="19383" xr:uid="{00000000-0005-0000-0000-0000B14B0000}"/>
    <cellStyle name="Normal 22 3 2 3 4" xfId="19384" xr:uid="{00000000-0005-0000-0000-0000B24B0000}"/>
    <cellStyle name="Normal 22 3 2 3 4 2" xfId="19385" xr:uid="{00000000-0005-0000-0000-0000B34B0000}"/>
    <cellStyle name="Normal 22 3 2 3 4 2 2" xfId="19386" xr:uid="{00000000-0005-0000-0000-0000B44B0000}"/>
    <cellStyle name="Normal 22 3 2 3 4 2 3" xfId="19387" xr:uid="{00000000-0005-0000-0000-0000B54B0000}"/>
    <cellStyle name="Normal 22 3 2 3 4 2 4" xfId="19388" xr:uid="{00000000-0005-0000-0000-0000B64B0000}"/>
    <cellStyle name="Normal 22 3 2 3 4 2 5" xfId="19389" xr:uid="{00000000-0005-0000-0000-0000B74B0000}"/>
    <cellStyle name="Normal 22 3 2 3 4 2 6" xfId="19390" xr:uid="{00000000-0005-0000-0000-0000B84B0000}"/>
    <cellStyle name="Normal 22 3 2 3 4 3" xfId="19391" xr:uid="{00000000-0005-0000-0000-0000B94B0000}"/>
    <cellStyle name="Normal 22 3 2 3 4 3 2" xfId="19392" xr:uid="{00000000-0005-0000-0000-0000BA4B0000}"/>
    <cellStyle name="Normal 22 3 2 3 4 3 3" xfId="19393" xr:uid="{00000000-0005-0000-0000-0000BB4B0000}"/>
    <cellStyle name="Normal 22 3 2 3 4 3 4" xfId="19394" xr:uid="{00000000-0005-0000-0000-0000BC4B0000}"/>
    <cellStyle name="Normal 22 3 2 3 4 3 5" xfId="19395" xr:uid="{00000000-0005-0000-0000-0000BD4B0000}"/>
    <cellStyle name="Normal 22 3 2 3 4 3 6" xfId="19396" xr:uid="{00000000-0005-0000-0000-0000BE4B0000}"/>
    <cellStyle name="Normal 22 3 2 3 4 4" xfId="19397" xr:uid="{00000000-0005-0000-0000-0000BF4B0000}"/>
    <cellStyle name="Normal 22 3 2 3 4 5" xfId="19398" xr:uid="{00000000-0005-0000-0000-0000C04B0000}"/>
    <cellStyle name="Normal 22 3 2 3 4 6" xfId="19399" xr:uid="{00000000-0005-0000-0000-0000C14B0000}"/>
    <cellStyle name="Normal 22 3 2 3 4 7" xfId="19400" xr:uid="{00000000-0005-0000-0000-0000C24B0000}"/>
    <cellStyle name="Normal 22 3 2 3 4 8" xfId="19401" xr:uid="{00000000-0005-0000-0000-0000C34B0000}"/>
    <cellStyle name="Normal 22 3 2 3 5" xfId="19402" xr:uid="{00000000-0005-0000-0000-0000C44B0000}"/>
    <cellStyle name="Normal 22 3 2 3 5 2" xfId="19403" xr:uid="{00000000-0005-0000-0000-0000C54B0000}"/>
    <cellStyle name="Normal 22 3 2 3 5 2 2" xfId="19404" xr:uid="{00000000-0005-0000-0000-0000C64B0000}"/>
    <cellStyle name="Normal 22 3 2 3 5 2 3" xfId="19405" xr:uid="{00000000-0005-0000-0000-0000C74B0000}"/>
    <cellStyle name="Normal 22 3 2 3 5 2 4" xfId="19406" xr:uid="{00000000-0005-0000-0000-0000C84B0000}"/>
    <cellStyle name="Normal 22 3 2 3 5 2 5" xfId="19407" xr:uid="{00000000-0005-0000-0000-0000C94B0000}"/>
    <cellStyle name="Normal 22 3 2 3 5 2 6" xfId="19408" xr:uid="{00000000-0005-0000-0000-0000CA4B0000}"/>
    <cellStyle name="Normal 22 3 2 3 5 3" xfId="19409" xr:uid="{00000000-0005-0000-0000-0000CB4B0000}"/>
    <cellStyle name="Normal 22 3 2 3 5 3 2" xfId="19410" xr:uid="{00000000-0005-0000-0000-0000CC4B0000}"/>
    <cellStyle name="Normal 22 3 2 3 5 3 3" xfId="19411" xr:uid="{00000000-0005-0000-0000-0000CD4B0000}"/>
    <cellStyle name="Normal 22 3 2 3 5 3 4" xfId="19412" xr:uid="{00000000-0005-0000-0000-0000CE4B0000}"/>
    <cellStyle name="Normal 22 3 2 3 5 3 5" xfId="19413" xr:uid="{00000000-0005-0000-0000-0000CF4B0000}"/>
    <cellStyle name="Normal 22 3 2 3 5 3 6" xfId="19414" xr:uid="{00000000-0005-0000-0000-0000D04B0000}"/>
    <cellStyle name="Normal 22 3 2 3 5 4" xfId="19415" xr:uid="{00000000-0005-0000-0000-0000D14B0000}"/>
    <cellStyle name="Normal 22 3 2 3 5 5" xfId="19416" xr:uid="{00000000-0005-0000-0000-0000D24B0000}"/>
    <cellStyle name="Normal 22 3 2 3 5 6" xfId="19417" xr:uid="{00000000-0005-0000-0000-0000D34B0000}"/>
    <cellStyle name="Normal 22 3 2 3 5 7" xfId="19418" xr:uid="{00000000-0005-0000-0000-0000D44B0000}"/>
    <cellStyle name="Normal 22 3 2 3 5 8" xfId="19419" xr:uid="{00000000-0005-0000-0000-0000D54B0000}"/>
    <cellStyle name="Normal 22 3 2 3 6" xfId="19420" xr:uid="{00000000-0005-0000-0000-0000D64B0000}"/>
    <cellStyle name="Normal 22 3 2 3 6 2" xfId="19421" xr:uid="{00000000-0005-0000-0000-0000D74B0000}"/>
    <cellStyle name="Normal 22 3 2 3 6 3" xfId="19422" xr:uid="{00000000-0005-0000-0000-0000D84B0000}"/>
    <cellStyle name="Normal 22 3 2 3 6 4" xfId="19423" xr:uid="{00000000-0005-0000-0000-0000D94B0000}"/>
    <cellStyle name="Normal 22 3 2 3 6 5" xfId="19424" xr:uid="{00000000-0005-0000-0000-0000DA4B0000}"/>
    <cellStyle name="Normal 22 3 2 3 6 6" xfId="19425" xr:uid="{00000000-0005-0000-0000-0000DB4B0000}"/>
    <cellStyle name="Normal 22 3 2 3 7" xfId="19426" xr:uid="{00000000-0005-0000-0000-0000DC4B0000}"/>
    <cellStyle name="Normal 22 3 2 3 7 2" xfId="19427" xr:uid="{00000000-0005-0000-0000-0000DD4B0000}"/>
    <cellStyle name="Normal 22 3 2 3 7 3" xfId="19428" xr:uid="{00000000-0005-0000-0000-0000DE4B0000}"/>
    <cellStyle name="Normal 22 3 2 3 7 4" xfId="19429" xr:uid="{00000000-0005-0000-0000-0000DF4B0000}"/>
    <cellStyle name="Normal 22 3 2 3 7 5" xfId="19430" xr:uid="{00000000-0005-0000-0000-0000E04B0000}"/>
    <cellStyle name="Normal 22 3 2 3 7 6" xfId="19431" xr:uid="{00000000-0005-0000-0000-0000E14B0000}"/>
    <cellStyle name="Normal 22 3 2 3 8" xfId="19432" xr:uid="{00000000-0005-0000-0000-0000E24B0000}"/>
    <cellStyle name="Normal 22 3 2 3 9" xfId="19433" xr:uid="{00000000-0005-0000-0000-0000E34B0000}"/>
    <cellStyle name="Normal 22 3 2 4" xfId="19434" xr:uid="{00000000-0005-0000-0000-0000E44B0000}"/>
    <cellStyle name="Normal 22 3 2 4 10" xfId="19435" xr:uid="{00000000-0005-0000-0000-0000E54B0000}"/>
    <cellStyle name="Normal 22 3 2 4 11" xfId="19436" xr:uid="{00000000-0005-0000-0000-0000E64B0000}"/>
    <cellStyle name="Normal 22 3 2 4 2" xfId="19437" xr:uid="{00000000-0005-0000-0000-0000E74B0000}"/>
    <cellStyle name="Normal 22 3 2 4 2 2" xfId="19438" xr:uid="{00000000-0005-0000-0000-0000E84B0000}"/>
    <cellStyle name="Normal 22 3 2 4 2 2 2" xfId="19439" xr:uid="{00000000-0005-0000-0000-0000E94B0000}"/>
    <cellStyle name="Normal 22 3 2 4 2 2 3" xfId="19440" xr:uid="{00000000-0005-0000-0000-0000EA4B0000}"/>
    <cellStyle name="Normal 22 3 2 4 2 2 4" xfId="19441" xr:uid="{00000000-0005-0000-0000-0000EB4B0000}"/>
    <cellStyle name="Normal 22 3 2 4 2 2 5" xfId="19442" xr:uid="{00000000-0005-0000-0000-0000EC4B0000}"/>
    <cellStyle name="Normal 22 3 2 4 2 2 6" xfId="19443" xr:uid="{00000000-0005-0000-0000-0000ED4B0000}"/>
    <cellStyle name="Normal 22 3 2 4 2 3" xfId="19444" xr:uid="{00000000-0005-0000-0000-0000EE4B0000}"/>
    <cellStyle name="Normal 22 3 2 4 2 3 2" xfId="19445" xr:uid="{00000000-0005-0000-0000-0000EF4B0000}"/>
    <cellStyle name="Normal 22 3 2 4 2 3 3" xfId="19446" xr:uid="{00000000-0005-0000-0000-0000F04B0000}"/>
    <cellStyle name="Normal 22 3 2 4 2 3 4" xfId="19447" xr:uid="{00000000-0005-0000-0000-0000F14B0000}"/>
    <cellStyle name="Normal 22 3 2 4 2 3 5" xfId="19448" xr:uid="{00000000-0005-0000-0000-0000F24B0000}"/>
    <cellStyle name="Normal 22 3 2 4 2 3 6" xfId="19449" xr:uid="{00000000-0005-0000-0000-0000F34B0000}"/>
    <cellStyle name="Normal 22 3 2 4 2 4" xfId="19450" xr:uid="{00000000-0005-0000-0000-0000F44B0000}"/>
    <cellStyle name="Normal 22 3 2 4 2 5" xfId="19451" xr:uid="{00000000-0005-0000-0000-0000F54B0000}"/>
    <cellStyle name="Normal 22 3 2 4 2 6" xfId="19452" xr:uid="{00000000-0005-0000-0000-0000F64B0000}"/>
    <cellStyle name="Normal 22 3 2 4 2 7" xfId="19453" xr:uid="{00000000-0005-0000-0000-0000F74B0000}"/>
    <cellStyle name="Normal 22 3 2 4 2 8" xfId="19454" xr:uid="{00000000-0005-0000-0000-0000F84B0000}"/>
    <cellStyle name="Normal 22 3 2 4 3" xfId="19455" xr:uid="{00000000-0005-0000-0000-0000F94B0000}"/>
    <cellStyle name="Normal 22 3 2 4 3 2" xfId="19456" xr:uid="{00000000-0005-0000-0000-0000FA4B0000}"/>
    <cellStyle name="Normal 22 3 2 4 3 2 2" xfId="19457" xr:uid="{00000000-0005-0000-0000-0000FB4B0000}"/>
    <cellStyle name="Normal 22 3 2 4 3 2 3" xfId="19458" xr:uid="{00000000-0005-0000-0000-0000FC4B0000}"/>
    <cellStyle name="Normal 22 3 2 4 3 2 4" xfId="19459" xr:uid="{00000000-0005-0000-0000-0000FD4B0000}"/>
    <cellStyle name="Normal 22 3 2 4 3 2 5" xfId="19460" xr:uid="{00000000-0005-0000-0000-0000FE4B0000}"/>
    <cellStyle name="Normal 22 3 2 4 3 2 6" xfId="19461" xr:uid="{00000000-0005-0000-0000-0000FF4B0000}"/>
    <cellStyle name="Normal 22 3 2 4 3 3" xfId="19462" xr:uid="{00000000-0005-0000-0000-0000004C0000}"/>
    <cellStyle name="Normal 22 3 2 4 3 3 2" xfId="19463" xr:uid="{00000000-0005-0000-0000-0000014C0000}"/>
    <cellStyle name="Normal 22 3 2 4 3 3 3" xfId="19464" xr:uid="{00000000-0005-0000-0000-0000024C0000}"/>
    <cellStyle name="Normal 22 3 2 4 3 3 4" xfId="19465" xr:uid="{00000000-0005-0000-0000-0000034C0000}"/>
    <cellStyle name="Normal 22 3 2 4 3 3 5" xfId="19466" xr:uid="{00000000-0005-0000-0000-0000044C0000}"/>
    <cellStyle name="Normal 22 3 2 4 3 3 6" xfId="19467" xr:uid="{00000000-0005-0000-0000-0000054C0000}"/>
    <cellStyle name="Normal 22 3 2 4 3 4" xfId="19468" xr:uid="{00000000-0005-0000-0000-0000064C0000}"/>
    <cellStyle name="Normal 22 3 2 4 3 5" xfId="19469" xr:uid="{00000000-0005-0000-0000-0000074C0000}"/>
    <cellStyle name="Normal 22 3 2 4 3 6" xfId="19470" xr:uid="{00000000-0005-0000-0000-0000084C0000}"/>
    <cellStyle name="Normal 22 3 2 4 3 7" xfId="19471" xr:uid="{00000000-0005-0000-0000-0000094C0000}"/>
    <cellStyle name="Normal 22 3 2 4 3 8" xfId="19472" xr:uid="{00000000-0005-0000-0000-00000A4C0000}"/>
    <cellStyle name="Normal 22 3 2 4 4" xfId="19473" xr:uid="{00000000-0005-0000-0000-00000B4C0000}"/>
    <cellStyle name="Normal 22 3 2 4 4 2" xfId="19474" xr:uid="{00000000-0005-0000-0000-00000C4C0000}"/>
    <cellStyle name="Normal 22 3 2 4 4 2 2" xfId="19475" xr:uid="{00000000-0005-0000-0000-00000D4C0000}"/>
    <cellStyle name="Normal 22 3 2 4 4 2 3" xfId="19476" xr:uid="{00000000-0005-0000-0000-00000E4C0000}"/>
    <cellStyle name="Normal 22 3 2 4 4 2 4" xfId="19477" xr:uid="{00000000-0005-0000-0000-00000F4C0000}"/>
    <cellStyle name="Normal 22 3 2 4 4 2 5" xfId="19478" xr:uid="{00000000-0005-0000-0000-0000104C0000}"/>
    <cellStyle name="Normal 22 3 2 4 4 2 6" xfId="19479" xr:uid="{00000000-0005-0000-0000-0000114C0000}"/>
    <cellStyle name="Normal 22 3 2 4 4 3" xfId="19480" xr:uid="{00000000-0005-0000-0000-0000124C0000}"/>
    <cellStyle name="Normal 22 3 2 4 4 3 2" xfId="19481" xr:uid="{00000000-0005-0000-0000-0000134C0000}"/>
    <cellStyle name="Normal 22 3 2 4 4 3 3" xfId="19482" xr:uid="{00000000-0005-0000-0000-0000144C0000}"/>
    <cellStyle name="Normal 22 3 2 4 4 3 4" xfId="19483" xr:uid="{00000000-0005-0000-0000-0000154C0000}"/>
    <cellStyle name="Normal 22 3 2 4 4 3 5" xfId="19484" xr:uid="{00000000-0005-0000-0000-0000164C0000}"/>
    <cellStyle name="Normal 22 3 2 4 4 3 6" xfId="19485" xr:uid="{00000000-0005-0000-0000-0000174C0000}"/>
    <cellStyle name="Normal 22 3 2 4 4 4" xfId="19486" xr:uid="{00000000-0005-0000-0000-0000184C0000}"/>
    <cellStyle name="Normal 22 3 2 4 4 5" xfId="19487" xr:uid="{00000000-0005-0000-0000-0000194C0000}"/>
    <cellStyle name="Normal 22 3 2 4 4 6" xfId="19488" xr:uid="{00000000-0005-0000-0000-00001A4C0000}"/>
    <cellStyle name="Normal 22 3 2 4 4 7" xfId="19489" xr:uid="{00000000-0005-0000-0000-00001B4C0000}"/>
    <cellStyle name="Normal 22 3 2 4 4 8" xfId="19490" xr:uid="{00000000-0005-0000-0000-00001C4C0000}"/>
    <cellStyle name="Normal 22 3 2 4 5" xfId="19491" xr:uid="{00000000-0005-0000-0000-00001D4C0000}"/>
    <cellStyle name="Normal 22 3 2 4 5 2" xfId="19492" xr:uid="{00000000-0005-0000-0000-00001E4C0000}"/>
    <cellStyle name="Normal 22 3 2 4 5 3" xfId="19493" xr:uid="{00000000-0005-0000-0000-00001F4C0000}"/>
    <cellStyle name="Normal 22 3 2 4 5 4" xfId="19494" xr:uid="{00000000-0005-0000-0000-0000204C0000}"/>
    <cellStyle name="Normal 22 3 2 4 5 5" xfId="19495" xr:uid="{00000000-0005-0000-0000-0000214C0000}"/>
    <cellStyle name="Normal 22 3 2 4 5 6" xfId="19496" xr:uid="{00000000-0005-0000-0000-0000224C0000}"/>
    <cellStyle name="Normal 22 3 2 4 6" xfId="19497" xr:uid="{00000000-0005-0000-0000-0000234C0000}"/>
    <cellStyle name="Normal 22 3 2 4 6 2" xfId="19498" xr:uid="{00000000-0005-0000-0000-0000244C0000}"/>
    <cellStyle name="Normal 22 3 2 4 6 3" xfId="19499" xr:uid="{00000000-0005-0000-0000-0000254C0000}"/>
    <cellStyle name="Normal 22 3 2 4 6 4" xfId="19500" xr:uid="{00000000-0005-0000-0000-0000264C0000}"/>
    <cellStyle name="Normal 22 3 2 4 6 5" xfId="19501" xr:uid="{00000000-0005-0000-0000-0000274C0000}"/>
    <cellStyle name="Normal 22 3 2 4 6 6" xfId="19502" xr:uid="{00000000-0005-0000-0000-0000284C0000}"/>
    <cellStyle name="Normal 22 3 2 4 7" xfId="19503" xr:uid="{00000000-0005-0000-0000-0000294C0000}"/>
    <cellStyle name="Normal 22 3 2 4 8" xfId="19504" xr:uid="{00000000-0005-0000-0000-00002A4C0000}"/>
    <cellStyle name="Normal 22 3 2 4 9" xfId="19505" xr:uid="{00000000-0005-0000-0000-00002B4C0000}"/>
    <cellStyle name="Normal 22 3 2 5" xfId="19506" xr:uid="{00000000-0005-0000-0000-00002C4C0000}"/>
    <cellStyle name="Normal 22 3 2 5 2" xfId="19507" xr:uid="{00000000-0005-0000-0000-00002D4C0000}"/>
    <cellStyle name="Normal 22 3 2 5 2 2" xfId="19508" xr:uid="{00000000-0005-0000-0000-00002E4C0000}"/>
    <cellStyle name="Normal 22 3 2 5 2 3" xfId="19509" xr:uid="{00000000-0005-0000-0000-00002F4C0000}"/>
    <cellStyle name="Normal 22 3 2 5 2 4" xfId="19510" xr:uid="{00000000-0005-0000-0000-0000304C0000}"/>
    <cellStyle name="Normal 22 3 2 5 2 5" xfId="19511" xr:uid="{00000000-0005-0000-0000-0000314C0000}"/>
    <cellStyle name="Normal 22 3 2 5 2 6" xfId="19512" xr:uid="{00000000-0005-0000-0000-0000324C0000}"/>
    <cellStyle name="Normal 22 3 2 5 3" xfId="19513" xr:uid="{00000000-0005-0000-0000-0000334C0000}"/>
    <cellStyle name="Normal 22 3 2 5 3 2" xfId="19514" xr:uid="{00000000-0005-0000-0000-0000344C0000}"/>
    <cellStyle name="Normal 22 3 2 5 3 3" xfId="19515" xr:uid="{00000000-0005-0000-0000-0000354C0000}"/>
    <cellStyle name="Normal 22 3 2 5 3 4" xfId="19516" xr:uid="{00000000-0005-0000-0000-0000364C0000}"/>
    <cellStyle name="Normal 22 3 2 5 3 5" xfId="19517" xr:uid="{00000000-0005-0000-0000-0000374C0000}"/>
    <cellStyle name="Normal 22 3 2 5 3 6" xfId="19518" xr:uid="{00000000-0005-0000-0000-0000384C0000}"/>
    <cellStyle name="Normal 22 3 2 5 4" xfId="19519" xr:uid="{00000000-0005-0000-0000-0000394C0000}"/>
    <cellStyle name="Normal 22 3 2 5 5" xfId="19520" xr:uid="{00000000-0005-0000-0000-00003A4C0000}"/>
    <cellStyle name="Normal 22 3 2 5 6" xfId="19521" xr:uid="{00000000-0005-0000-0000-00003B4C0000}"/>
    <cellStyle name="Normal 22 3 2 5 7" xfId="19522" xr:uid="{00000000-0005-0000-0000-00003C4C0000}"/>
    <cellStyle name="Normal 22 3 2 5 8" xfId="19523" xr:uid="{00000000-0005-0000-0000-00003D4C0000}"/>
    <cellStyle name="Normal 22 3 2 6" xfId="19524" xr:uid="{00000000-0005-0000-0000-00003E4C0000}"/>
    <cellStyle name="Normal 22 3 2 6 2" xfId="19525" xr:uid="{00000000-0005-0000-0000-00003F4C0000}"/>
    <cellStyle name="Normal 22 3 2 6 2 2" xfId="19526" xr:uid="{00000000-0005-0000-0000-0000404C0000}"/>
    <cellStyle name="Normal 22 3 2 6 2 3" xfId="19527" xr:uid="{00000000-0005-0000-0000-0000414C0000}"/>
    <cellStyle name="Normal 22 3 2 6 2 4" xfId="19528" xr:uid="{00000000-0005-0000-0000-0000424C0000}"/>
    <cellStyle name="Normal 22 3 2 6 2 5" xfId="19529" xr:uid="{00000000-0005-0000-0000-0000434C0000}"/>
    <cellStyle name="Normal 22 3 2 6 2 6" xfId="19530" xr:uid="{00000000-0005-0000-0000-0000444C0000}"/>
    <cellStyle name="Normal 22 3 2 6 3" xfId="19531" xr:uid="{00000000-0005-0000-0000-0000454C0000}"/>
    <cellStyle name="Normal 22 3 2 6 3 2" xfId="19532" xr:uid="{00000000-0005-0000-0000-0000464C0000}"/>
    <cellStyle name="Normal 22 3 2 6 3 3" xfId="19533" xr:uid="{00000000-0005-0000-0000-0000474C0000}"/>
    <cellStyle name="Normal 22 3 2 6 3 4" xfId="19534" xr:uid="{00000000-0005-0000-0000-0000484C0000}"/>
    <cellStyle name="Normal 22 3 2 6 3 5" xfId="19535" xr:uid="{00000000-0005-0000-0000-0000494C0000}"/>
    <cellStyle name="Normal 22 3 2 6 3 6" xfId="19536" xr:uid="{00000000-0005-0000-0000-00004A4C0000}"/>
    <cellStyle name="Normal 22 3 2 6 4" xfId="19537" xr:uid="{00000000-0005-0000-0000-00004B4C0000}"/>
    <cellStyle name="Normal 22 3 2 6 5" xfId="19538" xr:uid="{00000000-0005-0000-0000-00004C4C0000}"/>
    <cellStyle name="Normal 22 3 2 6 6" xfId="19539" xr:uid="{00000000-0005-0000-0000-00004D4C0000}"/>
    <cellStyle name="Normal 22 3 2 6 7" xfId="19540" xr:uid="{00000000-0005-0000-0000-00004E4C0000}"/>
    <cellStyle name="Normal 22 3 2 6 8" xfId="19541" xr:uid="{00000000-0005-0000-0000-00004F4C0000}"/>
    <cellStyle name="Normal 22 3 2 7" xfId="19542" xr:uid="{00000000-0005-0000-0000-0000504C0000}"/>
    <cellStyle name="Normal 22 3 2 7 2" xfId="19543" xr:uid="{00000000-0005-0000-0000-0000514C0000}"/>
    <cellStyle name="Normal 22 3 2 7 2 2" xfId="19544" xr:uid="{00000000-0005-0000-0000-0000524C0000}"/>
    <cellStyle name="Normal 22 3 2 7 2 3" xfId="19545" xr:uid="{00000000-0005-0000-0000-0000534C0000}"/>
    <cellStyle name="Normal 22 3 2 7 2 4" xfId="19546" xr:uid="{00000000-0005-0000-0000-0000544C0000}"/>
    <cellStyle name="Normal 22 3 2 7 2 5" xfId="19547" xr:uid="{00000000-0005-0000-0000-0000554C0000}"/>
    <cellStyle name="Normal 22 3 2 7 2 6" xfId="19548" xr:uid="{00000000-0005-0000-0000-0000564C0000}"/>
    <cellStyle name="Normal 22 3 2 7 3" xfId="19549" xr:uid="{00000000-0005-0000-0000-0000574C0000}"/>
    <cellStyle name="Normal 22 3 2 7 3 2" xfId="19550" xr:uid="{00000000-0005-0000-0000-0000584C0000}"/>
    <cellStyle name="Normal 22 3 2 7 3 3" xfId="19551" xr:uid="{00000000-0005-0000-0000-0000594C0000}"/>
    <cellStyle name="Normal 22 3 2 7 3 4" xfId="19552" xr:uid="{00000000-0005-0000-0000-00005A4C0000}"/>
    <cellStyle name="Normal 22 3 2 7 3 5" xfId="19553" xr:uid="{00000000-0005-0000-0000-00005B4C0000}"/>
    <cellStyle name="Normal 22 3 2 7 3 6" xfId="19554" xr:uid="{00000000-0005-0000-0000-00005C4C0000}"/>
    <cellStyle name="Normal 22 3 2 7 4" xfId="19555" xr:uid="{00000000-0005-0000-0000-00005D4C0000}"/>
    <cellStyle name="Normal 22 3 2 7 5" xfId="19556" xr:uid="{00000000-0005-0000-0000-00005E4C0000}"/>
    <cellStyle name="Normal 22 3 2 7 6" xfId="19557" xr:uid="{00000000-0005-0000-0000-00005F4C0000}"/>
    <cellStyle name="Normal 22 3 2 7 7" xfId="19558" xr:uid="{00000000-0005-0000-0000-0000604C0000}"/>
    <cellStyle name="Normal 22 3 2 7 8" xfId="19559" xr:uid="{00000000-0005-0000-0000-0000614C0000}"/>
    <cellStyle name="Normal 22 3 2 8" xfId="19560" xr:uid="{00000000-0005-0000-0000-0000624C0000}"/>
    <cellStyle name="Normal 22 3 2 8 2" xfId="19561" xr:uid="{00000000-0005-0000-0000-0000634C0000}"/>
    <cellStyle name="Normal 22 3 2 8 3" xfId="19562" xr:uid="{00000000-0005-0000-0000-0000644C0000}"/>
    <cellStyle name="Normal 22 3 2 8 4" xfId="19563" xr:uid="{00000000-0005-0000-0000-0000654C0000}"/>
    <cellStyle name="Normal 22 3 2 8 5" xfId="19564" xr:uid="{00000000-0005-0000-0000-0000664C0000}"/>
    <cellStyle name="Normal 22 3 2 8 6" xfId="19565" xr:uid="{00000000-0005-0000-0000-0000674C0000}"/>
    <cellStyle name="Normal 22 3 2 9" xfId="19566" xr:uid="{00000000-0005-0000-0000-0000684C0000}"/>
    <cellStyle name="Normal 22 3 2 9 2" xfId="19567" xr:uid="{00000000-0005-0000-0000-0000694C0000}"/>
    <cellStyle name="Normal 22 3 2 9 3" xfId="19568" xr:uid="{00000000-0005-0000-0000-00006A4C0000}"/>
    <cellStyle name="Normal 22 3 2 9 4" xfId="19569" xr:uid="{00000000-0005-0000-0000-00006B4C0000}"/>
    <cellStyle name="Normal 22 3 2 9 5" xfId="19570" xr:uid="{00000000-0005-0000-0000-00006C4C0000}"/>
    <cellStyle name="Normal 22 3 2 9 6" xfId="19571" xr:uid="{00000000-0005-0000-0000-00006D4C0000}"/>
    <cellStyle name="Normal 22 3 3" xfId="19572" xr:uid="{00000000-0005-0000-0000-00006E4C0000}"/>
    <cellStyle name="Normal 22 3 3 10" xfId="19573" xr:uid="{00000000-0005-0000-0000-00006F4C0000}"/>
    <cellStyle name="Normal 22 3 3 11" xfId="19574" xr:uid="{00000000-0005-0000-0000-0000704C0000}"/>
    <cellStyle name="Normal 22 3 3 12" xfId="19575" xr:uid="{00000000-0005-0000-0000-0000714C0000}"/>
    <cellStyle name="Normal 22 3 3 2" xfId="19576" xr:uid="{00000000-0005-0000-0000-0000724C0000}"/>
    <cellStyle name="Normal 22 3 3 2 10" xfId="19577" xr:uid="{00000000-0005-0000-0000-0000734C0000}"/>
    <cellStyle name="Normal 22 3 3 2 11" xfId="19578" xr:uid="{00000000-0005-0000-0000-0000744C0000}"/>
    <cellStyle name="Normal 22 3 3 2 2" xfId="19579" xr:uid="{00000000-0005-0000-0000-0000754C0000}"/>
    <cellStyle name="Normal 22 3 3 2 2 2" xfId="19580" xr:uid="{00000000-0005-0000-0000-0000764C0000}"/>
    <cellStyle name="Normal 22 3 3 2 2 2 2" xfId="19581" xr:uid="{00000000-0005-0000-0000-0000774C0000}"/>
    <cellStyle name="Normal 22 3 3 2 2 2 3" xfId="19582" xr:uid="{00000000-0005-0000-0000-0000784C0000}"/>
    <cellStyle name="Normal 22 3 3 2 2 2 4" xfId="19583" xr:uid="{00000000-0005-0000-0000-0000794C0000}"/>
    <cellStyle name="Normal 22 3 3 2 2 2 5" xfId="19584" xr:uid="{00000000-0005-0000-0000-00007A4C0000}"/>
    <cellStyle name="Normal 22 3 3 2 2 2 6" xfId="19585" xr:uid="{00000000-0005-0000-0000-00007B4C0000}"/>
    <cellStyle name="Normal 22 3 3 2 2 3" xfId="19586" xr:uid="{00000000-0005-0000-0000-00007C4C0000}"/>
    <cellStyle name="Normal 22 3 3 2 2 3 2" xfId="19587" xr:uid="{00000000-0005-0000-0000-00007D4C0000}"/>
    <cellStyle name="Normal 22 3 3 2 2 3 3" xfId="19588" xr:uid="{00000000-0005-0000-0000-00007E4C0000}"/>
    <cellStyle name="Normal 22 3 3 2 2 3 4" xfId="19589" xr:uid="{00000000-0005-0000-0000-00007F4C0000}"/>
    <cellStyle name="Normal 22 3 3 2 2 3 5" xfId="19590" xr:uid="{00000000-0005-0000-0000-0000804C0000}"/>
    <cellStyle name="Normal 22 3 3 2 2 3 6" xfId="19591" xr:uid="{00000000-0005-0000-0000-0000814C0000}"/>
    <cellStyle name="Normal 22 3 3 2 2 4" xfId="19592" xr:uid="{00000000-0005-0000-0000-0000824C0000}"/>
    <cellStyle name="Normal 22 3 3 2 2 5" xfId="19593" xr:uid="{00000000-0005-0000-0000-0000834C0000}"/>
    <cellStyle name="Normal 22 3 3 2 2 6" xfId="19594" xr:uid="{00000000-0005-0000-0000-0000844C0000}"/>
    <cellStyle name="Normal 22 3 3 2 2 7" xfId="19595" xr:uid="{00000000-0005-0000-0000-0000854C0000}"/>
    <cellStyle name="Normal 22 3 3 2 2 8" xfId="19596" xr:uid="{00000000-0005-0000-0000-0000864C0000}"/>
    <cellStyle name="Normal 22 3 3 2 3" xfId="19597" xr:uid="{00000000-0005-0000-0000-0000874C0000}"/>
    <cellStyle name="Normal 22 3 3 2 3 2" xfId="19598" xr:uid="{00000000-0005-0000-0000-0000884C0000}"/>
    <cellStyle name="Normal 22 3 3 2 3 2 2" xfId="19599" xr:uid="{00000000-0005-0000-0000-0000894C0000}"/>
    <cellStyle name="Normal 22 3 3 2 3 2 3" xfId="19600" xr:uid="{00000000-0005-0000-0000-00008A4C0000}"/>
    <cellStyle name="Normal 22 3 3 2 3 2 4" xfId="19601" xr:uid="{00000000-0005-0000-0000-00008B4C0000}"/>
    <cellStyle name="Normal 22 3 3 2 3 2 5" xfId="19602" xr:uid="{00000000-0005-0000-0000-00008C4C0000}"/>
    <cellStyle name="Normal 22 3 3 2 3 2 6" xfId="19603" xr:uid="{00000000-0005-0000-0000-00008D4C0000}"/>
    <cellStyle name="Normal 22 3 3 2 3 3" xfId="19604" xr:uid="{00000000-0005-0000-0000-00008E4C0000}"/>
    <cellStyle name="Normal 22 3 3 2 3 3 2" xfId="19605" xr:uid="{00000000-0005-0000-0000-00008F4C0000}"/>
    <cellStyle name="Normal 22 3 3 2 3 3 3" xfId="19606" xr:uid="{00000000-0005-0000-0000-0000904C0000}"/>
    <cellStyle name="Normal 22 3 3 2 3 3 4" xfId="19607" xr:uid="{00000000-0005-0000-0000-0000914C0000}"/>
    <cellStyle name="Normal 22 3 3 2 3 3 5" xfId="19608" xr:uid="{00000000-0005-0000-0000-0000924C0000}"/>
    <cellStyle name="Normal 22 3 3 2 3 3 6" xfId="19609" xr:uid="{00000000-0005-0000-0000-0000934C0000}"/>
    <cellStyle name="Normal 22 3 3 2 3 4" xfId="19610" xr:uid="{00000000-0005-0000-0000-0000944C0000}"/>
    <cellStyle name="Normal 22 3 3 2 3 5" xfId="19611" xr:uid="{00000000-0005-0000-0000-0000954C0000}"/>
    <cellStyle name="Normal 22 3 3 2 3 6" xfId="19612" xr:uid="{00000000-0005-0000-0000-0000964C0000}"/>
    <cellStyle name="Normal 22 3 3 2 3 7" xfId="19613" xr:uid="{00000000-0005-0000-0000-0000974C0000}"/>
    <cellStyle name="Normal 22 3 3 2 3 8" xfId="19614" xr:uid="{00000000-0005-0000-0000-0000984C0000}"/>
    <cellStyle name="Normal 22 3 3 2 4" xfId="19615" xr:uid="{00000000-0005-0000-0000-0000994C0000}"/>
    <cellStyle name="Normal 22 3 3 2 4 2" xfId="19616" xr:uid="{00000000-0005-0000-0000-00009A4C0000}"/>
    <cellStyle name="Normal 22 3 3 2 4 2 2" xfId="19617" xr:uid="{00000000-0005-0000-0000-00009B4C0000}"/>
    <cellStyle name="Normal 22 3 3 2 4 2 3" xfId="19618" xr:uid="{00000000-0005-0000-0000-00009C4C0000}"/>
    <cellStyle name="Normal 22 3 3 2 4 2 4" xfId="19619" xr:uid="{00000000-0005-0000-0000-00009D4C0000}"/>
    <cellStyle name="Normal 22 3 3 2 4 2 5" xfId="19620" xr:uid="{00000000-0005-0000-0000-00009E4C0000}"/>
    <cellStyle name="Normal 22 3 3 2 4 2 6" xfId="19621" xr:uid="{00000000-0005-0000-0000-00009F4C0000}"/>
    <cellStyle name="Normal 22 3 3 2 4 3" xfId="19622" xr:uid="{00000000-0005-0000-0000-0000A04C0000}"/>
    <cellStyle name="Normal 22 3 3 2 4 3 2" xfId="19623" xr:uid="{00000000-0005-0000-0000-0000A14C0000}"/>
    <cellStyle name="Normal 22 3 3 2 4 3 3" xfId="19624" xr:uid="{00000000-0005-0000-0000-0000A24C0000}"/>
    <cellStyle name="Normal 22 3 3 2 4 3 4" xfId="19625" xr:uid="{00000000-0005-0000-0000-0000A34C0000}"/>
    <cellStyle name="Normal 22 3 3 2 4 3 5" xfId="19626" xr:uid="{00000000-0005-0000-0000-0000A44C0000}"/>
    <cellStyle name="Normal 22 3 3 2 4 3 6" xfId="19627" xr:uid="{00000000-0005-0000-0000-0000A54C0000}"/>
    <cellStyle name="Normal 22 3 3 2 4 4" xfId="19628" xr:uid="{00000000-0005-0000-0000-0000A64C0000}"/>
    <cellStyle name="Normal 22 3 3 2 4 5" xfId="19629" xr:uid="{00000000-0005-0000-0000-0000A74C0000}"/>
    <cellStyle name="Normal 22 3 3 2 4 6" xfId="19630" xr:uid="{00000000-0005-0000-0000-0000A84C0000}"/>
    <cellStyle name="Normal 22 3 3 2 4 7" xfId="19631" xr:uid="{00000000-0005-0000-0000-0000A94C0000}"/>
    <cellStyle name="Normal 22 3 3 2 4 8" xfId="19632" xr:uid="{00000000-0005-0000-0000-0000AA4C0000}"/>
    <cellStyle name="Normal 22 3 3 2 5" xfId="19633" xr:uid="{00000000-0005-0000-0000-0000AB4C0000}"/>
    <cellStyle name="Normal 22 3 3 2 5 2" xfId="19634" xr:uid="{00000000-0005-0000-0000-0000AC4C0000}"/>
    <cellStyle name="Normal 22 3 3 2 5 3" xfId="19635" xr:uid="{00000000-0005-0000-0000-0000AD4C0000}"/>
    <cellStyle name="Normal 22 3 3 2 5 4" xfId="19636" xr:uid="{00000000-0005-0000-0000-0000AE4C0000}"/>
    <cellStyle name="Normal 22 3 3 2 5 5" xfId="19637" xr:uid="{00000000-0005-0000-0000-0000AF4C0000}"/>
    <cellStyle name="Normal 22 3 3 2 5 6" xfId="19638" xr:uid="{00000000-0005-0000-0000-0000B04C0000}"/>
    <cellStyle name="Normal 22 3 3 2 6" xfId="19639" xr:uid="{00000000-0005-0000-0000-0000B14C0000}"/>
    <cellStyle name="Normal 22 3 3 2 6 2" xfId="19640" xr:uid="{00000000-0005-0000-0000-0000B24C0000}"/>
    <cellStyle name="Normal 22 3 3 2 6 3" xfId="19641" xr:uid="{00000000-0005-0000-0000-0000B34C0000}"/>
    <cellStyle name="Normal 22 3 3 2 6 4" xfId="19642" xr:uid="{00000000-0005-0000-0000-0000B44C0000}"/>
    <cellStyle name="Normal 22 3 3 2 6 5" xfId="19643" xr:uid="{00000000-0005-0000-0000-0000B54C0000}"/>
    <cellStyle name="Normal 22 3 3 2 6 6" xfId="19644" xr:uid="{00000000-0005-0000-0000-0000B64C0000}"/>
    <cellStyle name="Normal 22 3 3 2 7" xfId="19645" xr:uid="{00000000-0005-0000-0000-0000B74C0000}"/>
    <cellStyle name="Normal 22 3 3 2 8" xfId="19646" xr:uid="{00000000-0005-0000-0000-0000B84C0000}"/>
    <cellStyle name="Normal 22 3 3 2 9" xfId="19647" xr:uid="{00000000-0005-0000-0000-0000B94C0000}"/>
    <cellStyle name="Normal 22 3 3 3" xfId="19648" xr:uid="{00000000-0005-0000-0000-0000BA4C0000}"/>
    <cellStyle name="Normal 22 3 3 3 2" xfId="19649" xr:uid="{00000000-0005-0000-0000-0000BB4C0000}"/>
    <cellStyle name="Normal 22 3 3 3 2 2" xfId="19650" xr:uid="{00000000-0005-0000-0000-0000BC4C0000}"/>
    <cellStyle name="Normal 22 3 3 3 2 3" xfId="19651" xr:uid="{00000000-0005-0000-0000-0000BD4C0000}"/>
    <cellStyle name="Normal 22 3 3 3 2 4" xfId="19652" xr:uid="{00000000-0005-0000-0000-0000BE4C0000}"/>
    <cellStyle name="Normal 22 3 3 3 2 5" xfId="19653" xr:uid="{00000000-0005-0000-0000-0000BF4C0000}"/>
    <cellStyle name="Normal 22 3 3 3 2 6" xfId="19654" xr:uid="{00000000-0005-0000-0000-0000C04C0000}"/>
    <cellStyle name="Normal 22 3 3 3 3" xfId="19655" xr:uid="{00000000-0005-0000-0000-0000C14C0000}"/>
    <cellStyle name="Normal 22 3 3 3 3 2" xfId="19656" xr:uid="{00000000-0005-0000-0000-0000C24C0000}"/>
    <cellStyle name="Normal 22 3 3 3 3 3" xfId="19657" xr:uid="{00000000-0005-0000-0000-0000C34C0000}"/>
    <cellStyle name="Normal 22 3 3 3 3 4" xfId="19658" xr:uid="{00000000-0005-0000-0000-0000C44C0000}"/>
    <cellStyle name="Normal 22 3 3 3 3 5" xfId="19659" xr:uid="{00000000-0005-0000-0000-0000C54C0000}"/>
    <cellStyle name="Normal 22 3 3 3 3 6" xfId="19660" xr:uid="{00000000-0005-0000-0000-0000C64C0000}"/>
    <cellStyle name="Normal 22 3 3 3 4" xfId="19661" xr:uid="{00000000-0005-0000-0000-0000C74C0000}"/>
    <cellStyle name="Normal 22 3 3 3 5" xfId="19662" xr:uid="{00000000-0005-0000-0000-0000C84C0000}"/>
    <cellStyle name="Normal 22 3 3 3 6" xfId="19663" xr:uid="{00000000-0005-0000-0000-0000C94C0000}"/>
    <cellStyle name="Normal 22 3 3 3 7" xfId="19664" xr:uid="{00000000-0005-0000-0000-0000CA4C0000}"/>
    <cellStyle name="Normal 22 3 3 3 8" xfId="19665" xr:uid="{00000000-0005-0000-0000-0000CB4C0000}"/>
    <cellStyle name="Normal 22 3 3 4" xfId="19666" xr:uid="{00000000-0005-0000-0000-0000CC4C0000}"/>
    <cellStyle name="Normal 22 3 3 4 2" xfId="19667" xr:uid="{00000000-0005-0000-0000-0000CD4C0000}"/>
    <cellStyle name="Normal 22 3 3 4 2 2" xfId="19668" xr:uid="{00000000-0005-0000-0000-0000CE4C0000}"/>
    <cellStyle name="Normal 22 3 3 4 2 3" xfId="19669" xr:uid="{00000000-0005-0000-0000-0000CF4C0000}"/>
    <cellStyle name="Normal 22 3 3 4 2 4" xfId="19670" xr:uid="{00000000-0005-0000-0000-0000D04C0000}"/>
    <cellStyle name="Normal 22 3 3 4 2 5" xfId="19671" xr:uid="{00000000-0005-0000-0000-0000D14C0000}"/>
    <cellStyle name="Normal 22 3 3 4 2 6" xfId="19672" xr:uid="{00000000-0005-0000-0000-0000D24C0000}"/>
    <cellStyle name="Normal 22 3 3 4 3" xfId="19673" xr:uid="{00000000-0005-0000-0000-0000D34C0000}"/>
    <cellStyle name="Normal 22 3 3 4 3 2" xfId="19674" xr:uid="{00000000-0005-0000-0000-0000D44C0000}"/>
    <cellStyle name="Normal 22 3 3 4 3 3" xfId="19675" xr:uid="{00000000-0005-0000-0000-0000D54C0000}"/>
    <cellStyle name="Normal 22 3 3 4 3 4" xfId="19676" xr:uid="{00000000-0005-0000-0000-0000D64C0000}"/>
    <cellStyle name="Normal 22 3 3 4 3 5" xfId="19677" xr:uid="{00000000-0005-0000-0000-0000D74C0000}"/>
    <cellStyle name="Normal 22 3 3 4 3 6" xfId="19678" xr:uid="{00000000-0005-0000-0000-0000D84C0000}"/>
    <cellStyle name="Normal 22 3 3 4 4" xfId="19679" xr:uid="{00000000-0005-0000-0000-0000D94C0000}"/>
    <cellStyle name="Normal 22 3 3 4 5" xfId="19680" xr:uid="{00000000-0005-0000-0000-0000DA4C0000}"/>
    <cellStyle name="Normal 22 3 3 4 6" xfId="19681" xr:uid="{00000000-0005-0000-0000-0000DB4C0000}"/>
    <cellStyle name="Normal 22 3 3 4 7" xfId="19682" xr:uid="{00000000-0005-0000-0000-0000DC4C0000}"/>
    <cellStyle name="Normal 22 3 3 4 8" xfId="19683" xr:uid="{00000000-0005-0000-0000-0000DD4C0000}"/>
    <cellStyle name="Normal 22 3 3 5" xfId="19684" xr:uid="{00000000-0005-0000-0000-0000DE4C0000}"/>
    <cellStyle name="Normal 22 3 3 5 2" xfId="19685" xr:uid="{00000000-0005-0000-0000-0000DF4C0000}"/>
    <cellStyle name="Normal 22 3 3 5 2 2" xfId="19686" xr:uid="{00000000-0005-0000-0000-0000E04C0000}"/>
    <cellStyle name="Normal 22 3 3 5 2 3" xfId="19687" xr:uid="{00000000-0005-0000-0000-0000E14C0000}"/>
    <cellStyle name="Normal 22 3 3 5 2 4" xfId="19688" xr:uid="{00000000-0005-0000-0000-0000E24C0000}"/>
    <cellStyle name="Normal 22 3 3 5 2 5" xfId="19689" xr:uid="{00000000-0005-0000-0000-0000E34C0000}"/>
    <cellStyle name="Normal 22 3 3 5 2 6" xfId="19690" xr:uid="{00000000-0005-0000-0000-0000E44C0000}"/>
    <cellStyle name="Normal 22 3 3 5 3" xfId="19691" xr:uid="{00000000-0005-0000-0000-0000E54C0000}"/>
    <cellStyle name="Normal 22 3 3 5 3 2" xfId="19692" xr:uid="{00000000-0005-0000-0000-0000E64C0000}"/>
    <cellStyle name="Normal 22 3 3 5 3 3" xfId="19693" xr:uid="{00000000-0005-0000-0000-0000E74C0000}"/>
    <cellStyle name="Normal 22 3 3 5 3 4" xfId="19694" xr:uid="{00000000-0005-0000-0000-0000E84C0000}"/>
    <cellStyle name="Normal 22 3 3 5 3 5" xfId="19695" xr:uid="{00000000-0005-0000-0000-0000E94C0000}"/>
    <cellStyle name="Normal 22 3 3 5 3 6" xfId="19696" xr:uid="{00000000-0005-0000-0000-0000EA4C0000}"/>
    <cellStyle name="Normal 22 3 3 5 4" xfId="19697" xr:uid="{00000000-0005-0000-0000-0000EB4C0000}"/>
    <cellStyle name="Normal 22 3 3 5 5" xfId="19698" xr:uid="{00000000-0005-0000-0000-0000EC4C0000}"/>
    <cellStyle name="Normal 22 3 3 5 6" xfId="19699" xr:uid="{00000000-0005-0000-0000-0000ED4C0000}"/>
    <cellStyle name="Normal 22 3 3 5 7" xfId="19700" xr:uid="{00000000-0005-0000-0000-0000EE4C0000}"/>
    <cellStyle name="Normal 22 3 3 5 8" xfId="19701" xr:uid="{00000000-0005-0000-0000-0000EF4C0000}"/>
    <cellStyle name="Normal 22 3 3 6" xfId="19702" xr:uid="{00000000-0005-0000-0000-0000F04C0000}"/>
    <cellStyle name="Normal 22 3 3 6 2" xfId="19703" xr:uid="{00000000-0005-0000-0000-0000F14C0000}"/>
    <cellStyle name="Normal 22 3 3 6 3" xfId="19704" xr:uid="{00000000-0005-0000-0000-0000F24C0000}"/>
    <cellStyle name="Normal 22 3 3 6 4" xfId="19705" xr:uid="{00000000-0005-0000-0000-0000F34C0000}"/>
    <cellStyle name="Normal 22 3 3 6 5" xfId="19706" xr:uid="{00000000-0005-0000-0000-0000F44C0000}"/>
    <cellStyle name="Normal 22 3 3 6 6" xfId="19707" xr:uid="{00000000-0005-0000-0000-0000F54C0000}"/>
    <cellStyle name="Normal 22 3 3 7" xfId="19708" xr:uid="{00000000-0005-0000-0000-0000F64C0000}"/>
    <cellStyle name="Normal 22 3 3 7 2" xfId="19709" xr:uid="{00000000-0005-0000-0000-0000F74C0000}"/>
    <cellStyle name="Normal 22 3 3 7 3" xfId="19710" xr:uid="{00000000-0005-0000-0000-0000F84C0000}"/>
    <cellStyle name="Normal 22 3 3 7 4" xfId="19711" xr:uid="{00000000-0005-0000-0000-0000F94C0000}"/>
    <cellStyle name="Normal 22 3 3 7 5" xfId="19712" xr:uid="{00000000-0005-0000-0000-0000FA4C0000}"/>
    <cellStyle name="Normal 22 3 3 7 6" xfId="19713" xr:uid="{00000000-0005-0000-0000-0000FB4C0000}"/>
    <cellStyle name="Normal 22 3 3 8" xfId="19714" xr:uid="{00000000-0005-0000-0000-0000FC4C0000}"/>
    <cellStyle name="Normal 22 3 3 9" xfId="19715" xr:uid="{00000000-0005-0000-0000-0000FD4C0000}"/>
    <cellStyle name="Normal 22 3 4" xfId="19716" xr:uid="{00000000-0005-0000-0000-0000FE4C0000}"/>
    <cellStyle name="Normal 22 3 4 10" xfId="19717" xr:uid="{00000000-0005-0000-0000-0000FF4C0000}"/>
    <cellStyle name="Normal 22 3 4 11" xfId="19718" xr:uid="{00000000-0005-0000-0000-0000004D0000}"/>
    <cellStyle name="Normal 22 3 4 12" xfId="19719" xr:uid="{00000000-0005-0000-0000-0000014D0000}"/>
    <cellStyle name="Normal 22 3 4 2" xfId="19720" xr:uid="{00000000-0005-0000-0000-0000024D0000}"/>
    <cellStyle name="Normal 22 3 4 2 10" xfId="19721" xr:uid="{00000000-0005-0000-0000-0000034D0000}"/>
    <cellStyle name="Normal 22 3 4 2 11" xfId="19722" xr:uid="{00000000-0005-0000-0000-0000044D0000}"/>
    <cellStyle name="Normal 22 3 4 2 2" xfId="19723" xr:uid="{00000000-0005-0000-0000-0000054D0000}"/>
    <cellStyle name="Normal 22 3 4 2 2 2" xfId="19724" xr:uid="{00000000-0005-0000-0000-0000064D0000}"/>
    <cellStyle name="Normal 22 3 4 2 2 2 2" xfId="19725" xr:uid="{00000000-0005-0000-0000-0000074D0000}"/>
    <cellStyle name="Normal 22 3 4 2 2 2 3" xfId="19726" xr:uid="{00000000-0005-0000-0000-0000084D0000}"/>
    <cellStyle name="Normal 22 3 4 2 2 2 4" xfId="19727" xr:uid="{00000000-0005-0000-0000-0000094D0000}"/>
    <cellStyle name="Normal 22 3 4 2 2 2 5" xfId="19728" xr:uid="{00000000-0005-0000-0000-00000A4D0000}"/>
    <cellStyle name="Normal 22 3 4 2 2 2 6" xfId="19729" xr:uid="{00000000-0005-0000-0000-00000B4D0000}"/>
    <cellStyle name="Normal 22 3 4 2 2 3" xfId="19730" xr:uid="{00000000-0005-0000-0000-00000C4D0000}"/>
    <cellStyle name="Normal 22 3 4 2 2 3 2" xfId="19731" xr:uid="{00000000-0005-0000-0000-00000D4D0000}"/>
    <cellStyle name="Normal 22 3 4 2 2 3 3" xfId="19732" xr:uid="{00000000-0005-0000-0000-00000E4D0000}"/>
    <cellStyle name="Normal 22 3 4 2 2 3 4" xfId="19733" xr:uid="{00000000-0005-0000-0000-00000F4D0000}"/>
    <cellStyle name="Normal 22 3 4 2 2 3 5" xfId="19734" xr:uid="{00000000-0005-0000-0000-0000104D0000}"/>
    <cellStyle name="Normal 22 3 4 2 2 3 6" xfId="19735" xr:uid="{00000000-0005-0000-0000-0000114D0000}"/>
    <cellStyle name="Normal 22 3 4 2 2 4" xfId="19736" xr:uid="{00000000-0005-0000-0000-0000124D0000}"/>
    <cellStyle name="Normal 22 3 4 2 2 5" xfId="19737" xr:uid="{00000000-0005-0000-0000-0000134D0000}"/>
    <cellStyle name="Normal 22 3 4 2 2 6" xfId="19738" xr:uid="{00000000-0005-0000-0000-0000144D0000}"/>
    <cellStyle name="Normal 22 3 4 2 2 7" xfId="19739" xr:uid="{00000000-0005-0000-0000-0000154D0000}"/>
    <cellStyle name="Normal 22 3 4 2 2 8" xfId="19740" xr:uid="{00000000-0005-0000-0000-0000164D0000}"/>
    <cellStyle name="Normal 22 3 4 2 3" xfId="19741" xr:uid="{00000000-0005-0000-0000-0000174D0000}"/>
    <cellStyle name="Normal 22 3 4 2 3 2" xfId="19742" xr:uid="{00000000-0005-0000-0000-0000184D0000}"/>
    <cellStyle name="Normal 22 3 4 2 3 2 2" xfId="19743" xr:uid="{00000000-0005-0000-0000-0000194D0000}"/>
    <cellStyle name="Normal 22 3 4 2 3 2 3" xfId="19744" xr:uid="{00000000-0005-0000-0000-00001A4D0000}"/>
    <cellStyle name="Normal 22 3 4 2 3 2 4" xfId="19745" xr:uid="{00000000-0005-0000-0000-00001B4D0000}"/>
    <cellStyle name="Normal 22 3 4 2 3 2 5" xfId="19746" xr:uid="{00000000-0005-0000-0000-00001C4D0000}"/>
    <cellStyle name="Normal 22 3 4 2 3 2 6" xfId="19747" xr:uid="{00000000-0005-0000-0000-00001D4D0000}"/>
    <cellStyle name="Normal 22 3 4 2 3 3" xfId="19748" xr:uid="{00000000-0005-0000-0000-00001E4D0000}"/>
    <cellStyle name="Normal 22 3 4 2 3 3 2" xfId="19749" xr:uid="{00000000-0005-0000-0000-00001F4D0000}"/>
    <cellStyle name="Normal 22 3 4 2 3 3 3" xfId="19750" xr:uid="{00000000-0005-0000-0000-0000204D0000}"/>
    <cellStyle name="Normal 22 3 4 2 3 3 4" xfId="19751" xr:uid="{00000000-0005-0000-0000-0000214D0000}"/>
    <cellStyle name="Normal 22 3 4 2 3 3 5" xfId="19752" xr:uid="{00000000-0005-0000-0000-0000224D0000}"/>
    <cellStyle name="Normal 22 3 4 2 3 3 6" xfId="19753" xr:uid="{00000000-0005-0000-0000-0000234D0000}"/>
    <cellStyle name="Normal 22 3 4 2 3 4" xfId="19754" xr:uid="{00000000-0005-0000-0000-0000244D0000}"/>
    <cellStyle name="Normal 22 3 4 2 3 5" xfId="19755" xr:uid="{00000000-0005-0000-0000-0000254D0000}"/>
    <cellStyle name="Normal 22 3 4 2 3 6" xfId="19756" xr:uid="{00000000-0005-0000-0000-0000264D0000}"/>
    <cellStyle name="Normal 22 3 4 2 3 7" xfId="19757" xr:uid="{00000000-0005-0000-0000-0000274D0000}"/>
    <cellStyle name="Normal 22 3 4 2 3 8" xfId="19758" xr:uid="{00000000-0005-0000-0000-0000284D0000}"/>
    <cellStyle name="Normal 22 3 4 2 4" xfId="19759" xr:uid="{00000000-0005-0000-0000-0000294D0000}"/>
    <cellStyle name="Normal 22 3 4 2 4 2" xfId="19760" xr:uid="{00000000-0005-0000-0000-00002A4D0000}"/>
    <cellStyle name="Normal 22 3 4 2 4 2 2" xfId="19761" xr:uid="{00000000-0005-0000-0000-00002B4D0000}"/>
    <cellStyle name="Normal 22 3 4 2 4 2 3" xfId="19762" xr:uid="{00000000-0005-0000-0000-00002C4D0000}"/>
    <cellStyle name="Normal 22 3 4 2 4 2 4" xfId="19763" xr:uid="{00000000-0005-0000-0000-00002D4D0000}"/>
    <cellStyle name="Normal 22 3 4 2 4 2 5" xfId="19764" xr:uid="{00000000-0005-0000-0000-00002E4D0000}"/>
    <cellStyle name="Normal 22 3 4 2 4 2 6" xfId="19765" xr:uid="{00000000-0005-0000-0000-00002F4D0000}"/>
    <cellStyle name="Normal 22 3 4 2 4 3" xfId="19766" xr:uid="{00000000-0005-0000-0000-0000304D0000}"/>
    <cellStyle name="Normal 22 3 4 2 4 3 2" xfId="19767" xr:uid="{00000000-0005-0000-0000-0000314D0000}"/>
    <cellStyle name="Normal 22 3 4 2 4 3 3" xfId="19768" xr:uid="{00000000-0005-0000-0000-0000324D0000}"/>
    <cellStyle name="Normal 22 3 4 2 4 3 4" xfId="19769" xr:uid="{00000000-0005-0000-0000-0000334D0000}"/>
    <cellStyle name="Normal 22 3 4 2 4 3 5" xfId="19770" xr:uid="{00000000-0005-0000-0000-0000344D0000}"/>
    <cellStyle name="Normal 22 3 4 2 4 3 6" xfId="19771" xr:uid="{00000000-0005-0000-0000-0000354D0000}"/>
    <cellStyle name="Normal 22 3 4 2 4 4" xfId="19772" xr:uid="{00000000-0005-0000-0000-0000364D0000}"/>
    <cellStyle name="Normal 22 3 4 2 4 5" xfId="19773" xr:uid="{00000000-0005-0000-0000-0000374D0000}"/>
    <cellStyle name="Normal 22 3 4 2 4 6" xfId="19774" xr:uid="{00000000-0005-0000-0000-0000384D0000}"/>
    <cellStyle name="Normal 22 3 4 2 4 7" xfId="19775" xr:uid="{00000000-0005-0000-0000-0000394D0000}"/>
    <cellStyle name="Normal 22 3 4 2 4 8" xfId="19776" xr:uid="{00000000-0005-0000-0000-00003A4D0000}"/>
    <cellStyle name="Normal 22 3 4 2 5" xfId="19777" xr:uid="{00000000-0005-0000-0000-00003B4D0000}"/>
    <cellStyle name="Normal 22 3 4 2 5 2" xfId="19778" xr:uid="{00000000-0005-0000-0000-00003C4D0000}"/>
    <cellStyle name="Normal 22 3 4 2 5 3" xfId="19779" xr:uid="{00000000-0005-0000-0000-00003D4D0000}"/>
    <cellStyle name="Normal 22 3 4 2 5 4" xfId="19780" xr:uid="{00000000-0005-0000-0000-00003E4D0000}"/>
    <cellStyle name="Normal 22 3 4 2 5 5" xfId="19781" xr:uid="{00000000-0005-0000-0000-00003F4D0000}"/>
    <cellStyle name="Normal 22 3 4 2 5 6" xfId="19782" xr:uid="{00000000-0005-0000-0000-0000404D0000}"/>
    <cellStyle name="Normal 22 3 4 2 6" xfId="19783" xr:uid="{00000000-0005-0000-0000-0000414D0000}"/>
    <cellStyle name="Normal 22 3 4 2 6 2" xfId="19784" xr:uid="{00000000-0005-0000-0000-0000424D0000}"/>
    <cellStyle name="Normal 22 3 4 2 6 3" xfId="19785" xr:uid="{00000000-0005-0000-0000-0000434D0000}"/>
    <cellStyle name="Normal 22 3 4 2 6 4" xfId="19786" xr:uid="{00000000-0005-0000-0000-0000444D0000}"/>
    <cellStyle name="Normal 22 3 4 2 6 5" xfId="19787" xr:uid="{00000000-0005-0000-0000-0000454D0000}"/>
    <cellStyle name="Normal 22 3 4 2 6 6" xfId="19788" xr:uid="{00000000-0005-0000-0000-0000464D0000}"/>
    <cellStyle name="Normal 22 3 4 2 7" xfId="19789" xr:uid="{00000000-0005-0000-0000-0000474D0000}"/>
    <cellStyle name="Normal 22 3 4 2 8" xfId="19790" xr:uid="{00000000-0005-0000-0000-0000484D0000}"/>
    <cellStyle name="Normal 22 3 4 2 9" xfId="19791" xr:uid="{00000000-0005-0000-0000-0000494D0000}"/>
    <cellStyle name="Normal 22 3 4 3" xfId="19792" xr:uid="{00000000-0005-0000-0000-00004A4D0000}"/>
    <cellStyle name="Normal 22 3 4 3 2" xfId="19793" xr:uid="{00000000-0005-0000-0000-00004B4D0000}"/>
    <cellStyle name="Normal 22 3 4 3 2 2" xfId="19794" xr:uid="{00000000-0005-0000-0000-00004C4D0000}"/>
    <cellStyle name="Normal 22 3 4 3 2 3" xfId="19795" xr:uid="{00000000-0005-0000-0000-00004D4D0000}"/>
    <cellStyle name="Normal 22 3 4 3 2 4" xfId="19796" xr:uid="{00000000-0005-0000-0000-00004E4D0000}"/>
    <cellStyle name="Normal 22 3 4 3 2 5" xfId="19797" xr:uid="{00000000-0005-0000-0000-00004F4D0000}"/>
    <cellStyle name="Normal 22 3 4 3 2 6" xfId="19798" xr:uid="{00000000-0005-0000-0000-0000504D0000}"/>
    <cellStyle name="Normal 22 3 4 3 3" xfId="19799" xr:uid="{00000000-0005-0000-0000-0000514D0000}"/>
    <cellStyle name="Normal 22 3 4 3 3 2" xfId="19800" xr:uid="{00000000-0005-0000-0000-0000524D0000}"/>
    <cellStyle name="Normal 22 3 4 3 3 3" xfId="19801" xr:uid="{00000000-0005-0000-0000-0000534D0000}"/>
    <cellStyle name="Normal 22 3 4 3 3 4" xfId="19802" xr:uid="{00000000-0005-0000-0000-0000544D0000}"/>
    <cellStyle name="Normal 22 3 4 3 3 5" xfId="19803" xr:uid="{00000000-0005-0000-0000-0000554D0000}"/>
    <cellStyle name="Normal 22 3 4 3 3 6" xfId="19804" xr:uid="{00000000-0005-0000-0000-0000564D0000}"/>
    <cellStyle name="Normal 22 3 4 3 4" xfId="19805" xr:uid="{00000000-0005-0000-0000-0000574D0000}"/>
    <cellStyle name="Normal 22 3 4 3 5" xfId="19806" xr:uid="{00000000-0005-0000-0000-0000584D0000}"/>
    <cellStyle name="Normal 22 3 4 3 6" xfId="19807" xr:uid="{00000000-0005-0000-0000-0000594D0000}"/>
    <cellStyle name="Normal 22 3 4 3 7" xfId="19808" xr:uid="{00000000-0005-0000-0000-00005A4D0000}"/>
    <cellStyle name="Normal 22 3 4 3 8" xfId="19809" xr:uid="{00000000-0005-0000-0000-00005B4D0000}"/>
    <cellStyle name="Normal 22 3 4 4" xfId="19810" xr:uid="{00000000-0005-0000-0000-00005C4D0000}"/>
    <cellStyle name="Normal 22 3 4 4 2" xfId="19811" xr:uid="{00000000-0005-0000-0000-00005D4D0000}"/>
    <cellStyle name="Normal 22 3 4 4 2 2" xfId="19812" xr:uid="{00000000-0005-0000-0000-00005E4D0000}"/>
    <cellStyle name="Normal 22 3 4 4 2 3" xfId="19813" xr:uid="{00000000-0005-0000-0000-00005F4D0000}"/>
    <cellStyle name="Normal 22 3 4 4 2 4" xfId="19814" xr:uid="{00000000-0005-0000-0000-0000604D0000}"/>
    <cellStyle name="Normal 22 3 4 4 2 5" xfId="19815" xr:uid="{00000000-0005-0000-0000-0000614D0000}"/>
    <cellStyle name="Normal 22 3 4 4 2 6" xfId="19816" xr:uid="{00000000-0005-0000-0000-0000624D0000}"/>
    <cellStyle name="Normal 22 3 4 4 3" xfId="19817" xr:uid="{00000000-0005-0000-0000-0000634D0000}"/>
    <cellStyle name="Normal 22 3 4 4 3 2" xfId="19818" xr:uid="{00000000-0005-0000-0000-0000644D0000}"/>
    <cellStyle name="Normal 22 3 4 4 3 3" xfId="19819" xr:uid="{00000000-0005-0000-0000-0000654D0000}"/>
    <cellStyle name="Normal 22 3 4 4 3 4" xfId="19820" xr:uid="{00000000-0005-0000-0000-0000664D0000}"/>
    <cellStyle name="Normal 22 3 4 4 3 5" xfId="19821" xr:uid="{00000000-0005-0000-0000-0000674D0000}"/>
    <cellStyle name="Normal 22 3 4 4 3 6" xfId="19822" xr:uid="{00000000-0005-0000-0000-0000684D0000}"/>
    <cellStyle name="Normal 22 3 4 4 4" xfId="19823" xr:uid="{00000000-0005-0000-0000-0000694D0000}"/>
    <cellStyle name="Normal 22 3 4 4 5" xfId="19824" xr:uid="{00000000-0005-0000-0000-00006A4D0000}"/>
    <cellStyle name="Normal 22 3 4 4 6" xfId="19825" xr:uid="{00000000-0005-0000-0000-00006B4D0000}"/>
    <cellStyle name="Normal 22 3 4 4 7" xfId="19826" xr:uid="{00000000-0005-0000-0000-00006C4D0000}"/>
    <cellStyle name="Normal 22 3 4 4 8" xfId="19827" xr:uid="{00000000-0005-0000-0000-00006D4D0000}"/>
    <cellStyle name="Normal 22 3 4 5" xfId="19828" xr:uid="{00000000-0005-0000-0000-00006E4D0000}"/>
    <cellStyle name="Normal 22 3 4 5 2" xfId="19829" xr:uid="{00000000-0005-0000-0000-00006F4D0000}"/>
    <cellStyle name="Normal 22 3 4 5 2 2" xfId="19830" xr:uid="{00000000-0005-0000-0000-0000704D0000}"/>
    <cellStyle name="Normal 22 3 4 5 2 3" xfId="19831" xr:uid="{00000000-0005-0000-0000-0000714D0000}"/>
    <cellStyle name="Normal 22 3 4 5 2 4" xfId="19832" xr:uid="{00000000-0005-0000-0000-0000724D0000}"/>
    <cellStyle name="Normal 22 3 4 5 2 5" xfId="19833" xr:uid="{00000000-0005-0000-0000-0000734D0000}"/>
    <cellStyle name="Normal 22 3 4 5 2 6" xfId="19834" xr:uid="{00000000-0005-0000-0000-0000744D0000}"/>
    <cellStyle name="Normal 22 3 4 5 3" xfId="19835" xr:uid="{00000000-0005-0000-0000-0000754D0000}"/>
    <cellStyle name="Normal 22 3 4 5 3 2" xfId="19836" xr:uid="{00000000-0005-0000-0000-0000764D0000}"/>
    <cellStyle name="Normal 22 3 4 5 3 3" xfId="19837" xr:uid="{00000000-0005-0000-0000-0000774D0000}"/>
    <cellStyle name="Normal 22 3 4 5 3 4" xfId="19838" xr:uid="{00000000-0005-0000-0000-0000784D0000}"/>
    <cellStyle name="Normal 22 3 4 5 3 5" xfId="19839" xr:uid="{00000000-0005-0000-0000-0000794D0000}"/>
    <cellStyle name="Normal 22 3 4 5 3 6" xfId="19840" xr:uid="{00000000-0005-0000-0000-00007A4D0000}"/>
    <cellStyle name="Normal 22 3 4 5 4" xfId="19841" xr:uid="{00000000-0005-0000-0000-00007B4D0000}"/>
    <cellStyle name="Normal 22 3 4 5 5" xfId="19842" xr:uid="{00000000-0005-0000-0000-00007C4D0000}"/>
    <cellStyle name="Normal 22 3 4 5 6" xfId="19843" xr:uid="{00000000-0005-0000-0000-00007D4D0000}"/>
    <cellStyle name="Normal 22 3 4 5 7" xfId="19844" xr:uid="{00000000-0005-0000-0000-00007E4D0000}"/>
    <cellStyle name="Normal 22 3 4 5 8" xfId="19845" xr:uid="{00000000-0005-0000-0000-00007F4D0000}"/>
    <cellStyle name="Normal 22 3 4 6" xfId="19846" xr:uid="{00000000-0005-0000-0000-0000804D0000}"/>
    <cellStyle name="Normal 22 3 4 6 2" xfId="19847" xr:uid="{00000000-0005-0000-0000-0000814D0000}"/>
    <cellStyle name="Normal 22 3 4 6 3" xfId="19848" xr:uid="{00000000-0005-0000-0000-0000824D0000}"/>
    <cellStyle name="Normal 22 3 4 6 4" xfId="19849" xr:uid="{00000000-0005-0000-0000-0000834D0000}"/>
    <cellStyle name="Normal 22 3 4 6 5" xfId="19850" xr:uid="{00000000-0005-0000-0000-0000844D0000}"/>
    <cellStyle name="Normal 22 3 4 6 6" xfId="19851" xr:uid="{00000000-0005-0000-0000-0000854D0000}"/>
    <cellStyle name="Normal 22 3 4 7" xfId="19852" xr:uid="{00000000-0005-0000-0000-0000864D0000}"/>
    <cellStyle name="Normal 22 3 4 7 2" xfId="19853" xr:uid="{00000000-0005-0000-0000-0000874D0000}"/>
    <cellStyle name="Normal 22 3 4 7 3" xfId="19854" xr:uid="{00000000-0005-0000-0000-0000884D0000}"/>
    <cellStyle name="Normal 22 3 4 7 4" xfId="19855" xr:uid="{00000000-0005-0000-0000-0000894D0000}"/>
    <cellStyle name="Normal 22 3 4 7 5" xfId="19856" xr:uid="{00000000-0005-0000-0000-00008A4D0000}"/>
    <cellStyle name="Normal 22 3 4 7 6" xfId="19857" xr:uid="{00000000-0005-0000-0000-00008B4D0000}"/>
    <cellStyle name="Normal 22 3 4 8" xfId="19858" xr:uid="{00000000-0005-0000-0000-00008C4D0000}"/>
    <cellStyle name="Normal 22 3 4 9" xfId="19859" xr:uid="{00000000-0005-0000-0000-00008D4D0000}"/>
    <cellStyle name="Normal 22 3 5" xfId="19860" xr:uid="{00000000-0005-0000-0000-00008E4D0000}"/>
    <cellStyle name="Normal 22 3 5 10" xfId="19861" xr:uid="{00000000-0005-0000-0000-00008F4D0000}"/>
    <cellStyle name="Normal 22 3 5 11" xfId="19862" xr:uid="{00000000-0005-0000-0000-0000904D0000}"/>
    <cellStyle name="Normal 22 3 5 2" xfId="19863" xr:uid="{00000000-0005-0000-0000-0000914D0000}"/>
    <cellStyle name="Normal 22 3 5 2 2" xfId="19864" xr:uid="{00000000-0005-0000-0000-0000924D0000}"/>
    <cellStyle name="Normal 22 3 5 2 2 2" xfId="19865" xr:uid="{00000000-0005-0000-0000-0000934D0000}"/>
    <cellStyle name="Normal 22 3 5 2 2 3" xfId="19866" xr:uid="{00000000-0005-0000-0000-0000944D0000}"/>
    <cellStyle name="Normal 22 3 5 2 2 4" xfId="19867" xr:uid="{00000000-0005-0000-0000-0000954D0000}"/>
    <cellStyle name="Normal 22 3 5 2 2 5" xfId="19868" xr:uid="{00000000-0005-0000-0000-0000964D0000}"/>
    <cellStyle name="Normal 22 3 5 2 2 6" xfId="19869" xr:uid="{00000000-0005-0000-0000-0000974D0000}"/>
    <cellStyle name="Normal 22 3 5 2 3" xfId="19870" xr:uid="{00000000-0005-0000-0000-0000984D0000}"/>
    <cellStyle name="Normal 22 3 5 2 3 2" xfId="19871" xr:uid="{00000000-0005-0000-0000-0000994D0000}"/>
    <cellStyle name="Normal 22 3 5 2 3 3" xfId="19872" xr:uid="{00000000-0005-0000-0000-00009A4D0000}"/>
    <cellStyle name="Normal 22 3 5 2 3 4" xfId="19873" xr:uid="{00000000-0005-0000-0000-00009B4D0000}"/>
    <cellStyle name="Normal 22 3 5 2 3 5" xfId="19874" xr:uid="{00000000-0005-0000-0000-00009C4D0000}"/>
    <cellStyle name="Normal 22 3 5 2 3 6" xfId="19875" xr:uid="{00000000-0005-0000-0000-00009D4D0000}"/>
    <cellStyle name="Normal 22 3 5 2 4" xfId="19876" xr:uid="{00000000-0005-0000-0000-00009E4D0000}"/>
    <cellStyle name="Normal 22 3 5 2 5" xfId="19877" xr:uid="{00000000-0005-0000-0000-00009F4D0000}"/>
    <cellStyle name="Normal 22 3 5 2 6" xfId="19878" xr:uid="{00000000-0005-0000-0000-0000A04D0000}"/>
    <cellStyle name="Normal 22 3 5 2 7" xfId="19879" xr:uid="{00000000-0005-0000-0000-0000A14D0000}"/>
    <cellStyle name="Normal 22 3 5 2 8" xfId="19880" xr:uid="{00000000-0005-0000-0000-0000A24D0000}"/>
    <cellStyle name="Normal 22 3 5 3" xfId="19881" xr:uid="{00000000-0005-0000-0000-0000A34D0000}"/>
    <cellStyle name="Normal 22 3 5 3 2" xfId="19882" xr:uid="{00000000-0005-0000-0000-0000A44D0000}"/>
    <cellStyle name="Normal 22 3 5 3 2 2" xfId="19883" xr:uid="{00000000-0005-0000-0000-0000A54D0000}"/>
    <cellStyle name="Normal 22 3 5 3 2 3" xfId="19884" xr:uid="{00000000-0005-0000-0000-0000A64D0000}"/>
    <cellStyle name="Normal 22 3 5 3 2 4" xfId="19885" xr:uid="{00000000-0005-0000-0000-0000A74D0000}"/>
    <cellStyle name="Normal 22 3 5 3 2 5" xfId="19886" xr:uid="{00000000-0005-0000-0000-0000A84D0000}"/>
    <cellStyle name="Normal 22 3 5 3 2 6" xfId="19887" xr:uid="{00000000-0005-0000-0000-0000A94D0000}"/>
    <cellStyle name="Normal 22 3 5 3 3" xfId="19888" xr:uid="{00000000-0005-0000-0000-0000AA4D0000}"/>
    <cellStyle name="Normal 22 3 5 3 3 2" xfId="19889" xr:uid="{00000000-0005-0000-0000-0000AB4D0000}"/>
    <cellStyle name="Normal 22 3 5 3 3 3" xfId="19890" xr:uid="{00000000-0005-0000-0000-0000AC4D0000}"/>
    <cellStyle name="Normal 22 3 5 3 3 4" xfId="19891" xr:uid="{00000000-0005-0000-0000-0000AD4D0000}"/>
    <cellStyle name="Normal 22 3 5 3 3 5" xfId="19892" xr:uid="{00000000-0005-0000-0000-0000AE4D0000}"/>
    <cellStyle name="Normal 22 3 5 3 3 6" xfId="19893" xr:uid="{00000000-0005-0000-0000-0000AF4D0000}"/>
    <cellStyle name="Normal 22 3 5 3 4" xfId="19894" xr:uid="{00000000-0005-0000-0000-0000B04D0000}"/>
    <cellStyle name="Normal 22 3 5 3 5" xfId="19895" xr:uid="{00000000-0005-0000-0000-0000B14D0000}"/>
    <cellStyle name="Normal 22 3 5 3 6" xfId="19896" xr:uid="{00000000-0005-0000-0000-0000B24D0000}"/>
    <cellStyle name="Normal 22 3 5 3 7" xfId="19897" xr:uid="{00000000-0005-0000-0000-0000B34D0000}"/>
    <cellStyle name="Normal 22 3 5 3 8" xfId="19898" xr:uid="{00000000-0005-0000-0000-0000B44D0000}"/>
    <cellStyle name="Normal 22 3 5 4" xfId="19899" xr:uid="{00000000-0005-0000-0000-0000B54D0000}"/>
    <cellStyle name="Normal 22 3 5 4 2" xfId="19900" xr:uid="{00000000-0005-0000-0000-0000B64D0000}"/>
    <cellStyle name="Normal 22 3 5 4 2 2" xfId="19901" xr:uid="{00000000-0005-0000-0000-0000B74D0000}"/>
    <cellStyle name="Normal 22 3 5 4 2 3" xfId="19902" xr:uid="{00000000-0005-0000-0000-0000B84D0000}"/>
    <cellStyle name="Normal 22 3 5 4 2 4" xfId="19903" xr:uid="{00000000-0005-0000-0000-0000B94D0000}"/>
    <cellStyle name="Normal 22 3 5 4 2 5" xfId="19904" xr:uid="{00000000-0005-0000-0000-0000BA4D0000}"/>
    <cellStyle name="Normal 22 3 5 4 2 6" xfId="19905" xr:uid="{00000000-0005-0000-0000-0000BB4D0000}"/>
    <cellStyle name="Normal 22 3 5 4 3" xfId="19906" xr:uid="{00000000-0005-0000-0000-0000BC4D0000}"/>
    <cellStyle name="Normal 22 3 5 4 3 2" xfId="19907" xr:uid="{00000000-0005-0000-0000-0000BD4D0000}"/>
    <cellStyle name="Normal 22 3 5 4 3 3" xfId="19908" xr:uid="{00000000-0005-0000-0000-0000BE4D0000}"/>
    <cellStyle name="Normal 22 3 5 4 3 4" xfId="19909" xr:uid="{00000000-0005-0000-0000-0000BF4D0000}"/>
    <cellStyle name="Normal 22 3 5 4 3 5" xfId="19910" xr:uid="{00000000-0005-0000-0000-0000C04D0000}"/>
    <cellStyle name="Normal 22 3 5 4 3 6" xfId="19911" xr:uid="{00000000-0005-0000-0000-0000C14D0000}"/>
    <cellStyle name="Normal 22 3 5 4 4" xfId="19912" xr:uid="{00000000-0005-0000-0000-0000C24D0000}"/>
    <cellStyle name="Normal 22 3 5 4 5" xfId="19913" xr:uid="{00000000-0005-0000-0000-0000C34D0000}"/>
    <cellStyle name="Normal 22 3 5 4 6" xfId="19914" xr:uid="{00000000-0005-0000-0000-0000C44D0000}"/>
    <cellStyle name="Normal 22 3 5 4 7" xfId="19915" xr:uid="{00000000-0005-0000-0000-0000C54D0000}"/>
    <cellStyle name="Normal 22 3 5 4 8" xfId="19916" xr:uid="{00000000-0005-0000-0000-0000C64D0000}"/>
    <cellStyle name="Normal 22 3 5 5" xfId="19917" xr:uid="{00000000-0005-0000-0000-0000C74D0000}"/>
    <cellStyle name="Normal 22 3 5 5 2" xfId="19918" xr:uid="{00000000-0005-0000-0000-0000C84D0000}"/>
    <cellStyle name="Normal 22 3 5 5 3" xfId="19919" xr:uid="{00000000-0005-0000-0000-0000C94D0000}"/>
    <cellStyle name="Normal 22 3 5 5 4" xfId="19920" xr:uid="{00000000-0005-0000-0000-0000CA4D0000}"/>
    <cellStyle name="Normal 22 3 5 5 5" xfId="19921" xr:uid="{00000000-0005-0000-0000-0000CB4D0000}"/>
    <cellStyle name="Normal 22 3 5 5 6" xfId="19922" xr:uid="{00000000-0005-0000-0000-0000CC4D0000}"/>
    <cellStyle name="Normal 22 3 5 6" xfId="19923" xr:uid="{00000000-0005-0000-0000-0000CD4D0000}"/>
    <cellStyle name="Normal 22 3 5 6 2" xfId="19924" xr:uid="{00000000-0005-0000-0000-0000CE4D0000}"/>
    <cellStyle name="Normal 22 3 5 6 3" xfId="19925" xr:uid="{00000000-0005-0000-0000-0000CF4D0000}"/>
    <cellStyle name="Normal 22 3 5 6 4" xfId="19926" xr:uid="{00000000-0005-0000-0000-0000D04D0000}"/>
    <cellStyle name="Normal 22 3 5 6 5" xfId="19927" xr:uid="{00000000-0005-0000-0000-0000D14D0000}"/>
    <cellStyle name="Normal 22 3 5 6 6" xfId="19928" xr:uid="{00000000-0005-0000-0000-0000D24D0000}"/>
    <cellStyle name="Normal 22 3 5 7" xfId="19929" xr:uid="{00000000-0005-0000-0000-0000D34D0000}"/>
    <cellStyle name="Normal 22 3 5 8" xfId="19930" xr:uid="{00000000-0005-0000-0000-0000D44D0000}"/>
    <cellStyle name="Normal 22 3 5 9" xfId="19931" xr:uid="{00000000-0005-0000-0000-0000D54D0000}"/>
    <cellStyle name="Normal 22 3 6" xfId="19932" xr:uid="{00000000-0005-0000-0000-0000D64D0000}"/>
    <cellStyle name="Normal 22 3 6 2" xfId="19933" xr:uid="{00000000-0005-0000-0000-0000D74D0000}"/>
    <cellStyle name="Normal 22 3 6 2 2" xfId="19934" xr:uid="{00000000-0005-0000-0000-0000D84D0000}"/>
    <cellStyle name="Normal 22 3 6 2 3" xfId="19935" xr:uid="{00000000-0005-0000-0000-0000D94D0000}"/>
    <cellStyle name="Normal 22 3 6 2 4" xfId="19936" xr:uid="{00000000-0005-0000-0000-0000DA4D0000}"/>
    <cellStyle name="Normal 22 3 6 2 5" xfId="19937" xr:uid="{00000000-0005-0000-0000-0000DB4D0000}"/>
    <cellStyle name="Normal 22 3 6 2 6" xfId="19938" xr:uid="{00000000-0005-0000-0000-0000DC4D0000}"/>
    <cellStyle name="Normal 22 3 6 3" xfId="19939" xr:uid="{00000000-0005-0000-0000-0000DD4D0000}"/>
    <cellStyle name="Normal 22 3 6 3 2" xfId="19940" xr:uid="{00000000-0005-0000-0000-0000DE4D0000}"/>
    <cellStyle name="Normal 22 3 6 3 3" xfId="19941" xr:uid="{00000000-0005-0000-0000-0000DF4D0000}"/>
    <cellStyle name="Normal 22 3 6 3 4" xfId="19942" xr:uid="{00000000-0005-0000-0000-0000E04D0000}"/>
    <cellStyle name="Normal 22 3 6 3 5" xfId="19943" xr:uid="{00000000-0005-0000-0000-0000E14D0000}"/>
    <cellStyle name="Normal 22 3 6 3 6" xfId="19944" xr:uid="{00000000-0005-0000-0000-0000E24D0000}"/>
    <cellStyle name="Normal 22 3 6 4" xfId="19945" xr:uid="{00000000-0005-0000-0000-0000E34D0000}"/>
    <cellStyle name="Normal 22 3 6 5" xfId="19946" xr:uid="{00000000-0005-0000-0000-0000E44D0000}"/>
    <cellStyle name="Normal 22 3 6 6" xfId="19947" xr:uid="{00000000-0005-0000-0000-0000E54D0000}"/>
    <cellStyle name="Normal 22 3 6 7" xfId="19948" xr:uid="{00000000-0005-0000-0000-0000E64D0000}"/>
    <cellStyle name="Normal 22 3 6 8" xfId="19949" xr:uid="{00000000-0005-0000-0000-0000E74D0000}"/>
    <cellStyle name="Normal 22 3 7" xfId="19950" xr:uid="{00000000-0005-0000-0000-0000E84D0000}"/>
    <cellStyle name="Normal 22 3 7 2" xfId="19951" xr:uid="{00000000-0005-0000-0000-0000E94D0000}"/>
    <cellStyle name="Normal 22 3 7 2 2" xfId="19952" xr:uid="{00000000-0005-0000-0000-0000EA4D0000}"/>
    <cellStyle name="Normal 22 3 7 2 3" xfId="19953" xr:uid="{00000000-0005-0000-0000-0000EB4D0000}"/>
    <cellStyle name="Normal 22 3 7 2 4" xfId="19954" xr:uid="{00000000-0005-0000-0000-0000EC4D0000}"/>
    <cellStyle name="Normal 22 3 7 2 5" xfId="19955" xr:uid="{00000000-0005-0000-0000-0000ED4D0000}"/>
    <cellStyle name="Normal 22 3 7 2 6" xfId="19956" xr:uid="{00000000-0005-0000-0000-0000EE4D0000}"/>
    <cellStyle name="Normal 22 3 7 3" xfId="19957" xr:uid="{00000000-0005-0000-0000-0000EF4D0000}"/>
    <cellStyle name="Normal 22 3 7 3 2" xfId="19958" xr:uid="{00000000-0005-0000-0000-0000F04D0000}"/>
    <cellStyle name="Normal 22 3 7 3 3" xfId="19959" xr:uid="{00000000-0005-0000-0000-0000F14D0000}"/>
    <cellStyle name="Normal 22 3 7 3 4" xfId="19960" xr:uid="{00000000-0005-0000-0000-0000F24D0000}"/>
    <cellStyle name="Normal 22 3 7 3 5" xfId="19961" xr:uid="{00000000-0005-0000-0000-0000F34D0000}"/>
    <cellStyle name="Normal 22 3 7 3 6" xfId="19962" xr:uid="{00000000-0005-0000-0000-0000F44D0000}"/>
    <cellStyle name="Normal 22 3 7 4" xfId="19963" xr:uid="{00000000-0005-0000-0000-0000F54D0000}"/>
    <cellStyle name="Normal 22 3 7 5" xfId="19964" xr:uid="{00000000-0005-0000-0000-0000F64D0000}"/>
    <cellStyle name="Normal 22 3 7 6" xfId="19965" xr:uid="{00000000-0005-0000-0000-0000F74D0000}"/>
    <cellStyle name="Normal 22 3 7 7" xfId="19966" xr:uid="{00000000-0005-0000-0000-0000F84D0000}"/>
    <cellStyle name="Normal 22 3 7 8" xfId="19967" xr:uid="{00000000-0005-0000-0000-0000F94D0000}"/>
    <cellStyle name="Normal 22 3 8" xfId="19968" xr:uid="{00000000-0005-0000-0000-0000FA4D0000}"/>
    <cellStyle name="Normal 22 3 8 2" xfId="19969" xr:uid="{00000000-0005-0000-0000-0000FB4D0000}"/>
    <cellStyle name="Normal 22 3 8 2 2" xfId="19970" xr:uid="{00000000-0005-0000-0000-0000FC4D0000}"/>
    <cellStyle name="Normal 22 3 8 2 3" xfId="19971" xr:uid="{00000000-0005-0000-0000-0000FD4D0000}"/>
    <cellStyle name="Normal 22 3 8 2 4" xfId="19972" xr:uid="{00000000-0005-0000-0000-0000FE4D0000}"/>
    <cellStyle name="Normal 22 3 8 2 5" xfId="19973" xr:uid="{00000000-0005-0000-0000-0000FF4D0000}"/>
    <cellStyle name="Normal 22 3 8 2 6" xfId="19974" xr:uid="{00000000-0005-0000-0000-0000004E0000}"/>
    <cellStyle name="Normal 22 3 8 3" xfId="19975" xr:uid="{00000000-0005-0000-0000-0000014E0000}"/>
    <cellStyle name="Normal 22 3 8 3 2" xfId="19976" xr:uid="{00000000-0005-0000-0000-0000024E0000}"/>
    <cellStyle name="Normal 22 3 8 3 3" xfId="19977" xr:uid="{00000000-0005-0000-0000-0000034E0000}"/>
    <cellStyle name="Normal 22 3 8 3 4" xfId="19978" xr:uid="{00000000-0005-0000-0000-0000044E0000}"/>
    <cellStyle name="Normal 22 3 8 3 5" xfId="19979" xr:uid="{00000000-0005-0000-0000-0000054E0000}"/>
    <cellStyle name="Normal 22 3 8 3 6" xfId="19980" xr:uid="{00000000-0005-0000-0000-0000064E0000}"/>
    <cellStyle name="Normal 22 3 8 4" xfId="19981" xr:uid="{00000000-0005-0000-0000-0000074E0000}"/>
    <cellStyle name="Normal 22 3 8 5" xfId="19982" xr:uid="{00000000-0005-0000-0000-0000084E0000}"/>
    <cellStyle name="Normal 22 3 8 6" xfId="19983" xr:uid="{00000000-0005-0000-0000-0000094E0000}"/>
    <cellStyle name="Normal 22 3 8 7" xfId="19984" xr:uid="{00000000-0005-0000-0000-00000A4E0000}"/>
    <cellStyle name="Normal 22 3 8 8" xfId="19985" xr:uid="{00000000-0005-0000-0000-00000B4E0000}"/>
    <cellStyle name="Normal 22 3 9" xfId="19986" xr:uid="{00000000-0005-0000-0000-00000C4E0000}"/>
    <cellStyle name="Normal 22 3 9 2" xfId="19987" xr:uid="{00000000-0005-0000-0000-00000D4E0000}"/>
    <cellStyle name="Normal 22 3 9 3" xfId="19988" xr:uid="{00000000-0005-0000-0000-00000E4E0000}"/>
    <cellStyle name="Normal 22 3 9 4" xfId="19989" xr:uid="{00000000-0005-0000-0000-00000F4E0000}"/>
    <cellStyle name="Normal 22 3 9 5" xfId="19990" xr:uid="{00000000-0005-0000-0000-0000104E0000}"/>
    <cellStyle name="Normal 22 3 9 6" xfId="19991" xr:uid="{00000000-0005-0000-0000-0000114E0000}"/>
    <cellStyle name="Normal 22 4" xfId="19992" xr:uid="{00000000-0005-0000-0000-0000124E0000}"/>
    <cellStyle name="Normal 22 4 10" xfId="19993" xr:uid="{00000000-0005-0000-0000-0000134E0000}"/>
    <cellStyle name="Normal 22 4 11" xfId="19994" xr:uid="{00000000-0005-0000-0000-0000144E0000}"/>
    <cellStyle name="Normal 22 4 12" xfId="19995" xr:uid="{00000000-0005-0000-0000-0000154E0000}"/>
    <cellStyle name="Normal 22 4 13" xfId="19996" xr:uid="{00000000-0005-0000-0000-0000164E0000}"/>
    <cellStyle name="Normal 22 4 14" xfId="19997" xr:uid="{00000000-0005-0000-0000-0000174E0000}"/>
    <cellStyle name="Normal 22 4 2" xfId="19998" xr:uid="{00000000-0005-0000-0000-0000184E0000}"/>
    <cellStyle name="Normal 22 4 2 10" xfId="19999" xr:uid="{00000000-0005-0000-0000-0000194E0000}"/>
    <cellStyle name="Normal 22 4 2 11" xfId="20000" xr:uid="{00000000-0005-0000-0000-00001A4E0000}"/>
    <cellStyle name="Normal 22 4 2 12" xfId="20001" xr:uid="{00000000-0005-0000-0000-00001B4E0000}"/>
    <cellStyle name="Normal 22 4 2 2" xfId="20002" xr:uid="{00000000-0005-0000-0000-00001C4E0000}"/>
    <cellStyle name="Normal 22 4 2 2 10" xfId="20003" xr:uid="{00000000-0005-0000-0000-00001D4E0000}"/>
    <cellStyle name="Normal 22 4 2 2 11" xfId="20004" xr:uid="{00000000-0005-0000-0000-00001E4E0000}"/>
    <cellStyle name="Normal 22 4 2 2 2" xfId="20005" xr:uid="{00000000-0005-0000-0000-00001F4E0000}"/>
    <cellStyle name="Normal 22 4 2 2 2 2" xfId="20006" xr:uid="{00000000-0005-0000-0000-0000204E0000}"/>
    <cellStyle name="Normal 22 4 2 2 2 2 2" xfId="20007" xr:uid="{00000000-0005-0000-0000-0000214E0000}"/>
    <cellStyle name="Normal 22 4 2 2 2 2 3" xfId="20008" xr:uid="{00000000-0005-0000-0000-0000224E0000}"/>
    <cellStyle name="Normal 22 4 2 2 2 2 4" xfId="20009" xr:uid="{00000000-0005-0000-0000-0000234E0000}"/>
    <cellStyle name="Normal 22 4 2 2 2 2 5" xfId="20010" xr:uid="{00000000-0005-0000-0000-0000244E0000}"/>
    <cellStyle name="Normal 22 4 2 2 2 2 6" xfId="20011" xr:uid="{00000000-0005-0000-0000-0000254E0000}"/>
    <cellStyle name="Normal 22 4 2 2 2 3" xfId="20012" xr:uid="{00000000-0005-0000-0000-0000264E0000}"/>
    <cellStyle name="Normal 22 4 2 2 2 3 2" xfId="20013" xr:uid="{00000000-0005-0000-0000-0000274E0000}"/>
    <cellStyle name="Normal 22 4 2 2 2 3 3" xfId="20014" xr:uid="{00000000-0005-0000-0000-0000284E0000}"/>
    <cellStyle name="Normal 22 4 2 2 2 3 4" xfId="20015" xr:uid="{00000000-0005-0000-0000-0000294E0000}"/>
    <cellStyle name="Normal 22 4 2 2 2 3 5" xfId="20016" xr:uid="{00000000-0005-0000-0000-00002A4E0000}"/>
    <cellStyle name="Normal 22 4 2 2 2 3 6" xfId="20017" xr:uid="{00000000-0005-0000-0000-00002B4E0000}"/>
    <cellStyle name="Normal 22 4 2 2 2 4" xfId="20018" xr:uid="{00000000-0005-0000-0000-00002C4E0000}"/>
    <cellStyle name="Normal 22 4 2 2 2 5" xfId="20019" xr:uid="{00000000-0005-0000-0000-00002D4E0000}"/>
    <cellStyle name="Normal 22 4 2 2 2 6" xfId="20020" xr:uid="{00000000-0005-0000-0000-00002E4E0000}"/>
    <cellStyle name="Normal 22 4 2 2 2 7" xfId="20021" xr:uid="{00000000-0005-0000-0000-00002F4E0000}"/>
    <cellStyle name="Normal 22 4 2 2 2 8" xfId="20022" xr:uid="{00000000-0005-0000-0000-0000304E0000}"/>
    <cellStyle name="Normal 22 4 2 2 3" xfId="20023" xr:uid="{00000000-0005-0000-0000-0000314E0000}"/>
    <cellStyle name="Normal 22 4 2 2 3 2" xfId="20024" xr:uid="{00000000-0005-0000-0000-0000324E0000}"/>
    <cellStyle name="Normal 22 4 2 2 3 2 2" xfId="20025" xr:uid="{00000000-0005-0000-0000-0000334E0000}"/>
    <cellStyle name="Normal 22 4 2 2 3 2 3" xfId="20026" xr:uid="{00000000-0005-0000-0000-0000344E0000}"/>
    <cellStyle name="Normal 22 4 2 2 3 2 4" xfId="20027" xr:uid="{00000000-0005-0000-0000-0000354E0000}"/>
    <cellStyle name="Normal 22 4 2 2 3 2 5" xfId="20028" xr:uid="{00000000-0005-0000-0000-0000364E0000}"/>
    <cellStyle name="Normal 22 4 2 2 3 2 6" xfId="20029" xr:uid="{00000000-0005-0000-0000-0000374E0000}"/>
    <cellStyle name="Normal 22 4 2 2 3 3" xfId="20030" xr:uid="{00000000-0005-0000-0000-0000384E0000}"/>
    <cellStyle name="Normal 22 4 2 2 3 3 2" xfId="20031" xr:uid="{00000000-0005-0000-0000-0000394E0000}"/>
    <cellStyle name="Normal 22 4 2 2 3 3 3" xfId="20032" xr:uid="{00000000-0005-0000-0000-00003A4E0000}"/>
    <cellStyle name="Normal 22 4 2 2 3 3 4" xfId="20033" xr:uid="{00000000-0005-0000-0000-00003B4E0000}"/>
    <cellStyle name="Normal 22 4 2 2 3 3 5" xfId="20034" xr:uid="{00000000-0005-0000-0000-00003C4E0000}"/>
    <cellStyle name="Normal 22 4 2 2 3 3 6" xfId="20035" xr:uid="{00000000-0005-0000-0000-00003D4E0000}"/>
    <cellStyle name="Normal 22 4 2 2 3 4" xfId="20036" xr:uid="{00000000-0005-0000-0000-00003E4E0000}"/>
    <cellStyle name="Normal 22 4 2 2 3 5" xfId="20037" xr:uid="{00000000-0005-0000-0000-00003F4E0000}"/>
    <cellStyle name="Normal 22 4 2 2 3 6" xfId="20038" xr:uid="{00000000-0005-0000-0000-0000404E0000}"/>
    <cellStyle name="Normal 22 4 2 2 3 7" xfId="20039" xr:uid="{00000000-0005-0000-0000-0000414E0000}"/>
    <cellStyle name="Normal 22 4 2 2 3 8" xfId="20040" xr:uid="{00000000-0005-0000-0000-0000424E0000}"/>
    <cellStyle name="Normal 22 4 2 2 4" xfId="20041" xr:uid="{00000000-0005-0000-0000-0000434E0000}"/>
    <cellStyle name="Normal 22 4 2 2 4 2" xfId="20042" xr:uid="{00000000-0005-0000-0000-0000444E0000}"/>
    <cellStyle name="Normal 22 4 2 2 4 2 2" xfId="20043" xr:uid="{00000000-0005-0000-0000-0000454E0000}"/>
    <cellStyle name="Normal 22 4 2 2 4 2 3" xfId="20044" xr:uid="{00000000-0005-0000-0000-0000464E0000}"/>
    <cellStyle name="Normal 22 4 2 2 4 2 4" xfId="20045" xr:uid="{00000000-0005-0000-0000-0000474E0000}"/>
    <cellStyle name="Normal 22 4 2 2 4 2 5" xfId="20046" xr:uid="{00000000-0005-0000-0000-0000484E0000}"/>
    <cellStyle name="Normal 22 4 2 2 4 2 6" xfId="20047" xr:uid="{00000000-0005-0000-0000-0000494E0000}"/>
    <cellStyle name="Normal 22 4 2 2 4 3" xfId="20048" xr:uid="{00000000-0005-0000-0000-00004A4E0000}"/>
    <cellStyle name="Normal 22 4 2 2 4 3 2" xfId="20049" xr:uid="{00000000-0005-0000-0000-00004B4E0000}"/>
    <cellStyle name="Normal 22 4 2 2 4 3 3" xfId="20050" xr:uid="{00000000-0005-0000-0000-00004C4E0000}"/>
    <cellStyle name="Normal 22 4 2 2 4 3 4" xfId="20051" xr:uid="{00000000-0005-0000-0000-00004D4E0000}"/>
    <cellStyle name="Normal 22 4 2 2 4 3 5" xfId="20052" xr:uid="{00000000-0005-0000-0000-00004E4E0000}"/>
    <cellStyle name="Normal 22 4 2 2 4 3 6" xfId="20053" xr:uid="{00000000-0005-0000-0000-00004F4E0000}"/>
    <cellStyle name="Normal 22 4 2 2 4 4" xfId="20054" xr:uid="{00000000-0005-0000-0000-0000504E0000}"/>
    <cellStyle name="Normal 22 4 2 2 4 5" xfId="20055" xr:uid="{00000000-0005-0000-0000-0000514E0000}"/>
    <cellStyle name="Normal 22 4 2 2 4 6" xfId="20056" xr:uid="{00000000-0005-0000-0000-0000524E0000}"/>
    <cellStyle name="Normal 22 4 2 2 4 7" xfId="20057" xr:uid="{00000000-0005-0000-0000-0000534E0000}"/>
    <cellStyle name="Normal 22 4 2 2 4 8" xfId="20058" xr:uid="{00000000-0005-0000-0000-0000544E0000}"/>
    <cellStyle name="Normal 22 4 2 2 5" xfId="20059" xr:uid="{00000000-0005-0000-0000-0000554E0000}"/>
    <cellStyle name="Normal 22 4 2 2 5 2" xfId="20060" xr:uid="{00000000-0005-0000-0000-0000564E0000}"/>
    <cellStyle name="Normal 22 4 2 2 5 3" xfId="20061" xr:uid="{00000000-0005-0000-0000-0000574E0000}"/>
    <cellStyle name="Normal 22 4 2 2 5 4" xfId="20062" xr:uid="{00000000-0005-0000-0000-0000584E0000}"/>
    <cellStyle name="Normal 22 4 2 2 5 5" xfId="20063" xr:uid="{00000000-0005-0000-0000-0000594E0000}"/>
    <cellStyle name="Normal 22 4 2 2 5 6" xfId="20064" xr:uid="{00000000-0005-0000-0000-00005A4E0000}"/>
    <cellStyle name="Normal 22 4 2 2 6" xfId="20065" xr:uid="{00000000-0005-0000-0000-00005B4E0000}"/>
    <cellStyle name="Normal 22 4 2 2 6 2" xfId="20066" xr:uid="{00000000-0005-0000-0000-00005C4E0000}"/>
    <cellStyle name="Normal 22 4 2 2 6 3" xfId="20067" xr:uid="{00000000-0005-0000-0000-00005D4E0000}"/>
    <cellStyle name="Normal 22 4 2 2 6 4" xfId="20068" xr:uid="{00000000-0005-0000-0000-00005E4E0000}"/>
    <cellStyle name="Normal 22 4 2 2 6 5" xfId="20069" xr:uid="{00000000-0005-0000-0000-00005F4E0000}"/>
    <cellStyle name="Normal 22 4 2 2 6 6" xfId="20070" xr:uid="{00000000-0005-0000-0000-0000604E0000}"/>
    <cellStyle name="Normal 22 4 2 2 7" xfId="20071" xr:uid="{00000000-0005-0000-0000-0000614E0000}"/>
    <cellStyle name="Normal 22 4 2 2 8" xfId="20072" xr:uid="{00000000-0005-0000-0000-0000624E0000}"/>
    <cellStyle name="Normal 22 4 2 2 9" xfId="20073" xr:uid="{00000000-0005-0000-0000-0000634E0000}"/>
    <cellStyle name="Normal 22 4 2 3" xfId="20074" xr:uid="{00000000-0005-0000-0000-0000644E0000}"/>
    <cellStyle name="Normal 22 4 2 3 2" xfId="20075" xr:uid="{00000000-0005-0000-0000-0000654E0000}"/>
    <cellStyle name="Normal 22 4 2 3 2 2" xfId="20076" xr:uid="{00000000-0005-0000-0000-0000664E0000}"/>
    <cellStyle name="Normal 22 4 2 3 2 3" xfId="20077" xr:uid="{00000000-0005-0000-0000-0000674E0000}"/>
    <cellStyle name="Normal 22 4 2 3 2 4" xfId="20078" xr:uid="{00000000-0005-0000-0000-0000684E0000}"/>
    <cellStyle name="Normal 22 4 2 3 2 5" xfId="20079" xr:uid="{00000000-0005-0000-0000-0000694E0000}"/>
    <cellStyle name="Normal 22 4 2 3 2 6" xfId="20080" xr:uid="{00000000-0005-0000-0000-00006A4E0000}"/>
    <cellStyle name="Normal 22 4 2 3 3" xfId="20081" xr:uid="{00000000-0005-0000-0000-00006B4E0000}"/>
    <cellStyle name="Normal 22 4 2 3 3 2" xfId="20082" xr:uid="{00000000-0005-0000-0000-00006C4E0000}"/>
    <cellStyle name="Normal 22 4 2 3 3 3" xfId="20083" xr:uid="{00000000-0005-0000-0000-00006D4E0000}"/>
    <cellStyle name="Normal 22 4 2 3 3 4" xfId="20084" xr:uid="{00000000-0005-0000-0000-00006E4E0000}"/>
    <cellStyle name="Normal 22 4 2 3 3 5" xfId="20085" xr:uid="{00000000-0005-0000-0000-00006F4E0000}"/>
    <cellStyle name="Normal 22 4 2 3 3 6" xfId="20086" xr:uid="{00000000-0005-0000-0000-0000704E0000}"/>
    <cellStyle name="Normal 22 4 2 3 4" xfId="20087" xr:uid="{00000000-0005-0000-0000-0000714E0000}"/>
    <cellStyle name="Normal 22 4 2 3 5" xfId="20088" xr:uid="{00000000-0005-0000-0000-0000724E0000}"/>
    <cellStyle name="Normal 22 4 2 3 6" xfId="20089" xr:uid="{00000000-0005-0000-0000-0000734E0000}"/>
    <cellStyle name="Normal 22 4 2 3 7" xfId="20090" xr:uid="{00000000-0005-0000-0000-0000744E0000}"/>
    <cellStyle name="Normal 22 4 2 3 8" xfId="20091" xr:uid="{00000000-0005-0000-0000-0000754E0000}"/>
    <cellStyle name="Normal 22 4 2 4" xfId="20092" xr:uid="{00000000-0005-0000-0000-0000764E0000}"/>
    <cellStyle name="Normal 22 4 2 4 2" xfId="20093" xr:uid="{00000000-0005-0000-0000-0000774E0000}"/>
    <cellStyle name="Normal 22 4 2 4 2 2" xfId="20094" xr:uid="{00000000-0005-0000-0000-0000784E0000}"/>
    <cellStyle name="Normal 22 4 2 4 2 3" xfId="20095" xr:uid="{00000000-0005-0000-0000-0000794E0000}"/>
    <cellStyle name="Normal 22 4 2 4 2 4" xfId="20096" xr:uid="{00000000-0005-0000-0000-00007A4E0000}"/>
    <cellStyle name="Normal 22 4 2 4 2 5" xfId="20097" xr:uid="{00000000-0005-0000-0000-00007B4E0000}"/>
    <cellStyle name="Normal 22 4 2 4 2 6" xfId="20098" xr:uid="{00000000-0005-0000-0000-00007C4E0000}"/>
    <cellStyle name="Normal 22 4 2 4 3" xfId="20099" xr:uid="{00000000-0005-0000-0000-00007D4E0000}"/>
    <cellStyle name="Normal 22 4 2 4 3 2" xfId="20100" xr:uid="{00000000-0005-0000-0000-00007E4E0000}"/>
    <cellStyle name="Normal 22 4 2 4 3 3" xfId="20101" xr:uid="{00000000-0005-0000-0000-00007F4E0000}"/>
    <cellStyle name="Normal 22 4 2 4 3 4" xfId="20102" xr:uid="{00000000-0005-0000-0000-0000804E0000}"/>
    <cellStyle name="Normal 22 4 2 4 3 5" xfId="20103" xr:uid="{00000000-0005-0000-0000-0000814E0000}"/>
    <cellStyle name="Normal 22 4 2 4 3 6" xfId="20104" xr:uid="{00000000-0005-0000-0000-0000824E0000}"/>
    <cellStyle name="Normal 22 4 2 4 4" xfId="20105" xr:uid="{00000000-0005-0000-0000-0000834E0000}"/>
    <cellStyle name="Normal 22 4 2 4 5" xfId="20106" xr:uid="{00000000-0005-0000-0000-0000844E0000}"/>
    <cellStyle name="Normal 22 4 2 4 6" xfId="20107" xr:uid="{00000000-0005-0000-0000-0000854E0000}"/>
    <cellStyle name="Normal 22 4 2 4 7" xfId="20108" xr:uid="{00000000-0005-0000-0000-0000864E0000}"/>
    <cellStyle name="Normal 22 4 2 4 8" xfId="20109" xr:uid="{00000000-0005-0000-0000-0000874E0000}"/>
    <cellStyle name="Normal 22 4 2 5" xfId="20110" xr:uid="{00000000-0005-0000-0000-0000884E0000}"/>
    <cellStyle name="Normal 22 4 2 5 2" xfId="20111" xr:uid="{00000000-0005-0000-0000-0000894E0000}"/>
    <cellStyle name="Normal 22 4 2 5 2 2" xfId="20112" xr:uid="{00000000-0005-0000-0000-00008A4E0000}"/>
    <cellStyle name="Normal 22 4 2 5 2 3" xfId="20113" xr:uid="{00000000-0005-0000-0000-00008B4E0000}"/>
    <cellStyle name="Normal 22 4 2 5 2 4" xfId="20114" xr:uid="{00000000-0005-0000-0000-00008C4E0000}"/>
    <cellStyle name="Normal 22 4 2 5 2 5" xfId="20115" xr:uid="{00000000-0005-0000-0000-00008D4E0000}"/>
    <cellStyle name="Normal 22 4 2 5 2 6" xfId="20116" xr:uid="{00000000-0005-0000-0000-00008E4E0000}"/>
    <cellStyle name="Normal 22 4 2 5 3" xfId="20117" xr:uid="{00000000-0005-0000-0000-00008F4E0000}"/>
    <cellStyle name="Normal 22 4 2 5 3 2" xfId="20118" xr:uid="{00000000-0005-0000-0000-0000904E0000}"/>
    <cellStyle name="Normal 22 4 2 5 3 3" xfId="20119" xr:uid="{00000000-0005-0000-0000-0000914E0000}"/>
    <cellStyle name="Normal 22 4 2 5 3 4" xfId="20120" xr:uid="{00000000-0005-0000-0000-0000924E0000}"/>
    <cellStyle name="Normal 22 4 2 5 3 5" xfId="20121" xr:uid="{00000000-0005-0000-0000-0000934E0000}"/>
    <cellStyle name="Normal 22 4 2 5 3 6" xfId="20122" xr:uid="{00000000-0005-0000-0000-0000944E0000}"/>
    <cellStyle name="Normal 22 4 2 5 4" xfId="20123" xr:uid="{00000000-0005-0000-0000-0000954E0000}"/>
    <cellStyle name="Normal 22 4 2 5 5" xfId="20124" xr:uid="{00000000-0005-0000-0000-0000964E0000}"/>
    <cellStyle name="Normal 22 4 2 5 6" xfId="20125" xr:uid="{00000000-0005-0000-0000-0000974E0000}"/>
    <cellStyle name="Normal 22 4 2 5 7" xfId="20126" xr:uid="{00000000-0005-0000-0000-0000984E0000}"/>
    <cellStyle name="Normal 22 4 2 5 8" xfId="20127" xr:uid="{00000000-0005-0000-0000-0000994E0000}"/>
    <cellStyle name="Normal 22 4 2 6" xfId="20128" xr:uid="{00000000-0005-0000-0000-00009A4E0000}"/>
    <cellStyle name="Normal 22 4 2 6 2" xfId="20129" xr:uid="{00000000-0005-0000-0000-00009B4E0000}"/>
    <cellStyle name="Normal 22 4 2 6 3" xfId="20130" xr:uid="{00000000-0005-0000-0000-00009C4E0000}"/>
    <cellStyle name="Normal 22 4 2 6 4" xfId="20131" xr:uid="{00000000-0005-0000-0000-00009D4E0000}"/>
    <cellStyle name="Normal 22 4 2 6 5" xfId="20132" xr:uid="{00000000-0005-0000-0000-00009E4E0000}"/>
    <cellStyle name="Normal 22 4 2 6 6" xfId="20133" xr:uid="{00000000-0005-0000-0000-00009F4E0000}"/>
    <cellStyle name="Normal 22 4 2 7" xfId="20134" xr:uid="{00000000-0005-0000-0000-0000A04E0000}"/>
    <cellStyle name="Normal 22 4 2 7 2" xfId="20135" xr:uid="{00000000-0005-0000-0000-0000A14E0000}"/>
    <cellStyle name="Normal 22 4 2 7 3" xfId="20136" xr:uid="{00000000-0005-0000-0000-0000A24E0000}"/>
    <cellStyle name="Normal 22 4 2 7 4" xfId="20137" xr:uid="{00000000-0005-0000-0000-0000A34E0000}"/>
    <cellStyle name="Normal 22 4 2 7 5" xfId="20138" xr:uid="{00000000-0005-0000-0000-0000A44E0000}"/>
    <cellStyle name="Normal 22 4 2 7 6" xfId="20139" xr:uid="{00000000-0005-0000-0000-0000A54E0000}"/>
    <cellStyle name="Normal 22 4 2 8" xfId="20140" xr:uid="{00000000-0005-0000-0000-0000A64E0000}"/>
    <cellStyle name="Normal 22 4 2 9" xfId="20141" xr:uid="{00000000-0005-0000-0000-0000A74E0000}"/>
    <cellStyle name="Normal 22 4 3" xfId="20142" xr:uid="{00000000-0005-0000-0000-0000A84E0000}"/>
    <cellStyle name="Normal 22 4 3 10" xfId="20143" xr:uid="{00000000-0005-0000-0000-0000A94E0000}"/>
    <cellStyle name="Normal 22 4 3 11" xfId="20144" xr:uid="{00000000-0005-0000-0000-0000AA4E0000}"/>
    <cellStyle name="Normal 22 4 3 12" xfId="20145" xr:uid="{00000000-0005-0000-0000-0000AB4E0000}"/>
    <cellStyle name="Normal 22 4 3 2" xfId="20146" xr:uid="{00000000-0005-0000-0000-0000AC4E0000}"/>
    <cellStyle name="Normal 22 4 3 2 10" xfId="20147" xr:uid="{00000000-0005-0000-0000-0000AD4E0000}"/>
    <cellStyle name="Normal 22 4 3 2 11" xfId="20148" xr:uid="{00000000-0005-0000-0000-0000AE4E0000}"/>
    <cellStyle name="Normal 22 4 3 2 2" xfId="20149" xr:uid="{00000000-0005-0000-0000-0000AF4E0000}"/>
    <cellStyle name="Normal 22 4 3 2 2 2" xfId="20150" xr:uid="{00000000-0005-0000-0000-0000B04E0000}"/>
    <cellStyle name="Normal 22 4 3 2 2 2 2" xfId="20151" xr:uid="{00000000-0005-0000-0000-0000B14E0000}"/>
    <cellStyle name="Normal 22 4 3 2 2 2 3" xfId="20152" xr:uid="{00000000-0005-0000-0000-0000B24E0000}"/>
    <cellStyle name="Normal 22 4 3 2 2 2 4" xfId="20153" xr:uid="{00000000-0005-0000-0000-0000B34E0000}"/>
    <cellStyle name="Normal 22 4 3 2 2 2 5" xfId="20154" xr:uid="{00000000-0005-0000-0000-0000B44E0000}"/>
    <cellStyle name="Normal 22 4 3 2 2 2 6" xfId="20155" xr:uid="{00000000-0005-0000-0000-0000B54E0000}"/>
    <cellStyle name="Normal 22 4 3 2 2 3" xfId="20156" xr:uid="{00000000-0005-0000-0000-0000B64E0000}"/>
    <cellStyle name="Normal 22 4 3 2 2 3 2" xfId="20157" xr:uid="{00000000-0005-0000-0000-0000B74E0000}"/>
    <cellStyle name="Normal 22 4 3 2 2 3 3" xfId="20158" xr:uid="{00000000-0005-0000-0000-0000B84E0000}"/>
    <cellStyle name="Normal 22 4 3 2 2 3 4" xfId="20159" xr:uid="{00000000-0005-0000-0000-0000B94E0000}"/>
    <cellStyle name="Normal 22 4 3 2 2 3 5" xfId="20160" xr:uid="{00000000-0005-0000-0000-0000BA4E0000}"/>
    <cellStyle name="Normal 22 4 3 2 2 3 6" xfId="20161" xr:uid="{00000000-0005-0000-0000-0000BB4E0000}"/>
    <cellStyle name="Normal 22 4 3 2 2 4" xfId="20162" xr:uid="{00000000-0005-0000-0000-0000BC4E0000}"/>
    <cellStyle name="Normal 22 4 3 2 2 5" xfId="20163" xr:uid="{00000000-0005-0000-0000-0000BD4E0000}"/>
    <cellStyle name="Normal 22 4 3 2 2 6" xfId="20164" xr:uid="{00000000-0005-0000-0000-0000BE4E0000}"/>
    <cellStyle name="Normal 22 4 3 2 2 7" xfId="20165" xr:uid="{00000000-0005-0000-0000-0000BF4E0000}"/>
    <cellStyle name="Normal 22 4 3 2 2 8" xfId="20166" xr:uid="{00000000-0005-0000-0000-0000C04E0000}"/>
    <cellStyle name="Normal 22 4 3 2 3" xfId="20167" xr:uid="{00000000-0005-0000-0000-0000C14E0000}"/>
    <cellStyle name="Normal 22 4 3 2 3 2" xfId="20168" xr:uid="{00000000-0005-0000-0000-0000C24E0000}"/>
    <cellStyle name="Normal 22 4 3 2 3 2 2" xfId="20169" xr:uid="{00000000-0005-0000-0000-0000C34E0000}"/>
    <cellStyle name="Normal 22 4 3 2 3 2 3" xfId="20170" xr:uid="{00000000-0005-0000-0000-0000C44E0000}"/>
    <cellStyle name="Normal 22 4 3 2 3 2 4" xfId="20171" xr:uid="{00000000-0005-0000-0000-0000C54E0000}"/>
    <cellStyle name="Normal 22 4 3 2 3 2 5" xfId="20172" xr:uid="{00000000-0005-0000-0000-0000C64E0000}"/>
    <cellStyle name="Normal 22 4 3 2 3 2 6" xfId="20173" xr:uid="{00000000-0005-0000-0000-0000C74E0000}"/>
    <cellStyle name="Normal 22 4 3 2 3 3" xfId="20174" xr:uid="{00000000-0005-0000-0000-0000C84E0000}"/>
    <cellStyle name="Normal 22 4 3 2 3 3 2" xfId="20175" xr:uid="{00000000-0005-0000-0000-0000C94E0000}"/>
    <cellStyle name="Normal 22 4 3 2 3 3 3" xfId="20176" xr:uid="{00000000-0005-0000-0000-0000CA4E0000}"/>
    <cellStyle name="Normal 22 4 3 2 3 3 4" xfId="20177" xr:uid="{00000000-0005-0000-0000-0000CB4E0000}"/>
    <cellStyle name="Normal 22 4 3 2 3 3 5" xfId="20178" xr:uid="{00000000-0005-0000-0000-0000CC4E0000}"/>
    <cellStyle name="Normal 22 4 3 2 3 3 6" xfId="20179" xr:uid="{00000000-0005-0000-0000-0000CD4E0000}"/>
    <cellStyle name="Normal 22 4 3 2 3 4" xfId="20180" xr:uid="{00000000-0005-0000-0000-0000CE4E0000}"/>
    <cellStyle name="Normal 22 4 3 2 3 5" xfId="20181" xr:uid="{00000000-0005-0000-0000-0000CF4E0000}"/>
    <cellStyle name="Normal 22 4 3 2 3 6" xfId="20182" xr:uid="{00000000-0005-0000-0000-0000D04E0000}"/>
    <cellStyle name="Normal 22 4 3 2 3 7" xfId="20183" xr:uid="{00000000-0005-0000-0000-0000D14E0000}"/>
    <cellStyle name="Normal 22 4 3 2 3 8" xfId="20184" xr:uid="{00000000-0005-0000-0000-0000D24E0000}"/>
    <cellStyle name="Normal 22 4 3 2 4" xfId="20185" xr:uid="{00000000-0005-0000-0000-0000D34E0000}"/>
    <cellStyle name="Normal 22 4 3 2 4 2" xfId="20186" xr:uid="{00000000-0005-0000-0000-0000D44E0000}"/>
    <cellStyle name="Normal 22 4 3 2 4 2 2" xfId="20187" xr:uid="{00000000-0005-0000-0000-0000D54E0000}"/>
    <cellStyle name="Normal 22 4 3 2 4 2 3" xfId="20188" xr:uid="{00000000-0005-0000-0000-0000D64E0000}"/>
    <cellStyle name="Normal 22 4 3 2 4 2 4" xfId="20189" xr:uid="{00000000-0005-0000-0000-0000D74E0000}"/>
    <cellStyle name="Normal 22 4 3 2 4 2 5" xfId="20190" xr:uid="{00000000-0005-0000-0000-0000D84E0000}"/>
    <cellStyle name="Normal 22 4 3 2 4 2 6" xfId="20191" xr:uid="{00000000-0005-0000-0000-0000D94E0000}"/>
    <cellStyle name="Normal 22 4 3 2 4 3" xfId="20192" xr:uid="{00000000-0005-0000-0000-0000DA4E0000}"/>
    <cellStyle name="Normal 22 4 3 2 4 3 2" xfId="20193" xr:uid="{00000000-0005-0000-0000-0000DB4E0000}"/>
    <cellStyle name="Normal 22 4 3 2 4 3 3" xfId="20194" xr:uid="{00000000-0005-0000-0000-0000DC4E0000}"/>
    <cellStyle name="Normal 22 4 3 2 4 3 4" xfId="20195" xr:uid="{00000000-0005-0000-0000-0000DD4E0000}"/>
    <cellStyle name="Normal 22 4 3 2 4 3 5" xfId="20196" xr:uid="{00000000-0005-0000-0000-0000DE4E0000}"/>
    <cellStyle name="Normal 22 4 3 2 4 3 6" xfId="20197" xr:uid="{00000000-0005-0000-0000-0000DF4E0000}"/>
    <cellStyle name="Normal 22 4 3 2 4 4" xfId="20198" xr:uid="{00000000-0005-0000-0000-0000E04E0000}"/>
    <cellStyle name="Normal 22 4 3 2 4 5" xfId="20199" xr:uid="{00000000-0005-0000-0000-0000E14E0000}"/>
    <cellStyle name="Normal 22 4 3 2 4 6" xfId="20200" xr:uid="{00000000-0005-0000-0000-0000E24E0000}"/>
    <cellStyle name="Normal 22 4 3 2 4 7" xfId="20201" xr:uid="{00000000-0005-0000-0000-0000E34E0000}"/>
    <cellStyle name="Normal 22 4 3 2 4 8" xfId="20202" xr:uid="{00000000-0005-0000-0000-0000E44E0000}"/>
    <cellStyle name="Normal 22 4 3 2 5" xfId="20203" xr:uid="{00000000-0005-0000-0000-0000E54E0000}"/>
    <cellStyle name="Normal 22 4 3 2 5 2" xfId="20204" xr:uid="{00000000-0005-0000-0000-0000E64E0000}"/>
    <cellStyle name="Normal 22 4 3 2 5 3" xfId="20205" xr:uid="{00000000-0005-0000-0000-0000E74E0000}"/>
    <cellStyle name="Normal 22 4 3 2 5 4" xfId="20206" xr:uid="{00000000-0005-0000-0000-0000E84E0000}"/>
    <cellStyle name="Normal 22 4 3 2 5 5" xfId="20207" xr:uid="{00000000-0005-0000-0000-0000E94E0000}"/>
    <cellStyle name="Normal 22 4 3 2 5 6" xfId="20208" xr:uid="{00000000-0005-0000-0000-0000EA4E0000}"/>
    <cellStyle name="Normal 22 4 3 2 6" xfId="20209" xr:uid="{00000000-0005-0000-0000-0000EB4E0000}"/>
    <cellStyle name="Normal 22 4 3 2 6 2" xfId="20210" xr:uid="{00000000-0005-0000-0000-0000EC4E0000}"/>
    <cellStyle name="Normal 22 4 3 2 6 3" xfId="20211" xr:uid="{00000000-0005-0000-0000-0000ED4E0000}"/>
    <cellStyle name="Normal 22 4 3 2 6 4" xfId="20212" xr:uid="{00000000-0005-0000-0000-0000EE4E0000}"/>
    <cellStyle name="Normal 22 4 3 2 6 5" xfId="20213" xr:uid="{00000000-0005-0000-0000-0000EF4E0000}"/>
    <cellStyle name="Normal 22 4 3 2 6 6" xfId="20214" xr:uid="{00000000-0005-0000-0000-0000F04E0000}"/>
    <cellStyle name="Normal 22 4 3 2 7" xfId="20215" xr:uid="{00000000-0005-0000-0000-0000F14E0000}"/>
    <cellStyle name="Normal 22 4 3 2 8" xfId="20216" xr:uid="{00000000-0005-0000-0000-0000F24E0000}"/>
    <cellStyle name="Normal 22 4 3 2 9" xfId="20217" xr:uid="{00000000-0005-0000-0000-0000F34E0000}"/>
    <cellStyle name="Normal 22 4 3 3" xfId="20218" xr:uid="{00000000-0005-0000-0000-0000F44E0000}"/>
    <cellStyle name="Normal 22 4 3 3 2" xfId="20219" xr:uid="{00000000-0005-0000-0000-0000F54E0000}"/>
    <cellStyle name="Normal 22 4 3 3 2 2" xfId="20220" xr:uid="{00000000-0005-0000-0000-0000F64E0000}"/>
    <cellStyle name="Normal 22 4 3 3 2 3" xfId="20221" xr:uid="{00000000-0005-0000-0000-0000F74E0000}"/>
    <cellStyle name="Normal 22 4 3 3 2 4" xfId="20222" xr:uid="{00000000-0005-0000-0000-0000F84E0000}"/>
    <cellStyle name="Normal 22 4 3 3 2 5" xfId="20223" xr:uid="{00000000-0005-0000-0000-0000F94E0000}"/>
    <cellStyle name="Normal 22 4 3 3 2 6" xfId="20224" xr:uid="{00000000-0005-0000-0000-0000FA4E0000}"/>
    <cellStyle name="Normal 22 4 3 3 3" xfId="20225" xr:uid="{00000000-0005-0000-0000-0000FB4E0000}"/>
    <cellStyle name="Normal 22 4 3 3 3 2" xfId="20226" xr:uid="{00000000-0005-0000-0000-0000FC4E0000}"/>
    <cellStyle name="Normal 22 4 3 3 3 3" xfId="20227" xr:uid="{00000000-0005-0000-0000-0000FD4E0000}"/>
    <cellStyle name="Normal 22 4 3 3 3 4" xfId="20228" xr:uid="{00000000-0005-0000-0000-0000FE4E0000}"/>
    <cellStyle name="Normal 22 4 3 3 3 5" xfId="20229" xr:uid="{00000000-0005-0000-0000-0000FF4E0000}"/>
    <cellStyle name="Normal 22 4 3 3 3 6" xfId="20230" xr:uid="{00000000-0005-0000-0000-0000004F0000}"/>
    <cellStyle name="Normal 22 4 3 3 4" xfId="20231" xr:uid="{00000000-0005-0000-0000-0000014F0000}"/>
    <cellStyle name="Normal 22 4 3 3 5" xfId="20232" xr:uid="{00000000-0005-0000-0000-0000024F0000}"/>
    <cellStyle name="Normal 22 4 3 3 6" xfId="20233" xr:uid="{00000000-0005-0000-0000-0000034F0000}"/>
    <cellStyle name="Normal 22 4 3 3 7" xfId="20234" xr:uid="{00000000-0005-0000-0000-0000044F0000}"/>
    <cellStyle name="Normal 22 4 3 3 8" xfId="20235" xr:uid="{00000000-0005-0000-0000-0000054F0000}"/>
    <cellStyle name="Normal 22 4 3 4" xfId="20236" xr:uid="{00000000-0005-0000-0000-0000064F0000}"/>
    <cellStyle name="Normal 22 4 3 4 2" xfId="20237" xr:uid="{00000000-0005-0000-0000-0000074F0000}"/>
    <cellStyle name="Normal 22 4 3 4 2 2" xfId="20238" xr:uid="{00000000-0005-0000-0000-0000084F0000}"/>
    <cellStyle name="Normal 22 4 3 4 2 3" xfId="20239" xr:uid="{00000000-0005-0000-0000-0000094F0000}"/>
    <cellStyle name="Normal 22 4 3 4 2 4" xfId="20240" xr:uid="{00000000-0005-0000-0000-00000A4F0000}"/>
    <cellStyle name="Normal 22 4 3 4 2 5" xfId="20241" xr:uid="{00000000-0005-0000-0000-00000B4F0000}"/>
    <cellStyle name="Normal 22 4 3 4 2 6" xfId="20242" xr:uid="{00000000-0005-0000-0000-00000C4F0000}"/>
    <cellStyle name="Normal 22 4 3 4 3" xfId="20243" xr:uid="{00000000-0005-0000-0000-00000D4F0000}"/>
    <cellStyle name="Normal 22 4 3 4 3 2" xfId="20244" xr:uid="{00000000-0005-0000-0000-00000E4F0000}"/>
    <cellStyle name="Normal 22 4 3 4 3 3" xfId="20245" xr:uid="{00000000-0005-0000-0000-00000F4F0000}"/>
    <cellStyle name="Normal 22 4 3 4 3 4" xfId="20246" xr:uid="{00000000-0005-0000-0000-0000104F0000}"/>
    <cellStyle name="Normal 22 4 3 4 3 5" xfId="20247" xr:uid="{00000000-0005-0000-0000-0000114F0000}"/>
    <cellStyle name="Normal 22 4 3 4 3 6" xfId="20248" xr:uid="{00000000-0005-0000-0000-0000124F0000}"/>
    <cellStyle name="Normal 22 4 3 4 4" xfId="20249" xr:uid="{00000000-0005-0000-0000-0000134F0000}"/>
    <cellStyle name="Normal 22 4 3 4 5" xfId="20250" xr:uid="{00000000-0005-0000-0000-0000144F0000}"/>
    <cellStyle name="Normal 22 4 3 4 6" xfId="20251" xr:uid="{00000000-0005-0000-0000-0000154F0000}"/>
    <cellStyle name="Normal 22 4 3 4 7" xfId="20252" xr:uid="{00000000-0005-0000-0000-0000164F0000}"/>
    <cellStyle name="Normal 22 4 3 4 8" xfId="20253" xr:uid="{00000000-0005-0000-0000-0000174F0000}"/>
    <cellStyle name="Normal 22 4 3 5" xfId="20254" xr:uid="{00000000-0005-0000-0000-0000184F0000}"/>
    <cellStyle name="Normal 22 4 3 5 2" xfId="20255" xr:uid="{00000000-0005-0000-0000-0000194F0000}"/>
    <cellStyle name="Normal 22 4 3 5 2 2" xfId="20256" xr:uid="{00000000-0005-0000-0000-00001A4F0000}"/>
    <cellStyle name="Normal 22 4 3 5 2 3" xfId="20257" xr:uid="{00000000-0005-0000-0000-00001B4F0000}"/>
    <cellStyle name="Normal 22 4 3 5 2 4" xfId="20258" xr:uid="{00000000-0005-0000-0000-00001C4F0000}"/>
    <cellStyle name="Normal 22 4 3 5 2 5" xfId="20259" xr:uid="{00000000-0005-0000-0000-00001D4F0000}"/>
    <cellStyle name="Normal 22 4 3 5 2 6" xfId="20260" xr:uid="{00000000-0005-0000-0000-00001E4F0000}"/>
    <cellStyle name="Normal 22 4 3 5 3" xfId="20261" xr:uid="{00000000-0005-0000-0000-00001F4F0000}"/>
    <cellStyle name="Normal 22 4 3 5 3 2" xfId="20262" xr:uid="{00000000-0005-0000-0000-0000204F0000}"/>
    <cellStyle name="Normal 22 4 3 5 3 3" xfId="20263" xr:uid="{00000000-0005-0000-0000-0000214F0000}"/>
    <cellStyle name="Normal 22 4 3 5 3 4" xfId="20264" xr:uid="{00000000-0005-0000-0000-0000224F0000}"/>
    <cellStyle name="Normal 22 4 3 5 3 5" xfId="20265" xr:uid="{00000000-0005-0000-0000-0000234F0000}"/>
    <cellStyle name="Normal 22 4 3 5 3 6" xfId="20266" xr:uid="{00000000-0005-0000-0000-0000244F0000}"/>
    <cellStyle name="Normal 22 4 3 5 4" xfId="20267" xr:uid="{00000000-0005-0000-0000-0000254F0000}"/>
    <cellStyle name="Normal 22 4 3 5 5" xfId="20268" xr:uid="{00000000-0005-0000-0000-0000264F0000}"/>
    <cellStyle name="Normal 22 4 3 5 6" xfId="20269" xr:uid="{00000000-0005-0000-0000-0000274F0000}"/>
    <cellStyle name="Normal 22 4 3 5 7" xfId="20270" xr:uid="{00000000-0005-0000-0000-0000284F0000}"/>
    <cellStyle name="Normal 22 4 3 5 8" xfId="20271" xr:uid="{00000000-0005-0000-0000-0000294F0000}"/>
    <cellStyle name="Normal 22 4 3 6" xfId="20272" xr:uid="{00000000-0005-0000-0000-00002A4F0000}"/>
    <cellStyle name="Normal 22 4 3 6 2" xfId="20273" xr:uid="{00000000-0005-0000-0000-00002B4F0000}"/>
    <cellStyle name="Normal 22 4 3 6 3" xfId="20274" xr:uid="{00000000-0005-0000-0000-00002C4F0000}"/>
    <cellStyle name="Normal 22 4 3 6 4" xfId="20275" xr:uid="{00000000-0005-0000-0000-00002D4F0000}"/>
    <cellStyle name="Normal 22 4 3 6 5" xfId="20276" xr:uid="{00000000-0005-0000-0000-00002E4F0000}"/>
    <cellStyle name="Normal 22 4 3 6 6" xfId="20277" xr:uid="{00000000-0005-0000-0000-00002F4F0000}"/>
    <cellStyle name="Normal 22 4 3 7" xfId="20278" xr:uid="{00000000-0005-0000-0000-0000304F0000}"/>
    <cellStyle name="Normal 22 4 3 7 2" xfId="20279" xr:uid="{00000000-0005-0000-0000-0000314F0000}"/>
    <cellStyle name="Normal 22 4 3 7 3" xfId="20280" xr:uid="{00000000-0005-0000-0000-0000324F0000}"/>
    <cellStyle name="Normal 22 4 3 7 4" xfId="20281" xr:uid="{00000000-0005-0000-0000-0000334F0000}"/>
    <cellStyle name="Normal 22 4 3 7 5" xfId="20282" xr:uid="{00000000-0005-0000-0000-0000344F0000}"/>
    <cellStyle name="Normal 22 4 3 7 6" xfId="20283" xr:uid="{00000000-0005-0000-0000-0000354F0000}"/>
    <cellStyle name="Normal 22 4 3 8" xfId="20284" xr:uid="{00000000-0005-0000-0000-0000364F0000}"/>
    <cellStyle name="Normal 22 4 3 9" xfId="20285" xr:uid="{00000000-0005-0000-0000-0000374F0000}"/>
    <cellStyle name="Normal 22 4 4" xfId="20286" xr:uid="{00000000-0005-0000-0000-0000384F0000}"/>
    <cellStyle name="Normal 22 4 4 10" xfId="20287" xr:uid="{00000000-0005-0000-0000-0000394F0000}"/>
    <cellStyle name="Normal 22 4 4 11" xfId="20288" xr:uid="{00000000-0005-0000-0000-00003A4F0000}"/>
    <cellStyle name="Normal 22 4 4 2" xfId="20289" xr:uid="{00000000-0005-0000-0000-00003B4F0000}"/>
    <cellStyle name="Normal 22 4 4 2 2" xfId="20290" xr:uid="{00000000-0005-0000-0000-00003C4F0000}"/>
    <cellStyle name="Normal 22 4 4 2 2 2" xfId="20291" xr:uid="{00000000-0005-0000-0000-00003D4F0000}"/>
    <cellStyle name="Normal 22 4 4 2 2 3" xfId="20292" xr:uid="{00000000-0005-0000-0000-00003E4F0000}"/>
    <cellStyle name="Normal 22 4 4 2 2 4" xfId="20293" xr:uid="{00000000-0005-0000-0000-00003F4F0000}"/>
    <cellStyle name="Normal 22 4 4 2 2 5" xfId="20294" xr:uid="{00000000-0005-0000-0000-0000404F0000}"/>
    <cellStyle name="Normal 22 4 4 2 2 6" xfId="20295" xr:uid="{00000000-0005-0000-0000-0000414F0000}"/>
    <cellStyle name="Normal 22 4 4 2 3" xfId="20296" xr:uid="{00000000-0005-0000-0000-0000424F0000}"/>
    <cellStyle name="Normal 22 4 4 2 3 2" xfId="20297" xr:uid="{00000000-0005-0000-0000-0000434F0000}"/>
    <cellStyle name="Normal 22 4 4 2 3 3" xfId="20298" xr:uid="{00000000-0005-0000-0000-0000444F0000}"/>
    <cellStyle name="Normal 22 4 4 2 3 4" xfId="20299" xr:uid="{00000000-0005-0000-0000-0000454F0000}"/>
    <cellStyle name="Normal 22 4 4 2 3 5" xfId="20300" xr:uid="{00000000-0005-0000-0000-0000464F0000}"/>
    <cellStyle name="Normal 22 4 4 2 3 6" xfId="20301" xr:uid="{00000000-0005-0000-0000-0000474F0000}"/>
    <cellStyle name="Normal 22 4 4 2 4" xfId="20302" xr:uid="{00000000-0005-0000-0000-0000484F0000}"/>
    <cellStyle name="Normal 22 4 4 2 5" xfId="20303" xr:uid="{00000000-0005-0000-0000-0000494F0000}"/>
    <cellStyle name="Normal 22 4 4 2 6" xfId="20304" xr:uid="{00000000-0005-0000-0000-00004A4F0000}"/>
    <cellStyle name="Normal 22 4 4 2 7" xfId="20305" xr:uid="{00000000-0005-0000-0000-00004B4F0000}"/>
    <cellStyle name="Normal 22 4 4 2 8" xfId="20306" xr:uid="{00000000-0005-0000-0000-00004C4F0000}"/>
    <cellStyle name="Normal 22 4 4 3" xfId="20307" xr:uid="{00000000-0005-0000-0000-00004D4F0000}"/>
    <cellStyle name="Normal 22 4 4 3 2" xfId="20308" xr:uid="{00000000-0005-0000-0000-00004E4F0000}"/>
    <cellStyle name="Normal 22 4 4 3 2 2" xfId="20309" xr:uid="{00000000-0005-0000-0000-00004F4F0000}"/>
    <cellStyle name="Normal 22 4 4 3 2 3" xfId="20310" xr:uid="{00000000-0005-0000-0000-0000504F0000}"/>
    <cellStyle name="Normal 22 4 4 3 2 4" xfId="20311" xr:uid="{00000000-0005-0000-0000-0000514F0000}"/>
    <cellStyle name="Normal 22 4 4 3 2 5" xfId="20312" xr:uid="{00000000-0005-0000-0000-0000524F0000}"/>
    <cellStyle name="Normal 22 4 4 3 2 6" xfId="20313" xr:uid="{00000000-0005-0000-0000-0000534F0000}"/>
    <cellStyle name="Normal 22 4 4 3 3" xfId="20314" xr:uid="{00000000-0005-0000-0000-0000544F0000}"/>
    <cellStyle name="Normal 22 4 4 3 3 2" xfId="20315" xr:uid="{00000000-0005-0000-0000-0000554F0000}"/>
    <cellStyle name="Normal 22 4 4 3 3 3" xfId="20316" xr:uid="{00000000-0005-0000-0000-0000564F0000}"/>
    <cellStyle name="Normal 22 4 4 3 3 4" xfId="20317" xr:uid="{00000000-0005-0000-0000-0000574F0000}"/>
    <cellStyle name="Normal 22 4 4 3 3 5" xfId="20318" xr:uid="{00000000-0005-0000-0000-0000584F0000}"/>
    <cellStyle name="Normal 22 4 4 3 3 6" xfId="20319" xr:uid="{00000000-0005-0000-0000-0000594F0000}"/>
    <cellStyle name="Normal 22 4 4 3 4" xfId="20320" xr:uid="{00000000-0005-0000-0000-00005A4F0000}"/>
    <cellStyle name="Normal 22 4 4 3 5" xfId="20321" xr:uid="{00000000-0005-0000-0000-00005B4F0000}"/>
    <cellStyle name="Normal 22 4 4 3 6" xfId="20322" xr:uid="{00000000-0005-0000-0000-00005C4F0000}"/>
    <cellStyle name="Normal 22 4 4 3 7" xfId="20323" xr:uid="{00000000-0005-0000-0000-00005D4F0000}"/>
    <cellStyle name="Normal 22 4 4 3 8" xfId="20324" xr:uid="{00000000-0005-0000-0000-00005E4F0000}"/>
    <cellStyle name="Normal 22 4 4 4" xfId="20325" xr:uid="{00000000-0005-0000-0000-00005F4F0000}"/>
    <cellStyle name="Normal 22 4 4 4 2" xfId="20326" xr:uid="{00000000-0005-0000-0000-0000604F0000}"/>
    <cellStyle name="Normal 22 4 4 4 2 2" xfId="20327" xr:uid="{00000000-0005-0000-0000-0000614F0000}"/>
    <cellStyle name="Normal 22 4 4 4 2 3" xfId="20328" xr:uid="{00000000-0005-0000-0000-0000624F0000}"/>
    <cellStyle name="Normal 22 4 4 4 2 4" xfId="20329" xr:uid="{00000000-0005-0000-0000-0000634F0000}"/>
    <cellStyle name="Normal 22 4 4 4 2 5" xfId="20330" xr:uid="{00000000-0005-0000-0000-0000644F0000}"/>
    <cellStyle name="Normal 22 4 4 4 2 6" xfId="20331" xr:uid="{00000000-0005-0000-0000-0000654F0000}"/>
    <cellStyle name="Normal 22 4 4 4 3" xfId="20332" xr:uid="{00000000-0005-0000-0000-0000664F0000}"/>
    <cellStyle name="Normal 22 4 4 4 3 2" xfId="20333" xr:uid="{00000000-0005-0000-0000-0000674F0000}"/>
    <cellStyle name="Normal 22 4 4 4 3 3" xfId="20334" xr:uid="{00000000-0005-0000-0000-0000684F0000}"/>
    <cellStyle name="Normal 22 4 4 4 3 4" xfId="20335" xr:uid="{00000000-0005-0000-0000-0000694F0000}"/>
    <cellStyle name="Normal 22 4 4 4 3 5" xfId="20336" xr:uid="{00000000-0005-0000-0000-00006A4F0000}"/>
    <cellStyle name="Normal 22 4 4 4 3 6" xfId="20337" xr:uid="{00000000-0005-0000-0000-00006B4F0000}"/>
    <cellStyle name="Normal 22 4 4 4 4" xfId="20338" xr:uid="{00000000-0005-0000-0000-00006C4F0000}"/>
    <cellStyle name="Normal 22 4 4 4 5" xfId="20339" xr:uid="{00000000-0005-0000-0000-00006D4F0000}"/>
    <cellStyle name="Normal 22 4 4 4 6" xfId="20340" xr:uid="{00000000-0005-0000-0000-00006E4F0000}"/>
    <cellStyle name="Normal 22 4 4 4 7" xfId="20341" xr:uid="{00000000-0005-0000-0000-00006F4F0000}"/>
    <cellStyle name="Normal 22 4 4 4 8" xfId="20342" xr:uid="{00000000-0005-0000-0000-0000704F0000}"/>
    <cellStyle name="Normal 22 4 4 5" xfId="20343" xr:uid="{00000000-0005-0000-0000-0000714F0000}"/>
    <cellStyle name="Normal 22 4 4 5 2" xfId="20344" xr:uid="{00000000-0005-0000-0000-0000724F0000}"/>
    <cellStyle name="Normal 22 4 4 5 3" xfId="20345" xr:uid="{00000000-0005-0000-0000-0000734F0000}"/>
    <cellStyle name="Normal 22 4 4 5 4" xfId="20346" xr:uid="{00000000-0005-0000-0000-0000744F0000}"/>
    <cellStyle name="Normal 22 4 4 5 5" xfId="20347" xr:uid="{00000000-0005-0000-0000-0000754F0000}"/>
    <cellStyle name="Normal 22 4 4 5 6" xfId="20348" xr:uid="{00000000-0005-0000-0000-0000764F0000}"/>
    <cellStyle name="Normal 22 4 4 6" xfId="20349" xr:uid="{00000000-0005-0000-0000-0000774F0000}"/>
    <cellStyle name="Normal 22 4 4 6 2" xfId="20350" xr:uid="{00000000-0005-0000-0000-0000784F0000}"/>
    <cellStyle name="Normal 22 4 4 6 3" xfId="20351" xr:uid="{00000000-0005-0000-0000-0000794F0000}"/>
    <cellStyle name="Normal 22 4 4 6 4" xfId="20352" xr:uid="{00000000-0005-0000-0000-00007A4F0000}"/>
    <cellStyle name="Normal 22 4 4 6 5" xfId="20353" xr:uid="{00000000-0005-0000-0000-00007B4F0000}"/>
    <cellStyle name="Normal 22 4 4 6 6" xfId="20354" xr:uid="{00000000-0005-0000-0000-00007C4F0000}"/>
    <cellStyle name="Normal 22 4 4 7" xfId="20355" xr:uid="{00000000-0005-0000-0000-00007D4F0000}"/>
    <cellStyle name="Normal 22 4 4 8" xfId="20356" xr:uid="{00000000-0005-0000-0000-00007E4F0000}"/>
    <cellStyle name="Normal 22 4 4 9" xfId="20357" xr:uid="{00000000-0005-0000-0000-00007F4F0000}"/>
    <cellStyle name="Normal 22 4 5" xfId="20358" xr:uid="{00000000-0005-0000-0000-0000804F0000}"/>
    <cellStyle name="Normal 22 4 5 2" xfId="20359" xr:uid="{00000000-0005-0000-0000-0000814F0000}"/>
    <cellStyle name="Normal 22 4 5 2 2" xfId="20360" xr:uid="{00000000-0005-0000-0000-0000824F0000}"/>
    <cellStyle name="Normal 22 4 5 2 3" xfId="20361" xr:uid="{00000000-0005-0000-0000-0000834F0000}"/>
    <cellStyle name="Normal 22 4 5 2 4" xfId="20362" xr:uid="{00000000-0005-0000-0000-0000844F0000}"/>
    <cellStyle name="Normal 22 4 5 2 5" xfId="20363" xr:uid="{00000000-0005-0000-0000-0000854F0000}"/>
    <cellStyle name="Normal 22 4 5 2 6" xfId="20364" xr:uid="{00000000-0005-0000-0000-0000864F0000}"/>
    <cellStyle name="Normal 22 4 5 3" xfId="20365" xr:uid="{00000000-0005-0000-0000-0000874F0000}"/>
    <cellStyle name="Normal 22 4 5 3 2" xfId="20366" xr:uid="{00000000-0005-0000-0000-0000884F0000}"/>
    <cellStyle name="Normal 22 4 5 3 3" xfId="20367" xr:uid="{00000000-0005-0000-0000-0000894F0000}"/>
    <cellStyle name="Normal 22 4 5 3 4" xfId="20368" xr:uid="{00000000-0005-0000-0000-00008A4F0000}"/>
    <cellStyle name="Normal 22 4 5 3 5" xfId="20369" xr:uid="{00000000-0005-0000-0000-00008B4F0000}"/>
    <cellStyle name="Normal 22 4 5 3 6" xfId="20370" xr:uid="{00000000-0005-0000-0000-00008C4F0000}"/>
    <cellStyle name="Normal 22 4 5 4" xfId="20371" xr:uid="{00000000-0005-0000-0000-00008D4F0000}"/>
    <cellStyle name="Normal 22 4 5 5" xfId="20372" xr:uid="{00000000-0005-0000-0000-00008E4F0000}"/>
    <cellStyle name="Normal 22 4 5 6" xfId="20373" xr:uid="{00000000-0005-0000-0000-00008F4F0000}"/>
    <cellStyle name="Normal 22 4 5 7" xfId="20374" xr:uid="{00000000-0005-0000-0000-0000904F0000}"/>
    <cellStyle name="Normal 22 4 5 8" xfId="20375" xr:uid="{00000000-0005-0000-0000-0000914F0000}"/>
    <cellStyle name="Normal 22 4 6" xfId="20376" xr:uid="{00000000-0005-0000-0000-0000924F0000}"/>
    <cellStyle name="Normal 22 4 6 2" xfId="20377" xr:uid="{00000000-0005-0000-0000-0000934F0000}"/>
    <cellStyle name="Normal 22 4 6 2 2" xfId="20378" xr:uid="{00000000-0005-0000-0000-0000944F0000}"/>
    <cellStyle name="Normal 22 4 6 2 3" xfId="20379" xr:uid="{00000000-0005-0000-0000-0000954F0000}"/>
    <cellStyle name="Normal 22 4 6 2 4" xfId="20380" xr:uid="{00000000-0005-0000-0000-0000964F0000}"/>
    <cellStyle name="Normal 22 4 6 2 5" xfId="20381" xr:uid="{00000000-0005-0000-0000-0000974F0000}"/>
    <cellStyle name="Normal 22 4 6 2 6" xfId="20382" xr:uid="{00000000-0005-0000-0000-0000984F0000}"/>
    <cellStyle name="Normal 22 4 6 3" xfId="20383" xr:uid="{00000000-0005-0000-0000-0000994F0000}"/>
    <cellStyle name="Normal 22 4 6 3 2" xfId="20384" xr:uid="{00000000-0005-0000-0000-00009A4F0000}"/>
    <cellStyle name="Normal 22 4 6 3 3" xfId="20385" xr:uid="{00000000-0005-0000-0000-00009B4F0000}"/>
    <cellStyle name="Normal 22 4 6 3 4" xfId="20386" xr:uid="{00000000-0005-0000-0000-00009C4F0000}"/>
    <cellStyle name="Normal 22 4 6 3 5" xfId="20387" xr:uid="{00000000-0005-0000-0000-00009D4F0000}"/>
    <cellStyle name="Normal 22 4 6 3 6" xfId="20388" xr:uid="{00000000-0005-0000-0000-00009E4F0000}"/>
    <cellStyle name="Normal 22 4 6 4" xfId="20389" xr:uid="{00000000-0005-0000-0000-00009F4F0000}"/>
    <cellStyle name="Normal 22 4 6 5" xfId="20390" xr:uid="{00000000-0005-0000-0000-0000A04F0000}"/>
    <cellStyle name="Normal 22 4 6 6" xfId="20391" xr:uid="{00000000-0005-0000-0000-0000A14F0000}"/>
    <cellStyle name="Normal 22 4 6 7" xfId="20392" xr:uid="{00000000-0005-0000-0000-0000A24F0000}"/>
    <cellStyle name="Normal 22 4 6 8" xfId="20393" xr:uid="{00000000-0005-0000-0000-0000A34F0000}"/>
    <cellStyle name="Normal 22 4 7" xfId="20394" xr:uid="{00000000-0005-0000-0000-0000A44F0000}"/>
    <cellStyle name="Normal 22 4 7 2" xfId="20395" xr:uid="{00000000-0005-0000-0000-0000A54F0000}"/>
    <cellStyle name="Normal 22 4 7 2 2" xfId="20396" xr:uid="{00000000-0005-0000-0000-0000A64F0000}"/>
    <cellStyle name="Normal 22 4 7 2 3" xfId="20397" xr:uid="{00000000-0005-0000-0000-0000A74F0000}"/>
    <cellStyle name="Normal 22 4 7 2 4" xfId="20398" xr:uid="{00000000-0005-0000-0000-0000A84F0000}"/>
    <cellStyle name="Normal 22 4 7 2 5" xfId="20399" xr:uid="{00000000-0005-0000-0000-0000A94F0000}"/>
    <cellStyle name="Normal 22 4 7 2 6" xfId="20400" xr:uid="{00000000-0005-0000-0000-0000AA4F0000}"/>
    <cellStyle name="Normal 22 4 7 3" xfId="20401" xr:uid="{00000000-0005-0000-0000-0000AB4F0000}"/>
    <cellStyle name="Normal 22 4 7 3 2" xfId="20402" xr:uid="{00000000-0005-0000-0000-0000AC4F0000}"/>
    <cellStyle name="Normal 22 4 7 3 3" xfId="20403" xr:uid="{00000000-0005-0000-0000-0000AD4F0000}"/>
    <cellStyle name="Normal 22 4 7 3 4" xfId="20404" xr:uid="{00000000-0005-0000-0000-0000AE4F0000}"/>
    <cellStyle name="Normal 22 4 7 3 5" xfId="20405" xr:uid="{00000000-0005-0000-0000-0000AF4F0000}"/>
    <cellStyle name="Normal 22 4 7 3 6" xfId="20406" xr:uid="{00000000-0005-0000-0000-0000B04F0000}"/>
    <cellStyle name="Normal 22 4 7 4" xfId="20407" xr:uid="{00000000-0005-0000-0000-0000B14F0000}"/>
    <cellStyle name="Normal 22 4 7 5" xfId="20408" xr:uid="{00000000-0005-0000-0000-0000B24F0000}"/>
    <cellStyle name="Normal 22 4 7 6" xfId="20409" xr:uid="{00000000-0005-0000-0000-0000B34F0000}"/>
    <cellStyle name="Normal 22 4 7 7" xfId="20410" xr:uid="{00000000-0005-0000-0000-0000B44F0000}"/>
    <cellStyle name="Normal 22 4 7 8" xfId="20411" xr:uid="{00000000-0005-0000-0000-0000B54F0000}"/>
    <cellStyle name="Normal 22 4 8" xfId="20412" xr:uid="{00000000-0005-0000-0000-0000B64F0000}"/>
    <cellStyle name="Normal 22 4 8 2" xfId="20413" xr:uid="{00000000-0005-0000-0000-0000B74F0000}"/>
    <cellStyle name="Normal 22 4 8 3" xfId="20414" xr:uid="{00000000-0005-0000-0000-0000B84F0000}"/>
    <cellStyle name="Normal 22 4 8 4" xfId="20415" xr:uid="{00000000-0005-0000-0000-0000B94F0000}"/>
    <cellStyle name="Normal 22 4 8 5" xfId="20416" xr:uid="{00000000-0005-0000-0000-0000BA4F0000}"/>
    <cellStyle name="Normal 22 4 8 6" xfId="20417" xr:uid="{00000000-0005-0000-0000-0000BB4F0000}"/>
    <cellStyle name="Normal 22 4 9" xfId="20418" xr:uid="{00000000-0005-0000-0000-0000BC4F0000}"/>
    <cellStyle name="Normal 22 4 9 2" xfId="20419" xr:uid="{00000000-0005-0000-0000-0000BD4F0000}"/>
    <cellStyle name="Normal 22 4 9 3" xfId="20420" xr:uid="{00000000-0005-0000-0000-0000BE4F0000}"/>
    <cellStyle name="Normal 22 4 9 4" xfId="20421" xr:uid="{00000000-0005-0000-0000-0000BF4F0000}"/>
    <cellStyle name="Normal 22 4 9 5" xfId="20422" xr:uid="{00000000-0005-0000-0000-0000C04F0000}"/>
    <cellStyle name="Normal 22 4 9 6" xfId="20423" xr:uid="{00000000-0005-0000-0000-0000C14F0000}"/>
    <cellStyle name="Normal 22 5" xfId="20424" xr:uid="{00000000-0005-0000-0000-0000C24F0000}"/>
    <cellStyle name="Normal 22 5 10" xfId="20425" xr:uid="{00000000-0005-0000-0000-0000C34F0000}"/>
    <cellStyle name="Normal 22 5 11" xfId="20426" xr:uid="{00000000-0005-0000-0000-0000C44F0000}"/>
    <cellStyle name="Normal 22 5 12" xfId="20427" xr:uid="{00000000-0005-0000-0000-0000C54F0000}"/>
    <cellStyle name="Normal 22 5 2" xfId="20428" xr:uid="{00000000-0005-0000-0000-0000C64F0000}"/>
    <cellStyle name="Normal 22 5 2 10" xfId="20429" xr:uid="{00000000-0005-0000-0000-0000C74F0000}"/>
    <cellStyle name="Normal 22 5 2 11" xfId="20430" xr:uid="{00000000-0005-0000-0000-0000C84F0000}"/>
    <cellStyle name="Normal 22 5 2 2" xfId="20431" xr:uid="{00000000-0005-0000-0000-0000C94F0000}"/>
    <cellStyle name="Normal 22 5 2 2 2" xfId="20432" xr:uid="{00000000-0005-0000-0000-0000CA4F0000}"/>
    <cellStyle name="Normal 22 5 2 2 2 2" xfId="20433" xr:uid="{00000000-0005-0000-0000-0000CB4F0000}"/>
    <cellStyle name="Normal 22 5 2 2 2 3" xfId="20434" xr:uid="{00000000-0005-0000-0000-0000CC4F0000}"/>
    <cellStyle name="Normal 22 5 2 2 2 4" xfId="20435" xr:uid="{00000000-0005-0000-0000-0000CD4F0000}"/>
    <cellStyle name="Normal 22 5 2 2 2 5" xfId="20436" xr:uid="{00000000-0005-0000-0000-0000CE4F0000}"/>
    <cellStyle name="Normal 22 5 2 2 2 6" xfId="20437" xr:uid="{00000000-0005-0000-0000-0000CF4F0000}"/>
    <cellStyle name="Normal 22 5 2 2 3" xfId="20438" xr:uid="{00000000-0005-0000-0000-0000D04F0000}"/>
    <cellStyle name="Normal 22 5 2 2 3 2" xfId="20439" xr:uid="{00000000-0005-0000-0000-0000D14F0000}"/>
    <cellStyle name="Normal 22 5 2 2 3 3" xfId="20440" xr:uid="{00000000-0005-0000-0000-0000D24F0000}"/>
    <cellStyle name="Normal 22 5 2 2 3 4" xfId="20441" xr:uid="{00000000-0005-0000-0000-0000D34F0000}"/>
    <cellStyle name="Normal 22 5 2 2 3 5" xfId="20442" xr:uid="{00000000-0005-0000-0000-0000D44F0000}"/>
    <cellStyle name="Normal 22 5 2 2 3 6" xfId="20443" xr:uid="{00000000-0005-0000-0000-0000D54F0000}"/>
    <cellStyle name="Normal 22 5 2 2 4" xfId="20444" xr:uid="{00000000-0005-0000-0000-0000D64F0000}"/>
    <cellStyle name="Normal 22 5 2 2 5" xfId="20445" xr:uid="{00000000-0005-0000-0000-0000D74F0000}"/>
    <cellStyle name="Normal 22 5 2 2 6" xfId="20446" xr:uid="{00000000-0005-0000-0000-0000D84F0000}"/>
    <cellStyle name="Normal 22 5 2 2 7" xfId="20447" xr:uid="{00000000-0005-0000-0000-0000D94F0000}"/>
    <cellStyle name="Normal 22 5 2 2 8" xfId="20448" xr:uid="{00000000-0005-0000-0000-0000DA4F0000}"/>
    <cellStyle name="Normal 22 5 2 3" xfId="20449" xr:uid="{00000000-0005-0000-0000-0000DB4F0000}"/>
    <cellStyle name="Normal 22 5 2 3 2" xfId="20450" xr:uid="{00000000-0005-0000-0000-0000DC4F0000}"/>
    <cellStyle name="Normal 22 5 2 3 2 2" xfId="20451" xr:uid="{00000000-0005-0000-0000-0000DD4F0000}"/>
    <cellStyle name="Normal 22 5 2 3 2 3" xfId="20452" xr:uid="{00000000-0005-0000-0000-0000DE4F0000}"/>
    <cellStyle name="Normal 22 5 2 3 2 4" xfId="20453" xr:uid="{00000000-0005-0000-0000-0000DF4F0000}"/>
    <cellStyle name="Normal 22 5 2 3 2 5" xfId="20454" xr:uid="{00000000-0005-0000-0000-0000E04F0000}"/>
    <cellStyle name="Normal 22 5 2 3 2 6" xfId="20455" xr:uid="{00000000-0005-0000-0000-0000E14F0000}"/>
    <cellStyle name="Normal 22 5 2 3 3" xfId="20456" xr:uid="{00000000-0005-0000-0000-0000E24F0000}"/>
    <cellStyle name="Normal 22 5 2 3 3 2" xfId="20457" xr:uid="{00000000-0005-0000-0000-0000E34F0000}"/>
    <cellStyle name="Normal 22 5 2 3 3 3" xfId="20458" xr:uid="{00000000-0005-0000-0000-0000E44F0000}"/>
    <cellStyle name="Normal 22 5 2 3 3 4" xfId="20459" xr:uid="{00000000-0005-0000-0000-0000E54F0000}"/>
    <cellStyle name="Normal 22 5 2 3 3 5" xfId="20460" xr:uid="{00000000-0005-0000-0000-0000E64F0000}"/>
    <cellStyle name="Normal 22 5 2 3 3 6" xfId="20461" xr:uid="{00000000-0005-0000-0000-0000E74F0000}"/>
    <cellStyle name="Normal 22 5 2 3 4" xfId="20462" xr:uid="{00000000-0005-0000-0000-0000E84F0000}"/>
    <cellStyle name="Normal 22 5 2 3 5" xfId="20463" xr:uid="{00000000-0005-0000-0000-0000E94F0000}"/>
    <cellStyle name="Normal 22 5 2 3 6" xfId="20464" xr:uid="{00000000-0005-0000-0000-0000EA4F0000}"/>
    <cellStyle name="Normal 22 5 2 3 7" xfId="20465" xr:uid="{00000000-0005-0000-0000-0000EB4F0000}"/>
    <cellStyle name="Normal 22 5 2 3 8" xfId="20466" xr:uid="{00000000-0005-0000-0000-0000EC4F0000}"/>
    <cellStyle name="Normal 22 5 2 4" xfId="20467" xr:uid="{00000000-0005-0000-0000-0000ED4F0000}"/>
    <cellStyle name="Normal 22 5 2 4 2" xfId="20468" xr:uid="{00000000-0005-0000-0000-0000EE4F0000}"/>
    <cellStyle name="Normal 22 5 2 4 2 2" xfId="20469" xr:uid="{00000000-0005-0000-0000-0000EF4F0000}"/>
    <cellStyle name="Normal 22 5 2 4 2 3" xfId="20470" xr:uid="{00000000-0005-0000-0000-0000F04F0000}"/>
    <cellStyle name="Normal 22 5 2 4 2 4" xfId="20471" xr:uid="{00000000-0005-0000-0000-0000F14F0000}"/>
    <cellStyle name="Normal 22 5 2 4 2 5" xfId="20472" xr:uid="{00000000-0005-0000-0000-0000F24F0000}"/>
    <cellStyle name="Normal 22 5 2 4 2 6" xfId="20473" xr:uid="{00000000-0005-0000-0000-0000F34F0000}"/>
    <cellStyle name="Normal 22 5 2 4 3" xfId="20474" xr:uid="{00000000-0005-0000-0000-0000F44F0000}"/>
    <cellStyle name="Normal 22 5 2 4 3 2" xfId="20475" xr:uid="{00000000-0005-0000-0000-0000F54F0000}"/>
    <cellStyle name="Normal 22 5 2 4 3 3" xfId="20476" xr:uid="{00000000-0005-0000-0000-0000F64F0000}"/>
    <cellStyle name="Normal 22 5 2 4 3 4" xfId="20477" xr:uid="{00000000-0005-0000-0000-0000F74F0000}"/>
    <cellStyle name="Normal 22 5 2 4 3 5" xfId="20478" xr:uid="{00000000-0005-0000-0000-0000F84F0000}"/>
    <cellStyle name="Normal 22 5 2 4 3 6" xfId="20479" xr:uid="{00000000-0005-0000-0000-0000F94F0000}"/>
    <cellStyle name="Normal 22 5 2 4 4" xfId="20480" xr:uid="{00000000-0005-0000-0000-0000FA4F0000}"/>
    <cellStyle name="Normal 22 5 2 4 5" xfId="20481" xr:uid="{00000000-0005-0000-0000-0000FB4F0000}"/>
    <cellStyle name="Normal 22 5 2 4 6" xfId="20482" xr:uid="{00000000-0005-0000-0000-0000FC4F0000}"/>
    <cellStyle name="Normal 22 5 2 4 7" xfId="20483" xr:uid="{00000000-0005-0000-0000-0000FD4F0000}"/>
    <cellStyle name="Normal 22 5 2 4 8" xfId="20484" xr:uid="{00000000-0005-0000-0000-0000FE4F0000}"/>
    <cellStyle name="Normal 22 5 2 5" xfId="20485" xr:uid="{00000000-0005-0000-0000-0000FF4F0000}"/>
    <cellStyle name="Normal 22 5 2 5 2" xfId="20486" xr:uid="{00000000-0005-0000-0000-000000500000}"/>
    <cellStyle name="Normal 22 5 2 5 3" xfId="20487" xr:uid="{00000000-0005-0000-0000-000001500000}"/>
    <cellStyle name="Normal 22 5 2 5 4" xfId="20488" xr:uid="{00000000-0005-0000-0000-000002500000}"/>
    <cellStyle name="Normal 22 5 2 5 5" xfId="20489" xr:uid="{00000000-0005-0000-0000-000003500000}"/>
    <cellStyle name="Normal 22 5 2 5 6" xfId="20490" xr:uid="{00000000-0005-0000-0000-000004500000}"/>
    <cellStyle name="Normal 22 5 2 6" xfId="20491" xr:uid="{00000000-0005-0000-0000-000005500000}"/>
    <cellStyle name="Normal 22 5 2 6 2" xfId="20492" xr:uid="{00000000-0005-0000-0000-000006500000}"/>
    <cellStyle name="Normal 22 5 2 6 3" xfId="20493" xr:uid="{00000000-0005-0000-0000-000007500000}"/>
    <cellStyle name="Normal 22 5 2 6 4" xfId="20494" xr:uid="{00000000-0005-0000-0000-000008500000}"/>
    <cellStyle name="Normal 22 5 2 6 5" xfId="20495" xr:uid="{00000000-0005-0000-0000-000009500000}"/>
    <cellStyle name="Normal 22 5 2 6 6" xfId="20496" xr:uid="{00000000-0005-0000-0000-00000A500000}"/>
    <cellStyle name="Normal 22 5 2 7" xfId="20497" xr:uid="{00000000-0005-0000-0000-00000B500000}"/>
    <cellStyle name="Normal 22 5 2 8" xfId="20498" xr:uid="{00000000-0005-0000-0000-00000C500000}"/>
    <cellStyle name="Normal 22 5 2 9" xfId="20499" xr:uid="{00000000-0005-0000-0000-00000D500000}"/>
    <cellStyle name="Normal 22 5 3" xfId="20500" xr:uid="{00000000-0005-0000-0000-00000E500000}"/>
    <cellStyle name="Normal 22 5 3 2" xfId="20501" xr:uid="{00000000-0005-0000-0000-00000F500000}"/>
    <cellStyle name="Normal 22 5 3 2 2" xfId="20502" xr:uid="{00000000-0005-0000-0000-000010500000}"/>
    <cellStyle name="Normal 22 5 3 2 3" xfId="20503" xr:uid="{00000000-0005-0000-0000-000011500000}"/>
    <cellStyle name="Normal 22 5 3 2 4" xfId="20504" xr:uid="{00000000-0005-0000-0000-000012500000}"/>
    <cellStyle name="Normal 22 5 3 2 5" xfId="20505" xr:uid="{00000000-0005-0000-0000-000013500000}"/>
    <cellStyle name="Normal 22 5 3 2 6" xfId="20506" xr:uid="{00000000-0005-0000-0000-000014500000}"/>
    <cellStyle name="Normal 22 5 3 3" xfId="20507" xr:uid="{00000000-0005-0000-0000-000015500000}"/>
    <cellStyle name="Normal 22 5 3 3 2" xfId="20508" xr:uid="{00000000-0005-0000-0000-000016500000}"/>
    <cellStyle name="Normal 22 5 3 3 3" xfId="20509" xr:uid="{00000000-0005-0000-0000-000017500000}"/>
    <cellStyle name="Normal 22 5 3 3 4" xfId="20510" xr:uid="{00000000-0005-0000-0000-000018500000}"/>
    <cellStyle name="Normal 22 5 3 3 5" xfId="20511" xr:uid="{00000000-0005-0000-0000-000019500000}"/>
    <cellStyle name="Normal 22 5 3 3 6" xfId="20512" xr:uid="{00000000-0005-0000-0000-00001A500000}"/>
    <cellStyle name="Normal 22 5 3 4" xfId="20513" xr:uid="{00000000-0005-0000-0000-00001B500000}"/>
    <cellStyle name="Normal 22 5 3 5" xfId="20514" xr:uid="{00000000-0005-0000-0000-00001C500000}"/>
    <cellStyle name="Normal 22 5 3 6" xfId="20515" xr:uid="{00000000-0005-0000-0000-00001D500000}"/>
    <cellStyle name="Normal 22 5 3 7" xfId="20516" xr:uid="{00000000-0005-0000-0000-00001E500000}"/>
    <cellStyle name="Normal 22 5 3 8" xfId="20517" xr:uid="{00000000-0005-0000-0000-00001F500000}"/>
    <cellStyle name="Normal 22 5 4" xfId="20518" xr:uid="{00000000-0005-0000-0000-000020500000}"/>
    <cellStyle name="Normal 22 5 4 2" xfId="20519" xr:uid="{00000000-0005-0000-0000-000021500000}"/>
    <cellStyle name="Normal 22 5 4 2 2" xfId="20520" xr:uid="{00000000-0005-0000-0000-000022500000}"/>
    <cellStyle name="Normal 22 5 4 2 3" xfId="20521" xr:uid="{00000000-0005-0000-0000-000023500000}"/>
    <cellStyle name="Normal 22 5 4 2 4" xfId="20522" xr:uid="{00000000-0005-0000-0000-000024500000}"/>
    <cellStyle name="Normal 22 5 4 2 5" xfId="20523" xr:uid="{00000000-0005-0000-0000-000025500000}"/>
    <cellStyle name="Normal 22 5 4 2 6" xfId="20524" xr:uid="{00000000-0005-0000-0000-000026500000}"/>
    <cellStyle name="Normal 22 5 4 3" xfId="20525" xr:uid="{00000000-0005-0000-0000-000027500000}"/>
    <cellStyle name="Normal 22 5 4 3 2" xfId="20526" xr:uid="{00000000-0005-0000-0000-000028500000}"/>
    <cellStyle name="Normal 22 5 4 3 3" xfId="20527" xr:uid="{00000000-0005-0000-0000-000029500000}"/>
    <cellStyle name="Normal 22 5 4 3 4" xfId="20528" xr:uid="{00000000-0005-0000-0000-00002A500000}"/>
    <cellStyle name="Normal 22 5 4 3 5" xfId="20529" xr:uid="{00000000-0005-0000-0000-00002B500000}"/>
    <cellStyle name="Normal 22 5 4 3 6" xfId="20530" xr:uid="{00000000-0005-0000-0000-00002C500000}"/>
    <cellStyle name="Normal 22 5 4 4" xfId="20531" xr:uid="{00000000-0005-0000-0000-00002D500000}"/>
    <cellStyle name="Normal 22 5 4 5" xfId="20532" xr:uid="{00000000-0005-0000-0000-00002E500000}"/>
    <cellStyle name="Normal 22 5 4 6" xfId="20533" xr:uid="{00000000-0005-0000-0000-00002F500000}"/>
    <cellStyle name="Normal 22 5 4 7" xfId="20534" xr:uid="{00000000-0005-0000-0000-000030500000}"/>
    <cellStyle name="Normal 22 5 4 8" xfId="20535" xr:uid="{00000000-0005-0000-0000-000031500000}"/>
    <cellStyle name="Normal 22 5 5" xfId="20536" xr:uid="{00000000-0005-0000-0000-000032500000}"/>
    <cellStyle name="Normal 22 5 5 2" xfId="20537" xr:uid="{00000000-0005-0000-0000-000033500000}"/>
    <cellStyle name="Normal 22 5 5 2 2" xfId="20538" xr:uid="{00000000-0005-0000-0000-000034500000}"/>
    <cellStyle name="Normal 22 5 5 2 3" xfId="20539" xr:uid="{00000000-0005-0000-0000-000035500000}"/>
    <cellStyle name="Normal 22 5 5 2 4" xfId="20540" xr:uid="{00000000-0005-0000-0000-000036500000}"/>
    <cellStyle name="Normal 22 5 5 2 5" xfId="20541" xr:uid="{00000000-0005-0000-0000-000037500000}"/>
    <cellStyle name="Normal 22 5 5 2 6" xfId="20542" xr:uid="{00000000-0005-0000-0000-000038500000}"/>
    <cellStyle name="Normal 22 5 5 3" xfId="20543" xr:uid="{00000000-0005-0000-0000-000039500000}"/>
    <cellStyle name="Normal 22 5 5 3 2" xfId="20544" xr:uid="{00000000-0005-0000-0000-00003A500000}"/>
    <cellStyle name="Normal 22 5 5 3 3" xfId="20545" xr:uid="{00000000-0005-0000-0000-00003B500000}"/>
    <cellStyle name="Normal 22 5 5 3 4" xfId="20546" xr:uid="{00000000-0005-0000-0000-00003C500000}"/>
    <cellStyle name="Normal 22 5 5 3 5" xfId="20547" xr:uid="{00000000-0005-0000-0000-00003D500000}"/>
    <cellStyle name="Normal 22 5 5 3 6" xfId="20548" xr:uid="{00000000-0005-0000-0000-00003E500000}"/>
    <cellStyle name="Normal 22 5 5 4" xfId="20549" xr:uid="{00000000-0005-0000-0000-00003F500000}"/>
    <cellStyle name="Normal 22 5 5 5" xfId="20550" xr:uid="{00000000-0005-0000-0000-000040500000}"/>
    <cellStyle name="Normal 22 5 5 6" xfId="20551" xr:uid="{00000000-0005-0000-0000-000041500000}"/>
    <cellStyle name="Normal 22 5 5 7" xfId="20552" xr:uid="{00000000-0005-0000-0000-000042500000}"/>
    <cellStyle name="Normal 22 5 5 8" xfId="20553" xr:uid="{00000000-0005-0000-0000-000043500000}"/>
    <cellStyle name="Normal 22 5 6" xfId="20554" xr:uid="{00000000-0005-0000-0000-000044500000}"/>
    <cellStyle name="Normal 22 5 6 2" xfId="20555" xr:uid="{00000000-0005-0000-0000-000045500000}"/>
    <cellStyle name="Normal 22 5 6 3" xfId="20556" xr:uid="{00000000-0005-0000-0000-000046500000}"/>
    <cellStyle name="Normal 22 5 6 4" xfId="20557" xr:uid="{00000000-0005-0000-0000-000047500000}"/>
    <cellStyle name="Normal 22 5 6 5" xfId="20558" xr:uid="{00000000-0005-0000-0000-000048500000}"/>
    <cellStyle name="Normal 22 5 6 6" xfId="20559" xr:uid="{00000000-0005-0000-0000-000049500000}"/>
    <cellStyle name="Normal 22 5 7" xfId="20560" xr:uid="{00000000-0005-0000-0000-00004A500000}"/>
    <cellStyle name="Normal 22 5 7 2" xfId="20561" xr:uid="{00000000-0005-0000-0000-00004B500000}"/>
    <cellStyle name="Normal 22 5 7 3" xfId="20562" xr:uid="{00000000-0005-0000-0000-00004C500000}"/>
    <cellStyle name="Normal 22 5 7 4" xfId="20563" xr:uid="{00000000-0005-0000-0000-00004D500000}"/>
    <cellStyle name="Normal 22 5 7 5" xfId="20564" xr:uid="{00000000-0005-0000-0000-00004E500000}"/>
    <cellStyle name="Normal 22 5 7 6" xfId="20565" xr:uid="{00000000-0005-0000-0000-00004F500000}"/>
    <cellStyle name="Normal 22 5 8" xfId="20566" xr:uid="{00000000-0005-0000-0000-000050500000}"/>
    <cellStyle name="Normal 22 5 9" xfId="20567" xr:uid="{00000000-0005-0000-0000-000051500000}"/>
    <cellStyle name="Normal 22 6" xfId="20568" xr:uid="{00000000-0005-0000-0000-000052500000}"/>
    <cellStyle name="Normal 22 6 10" xfId="20569" xr:uid="{00000000-0005-0000-0000-000053500000}"/>
    <cellStyle name="Normal 22 6 11" xfId="20570" xr:uid="{00000000-0005-0000-0000-000054500000}"/>
    <cellStyle name="Normal 22 6 12" xfId="20571" xr:uid="{00000000-0005-0000-0000-000055500000}"/>
    <cellStyle name="Normal 22 6 2" xfId="20572" xr:uid="{00000000-0005-0000-0000-000056500000}"/>
    <cellStyle name="Normal 22 6 2 10" xfId="20573" xr:uid="{00000000-0005-0000-0000-000057500000}"/>
    <cellStyle name="Normal 22 6 2 11" xfId="20574" xr:uid="{00000000-0005-0000-0000-000058500000}"/>
    <cellStyle name="Normal 22 6 2 2" xfId="20575" xr:uid="{00000000-0005-0000-0000-000059500000}"/>
    <cellStyle name="Normal 22 6 2 2 2" xfId="20576" xr:uid="{00000000-0005-0000-0000-00005A500000}"/>
    <cellStyle name="Normal 22 6 2 2 2 2" xfId="20577" xr:uid="{00000000-0005-0000-0000-00005B500000}"/>
    <cellStyle name="Normal 22 6 2 2 2 3" xfId="20578" xr:uid="{00000000-0005-0000-0000-00005C500000}"/>
    <cellStyle name="Normal 22 6 2 2 2 4" xfId="20579" xr:uid="{00000000-0005-0000-0000-00005D500000}"/>
    <cellStyle name="Normal 22 6 2 2 2 5" xfId="20580" xr:uid="{00000000-0005-0000-0000-00005E500000}"/>
    <cellStyle name="Normal 22 6 2 2 2 6" xfId="20581" xr:uid="{00000000-0005-0000-0000-00005F500000}"/>
    <cellStyle name="Normal 22 6 2 2 3" xfId="20582" xr:uid="{00000000-0005-0000-0000-000060500000}"/>
    <cellStyle name="Normal 22 6 2 2 3 2" xfId="20583" xr:uid="{00000000-0005-0000-0000-000061500000}"/>
    <cellStyle name="Normal 22 6 2 2 3 3" xfId="20584" xr:uid="{00000000-0005-0000-0000-000062500000}"/>
    <cellStyle name="Normal 22 6 2 2 3 4" xfId="20585" xr:uid="{00000000-0005-0000-0000-000063500000}"/>
    <cellStyle name="Normal 22 6 2 2 3 5" xfId="20586" xr:uid="{00000000-0005-0000-0000-000064500000}"/>
    <cellStyle name="Normal 22 6 2 2 3 6" xfId="20587" xr:uid="{00000000-0005-0000-0000-000065500000}"/>
    <cellStyle name="Normal 22 6 2 2 4" xfId="20588" xr:uid="{00000000-0005-0000-0000-000066500000}"/>
    <cellStyle name="Normal 22 6 2 2 5" xfId="20589" xr:uid="{00000000-0005-0000-0000-000067500000}"/>
    <cellStyle name="Normal 22 6 2 2 6" xfId="20590" xr:uid="{00000000-0005-0000-0000-000068500000}"/>
    <cellStyle name="Normal 22 6 2 2 7" xfId="20591" xr:uid="{00000000-0005-0000-0000-000069500000}"/>
    <cellStyle name="Normal 22 6 2 2 8" xfId="20592" xr:uid="{00000000-0005-0000-0000-00006A500000}"/>
    <cellStyle name="Normal 22 6 2 3" xfId="20593" xr:uid="{00000000-0005-0000-0000-00006B500000}"/>
    <cellStyle name="Normal 22 6 2 3 2" xfId="20594" xr:uid="{00000000-0005-0000-0000-00006C500000}"/>
    <cellStyle name="Normal 22 6 2 3 2 2" xfId="20595" xr:uid="{00000000-0005-0000-0000-00006D500000}"/>
    <cellStyle name="Normal 22 6 2 3 2 3" xfId="20596" xr:uid="{00000000-0005-0000-0000-00006E500000}"/>
    <cellStyle name="Normal 22 6 2 3 2 4" xfId="20597" xr:uid="{00000000-0005-0000-0000-00006F500000}"/>
    <cellStyle name="Normal 22 6 2 3 2 5" xfId="20598" xr:uid="{00000000-0005-0000-0000-000070500000}"/>
    <cellStyle name="Normal 22 6 2 3 2 6" xfId="20599" xr:uid="{00000000-0005-0000-0000-000071500000}"/>
    <cellStyle name="Normal 22 6 2 3 3" xfId="20600" xr:uid="{00000000-0005-0000-0000-000072500000}"/>
    <cellStyle name="Normal 22 6 2 3 3 2" xfId="20601" xr:uid="{00000000-0005-0000-0000-000073500000}"/>
    <cellStyle name="Normal 22 6 2 3 3 3" xfId="20602" xr:uid="{00000000-0005-0000-0000-000074500000}"/>
    <cellStyle name="Normal 22 6 2 3 3 4" xfId="20603" xr:uid="{00000000-0005-0000-0000-000075500000}"/>
    <cellStyle name="Normal 22 6 2 3 3 5" xfId="20604" xr:uid="{00000000-0005-0000-0000-000076500000}"/>
    <cellStyle name="Normal 22 6 2 3 3 6" xfId="20605" xr:uid="{00000000-0005-0000-0000-000077500000}"/>
    <cellStyle name="Normal 22 6 2 3 4" xfId="20606" xr:uid="{00000000-0005-0000-0000-000078500000}"/>
    <cellStyle name="Normal 22 6 2 3 5" xfId="20607" xr:uid="{00000000-0005-0000-0000-000079500000}"/>
    <cellStyle name="Normal 22 6 2 3 6" xfId="20608" xr:uid="{00000000-0005-0000-0000-00007A500000}"/>
    <cellStyle name="Normal 22 6 2 3 7" xfId="20609" xr:uid="{00000000-0005-0000-0000-00007B500000}"/>
    <cellStyle name="Normal 22 6 2 3 8" xfId="20610" xr:uid="{00000000-0005-0000-0000-00007C500000}"/>
    <cellStyle name="Normal 22 6 2 4" xfId="20611" xr:uid="{00000000-0005-0000-0000-00007D500000}"/>
    <cellStyle name="Normal 22 6 2 4 2" xfId="20612" xr:uid="{00000000-0005-0000-0000-00007E500000}"/>
    <cellStyle name="Normal 22 6 2 4 2 2" xfId="20613" xr:uid="{00000000-0005-0000-0000-00007F500000}"/>
    <cellStyle name="Normal 22 6 2 4 2 3" xfId="20614" xr:uid="{00000000-0005-0000-0000-000080500000}"/>
    <cellStyle name="Normal 22 6 2 4 2 4" xfId="20615" xr:uid="{00000000-0005-0000-0000-000081500000}"/>
    <cellStyle name="Normal 22 6 2 4 2 5" xfId="20616" xr:uid="{00000000-0005-0000-0000-000082500000}"/>
    <cellStyle name="Normal 22 6 2 4 2 6" xfId="20617" xr:uid="{00000000-0005-0000-0000-000083500000}"/>
    <cellStyle name="Normal 22 6 2 4 3" xfId="20618" xr:uid="{00000000-0005-0000-0000-000084500000}"/>
    <cellStyle name="Normal 22 6 2 4 3 2" xfId="20619" xr:uid="{00000000-0005-0000-0000-000085500000}"/>
    <cellStyle name="Normal 22 6 2 4 3 3" xfId="20620" xr:uid="{00000000-0005-0000-0000-000086500000}"/>
    <cellStyle name="Normal 22 6 2 4 3 4" xfId="20621" xr:uid="{00000000-0005-0000-0000-000087500000}"/>
    <cellStyle name="Normal 22 6 2 4 3 5" xfId="20622" xr:uid="{00000000-0005-0000-0000-000088500000}"/>
    <cellStyle name="Normal 22 6 2 4 3 6" xfId="20623" xr:uid="{00000000-0005-0000-0000-000089500000}"/>
    <cellStyle name="Normal 22 6 2 4 4" xfId="20624" xr:uid="{00000000-0005-0000-0000-00008A500000}"/>
    <cellStyle name="Normal 22 6 2 4 5" xfId="20625" xr:uid="{00000000-0005-0000-0000-00008B500000}"/>
    <cellStyle name="Normal 22 6 2 4 6" xfId="20626" xr:uid="{00000000-0005-0000-0000-00008C500000}"/>
    <cellStyle name="Normal 22 6 2 4 7" xfId="20627" xr:uid="{00000000-0005-0000-0000-00008D500000}"/>
    <cellStyle name="Normal 22 6 2 4 8" xfId="20628" xr:uid="{00000000-0005-0000-0000-00008E500000}"/>
    <cellStyle name="Normal 22 6 2 5" xfId="20629" xr:uid="{00000000-0005-0000-0000-00008F500000}"/>
    <cellStyle name="Normal 22 6 2 5 2" xfId="20630" xr:uid="{00000000-0005-0000-0000-000090500000}"/>
    <cellStyle name="Normal 22 6 2 5 3" xfId="20631" xr:uid="{00000000-0005-0000-0000-000091500000}"/>
    <cellStyle name="Normal 22 6 2 5 4" xfId="20632" xr:uid="{00000000-0005-0000-0000-000092500000}"/>
    <cellStyle name="Normal 22 6 2 5 5" xfId="20633" xr:uid="{00000000-0005-0000-0000-000093500000}"/>
    <cellStyle name="Normal 22 6 2 5 6" xfId="20634" xr:uid="{00000000-0005-0000-0000-000094500000}"/>
    <cellStyle name="Normal 22 6 2 6" xfId="20635" xr:uid="{00000000-0005-0000-0000-000095500000}"/>
    <cellStyle name="Normal 22 6 2 6 2" xfId="20636" xr:uid="{00000000-0005-0000-0000-000096500000}"/>
    <cellStyle name="Normal 22 6 2 6 3" xfId="20637" xr:uid="{00000000-0005-0000-0000-000097500000}"/>
    <cellStyle name="Normal 22 6 2 6 4" xfId="20638" xr:uid="{00000000-0005-0000-0000-000098500000}"/>
    <cellStyle name="Normal 22 6 2 6 5" xfId="20639" xr:uid="{00000000-0005-0000-0000-000099500000}"/>
    <cellStyle name="Normal 22 6 2 6 6" xfId="20640" xr:uid="{00000000-0005-0000-0000-00009A500000}"/>
    <cellStyle name="Normal 22 6 2 7" xfId="20641" xr:uid="{00000000-0005-0000-0000-00009B500000}"/>
    <cellStyle name="Normal 22 6 2 8" xfId="20642" xr:uid="{00000000-0005-0000-0000-00009C500000}"/>
    <cellStyle name="Normal 22 6 2 9" xfId="20643" xr:uid="{00000000-0005-0000-0000-00009D500000}"/>
    <cellStyle name="Normal 22 6 3" xfId="20644" xr:uid="{00000000-0005-0000-0000-00009E500000}"/>
    <cellStyle name="Normal 22 6 3 2" xfId="20645" xr:uid="{00000000-0005-0000-0000-00009F500000}"/>
    <cellStyle name="Normal 22 6 3 2 2" xfId="20646" xr:uid="{00000000-0005-0000-0000-0000A0500000}"/>
    <cellStyle name="Normal 22 6 3 2 3" xfId="20647" xr:uid="{00000000-0005-0000-0000-0000A1500000}"/>
    <cellStyle name="Normal 22 6 3 2 4" xfId="20648" xr:uid="{00000000-0005-0000-0000-0000A2500000}"/>
    <cellStyle name="Normal 22 6 3 2 5" xfId="20649" xr:uid="{00000000-0005-0000-0000-0000A3500000}"/>
    <cellStyle name="Normal 22 6 3 2 6" xfId="20650" xr:uid="{00000000-0005-0000-0000-0000A4500000}"/>
    <cellStyle name="Normal 22 6 3 3" xfId="20651" xr:uid="{00000000-0005-0000-0000-0000A5500000}"/>
    <cellStyle name="Normal 22 6 3 3 2" xfId="20652" xr:uid="{00000000-0005-0000-0000-0000A6500000}"/>
    <cellStyle name="Normal 22 6 3 3 3" xfId="20653" xr:uid="{00000000-0005-0000-0000-0000A7500000}"/>
    <cellStyle name="Normal 22 6 3 3 4" xfId="20654" xr:uid="{00000000-0005-0000-0000-0000A8500000}"/>
    <cellStyle name="Normal 22 6 3 3 5" xfId="20655" xr:uid="{00000000-0005-0000-0000-0000A9500000}"/>
    <cellStyle name="Normal 22 6 3 3 6" xfId="20656" xr:uid="{00000000-0005-0000-0000-0000AA500000}"/>
    <cellStyle name="Normal 22 6 3 4" xfId="20657" xr:uid="{00000000-0005-0000-0000-0000AB500000}"/>
    <cellStyle name="Normal 22 6 3 5" xfId="20658" xr:uid="{00000000-0005-0000-0000-0000AC500000}"/>
    <cellStyle name="Normal 22 6 3 6" xfId="20659" xr:uid="{00000000-0005-0000-0000-0000AD500000}"/>
    <cellStyle name="Normal 22 6 3 7" xfId="20660" xr:uid="{00000000-0005-0000-0000-0000AE500000}"/>
    <cellStyle name="Normal 22 6 3 8" xfId="20661" xr:uid="{00000000-0005-0000-0000-0000AF500000}"/>
    <cellStyle name="Normal 22 6 4" xfId="20662" xr:uid="{00000000-0005-0000-0000-0000B0500000}"/>
    <cellStyle name="Normal 22 6 4 2" xfId="20663" xr:uid="{00000000-0005-0000-0000-0000B1500000}"/>
    <cellStyle name="Normal 22 6 4 2 2" xfId="20664" xr:uid="{00000000-0005-0000-0000-0000B2500000}"/>
    <cellStyle name="Normal 22 6 4 2 3" xfId="20665" xr:uid="{00000000-0005-0000-0000-0000B3500000}"/>
    <cellStyle name="Normal 22 6 4 2 4" xfId="20666" xr:uid="{00000000-0005-0000-0000-0000B4500000}"/>
    <cellStyle name="Normal 22 6 4 2 5" xfId="20667" xr:uid="{00000000-0005-0000-0000-0000B5500000}"/>
    <cellStyle name="Normal 22 6 4 2 6" xfId="20668" xr:uid="{00000000-0005-0000-0000-0000B6500000}"/>
    <cellStyle name="Normal 22 6 4 3" xfId="20669" xr:uid="{00000000-0005-0000-0000-0000B7500000}"/>
    <cellStyle name="Normal 22 6 4 3 2" xfId="20670" xr:uid="{00000000-0005-0000-0000-0000B8500000}"/>
    <cellStyle name="Normal 22 6 4 3 3" xfId="20671" xr:uid="{00000000-0005-0000-0000-0000B9500000}"/>
    <cellStyle name="Normal 22 6 4 3 4" xfId="20672" xr:uid="{00000000-0005-0000-0000-0000BA500000}"/>
    <cellStyle name="Normal 22 6 4 3 5" xfId="20673" xr:uid="{00000000-0005-0000-0000-0000BB500000}"/>
    <cellStyle name="Normal 22 6 4 3 6" xfId="20674" xr:uid="{00000000-0005-0000-0000-0000BC500000}"/>
    <cellStyle name="Normal 22 6 4 4" xfId="20675" xr:uid="{00000000-0005-0000-0000-0000BD500000}"/>
    <cellStyle name="Normal 22 6 4 5" xfId="20676" xr:uid="{00000000-0005-0000-0000-0000BE500000}"/>
    <cellStyle name="Normal 22 6 4 6" xfId="20677" xr:uid="{00000000-0005-0000-0000-0000BF500000}"/>
    <cellStyle name="Normal 22 6 4 7" xfId="20678" xr:uid="{00000000-0005-0000-0000-0000C0500000}"/>
    <cellStyle name="Normal 22 6 4 8" xfId="20679" xr:uid="{00000000-0005-0000-0000-0000C1500000}"/>
    <cellStyle name="Normal 22 6 5" xfId="20680" xr:uid="{00000000-0005-0000-0000-0000C2500000}"/>
    <cellStyle name="Normal 22 6 5 2" xfId="20681" xr:uid="{00000000-0005-0000-0000-0000C3500000}"/>
    <cellStyle name="Normal 22 6 5 2 2" xfId="20682" xr:uid="{00000000-0005-0000-0000-0000C4500000}"/>
    <cellStyle name="Normal 22 6 5 2 3" xfId="20683" xr:uid="{00000000-0005-0000-0000-0000C5500000}"/>
    <cellStyle name="Normal 22 6 5 2 4" xfId="20684" xr:uid="{00000000-0005-0000-0000-0000C6500000}"/>
    <cellStyle name="Normal 22 6 5 2 5" xfId="20685" xr:uid="{00000000-0005-0000-0000-0000C7500000}"/>
    <cellStyle name="Normal 22 6 5 2 6" xfId="20686" xr:uid="{00000000-0005-0000-0000-0000C8500000}"/>
    <cellStyle name="Normal 22 6 5 3" xfId="20687" xr:uid="{00000000-0005-0000-0000-0000C9500000}"/>
    <cellStyle name="Normal 22 6 5 3 2" xfId="20688" xr:uid="{00000000-0005-0000-0000-0000CA500000}"/>
    <cellStyle name="Normal 22 6 5 3 3" xfId="20689" xr:uid="{00000000-0005-0000-0000-0000CB500000}"/>
    <cellStyle name="Normal 22 6 5 3 4" xfId="20690" xr:uid="{00000000-0005-0000-0000-0000CC500000}"/>
    <cellStyle name="Normal 22 6 5 3 5" xfId="20691" xr:uid="{00000000-0005-0000-0000-0000CD500000}"/>
    <cellStyle name="Normal 22 6 5 3 6" xfId="20692" xr:uid="{00000000-0005-0000-0000-0000CE500000}"/>
    <cellStyle name="Normal 22 6 5 4" xfId="20693" xr:uid="{00000000-0005-0000-0000-0000CF500000}"/>
    <cellStyle name="Normal 22 6 5 5" xfId="20694" xr:uid="{00000000-0005-0000-0000-0000D0500000}"/>
    <cellStyle name="Normal 22 6 5 6" xfId="20695" xr:uid="{00000000-0005-0000-0000-0000D1500000}"/>
    <cellStyle name="Normal 22 6 5 7" xfId="20696" xr:uid="{00000000-0005-0000-0000-0000D2500000}"/>
    <cellStyle name="Normal 22 6 5 8" xfId="20697" xr:uid="{00000000-0005-0000-0000-0000D3500000}"/>
    <cellStyle name="Normal 22 6 6" xfId="20698" xr:uid="{00000000-0005-0000-0000-0000D4500000}"/>
    <cellStyle name="Normal 22 6 6 2" xfId="20699" xr:uid="{00000000-0005-0000-0000-0000D5500000}"/>
    <cellStyle name="Normal 22 6 6 3" xfId="20700" xr:uid="{00000000-0005-0000-0000-0000D6500000}"/>
    <cellStyle name="Normal 22 6 6 4" xfId="20701" xr:uid="{00000000-0005-0000-0000-0000D7500000}"/>
    <cellStyle name="Normal 22 6 6 5" xfId="20702" xr:uid="{00000000-0005-0000-0000-0000D8500000}"/>
    <cellStyle name="Normal 22 6 6 6" xfId="20703" xr:uid="{00000000-0005-0000-0000-0000D9500000}"/>
    <cellStyle name="Normal 22 6 7" xfId="20704" xr:uid="{00000000-0005-0000-0000-0000DA500000}"/>
    <cellStyle name="Normal 22 6 7 2" xfId="20705" xr:uid="{00000000-0005-0000-0000-0000DB500000}"/>
    <cellStyle name="Normal 22 6 7 3" xfId="20706" xr:uid="{00000000-0005-0000-0000-0000DC500000}"/>
    <cellStyle name="Normal 22 6 7 4" xfId="20707" xr:uid="{00000000-0005-0000-0000-0000DD500000}"/>
    <cellStyle name="Normal 22 6 7 5" xfId="20708" xr:uid="{00000000-0005-0000-0000-0000DE500000}"/>
    <cellStyle name="Normal 22 6 7 6" xfId="20709" xr:uid="{00000000-0005-0000-0000-0000DF500000}"/>
    <cellStyle name="Normal 22 6 8" xfId="20710" xr:uid="{00000000-0005-0000-0000-0000E0500000}"/>
    <cellStyle name="Normal 22 6 9" xfId="20711" xr:uid="{00000000-0005-0000-0000-0000E1500000}"/>
    <cellStyle name="Normal 22 7" xfId="20712" xr:uid="{00000000-0005-0000-0000-0000E2500000}"/>
    <cellStyle name="Normal 22 7 10" xfId="20713" xr:uid="{00000000-0005-0000-0000-0000E3500000}"/>
    <cellStyle name="Normal 22 7 11" xfId="20714" xr:uid="{00000000-0005-0000-0000-0000E4500000}"/>
    <cellStyle name="Normal 22 7 2" xfId="20715" xr:uid="{00000000-0005-0000-0000-0000E5500000}"/>
    <cellStyle name="Normal 22 7 2 2" xfId="20716" xr:uid="{00000000-0005-0000-0000-0000E6500000}"/>
    <cellStyle name="Normal 22 7 2 2 2" xfId="20717" xr:uid="{00000000-0005-0000-0000-0000E7500000}"/>
    <cellStyle name="Normal 22 7 2 2 3" xfId="20718" xr:uid="{00000000-0005-0000-0000-0000E8500000}"/>
    <cellStyle name="Normal 22 7 2 2 4" xfId="20719" xr:uid="{00000000-0005-0000-0000-0000E9500000}"/>
    <cellStyle name="Normal 22 7 2 2 5" xfId="20720" xr:uid="{00000000-0005-0000-0000-0000EA500000}"/>
    <cellStyle name="Normal 22 7 2 2 6" xfId="20721" xr:uid="{00000000-0005-0000-0000-0000EB500000}"/>
    <cellStyle name="Normal 22 7 2 3" xfId="20722" xr:uid="{00000000-0005-0000-0000-0000EC500000}"/>
    <cellStyle name="Normal 22 7 2 3 2" xfId="20723" xr:uid="{00000000-0005-0000-0000-0000ED500000}"/>
    <cellStyle name="Normal 22 7 2 3 3" xfId="20724" xr:uid="{00000000-0005-0000-0000-0000EE500000}"/>
    <cellStyle name="Normal 22 7 2 3 4" xfId="20725" xr:uid="{00000000-0005-0000-0000-0000EF500000}"/>
    <cellStyle name="Normal 22 7 2 3 5" xfId="20726" xr:uid="{00000000-0005-0000-0000-0000F0500000}"/>
    <cellStyle name="Normal 22 7 2 3 6" xfId="20727" xr:uid="{00000000-0005-0000-0000-0000F1500000}"/>
    <cellStyle name="Normal 22 7 2 4" xfId="20728" xr:uid="{00000000-0005-0000-0000-0000F2500000}"/>
    <cellStyle name="Normal 22 7 2 5" xfId="20729" xr:uid="{00000000-0005-0000-0000-0000F3500000}"/>
    <cellStyle name="Normal 22 7 2 6" xfId="20730" xr:uid="{00000000-0005-0000-0000-0000F4500000}"/>
    <cellStyle name="Normal 22 7 2 7" xfId="20731" xr:uid="{00000000-0005-0000-0000-0000F5500000}"/>
    <cellStyle name="Normal 22 7 2 8" xfId="20732" xr:uid="{00000000-0005-0000-0000-0000F6500000}"/>
    <cellStyle name="Normal 22 7 3" xfId="20733" xr:uid="{00000000-0005-0000-0000-0000F7500000}"/>
    <cellStyle name="Normal 22 7 3 2" xfId="20734" xr:uid="{00000000-0005-0000-0000-0000F8500000}"/>
    <cellStyle name="Normal 22 7 3 2 2" xfId="20735" xr:uid="{00000000-0005-0000-0000-0000F9500000}"/>
    <cellStyle name="Normal 22 7 3 2 3" xfId="20736" xr:uid="{00000000-0005-0000-0000-0000FA500000}"/>
    <cellStyle name="Normal 22 7 3 2 4" xfId="20737" xr:uid="{00000000-0005-0000-0000-0000FB500000}"/>
    <cellStyle name="Normal 22 7 3 2 5" xfId="20738" xr:uid="{00000000-0005-0000-0000-0000FC500000}"/>
    <cellStyle name="Normal 22 7 3 2 6" xfId="20739" xr:uid="{00000000-0005-0000-0000-0000FD500000}"/>
    <cellStyle name="Normal 22 7 3 3" xfId="20740" xr:uid="{00000000-0005-0000-0000-0000FE500000}"/>
    <cellStyle name="Normal 22 7 3 3 2" xfId="20741" xr:uid="{00000000-0005-0000-0000-0000FF500000}"/>
    <cellStyle name="Normal 22 7 3 3 3" xfId="20742" xr:uid="{00000000-0005-0000-0000-000000510000}"/>
    <cellStyle name="Normal 22 7 3 3 4" xfId="20743" xr:uid="{00000000-0005-0000-0000-000001510000}"/>
    <cellStyle name="Normal 22 7 3 3 5" xfId="20744" xr:uid="{00000000-0005-0000-0000-000002510000}"/>
    <cellStyle name="Normal 22 7 3 3 6" xfId="20745" xr:uid="{00000000-0005-0000-0000-000003510000}"/>
    <cellStyle name="Normal 22 7 3 4" xfId="20746" xr:uid="{00000000-0005-0000-0000-000004510000}"/>
    <cellStyle name="Normal 22 7 3 5" xfId="20747" xr:uid="{00000000-0005-0000-0000-000005510000}"/>
    <cellStyle name="Normal 22 7 3 6" xfId="20748" xr:uid="{00000000-0005-0000-0000-000006510000}"/>
    <cellStyle name="Normal 22 7 3 7" xfId="20749" xr:uid="{00000000-0005-0000-0000-000007510000}"/>
    <cellStyle name="Normal 22 7 3 8" xfId="20750" xr:uid="{00000000-0005-0000-0000-000008510000}"/>
    <cellStyle name="Normal 22 7 4" xfId="20751" xr:uid="{00000000-0005-0000-0000-000009510000}"/>
    <cellStyle name="Normal 22 7 4 2" xfId="20752" xr:uid="{00000000-0005-0000-0000-00000A510000}"/>
    <cellStyle name="Normal 22 7 4 2 2" xfId="20753" xr:uid="{00000000-0005-0000-0000-00000B510000}"/>
    <cellStyle name="Normal 22 7 4 2 3" xfId="20754" xr:uid="{00000000-0005-0000-0000-00000C510000}"/>
    <cellStyle name="Normal 22 7 4 2 4" xfId="20755" xr:uid="{00000000-0005-0000-0000-00000D510000}"/>
    <cellStyle name="Normal 22 7 4 2 5" xfId="20756" xr:uid="{00000000-0005-0000-0000-00000E510000}"/>
    <cellStyle name="Normal 22 7 4 2 6" xfId="20757" xr:uid="{00000000-0005-0000-0000-00000F510000}"/>
    <cellStyle name="Normal 22 7 4 3" xfId="20758" xr:uid="{00000000-0005-0000-0000-000010510000}"/>
    <cellStyle name="Normal 22 7 4 3 2" xfId="20759" xr:uid="{00000000-0005-0000-0000-000011510000}"/>
    <cellStyle name="Normal 22 7 4 3 3" xfId="20760" xr:uid="{00000000-0005-0000-0000-000012510000}"/>
    <cellStyle name="Normal 22 7 4 3 4" xfId="20761" xr:uid="{00000000-0005-0000-0000-000013510000}"/>
    <cellStyle name="Normal 22 7 4 3 5" xfId="20762" xr:uid="{00000000-0005-0000-0000-000014510000}"/>
    <cellStyle name="Normal 22 7 4 3 6" xfId="20763" xr:uid="{00000000-0005-0000-0000-000015510000}"/>
    <cellStyle name="Normal 22 7 4 4" xfId="20764" xr:uid="{00000000-0005-0000-0000-000016510000}"/>
    <cellStyle name="Normal 22 7 4 5" xfId="20765" xr:uid="{00000000-0005-0000-0000-000017510000}"/>
    <cellStyle name="Normal 22 7 4 6" xfId="20766" xr:uid="{00000000-0005-0000-0000-000018510000}"/>
    <cellStyle name="Normal 22 7 4 7" xfId="20767" xr:uid="{00000000-0005-0000-0000-000019510000}"/>
    <cellStyle name="Normal 22 7 4 8" xfId="20768" xr:uid="{00000000-0005-0000-0000-00001A510000}"/>
    <cellStyle name="Normal 22 7 5" xfId="20769" xr:uid="{00000000-0005-0000-0000-00001B510000}"/>
    <cellStyle name="Normal 22 7 5 2" xfId="20770" xr:uid="{00000000-0005-0000-0000-00001C510000}"/>
    <cellStyle name="Normal 22 7 5 3" xfId="20771" xr:uid="{00000000-0005-0000-0000-00001D510000}"/>
    <cellStyle name="Normal 22 7 5 4" xfId="20772" xr:uid="{00000000-0005-0000-0000-00001E510000}"/>
    <cellStyle name="Normal 22 7 5 5" xfId="20773" xr:uid="{00000000-0005-0000-0000-00001F510000}"/>
    <cellStyle name="Normal 22 7 5 6" xfId="20774" xr:uid="{00000000-0005-0000-0000-000020510000}"/>
    <cellStyle name="Normal 22 7 6" xfId="20775" xr:uid="{00000000-0005-0000-0000-000021510000}"/>
    <cellStyle name="Normal 22 7 6 2" xfId="20776" xr:uid="{00000000-0005-0000-0000-000022510000}"/>
    <cellStyle name="Normal 22 7 6 3" xfId="20777" xr:uid="{00000000-0005-0000-0000-000023510000}"/>
    <cellStyle name="Normal 22 7 6 4" xfId="20778" xr:uid="{00000000-0005-0000-0000-000024510000}"/>
    <cellStyle name="Normal 22 7 6 5" xfId="20779" xr:uid="{00000000-0005-0000-0000-000025510000}"/>
    <cellStyle name="Normal 22 7 6 6" xfId="20780" xr:uid="{00000000-0005-0000-0000-000026510000}"/>
    <cellStyle name="Normal 22 7 7" xfId="20781" xr:uid="{00000000-0005-0000-0000-000027510000}"/>
    <cellStyle name="Normal 22 7 8" xfId="20782" xr:uid="{00000000-0005-0000-0000-000028510000}"/>
    <cellStyle name="Normal 22 7 9" xfId="20783" xr:uid="{00000000-0005-0000-0000-000029510000}"/>
    <cellStyle name="Normal 22 8" xfId="20784" xr:uid="{00000000-0005-0000-0000-00002A510000}"/>
    <cellStyle name="Normal 22 8 2" xfId="20785" xr:uid="{00000000-0005-0000-0000-00002B510000}"/>
    <cellStyle name="Normal 22 8 2 2" xfId="20786" xr:uid="{00000000-0005-0000-0000-00002C510000}"/>
    <cellStyle name="Normal 22 8 2 3" xfId="20787" xr:uid="{00000000-0005-0000-0000-00002D510000}"/>
    <cellStyle name="Normal 22 8 2 4" xfId="20788" xr:uid="{00000000-0005-0000-0000-00002E510000}"/>
    <cellStyle name="Normal 22 8 2 5" xfId="20789" xr:uid="{00000000-0005-0000-0000-00002F510000}"/>
    <cellStyle name="Normal 22 8 2 6" xfId="20790" xr:uid="{00000000-0005-0000-0000-000030510000}"/>
    <cellStyle name="Normal 22 8 3" xfId="20791" xr:uid="{00000000-0005-0000-0000-000031510000}"/>
    <cellStyle name="Normal 22 8 3 2" xfId="20792" xr:uid="{00000000-0005-0000-0000-000032510000}"/>
    <cellStyle name="Normal 22 8 3 3" xfId="20793" xr:uid="{00000000-0005-0000-0000-000033510000}"/>
    <cellStyle name="Normal 22 8 3 4" xfId="20794" xr:uid="{00000000-0005-0000-0000-000034510000}"/>
    <cellStyle name="Normal 22 8 3 5" xfId="20795" xr:uid="{00000000-0005-0000-0000-000035510000}"/>
    <cellStyle name="Normal 22 8 3 6" xfId="20796" xr:uid="{00000000-0005-0000-0000-000036510000}"/>
    <cellStyle name="Normal 22 8 4" xfId="20797" xr:uid="{00000000-0005-0000-0000-000037510000}"/>
    <cellStyle name="Normal 22 8 5" xfId="20798" xr:uid="{00000000-0005-0000-0000-000038510000}"/>
    <cellStyle name="Normal 22 8 6" xfId="20799" xr:uid="{00000000-0005-0000-0000-000039510000}"/>
    <cellStyle name="Normal 22 8 7" xfId="20800" xr:uid="{00000000-0005-0000-0000-00003A510000}"/>
    <cellStyle name="Normal 22 8 8" xfId="20801" xr:uid="{00000000-0005-0000-0000-00003B510000}"/>
    <cellStyle name="Normal 22 9" xfId="20802" xr:uid="{00000000-0005-0000-0000-00003C510000}"/>
    <cellStyle name="Normal 22 9 2" xfId="20803" xr:uid="{00000000-0005-0000-0000-00003D510000}"/>
    <cellStyle name="Normal 22 9 2 2" xfId="20804" xr:uid="{00000000-0005-0000-0000-00003E510000}"/>
    <cellStyle name="Normal 22 9 2 3" xfId="20805" xr:uid="{00000000-0005-0000-0000-00003F510000}"/>
    <cellStyle name="Normal 22 9 2 4" xfId="20806" xr:uid="{00000000-0005-0000-0000-000040510000}"/>
    <cellStyle name="Normal 22 9 2 5" xfId="20807" xr:uid="{00000000-0005-0000-0000-000041510000}"/>
    <cellStyle name="Normal 22 9 2 6" xfId="20808" xr:uid="{00000000-0005-0000-0000-000042510000}"/>
    <cellStyle name="Normal 22 9 3" xfId="20809" xr:uid="{00000000-0005-0000-0000-000043510000}"/>
    <cellStyle name="Normal 22 9 3 2" xfId="20810" xr:uid="{00000000-0005-0000-0000-000044510000}"/>
    <cellStyle name="Normal 22 9 3 3" xfId="20811" xr:uid="{00000000-0005-0000-0000-000045510000}"/>
    <cellStyle name="Normal 22 9 3 4" xfId="20812" xr:uid="{00000000-0005-0000-0000-000046510000}"/>
    <cellStyle name="Normal 22 9 3 5" xfId="20813" xr:uid="{00000000-0005-0000-0000-000047510000}"/>
    <cellStyle name="Normal 22 9 3 6" xfId="20814" xr:uid="{00000000-0005-0000-0000-000048510000}"/>
    <cellStyle name="Normal 22 9 4" xfId="20815" xr:uid="{00000000-0005-0000-0000-000049510000}"/>
    <cellStyle name="Normal 22 9 5" xfId="20816" xr:uid="{00000000-0005-0000-0000-00004A510000}"/>
    <cellStyle name="Normal 22 9 6" xfId="20817" xr:uid="{00000000-0005-0000-0000-00004B510000}"/>
    <cellStyle name="Normal 22 9 7" xfId="20818" xr:uid="{00000000-0005-0000-0000-00004C510000}"/>
    <cellStyle name="Normal 22 9 8" xfId="20819" xr:uid="{00000000-0005-0000-0000-00004D510000}"/>
    <cellStyle name="Normal 23" xfId="20820" xr:uid="{00000000-0005-0000-0000-00004E510000}"/>
    <cellStyle name="Normal 23 10" xfId="20821" xr:uid="{00000000-0005-0000-0000-00004F510000}"/>
    <cellStyle name="Normal 23 10 2" xfId="20822" xr:uid="{00000000-0005-0000-0000-000050510000}"/>
    <cellStyle name="Normal 23 10 2 2" xfId="20823" xr:uid="{00000000-0005-0000-0000-000051510000}"/>
    <cellStyle name="Normal 23 10 2 3" xfId="20824" xr:uid="{00000000-0005-0000-0000-000052510000}"/>
    <cellStyle name="Normal 23 10 2 4" xfId="20825" xr:uid="{00000000-0005-0000-0000-000053510000}"/>
    <cellStyle name="Normal 23 10 2 5" xfId="20826" xr:uid="{00000000-0005-0000-0000-000054510000}"/>
    <cellStyle name="Normal 23 10 2 6" xfId="20827" xr:uid="{00000000-0005-0000-0000-000055510000}"/>
    <cellStyle name="Normal 23 10 3" xfId="20828" xr:uid="{00000000-0005-0000-0000-000056510000}"/>
    <cellStyle name="Normal 23 10 3 2" xfId="20829" xr:uid="{00000000-0005-0000-0000-000057510000}"/>
    <cellStyle name="Normal 23 10 3 3" xfId="20830" xr:uid="{00000000-0005-0000-0000-000058510000}"/>
    <cellStyle name="Normal 23 10 3 4" xfId="20831" xr:uid="{00000000-0005-0000-0000-000059510000}"/>
    <cellStyle name="Normal 23 10 3 5" xfId="20832" xr:uid="{00000000-0005-0000-0000-00005A510000}"/>
    <cellStyle name="Normal 23 10 3 6" xfId="20833" xr:uid="{00000000-0005-0000-0000-00005B510000}"/>
    <cellStyle name="Normal 23 10 4" xfId="20834" xr:uid="{00000000-0005-0000-0000-00005C510000}"/>
    <cellStyle name="Normal 23 10 5" xfId="20835" xr:uid="{00000000-0005-0000-0000-00005D510000}"/>
    <cellStyle name="Normal 23 10 6" xfId="20836" xr:uid="{00000000-0005-0000-0000-00005E510000}"/>
    <cellStyle name="Normal 23 10 7" xfId="20837" xr:uid="{00000000-0005-0000-0000-00005F510000}"/>
    <cellStyle name="Normal 23 10 8" xfId="20838" xr:uid="{00000000-0005-0000-0000-000060510000}"/>
    <cellStyle name="Normal 23 11" xfId="20839" xr:uid="{00000000-0005-0000-0000-000061510000}"/>
    <cellStyle name="Normal 23 11 2" xfId="20840" xr:uid="{00000000-0005-0000-0000-000062510000}"/>
    <cellStyle name="Normal 23 11 3" xfId="20841" xr:uid="{00000000-0005-0000-0000-000063510000}"/>
    <cellStyle name="Normal 23 11 4" xfId="20842" xr:uid="{00000000-0005-0000-0000-000064510000}"/>
    <cellStyle name="Normal 23 11 5" xfId="20843" xr:uid="{00000000-0005-0000-0000-000065510000}"/>
    <cellStyle name="Normal 23 11 6" xfId="20844" xr:uid="{00000000-0005-0000-0000-000066510000}"/>
    <cellStyle name="Normal 23 12" xfId="20845" xr:uid="{00000000-0005-0000-0000-000067510000}"/>
    <cellStyle name="Normal 23 12 2" xfId="20846" xr:uid="{00000000-0005-0000-0000-000068510000}"/>
    <cellStyle name="Normal 23 12 3" xfId="20847" xr:uid="{00000000-0005-0000-0000-000069510000}"/>
    <cellStyle name="Normal 23 12 4" xfId="20848" xr:uid="{00000000-0005-0000-0000-00006A510000}"/>
    <cellStyle name="Normal 23 12 5" xfId="20849" xr:uid="{00000000-0005-0000-0000-00006B510000}"/>
    <cellStyle name="Normal 23 12 6" xfId="20850" xr:uid="{00000000-0005-0000-0000-00006C510000}"/>
    <cellStyle name="Normal 23 13" xfId="20851" xr:uid="{00000000-0005-0000-0000-00006D510000}"/>
    <cellStyle name="Normal 23 14" xfId="20852" xr:uid="{00000000-0005-0000-0000-00006E510000}"/>
    <cellStyle name="Normal 23 15" xfId="20853" xr:uid="{00000000-0005-0000-0000-00006F510000}"/>
    <cellStyle name="Normal 23 16" xfId="20854" xr:uid="{00000000-0005-0000-0000-000070510000}"/>
    <cellStyle name="Normal 23 17" xfId="20855" xr:uid="{00000000-0005-0000-0000-000071510000}"/>
    <cellStyle name="Normal 23 2" xfId="20856" xr:uid="{00000000-0005-0000-0000-000072510000}"/>
    <cellStyle name="Normal 23 2 10" xfId="20857" xr:uid="{00000000-0005-0000-0000-000073510000}"/>
    <cellStyle name="Normal 23 2 10 2" xfId="20858" xr:uid="{00000000-0005-0000-0000-000074510000}"/>
    <cellStyle name="Normal 23 2 10 3" xfId="20859" xr:uid="{00000000-0005-0000-0000-000075510000}"/>
    <cellStyle name="Normal 23 2 10 4" xfId="20860" xr:uid="{00000000-0005-0000-0000-000076510000}"/>
    <cellStyle name="Normal 23 2 10 5" xfId="20861" xr:uid="{00000000-0005-0000-0000-000077510000}"/>
    <cellStyle name="Normal 23 2 10 6" xfId="20862" xr:uid="{00000000-0005-0000-0000-000078510000}"/>
    <cellStyle name="Normal 23 2 11" xfId="20863" xr:uid="{00000000-0005-0000-0000-000079510000}"/>
    <cellStyle name="Normal 23 2 12" xfId="20864" xr:uid="{00000000-0005-0000-0000-00007A510000}"/>
    <cellStyle name="Normal 23 2 13" xfId="20865" xr:uid="{00000000-0005-0000-0000-00007B510000}"/>
    <cellStyle name="Normal 23 2 14" xfId="20866" xr:uid="{00000000-0005-0000-0000-00007C510000}"/>
    <cellStyle name="Normal 23 2 15" xfId="20867" xr:uid="{00000000-0005-0000-0000-00007D510000}"/>
    <cellStyle name="Normal 23 2 2" xfId="20868" xr:uid="{00000000-0005-0000-0000-00007E510000}"/>
    <cellStyle name="Normal 23 2 2 10" xfId="20869" xr:uid="{00000000-0005-0000-0000-00007F510000}"/>
    <cellStyle name="Normal 23 2 2 11" xfId="20870" xr:uid="{00000000-0005-0000-0000-000080510000}"/>
    <cellStyle name="Normal 23 2 2 12" xfId="20871" xr:uid="{00000000-0005-0000-0000-000081510000}"/>
    <cellStyle name="Normal 23 2 2 13" xfId="20872" xr:uid="{00000000-0005-0000-0000-000082510000}"/>
    <cellStyle name="Normal 23 2 2 14" xfId="20873" xr:uid="{00000000-0005-0000-0000-000083510000}"/>
    <cellStyle name="Normal 23 2 2 2" xfId="20874" xr:uid="{00000000-0005-0000-0000-000084510000}"/>
    <cellStyle name="Normal 23 2 2 2 10" xfId="20875" xr:uid="{00000000-0005-0000-0000-000085510000}"/>
    <cellStyle name="Normal 23 2 2 2 11" xfId="20876" xr:uid="{00000000-0005-0000-0000-000086510000}"/>
    <cellStyle name="Normal 23 2 2 2 12" xfId="20877" xr:uid="{00000000-0005-0000-0000-000087510000}"/>
    <cellStyle name="Normal 23 2 2 2 2" xfId="20878" xr:uid="{00000000-0005-0000-0000-000088510000}"/>
    <cellStyle name="Normal 23 2 2 2 2 10" xfId="20879" xr:uid="{00000000-0005-0000-0000-000089510000}"/>
    <cellStyle name="Normal 23 2 2 2 2 11" xfId="20880" xr:uid="{00000000-0005-0000-0000-00008A510000}"/>
    <cellStyle name="Normal 23 2 2 2 2 2" xfId="20881" xr:uid="{00000000-0005-0000-0000-00008B510000}"/>
    <cellStyle name="Normal 23 2 2 2 2 2 2" xfId="20882" xr:uid="{00000000-0005-0000-0000-00008C510000}"/>
    <cellStyle name="Normal 23 2 2 2 2 2 2 2" xfId="20883" xr:uid="{00000000-0005-0000-0000-00008D510000}"/>
    <cellStyle name="Normal 23 2 2 2 2 2 2 3" xfId="20884" xr:uid="{00000000-0005-0000-0000-00008E510000}"/>
    <cellStyle name="Normal 23 2 2 2 2 2 2 4" xfId="20885" xr:uid="{00000000-0005-0000-0000-00008F510000}"/>
    <cellStyle name="Normal 23 2 2 2 2 2 2 5" xfId="20886" xr:uid="{00000000-0005-0000-0000-000090510000}"/>
    <cellStyle name="Normal 23 2 2 2 2 2 2 6" xfId="20887" xr:uid="{00000000-0005-0000-0000-000091510000}"/>
    <cellStyle name="Normal 23 2 2 2 2 2 3" xfId="20888" xr:uid="{00000000-0005-0000-0000-000092510000}"/>
    <cellStyle name="Normal 23 2 2 2 2 2 3 2" xfId="20889" xr:uid="{00000000-0005-0000-0000-000093510000}"/>
    <cellStyle name="Normal 23 2 2 2 2 2 3 3" xfId="20890" xr:uid="{00000000-0005-0000-0000-000094510000}"/>
    <cellStyle name="Normal 23 2 2 2 2 2 3 4" xfId="20891" xr:uid="{00000000-0005-0000-0000-000095510000}"/>
    <cellStyle name="Normal 23 2 2 2 2 2 3 5" xfId="20892" xr:uid="{00000000-0005-0000-0000-000096510000}"/>
    <cellStyle name="Normal 23 2 2 2 2 2 3 6" xfId="20893" xr:uid="{00000000-0005-0000-0000-000097510000}"/>
    <cellStyle name="Normal 23 2 2 2 2 2 4" xfId="20894" xr:uid="{00000000-0005-0000-0000-000098510000}"/>
    <cellStyle name="Normal 23 2 2 2 2 2 5" xfId="20895" xr:uid="{00000000-0005-0000-0000-000099510000}"/>
    <cellStyle name="Normal 23 2 2 2 2 2 6" xfId="20896" xr:uid="{00000000-0005-0000-0000-00009A510000}"/>
    <cellStyle name="Normal 23 2 2 2 2 2 7" xfId="20897" xr:uid="{00000000-0005-0000-0000-00009B510000}"/>
    <cellStyle name="Normal 23 2 2 2 2 2 8" xfId="20898" xr:uid="{00000000-0005-0000-0000-00009C510000}"/>
    <cellStyle name="Normal 23 2 2 2 2 3" xfId="20899" xr:uid="{00000000-0005-0000-0000-00009D510000}"/>
    <cellStyle name="Normal 23 2 2 2 2 3 2" xfId="20900" xr:uid="{00000000-0005-0000-0000-00009E510000}"/>
    <cellStyle name="Normal 23 2 2 2 2 3 2 2" xfId="20901" xr:uid="{00000000-0005-0000-0000-00009F510000}"/>
    <cellStyle name="Normal 23 2 2 2 2 3 2 3" xfId="20902" xr:uid="{00000000-0005-0000-0000-0000A0510000}"/>
    <cellStyle name="Normal 23 2 2 2 2 3 2 4" xfId="20903" xr:uid="{00000000-0005-0000-0000-0000A1510000}"/>
    <cellStyle name="Normal 23 2 2 2 2 3 2 5" xfId="20904" xr:uid="{00000000-0005-0000-0000-0000A2510000}"/>
    <cellStyle name="Normal 23 2 2 2 2 3 2 6" xfId="20905" xr:uid="{00000000-0005-0000-0000-0000A3510000}"/>
    <cellStyle name="Normal 23 2 2 2 2 3 3" xfId="20906" xr:uid="{00000000-0005-0000-0000-0000A4510000}"/>
    <cellStyle name="Normal 23 2 2 2 2 3 3 2" xfId="20907" xr:uid="{00000000-0005-0000-0000-0000A5510000}"/>
    <cellStyle name="Normal 23 2 2 2 2 3 3 3" xfId="20908" xr:uid="{00000000-0005-0000-0000-0000A6510000}"/>
    <cellStyle name="Normal 23 2 2 2 2 3 3 4" xfId="20909" xr:uid="{00000000-0005-0000-0000-0000A7510000}"/>
    <cellStyle name="Normal 23 2 2 2 2 3 3 5" xfId="20910" xr:uid="{00000000-0005-0000-0000-0000A8510000}"/>
    <cellStyle name="Normal 23 2 2 2 2 3 3 6" xfId="20911" xr:uid="{00000000-0005-0000-0000-0000A9510000}"/>
    <cellStyle name="Normal 23 2 2 2 2 3 4" xfId="20912" xr:uid="{00000000-0005-0000-0000-0000AA510000}"/>
    <cellStyle name="Normal 23 2 2 2 2 3 5" xfId="20913" xr:uid="{00000000-0005-0000-0000-0000AB510000}"/>
    <cellStyle name="Normal 23 2 2 2 2 3 6" xfId="20914" xr:uid="{00000000-0005-0000-0000-0000AC510000}"/>
    <cellStyle name="Normal 23 2 2 2 2 3 7" xfId="20915" xr:uid="{00000000-0005-0000-0000-0000AD510000}"/>
    <cellStyle name="Normal 23 2 2 2 2 3 8" xfId="20916" xr:uid="{00000000-0005-0000-0000-0000AE510000}"/>
    <cellStyle name="Normal 23 2 2 2 2 4" xfId="20917" xr:uid="{00000000-0005-0000-0000-0000AF510000}"/>
    <cellStyle name="Normal 23 2 2 2 2 4 2" xfId="20918" xr:uid="{00000000-0005-0000-0000-0000B0510000}"/>
    <cellStyle name="Normal 23 2 2 2 2 4 2 2" xfId="20919" xr:uid="{00000000-0005-0000-0000-0000B1510000}"/>
    <cellStyle name="Normal 23 2 2 2 2 4 2 3" xfId="20920" xr:uid="{00000000-0005-0000-0000-0000B2510000}"/>
    <cellStyle name="Normal 23 2 2 2 2 4 2 4" xfId="20921" xr:uid="{00000000-0005-0000-0000-0000B3510000}"/>
    <cellStyle name="Normal 23 2 2 2 2 4 2 5" xfId="20922" xr:uid="{00000000-0005-0000-0000-0000B4510000}"/>
    <cellStyle name="Normal 23 2 2 2 2 4 2 6" xfId="20923" xr:uid="{00000000-0005-0000-0000-0000B5510000}"/>
    <cellStyle name="Normal 23 2 2 2 2 4 3" xfId="20924" xr:uid="{00000000-0005-0000-0000-0000B6510000}"/>
    <cellStyle name="Normal 23 2 2 2 2 4 3 2" xfId="20925" xr:uid="{00000000-0005-0000-0000-0000B7510000}"/>
    <cellStyle name="Normal 23 2 2 2 2 4 3 3" xfId="20926" xr:uid="{00000000-0005-0000-0000-0000B8510000}"/>
    <cellStyle name="Normal 23 2 2 2 2 4 3 4" xfId="20927" xr:uid="{00000000-0005-0000-0000-0000B9510000}"/>
    <cellStyle name="Normal 23 2 2 2 2 4 3 5" xfId="20928" xr:uid="{00000000-0005-0000-0000-0000BA510000}"/>
    <cellStyle name="Normal 23 2 2 2 2 4 3 6" xfId="20929" xr:uid="{00000000-0005-0000-0000-0000BB510000}"/>
    <cellStyle name="Normal 23 2 2 2 2 4 4" xfId="20930" xr:uid="{00000000-0005-0000-0000-0000BC510000}"/>
    <cellStyle name="Normal 23 2 2 2 2 4 5" xfId="20931" xr:uid="{00000000-0005-0000-0000-0000BD510000}"/>
    <cellStyle name="Normal 23 2 2 2 2 4 6" xfId="20932" xr:uid="{00000000-0005-0000-0000-0000BE510000}"/>
    <cellStyle name="Normal 23 2 2 2 2 4 7" xfId="20933" xr:uid="{00000000-0005-0000-0000-0000BF510000}"/>
    <cellStyle name="Normal 23 2 2 2 2 4 8" xfId="20934" xr:uid="{00000000-0005-0000-0000-0000C0510000}"/>
    <cellStyle name="Normal 23 2 2 2 2 5" xfId="20935" xr:uid="{00000000-0005-0000-0000-0000C1510000}"/>
    <cellStyle name="Normal 23 2 2 2 2 5 2" xfId="20936" xr:uid="{00000000-0005-0000-0000-0000C2510000}"/>
    <cellStyle name="Normal 23 2 2 2 2 5 3" xfId="20937" xr:uid="{00000000-0005-0000-0000-0000C3510000}"/>
    <cellStyle name="Normal 23 2 2 2 2 5 4" xfId="20938" xr:uid="{00000000-0005-0000-0000-0000C4510000}"/>
    <cellStyle name="Normal 23 2 2 2 2 5 5" xfId="20939" xr:uid="{00000000-0005-0000-0000-0000C5510000}"/>
    <cellStyle name="Normal 23 2 2 2 2 5 6" xfId="20940" xr:uid="{00000000-0005-0000-0000-0000C6510000}"/>
    <cellStyle name="Normal 23 2 2 2 2 6" xfId="20941" xr:uid="{00000000-0005-0000-0000-0000C7510000}"/>
    <cellStyle name="Normal 23 2 2 2 2 6 2" xfId="20942" xr:uid="{00000000-0005-0000-0000-0000C8510000}"/>
    <cellStyle name="Normal 23 2 2 2 2 6 3" xfId="20943" xr:uid="{00000000-0005-0000-0000-0000C9510000}"/>
    <cellStyle name="Normal 23 2 2 2 2 6 4" xfId="20944" xr:uid="{00000000-0005-0000-0000-0000CA510000}"/>
    <cellStyle name="Normal 23 2 2 2 2 6 5" xfId="20945" xr:uid="{00000000-0005-0000-0000-0000CB510000}"/>
    <cellStyle name="Normal 23 2 2 2 2 6 6" xfId="20946" xr:uid="{00000000-0005-0000-0000-0000CC510000}"/>
    <cellStyle name="Normal 23 2 2 2 2 7" xfId="20947" xr:uid="{00000000-0005-0000-0000-0000CD510000}"/>
    <cellStyle name="Normal 23 2 2 2 2 8" xfId="20948" xr:uid="{00000000-0005-0000-0000-0000CE510000}"/>
    <cellStyle name="Normal 23 2 2 2 2 9" xfId="20949" xr:uid="{00000000-0005-0000-0000-0000CF510000}"/>
    <cellStyle name="Normal 23 2 2 2 3" xfId="20950" xr:uid="{00000000-0005-0000-0000-0000D0510000}"/>
    <cellStyle name="Normal 23 2 2 2 3 2" xfId="20951" xr:uid="{00000000-0005-0000-0000-0000D1510000}"/>
    <cellStyle name="Normal 23 2 2 2 3 2 2" xfId="20952" xr:uid="{00000000-0005-0000-0000-0000D2510000}"/>
    <cellStyle name="Normal 23 2 2 2 3 2 3" xfId="20953" xr:uid="{00000000-0005-0000-0000-0000D3510000}"/>
    <cellStyle name="Normal 23 2 2 2 3 2 4" xfId="20954" xr:uid="{00000000-0005-0000-0000-0000D4510000}"/>
    <cellStyle name="Normal 23 2 2 2 3 2 5" xfId="20955" xr:uid="{00000000-0005-0000-0000-0000D5510000}"/>
    <cellStyle name="Normal 23 2 2 2 3 2 6" xfId="20956" xr:uid="{00000000-0005-0000-0000-0000D6510000}"/>
    <cellStyle name="Normal 23 2 2 2 3 3" xfId="20957" xr:uid="{00000000-0005-0000-0000-0000D7510000}"/>
    <cellStyle name="Normal 23 2 2 2 3 3 2" xfId="20958" xr:uid="{00000000-0005-0000-0000-0000D8510000}"/>
    <cellStyle name="Normal 23 2 2 2 3 3 3" xfId="20959" xr:uid="{00000000-0005-0000-0000-0000D9510000}"/>
    <cellStyle name="Normal 23 2 2 2 3 3 4" xfId="20960" xr:uid="{00000000-0005-0000-0000-0000DA510000}"/>
    <cellStyle name="Normal 23 2 2 2 3 3 5" xfId="20961" xr:uid="{00000000-0005-0000-0000-0000DB510000}"/>
    <cellStyle name="Normal 23 2 2 2 3 3 6" xfId="20962" xr:uid="{00000000-0005-0000-0000-0000DC510000}"/>
    <cellStyle name="Normal 23 2 2 2 3 4" xfId="20963" xr:uid="{00000000-0005-0000-0000-0000DD510000}"/>
    <cellStyle name="Normal 23 2 2 2 3 5" xfId="20964" xr:uid="{00000000-0005-0000-0000-0000DE510000}"/>
    <cellStyle name="Normal 23 2 2 2 3 6" xfId="20965" xr:uid="{00000000-0005-0000-0000-0000DF510000}"/>
    <cellStyle name="Normal 23 2 2 2 3 7" xfId="20966" xr:uid="{00000000-0005-0000-0000-0000E0510000}"/>
    <cellStyle name="Normal 23 2 2 2 3 8" xfId="20967" xr:uid="{00000000-0005-0000-0000-0000E1510000}"/>
    <cellStyle name="Normal 23 2 2 2 4" xfId="20968" xr:uid="{00000000-0005-0000-0000-0000E2510000}"/>
    <cellStyle name="Normal 23 2 2 2 4 2" xfId="20969" xr:uid="{00000000-0005-0000-0000-0000E3510000}"/>
    <cellStyle name="Normal 23 2 2 2 4 2 2" xfId="20970" xr:uid="{00000000-0005-0000-0000-0000E4510000}"/>
    <cellStyle name="Normal 23 2 2 2 4 2 3" xfId="20971" xr:uid="{00000000-0005-0000-0000-0000E5510000}"/>
    <cellStyle name="Normal 23 2 2 2 4 2 4" xfId="20972" xr:uid="{00000000-0005-0000-0000-0000E6510000}"/>
    <cellStyle name="Normal 23 2 2 2 4 2 5" xfId="20973" xr:uid="{00000000-0005-0000-0000-0000E7510000}"/>
    <cellStyle name="Normal 23 2 2 2 4 2 6" xfId="20974" xr:uid="{00000000-0005-0000-0000-0000E8510000}"/>
    <cellStyle name="Normal 23 2 2 2 4 3" xfId="20975" xr:uid="{00000000-0005-0000-0000-0000E9510000}"/>
    <cellStyle name="Normal 23 2 2 2 4 3 2" xfId="20976" xr:uid="{00000000-0005-0000-0000-0000EA510000}"/>
    <cellStyle name="Normal 23 2 2 2 4 3 3" xfId="20977" xr:uid="{00000000-0005-0000-0000-0000EB510000}"/>
    <cellStyle name="Normal 23 2 2 2 4 3 4" xfId="20978" xr:uid="{00000000-0005-0000-0000-0000EC510000}"/>
    <cellStyle name="Normal 23 2 2 2 4 3 5" xfId="20979" xr:uid="{00000000-0005-0000-0000-0000ED510000}"/>
    <cellStyle name="Normal 23 2 2 2 4 3 6" xfId="20980" xr:uid="{00000000-0005-0000-0000-0000EE510000}"/>
    <cellStyle name="Normal 23 2 2 2 4 4" xfId="20981" xr:uid="{00000000-0005-0000-0000-0000EF510000}"/>
    <cellStyle name="Normal 23 2 2 2 4 5" xfId="20982" xr:uid="{00000000-0005-0000-0000-0000F0510000}"/>
    <cellStyle name="Normal 23 2 2 2 4 6" xfId="20983" xr:uid="{00000000-0005-0000-0000-0000F1510000}"/>
    <cellStyle name="Normal 23 2 2 2 4 7" xfId="20984" xr:uid="{00000000-0005-0000-0000-0000F2510000}"/>
    <cellStyle name="Normal 23 2 2 2 4 8" xfId="20985" xr:uid="{00000000-0005-0000-0000-0000F3510000}"/>
    <cellStyle name="Normal 23 2 2 2 5" xfId="20986" xr:uid="{00000000-0005-0000-0000-0000F4510000}"/>
    <cellStyle name="Normal 23 2 2 2 5 2" xfId="20987" xr:uid="{00000000-0005-0000-0000-0000F5510000}"/>
    <cellStyle name="Normal 23 2 2 2 5 2 2" xfId="20988" xr:uid="{00000000-0005-0000-0000-0000F6510000}"/>
    <cellStyle name="Normal 23 2 2 2 5 2 3" xfId="20989" xr:uid="{00000000-0005-0000-0000-0000F7510000}"/>
    <cellStyle name="Normal 23 2 2 2 5 2 4" xfId="20990" xr:uid="{00000000-0005-0000-0000-0000F8510000}"/>
    <cellStyle name="Normal 23 2 2 2 5 2 5" xfId="20991" xr:uid="{00000000-0005-0000-0000-0000F9510000}"/>
    <cellStyle name="Normal 23 2 2 2 5 2 6" xfId="20992" xr:uid="{00000000-0005-0000-0000-0000FA510000}"/>
    <cellStyle name="Normal 23 2 2 2 5 3" xfId="20993" xr:uid="{00000000-0005-0000-0000-0000FB510000}"/>
    <cellStyle name="Normal 23 2 2 2 5 3 2" xfId="20994" xr:uid="{00000000-0005-0000-0000-0000FC510000}"/>
    <cellStyle name="Normal 23 2 2 2 5 3 3" xfId="20995" xr:uid="{00000000-0005-0000-0000-0000FD510000}"/>
    <cellStyle name="Normal 23 2 2 2 5 3 4" xfId="20996" xr:uid="{00000000-0005-0000-0000-0000FE510000}"/>
    <cellStyle name="Normal 23 2 2 2 5 3 5" xfId="20997" xr:uid="{00000000-0005-0000-0000-0000FF510000}"/>
    <cellStyle name="Normal 23 2 2 2 5 3 6" xfId="20998" xr:uid="{00000000-0005-0000-0000-000000520000}"/>
    <cellStyle name="Normal 23 2 2 2 5 4" xfId="20999" xr:uid="{00000000-0005-0000-0000-000001520000}"/>
    <cellStyle name="Normal 23 2 2 2 5 5" xfId="21000" xr:uid="{00000000-0005-0000-0000-000002520000}"/>
    <cellStyle name="Normal 23 2 2 2 5 6" xfId="21001" xr:uid="{00000000-0005-0000-0000-000003520000}"/>
    <cellStyle name="Normal 23 2 2 2 5 7" xfId="21002" xr:uid="{00000000-0005-0000-0000-000004520000}"/>
    <cellStyle name="Normal 23 2 2 2 5 8" xfId="21003" xr:uid="{00000000-0005-0000-0000-000005520000}"/>
    <cellStyle name="Normal 23 2 2 2 6" xfId="21004" xr:uid="{00000000-0005-0000-0000-000006520000}"/>
    <cellStyle name="Normal 23 2 2 2 6 2" xfId="21005" xr:uid="{00000000-0005-0000-0000-000007520000}"/>
    <cellStyle name="Normal 23 2 2 2 6 3" xfId="21006" xr:uid="{00000000-0005-0000-0000-000008520000}"/>
    <cellStyle name="Normal 23 2 2 2 6 4" xfId="21007" xr:uid="{00000000-0005-0000-0000-000009520000}"/>
    <cellStyle name="Normal 23 2 2 2 6 5" xfId="21008" xr:uid="{00000000-0005-0000-0000-00000A520000}"/>
    <cellStyle name="Normal 23 2 2 2 6 6" xfId="21009" xr:uid="{00000000-0005-0000-0000-00000B520000}"/>
    <cellStyle name="Normal 23 2 2 2 7" xfId="21010" xr:uid="{00000000-0005-0000-0000-00000C520000}"/>
    <cellStyle name="Normal 23 2 2 2 7 2" xfId="21011" xr:uid="{00000000-0005-0000-0000-00000D520000}"/>
    <cellStyle name="Normal 23 2 2 2 7 3" xfId="21012" xr:uid="{00000000-0005-0000-0000-00000E520000}"/>
    <cellStyle name="Normal 23 2 2 2 7 4" xfId="21013" xr:uid="{00000000-0005-0000-0000-00000F520000}"/>
    <cellStyle name="Normal 23 2 2 2 7 5" xfId="21014" xr:uid="{00000000-0005-0000-0000-000010520000}"/>
    <cellStyle name="Normal 23 2 2 2 7 6" xfId="21015" xr:uid="{00000000-0005-0000-0000-000011520000}"/>
    <cellStyle name="Normal 23 2 2 2 8" xfId="21016" xr:uid="{00000000-0005-0000-0000-000012520000}"/>
    <cellStyle name="Normal 23 2 2 2 9" xfId="21017" xr:uid="{00000000-0005-0000-0000-000013520000}"/>
    <cellStyle name="Normal 23 2 2 3" xfId="21018" xr:uid="{00000000-0005-0000-0000-000014520000}"/>
    <cellStyle name="Normal 23 2 2 3 10" xfId="21019" xr:uid="{00000000-0005-0000-0000-000015520000}"/>
    <cellStyle name="Normal 23 2 2 3 11" xfId="21020" xr:uid="{00000000-0005-0000-0000-000016520000}"/>
    <cellStyle name="Normal 23 2 2 3 12" xfId="21021" xr:uid="{00000000-0005-0000-0000-000017520000}"/>
    <cellStyle name="Normal 23 2 2 3 2" xfId="21022" xr:uid="{00000000-0005-0000-0000-000018520000}"/>
    <cellStyle name="Normal 23 2 2 3 2 10" xfId="21023" xr:uid="{00000000-0005-0000-0000-000019520000}"/>
    <cellStyle name="Normal 23 2 2 3 2 11" xfId="21024" xr:uid="{00000000-0005-0000-0000-00001A520000}"/>
    <cellStyle name="Normal 23 2 2 3 2 2" xfId="21025" xr:uid="{00000000-0005-0000-0000-00001B520000}"/>
    <cellStyle name="Normal 23 2 2 3 2 2 2" xfId="21026" xr:uid="{00000000-0005-0000-0000-00001C520000}"/>
    <cellStyle name="Normal 23 2 2 3 2 2 2 2" xfId="21027" xr:uid="{00000000-0005-0000-0000-00001D520000}"/>
    <cellStyle name="Normal 23 2 2 3 2 2 2 3" xfId="21028" xr:uid="{00000000-0005-0000-0000-00001E520000}"/>
    <cellStyle name="Normal 23 2 2 3 2 2 2 4" xfId="21029" xr:uid="{00000000-0005-0000-0000-00001F520000}"/>
    <cellStyle name="Normal 23 2 2 3 2 2 2 5" xfId="21030" xr:uid="{00000000-0005-0000-0000-000020520000}"/>
    <cellStyle name="Normal 23 2 2 3 2 2 2 6" xfId="21031" xr:uid="{00000000-0005-0000-0000-000021520000}"/>
    <cellStyle name="Normal 23 2 2 3 2 2 3" xfId="21032" xr:uid="{00000000-0005-0000-0000-000022520000}"/>
    <cellStyle name="Normal 23 2 2 3 2 2 3 2" xfId="21033" xr:uid="{00000000-0005-0000-0000-000023520000}"/>
    <cellStyle name="Normal 23 2 2 3 2 2 3 3" xfId="21034" xr:uid="{00000000-0005-0000-0000-000024520000}"/>
    <cellStyle name="Normal 23 2 2 3 2 2 3 4" xfId="21035" xr:uid="{00000000-0005-0000-0000-000025520000}"/>
    <cellStyle name="Normal 23 2 2 3 2 2 3 5" xfId="21036" xr:uid="{00000000-0005-0000-0000-000026520000}"/>
    <cellStyle name="Normal 23 2 2 3 2 2 3 6" xfId="21037" xr:uid="{00000000-0005-0000-0000-000027520000}"/>
    <cellStyle name="Normal 23 2 2 3 2 2 4" xfId="21038" xr:uid="{00000000-0005-0000-0000-000028520000}"/>
    <cellStyle name="Normal 23 2 2 3 2 2 5" xfId="21039" xr:uid="{00000000-0005-0000-0000-000029520000}"/>
    <cellStyle name="Normal 23 2 2 3 2 2 6" xfId="21040" xr:uid="{00000000-0005-0000-0000-00002A520000}"/>
    <cellStyle name="Normal 23 2 2 3 2 2 7" xfId="21041" xr:uid="{00000000-0005-0000-0000-00002B520000}"/>
    <cellStyle name="Normal 23 2 2 3 2 2 8" xfId="21042" xr:uid="{00000000-0005-0000-0000-00002C520000}"/>
    <cellStyle name="Normal 23 2 2 3 2 3" xfId="21043" xr:uid="{00000000-0005-0000-0000-00002D520000}"/>
    <cellStyle name="Normal 23 2 2 3 2 3 2" xfId="21044" xr:uid="{00000000-0005-0000-0000-00002E520000}"/>
    <cellStyle name="Normal 23 2 2 3 2 3 2 2" xfId="21045" xr:uid="{00000000-0005-0000-0000-00002F520000}"/>
    <cellStyle name="Normal 23 2 2 3 2 3 2 3" xfId="21046" xr:uid="{00000000-0005-0000-0000-000030520000}"/>
    <cellStyle name="Normal 23 2 2 3 2 3 2 4" xfId="21047" xr:uid="{00000000-0005-0000-0000-000031520000}"/>
    <cellStyle name="Normal 23 2 2 3 2 3 2 5" xfId="21048" xr:uid="{00000000-0005-0000-0000-000032520000}"/>
    <cellStyle name="Normal 23 2 2 3 2 3 2 6" xfId="21049" xr:uid="{00000000-0005-0000-0000-000033520000}"/>
    <cellStyle name="Normal 23 2 2 3 2 3 3" xfId="21050" xr:uid="{00000000-0005-0000-0000-000034520000}"/>
    <cellStyle name="Normal 23 2 2 3 2 3 3 2" xfId="21051" xr:uid="{00000000-0005-0000-0000-000035520000}"/>
    <cellStyle name="Normal 23 2 2 3 2 3 3 3" xfId="21052" xr:uid="{00000000-0005-0000-0000-000036520000}"/>
    <cellStyle name="Normal 23 2 2 3 2 3 3 4" xfId="21053" xr:uid="{00000000-0005-0000-0000-000037520000}"/>
    <cellStyle name="Normal 23 2 2 3 2 3 3 5" xfId="21054" xr:uid="{00000000-0005-0000-0000-000038520000}"/>
    <cellStyle name="Normal 23 2 2 3 2 3 3 6" xfId="21055" xr:uid="{00000000-0005-0000-0000-000039520000}"/>
    <cellStyle name="Normal 23 2 2 3 2 3 4" xfId="21056" xr:uid="{00000000-0005-0000-0000-00003A520000}"/>
    <cellStyle name="Normal 23 2 2 3 2 3 5" xfId="21057" xr:uid="{00000000-0005-0000-0000-00003B520000}"/>
    <cellStyle name="Normal 23 2 2 3 2 3 6" xfId="21058" xr:uid="{00000000-0005-0000-0000-00003C520000}"/>
    <cellStyle name="Normal 23 2 2 3 2 3 7" xfId="21059" xr:uid="{00000000-0005-0000-0000-00003D520000}"/>
    <cellStyle name="Normal 23 2 2 3 2 3 8" xfId="21060" xr:uid="{00000000-0005-0000-0000-00003E520000}"/>
    <cellStyle name="Normal 23 2 2 3 2 4" xfId="21061" xr:uid="{00000000-0005-0000-0000-00003F520000}"/>
    <cellStyle name="Normal 23 2 2 3 2 4 2" xfId="21062" xr:uid="{00000000-0005-0000-0000-000040520000}"/>
    <cellStyle name="Normal 23 2 2 3 2 4 2 2" xfId="21063" xr:uid="{00000000-0005-0000-0000-000041520000}"/>
    <cellStyle name="Normal 23 2 2 3 2 4 2 3" xfId="21064" xr:uid="{00000000-0005-0000-0000-000042520000}"/>
    <cellStyle name="Normal 23 2 2 3 2 4 2 4" xfId="21065" xr:uid="{00000000-0005-0000-0000-000043520000}"/>
    <cellStyle name="Normal 23 2 2 3 2 4 2 5" xfId="21066" xr:uid="{00000000-0005-0000-0000-000044520000}"/>
    <cellStyle name="Normal 23 2 2 3 2 4 2 6" xfId="21067" xr:uid="{00000000-0005-0000-0000-000045520000}"/>
    <cellStyle name="Normal 23 2 2 3 2 4 3" xfId="21068" xr:uid="{00000000-0005-0000-0000-000046520000}"/>
    <cellStyle name="Normal 23 2 2 3 2 4 3 2" xfId="21069" xr:uid="{00000000-0005-0000-0000-000047520000}"/>
    <cellStyle name="Normal 23 2 2 3 2 4 3 3" xfId="21070" xr:uid="{00000000-0005-0000-0000-000048520000}"/>
    <cellStyle name="Normal 23 2 2 3 2 4 3 4" xfId="21071" xr:uid="{00000000-0005-0000-0000-000049520000}"/>
    <cellStyle name="Normal 23 2 2 3 2 4 3 5" xfId="21072" xr:uid="{00000000-0005-0000-0000-00004A520000}"/>
    <cellStyle name="Normal 23 2 2 3 2 4 3 6" xfId="21073" xr:uid="{00000000-0005-0000-0000-00004B520000}"/>
    <cellStyle name="Normal 23 2 2 3 2 4 4" xfId="21074" xr:uid="{00000000-0005-0000-0000-00004C520000}"/>
    <cellStyle name="Normal 23 2 2 3 2 4 5" xfId="21075" xr:uid="{00000000-0005-0000-0000-00004D520000}"/>
    <cellStyle name="Normal 23 2 2 3 2 4 6" xfId="21076" xr:uid="{00000000-0005-0000-0000-00004E520000}"/>
    <cellStyle name="Normal 23 2 2 3 2 4 7" xfId="21077" xr:uid="{00000000-0005-0000-0000-00004F520000}"/>
    <cellStyle name="Normal 23 2 2 3 2 4 8" xfId="21078" xr:uid="{00000000-0005-0000-0000-000050520000}"/>
    <cellStyle name="Normal 23 2 2 3 2 5" xfId="21079" xr:uid="{00000000-0005-0000-0000-000051520000}"/>
    <cellStyle name="Normal 23 2 2 3 2 5 2" xfId="21080" xr:uid="{00000000-0005-0000-0000-000052520000}"/>
    <cellStyle name="Normal 23 2 2 3 2 5 3" xfId="21081" xr:uid="{00000000-0005-0000-0000-000053520000}"/>
    <cellStyle name="Normal 23 2 2 3 2 5 4" xfId="21082" xr:uid="{00000000-0005-0000-0000-000054520000}"/>
    <cellStyle name="Normal 23 2 2 3 2 5 5" xfId="21083" xr:uid="{00000000-0005-0000-0000-000055520000}"/>
    <cellStyle name="Normal 23 2 2 3 2 5 6" xfId="21084" xr:uid="{00000000-0005-0000-0000-000056520000}"/>
    <cellStyle name="Normal 23 2 2 3 2 6" xfId="21085" xr:uid="{00000000-0005-0000-0000-000057520000}"/>
    <cellStyle name="Normal 23 2 2 3 2 6 2" xfId="21086" xr:uid="{00000000-0005-0000-0000-000058520000}"/>
    <cellStyle name="Normal 23 2 2 3 2 6 3" xfId="21087" xr:uid="{00000000-0005-0000-0000-000059520000}"/>
    <cellStyle name="Normal 23 2 2 3 2 6 4" xfId="21088" xr:uid="{00000000-0005-0000-0000-00005A520000}"/>
    <cellStyle name="Normal 23 2 2 3 2 6 5" xfId="21089" xr:uid="{00000000-0005-0000-0000-00005B520000}"/>
    <cellStyle name="Normal 23 2 2 3 2 6 6" xfId="21090" xr:uid="{00000000-0005-0000-0000-00005C520000}"/>
    <cellStyle name="Normal 23 2 2 3 2 7" xfId="21091" xr:uid="{00000000-0005-0000-0000-00005D520000}"/>
    <cellStyle name="Normal 23 2 2 3 2 8" xfId="21092" xr:uid="{00000000-0005-0000-0000-00005E520000}"/>
    <cellStyle name="Normal 23 2 2 3 2 9" xfId="21093" xr:uid="{00000000-0005-0000-0000-00005F520000}"/>
    <cellStyle name="Normal 23 2 2 3 3" xfId="21094" xr:uid="{00000000-0005-0000-0000-000060520000}"/>
    <cellStyle name="Normal 23 2 2 3 3 2" xfId="21095" xr:uid="{00000000-0005-0000-0000-000061520000}"/>
    <cellStyle name="Normal 23 2 2 3 3 2 2" xfId="21096" xr:uid="{00000000-0005-0000-0000-000062520000}"/>
    <cellStyle name="Normal 23 2 2 3 3 2 3" xfId="21097" xr:uid="{00000000-0005-0000-0000-000063520000}"/>
    <cellStyle name="Normal 23 2 2 3 3 2 4" xfId="21098" xr:uid="{00000000-0005-0000-0000-000064520000}"/>
    <cellStyle name="Normal 23 2 2 3 3 2 5" xfId="21099" xr:uid="{00000000-0005-0000-0000-000065520000}"/>
    <cellStyle name="Normal 23 2 2 3 3 2 6" xfId="21100" xr:uid="{00000000-0005-0000-0000-000066520000}"/>
    <cellStyle name="Normal 23 2 2 3 3 3" xfId="21101" xr:uid="{00000000-0005-0000-0000-000067520000}"/>
    <cellStyle name="Normal 23 2 2 3 3 3 2" xfId="21102" xr:uid="{00000000-0005-0000-0000-000068520000}"/>
    <cellStyle name="Normal 23 2 2 3 3 3 3" xfId="21103" xr:uid="{00000000-0005-0000-0000-000069520000}"/>
    <cellStyle name="Normal 23 2 2 3 3 3 4" xfId="21104" xr:uid="{00000000-0005-0000-0000-00006A520000}"/>
    <cellStyle name="Normal 23 2 2 3 3 3 5" xfId="21105" xr:uid="{00000000-0005-0000-0000-00006B520000}"/>
    <cellStyle name="Normal 23 2 2 3 3 3 6" xfId="21106" xr:uid="{00000000-0005-0000-0000-00006C520000}"/>
    <cellStyle name="Normal 23 2 2 3 3 4" xfId="21107" xr:uid="{00000000-0005-0000-0000-00006D520000}"/>
    <cellStyle name="Normal 23 2 2 3 3 5" xfId="21108" xr:uid="{00000000-0005-0000-0000-00006E520000}"/>
    <cellStyle name="Normal 23 2 2 3 3 6" xfId="21109" xr:uid="{00000000-0005-0000-0000-00006F520000}"/>
    <cellStyle name="Normal 23 2 2 3 3 7" xfId="21110" xr:uid="{00000000-0005-0000-0000-000070520000}"/>
    <cellStyle name="Normal 23 2 2 3 3 8" xfId="21111" xr:uid="{00000000-0005-0000-0000-000071520000}"/>
    <cellStyle name="Normal 23 2 2 3 4" xfId="21112" xr:uid="{00000000-0005-0000-0000-000072520000}"/>
    <cellStyle name="Normal 23 2 2 3 4 2" xfId="21113" xr:uid="{00000000-0005-0000-0000-000073520000}"/>
    <cellStyle name="Normal 23 2 2 3 4 2 2" xfId="21114" xr:uid="{00000000-0005-0000-0000-000074520000}"/>
    <cellStyle name="Normal 23 2 2 3 4 2 3" xfId="21115" xr:uid="{00000000-0005-0000-0000-000075520000}"/>
    <cellStyle name="Normal 23 2 2 3 4 2 4" xfId="21116" xr:uid="{00000000-0005-0000-0000-000076520000}"/>
    <cellStyle name="Normal 23 2 2 3 4 2 5" xfId="21117" xr:uid="{00000000-0005-0000-0000-000077520000}"/>
    <cellStyle name="Normal 23 2 2 3 4 2 6" xfId="21118" xr:uid="{00000000-0005-0000-0000-000078520000}"/>
    <cellStyle name="Normal 23 2 2 3 4 3" xfId="21119" xr:uid="{00000000-0005-0000-0000-000079520000}"/>
    <cellStyle name="Normal 23 2 2 3 4 3 2" xfId="21120" xr:uid="{00000000-0005-0000-0000-00007A520000}"/>
    <cellStyle name="Normal 23 2 2 3 4 3 3" xfId="21121" xr:uid="{00000000-0005-0000-0000-00007B520000}"/>
    <cellStyle name="Normal 23 2 2 3 4 3 4" xfId="21122" xr:uid="{00000000-0005-0000-0000-00007C520000}"/>
    <cellStyle name="Normal 23 2 2 3 4 3 5" xfId="21123" xr:uid="{00000000-0005-0000-0000-00007D520000}"/>
    <cellStyle name="Normal 23 2 2 3 4 3 6" xfId="21124" xr:uid="{00000000-0005-0000-0000-00007E520000}"/>
    <cellStyle name="Normal 23 2 2 3 4 4" xfId="21125" xr:uid="{00000000-0005-0000-0000-00007F520000}"/>
    <cellStyle name="Normal 23 2 2 3 4 5" xfId="21126" xr:uid="{00000000-0005-0000-0000-000080520000}"/>
    <cellStyle name="Normal 23 2 2 3 4 6" xfId="21127" xr:uid="{00000000-0005-0000-0000-000081520000}"/>
    <cellStyle name="Normal 23 2 2 3 4 7" xfId="21128" xr:uid="{00000000-0005-0000-0000-000082520000}"/>
    <cellStyle name="Normal 23 2 2 3 4 8" xfId="21129" xr:uid="{00000000-0005-0000-0000-000083520000}"/>
    <cellStyle name="Normal 23 2 2 3 5" xfId="21130" xr:uid="{00000000-0005-0000-0000-000084520000}"/>
    <cellStyle name="Normal 23 2 2 3 5 2" xfId="21131" xr:uid="{00000000-0005-0000-0000-000085520000}"/>
    <cellStyle name="Normal 23 2 2 3 5 2 2" xfId="21132" xr:uid="{00000000-0005-0000-0000-000086520000}"/>
    <cellStyle name="Normal 23 2 2 3 5 2 3" xfId="21133" xr:uid="{00000000-0005-0000-0000-000087520000}"/>
    <cellStyle name="Normal 23 2 2 3 5 2 4" xfId="21134" xr:uid="{00000000-0005-0000-0000-000088520000}"/>
    <cellStyle name="Normal 23 2 2 3 5 2 5" xfId="21135" xr:uid="{00000000-0005-0000-0000-000089520000}"/>
    <cellStyle name="Normal 23 2 2 3 5 2 6" xfId="21136" xr:uid="{00000000-0005-0000-0000-00008A520000}"/>
    <cellStyle name="Normal 23 2 2 3 5 3" xfId="21137" xr:uid="{00000000-0005-0000-0000-00008B520000}"/>
    <cellStyle name="Normal 23 2 2 3 5 3 2" xfId="21138" xr:uid="{00000000-0005-0000-0000-00008C520000}"/>
    <cellStyle name="Normal 23 2 2 3 5 3 3" xfId="21139" xr:uid="{00000000-0005-0000-0000-00008D520000}"/>
    <cellStyle name="Normal 23 2 2 3 5 3 4" xfId="21140" xr:uid="{00000000-0005-0000-0000-00008E520000}"/>
    <cellStyle name="Normal 23 2 2 3 5 3 5" xfId="21141" xr:uid="{00000000-0005-0000-0000-00008F520000}"/>
    <cellStyle name="Normal 23 2 2 3 5 3 6" xfId="21142" xr:uid="{00000000-0005-0000-0000-000090520000}"/>
    <cellStyle name="Normal 23 2 2 3 5 4" xfId="21143" xr:uid="{00000000-0005-0000-0000-000091520000}"/>
    <cellStyle name="Normal 23 2 2 3 5 5" xfId="21144" xr:uid="{00000000-0005-0000-0000-000092520000}"/>
    <cellStyle name="Normal 23 2 2 3 5 6" xfId="21145" xr:uid="{00000000-0005-0000-0000-000093520000}"/>
    <cellStyle name="Normal 23 2 2 3 5 7" xfId="21146" xr:uid="{00000000-0005-0000-0000-000094520000}"/>
    <cellStyle name="Normal 23 2 2 3 5 8" xfId="21147" xr:uid="{00000000-0005-0000-0000-000095520000}"/>
    <cellStyle name="Normal 23 2 2 3 6" xfId="21148" xr:uid="{00000000-0005-0000-0000-000096520000}"/>
    <cellStyle name="Normal 23 2 2 3 6 2" xfId="21149" xr:uid="{00000000-0005-0000-0000-000097520000}"/>
    <cellStyle name="Normal 23 2 2 3 6 3" xfId="21150" xr:uid="{00000000-0005-0000-0000-000098520000}"/>
    <cellStyle name="Normal 23 2 2 3 6 4" xfId="21151" xr:uid="{00000000-0005-0000-0000-000099520000}"/>
    <cellStyle name="Normal 23 2 2 3 6 5" xfId="21152" xr:uid="{00000000-0005-0000-0000-00009A520000}"/>
    <cellStyle name="Normal 23 2 2 3 6 6" xfId="21153" xr:uid="{00000000-0005-0000-0000-00009B520000}"/>
    <cellStyle name="Normal 23 2 2 3 7" xfId="21154" xr:uid="{00000000-0005-0000-0000-00009C520000}"/>
    <cellStyle name="Normal 23 2 2 3 7 2" xfId="21155" xr:uid="{00000000-0005-0000-0000-00009D520000}"/>
    <cellStyle name="Normal 23 2 2 3 7 3" xfId="21156" xr:uid="{00000000-0005-0000-0000-00009E520000}"/>
    <cellStyle name="Normal 23 2 2 3 7 4" xfId="21157" xr:uid="{00000000-0005-0000-0000-00009F520000}"/>
    <cellStyle name="Normal 23 2 2 3 7 5" xfId="21158" xr:uid="{00000000-0005-0000-0000-0000A0520000}"/>
    <cellStyle name="Normal 23 2 2 3 7 6" xfId="21159" xr:uid="{00000000-0005-0000-0000-0000A1520000}"/>
    <cellStyle name="Normal 23 2 2 3 8" xfId="21160" xr:uid="{00000000-0005-0000-0000-0000A2520000}"/>
    <cellStyle name="Normal 23 2 2 3 9" xfId="21161" xr:uid="{00000000-0005-0000-0000-0000A3520000}"/>
    <cellStyle name="Normal 23 2 2 4" xfId="21162" xr:uid="{00000000-0005-0000-0000-0000A4520000}"/>
    <cellStyle name="Normal 23 2 2 4 10" xfId="21163" xr:uid="{00000000-0005-0000-0000-0000A5520000}"/>
    <cellStyle name="Normal 23 2 2 4 11" xfId="21164" xr:uid="{00000000-0005-0000-0000-0000A6520000}"/>
    <cellStyle name="Normal 23 2 2 4 2" xfId="21165" xr:uid="{00000000-0005-0000-0000-0000A7520000}"/>
    <cellStyle name="Normal 23 2 2 4 2 2" xfId="21166" xr:uid="{00000000-0005-0000-0000-0000A8520000}"/>
    <cellStyle name="Normal 23 2 2 4 2 2 2" xfId="21167" xr:uid="{00000000-0005-0000-0000-0000A9520000}"/>
    <cellStyle name="Normal 23 2 2 4 2 2 3" xfId="21168" xr:uid="{00000000-0005-0000-0000-0000AA520000}"/>
    <cellStyle name="Normal 23 2 2 4 2 2 4" xfId="21169" xr:uid="{00000000-0005-0000-0000-0000AB520000}"/>
    <cellStyle name="Normal 23 2 2 4 2 2 5" xfId="21170" xr:uid="{00000000-0005-0000-0000-0000AC520000}"/>
    <cellStyle name="Normal 23 2 2 4 2 2 6" xfId="21171" xr:uid="{00000000-0005-0000-0000-0000AD520000}"/>
    <cellStyle name="Normal 23 2 2 4 2 3" xfId="21172" xr:uid="{00000000-0005-0000-0000-0000AE520000}"/>
    <cellStyle name="Normal 23 2 2 4 2 3 2" xfId="21173" xr:uid="{00000000-0005-0000-0000-0000AF520000}"/>
    <cellStyle name="Normal 23 2 2 4 2 3 3" xfId="21174" xr:uid="{00000000-0005-0000-0000-0000B0520000}"/>
    <cellStyle name="Normal 23 2 2 4 2 3 4" xfId="21175" xr:uid="{00000000-0005-0000-0000-0000B1520000}"/>
    <cellStyle name="Normal 23 2 2 4 2 3 5" xfId="21176" xr:uid="{00000000-0005-0000-0000-0000B2520000}"/>
    <cellStyle name="Normal 23 2 2 4 2 3 6" xfId="21177" xr:uid="{00000000-0005-0000-0000-0000B3520000}"/>
    <cellStyle name="Normal 23 2 2 4 2 4" xfId="21178" xr:uid="{00000000-0005-0000-0000-0000B4520000}"/>
    <cellStyle name="Normal 23 2 2 4 2 5" xfId="21179" xr:uid="{00000000-0005-0000-0000-0000B5520000}"/>
    <cellStyle name="Normal 23 2 2 4 2 6" xfId="21180" xr:uid="{00000000-0005-0000-0000-0000B6520000}"/>
    <cellStyle name="Normal 23 2 2 4 2 7" xfId="21181" xr:uid="{00000000-0005-0000-0000-0000B7520000}"/>
    <cellStyle name="Normal 23 2 2 4 2 8" xfId="21182" xr:uid="{00000000-0005-0000-0000-0000B8520000}"/>
    <cellStyle name="Normal 23 2 2 4 3" xfId="21183" xr:uid="{00000000-0005-0000-0000-0000B9520000}"/>
    <cellStyle name="Normal 23 2 2 4 3 2" xfId="21184" xr:uid="{00000000-0005-0000-0000-0000BA520000}"/>
    <cellStyle name="Normal 23 2 2 4 3 2 2" xfId="21185" xr:uid="{00000000-0005-0000-0000-0000BB520000}"/>
    <cellStyle name="Normal 23 2 2 4 3 2 3" xfId="21186" xr:uid="{00000000-0005-0000-0000-0000BC520000}"/>
    <cellStyle name="Normal 23 2 2 4 3 2 4" xfId="21187" xr:uid="{00000000-0005-0000-0000-0000BD520000}"/>
    <cellStyle name="Normal 23 2 2 4 3 2 5" xfId="21188" xr:uid="{00000000-0005-0000-0000-0000BE520000}"/>
    <cellStyle name="Normal 23 2 2 4 3 2 6" xfId="21189" xr:uid="{00000000-0005-0000-0000-0000BF520000}"/>
    <cellStyle name="Normal 23 2 2 4 3 3" xfId="21190" xr:uid="{00000000-0005-0000-0000-0000C0520000}"/>
    <cellStyle name="Normal 23 2 2 4 3 3 2" xfId="21191" xr:uid="{00000000-0005-0000-0000-0000C1520000}"/>
    <cellStyle name="Normal 23 2 2 4 3 3 3" xfId="21192" xr:uid="{00000000-0005-0000-0000-0000C2520000}"/>
    <cellStyle name="Normal 23 2 2 4 3 3 4" xfId="21193" xr:uid="{00000000-0005-0000-0000-0000C3520000}"/>
    <cellStyle name="Normal 23 2 2 4 3 3 5" xfId="21194" xr:uid="{00000000-0005-0000-0000-0000C4520000}"/>
    <cellStyle name="Normal 23 2 2 4 3 3 6" xfId="21195" xr:uid="{00000000-0005-0000-0000-0000C5520000}"/>
    <cellStyle name="Normal 23 2 2 4 3 4" xfId="21196" xr:uid="{00000000-0005-0000-0000-0000C6520000}"/>
    <cellStyle name="Normal 23 2 2 4 3 5" xfId="21197" xr:uid="{00000000-0005-0000-0000-0000C7520000}"/>
    <cellStyle name="Normal 23 2 2 4 3 6" xfId="21198" xr:uid="{00000000-0005-0000-0000-0000C8520000}"/>
    <cellStyle name="Normal 23 2 2 4 3 7" xfId="21199" xr:uid="{00000000-0005-0000-0000-0000C9520000}"/>
    <cellStyle name="Normal 23 2 2 4 3 8" xfId="21200" xr:uid="{00000000-0005-0000-0000-0000CA520000}"/>
    <cellStyle name="Normal 23 2 2 4 4" xfId="21201" xr:uid="{00000000-0005-0000-0000-0000CB520000}"/>
    <cellStyle name="Normal 23 2 2 4 4 2" xfId="21202" xr:uid="{00000000-0005-0000-0000-0000CC520000}"/>
    <cellStyle name="Normal 23 2 2 4 4 2 2" xfId="21203" xr:uid="{00000000-0005-0000-0000-0000CD520000}"/>
    <cellStyle name="Normal 23 2 2 4 4 2 3" xfId="21204" xr:uid="{00000000-0005-0000-0000-0000CE520000}"/>
    <cellStyle name="Normal 23 2 2 4 4 2 4" xfId="21205" xr:uid="{00000000-0005-0000-0000-0000CF520000}"/>
    <cellStyle name="Normal 23 2 2 4 4 2 5" xfId="21206" xr:uid="{00000000-0005-0000-0000-0000D0520000}"/>
    <cellStyle name="Normal 23 2 2 4 4 2 6" xfId="21207" xr:uid="{00000000-0005-0000-0000-0000D1520000}"/>
    <cellStyle name="Normal 23 2 2 4 4 3" xfId="21208" xr:uid="{00000000-0005-0000-0000-0000D2520000}"/>
    <cellStyle name="Normal 23 2 2 4 4 3 2" xfId="21209" xr:uid="{00000000-0005-0000-0000-0000D3520000}"/>
    <cellStyle name="Normal 23 2 2 4 4 3 3" xfId="21210" xr:uid="{00000000-0005-0000-0000-0000D4520000}"/>
    <cellStyle name="Normal 23 2 2 4 4 3 4" xfId="21211" xr:uid="{00000000-0005-0000-0000-0000D5520000}"/>
    <cellStyle name="Normal 23 2 2 4 4 3 5" xfId="21212" xr:uid="{00000000-0005-0000-0000-0000D6520000}"/>
    <cellStyle name="Normal 23 2 2 4 4 3 6" xfId="21213" xr:uid="{00000000-0005-0000-0000-0000D7520000}"/>
    <cellStyle name="Normal 23 2 2 4 4 4" xfId="21214" xr:uid="{00000000-0005-0000-0000-0000D8520000}"/>
    <cellStyle name="Normal 23 2 2 4 4 5" xfId="21215" xr:uid="{00000000-0005-0000-0000-0000D9520000}"/>
    <cellStyle name="Normal 23 2 2 4 4 6" xfId="21216" xr:uid="{00000000-0005-0000-0000-0000DA520000}"/>
    <cellStyle name="Normal 23 2 2 4 4 7" xfId="21217" xr:uid="{00000000-0005-0000-0000-0000DB520000}"/>
    <cellStyle name="Normal 23 2 2 4 4 8" xfId="21218" xr:uid="{00000000-0005-0000-0000-0000DC520000}"/>
    <cellStyle name="Normal 23 2 2 4 5" xfId="21219" xr:uid="{00000000-0005-0000-0000-0000DD520000}"/>
    <cellStyle name="Normal 23 2 2 4 5 2" xfId="21220" xr:uid="{00000000-0005-0000-0000-0000DE520000}"/>
    <cellStyle name="Normal 23 2 2 4 5 3" xfId="21221" xr:uid="{00000000-0005-0000-0000-0000DF520000}"/>
    <cellStyle name="Normal 23 2 2 4 5 4" xfId="21222" xr:uid="{00000000-0005-0000-0000-0000E0520000}"/>
    <cellStyle name="Normal 23 2 2 4 5 5" xfId="21223" xr:uid="{00000000-0005-0000-0000-0000E1520000}"/>
    <cellStyle name="Normal 23 2 2 4 5 6" xfId="21224" xr:uid="{00000000-0005-0000-0000-0000E2520000}"/>
    <cellStyle name="Normal 23 2 2 4 6" xfId="21225" xr:uid="{00000000-0005-0000-0000-0000E3520000}"/>
    <cellStyle name="Normal 23 2 2 4 6 2" xfId="21226" xr:uid="{00000000-0005-0000-0000-0000E4520000}"/>
    <cellStyle name="Normal 23 2 2 4 6 3" xfId="21227" xr:uid="{00000000-0005-0000-0000-0000E5520000}"/>
    <cellStyle name="Normal 23 2 2 4 6 4" xfId="21228" xr:uid="{00000000-0005-0000-0000-0000E6520000}"/>
    <cellStyle name="Normal 23 2 2 4 6 5" xfId="21229" xr:uid="{00000000-0005-0000-0000-0000E7520000}"/>
    <cellStyle name="Normal 23 2 2 4 6 6" xfId="21230" xr:uid="{00000000-0005-0000-0000-0000E8520000}"/>
    <cellStyle name="Normal 23 2 2 4 7" xfId="21231" xr:uid="{00000000-0005-0000-0000-0000E9520000}"/>
    <cellStyle name="Normal 23 2 2 4 8" xfId="21232" xr:uid="{00000000-0005-0000-0000-0000EA520000}"/>
    <cellStyle name="Normal 23 2 2 4 9" xfId="21233" xr:uid="{00000000-0005-0000-0000-0000EB520000}"/>
    <cellStyle name="Normal 23 2 2 5" xfId="21234" xr:uid="{00000000-0005-0000-0000-0000EC520000}"/>
    <cellStyle name="Normal 23 2 2 5 2" xfId="21235" xr:uid="{00000000-0005-0000-0000-0000ED520000}"/>
    <cellStyle name="Normal 23 2 2 5 2 2" xfId="21236" xr:uid="{00000000-0005-0000-0000-0000EE520000}"/>
    <cellStyle name="Normal 23 2 2 5 2 3" xfId="21237" xr:uid="{00000000-0005-0000-0000-0000EF520000}"/>
    <cellStyle name="Normal 23 2 2 5 2 4" xfId="21238" xr:uid="{00000000-0005-0000-0000-0000F0520000}"/>
    <cellStyle name="Normal 23 2 2 5 2 5" xfId="21239" xr:uid="{00000000-0005-0000-0000-0000F1520000}"/>
    <cellStyle name="Normal 23 2 2 5 2 6" xfId="21240" xr:uid="{00000000-0005-0000-0000-0000F2520000}"/>
    <cellStyle name="Normal 23 2 2 5 3" xfId="21241" xr:uid="{00000000-0005-0000-0000-0000F3520000}"/>
    <cellStyle name="Normal 23 2 2 5 3 2" xfId="21242" xr:uid="{00000000-0005-0000-0000-0000F4520000}"/>
    <cellStyle name="Normal 23 2 2 5 3 3" xfId="21243" xr:uid="{00000000-0005-0000-0000-0000F5520000}"/>
    <cellStyle name="Normal 23 2 2 5 3 4" xfId="21244" xr:uid="{00000000-0005-0000-0000-0000F6520000}"/>
    <cellStyle name="Normal 23 2 2 5 3 5" xfId="21245" xr:uid="{00000000-0005-0000-0000-0000F7520000}"/>
    <cellStyle name="Normal 23 2 2 5 3 6" xfId="21246" xr:uid="{00000000-0005-0000-0000-0000F8520000}"/>
    <cellStyle name="Normal 23 2 2 5 4" xfId="21247" xr:uid="{00000000-0005-0000-0000-0000F9520000}"/>
    <cellStyle name="Normal 23 2 2 5 5" xfId="21248" xr:uid="{00000000-0005-0000-0000-0000FA520000}"/>
    <cellStyle name="Normal 23 2 2 5 6" xfId="21249" xr:uid="{00000000-0005-0000-0000-0000FB520000}"/>
    <cellStyle name="Normal 23 2 2 5 7" xfId="21250" xr:uid="{00000000-0005-0000-0000-0000FC520000}"/>
    <cellStyle name="Normal 23 2 2 5 8" xfId="21251" xr:uid="{00000000-0005-0000-0000-0000FD520000}"/>
    <cellStyle name="Normal 23 2 2 6" xfId="21252" xr:uid="{00000000-0005-0000-0000-0000FE520000}"/>
    <cellStyle name="Normal 23 2 2 6 2" xfId="21253" xr:uid="{00000000-0005-0000-0000-0000FF520000}"/>
    <cellStyle name="Normal 23 2 2 6 2 2" xfId="21254" xr:uid="{00000000-0005-0000-0000-000000530000}"/>
    <cellStyle name="Normal 23 2 2 6 2 3" xfId="21255" xr:uid="{00000000-0005-0000-0000-000001530000}"/>
    <cellStyle name="Normal 23 2 2 6 2 4" xfId="21256" xr:uid="{00000000-0005-0000-0000-000002530000}"/>
    <cellStyle name="Normal 23 2 2 6 2 5" xfId="21257" xr:uid="{00000000-0005-0000-0000-000003530000}"/>
    <cellStyle name="Normal 23 2 2 6 2 6" xfId="21258" xr:uid="{00000000-0005-0000-0000-000004530000}"/>
    <cellStyle name="Normal 23 2 2 6 3" xfId="21259" xr:uid="{00000000-0005-0000-0000-000005530000}"/>
    <cellStyle name="Normal 23 2 2 6 3 2" xfId="21260" xr:uid="{00000000-0005-0000-0000-000006530000}"/>
    <cellStyle name="Normal 23 2 2 6 3 3" xfId="21261" xr:uid="{00000000-0005-0000-0000-000007530000}"/>
    <cellStyle name="Normal 23 2 2 6 3 4" xfId="21262" xr:uid="{00000000-0005-0000-0000-000008530000}"/>
    <cellStyle name="Normal 23 2 2 6 3 5" xfId="21263" xr:uid="{00000000-0005-0000-0000-000009530000}"/>
    <cellStyle name="Normal 23 2 2 6 3 6" xfId="21264" xr:uid="{00000000-0005-0000-0000-00000A530000}"/>
    <cellStyle name="Normal 23 2 2 6 4" xfId="21265" xr:uid="{00000000-0005-0000-0000-00000B530000}"/>
    <cellStyle name="Normal 23 2 2 6 5" xfId="21266" xr:uid="{00000000-0005-0000-0000-00000C530000}"/>
    <cellStyle name="Normal 23 2 2 6 6" xfId="21267" xr:uid="{00000000-0005-0000-0000-00000D530000}"/>
    <cellStyle name="Normal 23 2 2 6 7" xfId="21268" xr:uid="{00000000-0005-0000-0000-00000E530000}"/>
    <cellStyle name="Normal 23 2 2 6 8" xfId="21269" xr:uid="{00000000-0005-0000-0000-00000F530000}"/>
    <cellStyle name="Normal 23 2 2 7" xfId="21270" xr:uid="{00000000-0005-0000-0000-000010530000}"/>
    <cellStyle name="Normal 23 2 2 7 2" xfId="21271" xr:uid="{00000000-0005-0000-0000-000011530000}"/>
    <cellStyle name="Normal 23 2 2 7 2 2" xfId="21272" xr:uid="{00000000-0005-0000-0000-000012530000}"/>
    <cellStyle name="Normal 23 2 2 7 2 3" xfId="21273" xr:uid="{00000000-0005-0000-0000-000013530000}"/>
    <cellStyle name="Normal 23 2 2 7 2 4" xfId="21274" xr:uid="{00000000-0005-0000-0000-000014530000}"/>
    <cellStyle name="Normal 23 2 2 7 2 5" xfId="21275" xr:uid="{00000000-0005-0000-0000-000015530000}"/>
    <cellStyle name="Normal 23 2 2 7 2 6" xfId="21276" xr:uid="{00000000-0005-0000-0000-000016530000}"/>
    <cellStyle name="Normal 23 2 2 7 3" xfId="21277" xr:uid="{00000000-0005-0000-0000-000017530000}"/>
    <cellStyle name="Normal 23 2 2 7 3 2" xfId="21278" xr:uid="{00000000-0005-0000-0000-000018530000}"/>
    <cellStyle name="Normal 23 2 2 7 3 3" xfId="21279" xr:uid="{00000000-0005-0000-0000-000019530000}"/>
    <cellStyle name="Normal 23 2 2 7 3 4" xfId="21280" xr:uid="{00000000-0005-0000-0000-00001A530000}"/>
    <cellStyle name="Normal 23 2 2 7 3 5" xfId="21281" xr:uid="{00000000-0005-0000-0000-00001B530000}"/>
    <cellStyle name="Normal 23 2 2 7 3 6" xfId="21282" xr:uid="{00000000-0005-0000-0000-00001C530000}"/>
    <cellStyle name="Normal 23 2 2 7 4" xfId="21283" xr:uid="{00000000-0005-0000-0000-00001D530000}"/>
    <cellStyle name="Normal 23 2 2 7 5" xfId="21284" xr:uid="{00000000-0005-0000-0000-00001E530000}"/>
    <cellStyle name="Normal 23 2 2 7 6" xfId="21285" xr:uid="{00000000-0005-0000-0000-00001F530000}"/>
    <cellStyle name="Normal 23 2 2 7 7" xfId="21286" xr:uid="{00000000-0005-0000-0000-000020530000}"/>
    <cellStyle name="Normal 23 2 2 7 8" xfId="21287" xr:uid="{00000000-0005-0000-0000-000021530000}"/>
    <cellStyle name="Normal 23 2 2 8" xfId="21288" xr:uid="{00000000-0005-0000-0000-000022530000}"/>
    <cellStyle name="Normal 23 2 2 8 2" xfId="21289" xr:uid="{00000000-0005-0000-0000-000023530000}"/>
    <cellStyle name="Normal 23 2 2 8 3" xfId="21290" xr:uid="{00000000-0005-0000-0000-000024530000}"/>
    <cellStyle name="Normal 23 2 2 8 4" xfId="21291" xr:uid="{00000000-0005-0000-0000-000025530000}"/>
    <cellStyle name="Normal 23 2 2 8 5" xfId="21292" xr:uid="{00000000-0005-0000-0000-000026530000}"/>
    <cellStyle name="Normal 23 2 2 8 6" xfId="21293" xr:uid="{00000000-0005-0000-0000-000027530000}"/>
    <cellStyle name="Normal 23 2 2 9" xfId="21294" xr:uid="{00000000-0005-0000-0000-000028530000}"/>
    <cellStyle name="Normal 23 2 2 9 2" xfId="21295" xr:uid="{00000000-0005-0000-0000-000029530000}"/>
    <cellStyle name="Normal 23 2 2 9 3" xfId="21296" xr:uid="{00000000-0005-0000-0000-00002A530000}"/>
    <cellStyle name="Normal 23 2 2 9 4" xfId="21297" xr:uid="{00000000-0005-0000-0000-00002B530000}"/>
    <cellStyle name="Normal 23 2 2 9 5" xfId="21298" xr:uid="{00000000-0005-0000-0000-00002C530000}"/>
    <cellStyle name="Normal 23 2 2 9 6" xfId="21299" xr:uid="{00000000-0005-0000-0000-00002D530000}"/>
    <cellStyle name="Normal 23 2 3" xfId="21300" xr:uid="{00000000-0005-0000-0000-00002E530000}"/>
    <cellStyle name="Normal 23 2 3 10" xfId="21301" xr:uid="{00000000-0005-0000-0000-00002F530000}"/>
    <cellStyle name="Normal 23 2 3 11" xfId="21302" xr:uid="{00000000-0005-0000-0000-000030530000}"/>
    <cellStyle name="Normal 23 2 3 12" xfId="21303" xr:uid="{00000000-0005-0000-0000-000031530000}"/>
    <cellStyle name="Normal 23 2 3 2" xfId="21304" xr:uid="{00000000-0005-0000-0000-000032530000}"/>
    <cellStyle name="Normal 23 2 3 2 10" xfId="21305" xr:uid="{00000000-0005-0000-0000-000033530000}"/>
    <cellStyle name="Normal 23 2 3 2 11" xfId="21306" xr:uid="{00000000-0005-0000-0000-000034530000}"/>
    <cellStyle name="Normal 23 2 3 2 2" xfId="21307" xr:uid="{00000000-0005-0000-0000-000035530000}"/>
    <cellStyle name="Normal 23 2 3 2 2 2" xfId="21308" xr:uid="{00000000-0005-0000-0000-000036530000}"/>
    <cellStyle name="Normal 23 2 3 2 2 2 2" xfId="21309" xr:uid="{00000000-0005-0000-0000-000037530000}"/>
    <cellStyle name="Normal 23 2 3 2 2 2 3" xfId="21310" xr:uid="{00000000-0005-0000-0000-000038530000}"/>
    <cellStyle name="Normal 23 2 3 2 2 2 4" xfId="21311" xr:uid="{00000000-0005-0000-0000-000039530000}"/>
    <cellStyle name="Normal 23 2 3 2 2 2 5" xfId="21312" xr:uid="{00000000-0005-0000-0000-00003A530000}"/>
    <cellStyle name="Normal 23 2 3 2 2 2 6" xfId="21313" xr:uid="{00000000-0005-0000-0000-00003B530000}"/>
    <cellStyle name="Normal 23 2 3 2 2 3" xfId="21314" xr:uid="{00000000-0005-0000-0000-00003C530000}"/>
    <cellStyle name="Normal 23 2 3 2 2 3 2" xfId="21315" xr:uid="{00000000-0005-0000-0000-00003D530000}"/>
    <cellStyle name="Normal 23 2 3 2 2 3 3" xfId="21316" xr:uid="{00000000-0005-0000-0000-00003E530000}"/>
    <cellStyle name="Normal 23 2 3 2 2 3 4" xfId="21317" xr:uid="{00000000-0005-0000-0000-00003F530000}"/>
    <cellStyle name="Normal 23 2 3 2 2 3 5" xfId="21318" xr:uid="{00000000-0005-0000-0000-000040530000}"/>
    <cellStyle name="Normal 23 2 3 2 2 3 6" xfId="21319" xr:uid="{00000000-0005-0000-0000-000041530000}"/>
    <cellStyle name="Normal 23 2 3 2 2 4" xfId="21320" xr:uid="{00000000-0005-0000-0000-000042530000}"/>
    <cellStyle name="Normal 23 2 3 2 2 5" xfId="21321" xr:uid="{00000000-0005-0000-0000-000043530000}"/>
    <cellStyle name="Normal 23 2 3 2 2 6" xfId="21322" xr:uid="{00000000-0005-0000-0000-000044530000}"/>
    <cellStyle name="Normal 23 2 3 2 2 7" xfId="21323" xr:uid="{00000000-0005-0000-0000-000045530000}"/>
    <cellStyle name="Normal 23 2 3 2 2 8" xfId="21324" xr:uid="{00000000-0005-0000-0000-000046530000}"/>
    <cellStyle name="Normal 23 2 3 2 3" xfId="21325" xr:uid="{00000000-0005-0000-0000-000047530000}"/>
    <cellStyle name="Normal 23 2 3 2 3 2" xfId="21326" xr:uid="{00000000-0005-0000-0000-000048530000}"/>
    <cellStyle name="Normal 23 2 3 2 3 2 2" xfId="21327" xr:uid="{00000000-0005-0000-0000-000049530000}"/>
    <cellStyle name="Normal 23 2 3 2 3 2 3" xfId="21328" xr:uid="{00000000-0005-0000-0000-00004A530000}"/>
    <cellStyle name="Normal 23 2 3 2 3 2 4" xfId="21329" xr:uid="{00000000-0005-0000-0000-00004B530000}"/>
    <cellStyle name="Normal 23 2 3 2 3 2 5" xfId="21330" xr:uid="{00000000-0005-0000-0000-00004C530000}"/>
    <cellStyle name="Normal 23 2 3 2 3 2 6" xfId="21331" xr:uid="{00000000-0005-0000-0000-00004D530000}"/>
    <cellStyle name="Normal 23 2 3 2 3 3" xfId="21332" xr:uid="{00000000-0005-0000-0000-00004E530000}"/>
    <cellStyle name="Normal 23 2 3 2 3 3 2" xfId="21333" xr:uid="{00000000-0005-0000-0000-00004F530000}"/>
    <cellStyle name="Normal 23 2 3 2 3 3 3" xfId="21334" xr:uid="{00000000-0005-0000-0000-000050530000}"/>
    <cellStyle name="Normal 23 2 3 2 3 3 4" xfId="21335" xr:uid="{00000000-0005-0000-0000-000051530000}"/>
    <cellStyle name="Normal 23 2 3 2 3 3 5" xfId="21336" xr:uid="{00000000-0005-0000-0000-000052530000}"/>
    <cellStyle name="Normal 23 2 3 2 3 3 6" xfId="21337" xr:uid="{00000000-0005-0000-0000-000053530000}"/>
    <cellStyle name="Normal 23 2 3 2 3 4" xfId="21338" xr:uid="{00000000-0005-0000-0000-000054530000}"/>
    <cellStyle name="Normal 23 2 3 2 3 5" xfId="21339" xr:uid="{00000000-0005-0000-0000-000055530000}"/>
    <cellStyle name="Normal 23 2 3 2 3 6" xfId="21340" xr:uid="{00000000-0005-0000-0000-000056530000}"/>
    <cellStyle name="Normal 23 2 3 2 3 7" xfId="21341" xr:uid="{00000000-0005-0000-0000-000057530000}"/>
    <cellStyle name="Normal 23 2 3 2 3 8" xfId="21342" xr:uid="{00000000-0005-0000-0000-000058530000}"/>
    <cellStyle name="Normal 23 2 3 2 4" xfId="21343" xr:uid="{00000000-0005-0000-0000-000059530000}"/>
    <cellStyle name="Normal 23 2 3 2 4 2" xfId="21344" xr:uid="{00000000-0005-0000-0000-00005A530000}"/>
    <cellStyle name="Normal 23 2 3 2 4 2 2" xfId="21345" xr:uid="{00000000-0005-0000-0000-00005B530000}"/>
    <cellStyle name="Normal 23 2 3 2 4 2 3" xfId="21346" xr:uid="{00000000-0005-0000-0000-00005C530000}"/>
    <cellStyle name="Normal 23 2 3 2 4 2 4" xfId="21347" xr:uid="{00000000-0005-0000-0000-00005D530000}"/>
    <cellStyle name="Normal 23 2 3 2 4 2 5" xfId="21348" xr:uid="{00000000-0005-0000-0000-00005E530000}"/>
    <cellStyle name="Normal 23 2 3 2 4 2 6" xfId="21349" xr:uid="{00000000-0005-0000-0000-00005F530000}"/>
    <cellStyle name="Normal 23 2 3 2 4 3" xfId="21350" xr:uid="{00000000-0005-0000-0000-000060530000}"/>
    <cellStyle name="Normal 23 2 3 2 4 3 2" xfId="21351" xr:uid="{00000000-0005-0000-0000-000061530000}"/>
    <cellStyle name="Normal 23 2 3 2 4 3 3" xfId="21352" xr:uid="{00000000-0005-0000-0000-000062530000}"/>
    <cellStyle name="Normal 23 2 3 2 4 3 4" xfId="21353" xr:uid="{00000000-0005-0000-0000-000063530000}"/>
    <cellStyle name="Normal 23 2 3 2 4 3 5" xfId="21354" xr:uid="{00000000-0005-0000-0000-000064530000}"/>
    <cellStyle name="Normal 23 2 3 2 4 3 6" xfId="21355" xr:uid="{00000000-0005-0000-0000-000065530000}"/>
    <cellStyle name="Normal 23 2 3 2 4 4" xfId="21356" xr:uid="{00000000-0005-0000-0000-000066530000}"/>
    <cellStyle name="Normal 23 2 3 2 4 5" xfId="21357" xr:uid="{00000000-0005-0000-0000-000067530000}"/>
    <cellStyle name="Normal 23 2 3 2 4 6" xfId="21358" xr:uid="{00000000-0005-0000-0000-000068530000}"/>
    <cellStyle name="Normal 23 2 3 2 4 7" xfId="21359" xr:uid="{00000000-0005-0000-0000-000069530000}"/>
    <cellStyle name="Normal 23 2 3 2 4 8" xfId="21360" xr:uid="{00000000-0005-0000-0000-00006A530000}"/>
    <cellStyle name="Normal 23 2 3 2 5" xfId="21361" xr:uid="{00000000-0005-0000-0000-00006B530000}"/>
    <cellStyle name="Normal 23 2 3 2 5 2" xfId="21362" xr:uid="{00000000-0005-0000-0000-00006C530000}"/>
    <cellStyle name="Normal 23 2 3 2 5 3" xfId="21363" xr:uid="{00000000-0005-0000-0000-00006D530000}"/>
    <cellStyle name="Normal 23 2 3 2 5 4" xfId="21364" xr:uid="{00000000-0005-0000-0000-00006E530000}"/>
    <cellStyle name="Normal 23 2 3 2 5 5" xfId="21365" xr:uid="{00000000-0005-0000-0000-00006F530000}"/>
    <cellStyle name="Normal 23 2 3 2 5 6" xfId="21366" xr:uid="{00000000-0005-0000-0000-000070530000}"/>
    <cellStyle name="Normal 23 2 3 2 6" xfId="21367" xr:uid="{00000000-0005-0000-0000-000071530000}"/>
    <cellStyle name="Normal 23 2 3 2 6 2" xfId="21368" xr:uid="{00000000-0005-0000-0000-000072530000}"/>
    <cellStyle name="Normal 23 2 3 2 6 3" xfId="21369" xr:uid="{00000000-0005-0000-0000-000073530000}"/>
    <cellStyle name="Normal 23 2 3 2 6 4" xfId="21370" xr:uid="{00000000-0005-0000-0000-000074530000}"/>
    <cellStyle name="Normal 23 2 3 2 6 5" xfId="21371" xr:uid="{00000000-0005-0000-0000-000075530000}"/>
    <cellStyle name="Normal 23 2 3 2 6 6" xfId="21372" xr:uid="{00000000-0005-0000-0000-000076530000}"/>
    <cellStyle name="Normal 23 2 3 2 7" xfId="21373" xr:uid="{00000000-0005-0000-0000-000077530000}"/>
    <cellStyle name="Normal 23 2 3 2 8" xfId="21374" xr:uid="{00000000-0005-0000-0000-000078530000}"/>
    <cellStyle name="Normal 23 2 3 2 9" xfId="21375" xr:uid="{00000000-0005-0000-0000-000079530000}"/>
    <cellStyle name="Normal 23 2 3 3" xfId="21376" xr:uid="{00000000-0005-0000-0000-00007A530000}"/>
    <cellStyle name="Normal 23 2 3 3 2" xfId="21377" xr:uid="{00000000-0005-0000-0000-00007B530000}"/>
    <cellStyle name="Normal 23 2 3 3 2 2" xfId="21378" xr:uid="{00000000-0005-0000-0000-00007C530000}"/>
    <cellStyle name="Normal 23 2 3 3 2 3" xfId="21379" xr:uid="{00000000-0005-0000-0000-00007D530000}"/>
    <cellStyle name="Normal 23 2 3 3 2 4" xfId="21380" xr:uid="{00000000-0005-0000-0000-00007E530000}"/>
    <cellStyle name="Normal 23 2 3 3 2 5" xfId="21381" xr:uid="{00000000-0005-0000-0000-00007F530000}"/>
    <cellStyle name="Normal 23 2 3 3 2 6" xfId="21382" xr:uid="{00000000-0005-0000-0000-000080530000}"/>
    <cellStyle name="Normal 23 2 3 3 3" xfId="21383" xr:uid="{00000000-0005-0000-0000-000081530000}"/>
    <cellStyle name="Normal 23 2 3 3 3 2" xfId="21384" xr:uid="{00000000-0005-0000-0000-000082530000}"/>
    <cellStyle name="Normal 23 2 3 3 3 3" xfId="21385" xr:uid="{00000000-0005-0000-0000-000083530000}"/>
    <cellStyle name="Normal 23 2 3 3 3 4" xfId="21386" xr:uid="{00000000-0005-0000-0000-000084530000}"/>
    <cellStyle name="Normal 23 2 3 3 3 5" xfId="21387" xr:uid="{00000000-0005-0000-0000-000085530000}"/>
    <cellStyle name="Normal 23 2 3 3 3 6" xfId="21388" xr:uid="{00000000-0005-0000-0000-000086530000}"/>
    <cellStyle name="Normal 23 2 3 3 4" xfId="21389" xr:uid="{00000000-0005-0000-0000-000087530000}"/>
    <cellStyle name="Normal 23 2 3 3 5" xfId="21390" xr:uid="{00000000-0005-0000-0000-000088530000}"/>
    <cellStyle name="Normal 23 2 3 3 6" xfId="21391" xr:uid="{00000000-0005-0000-0000-000089530000}"/>
    <cellStyle name="Normal 23 2 3 3 7" xfId="21392" xr:uid="{00000000-0005-0000-0000-00008A530000}"/>
    <cellStyle name="Normal 23 2 3 3 8" xfId="21393" xr:uid="{00000000-0005-0000-0000-00008B530000}"/>
    <cellStyle name="Normal 23 2 3 4" xfId="21394" xr:uid="{00000000-0005-0000-0000-00008C530000}"/>
    <cellStyle name="Normal 23 2 3 4 2" xfId="21395" xr:uid="{00000000-0005-0000-0000-00008D530000}"/>
    <cellStyle name="Normal 23 2 3 4 2 2" xfId="21396" xr:uid="{00000000-0005-0000-0000-00008E530000}"/>
    <cellStyle name="Normal 23 2 3 4 2 3" xfId="21397" xr:uid="{00000000-0005-0000-0000-00008F530000}"/>
    <cellStyle name="Normal 23 2 3 4 2 4" xfId="21398" xr:uid="{00000000-0005-0000-0000-000090530000}"/>
    <cellStyle name="Normal 23 2 3 4 2 5" xfId="21399" xr:uid="{00000000-0005-0000-0000-000091530000}"/>
    <cellStyle name="Normal 23 2 3 4 2 6" xfId="21400" xr:uid="{00000000-0005-0000-0000-000092530000}"/>
    <cellStyle name="Normal 23 2 3 4 3" xfId="21401" xr:uid="{00000000-0005-0000-0000-000093530000}"/>
    <cellStyle name="Normal 23 2 3 4 3 2" xfId="21402" xr:uid="{00000000-0005-0000-0000-000094530000}"/>
    <cellStyle name="Normal 23 2 3 4 3 3" xfId="21403" xr:uid="{00000000-0005-0000-0000-000095530000}"/>
    <cellStyle name="Normal 23 2 3 4 3 4" xfId="21404" xr:uid="{00000000-0005-0000-0000-000096530000}"/>
    <cellStyle name="Normal 23 2 3 4 3 5" xfId="21405" xr:uid="{00000000-0005-0000-0000-000097530000}"/>
    <cellStyle name="Normal 23 2 3 4 3 6" xfId="21406" xr:uid="{00000000-0005-0000-0000-000098530000}"/>
    <cellStyle name="Normal 23 2 3 4 4" xfId="21407" xr:uid="{00000000-0005-0000-0000-000099530000}"/>
    <cellStyle name="Normal 23 2 3 4 5" xfId="21408" xr:uid="{00000000-0005-0000-0000-00009A530000}"/>
    <cellStyle name="Normal 23 2 3 4 6" xfId="21409" xr:uid="{00000000-0005-0000-0000-00009B530000}"/>
    <cellStyle name="Normal 23 2 3 4 7" xfId="21410" xr:uid="{00000000-0005-0000-0000-00009C530000}"/>
    <cellStyle name="Normal 23 2 3 4 8" xfId="21411" xr:uid="{00000000-0005-0000-0000-00009D530000}"/>
    <cellStyle name="Normal 23 2 3 5" xfId="21412" xr:uid="{00000000-0005-0000-0000-00009E530000}"/>
    <cellStyle name="Normal 23 2 3 5 2" xfId="21413" xr:uid="{00000000-0005-0000-0000-00009F530000}"/>
    <cellStyle name="Normal 23 2 3 5 2 2" xfId="21414" xr:uid="{00000000-0005-0000-0000-0000A0530000}"/>
    <cellStyle name="Normal 23 2 3 5 2 3" xfId="21415" xr:uid="{00000000-0005-0000-0000-0000A1530000}"/>
    <cellStyle name="Normal 23 2 3 5 2 4" xfId="21416" xr:uid="{00000000-0005-0000-0000-0000A2530000}"/>
    <cellStyle name="Normal 23 2 3 5 2 5" xfId="21417" xr:uid="{00000000-0005-0000-0000-0000A3530000}"/>
    <cellStyle name="Normal 23 2 3 5 2 6" xfId="21418" xr:uid="{00000000-0005-0000-0000-0000A4530000}"/>
    <cellStyle name="Normal 23 2 3 5 3" xfId="21419" xr:uid="{00000000-0005-0000-0000-0000A5530000}"/>
    <cellStyle name="Normal 23 2 3 5 3 2" xfId="21420" xr:uid="{00000000-0005-0000-0000-0000A6530000}"/>
    <cellStyle name="Normal 23 2 3 5 3 3" xfId="21421" xr:uid="{00000000-0005-0000-0000-0000A7530000}"/>
    <cellStyle name="Normal 23 2 3 5 3 4" xfId="21422" xr:uid="{00000000-0005-0000-0000-0000A8530000}"/>
    <cellStyle name="Normal 23 2 3 5 3 5" xfId="21423" xr:uid="{00000000-0005-0000-0000-0000A9530000}"/>
    <cellStyle name="Normal 23 2 3 5 3 6" xfId="21424" xr:uid="{00000000-0005-0000-0000-0000AA530000}"/>
    <cellStyle name="Normal 23 2 3 5 4" xfId="21425" xr:uid="{00000000-0005-0000-0000-0000AB530000}"/>
    <cellStyle name="Normal 23 2 3 5 5" xfId="21426" xr:uid="{00000000-0005-0000-0000-0000AC530000}"/>
    <cellStyle name="Normal 23 2 3 5 6" xfId="21427" xr:uid="{00000000-0005-0000-0000-0000AD530000}"/>
    <cellStyle name="Normal 23 2 3 5 7" xfId="21428" xr:uid="{00000000-0005-0000-0000-0000AE530000}"/>
    <cellStyle name="Normal 23 2 3 5 8" xfId="21429" xr:uid="{00000000-0005-0000-0000-0000AF530000}"/>
    <cellStyle name="Normal 23 2 3 6" xfId="21430" xr:uid="{00000000-0005-0000-0000-0000B0530000}"/>
    <cellStyle name="Normal 23 2 3 6 2" xfId="21431" xr:uid="{00000000-0005-0000-0000-0000B1530000}"/>
    <cellStyle name="Normal 23 2 3 6 3" xfId="21432" xr:uid="{00000000-0005-0000-0000-0000B2530000}"/>
    <cellStyle name="Normal 23 2 3 6 4" xfId="21433" xr:uid="{00000000-0005-0000-0000-0000B3530000}"/>
    <cellStyle name="Normal 23 2 3 6 5" xfId="21434" xr:uid="{00000000-0005-0000-0000-0000B4530000}"/>
    <cellStyle name="Normal 23 2 3 6 6" xfId="21435" xr:uid="{00000000-0005-0000-0000-0000B5530000}"/>
    <cellStyle name="Normal 23 2 3 7" xfId="21436" xr:uid="{00000000-0005-0000-0000-0000B6530000}"/>
    <cellStyle name="Normal 23 2 3 7 2" xfId="21437" xr:uid="{00000000-0005-0000-0000-0000B7530000}"/>
    <cellStyle name="Normal 23 2 3 7 3" xfId="21438" xr:uid="{00000000-0005-0000-0000-0000B8530000}"/>
    <cellStyle name="Normal 23 2 3 7 4" xfId="21439" xr:uid="{00000000-0005-0000-0000-0000B9530000}"/>
    <cellStyle name="Normal 23 2 3 7 5" xfId="21440" xr:uid="{00000000-0005-0000-0000-0000BA530000}"/>
    <cellStyle name="Normal 23 2 3 7 6" xfId="21441" xr:uid="{00000000-0005-0000-0000-0000BB530000}"/>
    <cellStyle name="Normal 23 2 3 8" xfId="21442" xr:uid="{00000000-0005-0000-0000-0000BC530000}"/>
    <cellStyle name="Normal 23 2 3 9" xfId="21443" xr:uid="{00000000-0005-0000-0000-0000BD530000}"/>
    <cellStyle name="Normal 23 2 4" xfId="21444" xr:uid="{00000000-0005-0000-0000-0000BE530000}"/>
    <cellStyle name="Normal 23 2 4 10" xfId="21445" xr:uid="{00000000-0005-0000-0000-0000BF530000}"/>
    <cellStyle name="Normal 23 2 4 11" xfId="21446" xr:uid="{00000000-0005-0000-0000-0000C0530000}"/>
    <cellStyle name="Normal 23 2 4 12" xfId="21447" xr:uid="{00000000-0005-0000-0000-0000C1530000}"/>
    <cellStyle name="Normal 23 2 4 2" xfId="21448" xr:uid="{00000000-0005-0000-0000-0000C2530000}"/>
    <cellStyle name="Normal 23 2 4 2 10" xfId="21449" xr:uid="{00000000-0005-0000-0000-0000C3530000}"/>
    <cellStyle name="Normal 23 2 4 2 11" xfId="21450" xr:uid="{00000000-0005-0000-0000-0000C4530000}"/>
    <cellStyle name="Normal 23 2 4 2 2" xfId="21451" xr:uid="{00000000-0005-0000-0000-0000C5530000}"/>
    <cellStyle name="Normal 23 2 4 2 2 2" xfId="21452" xr:uid="{00000000-0005-0000-0000-0000C6530000}"/>
    <cellStyle name="Normal 23 2 4 2 2 2 2" xfId="21453" xr:uid="{00000000-0005-0000-0000-0000C7530000}"/>
    <cellStyle name="Normal 23 2 4 2 2 2 3" xfId="21454" xr:uid="{00000000-0005-0000-0000-0000C8530000}"/>
    <cellStyle name="Normal 23 2 4 2 2 2 4" xfId="21455" xr:uid="{00000000-0005-0000-0000-0000C9530000}"/>
    <cellStyle name="Normal 23 2 4 2 2 2 5" xfId="21456" xr:uid="{00000000-0005-0000-0000-0000CA530000}"/>
    <cellStyle name="Normal 23 2 4 2 2 2 6" xfId="21457" xr:uid="{00000000-0005-0000-0000-0000CB530000}"/>
    <cellStyle name="Normal 23 2 4 2 2 3" xfId="21458" xr:uid="{00000000-0005-0000-0000-0000CC530000}"/>
    <cellStyle name="Normal 23 2 4 2 2 3 2" xfId="21459" xr:uid="{00000000-0005-0000-0000-0000CD530000}"/>
    <cellStyle name="Normal 23 2 4 2 2 3 3" xfId="21460" xr:uid="{00000000-0005-0000-0000-0000CE530000}"/>
    <cellStyle name="Normal 23 2 4 2 2 3 4" xfId="21461" xr:uid="{00000000-0005-0000-0000-0000CF530000}"/>
    <cellStyle name="Normal 23 2 4 2 2 3 5" xfId="21462" xr:uid="{00000000-0005-0000-0000-0000D0530000}"/>
    <cellStyle name="Normal 23 2 4 2 2 3 6" xfId="21463" xr:uid="{00000000-0005-0000-0000-0000D1530000}"/>
    <cellStyle name="Normal 23 2 4 2 2 4" xfId="21464" xr:uid="{00000000-0005-0000-0000-0000D2530000}"/>
    <cellStyle name="Normal 23 2 4 2 2 5" xfId="21465" xr:uid="{00000000-0005-0000-0000-0000D3530000}"/>
    <cellStyle name="Normal 23 2 4 2 2 6" xfId="21466" xr:uid="{00000000-0005-0000-0000-0000D4530000}"/>
    <cellStyle name="Normal 23 2 4 2 2 7" xfId="21467" xr:uid="{00000000-0005-0000-0000-0000D5530000}"/>
    <cellStyle name="Normal 23 2 4 2 2 8" xfId="21468" xr:uid="{00000000-0005-0000-0000-0000D6530000}"/>
    <cellStyle name="Normal 23 2 4 2 3" xfId="21469" xr:uid="{00000000-0005-0000-0000-0000D7530000}"/>
    <cellStyle name="Normal 23 2 4 2 3 2" xfId="21470" xr:uid="{00000000-0005-0000-0000-0000D8530000}"/>
    <cellStyle name="Normal 23 2 4 2 3 2 2" xfId="21471" xr:uid="{00000000-0005-0000-0000-0000D9530000}"/>
    <cellStyle name="Normal 23 2 4 2 3 2 3" xfId="21472" xr:uid="{00000000-0005-0000-0000-0000DA530000}"/>
    <cellStyle name="Normal 23 2 4 2 3 2 4" xfId="21473" xr:uid="{00000000-0005-0000-0000-0000DB530000}"/>
    <cellStyle name="Normal 23 2 4 2 3 2 5" xfId="21474" xr:uid="{00000000-0005-0000-0000-0000DC530000}"/>
    <cellStyle name="Normal 23 2 4 2 3 2 6" xfId="21475" xr:uid="{00000000-0005-0000-0000-0000DD530000}"/>
    <cellStyle name="Normal 23 2 4 2 3 3" xfId="21476" xr:uid="{00000000-0005-0000-0000-0000DE530000}"/>
    <cellStyle name="Normal 23 2 4 2 3 3 2" xfId="21477" xr:uid="{00000000-0005-0000-0000-0000DF530000}"/>
    <cellStyle name="Normal 23 2 4 2 3 3 3" xfId="21478" xr:uid="{00000000-0005-0000-0000-0000E0530000}"/>
    <cellStyle name="Normal 23 2 4 2 3 3 4" xfId="21479" xr:uid="{00000000-0005-0000-0000-0000E1530000}"/>
    <cellStyle name="Normal 23 2 4 2 3 3 5" xfId="21480" xr:uid="{00000000-0005-0000-0000-0000E2530000}"/>
    <cellStyle name="Normal 23 2 4 2 3 3 6" xfId="21481" xr:uid="{00000000-0005-0000-0000-0000E3530000}"/>
    <cellStyle name="Normal 23 2 4 2 3 4" xfId="21482" xr:uid="{00000000-0005-0000-0000-0000E4530000}"/>
    <cellStyle name="Normal 23 2 4 2 3 5" xfId="21483" xr:uid="{00000000-0005-0000-0000-0000E5530000}"/>
    <cellStyle name="Normal 23 2 4 2 3 6" xfId="21484" xr:uid="{00000000-0005-0000-0000-0000E6530000}"/>
    <cellStyle name="Normal 23 2 4 2 3 7" xfId="21485" xr:uid="{00000000-0005-0000-0000-0000E7530000}"/>
    <cellStyle name="Normal 23 2 4 2 3 8" xfId="21486" xr:uid="{00000000-0005-0000-0000-0000E8530000}"/>
    <cellStyle name="Normal 23 2 4 2 4" xfId="21487" xr:uid="{00000000-0005-0000-0000-0000E9530000}"/>
    <cellStyle name="Normal 23 2 4 2 4 2" xfId="21488" xr:uid="{00000000-0005-0000-0000-0000EA530000}"/>
    <cellStyle name="Normal 23 2 4 2 4 2 2" xfId="21489" xr:uid="{00000000-0005-0000-0000-0000EB530000}"/>
    <cellStyle name="Normal 23 2 4 2 4 2 3" xfId="21490" xr:uid="{00000000-0005-0000-0000-0000EC530000}"/>
    <cellStyle name="Normal 23 2 4 2 4 2 4" xfId="21491" xr:uid="{00000000-0005-0000-0000-0000ED530000}"/>
    <cellStyle name="Normal 23 2 4 2 4 2 5" xfId="21492" xr:uid="{00000000-0005-0000-0000-0000EE530000}"/>
    <cellStyle name="Normal 23 2 4 2 4 2 6" xfId="21493" xr:uid="{00000000-0005-0000-0000-0000EF530000}"/>
    <cellStyle name="Normal 23 2 4 2 4 3" xfId="21494" xr:uid="{00000000-0005-0000-0000-0000F0530000}"/>
    <cellStyle name="Normal 23 2 4 2 4 3 2" xfId="21495" xr:uid="{00000000-0005-0000-0000-0000F1530000}"/>
    <cellStyle name="Normal 23 2 4 2 4 3 3" xfId="21496" xr:uid="{00000000-0005-0000-0000-0000F2530000}"/>
    <cellStyle name="Normal 23 2 4 2 4 3 4" xfId="21497" xr:uid="{00000000-0005-0000-0000-0000F3530000}"/>
    <cellStyle name="Normal 23 2 4 2 4 3 5" xfId="21498" xr:uid="{00000000-0005-0000-0000-0000F4530000}"/>
    <cellStyle name="Normal 23 2 4 2 4 3 6" xfId="21499" xr:uid="{00000000-0005-0000-0000-0000F5530000}"/>
    <cellStyle name="Normal 23 2 4 2 4 4" xfId="21500" xr:uid="{00000000-0005-0000-0000-0000F6530000}"/>
    <cellStyle name="Normal 23 2 4 2 4 5" xfId="21501" xr:uid="{00000000-0005-0000-0000-0000F7530000}"/>
    <cellStyle name="Normal 23 2 4 2 4 6" xfId="21502" xr:uid="{00000000-0005-0000-0000-0000F8530000}"/>
    <cellStyle name="Normal 23 2 4 2 4 7" xfId="21503" xr:uid="{00000000-0005-0000-0000-0000F9530000}"/>
    <cellStyle name="Normal 23 2 4 2 4 8" xfId="21504" xr:uid="{00000000-0005-0000-0000-0000FA530000}"/>
    <cellStyle name="Normal 23 2 4 2 5" xfId="21505" xr:uid="{00000000-0005-0000-0000-0000FB530000}"/>
    <cellStyle name="Normal 23 2 4 2 5 2" xfId="21506" xr:uid="{00000000-0005-0000-0000-0000FC530000}"/>
    <cellStyle name="Normal 23 2 4 2 5 3" xfId="21507" xr:uid="{00000000-0005-0000-0000-0000FD530000}"/>
    <cellStyle name="Normal 23 2 4 2 5 4" xfId="21508" xr:uid="{00000000-0005-0000-0000-0000FE530000}"/>
    <cellStyle name="Normal 23 2 4 2 5 5" xfId="21509" xr:uid="{00000000-0005-0000-0000-0000FF530000}"/>
    <cellStyle name="Normal 23 2 4 2 5 6" xfId="21510" xr:uid="{00000000-0005-0000-0000-000000540000}"/>
    <cellStyle name="Normal 23 2 4 2 6" xfId="21511" xr:uid="{00000000-0005-0000-0000-000001540000}"/>
    <cellStyle name="Normal 23 2 4 2 6 2" xfId="21512" xr:uid="{00000000-0005-0000-0000-000002540000}"/>
    <cellStyle name="Normal 23 2 4 2 6 3" xfId="21513" xr:uid="{00000000-0005-0000-0000-000003540000}"/>
    <cellStyle name="Normal 23 2 4 2 6 4" xfId="21514" xr:uid="{00000000-0005-0000-0000-000004540000}"/>
    <cellStyle name="Normal 23 2 4 2 6 5" xfId="21515" xr:uid="{00000000-0005-0000-0000-000005540000}"/>
    <cellStyle name="Normal 23 2 4 2 6 6" xfId="21516" xr:uid="{00000000-0005-0000-0000-000006540000}"/>
    <cellStyle name="Normal 23 2 4 2 7" xfId="21517" xr:uid="{00000000-0005-0000-0000-000007540000}"/>
    <cellStyle name="Normal 23 2 4 2 8" xfId="21518" xr:uid="{00000000-0005-0000-0000-000008540000}"/>
    <cellStyle name="Normal 23 2 4 2 9" xfId="21519" xr:uid="{00000000-0005-0000-0000-000009540000}"/>
    <cellStyle name="Normal 23 2 4 3" xfId="21520" xr:uid="{00000000-0005-0000-0000-00000A540000}"/>
    <cellStyle name="Normal 23 2 4 3 2" xfId="21521" xr:uid="{00000000-0005-0000-0000-00000B540000}"/>
    <cellStyle name="Normal 23 2 4 3 2 2" xfId="21522" xr:uid="{00000000-0005-0000-0000-00000C540000}"/>
    <cellStyle name="Normal 23 2 4 3 2 3" xfId="21523" xr:uid="{00000000-0005-0000-0000-00000D540000}"/>
    <cellStyle name="Normal 23 2 4 3 2 4" xfId="21524" xr:uid="{00000000-0005-0000-0000-00000E540000}"/>
    <cellStyle name="Normal 23 2 4 3 2 5" xfId="21525" xr:uid="{00000000-0005-0000-0000-00000F540000}"/>
    <cellStyle name="Normal 23 2 4 3 2 6" xfId="21526" xr:uid="{00000000-0005-0000-0000-000010540000}"/>
    <cellStyle name="Normal 23 2 4 3 3" xfId="21527" xr:uid="{00000000-0005-0000-0000-000011540000}"/>
    <cellStyle name="Normal 23 2 4 3 3 2" xfId="21528" xr:uid="{00000000-0005-0000-0000-000012540000}"/>
    <cellStyle name="Normal 23 2 4 3 3 3" xfId="21529" xr:uid="{00000000-0005-0000-0000-000013540000}"/>
    <cellStyle name="Normal 23 2 4 3 3 4" xfId="21530" xr:uid="{00000000-0005-0000-0000-000014540000}"/>
    <cellStyle name="Normal 23 2 4 3 3 5" xfId="21531" xr:uid="{00000000-0005-0000-0000-000015540000}"/>
    <cellStyle name="Normal 23 2 4 3 3 6" xfId="21532" xr:uid="{00000000-0005-0000-0000-000016540000}"/>
    <cellStyle name="Normal 23 2 4 3 4" xfId="21533" xr:uid="{00000000-0005-0000-0000-000017540000}"/>
    <cellStyle name="Normal 23 2 4 3 5" xfId="21534" xr:uid="{00000000-0005-0000-0000-000018540000}"/>
    <cellStyle name="Normal 23 2 4 3 6" xfId="21535" xr:uid="{00000000-0005-0000-0000-000019540000}"/>
    <cellStyle name="Normal 23 2 4 3 7" xfId="21536" xr:uid="{00000000-0005-0000-0000-00001A540000}"/>
    <cellStyle name="Normal 23 2 4 3 8" xfId="21537" xr:uid="{00000000-0005-0000-0000-00001B540000}"/>
    <cellStyle name="Normal 23 2 4 4" xfId="21538" xr:uid="{00000000-0005-0000-0000-00001C540000}"/>
    <cellStyle name="Normal 23 2 4 4 2" xfId="21539" xr:uid="{00000000-0005-0000-0000-00001D540000}"/>
    <cellStyle name="Normal 23 2 4 4 2 2" xfId="21540" xr:uid="{00000000-0005-0000-0000-00001E540000}"/>
    <cellStyle name="Normal 23 2 4 4 2 3" xfId="21541" xr:uid="{00000000-0005-0000-0000-00001F540000}"/>
    <cellStyle name="Normal 23 2 4 4 2 4" xfId="21542" xr:uid="{00000000-0005-0000-0000-000020540000}"/>
    <cellStyle name="Normal 23 2 4 4 2 5" xfId="21543" xr:uid="{00000000-0005-0000-0000-000021540000}"/>
    <cellStyle name="Normal 23 2 4 4 2 6" xfId="21544" xr:uid="{00000000-0005-0000-0000-000022540000}"/>
    <cellStyle name="Normal 23 2 4 4 3" xfId="21545" xr:uid="{00000000-0005-0000-0000-000023540000}"/>
    <cellStyle name="Normal 23 2 4 4 3 2" xfId="21546" xr:uid="{00000000-0005-0000-0000-000024540000}"/>
    <cellStyle name="Normal 23 2 4 4 3 3" xfId="21547" xr:uid="{00000000-0005-0000-0000-000025540000}"/>
    <cellStyle name="Normal 23 2 4 4 3 4" xfId="21548" xr:uid="{00000000-0005-0000-0000-000026540000}"/>
    <cellStyle name="Normal 23 2 4 4 3 5" xfId="21549" xr:uid="{00000000-0005-0000-0000-000027540000}"/>
    <cellStyle name="Normal 23 2 4 4 3 6" xfId="21550" xr:uid="{00000000-0005-0000-0000-000028540000}"/>
    <cellStyle name="Normal 23 2 4 4 4" xfId="21551" xr:uid="{00000000-0005-0000-0000-000029540000}"/>
    <cellStyle name="Normal 23 2 4 4 5" xfId="21552" xr:uid="{00000000-0005-0000-0000-00002A540000}"/>
    <cellStyle name="Normal 23 2 4 4 6" xfId="21553" xr:uid="{00000000-0005-0000-0000-00002B540000}"/>
    <cellStyle name="Normal 23 2 4 4 7" xfId="21554" xr:uid="{00000000-0005-0000-0000-00002C540000}"/>
    <cellStyle name="Normal 23 2 4 4 8" xfId="21555" xr:uid="{00000000-0005-0000-0000-00002D540000}"/>
    <cellStyle name="Normal 23 2 4 5" xfId="21556" xr:uid="{00000000-0005-0000-0000-00002E540000}"/>
    <cellStyle name="Normal 23 2 4 5 2" xfId="21557" xr:uid="{00000000-0005-0000-0000-00002F540000}"/>
    <cellStyle name="Normal 23 2 4 5 2 2" xfId="21558" xr:uid="{00000000-0005-0000-0000-000030540000}"/>
    <cellStyle name="Normal 23 2 4 5 2 3" xfId="21559" xr:uid="{00000000-0005-0000-0000-000031540000}"/>
    <cellStyle name="Normal 23 2 4 5 2 4" xfId="21560" xr:uid="{00000000-0005-0000-0000-000032540000}"/>
    <cellStyle name="Normal 23 2 4 5 2 5" xfId="21561" xr:uid="{00000000-0005-0000-0000-000033540000}"/>
    <cellStyle name="Normal 23 2 4 5 2 6" xfId="21562" xr:uid="{00000000-0005-0000-0000-000034540000}"/>
    <cellStyle name="Normal 23 2 4 5 3" xfId="21563" xr:uid="{00000000-0005-0000-0000-000035540000}"/>
    <cellStyle name="Normal 23 2 4 5 3 2" xfId="21564" xr:uid="{00000000-0005-0000-0000-000036540000}"/>
    <cellStyle name="Normal 23 2 4 5 3 3" xfId="21565" xr:uid="{00000000-0005-0000-0000-000037540000}"/>
    <cellStyle name="Normal 23 2 4 5 3 4" xfId="21566" xr:uid="{00000000-0005-0000-0000-000038540000}"/>
    <cellStyle name="Normal 23 2 4 5 3 5" xfId="21567" xr:uid="{00000000-0005-0000-0000-000039540000}"/>
    <cellStyle name="Normal 23 2 4 5 3 6" xfId="21568" xr:uid="{00000000-0005-0000-0000-00003A540000}"/>
    <cellStyle name="Normal 23 2 4 5 4" xfId="21569" xr:uid="{00000000-0005-0000-0000-00003B540000}"/>
    <cellStyle name="Normal 23 2 4 5 5" xfId="21570" xr:uid="{00000000-0005-0000-0000-00003C540000}"/>
    <cellStyle name="Normal 23 2 4 5 6" xfId="21571" xr:uid="{00000000-0005-0000-0000-00003D540000}"/>
    <cellStyle name="Normal 23 2 4 5 7" xfId="21572" xr:uid="{00000000-0005-0000-0000-00003E540000}"/>
    <cellStyle name="Normal 23 2 4 5 8" xfId="21573" xr:uid="{00000000-0005-0000-0000-00003F540000}"/>
    <cellStyle name="Normal 23 2 4 6" xfId="21574" xr:uid="{00000000-0005-0000-0000-000040540000}"/>
    <cellStyle name="Normal 23 2 4 6 2" xfId="21575" xr:uid="{00000000-0005-0000-0000-000041540000}"/>
    <cellStyle name="Normal 23 2 4 6 3" xfId="21576" xr:uid="{00000000-0005-0000-0000-000042540000}"/>
    <cellStyle name="Normal 23 2 4 6 4" xfId="21577" xr:uid="{00000000-0005-0000-0000-000043540000}"/>
    <cellStyle name="Normal 23 2 4 6 5" xfId="21578" xr:uid="{00000000-0005-0000-0000-000044540000}"/>
    <cellStyle name="Normal 23 2 4 6 6" xfId="21579" xr:uid="{00000000-0005-0000-0000-000045540000}"/>
    <cellStyle name="Normal 23 2 4 7" xfId="21580" xr:uid="{00000000-0005-0000-0000-000046540000}"/>
    <cellStyle name="Normal 23 2 4 7 2" xfId="21581" xr:uid="{00000000-0005-0000-0000-000047540000}"/>
    <cellStyle name="Normal 23 2 4 7 3" xfId="21582" xr:uid="{00000000-0005-0000-0000-000048540000}"/>
    <cellStyle name="Normal 23 2 4 7 4" xfId="21583" xr:uid="{00000000-0005-0000-0000-000049540000}"/>
    <cellStyle name="Normal 23 2 4 7 5" xfId="21584" xr:uid="{00000000-0005-0000-0000-00004A540000}"/>
    <cellStyle name="Normal 23 2 4 7 6" xfId="21585" xr:uid="{00000000-0005-0000-0000-00004B540000}"/>
    <cellStyle name="Normal 23 2 4 8" xfId="21586" xr:uid="{00000000-0005-0000-0000-00004C540000}"/>
    <cellStyle name="Normal 23 2 4 9" xfId="21587" xr:uid="{00000000-0005-0000-0000-00004D540000}"/>
    <cellStyle name="Normal 23 2 5" xfId="21588" xr:uid="{00000000-0005-0000-0000-00004E540000}"/>
    <cellStyle name="Normal 23 2 5 10" xfId="21589" xr:uid="{00000000-0005-0000-0000-00004F540000}"/>
    <cellStyle name="Normal 23 2 5 11" xfId="21590" xr:uid="{00000000-0005-0000-0000-000050540000}"/>
    <cellStyle name="Normal 23 2 5 2" xfId="21591" xr:uid="{00000000-0005-0000-0000-000051540000}"/>
    <cellStyle name="Normal 23 2 5 2 2" xfId="21592" xr:uid="{00000000-0005-0000-0000-000052540000}"/>
    <cellStyle name="Normal 23 2 5 2 2 2" xfId="21593" xr:uid="{00000000-0005-0000-0000-000053540000}"/>
    <cellStyle name="Normal 23 2 5 2 2 3" xfId="21594" xr:uid="{00000000-0005-0000-0000-000054540000}"/>
    <cellStyle name="Normal 23 2 5 2 2 4" xfId="21595" xr:uid="{00000000-0005-0000-0000-000055540000}"/>
    <cellStyle name="Normal 23 2 5 2 2 5" xfId="21596" xr:uid="{00000000-0005-0000-0000-000056540000}"/>
    <cellStyle name="Normal 23 2 5 2 2 6" xfId="21597" xr:uid="{00000000-0005-0000-0000-000057540000}"/>
    <cellStyle name="Normal 23 2 5 2 3" xfId="21598" xr:uid="{00000000-0005-0000-0000-000058540000}"/>
    <cellStyle name="Normal 23 2 5 2 3 2" xfId="21599" xr:uid="{00000000-0005-0000-0000-000059540000}"/>
    <cellStyle name="Normal 23 2 5 2 3 3" xfId="21600" xr:uid="{00000000-0005-0000-0000-00005A540000}"/>
    <cellStyle name="Normal 23 2 5 2 3 4" xfId="21601" xr:uid="{00000000-0005-0000-0000-00005B540000}"/>
    <cellStyle name="Normal 23 2 5 2 3 5" xfId="21602" xr:uid="{00000000-0005-0000-0000-00005C540000}"/>
    <cellStyle name="Normal 23 2 5 2 3 6" xfId="21603" xr:uid="{00000000-0005-0000-0000-00005D540000}"/>
    <cellStyle name="Normal 23 2 5 2 4" xfId="21604" xr:uid="{00000000-0005-0000-0000-00005E540000}"/>
    <cellStyle name="Normal 23 2 5 2 5" xfId="21605" xr:uid="{00000000-0005-0000-0000-00005F540000}"/>
    <cellStyle name="Normal 23 2 5 2 6" xfId="21606" xr:uid="{00000000-0005-0000-0000-000060540000}"/>
    <cellStyle name="Normal 23 2 5 2 7" xfId="21607" xr:uid="{00000000-0005-0000-0000-000061540000}"/>
    <cellStyle name="Normal 23 2 5 2 8" xfId="21608" xr:uid="{00000000-0005-0000-0000-000062540000}"/>
    <cellStyle name="Normal 23 2 5 3" xfId="21609" xr:uid="{00000000-0005-0000-0000-000063540000}"/>
    <cellStyle name="Normal 23 2 5 3 2" xfId="21610" xr:uid="{00000000-0005-0000-0000-000064540000}"/>
    <cellStyle name="Normal 23 2 5 3 2 2" xfId="21611" xr:uid="{00000000-0005-0000-0000-000065540000}"/>
    <cellStyle name="Normal 23 2 5 3 2 3" xfId="21612" xr:uid="{00000000-0005-0000-0000-000066540000}"/>
    <cellStyle name="Normal 23 2 5 3 2 4" xfId="21613" xr:uid="{00000000-0005-0000-0000-000067540000}"/>
    <cellStyle name="Normal 23 2 5 3 2 5" xfId="21614" xr:uid="{00000000-0005-0000-0000-000068540000}"/>
    <cellStyle name="Normal 23 2 5 3 2 6" xfId="21615" xr:uid="{00000000-0005-0000-0000-000069540000}"/>
    <cellStyle name="Normal 23 2 5 3 3" xfId="21616" xr:uid="{00000000-0005-0000-0000-00006A540000}"/>
    <cellStyle name="Normal 23 2 5 3 3 2" xfId="21617" xr:uid="{00000000-0005-0000-0000-00006B540000}"/>
    <cellStyle name="Normal 23 2 5 3 3 3" xfId="21618" xr:uid="{00000000-0005-0000-0000-00006C540000}"/>
    <cellStyle name="Normal 23 2 5 3 3 4" xfId="21619" xr:uid="{00000000-0005-0000-0000-00006D540000}"/>
    <cellStyle name="Normal 23 2 5 3 3 5" xfId="21620" xr:uid="{00000000-0005-0000-0000-00006E540000}"/>
    <cellStyle name="Normal 23 2 5 3 3 6" xfId="21621" xr:uid="{00000000-0005-0000-0000-00006F540000}"/>
    <cellStyle name="Normal 23 2 5 3 4" xfId="21622" xr:uid="{00000000-0005-0000-0000-000070540000}"/>
    <cellStyle name="Normal 23 2 5 3 5" xfId="21623" xr:uid="{00000000-0005-0000-0000-000071540000}"/>
    <cellStyle name="Normal 23 2 5 3 6" xfId="21624" xr:uid="{00000000-0005-0000-0000-000072540000}"/>
    <cellStyle name="Normal 23 2 5 3 7" xfId="21625" xr:uid="{00000000-0005-0000-0000-000073540000}"/>
    <cellStyle name="Normal 23 2 5 3 8" xfId="21626" xr:uid="{00000000-0005-0000-0000-000074540000}"/>
    <cellStyle name="Normal 23 2 5 4" xfId="21627" xr:uid="{00000000-0005-0000-0000-000075540000}"/>
    <cellStyle name="Normal 23 2 5 4 2" xfId="21628" xr:uid="{00000000-0005-0000-0000-000076540000}"/>
    <cellStyle name="Normal 23 2 5 4 2 2" xfId="21629" xr:uid="{00000000-0005-0000-0000-000077540000}"/>
    <cellStyle name="Normal 23 2 5 4 2 3" xfId="21630" xr:uid="{00000000-0005-0000-0000-000078540000}"/>
    <cellStyle name="Normal 23 2 5 4 2 4" xfId="21631" xr:uid="{00000000-0005-0000-0000-000079540000}"/>
    <cellStyle name="Normal 23 2 5 4 2 5" xfId="21632" xr:uid="{00000000-0005-0000-0000-00007A540000}"/>
    <cellStyle name="Normal 23 2 5 4 2 6" xfId="21633" xr:uid="{00000000-0005-0000-0000-00007B540000}"/>
    <cellStyle name="Normal 23 2 5 4 3" xfId="21634" xr:uid="{00000000-0005-0000-0000-00007C540000}"/>
    <cellStyle name="Normal 23 2 5 4 3 2" xfId="21635" xr:uid="{00000000-0005-0000-0000-00007D540000}"/>
    <cellStyle name="Normal 23 2 5 4 3 3" xfId="21636" xr:uid="{00000000-0005-0000-0000-00007E540000}"/>
    <cellStyle name="Normal 23 2 5 4 3 4" xfId="21637" xr:uid="{00000000-0005-0000-0000-00007F540000}"/>
    <cellStyle name="Normal 23 2 5 4 3 5" xfId="21638" xr:uid="{00000000-0005-0000-0000-000080540000}"/>
    <cellStyle name="Normal 23 2 5 4 3 6" xfId="21639" xr:uid="{00000000-0005-0000-0000-000081540000}"/>
    <cellStyle name="Normal 23 2 5 4 4" xfId="21640" xr:uid="{00000000-0005-0000-0000-000082540000}"/>
    <cellStyle name="Normal 23 2 5 4 5" xfId="21641" xr:uid="{00000000-0005-0000-0000-000083540000}"/>
    <cellStyle name="Normal 23 2 5 4 6" xfId="21642" xr:uid="{00000000-0005-0000-0000-000084540000}"/>
    <cellStyle name="Normal 23 2 5 4 7" xfId="21643" xr:uid="{00000000-0005-0000-0000-000085540000}"/>
    <cellStyle name="Normal 23 2 5 4 8" xfId="21644" xr:uid="{00000000-0005-0000-0000-000086540000}"/>
    <cellStyle name="Normal 23 2 5 5" xfId="21645" xr:uid="{00000000-0005-0000-0000-000087540000}"/>
    <cellStyle name="Normal 23 2 5 5 2" xfId="21646" xr:uid="{00000000-0005-0000-0000-000088540000}"/>
    <cellStyle name="Normal 23 2 5 5 3" xfId="21647" xr:uid="{00000000-0005-0000-0000-000089540000}"/>
    <cellStyle name="Normal 23 2 5 5 4" xfId="21648" xr:uid="{00000000-0005-0000-0000-00008A540000}"/>
    <cellStyle name="Normal 23 2 5 5 5" xfId="21649" xr:uid="{00000000-0005-0000-0000-00008B540000}"/>
    <cellStyle name="Normal 23 2 5 5 6" xfId="21650" xr:uid="{00000000-0005-0000-0000-00008C540000}"/>
    <cellStyle name="Normal 23 2 5 6" xfId="21651" xr:uid="{00000000-0005-0000-0000-00008D540000}"/>
    <cellStyle name="Normal 23 2 5 6 2" xfId="21652" xr:uid="{00000000-0005-0000-0000-00008E540000}"/>
    <cellStyle name="Normal 23 2 5 6 3" xfId="21653" xr:uid="{00000000-0005-0000-0000-00008F540000}"/>
    <cellStyle name="Normal 23 2 5 6 4" xfId="21654" xr:uid="{00000000-0005-0000-0000-000090540000}"/>
    <cellStyle name="Normal 23 2 5 6 5" xfId="21655" xr:uid="{00000000-0005-0000-0000-000091540000}"/>
    <cellStyle name="Normal 23 2 5 6 6" xfId="21656" xr:uid="{00000000-0005-0000-0000-000092540000}"/>
    <cellStyle name="Normal 23 2 5 7" xfId="21657" xr:uid="{00000000-0005-0000-0000-000093540000}"/>
    <cellStyle name="Normal 23 2 5 8" xfId="21658" xr:uid="{00000000-0005-0000-0000-000094540000}"/>
    <cellStyle name="Normal 23 2 5 9" xfId="21659" xr:uid="{00000000-0005-0000-0000-000095540000}"/>
    <cellStyle name="Normal 23 2 6" xfId="21660" xr:uid="{00000000-0005-0000-0000-000096540000}"/>
    <cellStyle name="Normal 23 2 6 2" xfId="21661" xr:uid="{00000000-0005-0000-0000-000097540000}"/>
    <cellStyle name="Normal 23 2 6 2 2" xfId="21662" xr:uid="{00000000-0005-0000-0000-000098540000}"/>
    <cellStyle name="Normal 23 2 6 2 3" xfId="21663" xr:uid="{00000000-0005-0000-0000-000099540000}"/>
    <cellStyle name="Normal 23 2 6 2 4" xfId="21664" xr:uid="{00000000-0005-0000-0000-00009A540000}"/>
    <cellStyle name="Normal 23 2 6 2 5" xfId="21665" xr:uid="{00000000-0005-0000-0000-00009B540000}"/>
    <cellStyle name="Normal 23 2 6 2 6" xfId="21666" xr:uid="{00000000-0005-0000-0000-00009C540000}"/>
    <cellStyle name="Normal 23 2 6 3" xfId="21667" xr:uid="{00000000-0005-0000-0000-00009D540000}"/>
    <cellStyle name="Normal 23 2 6 3 2" xfId="21668" xr:uid="{00000000-0005-0000-0000-00009E540000}"/>
    <cellStyle name="Normal 23 2 6 3 3" xfId="21669" xr:uid="{00000000-0005-0000-0000-00009F540000}"/>
    <cellStyle name="Normal 23 2 6 3 4" xfId="21670" xr:uid="{00000000-0005-0000-0000-0000A0540000}"/>
    <cellStyle name="Normal 23 2 6 3 5" xfId="21671" xr:uid="{00000000-0005-0000-0000-0000A1540000}"/>
    <cellStyle name="Normal 23 2 6 3 6" xfId="21672" xr:uid="{00000000-0005-0000-0000-0000A2540000}"/>
    <cellStyle name="Normal 23 2 6 4" xfId="21673" xr:uid="{00000000-0005-0000-0000-0000A3540000}"/>
    <cellStyle name="Normal 23 2 6 5" xfId="21674" xr:uid="{00000000-0005-0000-0000-0000A4540000}"/>
    <cellStyle name="Normal 23 2 6 6" xfId="21675" xr:uid="{00000000-0005-0000-0000-0000A5540000}"/>
    <cellStyle name="Normal 23 2 6 7" xfId="21676" xr:uid="{00000000-0005-0000-0000-0000A6540000}"/>
    <cellStyle name="Normal 23 2 6 8" xfId="21677" xr:uid="{00000000-0005-0000-0000-0000A7540000}"/>
    <cellStyle name="Normal 23 2 7" xfId="21678" xr:uid="{00000000-0005-0000-0000-0000A8540000}"/>
    <cellStyle name="Normal 23 2 7 2" xfId="21679" xr:uid="{00000000-0005-0000-0000-0000A9540000}"/>
    <cellStyle name="Normal 23 2 7 2 2" xfId="21680" xr:uid="{00000000-0005-0000-0000-0000AA540000}"/>
    <cellStyle name="Normal 23 2 7 2 3" xfId="21681" xr:uid="{00000000-0005-0000-0000-0000AB540000}"/>
    <cellStyle name="Normal 23 2 7 2 4" xfId="21682" xr:uid="{00000000-0005-0000-0000-0000AC540000}"/>
    <cellStyle name="Normal 23 2 7 2 5" xfId="21683" xr:uid="{00000000-0005-0000-0000-0000AD540000}"/>
    <cellStyle name="Normal 23 2 7 2 6" xfId="21684" xr:uid="{00000000-0005-0000-0000-0000AE540000}"/>
    <cellStyle name="Normal 23 2 7 3" xfId="21685" xr:uid="{00000000-0005-0000-0000-0000AF540000}"/>
    <cellStyle name="Normal 23 2 7 3 2" xfId="21686" xr:uid="{00000000-0005-0000-0000-0000B0540000}"/>
    <cellStyle name="Normal 23 2 7 3 3" xfId="21687" xr:uid="{00000000-0005-0000-0000-0000B1540000}"/>
    <cellStyle name="Normal 23 2 7 3 4" xfId="21688" xr:uid="{00000000-0005-0000-0000-0000B2540000}"/>
    <cellStyle name="Normal 23 2 7 3 5" xfId="21689" xr:uid="{00000000-0005-0000-0000-0000B3540000}"/>
    <cellStyle name="Normal 23 2 7 3 6" xfId="21690" xr:uid="{00000000-0005-0000-0000-0000B4540000}"/>
    <cellStyle name="Normal 23 2 7 4" xfId="21691" xr:uid="{00000000-0005-0000-0000-0000B5540000}"/>
    <cellStyle name="Normal 23 2 7 5" xfId="21692" xr:uid="{00000000-0005-0000-0000-0000B6540000}"/>
    <cellStyle name="Normal 23 2 7 6" xfId="21693" xr:uid="{00000000-0005-0000-0000-0000B7540000}"/>
    <cellStyle name="Normal 23 2 7 7" xfId="21694" xr:uid="{00000000-0005-0000-0000-0000B8540000}"/>
    <cellStyle name="Normal 23 2 7 8" xfId="21695" xr:uid="{00000000-0005-0000-0000-0000B9540000}"/>
    <cellStyle name="Normal 23 2 8" xfId="21696" xr:uid="{00000000-0005-0000-0000-0000BA540000}"/>
    <cellStyle name="Normal 23 2 8 2" xfId="21697" xr:uid="{00000000-0005-0000-0000-0000BB540000}"/>
    <cellStyle name="Normal 23 2 8 2 2" xfId="21698" xr:uid="{00000000-0005-0000-0000-0000BC540000}"/>
    <cellStyle name="Normal 23 2 8 2 3" xfId="21699" xr:uid="{00000000-0005-0000-0000-0000BD540000}"/>
    <cellStyle name="Normal 23 2 8 2 4" xfId="21700" xr:uid="{00000000-0005-0000-0000-0000BE540000}"/>
    <cellStyle name="Normal 23 2 8 2 5" xfId="21701" xr:uid="{00000000-0005-0000-0000-0000BF540000}"/>
    <cellStyle name="Normal 23 2 8 2 6" xfId="21702" xr:uid="{00000000-0005-0000-0000-0000C0540000}"/>
    <cellStyle name="Normal 23 2 8 3" xfId="21703" xr:uid="{00000000-0005-0000-0000-0000C1540000}"/>
    <cellStyle name="Normal 23 2 8 3 2" xfId="21704" xr:uid="{00000000-0005-0000-0000-0000C2540000}"/>
    <cellStyle name="Normal 23 2 8 3 3" xfId="21705" xr:uid="{00000000-0005-0000-0000-0000C3540000}"/>
    <cellStyle name="Normal 23 2 8 3 4" xfId="21706" xr:uid="{00000000-0005-0000-0000-0000C4540000}"/>
    <cellStyle name="Normal 23 2 8 3 5" xfId="21707" xr:uid="{00000000-0005-0000-0000-0000C5540000}"/>
    <cellStyle name="Normal 23 2 8 3 6" xfId="21708" xr:uid="{00000000-0005-0000-0000-0000C6540000}"/>
    <cellStyle name="Normal 23 2 8 4" xfId="21709" xr:uid="{00000000-0005-0000-0000-0000C7540000}"/>
    <cellStyle name="Normal 23 2 8 5" xfId="21710" xr:uid="{00000000-0005-0000-0000-0000C8540000}"/>
    <cellStyle name="Normal 23 2 8 6" xfId="21711" xr:uid="{00000000-0005-0000-0000-0000C9540000}"/>
    <cellStyle name="Normal 23 2 8 7" xfId="21712" xr:uid="{00000000-0005-0000-0000-0000CA540000}"/>
    <cellStyle name="Normal 23 2 8 8" xfId="21713" xr:uid="{00000000-0005-0000-0000-0000CB540000}"/>
    <cellStyle name="Normal 23 2 9" xfId="21714" xr:uid="{00000000-0005-0000-0000-0000CC540000}"/>
    <cellStyle name="Normal 23 2 9 2" xfId="21715" xr:uid="{00000000-0005-0000-0000-0000CD540000}"/>
    <cellStyle name="Normal 23 2 9 3" xfId="21716" xr:uid="{00000000-0005-0000-0000-0000CE540000}"/>
    <cellStyle name="Normal 23 2 9 4" xfId="21717" xr:uid="{00000000-0005-0000-0000-0000CF540000}"/>
    <cellStyle name="Normal 23 2 9 5" xfId="21718" xr:uid="{00000000-0005-0000-0000-0000D0540000}"/>
    <cellStyle name="Normal 23 2 9 6" xfId="21719" xr:uid="{00000000-0005-0000-0000-0000D1540000}"/>
    <cellStyle name="Normal 23 3" xfId="21720" xr:uid="{00000000-0005-0000-0000-0000D2540000}"/>
    <cellStyle name="Normal 23 3 10" xfId="21721" xr:uid="{00000000-0005-0000-0000-0000D3540000}"/>
    <cellStyle name="Normal 23 3 10 2" xfId="21722" xr:uid="{00000000-0005-0000-0000-0000D4540000}"/>
    <cellStyle name="Normal 23 3 10 3" xfId="21723" xr:uid="{00000000-0005-0000-0000-0000D5540000}"/>
    <cellStyle name="Normal 23 3 10 4" xfId="21724" xr:uid="{00000000-0005-0000-0000-0000D6540000}"/>
    <cellStyle name="Normal 23 3 10 5" xfId="21725" xr:uid="{00000000-0005-0000-0000-0000D7540000}"/>
    <cellStyle name="Normal 23 3 10 6" xfId="21726" xr:uid="{00000000-0005-0000-0000-0000D8540000}"/>
    <cellStyle name="Normal 23 3 11" xfId="21727" xr:uid="{00000000-0005-0000-0000-0000D9540000}"/>
    <cellStyle name="Normal 23 3 12" xfId="21728" xr:uid="{00000000-0005-0000-0000-0000DA540000}"/>
    <cellStyle name="Normal 23 3 13" xfId="21729" xr:uid="{00000000-0005-0000-0000-0000DB540000}"/>
    <cellStyle name="Normal 23 3 14" xfId="21730" xr:uid="{00000000-0005-0000-0000-0000DC540000}"/>
    <cellStyle name="Normal 23 3 15" xfId="21731" xr:uid="{00000000-0005-0000-0000-0000DD540000}"/>
    <cellStyle name="Normal 23 3 2" xfId="21732" xr:uid="{00000000-0005-0000-0000-0000DE540000}"/>
    <cellStyle name="Normal 23 3 2 10" xfId="21733" xr:uid="{00000000-0005-0000-0000-0000DF540000}"/>
    <cellStyle name="Normal 23 3 2 11" xfId="21734" xr:uid="{00000000-0005-0000-0000-0000E0540000}"/>
    <cellStyle name="Normal 23 3 2 12" xfId="21735" xr:uid="{00000000-0005-0000-0000-0000E1540000}"/>
    <cellStyle name="Normal 23 3 2 13" xfId="21736" xr:uid="{00000000-0005-0000-0000-0000E2540000}"/>
    <cellStyle name="Normal 23 3 2 14" xfId="21737" xr:uid="{00000000-0005-0000-0000-0000E3540000}"/>
    <cellStyle name="Normal 23 3 2 2" xfId="21738" xr:uid="{00000000-0005-0000-0000-0000E4540000}"/>
    <cellStyle name="Normal 23 3 2 2 10" xfId="21739" xr:uid="{00000000-0005-0000-0000-0000E5540000}"/>
    <cellStyle name="Normal 23 3 2 2 11" xfId="21740" xr:uid="{00000000-0005-0000-0000-0000E6540000}"/>
    <cellStyle name="Normal 23 3 2 2 12" xfId="21741" xr:uid="{00000000-0005-0000-0000-0000E7540000}"/>
    <cellStyle name="Normal 23 3 2 2 2" xfId="21742" xr:uid="{00000000-0005-0000-0000-0000E8540000}"/>
    <cellStyle name="Normal 23 3 2 2 2 10" xfId="21743" xr:uid="{00000000-0005-0000-0000-0000E9540000}"/>
    <cellStyle name="Normal 23 3 2 2 2 11" xfId="21744" xr:uid="{00000000-0005-0000-0000-0000EA540000}"/>
    <cellStyle name="Normal 23 3 2 2 2 2" xfId="21745" xr:uid="{00000000-0005-0000-0000-0000EB540000}"/>
    <cellStyle name="Normal 23 3 2 2 2 2 2" xfId="21746" xr:uid="{00000000-0005-0000-0000-0000EC540000}"/>
    <cellStyle name="Normal 23 3 2 2 2 2 2 2" xfId="21747" xr:uid="{00000000-0005-0000-0000-0000ED540000}"/>
    <cellStyle name="Normal 23 3 2 2 2 2 2 3" xfId="21748" xr:uid="{00000000-0005-0000-0000-0000EE540000}"/>
    <cellStyle name="Normal 23 3 2 2 2 2 2 4" xfId="21749" xr:uid="{00000000-0005-0000-0000-0000EF540000}"/>
    <cellStyle name="Normal 23 3 2 2 2 2 2 5" xfId="21750" xr:uid="{00000000-0005-0000-0000-0000F0540000}"/>
    <cellStyle name="Normal 23 3 2 2 2 2 2 6" xfId="21751" xr:uid="{00000000-0005-0000-0000-0000F1540000}"/>
    <cellStyle name="Normal 23 3 2 2 2 2 3" xfId="21752" xr:uid="{00000000-0005-0000-0000-0000F2540000}"/>
    <cellStyle name="Normal 23 3 2 2 2 2 3 2" xfId="21753" xr:uid="{00000000-0005-0000-0000-0000F3540000}"/>
    <cellStyle name="Normal 23 3 2 2 2 2 3 3" xfId="21754" xr:uid="{00000000-0005-0000-0000-0000F4540000}"/>
    <cellStyle name="Normal 23 3 2 2 2 2 3 4" xfId="21755" xr:uid="{00000000-0005-0000-0000-0000F5540000}"/>
    <cellStyle name="Normal 23 3 2 2 2 2 3 5" xfId="21756" xr:uid="{00000000-0005-0000-0000-0000F6540000}"/>
    <cellStyle name="Normal 23 3 2 2 2 2 3 6" xfId="21757" xr:uid="{00000000-0005-0000-0000-0000F7540000}"/>
    <cellStyle name="Normal 23 3 2 2 2 2 4" xfId="21758" xr:uid="{00000000-0005-0000-0000-0000F8540000}"/>
    <cellStyle name="Normal 23 3 2 2 2 2 5" xfId="21759" xr:uid="{00000000-0005-0000-0000-0000F9540000}"/>
    <cellStyle name="Normal 23 3 2 2 2 2 6" xfId="21760" xr:uid="{00000000-0005-0000-0000-0000FA540000}"/>
    <cellStyle name="Normal 23 3 2 2 2 2 7" xfId="21761" xr:uid="{00000000-0005-0000-0000-0000FB540000}"/>
    <cellStyle name="Normal 23 3 2 2 2 2 8" xfId="21762" xr:uid="{00000000-0005-0000-0000-0000FC540000}"/>
    <cellStyle name="Normal 23 3 2 2 2 3" xfId="21763" xr:uid="{00000000-0005-0000-0000-0000FD540000}"/>
    <cellStyle name="Normal 23 3 2 2 2 3 2" xfId="21764" xr:uid="{00000000-0005-0000-0000-0000FE540000}"/>
    <cellStyle name="Normal 23 3 2 2 2 3 2 2" xfId="21765" xr:uid="{00000000-0005-0000-0000-0000FF540000}"/>
    <cellStyle name="Normal 23 3 2 2 2 3 2 3" xfId="21766" xr:uid="{00000000-0005-0000-0000-000000550000}"/>
    <cellStyle name="Normal 23 3 2 2 2 3 2 4" xfId="21767" xr:uid="{00000000-0005-0000-0000-000001550000}"/>
    <cellStyle name="Normal 23 3 2 2 2 3 2 5" xfId="21768" xr:uid="{00000000-0005-0000-0000-000002550000}"/>
    <cellStyle name="Normal 23 3 2 2 2 3 2 6" xfId="21769" xr:uid="{00000000-0005-0000-0000-000003550000}"/>
    <cellStyle name="Normal 23 3 2 2 2 3 3" xfId="21770" xr:uid="{00000000-0005-0000-0000-000004550000}"/>
    <cellStyle name="Normal 23 3 2 2 2 3 3 2" xfId="21771" xr:uid="{00000000-0005-0000-0000-000005550000}"/>
    <cellStyle name="Normal 23 3 2 2 2 3 3 3" xfId="21772" xr:uid="{00000000-0005-0000-0000-000006550000}"/>
    <cellStyle name="Normal 23 3 2 2 2 3 3 4" xfId="21773" xr:uid="{00000000-0005-0000-0000-000007550000}"/>
    <cellStyle name="Normal 23 3 2 2 2 3 3 5" xfId="21774" xr:uid="{00000000-0005-0000-0000-000008550000}"/>
    <cellStyle name="Normal 23 3 2 2 2 3 3 6" xfId="21775" xr:uid="{00000000-0005-0000-0000-000009550000}"/>
    <cellStyle name="Normal 23 3 2 2 2 3 4" xfId="21776" xr:uid="{00000000-0005-0000-0000-00000A550000}"/>
    <cellStyle name="Normal 23 3 2 2 2 3 5" xfId="21777" xr:uid="{00000000-0005-0000-0000-00000B550000}"/>
    <cellStyle name="Normal 23 3 2 2 2 3 6" xfId="21778" xr:uid="{00000000-0005-0000-0000-00000C550000}"/>
    <cellStyle name="Normal 23 3 2 2 2 3 7" xfId="21779" xr:uid="{00000000-0005-0000-0000-00000D550000}"/>
    <cellStyle name="Normal 23 3 2 2 2 3 8" xfId="21780" xr:uid="{00000000-0005-0000-0000-00000E550000}"/>
    <cellStyle name="Normal 23 3 2 2 2 4" xfId="21781" xr:uid="{00000000-0005-0000-0000-00000F550000}"/>
    <cellStyle name="Normal 23 3 2 2 2 4 2" xfId="21782" xr:uid="{00000000-0005-0000-0000-000010550000}"/>
    <cellStyle name="Normal 23 3 2 2 2 4 2 2" xfId="21783" xr:uid="{00000000-0005-0000-0000-000011550000}"/>
    <cellStyle name="Normal 23 3 2 2 2 4 2 3" xfId="21784" xr:uid="{00000000-0005-0000-0000-000012550000}"/>
    <cellStyle name="Normal 23 3 2 2 2 4 2 4" xfId="21785" xr:uid="{00000000-0005-0000-0000-000013550000}"/>
    <cellStyle name="Normal 23 3 2 2 2 4 2 5" xfId="21786" xr:uid="{00000000-0005-0000-0000-000014550000}"/>
    <cellStyle name="Normal 23 3 2 2 2 4 2 6" xfId="21787" xr:uid="{00000000-0005-0000-0000-000015550000}"/>
    <cellStyle name="Normal 23 3 2 2 2 4 3" xfId="21788" xr:uid="{00000000-0005-0000-0000-000016550000}"/>
    <cellStyle name="Normal 23 3 2 2 2 4 3 2" xfId="21789" xr:uid="{00000000-0005-0000-0000-000017550000}"/>
    <cellStyle name="Normal 23 3 2 2 2 4 3 3" xfId="21790" xr:uid="{00000000-0005-0000-0000-000018550000}"/>
    <cellStyle name="Normal 23 3 2 2 2 4 3 4" xfId="21791" xr:uid="{00000000-0005-0000-0000-000019550000}"/>
    <cellStyle name="Normal 23 3 2 2 2 4 3 5" xfId="21792" xr:uid="{00000000-0005-0000-0000-00001A550000}"/>
    <cellStyle name="Normal 23 3 2 2 2 4 3 6" xfId="21793" xr:uid="{00000000-0005-0000-0000-00001B550000}"/>
    <cellStyle name="Normal 23 3 2 2 2 4 4" xfId="21794" xr:uid="{00000000-0005-0000-0000-00001C550000}"/>
    <cellStyle name="Normal 23 3 2 2 2 4 5" xfId="21795" xr:uid="{00000000-0005-0000-0000-00001D550000}"/>
    <cellStyle name="Normal 23 3 2 2 2 4 6" xfId="21796" xr:uid="{00000000-0005-0000-0000-00001E550000}"/>
    <cellStyle name="Normal 23 3 2 2 2 4 7" xfId="21797" xr:uid="{00000000-0005-0000-0000-00001F550000}"/>
    <cellStyle name="Normal 23 3 2 2 2 4 8" xfId="21798" xr:uid="{00000000-0005-0000-0000-000020550000}"/>
    <cellStyle name="Normal 23 3 2 2 2 5" xfId="21799" xr:uid="{00000000-0005-0000-0000-000021550000}"/>
    <cellStyle name="Normal 23 3 2 2 2 5 2" xfId="21800" xr:uid="{00000000-0005-0000-0000-000022550000}"/>
    <cellStyle name="Normal 23 3 2 2 2 5 3" xfId="21801" xr:uid="{00000000-0005-0000-0000-000023550000}"/>
    <cellStyle name="Normal 23 3 2 2 2 5 4" xfId="21802" xr:uid="{00000000-0005-0000-0000-000024550000}"/>
    <cellStyle name="Normal 23 3 2 2 2 5 5" xfId="21803" xr:uid="{00000000-0005-0000-0000-000025550000}"/>
    <cellStyle name="Normal 23 3 2 2 2 5 6" xfId="21804" xr:uid="{00000000-0005-0000-0000-000026550000}"/>
    <cellStyle name="Normal 23 3 2 2 2 6" xfId="21805" xr:uid="{00000000-0005-0000-0000-000027550000}"/>
    <cellStyle name="Normal 23 3 2 2 2 6 2" xfId="21806" xr:uid="{00000000-0005-0000-0000-000028550000}"/>
    <cellStyle name="Normal 23 3 2 2 2 6 3" xfId="21807" xr:uid="{00000000-0005-0000-0000-000029550000}"/>
    <cellStyle name="Normal 23 3 2 2 2 6 4" xfId="21808" xr:uid="{00000000-0005-0000-0000-00002A550000}"/>
    <cellStyle name="Normal 23 3 2 2 2 6 5" xfId="21809" xr:uid="{00000000-0005-0000-0000-00002B550000}"/>
    <cellStyle name="Normal 23 3 2 2 2 6 6" xfId="21810" xr:uid="{00000000-0005-0000-0000-00002C550000}"/>
    <cellStyle name="Normal 23 3 2 2 2 7" xfId="21811" xr:uid="{00000000-0005-0000-0000-00002D550000}"/>
    <cellStyle name="Normal 23 3 2 2 2 8" xfId="21812" xr:uid="{00000000-0005-0000-0000-00002E550000}"/>
    <cellStyle name="Normal 23 3 2 2 2 9" xfId="21813" xr:uid="{00000000-0005-0000-0000-00002F550000}"/>
    <cellStyle name="Normal 23 3 2 2 3" xfId="21814" xr:uid="{00000000-0005-0000-0000-000030550000}"/>
    <cellStyle name="Normal 23 3 2 2 3 2" xfId="21815" xr:uid="{00000000-0005-0000-0000-000031550000}"/>
    <cellStyle name="Normal 23 3 2 2 3 2 2" xfId="21816" xr:uid="{00000000-0005-0000-0000-000032550000}"/>
    <cellStyle name="Normal 23 3 2 2 3 2 3" xfId="21817" xr:uid="{00000000-0005-0000-0000-000033550000}"/>
    <cellStyle name="Normal 23 3 2 2 3 2 4" xfId="21818" xr:uid="{00000000-0005-0000-0000-000034550000}"/>
    <cellStyle name="Normal 23 3 2 2 3 2 5" xfId="21819" xr:uid="{00000000-0005-0000-0000-000035550000}"/>
    <cellStyle name="Normal 23 3 2 2 3 2 6" xfId="21820" xr:uid="{00000000-0005-0000-0000-000036550000}"/>
    <cellStyle name="Normal 23 3 2 2 3 3" xfId="21821" xr:uid="{00000000-0005-0000-0000-000037550000}"/>
    <cellStyle name="Normal 23 3 2 2 3 3 2" xfId="21822" xr:uid="{00000000-0005-0000-0000-000038550000}"/>
    <cellStyle name="Normal 23 3 2 2 3 3 3" xfId="21823" xr:uid="{00000000-0005-0000-0000-000039550000}"/>
    <cellStyle name="Normal 23 3 2 2 3 3 4" xfId="21824" xr:uid="{00000000-0005-0000-0000-00003A550000}"/>
    <cellStyle name="Normal 23 3 2 2 3 3 5" xfId="21825" xr:uid="{00000000-0005-0000-0000-00003B550000}"/>
    <cellStyle name="Normal 23 3 2 2 3 3 6" xfId="21826" xr:uid="{00000000-0005-0000-0000-00003C550000}"/>
    <cellStyle name="Normal 23 3 2 2 3 4" xfId="21827" xr:uid="{00000000-0005-0000-0000-00003D550000}"/>
    <cellStyle name="Normal 23 3 2 2 3 5" xfId="21828" xr:uid="{00000000-0005-0000-0000-00003E550000}"/>
    <cellStyle name="Normal 23 3 2 2 3 6" xfId="21829" xr:uid="{00000000-0005-0000-0000-00003F550000}"/>
    <cellStyle name="Normal 23 3 2 2 3 7" xfId="21830" xr:uid="{00000000-0005-0000-0000-000040550000}"/>
    <cellStyle name="Normal 23 3 2 2 3 8" xfId="21831" xr:uid="{00000000-0005-0000-0000-000041550000}"/>
    <cellStyle name="Normal 23 3 2 2 4" xfId="21832" xr:uid="{00000000-0005-0000-0000-000042550000}"/>
    <cellStyle name="Normal 23 3 2 2 4 2" xfId="21833" xr:uid="{00000000-0005-0000-0000-000043550000}"/>
    <cellStyle name="Normal 23 3 2 2 4 2 2" xfId="21834" xr:uid="{00000000-0005-0000-0000-000044550000}"/>
    <cellStyle name="Normal 23 3 2 2 4 2 3" xfId="21835" xr:uid="{00000000-0005-0000-0000-000045550000}"/>
    <cellStyle name="Normal 23 3 2 2 4 2 4" xfId="21836" xr:uid="{00000000-0005-0000-0000-000046550000}"/>
    <cellStyle name="Normal 23 3 2 2 4 2 5" xfId="21837" xr:uid="{00000000-0005-0000-0000-000047550000}"/>
    <cellStyle name="Normal 23 3 2 2 4 2 6" xfId="21838" xr:uid="{00000000-0005-0000-0000-000048550000}"/>
    <cellStyle name="Normal 23 3 2 2 4 3" xfId="21839" xr:uid="{00000000-0005-0000-0000-000049550000}"/>
    <cellStyle name="Normal 23 3 2 2 4 3 2" xfId="21840" xr:uid="{00000000-0005-0000-0000-00004A550000}"/>
    <cellStyle name="Normal 23 3 2 2 4 3 3" xfId="21841" xr:uid="{00000000-0005-0000-0000-00004B550000}"/>
    <cellStyle name="Normal 23 3 2 2 4 3 4" xfId="21842" xr:uid="{00000000-0005-0000-0000-00004C550000}"/>
    <cellStyle name="Normal 23 3 2 2 4 3 5" xfId="21843" xr:uid="{00000000-0005-0000-0000-00004D550000}"/>
    <cellStyle name="Normal 23 3 2 2 4 3 6" xfId="21844" xr:uid="{00000000-0005-0000-0000-00004E550000}"/>
    <cellStyle name="Normal 23 3 2 2 4 4" xfId="21845" xr:uid="{00000000-0005-0000-0000-00004F550000}"/>
    <cellStyle name="Normal 23 3 2 2 4 5" xfId="21846" xr:uid="{00000000-0005-0000-0000-000050550000}"/>
    <cellStyle name="Normal 23 3 2 2 4 6" xfId="21847" xr:uid="{00000000-0005-0000-0000-000051550000}"/>
    <cellStyle name="Normal 23 3 2 2 4 7" xfId="21848" xr:uid="{00000000-0005-0000-0000-000052550000}"/>
    <cellStyle name="Normal 23 3 2 2 4 8" xfId="21849" xr:uid="{00000000-0005-0000-0000-000053550000}"/>
    <cellStyle name="Normal 23 3 2 2 5" xfId="21850" xr:uid="{00000000-0005-0000-0000-000054550000}"/>
    <cellStyle name="Normal 23 3 2 2 5 2" xfId="21851" xr:uid="{00000000-0005-0000-0000-000055550000}"/>
    <cellStyle name="Normal 23 3 2 2 5 2 2" xfId="21852" xr:uid="{00000000-0005-0000-0000-000056550000}"/>
    <cellStyle name="Normal 23 3 2 2 5 2 3" xfId="21853" xr:uid="{00000000-0005-0000-0000-000057550000}"/>
    <cellStyle name="Normal 23 3 2 2 5 2 4" xfId="21854" xr:uid="{00000000-0005-0000-0000-000058550000}"/>
    <cellStyle name="Normal 23 3 2 2 5 2 5" xfId="21855" xr:uid="{00000000-0005-0000-0000-000059550000}"/>
    <cellStyle name="Normal 23 3 2 2 5 2 6" xfId="21856" xr:uid="{00000000-0005-0000-0000-00005A550000}"/>
    <cellStyle name="Normal 23 3 2 2 5 3" xfId="21857" xr:uid="{00000000-0005-0000-0000-00005B550000}"/>
    <cellStyle name="Normal 23 3 2 2 5 3 2" xfId="21858" xr:uid="{00000000-0005-0000-0000-00005C550000}"/>
    <cellStyle name="Normal 23 3 2 2 5 3 3" xfId="21859" xr:uid="{00000000-0005-0000-0000-00005D550000}"/>
    <cellStyle name="Normal 23 3 2 2 5 3 4" xfId="21860" xr:uid="{00000000-0005-0000-0000-00005E550000}"/>
    <cellStyle name="Normal 23 3 2 2 5 3 5" xfId="21861" xr:uid="{00000000-0005-0000-0000-00005F550000}"/>
    <cellStyle name="Normal 23 3 2 2 5 3 6" xfId="21862" xr:uid="{00000000-0005-0000-0000-000060550000}"/>
    <cellStyle name="Normal 23 3 2 2 5 4" xfId="21863" xr:uid="{00000000-0005-0000-0000-000061550000}"/>
    <cellStyle name="Normal 23 3 2 2 5 5" xfId="21864" xr:uid="{00000000-0005-0000-0000-000062550000}"/>
    <cellStyle name="Normal 23 3 2 2 5 6" xfId="21865" xr:uid="{00000000-0005-0000-0000-000063550000}"/>
    <cellStyle name="Normal 23 3 2 2 5 7" xfId="21866" xr:uid="{00000000-0005-0000-0000-000064550000}"/>
    <cellStyle name="Normal 23 3 2 2 5 8" xfId="21867" xr:uid="{00000000-0005-0000-0000-000065550000}"/>
    <cellStyle name="Normal 23 3 2 2 6" xfId="21868" xr:uid="{00000000-0005-0000-0000-000066550000}"/>
    <cellStyle name="Normal 23 3 2 2 6 2" xfId="21869" xr:uid="{00000000-0005-0000-0000-000067550000}"/>
    <cellStyle name="Normal 23 3 2 2 6 3" xfId="21870" xr:uid="{00000000-0005-0000-0000-000068550000}"/>
    <cellStyle name="Normal 23 3 2 2 6 4" xfId="21871" xr:uid="{00000000-0005-0000-0000-000069550000}"/>
    <cellStyle name="Normal 23 3 2 2 6 5" xfId="21872" xr:uid="{00000000-0005-0000-0000-00006A550000}"/>
    <cellStyle name="Normal 23 3 2 2 6 6" xfId="21873" xr:uid="{00000000-0005-0000-0000-00006B550000}"/>
    <cellStyle name="Normal 23 3 2 2 7" xfId="21874" xr:uid="{00000000-0005-0000-0000-00006C550000}"/>
    <cellStyle name="Normal 23 3 2 2 7 2" xfId="21875" xr:uid="{00000000-0005-0000-0000-00006D550000}"/>
    <cellStyle name="Normal 23 3 2 2 7 3" xfId="21876" xr:uid="{00000000-0005-0000-0000-00006E550000}"/>
    <cellStyle name="Normal 23 3 2 2 7 4" xfId="21877" xr:uid="{00000000-0005-0000-0000-00006F550000}"/>
    <cellStyle name="Normal 23 3 2 2 7 5" xfId="21878" xr:uid="{00000000-0005-0000-0000-000070550000}"/>
    <cellStyle name="Normal 23 3 2 2 7 6" xfId="21879" xr:uid="{00000000-0005-0000-0000-000071550000}"/>
    <cellStyle name="Normal 23 3 2 2 8" xfId="21880" xr:uid="{00000000-0005-0000-0000-000072550000}"/>
    <cellStyle name="Normal 23 3 2 2 9" xfId="21881" xr:uid="{00000000-0005-0000-0000-000073550000}"/>
    <cellStyle name="Normal 23 3 2 3" xfId="21882" xr:uid="{00000000-0005-0000-0000-000074550000}"/>
    <cellStyle name="Normal 23 3 2 3 10" xfId="21883" xr:uid="{00000000-0005-0000-0000-000075550000}"/>
    <cellStyle name="Normal 23 3 2 3 11" xfId="21884" xr:uid="{00000000-0005-0000-0000-000076550000}"/>
    <cellStyle name="Normal 23 3 2 3 12" xfId="21885" xr:uid="{00000000-0005-0000-0000-000077550000}"/>
    <cellStyle name="Normal 23 3 2 3 2" xfId="21886" xr:uid="{00000000-0005-0000-0000-000078550000}"/>
    <cellStyle name="Normal 23 3 2 3 2 10" xfId="21887" xr:uid="{00000000-0005-0000-0000-000079550000}"/>
    <cellStyle name="Normal 23 3 2 3 2 11" xfId="21888" xr:uid="{00000000-0005-0000-0000-00007A550000}"/>
    <cellStyle name="Normal 23 3 2 3 2 2" xfId="21889" xr:uid="{00000000-0005-0000-0000-00007B550000}"/>
    <cellStyle name="Normal 23 3 2 3 2 2 2" xfId="21890" xr:uid="{00000000-0005-0000-0000-00007C550000}"/>
    <cellStyle name="Normal 23 3 2 3 2 2 2 2" xfId="21891" xr:uid="{00000000-0005-0000-0000-00007D550000}"/>
    <cellStyle name="Normal 23 3 2 3 2 2 2 3" xfId="21892" xr:uid="{00000000-0005-0000-0000-00007E550000}"/>
    <cellStyle name="Normal 23 3 2 3 2 2 2 4" xfId="21893" xr:uid="{00000000-0005-0000-0000-00007F550000}"/>
    <cellStyle name="Normal 23 3 2 3 2 2 2 5" xfId="21894" xr:uid="{00000000-0005-0000-0000-000080550000}"/>
    <cellStyle name="Normal 23 3 2 3 2 2 2 6" xfId="21895" xr:uid="{00000000-0005-0000-0000-000081550000}"/>
    <cellStyle name="Normal 23 3 2 3 2 2 3" xfId="21896" xr:uid="{00000000-0005-0000-0000-000082550000}"/>
    <cellStyle name="Normal 23 3 2 3 2 2 3 2" xfId="21897" xr:uid="{00000000-0005-0000-0000-000083550000}"/>
    <cellStyle name="Normal 23 3 2 3 2 2 3 3" xfId="21898" xr:uid="{00000000-0005-0000-0000-000084550000}"/>
    <cellStyle name="Normal 23 3 2 3 2 2 3 4" xfId="21899" xr:uid="{00000000-0005-0000-0000-000085550000}"/>
    <cellStyle name="Normal 23 3 2 3 2 2 3 5" xfId="21900" xr:uid="{00000000-0005-0000-0000-000086550000}"/>
    <cellStyle name="Normal 23 3 2 3 2 2 3 6" xfId="21901" xr:uid="{00000000-0005-0000-0000-000087550000}"/>
    <cellStyle name="Normal 23 3 2 3 2 2 4" xfId="21902" xr:uid="{00000000-0005-0000-0000-000088550000}"/>
    <cellStyle name="Normal 23 3 2 3 2 2 5" xfId="21903" xr:uid="{00000000-0005-0000-0000-000089550000}"/>
    <cellStyle name="Normal 23 3 2 3 2 2 6" xfId="21904" xr:uid="{00000000-0005-0000-0000-00008A550000}"/>
    <cellStyle name="Normal 23 3 2 3 2 2 7" xfId="21905" xr:uid="{00000000-0005-0000-0000-00008B550000}"/>
    <cellStyle name="Normal 23 3 2 3 2 2 8" xfId="21906" xr:uid="{00000000-0005-0000-0000-00008C550000}"/>
    <cellStyle name="Normal 23 3 2 3 2 3" xfId="21907" xr:uid="{00000000-0005-0000-0000-00008D550000}"/>
    <cellStyle name="Normal 23 3 2 3 2 3 2" xfId="21908" xr:uid="{00000000-0005-0000-0000-00008E550000}"/>
    <cellStyle name="Normal 23 3 2 3 2 3 2 2" xfId="21909" xr:uid="{00000000-0005-0000-0000-00008F550000}"/>
    <cellStyle name="Normal 23 3 2 3 2 3 2 3" xfId="21910" xr:uid="{00000000-0005-0000-0000-000090550000}"/>
    <cellStyle name="Normal 23 3 2 3 2 3 2 4" xfId="21911" xr:uid="{00000000-0005-0000-0000-000091550000}"/>
    <cellStyle name="Normal 23 3 2 3 2 3 2 5" xfId="21912" xr:uid="{00000000-0005-0000-0000-000092550000}"/>
    <cellStyle name="Normal 23 3 2 3 2 3 2 6" xfId="21913" xr:uid="{00000000-0005-0000-0000-000093550000}"/>
    <cellStyle name="Normal 23 3 2 3 2 3 3" xfId="21914" xr:uid="{00000000-0005-0000-0000-000094550000}"/>
    <cellStyle name="Normal 23 3 2 3 2 3 3 2" xfId="21915" xr:uid="{00000000-0005-0000-0000-000095550000}"/>
    <cellStyle name="Normal 23 3 2 3 2 3 3 3" xfId="21916" xr:uid="{00000000-0005-0000-0000-000096550000}"/>
    <cellStyle name="Normal 23 3 2 3 2 3 3 4" xfId="21917" xr:uid="{00000000-0005-0000-0000-000097550000}"/>
    <cellStyle name="Normal 23 3 2 3 2 3 3 5" xfId="21918" xr:uid="{00000000-0005-0000-0000-000098550000}"/>
    <cellStyle name="Normal 23 3 2 3 2 3 3 6" xfId="21919" xr:uid="{00000000-0005-0000-0000-000099550000}"/>
    <cellStyle name="Normal 23 3 2 3 2 3 4" xfId="21920" xr:uid="{00000000-0005-0000-0000-00009A550000}"/>
    <cellStyle name="Normal 23 3 2 3 2 3 5" xfId="21921" xr:uid="{00000000-0005-0000-0000-00009B550000}"/>
    <cellStyle name="Normal 23 3 2 3 2 3 6" xfId="21922" xr:uid="{00000000-0005-0000-0000-00009C550000}"/>
    <cellStyle name="Normal 23 3 2 3 2 3 7" xfId="21923" xr:uid="{00000000-0005-0000-0000-00009D550000}"/>
    <cellStyle name="Normal 23 3 2 3 2 3 8" xfId="21924" xr:uid="{00000000-0005-0000-0000-00009E550000}"/>
    <cellStyle name="Normal 23 3 2 3 2 4" xfId="21925" xr:uid="{00000000-0005-0000-0000-00009F550000}"/>
    <cellStyle name="Normal 23 3 2 3 2 4 2" xfId="21926" xr:uid="{00000000-0005-0000-0000-0000A0550000}"/>
    <cellStyle name="Normal 23 3 2 3 2 4 2 2" xfId="21927" xr:uid="{00000000-0005-0000-0000-0000A1550000}"/>
    <cellStyle name="Normal 23 3 2 3 2 4 2 3" xfId="21928" xr:uid="{00000000-0005-0000-0000-0000A2550000}"/>
    <cellStyle name="Normal 23 3 2 3 2 4 2 4" xfId="21929" xr:uid="{00000000-0005-0000-0000-0000A3550000}"/>
    <cellStyle name="Normal 23 3 2 3 2 4 2 5" xfId="21930" xr:uid="{00000000-0005-0000-0000-0000A4550000}"/>
    <cellStyle name="Normal 23 3 2 3 2 4 2 6" xfId="21931" xr:uid="{00000000-0005-0000-0000-0000A5550000}"/>
    <cellStyle name="Normal 23 3 2 3 2 4 3" xfId="21932" xr:uid="{00000000-0005-0000-0000-0000A6550000}"/>
    <cellStyle name="Normal 23 3 2 3 2 4 3 2" xfId="21933" xr:uid="{00000000-0005-0000-0000-0000A7550000}"/>
    <cellStyle name="Normal 23 3 2 3 2 4 3 3" xfId="21934" xr:uid="{00000000-0005-0000-0000-0000A8550000}"/>
    <cellStyle name="Normal 23 3 2 3 2 4 3 4" xfId="21935" xr:uid="{00000000-0005-0000-0000-0000A9550000}"/>
    <cellStyle name="Normal 23 3 2 3 2 4 3 5" xfId="21936" xr:uid="{00000000-0005-0000-0000-0000AA550000}"/>
    <cellStyle name="Normal 23 3 2 3 2 4 3 6" xfId="21937" xr:uid="{00000000-0005-0000-0000-0000AB550000}"/>
    <cellStyle name="Normal 23 3 2 3 2 4 4" xfId="21938" xr:uid="{00000000-0005-0000-0000-0000AC550000}"/>
    <cellStyle name="Normal 23 3 2 3 2 4 5" xfId="21939" xr:uid="{00000000-0005-0000-0000-0000AD550000}"/>
    <cellStyle name="Normal 23 3 2 3 2 4 6" xfId="21940" xr:uid="{00000000-0005-0000-0000-0000AE550000}"/>
    <cellStyle name="Normal 23 3 2 3 2 4 7" xfId="21941" xr:uid="{00000000-0005-0000-0000-0000AF550000}"/>
    <cellStyle name="Normal 23 3 2 3 2 4 8" xfId="21942" xr:uid="{00000000-0005-0000-0000-0000B0550000}"/>
    <cellStyle name="Normal 23 3 2 3 2 5" xfId="21943" xr:uid="{00000000-0005-0000-0000-0000B1550000}"/>
    <cellStyle name="Normal 23 3 2 3 2 5 2" xfId="21944" xr:uid="{00000000-0005-0000-0000-0000B2550000}"/>
    <cellStyle name="Normal 23 3 2 3 2 5 3" xfId="21945" xr:uid="{00000000-0005-0000-0000-0000B3550000}"/>
    <cellStyle name="Normal 23 3 2 3 2 5 4" xfId="21946" xr:uid="{00000000-0005-0000-0000-0000B4550000}"/>
    <cellStyle name="Normal 23 3 2 3 2 5 5" xfId="21947" xr:uid="{00000000-0005-0000-0000-0000B5550000}"/>
    <cellStyle name="Normal 23 3 2 3 2 5 6" xfId="21948" xr:uid="{00000000-0005-0000-0000-0000B6550000}"/>
    <cellStyle name="Normal 23 3 2 3 2 6" xfId="21949" xr:uid="{00000000-0005-0000-0000-0000B7550000}"/>
    <cellStyle name="Normal 23 3 2 3 2 6 2" xfId="21950" xr:uid="{00000000-0005-0000-0000-0000B8550000}"/>
    <cellStyle name="Normal 23 3 2 3 2 6 3" xfId="21951" xr:uid="{00000000-0005-0000-0000-0000B9550000}"/>
    <cellStyle name="Normal 23 3 2 3 2 6 4" xfId="21952" xr:uid="{00000000-0005-0000-0000-0000BA550000}"/>
    <cellStyle name="Normal 23 3 2 3 2 6 5" xfId="21953" xr:uid="{00000000-0005-0000-0000-0000BB550000}"/>
    <cellStyle name="Normal 23 3 2 3 2 6 6" xfId="21954" xr:uid="{00000000-0005-0000-0000-0000BC550000}"/>
    <cellStyle name="Normal 23 3 2 3 2 7" xfId="21955" xr:uid="{00000000-0005-0000-0000-0000BD550000}"/>
    <cellStyle name="Normal 23 3 2 3 2 8" xfId="21956" xr:uid="{00000000-0005-0000-0000-0000BE550000}"/>
    <cellStyle name="Normal 23 3 2 3 2 9" xfId="21957" xr:uid="{00000000-0005-0000-0000-0000BF550000}"/>
    <cellStyle name="Normal 23 3 2 3 3" xfId="21958" xr:uid="{00000000-0005-0000-0000-0000C0550000}"/>
    <cellStyle name="Normal 23 3 2 3 3 2" xfId="21959" xr:uid="{00000000-0005-0000-0000-0000C1550000}"/>
    <cellStyle name="Normal 23 3 2 3 3 2 2" xfId="21960" xr:uid="{00000000-0005-0000-0000-0000C2550000}"/>
    <cellStyle name="Normal 23 3 2 3 3 2 3" xfId="21961" xr:uid="{00000000-0005-0000-0000-0000C3550000}"/>
    <cellStyle name="Normal 23 3 2 3 3 2 4" xfId="21962" xr:uid="{00000000-0005-0000-0000-0000C4550000}"/>
    <cellStyle name="Normal 23 3 2 3 3 2 5" xfId="21963" xr:uid="{00000000-0005-0000-0000-0000C5550000}"/>
    <cellStyle name="Normal 23 3 2 3 3 2 6" xfId="21964" xr:uid="{00000000-0005-0000-0000-0000C6550000}"/>
    <cellStyle name="Normal 23 3 2 3 3 3" xfId="21965" xr:uid="{00000000-0005-0000-0000-0000C7550000}"/>
    <cellStyle name="Normal 23 3 2 3 3 3 2" xfId="21966" xr:uid="{00000000-0005-0000-0000-0000C8550000}"/>
    <cellStyle name="Normal 23 3 2 3 3 3 3" xfId="21967" xr:uid="{00000000-0005-0000-0000-0000C9550000}"/>
    <cellStyle name="Normal 23 3 2 3 3 3 4" xfId="21968" xr:uid="{00000000-0005-0000-0000-0000CA550000}"/>
    <cellStyle name="Normal 23 3 2 3 3 3 5" xfId="21969" xr:uid="{00000000-0005-0000-0000-0000CB550000}"/>
    <cellStyle name="Normal 23 3 2 3 3 3 6" xfId="21970" xr:uid="{00000000-0005-0000-0000-0000CC550000}"/>
    <cellStyle name="Normal 23 3 2 3 3 4" xfId="21971" xr:uid="{00000000-0005-0000-0000-0000CD550000}"/>
    <cellStyle name="Normal 23 3 2 3 3 5" xfId="21972" xr:uid="{00000000-0005-0000-0000-0000CE550000}"/>
    <cellStyle name="Normal 23 3 2 3 3 6" xfId="21973" xr:uid="{00000000-0005-0000-0000-0000CF550000}"/>
    <cellStyle name="Normal 23 3 2 3 3 7" xfId="21974" xr:uid="{00000000-0005-0000-0000-0000D0550000}"/>
    <cellStyle name="Normal 23 3 2 3 3 8" xfId="21975" xr:uid="{00000000-0005-0000-0000-0000D1550000}"/>
    <cellStyle name="Normal 23 3 2 3 4" xfId="21976" xr:uid="{00000000-0005-0000-0000-0000D2550000}"/>
    <cellStyle name="Normal 23 3 2 3 4 2" xfId="21977" xr:uid="{00000000-0005-0000-0000-0000D3550000}"/>
    <cellStyle name="Normal 23 3 2 3 4 2 2" xfId="21978" xr:uid="{00000000-0005-0000-0000-0000D4550000}"/>
    <cellStyle name="Normal 23 3 2 3 4 2 3" xfId="21979" xr:uid="{00000000-0005-0000-0000-0000D5550000}"/>
    <cellStyle name="Normal 23 3 2 3 4 2 4" xfId="21980" xr:uid="{00000000-0005-0000-0000-0000D6550000}"/>
    <cellStyle name="Normal 23 3 2 3 4 2 5" xfId="21981" xr:uid="{00000000-0005-0000-0000-0000D7550000}"/>
    <cellStyle name="Normal 23 3 2 3 4 2 6" xfId="21982" xr:uid="{00000000-0005-0000-0000-0000D8550000}"/>
    <cellStyle name="Normal 23 3 2 3 4 3" xfId="21983" xr:uid="{00000000-0005-0000-0000-0000D9550000}"/>
    <cellStyle name="Normal 23 3 2 3 4 3 2" xfId="21984" xr:uid="{00000000-0005-0000-0000-0000DA550000}"/>
    <cellStyle name="Normal 23 3 2 3 4 3 3" xfId="21985" xr:uid="{00000000-0005-0000-0000-0000DB550000}"/>
    <cellStyle name="Normal 23 3 2 3 4 3 4" xfId="21986" xr:uid="{00000000-0005-0000-0000-0000DC550000}"/>
    <cellStyle name="Normal 23 3 2 3 4 3 5" xfId="21987" xr:uid="{00000000-0005-0000-0000-0000DD550000}"/>
    <cellStyle name="Normal 23 3 2 3 4 3 6" xfId="21988" xr:uid="{00000000-0005-0000-0000-0000DE550000}"/>
    <cellStyle name="Normal 23 3 2 3 4 4" xfId="21989" xr:uid="{00000000-0005-0000-0000-0000DF550000}"/>
    <cellStyle name="Normal 23 3 2 3 4 5" xfId="21990" xr:uid="{00000000-0005-0000-0000-0000E0550000}"/>
    <cellStyle name="Normal 23 3 2 3 4 6" xfId="21991" xr:uid="{00000000-0005-0000-0000-0000E1550000}"/>
    <cellStyle name="Normal 23 3 2 3 4 7" xfId="21992" xr:uid="{00000000-0005-0000-0000-0000E2550000}"/>
    <cellStyle name="Normal 23 3 2 3 4 8" xfId="21993" xr:uid="{00000000-0005-0000-0000-0000E3550000}"/>
    <cellStyle name="Normal 23 3 2 3 5" xfId="21994" xr:uid="{00000000-0005-0000-0000-0000E4550000}"/>
    <cellStyle name="Normal 23 3 2 3 5 2" xfId="21995" xr:uid="{00000000-0005-0000-0000-0000E5550000}"/>
    <cellStyle name="Normal 23 3 2 3 5 2 2" xfId="21996" xr:uid="{00000000-0005-0000-0000-0000E6550000}"/>
    <cellStyle name="Normal 23 3 2 3 5 2 3" xfId="21997" xr:uid="{00000000-0005-0000-0000-0000E7550000}"/>
    <cellStyle name="Normal 23 3 2 3 5 2 4" xfId="21998" xr:uid="{00000000-0005-0000-0000-0000E8550000}"/>
    <cellStyle name="Normal 23 3 2 3 5 2 5" xfId="21999" xr:uid="{00000000-0005-0000-0000-0000E9550000}"/>
    <cellStyle name="Normal 23 3 2 3 5 2 6" xfId="22000" xr:uid="{00000000-0005-0000-0000-0000EA550000}"/>
    <cellStyle name="Normal 23 3 2 3 5 3" xfId="22001" xr:uid="{00000000-0005-0000-0000-0000EB550000}"/>
    <cellStyle name="Normal 23 3 2 3 5 3 2" xfId="22002" xr:uid="{00000000-0005-0000-0000-0000EC550000}"/>
    <cellStyle name="Normal 23 3 2 3 5 3 3" xfId="22003" xr:uid="{00000000-0005-0000-0000-0000ED550000}"/>
    <cellStyle name="Normal 23 3 2 3 5 3 4" xfId="22004" xr:uid="{00000000-0005-0000-0000-0000EE550000}"/>
    <cellStyle name="Normal 23 3 2 3 5 3 5" xfId="22005" xr:uid="{00000000-0005-0000-0000-0000EF550000}"/>
    <cellStyle name="Normal 23 3 2 3 5 3 6" xfId="22006" xr:uid="{00000000-0005-0000-0000-0000F0550000}"/>
    <cellStyle name="Normal 23 3 2 3 5 4" xfId="22007" xr:uid="{00000000-0005-0000-0000-0000F1550000}"/>
    <cellStyle name="Normal 23 3 2 3 5 5" xfId="22008" xr:uid="{00000000-0005-0000-0000-0000F2550000}"/>
    <cellStyle name="Normal 23 3 2 3 5 6" xfId="22009" xr:uid="{00000000-0005-0000-0000-0000F3550000}"/>
    <cellStyle name="Normal 23 3 2 3 5 7" xfId="22010" xr:uid="{00000000-0005-0000-0000-0000F4550000}"/>
    <cellStyle name="Normal 23 3 2 3 5 8" xfId="22011" xr:uid="{00000000-0005-0000-0000-0000F5550000}"/>
    <cellStyle name="Normal 23 3 2 3 6" xfId="22012" xr:uid="{00000000-0005-0000-0000-0000F6550000}"/>
    <cellStyle name="Normal 23 3 2 3 6 2" xfId="22013" xr:uid="{00000000-0005-0000-0000-0000F7550000}"/>
    <cellStyle name="Normal 23 3 2 3 6 3" xfId="22014" xr:uid="{00000000-0005-0000-0000-0000F8550000}"/>
    <cellStyle name="Normal 23 3 2 3 6 4" xfId="22015" xr:uid="{00000000-0005-0000-0000-0000F9550000}"/>
    <cellStyle name="Normal 23 3 2 3 6 5" xfId="22016" xr:uid="{00000000-0005-0000-0000-0000FA550000}"/>
    <cellStyle name="Normal 23 3 2 3 6 6" xfId="22017" xr:uid="{00000000-0005-0000-0000-0000FB550000}"/>
    <cellStyle name="Normal 23 3 2 3 7" xfId="22018" xr:uid="{00000000-0005-0000-0000-0000FC550000}"/>
    <cellStyle name="Normal 23 3 2 3 7 2" xfId="22019" xr:uid="{00000000-0005-0000-0000-0000FD550000}"/>
    <cellStyle name="Normal 23 3 2 3 7 3" xfId="22020" xr:uid="{00000000-0005-0000-0000-0000FE550000}"/>
    <cellStyle name="Normal 23 3 2 3 7 4" xfId="22021" xr:uid="{00000000-0005-0000-0000-0000FF550000}"/>
    <cellStyle name="Normal 23 3 2 3 7 5" xfId="22022" xr:uid="{00000000-0005-0000-0000-000000560000}"/>
    <cellStyle name="Normal 23 3 2 3 7 6" xfId="22023" xr:uid="{00000000-0005-0000-0000-000001560000}"/>
    <cellStyle name="Normal 23 3 2 3 8" xfId="22024" xr:uid="{00000000-0005-0000-0000-000002560000}"/>
    <cellStyle name="Normal 23 3 2 3 9" xfId="22025" xr:uid="{00000000-0005-0000-0000-000003560000}"/>
    <cellStyle name="Normal 23 3 2 4" xfId="22026" xr:uid="{00000000-0005-0000-0000-000004560000}"/>
    <cellStyle name="Normal 23 3 2 4 10" xfId="22027" xr:uid="{00000000-0005-0000-0000-000005560000}"/>
    <cellStyle name="Normal 23 3 2 4 11" xfId="22028" xr:uid="{00000000-0005-0000-0000-000006560000}"/>
    <cellStyle name="Normal 23 3 2 4 2" xfId="22029" xr:uid="{00000000-0005-0000-0000-000007560000}"/>
    <cellStyle name="Normal 23 3 2 4 2 2" xfId="22030" xr:uid="{00000000-0005-0000-0000-000008560000}"/>
    <cellStyle name="Normal 23 3 2 4 2 2 2" xfId="22031" xr:uid="{00000000-0005-0000-0000-000009560000}"/>
    <cellStyle name="Normal 23 3 2 4 2 2 3" xfId="22032" xr:uid="{00000000-0005-0000-0000-00000A560000}"/>
    <cellStyle name="Normal 23 3 2 4 2 2 4" xfId="22033" xr:uid="{00000000-0005-0000-0000-00000B560000}"/>
    <cellStyle name="Normal 23 3 2 4 2 2 5" xfId="22034" xr:uid="{00000000-0005-0000-0000-00000C560000}"/>
    <cellStyle name="Normal 23 3 2 4 2 2 6" xfId="22035" xr:uid="{00000000-0005-0000-0000-00000D560000}"/>
    <cellStyle name="Normal 23 3 2 4 2 3" xfId="22036" xr:uid="{00000000-0005-0000-0000-00000E560000}"/>
    <cellStyle name="Normal 23 3 2 4 2 3 2" xfId="22037" xr:uid="{00000000-0005-0000-0000-00000F560000}"/>
    <cellStyle name="Normal 23 3 2 4 2 3 3" xfId="22038" xr:uid="{00000000-0005-0000-0000-000010560000}"/>
    <cellStyle name="Normal 23 3 2 4 2 3 4" xfId="22039" xr:uid="{00000000-0005-0000-0000-000011560000}"/>
    <cellStyle name="Normal 23 3 2 4 2 3 5" xfId="22040" xr:uid="{00000000-0005-0000-0000-000012560000}"/>
    <cellStyle name="Normal 23 3 2 4 2 3 6" xfId="22041" xr:uid="{00000000-0005-0000-0000-000013560000}"/>
    <cellStyle name="Normal 23 3 2 4 2 4" xfId="22042" xr:uid="{00000000-0005-0000-0000-000014560000}"/>
    <cellStyle name="Normal 23 3 2 4 2 5" xfId="22043" xr:uid="{00000000-0005-0000-0000-000015560000}"/>
    <cellStyle name="Normal 23 3 2 4 2 6" xfId="22044" xr:uid="{00000000-0005-0000-0000-000016560000}"/>
    <cellStyle name="Normal 23 3 2 4 2 7" xfId="22045" xr:uid="{00000000-0005-0000-0000-000017560000}"/>
    <cellStyle name="Normal 23 3 2 4 2 8" xfId="22046" xr:uid="{00000000-0005-0000-0000-000018560000}"/>
    <cellStyle name="Normal 23 3 2 4 3" xfId="22047" xr:uid="{00000000-0005-0000-0000-000019560000}"/>
    <cellStyle name="Normal 23 3 2 4 3 2" xfId="22048" xr:uid="{00000000-0005-0000-0000-00001A560000}"/>
    <cellStyle name="Normal 23 3 2 4 3 2 2" xfId="22049" xr:uid="{00000000-0005-0000-0000-00001B560000}"/>
    <cellStyle name="Normal 23 3 2 4 3 2 3" xfId="22050" xr:uid="{00000000-0005-0000-0000-00001C560000}"/>
    <cellStyle name="Normal 23 3 2 4 3 2 4" xfId="22051" xr:uid="{00000000-0005-0000-0000-00001D560000}"/>
    <cellStyle name="Normal 23 3 2 4 3 2 5" xfId="22052" xr:uid="{00000000-0005-0000-0000-00001E560000}"/>
    <cellStyle name="Normal 23 3 2 4 3 2 6" xfId="22053" xr:uid="{00000000-0005-0000-0000-00001F560000}"/>
    <cellStyle name="Normal 23 3 2 4 3 3" xfId="22054" xr:uid="{00000000-0005-0000-0000-000020560000}"/>
    <cellStyle name="Normal 23 3 2 4 3 3 2" xfId="22055" xr:uid="{00000000-0005-0000-0000-000021560000}"/>
    <cellStyle name="Normal 23 3 2 4 3 3 3" xfId="22056" xr:uid="{00000000-0005-0000-0000-000022560000}"/>
    <cellStyle name="Normal 23 3 2 4 3 3 4" xfId="22057" xr:uid="{00000000-0005-0000-0000-000023560000}"/>
    <cellStyle name="Normal 23 3 2 4 3 3 5" xfId="22058" xr:uid="{00000000-0005-0000-0000-000024560000}"/>
    <cellStyle name="Normal 23 3 2 4 3 3 6" xfId="22059" xr:uid="{00000000-0005-0000-0000-000025560000}"/>
    <cellStyle name="Normal 23 3 2 4 3 4" xfId="22060" xr:uid="{00000000-0005-0000-0000-000026560000}"/>
    <cellStyle name="Normal 23 3 2 4 3 5" xfId="22061" xr:uid="{00000000-0005-0000-0000-000027560000}"/>
    <cellStyle name="Normal 23 3 2 4 3 6" xfId="22062" xr:uid="{00000000-0005-0000-0000-000028560000}"/>
    <cellStyle name="Normal 23 3 2 4 3 7" xfId="22063" xr:uid="{00000000-0005-0000-0000-000029560000}"/>
    <cellStyle name="Normal 23 3 2 4 3 8" xfId="22064" xr:uid="{00000000-0005-0000-0000-00002A560000}"/>
    <cellStyle name="Normal 23 3 2 4 4" xfId="22065" xr:uid="{00000000-0005-0000-0000-00002B560000}"/>
    <cellStyle name="Normal 23 3 2 4 4 2" xfId="22066" xr:uid="{00000000-0005-0000-0000-00002C560000}"/>
    <cellStyle name="Normal 23 3 2 4 4 2 2" xfId="22067" xr:uid="{00000000-0005-0000-0000-00002D560000}"/>
    <cellStyle name="Normal 23 3 2 4 4 2 3" xfId="22068" xr:uid="{00000000-0005-0000-0000-00002E560000}"/>
    <cellStyle name="Normal 23 3 2 4 4 2 4" xfId="22069" xr:uid="{00000000-0005-0000-0000-00002F560000}"/>
    <cellStyle name="Normal 23 3 2 4 4 2 5" xfId="22070" xr:uid="{00000000-0005-0000-0000-000030560000}"/>
    <cellStyle name="Normal 23 3 2 4 4 2 6" xfId="22071" xr:uid="{00000000-0005-0000-0000-000031560000}"/>
    <cellStyle name="Normal 23 3 2 4 4 3" xfId="22072" xr:uid="{00000000-0005-0000-0000-000032560000}"/>
    <cellStyle name="Normal 23 3 2 4 4 3 2" xfId="22073" xr:uid="{00000000-0005-0000-0000-000033560000}"/>
    <cellStyle name="Normal 23 3 2 4 4 3 3" xfId="22074" xr:uid="{00000000-0005-0000-0000-000034560000}"/>
    <cellStyle name="Normal 23 3 2 4 4 3 4" xfId="22075" xr:uid="{00000000-0005-0000-0000-000035560000}"/>
    <cellStyle name="Normal 23 3 2 4 4 3 5" xfId="22076" xr:uid="{00000000-0005-0000-0000-000036560000}"/>
    <cellStyle name="Normal 23 3 2 4 4 3 6" xfId="22077" xr:uid="{00000000-0005-0000-0000-000037560000}"/>
    <cellStyle name="Normal 23 3 2 4 4 4" xfId="22078" xr:uid="{00000000-0005-0000-0000-000038560000}"/>
    <cellStyle name="Normal 23 3 2 4 4 5" xfId="22079" xr:uid="{00000000-0005-0000-0000-000039560000}"/>
    <cellStyle name="Normal 23 3 2 4 4 6" xfId="22080" xr:uid="{00000000-0005-0000-0000-00003A560000}"/>
    <cellStyle name="Normal 23 3 2 4 4 7" xfId="22081" xr:uid="{00000000-0005-0000-0000-00003B560000}"/>
    <cellStyle name="Normal 23 3 2 4 4 8" xfId="22082" xr:uid="{00000000-0005-0000-0000-00003C560000}"/>
    <cellStyle name="Normal 23 3 2 4 5" xfId="22083" xr:uid="{00000000-0005-0000-0000-00003D560000}"/>
    <cellStyle name="Normal 23 3 2 4 5 2" xfId="22084" xr:uid="{00000000-0005-0000-0000-00003E560000}"/>
    <cellStyle name="Normal 23 3 2 4 5 3" xfId="22085" xr:uid="{00000000-0005-0000-0000-00003F560000}"/>
    <cellStyle name="Normal 23 3 2 4 5 4" xfId="22086" xr:uid="{00000000-0005-0000-0000-000040560000}"/>
    <cellStyle name="Normal 23 3 2 4 5 5" xfId="22087" xr:uid="{00000000-0005-0000-0000-000041560000}"/>
    <cellStyle name="Normal 23 3 2 4 5 6" xfId="22088" xr:uid="{00000000-0005-0000-0000-000042560000}"/>
    <cellStyle name="Normal 23 3 2 4 6" xfId="22089" xr:uid="{00000000-0005-0000-0000-000043560000}"/>
    <cellStyle name="Normal 23 3 2 4 6 2" xfId="22090" xr:uid="{00000000-0005-0000-0000-000044560000}"/>
    <cellStyle name="Normal 23 3 2 4 6 3" xfId="22091" xr:uid="{00000000-0005-0000-0000-000045560000}"/>
    <cellStyle name="Normal 23 3 2 4 6 4" xfId="22092" xr:uid="{00000000-0005-0000-0000-000046560000}"/>
    <cellStyle name="Normal 23 3 2 4 6 5" xfId="22093" xr:uid="{00000000-0005-0000-0000-000047560000}"/>
    <cellStyle name="Normal 23 3 2 4 6 6" xfId="22094" xr:uid="{00000000-0005-0000-0000-000048560000}"/>
    <cellStyle name="Normal 23 3 2 4 7" xfId="22095" xr:uid="{00000000-0005-0000-0000-000049560000}"/>
    <cellStyle name="Normal 23 3 2 4 8" xfId="22096" xr:uid="{00000000-0005-0000-0000-00004A560000}"/>
    <cellStyle name="Normal 23 3 2 4 9" xfId="22097" xr:uid="{00000000-0005-0000-0000-00004B560000}"/>
    <cellStyle name="Normal 23 3 2 5" xfId="22098" xr:uid="{00000000-0005-0000-0000-00004C560000}"/>
    <cellStyle name="Normal 23 3 2 5 2" xfId="22099" xr:uid="{00000000-0005-0000-0000-00004D560000}"/>
    <cellStyle name="Normal 23 3 2 5 2 2" xfId="22100" xr:uid="{00000000-0005-0000-0000-00004E560000}"/>
    <cellStyle name="Normal 23 3 2 5 2 3" xfId="22101" xr:uid="{00000000-0005-0000-0000-00004F560000}"/>
    <cellStyle name="Normal 23 3 2 5 2 4" xfId="22102" xr:uid="{00000000-0005-0000-0000-000050560000}"/>
    <cellStyle name="Normal 23 3 2 5 2 5" xfId="22103" xr:uid="{00000000-0005-0000-0000-000051560000}"/>
    <cellStyle name="Normal 23 3 2 5 2 6" xfId="22104" xr:uid="{00000000-0005-0000-0000-000052560000}"/>
    <cellStyle name="Normal 23 3 2 5 3" xfId="22105" xr:uid="{00000000-0005-0000-0000-000053560000}"/>
    <cellStyle name="Normal 23 3 2 5 3 2" xfId="22106" xr:uid="{00000000-0005-0000-0000-000054560000}"/>
    <cellStyle name="Normal 23 3 2 5 3 3" xfId="22107" xr:uid="{00000000-0005-0000-0000-000055560000}"/>
    <cellStyle name="Normal 23 3 2 5 3 4" xfId="22108" xr:uid="{00000000-0005-0000-0000-000056560000}"/>
    <cellStyle name="Normal 23 3 2 5 3 5" xfId="22109" xr:uid="{00000000-0005-0000-0000-000057560000}"/>
    <cellStyle name="Normal 23 3 2 5 3 6" xfId="22110" xr:uid="{00000000-0005-0000-0000-000058560000}"/>
    <cellStyle name="Normal 23 3 2 5 4" xfId="22111" xr:uid="{00000000-0005-0000-0000-000059560000}"/>
    <cellStyle name="Normal 23 3 2 5 5" xfId="22112" xr:uid="{00000000-0005-0000-0000-00005A560000}"/>
    <cellStyle name="Normal 23 3 2 5 6" xfId="22113" xr:uid="{00000000-0005-0000-0000-00005B560000}"/>
    <cellStyle name="Normal 23 3 2 5 7" xfId="22114" xr:uid="{00000000-0005-0000-0000-00005C560000}"/>
    <cellStyle name="Normal 23 3 2 5 8" xfId="22115" xr:uid="{00000000-0005-0000-0000-00005D560000}"/>
    <cellStyle name="Normal 23 3 2 6" xfId="22116" xr:uid="{00000000-0005-0000-0000-00005E560000}"/>
    <cellStyle name="Normal 23 3 2 6 2" xfId="22117" xr:uid="{00000000-0005-0000-0000-00005F560000}"/>
    <cellStyle name="Normal 23 3 2 6 2 2" xfId="22118" xr:uid="{00000000-0005-0000-0000-000060560000}"/>
    <cellStyle name="Normal 23 3 2 6 2 3" xfId="22119" xr:uid="{00000000-0005-0000-0000-000061560000}"/>
    <cellStyle name="Normal 23 3 2 6 2 4" xfId="22120" xr:uid="{00000000-0005-0000-0000-000062560000}"/>
    <cellStyle name="Normal 23 3 2 6 2 5" xfId="22121" xr:uid="{00000000-0005-0000-0000-000063560000}"/>
    <cellStyle name="Normal 23 3 2 6 2 6" xfId="22122" xr:uid="{00000000-0005-0000-0000-000064560000}"/>
    <cellStyle name="Normal 23 3 2 6 3" xfId="22123" xr:uid="{00000000-0005-0000-0000-000065560000}"/>
    <cellStyle name="Normal 23 3 2 6 3 2" xfId="22124" xr:uid="{00000000-0005-0000-0000-000066560000}"/>
    <cellStyle name="Normal 23 3 2 6 3 3" xfId="22125" xr:uid="{00000000-0005-0000-0000-000067560000}"/>
    <cellStyle name="Normal 23 3 2 6 3 4" xfId="22126" xr:uid="{00000000-0005-0000-0000-000068560000}"/>
    <cellStyle name="Normal 23 3 2 6 3 5" xfId="22127" xr:uid="{00000000-0005-0000-0000-000069560000}"/>
    <cellStyle name="Normal 23 3 2 6 3 6" xfId="22128" xr:uid="{00000000-0005-0000-0000-00006A560000}"/>
    <cellStyle name="Normal 23 3 2 6 4" xfId="22129" xr:uid="{00000000-0005-0000-0000-00006B560000}"/>
    <cellStyle name="Normal 23 3 2 6 5" xfId="22130" xr:uid="{00000000-0005-0000-0000-00006C560000}"/>
    <cellStyle name="Normal 23 3 2 6 6" xfId="22131" xr:uid="{00000000-0005-0000-0000-00006D560000}"/>
    <cellStyle name="Normal 23 3 2 6 7" xfId="22132" xr:uid="{00000000-0005-0000-0000-00006E560000}"/>
    <cellStyle name="Normal 23 3 2 6 8" xfId="22133" xr:uid="{00000000-0005-0000-0000-00006F560000}"/>
    <cellStyle name="Normal 23 3 2 7" xfId="22134" xr:uid="{00000000-0005-0000-0000-000070560000}"/>
    <cellStyle name="Normal 23 3 2 7 2" xfId="22135" xr:uid="{00000000-0005-0000-0000-000071560000}"/>
    <cellStyle name="Normal 23 3 2 7 2 2" xfId="22136" xr:uid="{00000000-0005-0000-0000-000072560000}"/>
    <cellStyle name="Normal 23 3 2 7 2 3" xfId="22137" xr:uid="{00000000-0005-0000-0000-000073560000}"/>
    <cellStyle name="Normal 23 3 2 7 2 4" xfId="22138" xr:uid="{00000000-0005-0000-0000-000074560000}"/>
    <cellStyle name="Normal 23 3 2 7 2 5" xfId="22139" xr:uid="{00000000-0005-0000-0000-000075560000}"/>
    <cellStyle name="Normal 23 3 2 7 2 6" xfId="22140" xr:uid="{00000000-0005-0000-0000-000076560000}"/>
    <cellStyle name="Normal 23 3 2 7 3" xfId="22141" xr:uid="{00000000-0005-0000-0000-000077560000}"/>
    <cellStyle name="Normal 23 3 2 7 3 2" xfId="22142" xr:uid="{00000000-0005-0000-0000-000078560000}"/>
    <cellStyle name="Normal 23 3 2 7 3 3" xfId="22143" xr:uid="{00000000-0005-0000-0000-000079560000}"/>
    <cellStyle name="Normal 23 3 2 7 3 4" xfId="22144" xr:uid="{00000000-0005-0000-0000-00007A560000}"/>
    <cellStyle name="Normal 23 3 2 7 3 5" xfId="22145" xr:uid="{00000000-0005-0000-0000-00007B560000}"/>
    <cellStyle name="Normal 23 3 2 7 3 6" xfId="22146" xr:uid="{00000000-0005-0000-0000-00007C560000}"/>
    <cellStyle name="Normal 23 3 2 7 4" xfId="22147" xr:uid="{00000000-0005-0000-0000-00007D560000}"/>
    <cellStyle name="Normal 23 3 2 7 5" xfId="22148" xr:uid="{00000000-0005-0000-0000-00007E560000}"/>
    <cellStyle name="Normal 23 3 2 7 6" xfId="22149" xr:uid="{00000000-0005-0000-0000-00007F560000}"/>
    <cellStyle name="Normal 23 3 2 7 7" xfId="22150" xr:uid="{00000000-0005-0000-0000-000080560000}"/>
    <cellStyle name="Normal 23 3 2 7 8" xfId="22151" xr:uid="{00000000-0005-0000-0000-000081560000}"/>
    <cellStyle name="Normal 23 3 2 8" xfId="22152" xr:uid="{00000000-0005-0000-0000-000082560000}"/>
    <cellStyle name="Normal 23 3 2 8 2" xfId="22153" xr:uid="{00000000-0005-0000-0000-000083560000}"/>
    <cellStyle name="Normal 23 3 2 8 3" xfId="22154" xr:uid="{00000000-0005-0000-0000-000084560000}"/>
    <cellStyle name="Normal 23 3 2 8 4" xfId="22155" xr:uid="{00000000-0005-0000-0000-000085560000}"/>
    <cellStyle name="Normal 23 3 2 8 5" xfId="22156" xr:uid="{00000000-0005-0000-0000-000086560000}"/>
    <cellStyle name="Normal 23 3 2 8 6" xfId="22157" xr:uid="{00000000-0005-0000-0000-000087560000}"/>
    <cellStyle name="Normal 23 3 2 9" xfId="22158" xr:uid="{00000000-0005-0000-0000-000088560000}"/>
    <cellStyle name="Normal 23 3 2 9 2" xfId="22159" xr:uid="{00000000-0005-0000-0000-000089560000}"/>
    <cellStyle name="Normal 23 3 2 9 3" xfId="22160" xr:uid="{00000000-0005-0000-0000-00008A560000}"/>
    <cellStyle name="Normal 23 3 2 9 4" xfId="22161" xr:uid="{00000000-0005-0000-0000-00008B560000}"/>
    <cellStyle name="Normal 23 3 2 9 5" xfId="22162" xr:uid="{00000000-0005-0000-0000-00008C560000}"/>
    <cellStyle name="Normal 23 3 2 9 6" xfId="22163" xr:uid="{00000000-0005-0000-0000-00008D560000}"/>
    <cellStyle name="Normal 23 3 3" xfId="22164" xr:uid="{00000000-0005-0000-0000-00008E560000}"/>
    <cellStyle name="Normal 23 3 3 10" xfId="22165" xr:uid="{00000000-0005-0000-0000-00008F560000}"/>
    <cellStyle name="Normal 23 3 3 11" xfId="22166" xr:uid="{00000000-0005-0000-0000-000090560000}"/>
    <cellStyle name="Normal 23 3 3 12" xfId="22167" xr:uid="{00000000-0005-0000-0000-000091560000}"/>
    <cellStyle name="Normal 23 3 3 2" xfId="22168" xr:uid="{00000000-0005-0000-0000-000092560000}"/>
    <cellStyle name="Normal 23 3 3 2 10" xfId="22169" xr:uid="{00000000-0005-0000-0000-000093560000}"/>
    <cellStyle name="Normal 23 3 3 2 11" xfId="22170" xr:uid="{00000000-0005-0000-0000-000094560000}"/>
    <cellStyle name="Normal 23 3 3 2 2" xfId="22171" xr:uid="{00000000-0005-0000-0000-000095560000}"/>
    <cellStyle name="Normal 23 3 3 2 2 2" xfId="22172" xr:uid="{00000000-0005-0000-0000-000096560000}"/>
    <cellStyle name="Normal 23 3 3 2 2 2 2" xfId="22173" xr:uid="{00000000-0005-0000-0000-000097560000}"/>
    <cellStyle name="Normal 23 3 3 2 2 2 3" xfId="22174" xr:uid="{00000000-0005-0000-0000-000098560000}"/>
    <cellStyle name="Normal 23 3 3 2 2 2 4" xfId="22175" xr:uid="{00000000-0005-0000-0000-000099560000}"/>
    <cellStyle name="Normal 23 3 3 2 2 2 5" xfId="22176" xr:uid="{00000000-0005-0000-0000-00009A560000}"/>
    <cellStyle name="Normal 23 3 3 2 2 2 6" xfId="22177" xr:uid="{00000000-0005-0000-0000-00009B560000}"/>
    <cellStyle name="Normal 23 3 3 2 2 3" xfId="22178" xr:uid="{00000000-0005-0000-0000-00009C560000}"/>
    <cellStyle name="Normal 23 3 3 2 2 3 2" xfId="22179" xr:uid="{00000000-0005-0000-0000-00009D560000}"/>
    <cellStyle name="Normal 23 3 3 2 2 3 3" xfId="22180" xr:uid="{00000000-0005-0000-0000-00009E560000}"/>
    <cellStyle name="Normal 23 3 3 2 2 3 4" xfId="22181" xr:uid="{00000000-0005-0000-0000-00009F560000}"/>
    <cellStyle name="Normal 23 3 3 2 2 3 5" xfId="22182" xr:uid="{00000000-0005-0000-0000-0000A0560000}"/>
    <cellStyle name="Normal 23 3 3 2 2 3 6" xfId="22183" xr:uid="{00000000-0005-0000-0000-0000A1560000}"/>
    <cellStyle name="Normal 23 3 3 2 2 4" xfId="22184" xr:uid="{00000000-0005-0000-0000-0000A2560000}"/>
    <cellStyle name="Normal 23 3 3 2 2 5" xfId="22185" xr:uid="{00000000-0005-0000-0000-0000A3560000}"/>
    <cellStyle name="Normal 23 3 3 2 2 6" xfId="22186" xr:uid="{00000000-0005-0000-0000-0000A4560000}"/>
    <cellStyle name="Normal 23 3 3 2 2 7" xfId="22187" xr:uid="{00000000-0005-0000-0000-0000A5560000}"/>
    <cellStyle name="Normal 23 3 3 2 2 8" xfId="22188" xr:uid="{00000000-0005-0000-0000-0000A6560000}"/>
    <cellStyle name="Normal 23 3 3 2 3" xfId="22189" xr:uid="{00000000-0005-0000-0000-0000A7560000}"/>
    <cellStyle name="Normal 23 3 3 2 3 2" xfId="22190" xr:uid="{00000000-0005-0000-0000-0000A8560000}"/>
    <cellStyle name="Normal 23 3 3 2 3 2 2" xfId="22191" xr:uid="{00000000-0005-0000-0000-0000A9560000}"/>
    <cellStyle name="Normal 23 3 3 2 3 2 3" xfId="22192" xr:uid="{00000000-0005-0000-0000-0000AA560000}"/>
    <cellStyle name="Normal 23 3 3 2 3 2 4" xfId="22193" xr:uid="{00000000-0005-0000-0000-0000AB560000}"/>
    <cellStyle name="Normal 23 3 3 2 3 2 5" xfId="22194" xr:uid="{00000000-0005-0000-0000-0000AC560000}"/>
    <cellStyle name="Normal 23 3 3 2 3 2 6" xfId="22195" xr:uid="{00000000-0005-0000-0000-0000AD560000}"/>
    <cellStyle name="Normal 23 3 3 2 3 3" xfId="22196" xr:uid="{00000000-0005-0000-0000-0000AE560000}"/>
    <cellStyle name="Normal 23 3 3 2 3 3 2" xfId="22197" xr:uid="{00000000-0005-0000-0000-0000AF560000}"/>
    <cellStyle name="Normal 23 3 3 2 3 3 3" xfId="22198" xr:uid="{00000000-0005-0000-0000-0000B0560000}"/>
    <cellStyle name="Normal 23 3 3 2 3 3 4" xfId="22199" xr:uid="{00000000-0005-0000-0000-0000B1560000}"/>
    <cellStyle name="Normal 23 3 3 2 3 3 5" xfId="22200" xr:uid="{00000000-0005-0000-0000-0000B2560000}"/>
    <cellStyle name="Normal 23 3 3 2 3 3 6" xfId="22201" xr:uid="{00000000-0005-0000-0000-0000B3560000}"/>
    <cellStyle name="Normal 23 3 3 2 3 4" xfId="22202" xr:uid="{00000000-0005-0000-0000-0000B4560000}"/>
    <cellStyle name="Normal 23 3 3 2 3 5" xfId="22203" xr:uid="{00000000-0005-0000-0000-0000B5560000}"/>
    <cellStyle name="Normal 23 3 3 2 3 6" xfId="22204" xr:uid="{00000000-0005-0000-0000-0000B6560000}"/>
    <cellStyle name="Normal 23 3 3 2 3 7" xfId="22205" xr:uid="{00000000-0005-0000-0000-0000B7560000}"/>
    <cellStyle name="Normal 23 3 3 2 3 8" xfId="22206" xr:uid="{00000000-0005-0000-0000-0000B8560000}"/>
    <cellStyle name="Normal 23 3 3 2 4" xfId="22207" xr:uid="{00000000-0005-0000-0000-0000B9560000}"/>
    <cellStyle name="Normal 23 3 3 2 4 2" xfId="22208" xr:uid="{00000000-0005-0000-0000-0000BA560000}"/>
    <cellStyle name="Normal 23 3 3 2 4 2 2" xfId="22209" xr:uid="{00000000-0005-0000-0000-0000BB560000}"/>
    <cellStyle name="Normal 23 3 3 2 4 2 3" xfId="22210" xr:uid="{00000000-0005-0000-0000-0000BC560000}"/>
    <cellStyle name="Normal 23 3 3 2 4 2 4" xfId="22211" xr:uid="{00000000-0005-0000-0000-0000BD560000}"/>
    <cellStyle name="Normal 23 3 3 2 4 2 5" xfId="22212" xr:uid="{00000000-0005-0000-0000-0000BE560000}"/>
    <cellStyle name="Normal 23 3 3 2 4 2 6" xfId="22213" xr:uid="{00000000-0005-0000-0000-0000BF560000}"/>
    <cellStyle name="Normal 23 3 3 2 4 3" xfId="22214" xr:uid="{00000000-0005-0000-0000-0000C0560000}"/>
    <cellStyle name="Normal 23 3 3 2 4 3 2" xfId="22215" xr:uid="{00000000-0005-0000-0000-0000C1560000}"/>
    <cellStyle name="Normal 23 3 3 2 4 3 3" xfId="22216" xr:uid="{00000000-0005-0000-0000-0000C2560000}"/>
    <cellStyle name="Normal 23 3 3 2 4 3 4" xfId="22217" xr:uid="{00000000-0005-0000-0000-0000C3560000}"/>
    <cellStyle name="Normal 23 3 3 2 4 3 5" xfId="22218" xr:uid="{00000000-0005-0000-0000-0000C4560000}"/>
    <cellStyle name="Normal 23 3 3 2 4 3 6" xfId="22219" xr:uid="{00000000-0005-0000-0000-0000C5560000}"/>
    <cellStyle name="Normal 23 3 3 2 4 4" xfId="22220" xr:uid="{00000000-0005-0000-0000-0000C6560000}"/>
    <cellStyle name="Normal 23 3 3 2 4 5" xfId="22221" xr:uid="{00000000-0005-0000-0000-0000C7560000}"/>
    <cellStyle name="Normal 23 3 3 2 4 6" xfId="22222" xr:uid="{00000000-0005-0000-0000-0000C8560000}"/>
    <cellStyle name="Normal 23 3 3 2 4 7" xfId="22223" xr:uid="{00000000-0005-0000-0000-0000C9560000}"/>
    <cellStyle name="Normal 23 3 3 2 4 8" xfId="22224" xr:uid="{00000000-0005-0000-0000-0000CA560000}"/>
    <cellStyle name="Normal 23 3 3 2 5" xfId="22225" xr:uid="{00000000-0005-0000-0000-0000CB560000}"/>
    <cellStyle name="Normal 23 3 3 2 5 2" xfId="22226" xr:uid="{00000000-0005-0000-0000-0000CC560000}"/>
    <cellStyle name="Normal 23 3 3 2 5 3" xfId="22227" xr:uid="{00000000-0005-0000-0000-0000CD560000}"/>
    <cellStyle name="Normal 23 3 3 2 5 4" xfId="22228" xr:uid="{00000000-0005-0000-0000-0000CE560000}"/>
    <cellStyle name="Normal 23 3 3 2 5 5" xfId="22229" xr:uid="{00000000-0005-0000-0000-0000CF560000}"/>
    <cellStyle name="Normal 23 3 3 2 5 6" xfId="22230" xr:uid="{00000000-0005-0000-0000-0000D0560000}"/>
    <cellStyle name="Normal 23 3 3 2 6" xfId="22231" xr:uid="{00000000-0005-0000-0000-0000D1560000}"/>
    <cellStyle name="Normal 23 3 3 2 6 2" xfId="22232" xr:uid="{00000000-0005-0000-0000-0000D2560000}"/>
    <cellStyle name="Normal 23 3 3 2 6 3" xfId="22233" xr:uid="{00000000-0005-0000-0000-0000D3560000}"/>
    <cellStyle name="Normal 23 3 3 2 6 4" xfId="22234" xr:uid="{00000000-0005-0000-0000-0000D4560000}"/>
    <cellStyle name="Normal 23 3 3 2 6 5" xfId="22235" xr:uid="{00000000-0005-0000-0000-0000D5560000}"/>
    <cellStyle name="Normal 23 3 3 2 6 6" xfId="22236" xr:uid="{00000000-0005-0000-0000-0000D6560000}"/>
    <cellStyle name="Normal 23 3 3 2 7" xfId="22237" xr:uid="{00000000-0005-0000-0000-0000D7560000}"/>
    <cellStyle name="Normal 23 3 3 2 8" xfId="22238" xr:uid="{00000000-0005-0000-0000-0000D8560000}"/>
    <cellStyle name="Normal 23 3 3 2 9" xfId="22239" xr:uid="{00000000-0005-0000-0000-0000D9560000}"/>
    <cellStyle name="Normal 23 3 3 3" xfId="22240" xr:uid="{00000000-0005-0000-0000-0000DA560000}"/>
    <cellStyle name="Normal 23 3 3 3 2" xfId="22241" xr:uid="{00000000-0005-0000-0000-0000DB560000}"/>
    <cellStyle name="Normal 23 3 3 3 2 2" xfId="22242" xr:uid="{00000000-0005-0000-0000-0000DC560000}"/>
    <cellStyle name="Normal 23 3 3 3 2 3" xfId="22243" xr:uid="{00000000-0005-0000-0000-0000DD560000}"/>
    <cellStyle name="Normal 23 3 3 3 2 4" xfId="22244" xr:uid="{00000000-0005-0000-0000-0000DE560000}"/>
    <cellStyle name="Normal 23 3 3 3 2 5" xfId="22245" xr:uid="{00000000-0005-0000-0000-0000DF560000}"/>
    <cellStyle name="Normal 23 3 3 3 2 6" xfId="22246" xr:uid="{00000000-0005-0000-0000-0000E0560000}"/>
    <cellStyle name="Normal 23 3 3 3 3" xfId="22247" xr:uid="{00000000-0005-0000-0000-0000E1560000}"/>
    <cellStyle name="Normal 23 3 3 3 3 2" xfId="22248" xr:uid="{00000000-0005-0000-0000-0000E2560000}"/>
    <cellStyle name="Normal 23 3 3 3 3 3" xfId="22249" xr:uid="{00000000-0005-0000-0000-0000E3560000}"/>
    <cellStyle name="Normal 23 3 3 3 3 4" xfId="22250" xr:uid="{00000000-0005-0000-0000-0000E4560000}"/>
    <cellStyle name="Normal 23 3 3 3 3 5" xfId="22251" xr:uid="{00000000-0005-0000-0000-0000E5560000}"/>
    <cellStyle name="Normal 23 3 3 3 3 6" xfId="22252" xr:uid="{00000000-0005-0000-0000-0000E6560000}"/>
    <cellStyle name="Normal 23 3 3 3 4" xfId="22253" xr:uid="{00000000-0005-0000-0000-0000E7560000}"/>
    <cellStyle name="Normal 23 3 3 3 5" xfId="22254" xr:uid="{00000000-0005-0000-0000-0000E8560000}"/>
    <cellStyle name="Normal 23 3 3 3 6" xfId="22255" xr:uid="{00000000-0005-0000-0000-0000E9560000}"/>
    <cellStyle name="Normal 23 3 3 3 7" xfId="22256" xr:uid="{00000000-0005-0000-0000-0000EA560000}"/>
    <cellStyle name="Normal 23 3 3 3 8" xfId="22257" xr:uid="{00000000-0005-0000-0000-0000EB560000}"/>
    <cellStyle name="Normal 23 3 3 4" xfId="22258" xr:uid="{00000000-0005-0000-0000-0000EC560000}"/>
    <cellStyle name="Normal 23 3 3 4 2" xfId="22259" xr:uid="{00000000-0005-0000-0000-0000ED560000}"/>
    <cellStyle name="Normal 23 3 3 4 2 2" xfId="22260" xr:uid="{00000000-0005-0000-0000-0000EE560000}"/>
    <cellStyle name="Normal 23 3 3 4 2 3" xfId="22261" xr:uid="{00000000-0005-0000-0000-0000EF560000}"/>
    <cellStyle name="Normal 23 3 3 4 2 4" xfId="22262" xr:uid="{00000000-0005-0000-0000-0000F0560000}"/>
    <cellStyle name="Normal 23 3 3 4 2 5" xfId="22263" xr:uid="{00000000-0005-0000-0000-0000F1560000}"/>
    <cellStyle name="Normal 23 3 3 4 2 6" xfId="22264" xr:uid="{00000000-0005-0000-0000-0000F2560000}"/>
    <cellStyle name="Normal 23 3 3 4 3" xfId="22265" xr:uid="{00000000-0005-0000-0000-0000F3560000}"/>
    <cellStyle name="Normal 23 3 3 4 3 2" xfId="22266" xr:uid="{00000000-0005-0000-0000-0000F4560000}"/>
    <cellStyle name="Normal 23 3 3 4 3 3" xfId="22267" xr:uid="{00000000-0005-0000-0000-0000F5560000}"/>
    <cellStyle name="Normal 23 3 3 4 3 4" xfId="22268" xr:uid="{00000000-0005-0000-0000-0000F6560000}"/>
    <cellStyle name="Normal 23 3 3 4 3 5" xfId="22269" xr:uid="{00000000-0005-0000-0000-0000F7560000}"/>
    <cellStyle name="Normal 23 3 3 4 3 6" xfId="22270" xr:uid="{00000000-0005-0000-0000-0000F8560000}"/>
    <cellStyle name="Normal 23 3 3 4 4" xfId="22271" xr:uid="{00000000-0005-0000-0000-0000F9560000}"/>
    <cellStyle name="Normal 23 3 3 4 5" xfId="22272" xr:uid="{00000000-0005-0000-0000-0000FA560000}"/>
    <cellStyle name="Normal 23 3 3 4 6" xfId="22273" xr:uid="{00000000-0005-0000-0000-0000FB560000}"/>
    <cellStyle name="Normal 23 3 3 4 7" xfId="22274" xr:uid="{00000000-0005-0000-0000-0000FC560000}"/>
    <cellStyle name="Normal 23 3 3 4 8" xfId="22275" xr:uid="{00000000-0005-0000-0000-0000FD560000}"/>
    <cellStyle name="Normal 23 3 3 5" xfId="22276" xr:uid="{00000000-0005-0000-0000-0000FE560000}"/>
    <cellStyle name="Normal 23 3 3 5 2" xfId="22277" xr:uid="{00000000-0005-0000-0000-0000FF560000}"/>
    <cellStyle name="Normal 23 3 3 5 2 2" xfId="22278" xr:uid="{00000000-0005-0000-0000-000000570000}"/>
    <cellStyle name="Normal 23 3 3 5 2 3" xfId="22279" xr:uid="{00000000-0005-0000-0000-000001570000}"/>
    <cellStyle name="Normal 23 3 3 5 2 4" xfId="22280" xr:uid="{00000000-0005-0000-0000-000002570000}"/>
    <cellStyle name="Normal 23 3 3 5 2 5" xfId="22281" xr:uid="{00000000-0005-0000-0000-000003570000}"/>
    <cellStyle name="Normal 23 3 3 5 2 6" xfId="22282" xr:uid="{00000000-0005-0000-0000-000004570000}"/>
    <cellStyle name="Normal 23 3 3 5 3" xfId="22283" xr:uid="{00000000-0005-0000-0000-000005570000}"/>
    <cellStyle name="Normal 23 3 3 5 3 2" xfId="22284" xr:uid="{00000000-0005-0000-0000-000006570000}"/>
    <cellStyle name="Normal 23 3 3 5 3 3" xfId="22285" xr:uid="{00000000-0005-0000-0000-000007570000}"/>
    <cellStyle name="Normal 23 3 3 5 3 4" xfId="22286" xr:uid="{00000000-0005-0000-0000-000008570000}"/>
    <cellStyle name="Normal 23 3 3 5 3 5" xfId="22287" xr:uid="{00000000-0005-0000-0000-000009570000}"/>
    <cellStyle name="Normal 23 3 3 5 3 6" xfId="22288" xr:uid="{00000000-0005-0000-0000-00000A570000}"/>
    <cellStyle name="Normal 23 3 3 5 4" xfId="22289" xr:uid="{00000000-0005-0000-0000-00000B570000}"/>
    <cellStyle name="Normal 23 3 3 5 5" xfId="22290" xr:uid="{00000000-0005-0000-0000-00000C570000}"/>
    <cellStyle name="Normal 23 3 3 5 6" xfId="22291" xr:uid="{00000000-0005-0000-0000-00000D570000}"/>
    <cellStyle name="Normal 23 3 3 5 7" xfId="22292" xr:uid="{00000000-0005-0000-0000-00000E570000}"/>
    <cellStyle name="Normal 23 3 3 5 8" xfId="22293" xr:uid="{00000000-0005-0000-0000-00000F570000}"/>
    <cellStyle name="Normal 23 3 3 6" xfId="22294" xr:uid="{00000000-0005-0000-0000-000010570000}"/>
    <cellStyle name="Normal 23 3 3 6 2" xfId="22295" xr:uid="{00000000-0005-0000-0000-000011570000}"/>
    <cellStyle name="Normal 23 3 3 6 3" xfId="22296" xr:uid="{00000000-0005-0000-0000-000012570000}"/>
    <cellStyle name="Normal 23 3 3 6 4" xfId="22297" xr:uid="{00000000-0005-0000-0000-000013570000}"/>
    <cellStyle name="Normal 23 3 3 6 5" xfId="22298" xr:uid="{00000000-0005-0000-0000-000014570000}"/>
    <cellStyle name="Normal 23 3 3 6 6" xfId="22299" xr:uid="{00000000-0005-0000-0000-000015570000}"/>
    <cellStyle name="Normal 23 3 3 7" xfId="22300" xr:uid="{00000000-0005-0000-0000-000016570000}"/>
    <cellStyle name="Normal 23 3 3 7 2" xfId="22301" xr:uid="{00000000-0005-0000-0000-000017570000}"/>
    <cellStyle name="Normal 23 3 3 7 3" xfId="22302" xr:uid="{00000000-0005-0000-0000-000018570000}"/>
    <cellStyle name="Normal 23 3 3 7 4" xfId="22303" xr:uid="{00000000-0005-0000-0000-000019570000}"/>
    <cellStyle name="Normal 23 3 3 7 5" xfId="22304" xr:uid="{00000000-0005-0000-0000-00001A570000}"/>
    <cellStyle name="Normal 23 3 3 7 6" xfId="22305" xr:uid="{00000000-0005-0000-0000-00001B570000}"/>
    <cellStyle name="Normal 23 3 3 8" xfId="22306" xr:uid="{00000000-0005-0000-0000-00001C570000}"/>
    <cellStyle name="Normal 23 3 3 9" xfId="22307" xr:uid="{00000000-0005-0000-0000-00001D570000}"/>
    <cellStyle name="Normal 23 3 4" xfId="22308" xr:uid="{00000000-0005-0000-0000-00001E570000}"/>
    <cellStyle name="Normal 23 3 4 10" xfId="22309" xr:uid="{00000000-0005-0000-0000-00001F570000}"/>
    <cellStyle name="Normal 23 3 4 11" xfId="22310" xr:uid="{00000000-0005-0000-0000-000020570000}"/>
    <cellStyle name="Normal 23 3 4 12" xfId="22311" xr:uid="{00000000-0005-0000-0000-000021570000}"/>
    <cellStyle name="Normal 23 3 4 2" xfId="22312" xr:uid="{00000000-0005-0000-0000-000022570000}"/>
    <cellStyle name="Normal 23 3 4 2 10" xfId="22313" xr:uid="{00000000-0005-0000-0000-000023570000}"/>
    <cellStyle name="Normal 23 3 4 2 11" xfId="22314" xr:uid="{00000000-0005-0000-0000-000024570000}"/>
    <cellStyle name="Normal 23 3 4 2 2" xfId="22315" xr:uid="{00000000-0005-0000-0000-000025570000}"/>
    <cellStyle name="Normal 23 3 4 2 2 2" xfId="22316" xr:uid="{00000000-0005-0000-0000-000026570000}"/>
    <cellStyle name="Normal 23 3 4 2 2 2 2" xfId="22317" xr:uid="{00000000-0005-0000-0000-000027570000}"/>
    <cellStyle name="Normal 23 3 4 2 2 2 3" xfId="22318" xr:uid="{00000000-0005-0000-0000-000028570000}"/>
    <cellStyle name="Normal 23 3 4 2 2 2 4" xfId="22319" xr:uid="{00000000-0005-0000-0000-000029570000}"/>
    <cellStyle name="Normal 23 3 4 2 2 2 5" xfId="22320" xr:uid="{00000000-0005-0000-0000-00002A570000}"/>
    <cellStyle name="Normal 23 3 4 2 2 2 6" xfId="22321" xr:uid="{00000000-0005-0000-0000-00002B570000}"/>
    <cellStyle name="Normal 23 3 4 2 2 3" xfId="22322" xr:uid="{00000000-0005-0000-0000-00002C570000}"/>
    <cellStyle name="Normal 23 3 4 2 2 3 2" xfId="22323" xr:uid="{00000000-0005-0000-0000-00002D570000}"/>
    <cellStyle name="Normal 23 3 4 2 2 3 3" xfId="22324" xr:uid="{00000000-0005-0000-0000-00002E570000}"/>
    <cellStyle name="Normal 23 3 4 2 2 3 4" xfId="22325" xr:uid="{00000000-0005-0000-0000-00002F570000}"/>
    <cellStyle name="Normal 23 3 4 2 2 3 5" xfId="22326" xr:uid="{00000000-0005-0000-0000-000030570000}"/>
    <cellStyle name="Normal 23 3 4 2 2 3 6" xfId="22327" xr:uid="{00000000-0005-0000-0000-000031570000}"/>
    <cellStyle name="Normal 23 3 4 2 2 4" xfId="22328" xr:uid="{00000000-0005-0000-0000-000032570000}"/>
    <cellStyle name="Normal 23 3 4 2 2 5" xfId="22329" xr:uid="{00000000-0005-0000-0000-000033570000}"/>
    <cellStyle name="Normal 23 3 4 2 2 6" xfId="22330" xr:uid="{00000000-0005-0000-0000-000034570000}"/>
    <cellStyle name="Normal 23 3 4 2 2 7" xfId="22331" xr:uid="{00000000-0005-0000-0000-000035570000}"/>
    <cellStyle name="Normal 23 3 4 2 2 8" xfId="22332" xr:uid="{00000000-0005-0000-0000-000036570000}"/>
    <cellStyle name="Normal 23 3 4 2 3" xfId="22333" xr:uid="{00000000-0005-0000-0000-000037570000}"/>
    <cellStyle name="Normal 23 3 4 2 3 2" xfId="22334" xr:uid="{00000000-0005-0000-0000-000038570000}"/>
    <cellStyle name="Normal 23 3 4 2 3 2 2" xfId="22335" xr:uid="{00000000-0005-0000-0000-000039570000}"/>
    <cellStyle name="Normal 23 3 4 2 3 2 3" xfId="22336" xr:uid="{00000000-0005-0000-0000-00003A570000}"/>
    <cellStyle name="Normal 23 3 4 2 3 2 4" xfId="22337" xr:uid="{00000000-0005-0000-0000-00003B570000}"/>
    <cellStyle name="Normal 23 3 4 2 3 2 5" xfId="22338" xr:uid="{00000000-0005-0000-0000-00003C570000}"/>
    <cellStyle name="Normal 23 3 4 2 3 2 6" xfId="22339" xr:uid="{00000000-0005-0000-0000-00003D570000}"/>
    <cellStyle name="Normal 23 3 4 2 3 3" xfId="22340" xr:uid="{00000000-0005-0000-0000-00003E570000}"/>
    <cellStyle name="Normal 23 3 4 2 3 3 2" xfId="22341" xr:uid="{00000000-0005-0000-0000-00003F570000}"/>
    <cellStyle name="Normal 23 3 4 2 3 3 3" xfId="22342" xr:uid="{00000000-0005-0000-0000-000040570000}"/>
    <cellStyle name="Normal 23 3 4 2 3 3 4" xfId="22343" xr:uid="{00000000-0005-0000-0000-000041570000}"/>
    <cellStyle name="Normal 23 3 4 2 3 3 5" xfId="22344" xr:uid="{00000000-0005-0000-0000-000042570000}"/>
    <cellStyle name="Normal 23 3 4 2 3 3 6" xfId="22345" xr:uid="{00000000-0005-0000-0000-000043570000}"/>
    <cellStyle name="Normal 23 3 4 2 3 4" xfId="22346" xr:uid="{00000000-0005-0000-0000-000044570000}"/>
    <cellStyle name="Normal 23 3 4 2 3 5" xfId="22347" xr:uid="{00000000-0005-0000-0000-000045570000}"/>
    <cellStyle name="Normal 23 3 4 2 3 6" xfId="22348" xr:uid="{00000000-0005-0000-0000-000046570000}"/>
    <cellStyle name="Normal 23 3 4 2 3 7" xfId="22349" xr:uid="{00000000-0005-0000-0000-000047570000}"/>
    <cellStyle name="Normal 23 3 4 2 3 8" xfId="22350" xr:uid="{00000000-0005-0000-0000-000048570000}"/>
    <cellStyle name="Normal 23 3 4 2 4" xfId="22351" xr:uid="{00000000-0005-0000-0000-000049570000}"/>
    <cellStyle name="Normal 23 3 4 2 4 2" xfId="22352" xr:uid="{00000000-0005-0000-0000-00004A570000}"/>
    <cellStyle name="Normal 23 3 4 2 4 2 2" xfId="22353" xr:uid="{00000000-0005-0000-0000-00004B570000}"/>
    <cellStyle name="Normal 23 3 4 2 4 2 3" xfId="22354" xr:uid="{00000000-0005-0000-0000-00004C570000}"/>
    <cellStyle name="Normal 23 3 4 2 4 2 4" xfId="22355" xr:uid="{00000000-0005-0000-0000-00004D570000}"/>
    <cellStyle name="Normal 23 3 4 2 4 2 5" xfId="22356" xr:uid="{00000000-0005-0000-0000-00004E570000}"/>
    <cellStyle name="Normal 23 3 4 2 4 2 6" xfId="22357" xr:uid="{00000000-0005-0000-0000-00004F570000}"/>
    <cellStyle name="Normal 23 3 4 2 4 3" xfId="22358" xr:uid="{00000000-0005-0000-0000-000050570000}"/>
    <cellStyle name="Normal 23 3 4 2 4 3 2" xfId="22359" xr:uid="{00000000-0005-0000-0000-000051570000}"/>
    <cellStyle name="Normal 23 3 4 2 4 3 3" xfId="22360" xr:uid="{00000000-0005-0000-0000-000052570000}"/>
    <cellStyle name="Normal 23 3 4 2 4 3 4" xfId="22361" xr:uid="{00000000-0005-0000-0000-000053570000}"/>
    <cellStyle name="Normal 23 3 4 2 4 3 5" xfId="22362" xr:uid="{00000000-0005-0000-0000-000054570000}"/>
    <cellStyle name="Normal 23 3 4 2 4 3 6" xfId="22363" xr:uid="{00000000-0005-0000-0000-000055570000}"/>
    <cellStyle name="Normal 23 3 4 2 4 4" xfId="22364" xr:uid="{00000000-0005-0000-0000-000056570000}"/>
    <cellStyle name="Normal 23 3 4 2 4 5" xfId="22365" xr:uid="{00000000-0005-0000-0000-000057570000}"/>
    <cellStyle name="Normal 23 3 4 2 4 6" xfId="22366" xr:uid="{00000000-0005-0000-0000-000058570000}"/>
    <cellStyle name="Normal 23 3 4 2 4 7" xfId="22367" xr:uid="{00000000-0005-0000-0000-000059570000}"/>
    <cellStyle name="Normal 23 3 4 2 4 8" xfId="22368" xr:uid="{00000000-0005-0000-0000-00005A570000}"/>
    <cellStyle name="Normal 23 3 4 2 5" xfId="22369" xr:uid="{00000000-0005-0000-0000-00005B570000}"/>
    <cellStyle name="Normal 23 3 4 2 5 2" xfId="22370" xr:uid="{00000000-0005-0000-0000-00005C570000}"/>
    <cellStyle name="Normal 23 3 4 2 5 3" xfId="22371" xr:uid="{00000000-0005-0000-0000-00005D570000}"/>
    <cellStyle name="Normal 23 3 4 2 5 4" xfId="22372" xr:uid="{00000000-0005-0000-0000-00005E570000}"/>
    <cellStyle name="Normal 23 3 4 2 5 5" xfId="22373" xr:uid="{00000000-0005-0000-0000-00005F570000}"/>
    <cellStyle name="Normal 23 3 4 2 5 6" xfId="22374" xr:uid="{00000000-0005-0000-0000-000060570000}"/>
    <cellStyle name="Normal 23 3 4 2 6" xfId="22375" xr:uid="{00000000-0005-0000-0000-000061570000}"/>
    <cellStyle name="Normal 23 3 4 2 6 2" xfId="22376" xr:uid="{00000000-0005-0000-0000-000062570000}"/>
    <cellStyle name="Normal 23 3 4 2 6 3" xfId="22377" xr:uid="{00000000-0005-0000-0000-000063570000}"/>
    <cellStyle name="Normal 23 3 4 2 6 4" xfId="22378" xr:uid="{00000000-0005-0000-0000-000064570000}"/>
    <cellStyle name="Normal 23 3 4 2 6 5" xfId="22379" xr:uid="{00000000-0005-0000-0000-000065570000}"/>
    <cellStyle name="Normal 23 3 4 2 6 6" xfId="22380" xr:uid="{00000000-0005-0000-0000-000066570000}"/>
    <cellStyle name="Normal 23 3 4 2 7" xfId="22381" xr:uid="{00000000-0005-0000-0000-000067570000}"/>
    <cellStyle name="Normal 23 3 4 2 8" xfId="22382" xr:uid="{00000000-0005-0000-0000-000068570000}"/>
    <cellStyle name="Normal 23 3 4 2 9" xfId="22383" xr:uid="{00000000-0005-0000-0000-000069570000}"/>
    <cellStyle name="Normal 23 3 4 3" xfId="22384" xr:uid="{00000000-0005-0000-0000-00006A570000}"/>
    <cellStyle name="Normal 23 3 4 3 2" xfId="22385" xr:uid="{00000000-0005-0000-0000-00006B570000}"/>
    <cellStyle name="Normal 23 3 4 3 2 2" xfId="22386" xr:uid="{00000000-0005-0000-0000-00006C570000}"/>
    <cellStyle name="Normal 23 3 4 3 2 3" xfId="22387" xr:uid="{00000000-0005-0000-0000-00006D570000}"/>
    <cellStyle name="Normal 23 3 4 3 2 4" xfId="22388" xr:uid="{00000000-0005-0000-0000-00006E570000}"/>
    <cellStyle name="Normal 23 3 4 3 2 5" xfId="22389" xr:uid="{00000000-0005-0000-0000-00006F570000}"/>
    <cellStyle name="Normal 23 3 4 3 2 6" xfId="22390" xr:uid="{00000000-0005-0000-0000-000070570000}"/>
    <cellStyle name="Normal 23 3 4 3 3" xfId="22391" xr:uid="{00000000-0005-0000-0000-000071570000}"/>
    <cellStyle name="Normal 23 3 4 3 3 2" xfId="22392" xr:uid="{00000000-0005-0000-0000-000072570000}"/>
    <cellStyle name="Normal 23 3 4 3 3 3" xfId="22393" xr:uid="{00000000-0005-0000-0000-000073570000}"/>
    <cellStyle name="Normal 23 3 4 3 3 4" xfId="22394" xr:uid="{00000000-0005-0000-0000-000074570000}"/>
    <cellStyle name="Normal 23 3 4 3 3 5" xfId="22395" xr:uid="{00000000-0005-0000-0000-000075570000}"/>
    <cellStyle name="Normal 23 3 4 3 3 6" xfId="22396" xr:uid="{00000000-0005-0000-0000-000076570000}"/>
    <cellStyle name="Normal 23 3 4 3 4" xfId="22397" xr:uid="{00000000-0005-0000-0000-000077570000}"/>
    <cellStyle name="Normal 23 3 4 3 5" xfId="22398" xr:uid="{00000000-0005-0000-0000-000078570000}"/>
    <cellStyle name="Normal 23 3 4 3 6" xfId="22399" xr:uid="{00000000-0005-0000-0000-000079570000}"/>
    <cellStyle name="Normal 23 3 4 3 7" xfId="22400" xr:uid="{00000000-0005-0000-0000-00007A570000}"/>
    <cellStyle name="Normal 23 3 4 3 8" xfId="22401" xr:uid="{00000000-0005-0000-0000-00007B570000}"/>
    <cellStyle name="Normal 23 3 4 4" xfId="22402" xr:uid="{00000000-0005-0000-0000-00007C570000}"/>
    <cellStyle name="Normal 23 3 4 4 2" xfId="22403" xr:uid="{00000000-0005-0000-0000-00007D570000}"/>
    <cellStyle name="Normal 23 3 4 4 2 2" xfId="22404" xr:uid="{00000000-0005-0000-0000-00007E570000}"/>
    <cellStyle name="Normal 23 3 4 4 2 3" xfId="22405" xr:uid="{00000000-0005-0000-0000-00007F570000}"/>
    <cellStyle name="Normal 23 3 4 4 2 4" xfId="22406" xr:uid="{00000000-0005-0000-0000-000080570000}"/>
    <cellStyle name="Normal 23 3 4 4 2 5" xfId="22407" xr:uid="{00000000-0005-0000-0000-000081570000}"/>
    <cellStyle name="Normal 23 3 4 4 2 6" xfId="22408" xr:uid="{00000000-0005-0000-0000-000082570000}"/>
    <cellStyle name="Normal 23 3 4 4 3" xfId="22409" xr:uid="{00000000-0005-0000-0000-000083570000}"/>
    <cellStyle name="Normal 23 3 4 4 3 2" xfId="22410" xr:uid="{00000000-0005-0000-0000-000084570000}"/>
    <cellStyle name="Normal 23 3 4 4 3 3" xfId="22411" xr:uid="{00000000-0005-0000-0000-000085570000}"/>
    <cellStyle name="Normal 23 3 4 4 3 4" xfId="22412" xr:uid="{00000000-0005-0000-0000-000086570000}"/>
    <cellStyle name="Normal 23 3 4 4 3 5" xfId="22413" xr:uid="{00000000-0005-0000-0000-000087570000}"/>
    <cellStyle name="Normal 23 3 4 4 3 6" xfId="22414" xr:uid="{00000000-0005-0000-0000-000088570000}"/>
    <cellStyle name="Normal 23 3 4 4 4" xfId="22415" xr:uid="{00000000-0005-0000-0000-000089570000}"/>
    <cellStyle name="Normal 23 3 4 4 5" xfId="22416" xr:uid="{00000000-0005-0000-0000-00008A570000}"/>
    <cellStyle name="Normal 23 3 4 4 6" xfId="22417" xr:uid="{00000000-0005-0000-0000-00008B570000}"/>
    <cellStyle name="Normal 23 3 4 4 7" xfId="22418" xr:uid="{00000000-0005-0000-0000-00008C570000}"/>
    <cellStyle name="Normal 23 3 4 4 8" xfId="22419" xr:uid="{00000000-0005-0000-0000-00008D570000}"/>
    <cellStyle name="Normal 23 3 4 5" xfId="22420" xr:uid="{00000000-0005-0000-0000-00008E570000}"/>
    <cellStyle name="Normal 23 3 4 5 2" xfId="22421" xr:uid="{00000000-0005-0000-0000-00008F570000}"/>
    <cellStyle name="Normal 23 3 4 5 2 2" xfId="22422" xr:uid="{00000000-0005-0000-0000-000090570000}"/>
    <cellStyle name="Normal 23 3 4 5 2 3" xfId="22423" xr:uid="{00000000-0005-0000-0000-000091570000}"/>
    <cellStyle name="Normal 23 3 4 5 2 4" xfId="22424" xr:uid="{00000000-0005-0000-0000-000092570000}"/>
    <cellStyle name="Normal 23 3 4 5 2 5" xfId="22425" xr:uid="{00000000-0005-0000-0000-000093570000}"/>
    <cellStyle name="Normal 23 3 4 5 2 6" xfId="22426" xr:uid="{00000000-0005-0000-0000-000094570000}"/>
    <cellStyle name="Normal 23 3 4 5 3" xfId="22427" xr:uid="{00000000-0005-0000-0000-000095570000}"/>
    <cellStyle name="Normal 23 3 4 5 3 2" xfId="22428" xr:uid="{00000000-0005-0000-0000-000096570000}"/>
    <cellStyle name="Normal 23 3 4 5 3 3" xfId="22429" xr:uid="{00000000-0005-0000-0000-000097570000}"/>
    <cellStyle name="Normal 23 3 4 5 3 4" xfId="22430" xr:uid="{00000000-0005-0000-0000-000098570000}"/>
    <cellStyle name="Normal 23 3 4 5 3 5" xfId="22431" xr:uid="{00000000-0005-0000-0000-000099570000}"/>
    <cellStyle name="Normal 23 3 4 5 3 6" xfId="22432" xr:uid="{00000000-0005-0000-0000-00009A570000}"/>
    <cellStyle name="Normal 23 3 4 5 4" xfId="22433" xr:uid="{00000000-0005-0000-0000-00009B570000}"/>
    <cellStyle name="Normal 23 3 4 5 5" xfId="22434" xr:uid="{00000000-0005-0000-0000-00009C570000}"/>
    <cellStyle name="Normal 23 3 4 5 6" xfId="22435" xr:uid="{00000000-0005-0000-0000-00009D570000}"/>
    <cellStyle name="Normal 23 3 4 5 7" xfId="22436" xr:uid="{00000000-0005-0000-0000-00009E570000}"/>
    <cellStyle name="Normal 23 3 4 5 8" xfId="22437" xr:uid="{00000000-0005-0000-0000-00009F570000}"/>
    <cellStyle name="Normal 23 3 4 6" xfId="22438" xr:uid="{00000000-0005-0000-0000-0000A0570000}"/>
    <cellStyle name="Normal 23 3 4 6 2" xfId="22439" xr:uid="{00000000-0005-0000-0000-0000A1570000}"/>
    <cellStyle name="Normal 23 3 4 6 3" xfId="22440" xr:uid="{00000000-0005-0000-0000-0000A2570000}"/>
    <cellStyle name="Normal 23 3 4 6 4" xfId="22441" xr:uid="{00000000-0005-0000-0000-0000A3570000}"/>
    <cellStyle name="Normal 23 3 4 6 5" xfId="22442" xr:uid="{00000000-0005-0000-0000-0000A4570000}"/>
    <cellStyle name="Normal 23 3 4 6 6" xfId="22443" xr:uid="{00000000-0005-0000-0000-0000A5570000}"/>
    <cellStyle name="Normal 23 3 4 7" xfId="22444" xr:uid="{00000000-0005-0000-0000-0000A6570000}"/>
    <cellStyle name="Normal 23 3 4 7 2" xfId="22445" xr:uid="{00000000-0005-0000-0000-0000A7570000}"/>
    <cellStyle name="Normal 23 3 4 7 3" xfId="22446" xr:uid="{00000000-0005-0000-0000-0000A8570000}"/>
    <cellStyle name="Normal 23 3 4 7 4" xfId="22447" xr:uid="{00000000-0005-0000-0000-0000A9570000}"/>
    <cellStyle name="Normal 23 3 4 7 5" xfId="22448" xr:uid="{00000000-0005-0000-0000-0000AA570000}"/>
    <cellStyle name="Normal 23 3 4 7 6" xfId="22449" xr:uid="{00000000-0005-0000-0000-0000AB570000}"/>
    <cellStyle name="Normal 23 3 4 8" xfId="22450" xr:uid="{00000000-0005-0000-0000-0000AC570000}"/>
    <cellStyle name="Normal 23 3 4 9" xfId="22451" xr:uid="{00000000-0005-0000-0000-0000AD570000}"/>
    <cellStyle name="Normal 23 3 5" xfId="22452" xr:uid="{00000000-0005-0000-0000-0000AE570000}"/>
    <cellStyle name="Normal 23 3 5 10" xfId="22453" xr:uid="{00000000-0005-0000-0000-0000AF570000}"/>
    <cellStyle name="Normal 23 3 5 11" xfId="22454" xr:uid="{00000000-0005-0000-0000-0000B0570000}"/>
    <cellStyle name="Normal 23 3 5 2" xfId="22455" xr:uid="{00000000-0005-0000-0000-0000B1570000}"/>
    <cellStyle name="Normal 23 3 5 2 2" xfId="22456" xr:uid="{00000000-0005-0000-0000-0000B2570000}"/>
    <cellStyle name="Normal 23 3 5 2 2 2" xfId="22457" xr:uid="{00000000-0005-0000-0000-0000B3570000}"/>
    <cellStyle name="Normal 23 3 5 2 2 3" xfId="22458" xr:uid="{00000000-0005-0000-0000-0000B4570000}"/>
    <cellStyle name="Normal 23 3 5 2 2 4" xfId="22459" xr:uid="{00000000-0005-0000-0000-0000B5570000}"/>
    <cellStyle name="Normal 23 3 5 2 2 5" xfId="22460" xr:uid="{00000000-0005-0000-0000-0000B6570000}"/>
    <cellStyle name="Normal 23 3 5 2 2 6" xfId="22461" xr:uid="{00000000-0005-0000-0000-0000B7570000}"/>
    <cellStyle name="Normal 23 3 5 2 3" xfId="22462" xr:uid="{00000000-0005-0000-0000-0000B8570000}"/>
    <cellStyle name="Normal 23 3 5 2 3 2" xfId="22463" xr:uid="{00000000-0005-0000-0000-0000B9570000}"/>
    <cellStyle name="Normal 23 3 5 2 3 3" xfId="22464" xr:uid="{00000000-0005-0000-0000-0000BA570000}"/>
    <cellStyle name="Normal 23 3 5 2 3 4" xfId="22465" xr:uid="{00000000-0005-0000-0000-0000BB570000}"/>
    <cellStyle name="Normal 23 3 5 2 3 5" xfId="22466" xr:uid="{00000000-0005-0000-0000-0000BC570000}"/>
    <cellStyle name="Normal 23 3 5 2 3 6" xfId="22467" xr:uid="{00000000-0005-0000-0000-0000BD570000}"/>
    <cellStyle name="Normal 23 3 5 2 4" xfId="22468" xr:uid="{00000000-0005-0000-0000-0000BE570000}"/>
    <cellStyle name="Normal 23 3 5 2 5" xfId="22469" xr:uid="{00000000-0005-0000-0000-0000BF570000}"/>
    <cellStyle name="Normal 23 3 5 2 6" xfId="22470" xr:uid="{00000000-0005-0000-0000-0000C0570000}"/>
    <cellStyle name="Normal 23 3 5 2 7" xfId="22471" xr:uid="{00000000-0005-0000-0000-0000C1570000}"/>
    <cellStyle name="Normal 23 3 5 2 8" xfId="22472" xr:uid="{00000000-0005-0000-0000-0000C2570000}"/>
    <cellStyle name="Normal 23 3 5 3" xfId="22473" xr:uid="{00000000-0005-0000-0000-0000C3570000}"/>
    <cellStyle name="Normal 23 3 5 3 2" xfId="22474" xr:uid="{00000000-0005-0000-0000-0000C4570000}"/>
    <cellStyle name="Normal 23 3 5 3 2 2" xfId="22475" xr:uid="{00000000-0005-0000-0000-0000C5570000}"/>
    <cellStyle name="Normal 23 3 5 3 2 3" xfId="22476" xr:uid="{00000000-0005-0000-0000-0000C6570000}"/>
    <cellStyle name="Normal 23 3 5 3 2 4" xfId="22477" xr:uid="{00000000-0005-0000-0000-0000C7570000}"/>
    <cellStyle name="Normal 23 3 5 3 2 5" xfId="22478" xr:uid="{00000000-0005-0000-0000-0000C8570000}"/>
    <cellStyle name="Normal 23 3 5 3 2 6" xfId="22479" xr:uid="{00000000-0005-0000-0000-0000C9570000}"/>
    <cellStyle name="Normal 23 3 5 3 3" xfId="22480" xr:uid="{00000000-0005-0000-0000-0000CA570000}"/>
    <cellStyle name="Normal 23 3 5 3 3 2" xfId="22481" xr:uid="{00000000-0005-0000-0000-0000CB570000}"/>
    <cellStyle name="Normal 23 3 5 3 3 3" xfId="22482" xr:uid="{00000000-0005-0000-0000-0000CC570000}"/>
    <cellStyle name="Normal 23 3 5 3 3 4" xfId="22483" xr:uid="{00000000-0005-0000-0000-0000CD570000}"/>
    <cellStyle name="Normal 23 3 5 3 3 5" xfId="22484" xr:uid="{00000000-0005-0000-0000-0000CE570000}"/>
    <cellStyle name="Normal 23 3 5 3 3 6" xfId="22485" xr:uid="{00000000-0005-0000-0000-0000CF570000}"/>
    <cellStyle name="Normal 23 3 5 3 4" xfId="22486" xr:uid="{00000000-0005-0000-0000-0000D0570000}"/>
    <cellStyle name="Normal 23 3 5 3 5" xfId="22487" xr:uid="{00000000-0005-0000-0000-0000D1570000}"/>
    <cellStyle name="Normal 23 3 5 3 6" xfId="22488" xr:uid="{00000000-0005-0000-0000-0000D2570000}"/>
    <cellStyle name="Normal 23 3 5 3 7" xfId="22489" xr:uid="{00000000-0005-0000-0000-0000D3570000}"/>
    <cellStyle name="Normal 23 3 5 3 8" xfId="22490" xr:uid="{00000000-0005-0000-0000-0000D4570000}"/>
    <cellStyle name="Normal 23 3 5 4" xfId="22491" xr:uid="{00000000-0005-0000-0000-0000D5570000}"/>
    <cellStyle name="Normal 23 3 5 4 2" xfId="22492" xr:uid="{00000000-0005-0000-0000-0000D6570000}"/>
    <cellStyle name="Normal 23 3 5 4 2 2" xfId="22493" xr:uid="{00000000-0005-0000-0000-0000D7570000}"/>
    <cellStyle name="Normal 23 3 5 4 2 3" xfId="22494" xr:uid="{00000000-0005-0000-0000-0000D8570000}"/>
    <cellStyle name="Normal 23 3 5 4 2 4" xfId="22495" xr:uid="{00000000-0005-0000-0000-0000D9570000}"/>
    <cellStyle name="Normal 23 3 5 4 2 5" xfId="22496" xr:uid="{00000000-0005-0000-0000-0000DA570000}"/>
    <cellStyle name="Normal 23 3 5 4 2 6" xfId="22497" xr:uid="{00000000-0005-0000-0000-0000DB570000}"/>
    <cellStyle name="Normal 23 3 5 4 3" xfId="22498" xr:uid="{00000000-0005-0000-0000-0000DC570000}"/>
    <cellStyle name="Normal 23 3 5 4 3 2" xfId="22499" xr:uid="{00000000-0005-0000-0000-0000DD570000}"/>
    <cellStyle name="Normal 23 3 5 4 3 3" xfId="22500" xr:uid="{00000000-0005-0000-0000-0000DE570000}"/>
    <cellStyle name="Normal 23 3 5 4 3 4" xfId="22501" xr:uid="{00000000-0005-0000-0000-0000DF570000}"/>
    <cellStyle name="Normal 23 3 5 4 3 5" xfId="22502" xr:uid="{00000000-0005-0000-0000-0000E0570000}"/>
    <cellStyle name="Normal 23 3 5 4 3 6" xfId="22503" xr:uid="{00000000-0005-0000-0000-0000E1570000}"/>
    <cellStyle name="Normal 23 3 5 4 4" xfId="22504" xr:uid="{00000000-0005-0000-0000-0000E2570000}"/>
    <cellStyle name="Normal 23 3 5 4 5" xfId="22505" xr:uid="{00000000-0005-0000-0000-0000E3570000}"/>
    <cellStyle name="Normal 23 3 5 4 6" xfId="22506" xr:uid="{00000000-0005-0000-0000-0000E4570000}"/>
    <cellStyle name="Normal 23 3 5 4 7" xfId="22507" xr:uid="{00000000-0005-0000-0000-0000E5570000}"/>
    <cellStyle name="Normal 23 3 5 4 8" xfId="22508" xr:uid="{00000000-0005-0000-0000-0000E6570000}"/>
    <cellStyle name="Normal 23 3 5 5" xfId="22509" xr:uid="{00000000-0005-0000-0000-0000E7570000}"/>
    <cellStyle name="Normal 23 3 5 5 2" xfId="22510" xr:uid="{00000000-0005-0000-0000-0000E8570000}"/>
    <cellStyle name="Normal 23 3 5 5 3" xfId="22511" xr:uid="{00000000-0005-0000-0000-0000E9570000}"/>
    <cellStyle name="Normal 23 3 5 5 4" xfId="22512" xr:uid="{00000000-0005-0000-0000-0000EA570000}"/>
    <cellStyle name="Normal 23 3 5 5 5" xfId="22513" xr:uid="{00000000-0005-0000-0000-0000EB570000}"/>
    <cellStyle name="Normal 23 3 5 5 6" xfId="22514" xr:uid="{00000000-0005-0000-0000-0000EC570000}"/>
    <cellStyle name="Normal 23 3 5 6" xfId="22515" xr:uid="{00000000-0005-0000-0000-0000ED570000}"/>
    <cellStyle name="Normal 23 3 5 6 2" xfId="22516" xr:uid="{00000000-0005-0000-0000-0000EE570000}"/>
    <cellStyle name="Normal 23 3 5 6 3" xfId="22517" xr:uid="{00000000-0005-0000-0000-0000EF570000}"/>
    <cellStyle name="Normal 23 3 5 6 4" xfId="22518" xr:uid="{00000000-0005-0000-0000-0000F0570000}"/>
    <cellStyle name="Normal 23 3 5 6 5" xfId="22519" xr:uid="{00000000-0005-0000-0000-0000F1570000}"/>
    <cellStyle name="Normal 23 3 5 6 6" xfId="22520" xr:uid="{00000000-0005-0000-0000-0000F2570000}"/>
    <cellStyle name="Normal 23 3 5 7" xfId="22521" xr:uid="{00000000-0005-0000-0000-0000F3570000}"/>
    <cellStyle name="Normal 23 3 5 8" xfId="22522" xr:uid="{00000000-0005-0000-0000-0000F4570000}"/>
    <cellStyle name="Normal 23 3 5 9" xfId="22523" xr:uid="{00000000-0005-0000-0000-0000F5570000}"/>
    <cellStyle name="Normal 23 3 6" xfId="22524" xr:uid="{00000000-0005-0000-0000-0000F6570000}"/>
    <cellStyle name="Normal 23 3 6 2" xfId="22525" xr:uid="{00000000-0005-0000-0000-0000F7570000}"/>
    <cellStyle name="Normal 23 3 6 2 2" xfId="22526" xr:uid="{00000000-0005-0000-0000-0000F8570000}"/>
    <cellStyle name="Normal 23 3 6 2 3" xfId="22527" xr:uid="{00000000-0005-0000-0000-0000F9570000}"/>
    <cellStyle name="Normal 23 3 6 2 4" xfId="22528" xr:uid="{00000000-0005-0000-0000-0000FA570000}"/>
    <cellStyle name="Normal 23 3 6 2 5" xfId="22529" xr:uid="{00000000-0005-0000-0000-0000FB570000}"/>
    <cellStyle name="Normal 23 3 6 2 6" xfId="22530" xr:uid="{00000000-0005-0000-0000-0000FC570000}"/>
    <cellStyle name="Normal 23 3 6 3" xfId="22531" xr:uid="{00000000-0005-0000-0000-0000FD570000}"/>
    <cellStyle name="Normal 23 3 6 3 2" xfId="22532" xr:uid="{00000000-0005-0000-0000-0000FE570000}"/>
    <cellStyle name="Normal 23 3 6 3 3" xfId="22533" xr:uid="{00000000-0005-0000-0000-0000FF570000}"/>
    <cellStyle name="Normal 23 3 6 3 4" xfId="22534" xr:uid="{00000000-0005-0000-0000-000000580000}"/>
    <cellStyle name="Normal 23 3 6 3 5" xfId="22535" xr:uid="{00000000-0005-0000-0000-000001580000}"/>
    <cellStyle name="Normal 23 3 6 3 6" xfId="22536" xr:uid="{00000000-0005-0000-0000-000002580000}"/>
    <cellStyle name="Normal 23 3 6 4" xfId="22537" xr:uid="{00000000-0005-0000-0000-000003580000}"/>
    <cellStyle name="Normal 23 3 6 5" xfId="22538" xr:uid="{00000000-0005-0000-0000-000004580000}"/>
    <cellStyle name="Normal 23 3 6 6" xfId="22539" xr:uid="{00000000-0005-0000-0000-000005580000}"/>
    <cellStyle name="Normal 23 3 6 7" xfId="22540" xr:uid="{00000000-0005-0000-0000-000006580000}"/>
    <cellStyle name="Normal 23 3 6 8" xfId="22541" xr:uid="{00000000-0005-0000-0000-000007580000}"/>
    <cellStyle name="Normal 23 3 7" xfId="22542" xr:uid="{00000000-0005-0000-0000-000008580000}"/>
    <cellStyle name="Normal 23 3 7 2" xfId="22543" xr:uid="{00000000-0005-0000-0000-000009580000}"/>
    <cellStyle name="Normal 23 3 7 2 2" xfId="22544" xr:uid="{00000000-0005-0000-0000-00000A580000}"/>
    <cellStyle name="Normal 23 3 7 2 3" xfId="22545" xr:uid="{00000000-0005-0000-0000-00000B580000}"/>
    <cellStyle name="Normal 23 3 7 2 4" xfId="22546" xr:uid="{00000000-0005-0000-0000-00000C580000}"/>
    <cellStyle name="Normal 23 3 7 2 5" xfId="22547" xr:uid="{00000000-0005-0000-0000-00000D580000}"/>
    <cellStyle name="Normal 23 3 7 2 6" xfId="22548" xr:uid="{00000000-0005-0000-0000-00000E580000}"/>
    <cellStyle name="Normal 23 3 7 3" xfId="22549" xr:uid="{00000000-0005-0000-0000-00000F580000}"/>
    <cellStyle name="Normal 23 3 7 3 2" xfId="22550" xr:uid="{00000000-0005-0000-0000-000010580000}"/>
    <cellStyle name="Normal 23 3 7 3 3" xfId="22551" xr:uid="{00000000-0005-0000-0000-000011580000}"/>
    <cellStyle name="Normal 23 3 7 3 4" xfId="22552" xr:uid="{00000000-0005-0000-0000-000012580000}"/>
    <cellStyle name="Normal 23 3 7 3 5" xfId="22553" xr:uid="{00000000-0005-0000-0000-000013580000}"/>
    <cellStyle name="Normal 23 3 7 3 6" xfId="22554" xr:uid="{00000000-0005-0000-0000-000014580000}"/>
    <cellStyle name="Normal 23 3 7 4" xfId="22555" xr:uid="{00000000-0005-0000-0000-000015580000}"/>
    <cellStyle name="Normal 23 3 7 5" xfId="22556" xr:uid="{00000000-0005-0000-0000-000016580000}"/>
    <cellStyle name="Normal 23 3 7 6" xfId="22557" xr:uid="{00000000-0005-0000-0000-000017580000}"/>
    <cellStyle name="Normal 23 3 7 7" xfId="22558" xr:uid="{00000000-0005-0000-0000-000018580000}"/>
    <cellStyle name="Normal 23 3 7 8" xfId="22559" xr:uid="{00000000-0005-0000-0000-000019580000}"/>
    <cellStyle name="Normal 23 3 8" xfId="22560" xr:uid="{00000000-0005-0000-0000-00001A580000}"/>
    <cellStyle name="Normal 23 3 8 2" xfId="22561" xr:uid="{00000000-0005-0000-0000-00001B580000}"/>
    <cellStyle name="Normal 23 3 8 2 2" xfId="22562" xr:uid="{00000000-0005-0000-0000-00001C580000}"/>
    <cellStyle name="Normal 23 3 8 2 3" xfId="22563" xr:uid="{00000000-0005-0000-0000-00001D580000}"/>
    <cellStyle name="Normal 23 3 8 2 4" xfId="22564" xr:uid="{00000000-0005-0000-0000-00001E580000}"/>
    <cellStyle name="Normal 23 3 8 2 5" xfId="22565" xr:uid="{00000000-0005-0000-0000-00001F580000}"/>
    <cellStyle name="Normal 23 3 8 2 6" xfId="22566" xr:uid="{00000000-0005-0000-0000-000020580000}"/>
    <cellStyle name="Normal 23 3 8 3" xfId="22567" xr:uid="{00000000-0005-0000-0000-000021580000}"/>
    <cellStyle name="Normal 23 3 8 3 2" xfId="22568" xr:uid="{00000000-0005-0000-0000-000022580000}"/>
    <cellStyle name="Normal 23 3 8 3 3" xfId="22569" xr:uid="{00000000-0005-0000-0000-000023580000}"/>
    <cellStyle name="Normal 23 3 8 3 4" xfId="22570" xr:uid="{00000000-0005-0000-0000-000024580000}"/>
    <cellStyle name="Normal 23 3 8 3 5" xfId="22571" xr:uid="{00000000-0005-0000-0000-000025580000}"/>
    <cellStyle name="Normal 23 3 8 3 6" xfId="22572" xr:uid="{00000000-0005-0000-0000-000026580000}"/>
    <cellStyle name="Normal 23 3 8 4" xfId="22573" xr:uid="{00000000-0005-0000-0000-000027580000}"/>
    <cellStyle name="Normal 23 3 8 5" xfId="22574" xr:uid="{00000000-0005-0000-0000-000028580000}"/>
    <cellStyle name="Normal 23 3 8 6" xfId="22575" xr:uid="{00000000-0005-0000-0000-000029580000}"/>
    <cellStyle name="Normal 23 3 8 7" xfId="22576" xr:uid="{00000000-0005-0000-0000-00002A580000}"/>
    <cellStyle name="Normal 23 3 8 8" xfId="22577" xr:uid="{00000000-0005-0000-0000-00002B580000}"/>
    <cellStyle name="Normal 23 3 9" xfId="22578" xr:uid="{00000000-0005-0000-0000-00002C580000}"/>
    <cellStyle name="Normal 23 3 9 2" xfId="22579" xr:uid="{00000000-0005-0000-0000-00002D580000}"/>
    <cellStyle name="Normal 23 3 9 3" xfId="22580" xr:uid="{00000000-0005-0000-0000-00002E580000}"/>
    <cellStyle name="Normal 23 3 9 4" xfId="22581" xr:uid="{00000000-0005-0000-0000-00002F580000}"/>
    <cellStyle name="Normal 23 3 9 5" xfId="22582" xr:uid="{00000000-0005-0000-0000-000030580000}"/>
    <cellStyle name="Normal 23 3 9 6" xfId="22583" xr:uid="{00000000-0005-0000-0000-000031580000}"/>
    <cellStyle name="Normal 23 4" xfId="22584" xr:uid="{00000000-0005-0000-0000-000032580000}"/>
    <cellStyle name="Normal 23 4 10" xfId="22585" xr:uid="{00000000-0005-0000-0000-000033580000}"/>
    <cellStyle name="Normal 23 4 11" xfId="22586" xr:uid="{00000000-0005-0000-0000-000034580000}"/>
    <cellStyle name="Normal 23 4 12" xfId="22587" xr:uid="{00000000-0005-0000-0000-000035580000}"/>
    <cellStyle name="Normal 23 4 13" xfId="22588" xr:uid="{00000000-0005-0000-0000-000036580000}"/>
    <cellStyle name="Normal 23 4 14" xfId="22589" xr:uid="{00000000-0005-0000-0000-000037580000}"/>
    <cellStyle name="Normal 23 4 2" xfId="22590" xr:uid="{00000000-0005-0000-0000-000038580000}"/>
    <cellStyle name="Normal 23 4 2 10" xfId="22591" xr:uid="{00000000-0005-0000-0000-000039580000}"/>
    <cellStyle name="Normal 23 4 2 11" xfId="22592" xr:uid="{00000000-0005-0000-0000-00003A580000}"/>
    <cellStyle name="Normal 23 4 2 12" xfId="22593" xr:uid="{00000000-0005-0000-0000-00003B580000}"/>
    <cellStyle name="Normal 23 4 2 2" xfId="22594" xr:uid="{00000000-0005-0000-0000-00003C580000}"/>
    <cellStyle name="Normal 23 4 2 2 10" xfId="22595" xr:uid="{00000000-0005-0000-0000-00003D580000}"/>
    <cellStyle name="Normal 23 4 2 2 11" xfId="22596" xr:uid="{00000000-0005-0000-0000-00003E580000}"/>
    <cellStyle name="Normal 23 4 2 2 2" xfId="22597" xr:uid="{00000000-0005-0000-0000-00003F580000}"/>
    <cellStyle name="Normal 23 4 2 2 2 2" xfId="22598" xr:uid="{00000000-0005-0000-0000-000040580000}"/>
    <cellStyle name="Normal 23 4 2 2 2 2 2" xfId="22599" xr:uid="{00000000-0005-0000-0000-000041580000}"/>
    <cellStyle name="Normal 23 4 2 2 2 2 3" xfId="22600" xr:uid="{00000000-0005-0000-0000-000042580000}"/>
    <cellStyle name="Normal 23 4 2 2 2 2 4" xfId="22601" xr:uid="{00000000-0005-0000-0000-000043580000}"/>
    <cellStyle name="Normal 23 4 2 2 2 2 5" xfId="22602" xr:uid="{00000000-0005-0000-0000-000044580000}"/>
    <cellStyle name="Normal 23 4 2 2 2 2 6" xfId="22603" xr:uid="{00000000-0005-0000-0000-000045580000}"/>
    <cellStyle name="Normal 23 4 2 2 2 3" xfId="22604" xr:uid="{00000000-0005-0000-0000-000046580000}"/>
    <cellStyle name="Normal 23 4 2 2 2 3 2" xfId="22605" xr:uid="{00000000-0005-0000-0000-000047580000}"/>
    <cellStyle name="Normal 23 4 2 2 2 3 3" xfId="22606" xr:uid="{00000000-0005-0000-0000-000048580000}"/>
    <cellStyle name="Normal 23 4 2 2 2 3 4" xfId="22607" xr:uid="{00000000-0005-0000-0000-000049580000}"/>
    <cellStyle name="Normal 23 4 2 2 2 3 5" xfId="22608" xr:uid="{00000000-0005-0000-0000-00004A580000}"/>
    <cellStyle name="Normal 23 4 2 2 2 3 6" xfId="22609" xr:uid="{00000000-0005-0000-0000-00004B580000}"/>
    <cellStyle name="Normal 23 4 2 2 2 4" xfId="22610" xr:uid="{00000000-0005-0000-0000-00004C580000}"/>
    <cellStyle name="Normal 23 4 2 2 2 5" xfId="22611" xr:uid="{00000000-0005-0000-0000-00004D580000}"/>
    <cellStyle name="Normal 23 4 2 2 2 6" xfId="22612" xr:uid="{00000000-0005-0000-0000-00004E580000}"/>
    <cellStyle name="Normal 23 4 2 2 2 7" xfId="22613" xr:uid="{00000000-0005-0000-0000-00004F580000}"/>
    <cellStyle name="Normal 23 4 2 2 2 8" xfId="22614" xr:uid="{00000000-0005-0000-0000-000050580000}"/>
    <cellStyle name="Normal 23 4 2 2 3" xfId="22615" xr:uid="{00000000-0005-0000-0000-000051580000}"/>
    <cellStyle name="Normal 23 4 2 2 3 2" xfId="22616" xr:uid="{00000000-0005-0000-0000-000052580000}"/>
    <cellStyle name="Normal 23 4 2 2 3 2 2" xfId="22617" xr:uid="{00000000-0005-0000-0000-000053580000}"/>
    <cellStyle name="Normal 23 4 2 2 3 2 3" xfId="22618" xr:uid="{00000000-0005-0000-0000-000054580000}"/>
    <cellStyle name="Normal 23 4 2 2 3 2 4" xfId="22619" xr:uid="{00000000-0005-0000-0000-000055580000}"/>
    <cellStyle name="Normal 23 4 2 2 3 2 5" xfId="22620" xr:uid="{00000000-0005-0000-0000-000056580000}"/>
    <cellStyle name="Normal 23 4 2 2 3 2 6" xfId="22621" xr:uid="{00000000-0005-0000-0000-000057580000}"/>
    <cellStyle name="Normal 23 4 2 2 3 3" xfId="22622" xr:uid="{00000000-0005-0000-0000-000058580000}"/>
    <cellStyle name="Normal 23 4 2 2 3 3 2" xfId="22623" xr:uid="{00000000-0005-0000-0000-000059580000}"/>
    <cellStyle name="Normal 23 4 2 2 3 3 3" xfId="22624" xr:uid="{00000000-0005-0000-0000-00005A580000}"/>
    <cellStyle name="Normal 23 4 2 2 3 3 4" xfId="22625" xr:uid="{00000000-0005-0000-0000-00005B580000}"/>
    <cellStyle name="Normal 23 4 2 2 3 3 5" xfId="22626" xr:uid="{00000000-0005-0000-0000-00005C580000}"/>
    <cellStyle name="Normal 23 4 2 2 3 3 6" xfId="22627" xr:uid="{00000000-0005-0000-0000-00005D580000}"/>
    <cellStyle name="Normal 23 4 2 2 3 4" xfId="22628" xr:uid="{00000000-0005-0000-0000-00005E580000}"/>
    <cellStyle name="Normal 23 4 2 2 3 5" xfId="22629" xr:uid="{00000000-0005-0000-0000-00005F580000}"/>
    <cellStyle name="Normal 23 4 2 2 3 6" xfId="22630" xr:uid="{00000000-0005-0000-0000-000060580000}"/>
    <cellStyle name="Normal 23 4 2 2 3 7" xfId="22631" xr:uid="{00000000-0005-0000-0000-000061580000}"/>
    <cellStyle name="Normal 23 4 2 2 3 8" xfId="22632" xr:uid="{00000000-0005-0000-0000-000062580000}"/>
    <cellStyle name="Normal 23 4 2 2 4" xfId="22633" xr:uid="{00000000-0005-0000-0000-000063580000}"/>
    <cellStyle name="Normal 23 4 2 2 4 2" xfId="22634" xr:uid="{00000000-0005-0000-0000-000064580000}"/>
    <cellStyle name="Normal 23 4 2 2 4 2 2" xfId="22635" xr:uid="{00000000-0005-0000-0000-000065580000}"/>
    <cellStyle name="Normal 23 4 2 2 4 2 3" xfId="22636" xr:uid="{00000000-0005-0000-0000-000066580000}"/>
    <cellStyle name="Normal 23 4 2 2 4 2 4" xfId="22637" xr:uid="{00000000-0005-0000-0000-000067580000}"/>
    <cellStyle name="Normal 23 4 2 2 4 2 5" xfId="22638" xr:uid="{00000000-0005-0000-0000-000068580000}"/>
    <cellStyle name="Normal 23 4 2 2 4 2 6" xfId="22639" xr:uid="{00000000-0005-0000-0000-000069580000}"/>
    <cellStyle name="Normal 23 4 2 2 4 3" xfId="22640" xr:uid="{00000000-0005-0000-0000-00006A580000}"/>
    <cellStyle name="Normal 23 4 2 2 4 3 2" xfId="22641" xr:uid="{00000000-0005-0000-0000-00006B580000}"/>
    <cellStyle name="Normal 23 4 2 2 4 3 3" xfId="22642" xr:uid="{00000000-0005-0000-0000-00006C580000}"/>
    <cellStyle name="Normal 23 4 2 2 4 3 4" xfId="22643" xr:uid="{00000000-0005-0000-0000-00006D580000}"/>
    <cellStyle name="Normal 23 4 2 2 4 3 5" xfId="22644" xr:uid="{00000000-0005-0000-0000-00006E580000}"/>
    <cellStyle name="Normal 23 4 2 2 4 3 6" xfId="22645" xr:uid="{00000000-0005-0000-0000-00006F580000}"/>
    <cellStyle name="Normal 23 4 2 2 4 4" xfId="22646" xr:uid="{00000000-0005-0000-0000-000070580000}"/>
    <cellStyle name="Normal 23 4 2 2 4 5" xfId="22647" xr:uid="{00000000-0005-0000-0000-000071580000}"/>
    <cellStyle name="Normal 23 4 2 2 4 6" xfId="22648" xr:uid="{00000000-0005-0000-0000-000072580000}"/>
    <cellStyle name="Normal 23 4 2 2 4 7" xfId="22649" xr:uid="{00000000-0005-0000-0000-000073580000}"/>
    <cellStyle name="Normal 23 4 2 2 4 8" xfId="22650" xr:uid="{00000000-0005-0000-0000-000074580000}"/>
    <cellStyle name="Normal 23 4 2 2 5" xfId="22651" xr:uid="{00000000-0005-0000-0000-000075580000}"/>
    <cellStyle name="Normal 23 4 2 2 5 2" xfId="22652" xr:uid="{00000000-0005-0000-0000-000076580000}"/>
    <cellStyle name="Normal 23 4 2 2 5 3" xfId="22653" xr:uid="{00000000-0005-0000-0000-000077580000}"/>
    <cellStyle name="Normal 23 4 2 2 5 4" xfId="22654" xr:uid="{00000000-0005-0000-0000-000078580000}"/>
    <cellStyle name="Normal 23 4 2 2 5 5" xfId="22655" xr:uid="{00000000-0005-0000-0000-000079580000}"/>
    <cellStyle name="Normal 23 4 2 2 5 6" xfId="22656" xr:uid="{00000000-0005-0000-0000-00007A580000}"/>
    <cellStyle name="Normal 23 4 2 2 6" xfId="22657" xr:uid="{00000000-0005-0000-0000-00007B580000}"/>
    <cellStyle name="Normal 23 4 2 2 6 2" xfId="22658" xr:uid="{00000000-0005-0000-0000-00007C580000}"/>
    <cellStyle name="Normal 23 4 2 2 6 3" xfId="22659" xr:uid="{00000000-0005-0000-0000-00007D580000}"/>
    <cellStyle name="Normal 23 4 2 2 6 4" xfId="22660" xr:uid="{00000000-0005-0000-0000-00007E580000}"/>
    <cellStyle name="Normal 23 4 2 2 6 5" xfId="22661" xr:uid="{00000000-0005-0000-0000-00007F580000}"/>
    <cellStyle name="Normal 23 4 2 2 6 6" xfId="22662" xr:uid="{00000000-0005-0000-0000-000080580000}"/>
    <cellStyle name="Normal 23 4 2 2 7" xfId="22663" xr:uid="{00000000-0005-0000-0000-000081580000}"/>
    <cellStyle name="Normal 23 4 2 2 8" xfId="22664" xr:uid="{00000000-0005-0000-0000-000082580000}"/>
    <cellStyle name="Normal 23 4 2 2 9" xfId="22665" xr:uid="{00000000-0005-0000-0000-000083580000}"/>
    <cellStyle name="Normal 23 4 2 3" xfId="22666" xr:uid="{00000000-0005-0000-0000-000084580000}"/>
    <cellStyle name="Normal 23 4 2 3 2" xfId="22667" xr:uid="{00000000-0005-0000-0000-000085580000}"/>
    <cellStyle name="Normal 23 4 2 3 2 2" xfId="22668" xr:uid="{00000000-0005-0000-0000-000086580000}"/>
    <cellStyle name="Normal 23 4 2 3 2 3" xfId="22669" xr:uid="{00000000-0005-0000-0000-000087580000}"/>
    <cellStyle name="Normal 23 4 2 3 2 4" xfId="22670" xr:uid="{00000000-0005-0000-0000-000088580000}"/>
    <cellStyle name="Normal 23 4 2 3 2 5" xfId="22671" xr:uid="{00000000-0005-0000-0000-000089580000}"/>
    <cellStyle name="Normal 23 4 2 3 2 6" xfId="22672" xr:uid="{00000000-0005-0000-0000-00008A580000}"/>
    <cellStyle name="Normal 23 4 2 3 3" xfId="22673" xr:uid="{00000000-0005-0000-0000-00008B580000}"/>
    <cellStyle name="Normal 23 4 2 3 3 2" xfId="22674" xr:uid="{00000000-0005-0000-0000-00008C580000}"/>
    <cellStyle name="Normal 23 4 2 3 3 3" xfId="22675" xr:uid="{00000000-0005-0000-0000-00008D580000}"/>
    <cellStyle name="Normal 23 4 2 3 3 4" xfId="22676" xr:uid="{00000000-0005-0000-0000-00008E580000}"/>
    <cellStyle name="Normal 23 4 2 3 3 5" xfId="22677" xr:uid="{00000000-0005-0000-0000-00008F580000}"/>
    <cellStyle name="Normal 23 4 2 3 3 6" xfId="22678" xr:uid="{00000000-0005-0000-0000-000090580000}"/>
    <cellStyle name="Normal 23 4 2 3 4" xfId="22679" xr:uid="{00000000-0005-0000-0000-000091580000}"/>
    <cellStyle name="Normal 23 4 2 3 5" xfId="22680" xr:uid="{00000000-0005-0000-0000-000092580000}"/>
    <cellStyle name="Normal 23 4 2 3 6" xfId="22681" xr:uid="{00000000-0005-0000-0000-000093580000}"/>
    <cellStyle name="Normal 23 4 2 3 7" xfId="22682" xr:uid="{00000000-0005-0000-0000-000094580000}"/>
    <cellStyle name="Normal 23 4 2 3 8" xfId="22683" xr:uid="{00000000-0005-0000-0000-000095580000}"/>
    <cellStyle name="Normal 23 4 2 4" xfId="22684" xr:uid="{00000000-0005-0000-0000-000096580000}"/>
    <cellStyle name="Normal 23 4 2 4 2" xfId="22685" xr:uid="{00000000-0005-0000-0000-000097580000}"/>
    <cellStyle name="Normal 23 4 2 4 2 2" xfId="22686" xr:uid="{00000000-0005-0000-0000-000098580000}"/>
    <cellStyle name="Normal 23 4 2 4 2 3" xfId="22687" xr:uid="{00000000-0005-0000-0000-000099580000}"/>
    <cellStyle name="Normal 23 4 2 4 2 4" xfId="22688" xr:uid="{00000000-0005-0000-0000-00009A580000}"/>
    <cellStyle name="Normal 23 4 2 4 2 5" xfId="22689" xr:uid="{00000000-0005-0000-0000-00009B580000}"/>
    <cellStyle name="Normal 23 4 2 4 2 6" xfId="22690" xr:uid="{00000000-0005-0000-0000-00009C580000}"/>
    <cellStyle name="Normal 23 4 2 4 3" xfId="22691" xr:uid="{00000000-0005-0000-0000-00009D580000}"/>
    <cellStyle name="Normal 23 4 2 4 3 2" xfId="22692" xr:uid="{00000000-0005-0000-0000-00009E580000}"/>
    <cellStyle name="Normal 23 4 2 4 3 3" xfId="22693" xr:uid="{00000000-0005-0000-0000-00009F580000}"/>
    <cellStyle name="Normal 23 4 2 4 3 4" xfId="22694" xr:uid="{00000000-0005-0000-0000-0000A0580000}"/>
    <cellStyle name="Normal 23 4 2 4 3 5" xfId="22695" xr:uid="{00000000-0005-0000-0000-0000A1580000}"/>
    <cellStyle name="Normal 23 4 2 4 3 6" xfId="22696" xr:uid="{00000000-0005-0000-0000-0000A2580000}"/>
    <cellStyle name="Normal 23 4 2 4 4" xfId="22697" xr:uid="{00000000-0005-0000-0000-0000A3580000}"/>
    <cellStyle name="Normal 23 4 2 4 5" xfId="22698" xr:uid="{00000000-0005-0000-0000-0000A4580000}"/>
    <cellStyle name="Normal 23 4 2 4 6" xfId="22699" xr:uid="{00000000-0005-0000-0000-0000A5580000}"/>
    <cellStyle name="Normal 23 4 2 4 7" xfId="22700" xr:uid="{00000000-0005-0000-0000-0000A6580000}"/>
    <cellStyle name="Normal 23 4 2 4 8" xfId="22701" xr:uid="{00000000-0005-0000-0000-0000A7580000}"/>
    <cellStyle name="Normal 23 4 2 5" xfId="22702" xr:uid="{00000000-0005-0000-0000-0000A8580000}"/>
    <cellStyle name="Normal 23 4 2 5 2" xfId="22703" xr:uid="{00000000-0005-0000-0000-0000A9580000}"/>
    <cellStyle name="Normal 23 4 2 5 2 2" xfId="22704" xr:uid="{00000000-0005-0000-0000-0000AA580000}"/>
    <cellStyle name="Normal 23 4 2 5 2 3" xfId="22705" xr:uid="{00000000-0005-0000-0000-0000AB580000}"/>
    <cellStyle name="Normal 23 4 2 5 2 4" xfId="22706" xr:uid="{00000000-0005-0000-0000-0000AC580000}"/>
    <cellStyle name="Normal 23 4 2 5 2 5" xfId="22707" xr:uid="{00000000-0005-0000-0000-0000AD580000}"/>
    <cellStyle name="Normal 23 4 2 5 2 6" xfId="22708" xr:uid="{00000000-0005-0000-0000-0000AE580000}"/>
    <cellStyle name="Normal 23 4 2 5 3" xfId="22709" xr:uid="{00000000-0005-0000-0000-0000AF580000}"/>
    <cellStyle name="Normal 23 4 2 5 3 2" xfId="22710" xr:uid="{00000000-0005-0000-0000-0000B0580000}"/>
    <cellStyle name="Normal 23 4 2 5 3 3" xfId="22711" xr:uid="{00000000-0005-0000-0000-0000B1580000}"/>
    <cellStyle name="Normal 23 4 2 5 3 4" xfId="22712" xr:uid="{00000000-0005-0000-0000-0000B2580000}"/>
    <cellStyle name="Normal 23 4 2 5 3 5" xfId="22713" xr:uid="{00000000-0005-0000-0000-0000B3580000}"/>
    <cellStyle name="Normal 23 4 2 5 3 6" xfId="22714" xr:uid="{00000000-0005-0000-0000-0000B4580000}"/>
    <cellStyle name="Normal 23 4 2 5 4" xfId="22715" xr:uid="{00000000-0005-0000-0000-0000B5580000}"/>
    <cellStyle name="Normal 23 4 2 5 5" xfId="22716" xr:uid="{00000000-0005-0000-0000-0000B6580000}"/>
    <cellStyle name="Normal 23 4 2 5 6" xfId="22717" xr:uid="{00000000-0005-0000-0000-0000B7580000}"/>
    <cellStyle name="Normal 23 4 2 5 7" xfId="22718" xr:uid="{00000000-0005-0000-0000-0000B8580000}"/>
    <cellStyle name="Normal 23 4 2 5 8" xfId="22719" xr:uid="{00000000-0005-0000-0000-0000B9580000}"/>
    <cellStyle name="Normal 23 4 2 6" xfId="22720" xr:uid="{00000000-0005-0000-0000-0000BA580000}"/>
    <cellStyle name="Normal 23 4 2 6 2" xfId="22721" xr:uid="{00000000-0005-0000-0000-0000BB580000}"/>
    <cellStyle name="Normal 23 4 2 6 3" xfId="22722" xr:uid="{00000000-0005-0000-0000-0000BC580000}"/>
    <cellStyle name="Normal 23 4 2 6 4" xfId="22723" xr:uid="{00000000-0005-0000-0000-0000BD580000}"/>
    <cellStyle name="Normal 23 4 2 6 5" xfId="22724" xr:uid="{00000000-0005-0000-0000-0000BE580000}"/>
    <cellStyle name="Normal 23 4 2 6 6" xfId="22725" xr:uid="{00000000-0005-0000-0000-0000BF580000}"/>
    <cellStyle name="Normal 23 4 2 7" xfId="22726" xr:uid="{00000000-0005-0000-0000-0000C0580000}"/>
    <cellStyle name="Normal 23 4 2 7 2" xfId="22727" xr:uid="{00000000-0005-0000-0000-0000C1580000}"/>
    <cellStyle name="Normal 23 4 2 7 3" xfId="22728" xr:uid="{00000000-0005-0000-0000-0000C2580000}"/>
    <cellStyle name="Normal 23 4 2 7 4" xfId="22729" xr:uid="{00000000-0005-0000-0000-0000C3580000}"/>
    <cellStyle name="Normal 23 4 2 7 5" xfId="22730" xr:uid="{00000000-0005-0000-0000-0000C4580000}"/>
    <cellStyle name="Normal 23 4 2 7 6" xfId="22731" xr:uid="{00000000-0005-0000-0000-0000C5580000}"/>
    <cellStyle name="Normal 23 4 2 8" xfId="22732" xr:uid="{00000000-0005-0000-0000-0000C6580000}"/>
    <cellStyle name="Normal 23 4 2 9" xfId="22733" xr:uid="{00000000-0005-0000-0000-0000C7580000}"/>
    <cellStyle name="Normal 23 4 3" xfId="22734" xr:uid="{00000000-0005-0000-0000-0000C8580000}"/>
    <cellStyle name="Normal 23 4 3 10" xfId="22735" xr:uid="{00000000-0005-0000-0000-0000C9580000}"/>
    <cellStyle name="Normal 23 4 3 11" xfId="22736" xr:uid="{00000000-0005-0000-0000-0000CA580000}"/>
    <cellStyle name="Normal 23 4 3 12" xfId="22737" xr:uid="{00000000-0005-0000-0000-0000CB580000}"/>
    <cellStyle name="Normal 23 4 3 2" xfId="22738" xr:uid="{00000000-0005-0000-0000-0000CC580000}"/>
    <cellStyle name="Normal 23 4 3 2 10" xfId="22739" xr:uid="{00000000-0005-0000-0000-0000CD580000}"/>
    <cellStyle name="Normal 23 4 3 2 11" xfId="22740" xr:uid="{00000000-0005-0000-0000-0000CE580000}"/>
    <cellStyle name="Normal 23 4 3 2 2" xfId="22741" xr:uid="{00000000-0005-0000-0000-0000CF580000}"/>
    <cellStyle name="Normal 23 4 3 2 2 2" xfId="22742" xr:uid="{00000000-0005-0000-0000-0000D0580000}"/>
    <cellStyle name="Normal 23 4 3 2 2 2 2" xfId="22743" xr:uid="{00000000-0005-0000-0000-0000D1580000}"/>
    <cellStyle name="Normal 23 4 3 2 2 2 3" xfId="22744" xr:uid="{00000000-0005-0000-0000-0000D2580000}"/>
    <cellStyle name="Normal 23 4 3 2 2 2 4" xfId="22745" xr:uid="{00000000-0005-0000-0000-0000D3580000}"/>
    <cellStyle name="Normal 23 4 3 2 2 2 5" xfId="22746" xr:uid="{00000000-0005-0000-0000-0000D4580000}"/>
    <cellStyle name="Normal 23 4 3 2 2 2 6" xfId="22747" xr:uid="{00000000-0005-0000-0000-0000D5580000}"/>
    <cellStyle name="Normal 23 4 3 2 2 3" xfId="22748" xr:uid="{00000000-0005-0000-0000-0000D6580000}"/>
    <cellStyle name="Normal 23 4 3 2 2 3 2" xfId="22749" xr:uid="{00000000-0005-0000-0000-0000D7580000}"/>
    <cellStyle name="Normal 23 4 3 2 2 3 3" xfId="22750" xr:uid="{00000000-0005-0000-0000-0000D8580000}"/>
    <cellStyle name="Normal 23 4 3 2 2 3 4" xfId="22751" xr:uid="{00000000-0005-0000-0000-0000D9580000}"/>
    <cellStyle name="Normal 23 4 3 2 2 3 5" xfId="22752" xr:uid="{00000000-0005-0000-0000-0000DA580000}"/>
    <cellStyle name="Normal 23 4 3 2 2 3 6" xfId="22753" xr:uid="{00000000-0005-0000-0000-0000DB580000}"/>
    <cellStyle name="Normal 23 4 3 2 2 4" xfId="22754" xr:uid="{00000000-0005-0000-0000-0000DC580000}"/>
    <cellStyle name="Normal 23 4 3 2 2 5" xfId="22755" xr:uid="{00000000-0005-0000-0000-0000DD580000}"/>
    <cellStyle name="Normal 23 4 3 2 2 6" xfId="22756" xr:uid="{00000000-0005-0000-0000-0000DE580000}"/>
    <cellStyle name="Normal 23 4 3 2 2 7" xfId="22757" xr:uid="{00000000-0005-0000-0000-0000DF580000}"/>
    <cellStyle name="Normal 23 4 3 2 2 8" xfId="22758" xr:uid="{00000000-0005-0000-0000-0000E0580000}"/>
    <cellStyle name="Normal 23 4 3 2 3" xfId="22759" xr:uid="{00000000-0005-0000-0000-0000E1580000}"/>
    <cellStyle name="Normal 23 4 3 2 3 2" xfId="22760" xr:uid="{00000000-0005-0000-0000-0000E2580000}"/>
    <cellStyle name="Normal 23 4 3 2 3 2 2" xfId="22761" xr:uid="{00000000-0005-0000-0000-0000E3580000}"/>
    <cellStyle name="Normal 23 4 3 2 3 2 3" xfId="22762" xr:uid="{00000000-0005-0000-0000-0000E4580000}"/>
    <cellStyle name="Normal 23 4 3 2 3 2 4" xfId="22763" xr:uid="{00000000-0005-0000-0000-0000E5580000}"/>
    <cellStyle name="Normal 23 4 3 2 3 2 5" xfId="22764" xr:uid="{00000000-0005-0000-0000-0000E6580000}"/>
    <cellStyle name="Normal 23 4 3 2 3 2 6" xfId="22765" xr:uid="{00000000-0005-0000-0000-0000E7580000}"/>
    <cellStyle name="Normal 23 4 3 2 3 3" xfId="22766" xr:uid="{00000000-0005-0000-0000-0000E8580000}"/>
    <cellStyle name="Normal 23 4 3 2 3 3 2" xfId="22767" xr:uid="{00000000-0005-0000-0000-0000E9580000}"/>
    <cellStyle name="Normal 23 4 3 2 3 3 3" xfId="22768" xr:uid="{00000000-0005-0000-0000-0000EA580000}"/>
    <cellStyle name="Normal 23 4 3 2 3 3 4" xfId="22769" xr:uid="{00000000-0005-0000-0000-0000EB580000}"/>
    <cellStyle name="Normal 23 4 3 2 3 3 5" xfId="22770" xr:uid="{00000000-0005-0000-0000-0000EC580000}"/>
    <cellStyle name="Normal 23 4 3 2 3 3 6" xfId="22771" xr:uid="{00000000-0005-0000-0000-0000ED580000}"/>
    <cellStyle name="Normal 23 4 3 2 3 4" xfId="22772" xr:uid="{00000000-0005-0000-0000-0000EE580000}"/>
    <cellStyle name="Normal 23 4 3 2 3 5" xfId="22773" xr:uid="{00000000-0005-0000-0000-0000EF580000}"/>
    <cellStyle name="Normal 23 4 3 2 3 6" xfId="22774" xr:uid="{00000000-0005-0000-0000-0000F0580000}"/>
    <cellStyle name="Normal 23 4 3 2 3 7" xfId="22775" xr:uid="{00000000-0005-0000-0000-0000F1580000}"/>
    <cellStyle name="Normal 23 4 3 2 3 8" xfId="22776" xr:uid="{00000000-0005-0000-0000-0000F2580000}"/>
    <cellStyle name="Normal 23 4 3 2 4" xfId="22777" xr:uid="{00000000-0005-0000-0000-0000F3580000}"/>
    <cellStyle name="Normal 23 4 3 2 4 2" xfId="22778" xr:uid="{00000000-0005-0000-0000-0000F4580000}"/>
    <cellStyle name="Normal 23 4 3 2 4 2 2" xfId="22779" xr:uid="{00000000-0005-0000-0000-0000F5580000}"/>
    <cellStyle name="Normal 23 4 3 2 4 2 3" xfId="22780" xr:uid="{00000000-0005-0000-0000-0000F6580000}"/>
    <cellStyle name="Normal 23 4 3 2 4 2 4" xfId="22781" xr:uid="{00000000-0005-0000-0000-0000F7580000}"/>
    <cellStyle name="Normal 23 4 3 2 4 2 5" xfId="22782" xr:uid="{00000000-0005-0000-0000-0000F8580000}"/>
    <cellStyle name="Normal 23 4 3 2 4 2 6" xfId="22783" xr:uid="{00000000-0005-0000-0000-0000F9580000}"/>
    <cellStyle name="Normal 23 4 3 2 4 3" xfId="22784" xr:uid="{00000000-0005-0000-0000-0000FA580000}"/>
    <cellStyle name="Normal 23 4 3 2 4 3 2" xfId="22785" xr:uid="{00000000-0005-0000-0000-0000FB580000}"/>
    <cellStyle name="Normal 23 4 3 2 4 3 3" xfId="22786" xr:uid="{00000000-0005-0000-0000-0000FC580000}"/>
    <cellStyle name="Normal 23 4 3 2 4 3 4" xfId="22787" xr:uid="{00000000-0005-0000-0000-0000FD580000}"/>
    <cellStyle name="Normal 23 4 3 2 4 3 5" xfId="22788" xr:uid="{00000000-0005-0000-0000-0000FE580000}"/>
    <cellStyle name="Normal 23 4 3 2 4 3 6" xfId="22789" xr:uid="{00000000-0005-0000-0000-0000FF580000}"/>
    <cellStyle name="Normal 23 4 3 2 4 4" xfId="22790" xr:uid="{00000000-0005-0000-0000-000000590000}"/>
    <cellStyle name="Normal 23 4 3 2 4 5" xfId="22791" xr:uid="{00000000-0005-0000-0000-000001590000}"/>
    <cellStyle name="Normal 23 4 3 2 4 6" xfId="22792" xr:uid="{00000000-0005-0000-0000-000002590000}"/>
    <cellStyle name="Normal 23 4 3 2 4 7" xfId="22793" xr:uid="{00000000-0005-0000-0000-000003590000}"/>
    <cellStyle name="Normal 23 4 3 2 4 8" xfId="22794" xr:uid="{00000000-0005-0000-0000-000004590000}"/>
    <cellStyle name="Normal 23 4 3 2 5" xfId="22795" xr:uid="{00000000-0005-0000-0000-000005590000}"/>
    <cellStyle name="Normal 23 4 3 2 5 2" xfId="22796" xr:uid="{00000000-0005-0000-0000-000006590000}"/>
    <cellStyle name="Normal 23 4 3 2 5 3" xfId="22797" xr:uid="{00000000-0005-0000-0000-000007590000}"/>
    <cellStyle name="Normal 23 4 3 2 5 4" xfId="22798" xr:uid="{00000000-0005-0000-0000-000008590000}"/>
    <cellStyle name="Normal 23 4 3 2 5 5" xfId="22799" xr:uid="{00000000-0005-0000-0000-000009590000}"/>
    <cellStyle name="Normal 23 4 3 2 5 6" xfId="22800" xr:uid="{00000000-0005-0000-0000-00000A590000}"/>
    <cellStyle name="Normal 23 4 3 2 6" xfId="22801" xr:uid="{00000000-0005-0000-0000-00000B590000}"/>
    <cellStyle name="Normal 23 4 3 2 6 2" xfId="22802" xr:uid="{00000000-0005-0000-0000-00000C590000}"/>
    <cellStyle name="Normal 23 4 3 2 6 3" xfId="22803" xr:uid="{00000000-0005-0000-0000-00000D590000}"/>
    <cellStyle name="Normal 23 4 3 2 6 4" xfId="22804" xr:uid="{00000000-0005-0000-0000-00000E590000}"/>
    <cellStyle name="Normal 23 4 3 2 6 5" xfId="22805" xr:uid="{00000000-0005-0000-0000-00000F590000}"/>
    <cellStyle name="Normal 23 4 3 2 6 6" xfId="22806" xr:uid="{00000000-0005-0000-0000-000010590000}"/>
    <cellStyle name="Normal 23 4 3 2 7" xfId="22807" xr:uid="{00000000-0005-0000-0000-000011590000}"/>
    <cellStyle name="Normal 23 4 3 2 8" xfId="22808" xr:uid="{00000000-0005-0000-0000-000012590000}"/>
    <cellStyle name="Normal 23 4 3 2 9" xfId="22809" xr:uid="{00000000-0005-0000-0000-000013590000}"/>
    <cellStyle name="Normal 23 4 3 3" xfId="22810" xr:uid="{00000000-0005-0000-0000-000014590000}"/>
    <cellStyle name="Normal 23 4 3 3 2" xfId="22811" xr:uid="{00000000-0005-0000-0000-000015590000}"/>
    <cellStyle name="Normal 23 4 3 3 2 2" xfId="22812" xr:uid="{00000000-0005-0000-0000-000016590000}"/>
    <cellStyle name="Normal 23 4 3 3 2 3" xfId="22813" xr:uid="{00000000-0005-0000-0000-000017590000}"/>
    <cellStyle name="Normal 23 4 3 3 2 4" xfId="22814" xr:uid="{00000000-0005-0000-0000-000018590000}"/>
    <cellStyle name="Normal 23 4 3 3 2 5" xfId="22815" xr:uid="{00000000-0005-0000-0000-000019590000}"/>
    <cellStyle name="Normal 23 4 3 3 2 6" xfId="22816" xr:uid="{00000000-0005-0000-0000-00001A590000}"/>
    <cellStyle name="Normal 23 4 3 3 3" xfId="22817" xr:uid="{00000000-0005-0000-0000-00001B590000}"/>
    <cellStyle name="Normal 23 4 3 3 3 2" xfId="22818" xr:uid="{00000000-0005-0000-0000-00001C590000}"/>
    <cellStyle name="Normal 23 4 3 3 3 3" xfId="22819" xr:uid="{00000000-0005-0000-0000-00001D590000}"/>
    <cellStyle name="Normal 23 4 3 3 3 4" xfId="22820" xr:uid="{00000000-0005-0000-0000-00001E590000}"/>
    <cellStyle name="Normal 23 4 3 3 3 5" xfId="22821" xr:uid="{00000000-0005-0000-0000-00001F590000}"/>
    <cellStyle name="Normal 23 4 3 3 3 6" xfId="22822" xr:uid="{00000000-0005-0000-0000-000020590000}"/>
    <cellStyle name="Normal 23 4 3 3 4" xfId="22823" xr:uid="{00000000-0005-0000-0000-000021590000}"/>
    <cellStyle name="Normal 23 4 3 3 5" xfId="22824" xr:uid="{00000000-0005-0000-0000-000022590000}"/>
    <cellStyle name="Normal 23 4 3 3 6" xfId="22825" xr:uid="{00000000-0005-0000-0000-000023590000}"/>
    <cellStyle name="Normal 23 4 3 3 7" xfId="22826" xr:uid="{00000000-0005-0000-0000-000024590000}"/>
    <cellStyle name="Normal 23 4 3 3 8" xfId="22827" xr:uid="{00000000-0005-0000-0000-000025590000}"/>
    <cellStyle name="Normal 23 4 3 4" xfId="22828" xr:uid="{00000000-0005-0000-0000-000026590000}"/>
    <cellStyle name="Normal 23 4 3 4 2" xfId="22829" xr:uid="{00000000-0005-0000-0000-000027590000}"/>
    <cellStyle name="Normal 23 4 3 4 2 2" xfId="22830" xr:uid="{00000000-0005-0000-0000-000028590000}"/>
    <cellStyle name="Normal 23 4 3 4 2 3" xfId="22831" xr:uid="{00000000-0005-0000-0000-000029590000}"/>
    <cellStyle name="Normal 23 4 3 4 2 4" xfId="22832" xr:uid="{00000000-0005-0000-0000-00002A590000}"/>
    <cellStyle name="Normal 23 4 3 4 2 5" xfId="22833" xr:uid="{00000000-0005-0000-0000-00002B590000}"/>
    <cellStyle name="Normal 23 4 3 4 2 6" xfId="22834" xr:uid="{00000000-0005-0000-0000-00002C590000}"/>
    <cellStyle name="Normal 23 4 3 4 3" xfId="22835" xr:uid="{00000000-0005-0000-0000-00002D590000}"/>
    <cellStyle name="Normal 23 4 3 4 3 2" xfId="22836" xr:uid="{00000000-0005-0000-0000-00002E590000}"/>
    <cellStyle name="Normal 23 4 3 4 3 3" xfId="22837" xr:uid="{00000000-0005-0000-0000-00002F590000}"/>
    <cellStyle name="Normal 23 4 3 4 3 4" xfId="22838" xr:uid="{00000000-0005-0000-0000-000030590000}"/>
    <cellStyle name="Normal 23 4 3 4 3 5" xfId="22839" xr:uid="{00000000-0005-0000-0000-000031590000}"/>
    <cellStyle name="Normal 23 4 3 4 3 6" xfId="22840" xr:uid="{00000000-0005-0000-0000-000032590000}"/>
    <cellStyle name="Normal 23 4 3 4 4" xfId="22841" xr:uid="{00000000-0005-0000-0000-000033590000}"/>
    <cellStyle name="Normal 23 4 3 4 5" xfId="22842" xr:uid="{00000000-0005-0000-0000-000034590000}"/>
    <cellStyle name="Normal 23 4 3 4 6" xfId="22843" xr:uid="{00000000-0005-0000-0000-000035590000}"/>
    <cellStyle name="Normal 23 4 3 4 7" xfId="22844" xr:uid="{00000000-0005-0000-0000-000036590000}"/>
    <cellStyle name="Normal 23 4 3 4 8" xfId="22845" xr:uid="{00000000-0005-0000-0000-000037590000}"/>
    <cellStyle name="Normal 23 4 3 5" xfId="22846" xr:uid="{00000000-0005-0000-0000-000038590000}"/>
    <cellStyle name="Normal 23 4 3 5 2" xfId="22847" xr:uid="{00000000-0005-0000-0000-000039590000}"/>
    <cellStyle name="Normal 23 4 3 5 2 2" xfId="22848" xr:uid="{00000000-0005-0000-0000-00003A590000}"/>
    <cellStyle name="Normal 23 4 3 5 2 3" xfId="22849" xr:uid="{00000000-0005-0000-0000-00003B590000}"/>
    <cellStyle name="Normal 23 4 3 5 2 4" xfId="22850" xr:uid="{00000000-0005-0000-0000-00003C590000}"/>
    <cellStyle name="Normal 23 4 3 5 2 5" xfId="22851" xr:uid="{00000000-0005-0000-0000-00003D590000}"/>
    <cellStyle name="Normal 23 4 3 5 2 6" xfId="22852" xr:uid="{00000000-0005-0000-0000-00003E590000}"/>
    <cellStyle name="Normal 23 4 3 5 3" xfId="22853" xr:uid="{00000000-0005-0000-0000-00003F590000}"/>
    <cellStyle name="Normal 23 4 3 5 3 2" xfId="22854" xr:uid="{00000000-0005-0000-0000-000040590000}"/>
    <cellStyle name="Normal 23 4 3 5 3 3" xfId="22855" xr:uid="{00000000-0005-0000-0000-000041590000}"/>
    <cellStyle name="Normal 23 4 3 5 3 4" xfId="22856" xr:uid="{00000000-0005-0000-0000-000042590000}"/>
    <cellStyle name="Normal 23 4 3 5 3 5" xfId="22857" xr:uid="{00000000-0005-0000-0000-000043590000}"/>
    <cellStyle name="Normal 23 4 3 5 3 6" xfId="22858" xr:uid="{00000000-0005-0000-0000-000044590000}"/>
    <cellStyle name="Normal 23 4 3 5 4" xfId="22859" xr:uid="{00000000-0005-0000-0000-000045590000}"/>
    <cellStyle name="Normal 23 4 3 5 5" xfId="22860" xr:uid="{00000000-0005-0000-0000-000046590000}"/>
    <cellStyle name="Normal 23 4 3 5 6" xfId="22861" xr:uid="{00000000-0005-0000-0000-000047590000}"/>
    <cellStyle name="Normal 23 4 3 5 7" xfId="22862" xr:uid="{00000000-0005-0000-0000-000048590000}"/>
    <cellStyle name="Normal 23 4 3 5 8" xfId="22863" xr:uid="{00000000-0005-0000-0000-000049590000}"/>
    <cellStyle name="Normal 23 4 3 6" xfId="22864" xr:uid="{00000000-0005-0000-0000-00004A590000}"/>
    <cellStyle name="Normal 23 4 3 6 2" xfId="22865" xr:uid="{00000000-0005-0000-0000-00004B590000}"/>
    <cellStyle name="Normal 23 4 3 6 3" xfId="22866" xr:uid="{00000000-0005-0000-0000-00004C590000}"/>
    <cellStyle name="Normal 23 4 3 6 4" xfId="22867" xr:uid="{00000000-0005-0000-0000-00004D590000}"/>
    <cellStyle name="Normal 23 4 3 6 5" xfId="22868" xr:uid="{00000000-0005-0000-0000-00004E590000}"/>
    <cellStyle name="Normal 23 4 3 6 6" xfId="22869" xr:uid="{00000000-0005-0000-0000-00004F590000}"/>
    <cellStyle name="Normal 23 4 3 7" xfId="22870" xr:uid="{00000000-0005-0000-0000-000050590000}"/>
    <cellStyle name="Normal 23 4 3 7 2" xfId="22871" xr:uid="{00000000-0005-0000-0000-000051590000}"/>
    <cellStyle name="Normal 23 4 3 7 3" xfId="22872" xr:uid="{00000000-0005-0000-0000-000052590000}"/>
    <cellStyle name="Normal 23 4 3 7 4" xfId="22873" xr:uid="{00000000-0005-0000-0000-000053590000}"/>
    <cellStyle name="Normal 23 4 3 7 5" xfId="22874" xr:uid="{00000000-0005-0000-0000-000054590000}"/>
    <cellStyle name="Normal 23 4 3 7 6" xfId="22875" xr:uid="{00000000-0005-0000-0000-000055590000}"/>
    <cellStyle name="Normal 23 4 3 8" xfId="22876" xr:uid="{00000000-0005-0000-0000-000056590000}"/>
    <cellStyle name="Normal 23 4 3 9" xfId="22877" xr:uid="{00000000-0005-0000-0000-000057590000}"/>
    <cellStyle name="Normal 23 4 4" xfId="22878" xr:uid="{00000000-0005-0000-0000-000058590000}"/>
    <cellStyle name="Normal 23 4 4 10" xfId="22879" xr:uid="{00000000-0005-0000-0000-000059590000}"/>
    <cellStyle name="Normal 23 4 4 11" xfId="22880" xr:uid="{00000000-0005-0000-0000-00005A590000}"/>
    <cellStyle name="Normal 23 4 4 2" xfId="22881" xr:uid="{00000000-0005-0000-0000-00005B590000}"/>
    <cellStyle name="Normal 23 4 4 2 2" xfId="22882" xr:uid="{00000000-0005-0000-0000-00005C590000}"/>
    <cellStyle name="Normal 23 4 4 2 2 2" xfId="22883" xr:uid="{00000000-0005-0000-0000-00005D590000}"/>
    <cellStyle name="Normal 23 4 4 2 2 3" xfId="22884" xr:uid="{00000000-0005-0000-0000-00005E590000}"/>
    <cellStyle name="Normal 23 4 4 2 2 4" xfId="22885" xr:uid="{00000000-0005-0000-0000-00005F590000}"/>
    <cellStyle name="Normal 23 4 4 2 2 5" xfId="22886" xr:uid="{00000000-0005-0000-0000-000060590000}"/>
    <cellStyle name="Normal 23 4 4 2 2 6" xfId="22887" xr:uid="{00000000-0005-0000-0000-000061590000}"/>
    <cellStyle name="Normal 23 4 4 2 3" xfId="22888" xr:uid="{00000000-0005-0000-0000-000062590000}"/>
    <cellStyle name="Normal 23 4 4 2 3 2" xfId="22889" xr:uid="{00000000-0005-0000-0000-000063590000}"/>
    <cellStyle name="Normal 23 4 4 2 3 3" xfId="22890" xr:uid="{00000000-0005-0000-0000-000064590000}"/>
    <cellStyle name="Normal 23 4 4 2 3 4" xfId="22891" xr:uid="{00000000-0005-0000-0000-000065590000}"/>
    <cellStyle name="Normal 23 4 4 2 3 5" xfId="22892" xr:uid="{00000000-0005-0000-0000-000066590000}"/>
    <cellStyle name="Normal 23 4 4 2 3 6" xfId="22893" xr:uid="{00000000-0005-0000-0000-000067590000}"/>
    <cellStyle name="Normal 23 4 4 2 4" xfId="22894" xr:uid="{00000000-0005-0000-0000-000068590000}"/>
    <cellStyle name="Normal 23 4 4 2 5" xfId="22895" xr:uid="{00000000-0005-0000-0000-000069590000}"/>
    <cellStyle name="Normal 23 4 4 2 6" xfId="22896" xr:uid="{00000000-0005-0000-0000-00006A590000}"/>
    <cellStyle name="Normal 23 4 4 2 7" xfId="22897" xr:uid="{00000000-0005-0000-0000-00006B590000}"/>
    <cellStyle name="Normal 23 4 4 2 8" xfId="22898" xr:uid="{00000000-0005-0000-0000-00006C590000}"/>
    <cellStyle name="Normal 23 4 4 3" xfId="22899" xr:uid="{00000000-0005-0000-0000-00006D590000}"/>
    <cellStyle name="Normal 23 4 4 3 2" xfId="22900" xr:uid="{00000000-0005-0000-0000-00006E590000}"/>
    <cellStyle name="Normal 23 4 4 3 2 2" xfId="22901" xr:uid="{00000000-0005-0000-0000-00006F590000}"/>
    <cellStyle name="Normal 23 4 4 3 2 3" xfId="22902" xr:uid="{00000000-0005-0000-0000-000070590000}"/>
    <cellStyle name="Normal 23 4 4 3 2 4" xfId="22903" xr:uid="{00000000-0005-0000-0000-000071590000}"/>
    <cellStyle name="Normal 23 4 4 3 2 5" xfId="22904" xr:uid="{00000000-0005-0000-0000-000072590000}"/>
    <cellStyle name="Normal 23 4 4 3 2 6" xfId="22905" xr:uid="{00000000-0005-0000-0000-000073590000}"/>
    <cellStyle name="Normal 23 4 4 3 3" xfId="22906" xr:uid="{00000000-0005-0000-0000-000074590000}"/>
    <cellStyle name="Normal 23 4 4 3 3 2" xfId="22907" xr:uid="{00000000-0005-0000-0000-000075590000}"/>
    <cellStyle name="Normal 23 4 4 3 3 3" xfId="22908" xr:uid="{00000000-0005-0000-0000-000076590000}"/>
    <cellStyle name="Normal 23 4 4 3 3 4" xfId="22909" xr:uid="{00000000-0005-0000-0000-000077590000}"/>
    <cellStyle name="Normal 23 4 4 3 3 5" xfId="22910" xr:uid="{00000000-0005-0000-0000-000078590000}"/>
    <cellStyle name="Normal 23 4 4 3 3 6" xfId="22911" xr:uid="{00000000-0005-0000-0000-000079590000}"/>
    <cellStyle name="Normal 23 4 4 3 4" xfId="22912" xr:uid="{00000000-0005-0000-0000-00007A590000}"/>
    <cellStyle name="Normal 23 4 4 3 5" xfId="22913" xr:uid="{00000000-0005-0000-0000-00007B590000}"/>
    <cellStyle name="Normal 23 4 4 3 6" xfId="22914" xr:uid="{00000000-0005-0000-0000-00007C590000}"/>
    <cellStyle name="Normal 23 4 4 3 7" xfId="22915" xr:uid="{00000000-0005-0000-0000-00007D590000}"/>
    <cellStyle name="Normal 23 4 4 3 8" xfId="22916" xr:uid="{00000000-0005-0000-0000-00007E590000}"/>
    <cellStyle name="Normal 23 4 4 4" xfId="22917" xr:uid="{00000000-0005-0000-0000-00007F590000}"/>
    <cellStyle name="Normal 23 4 4 4 2" xfId="22918" xr:uid="{00000000-0005-0000-0000-000080590000}"/>
    <cellStyle name="Normal 23 4 4 4 2 2" xfId="22919" xr:uid="{00000000-0005-0000-0000-000081590000}"/>
    <cellStyle name="Normal 23 4 4 4 2 3" xfId="22920" xr:uid="{00000000-0005-0000-0000-000082590000}"/>
    <cellStyle name="Normal 23 4 4 4 2 4" xfId="22921" xr:uid="{00000000-0005-0000-0000-000083590000}"/>
    <cellStyle name="Normal 23 4 4 4 2 5" xfId="22922" xr:uid="{00000000-0005-0000-0000-000084590000}"/>
    <cellStyle name="Normal 23 4 4 4 2 6" xfId="22923" xr:uid="{00000000-0005-0000-0000-000085590000}"/>
    <cellStyle name="Normal 23 4 4 4 3" xfId="22924" xr:uid="{00000000-0005-0000-0000-000086590000}"/>
    <cellStyle name="Normal 23 4 4 4 3 2" xfId="22925" xr:uid="{00000000-0005-0000-0000-000087590000}"/>
    <cellStyle name="Normal 23 4 4 4 3 3" xfId="22926" xr:uid="{00000000-0005-0000-0000-000088590000}"/>
    <cellStyle name="Normal 23 4 4 4 3 4" xfId="22927" xr:uid="{00000000-0005-0000-0000-000089590000}"/>
    <cellStyle name="Normal 23 4 4 4 3 5" xfId="22928" xr:uid="{00000000-0005-0000-0000-00008A590000}"/>
    <cellStyle name="Normal 23 4 4 4 3 6" xfId="22929" xr:uid="{00000000-0005-0000-0000-00008B590000}"/>
    <cellStyle name="Normal 23 4 4 4 4" xfId="22930" xr:uid="{00000000-0005-0000-0000-00008C590000}"/>
    <cellStyle name="Normal 23 4 4 4 5" xfId="22931" xr:uid="{00000000-0005-0000-0000-00008D590000}"/>
    <cellStyle name="Normal 23 4 4 4 6" xfId="22932" xr:uid="{00000000-0005-0000-0000-00008E590000}"/>
    <cellStyle name="Normal 23 4 4 4 7" xfId="22933" xr:uid="{00000000-0005-0000-0000-00008F590000}"/>
    <cellStyle name="Normal 23 4 4 4 8" xfId="22934" xr:uid="{00000000-0005-0000-0000-000090590000}"/>
    <cellStyle name="Normal 23 4 4 5" xfId="22935" xr:uid="{00000000-0005-0000-0000-000091590000}"/>
    <cellStyle name="Normal 23 4 4 5 2" xfId="22936" xr:uid="{00000000-0005-0000-0000-000092590000}"/>
    <cellStyle name="Normal 23 4 4 5 3" xfId="22937" xr:uid="{00000000-0005-0000-0000-000093590000}"/>
    <cellStyle name="Normal 23 4 4 5 4" xfId="22938" xr:uid="{00000000-0005-0000-0000-000094590000}"/>
    <cellStyle name="Normal 23 4 4 5 5" xfId="22939" xr:uid="{00000000-0005-0000-0000-000095590000}"/>
    <cellStyle name="Normal 23 4 4 5 6" xfId="22940" xr:uid="{00000000-0005-0000-0000-000096590000}"/>
    <cellStyle name="Normal 23 4 4 6" xfId="22941" xr:uid="{00000000-0005-0000-0000-000097590000}"/>
    <cellStyle name="Normal 23 4 4 6 2" xfId="22942" xr:uid="{00000000-0005-0000-0000-000098590000}"/>
    <cellStyle name="Normal 23 4 4 6 3" xfId="22943" xr:uid="{00000000-0005-0000-0000-000099590000}"/>
    <cellStyle name="Normal 23 4 4 6 4" xfId="22944" xr:uid="{00000000-0005-0000-0000-00009A590000}"/>
    <cellStyle name="Normal 23 4 4 6 5" xfId="22945" xr:uid="{00000000-0005-0000-0000-00009B590000}"/>
    <cellStyle name="Normal 23 4 4 6 6" xfId="22946" xr:uid="{00000000-0005-0000-0000-00009C590000}"/>
    <cellStyle name="Normal 23 4 4 7" xfId="22947" xr:uid="{00000000-0005-0000-0000-00009D590000}"/>
    <cellStyle name="Normal 23 4 4 8" xfId="22948" xr:uid="{00000000-0005-0000-0000-00009E590000}"/>
    <cellStyle name="Normal 23 4 4 9" xfId="22949" xr:uid="{00000000-0005-0000-0000-00009F590000}"/>
    <cellStyle name="Normal 23 4 5" xfId="22950" xr:uid="{00000000-0005-0000-0000-0000A0590000}"/>
    <cellStyle name="Normal 23 4 5 2" xfId="22951" xr:uid="{00000000-0005-0000-0000-0000A1590000}"/>
    <cellStyle name="Normal 23 4 5 2 2" xfId="22952" xr:uid="{00000000-0005-0000-0000-0000A2590000}"/>
    <cellStyle name="Normal 23 4 5 2 3" xfId="22953" xr:uid="{00000000-0005-0000-0000-0000A3590000}"/>
    <cellStyle name="Normal 23 4 5 2 4" xfId="22954" xr:uid="{00000000-0005-0000-0000-0000A4590000}"/>
    <cellStyle name="Normal 23 4 5 2 5" xfId="22955" xr:uid="{00000000-0005-0000-0000-0000A5590000}"/>
    <cellStyle name="Normal 23 4 5 2 6" xfId="22956" xr:uid="{00000000-0005-0000-0000-0000A6590000}"/>
    <cellStyle name="Normal 23 4 5 3" xfId="22957" xr:uid="{00000000-0005-0000-0000-0000A7590000}"/>
    <cellStyle name="Normal 23 4 5 3 2" xfId="22958" xr:uid="{00000000-0005-0000-0000-0000A8590000}"/>
    <cellStyle name="Normal 23 4 5 3 3" xfId="22959" xr:uid="{00000000-0005-0000-0000-0000A9590000}"/>
    <cellStyle name="Normal 23 4 5 3 4" xfId="22960" xr:uid="{00000000-0005-0000-0000-0000AA590000}"/>
    <cellStyle name="Normal 23 4 5 3 5" xfId="22961" xr:uid="{00000000-0005-0000-0000-0000AB590000}"/>
    <cellStyle name="Normal 23 4 5 3 6" xfId="22962" xr:uid="{00000000-0005-0000-0000-0000AC590000}"/>
    <cellStyle name="Normal 23 4 5 4" xfId="22963" xr:uid="{00000000-0005-0000-0000-0000AD590000}"/>
    <cellStyle name="Normal 23 4 5 5" xfId="22964" xr:uid="{00000000-0005-0000-0000-0000AE590000}"/>
    <cellStyle name="Normal 23 4 5 6" xfId="22965" xr:uid="{00000000-0005-0000-0000-0000AF590000}"/>
    <cellStyle name="Normal 23 4 5 7" xfId="22966" xr:uid="{00000000-0005-0000-0000-0000B0590000}"/>
    <cellStyle name="Normal 23 4 5 8" xfId="22967" xr:uid="{00000000-0005-0000-0000-0000B1590000}"/>
    <cellStyle name="Normal 23 4 6" xfId="22968" xr:uid="{00000000-0005-0000-0000-0000B2590000}"/>
    <cellStyle name="Normal 23 4 6 2" xfId="22969" xr:uid="{00000000-0005-0000-0000-0000B3590000}"/>
    <cellStyle name="Normal 23 4 6 2 2" xfId="22970" xr:uid="{00000000-0005-0000-0000-0000B4590000}"/>
    <cellStyle name="Normal 23 4 6 2 3" xfId="22971" xr:uid="{00000000-0005-0000-0000-0000B5590000}"/>
    <cellStyle name="Normal 23 4 6 2 4" xfId="22972" xr:uid="{00000000-0005-0000-0000-0000B6590000}"/>
    <cellStyle name="Normal 23 4 6 2 5" xfId="22973" xr:uid="{00000000-0005-0000-0000-0000B7590000}"/>
    <cellStyle name="Normal 23 4 6 2 6" xfId="22974" xr:uid="{00000000-0005-0000-0000-0000B8590000}"/>
    <cellStyle name="Normal 23 4 6 3" xfId="22975" xr:uid="{00000000-0005-0000-0000-0000B9590000}"/>
    <cellStyle name="Normal 23 4 6 3 2" xfId="22976" xr:uid="{00000000-0005-0000-0000-0000BA590000}"/>
    <cellStyle name="Normal 23 4 6 3 3" xfId="22977" xr:uid="{00000000-0005-0000-0000-0000BB590000}"/>
    <cellStyle name="Normal 23 4 6 3 4" xfId="22978" xr:uid="{00000000-0005-0000-0000-0000BC590000}"/>
    <cellStyle name="Normal 23 4 6 3 5" xfId="22979" xr:uid="{00000000-0005-0000-0000-0000BD590000}"/>
    <cellStyle name="Normal 23 4 6 3 6" xfId="22980" xr:uid="{00000000-0005-0000-0000-0000BE590000}"/>
    <cellStyle name="Normal 23 4 6 4" xfId="22981" xr:uid="{00000000-0005-0000-0000-0000BF590000}"/>
    <cellStyle name="Normal 23 4 6 5" xfId="22982" xr:uid="{00000000-0005-0000-0000-0000C0590000}"/>
    <cellStyle name="Normal 23 4 6 6" xfId="22983" xr:uid="{00000000-0005-0000-0000-0000C1590000}"/>
    <cellStyle name="Normal 23 4 6 7" xfId="22984" xr:uid="{00000000-0005-0000-0000-0000C2590000}"/>
    <cellStyle name="Normal 23 4 6 8" xfId="22985" xr:uid="{00000000-0005-0000-0000-0000C3590000}"/>
    <cellStyle name="Normal 23 4 7" xfId="22986" xr:uid="{00000000-0005-0000-0000-0000C4590000}"/>
    <cellStyle name="Normal 23 4 7 2" xfId="22987" xr:uid="{00000000-0005-0000-0000-0000C5590000}"/>
    <cellStyle name="Normal 23 4 7 2 2" xfId="22988" xr:uid="{00000000-0005-0000-0000-0000C6590000}"/>
    <cellStyle name="Normal 23 4 7 2 3" xfId="22989" xr:uid="{00000000-0005-0000-0000-0000C7590000}"/>
    <cellStyle name="Normal 23 4 7 2 4" xfId="22990" xr:uid="{00000000-0005-0000-0000-0000C8590000}"/>
    <cellStyle name="Normal 23 4 7 2 5" xfId="22991" xr:uid="{00000000-0005-0000-0000-0000C9590000}"/>
    <cellStyle name="Normal 23 4 7 2 6" xfId="22992" xr:uid="{00000000-0005-0000-0000-0000CA590000}"/>
    <cellStyle name="Normal 23 4 7 3" xfId="22993" xr:uid="{00000000-0005-0000-0000-0000CB590000}"/>
    <cellStyle name="Normal 23 4 7 3 2" xfId="22994" xr:uid="{00000000-0005-0000-0000-0000CC590000}"/>
    <cellStyle name="Normal 23 4 7 3 3" xfId="22995" xr:uid="{00000000-0005-0000-0000-0000CD590000}"/>
    <cellStyle name="Normal 23 4 7 3 4" xfId="22996" xr:uid="{00000000-0005-0000-0000-0000CE590000}"/>
    <cellStyle name="Normal 23 4 7 3 5" xfId="22997" xr:uid="{00000000-0005-0000-0000-0000CF590000}"/>
    <cellStyle name="Normal 23 4 7 3 6" xfId="22998" xr:uid="{00000000-0005-0000-0000-0000D0590000}"/>
    <cellStyle name="Normal 23 4 7 4" xfId="22999" xr:uid="{00000000-0005-0000-0000-0000D1590000}"/>
    <cellStyle name="Normal 23 4 7 5" xfId="23000" xr:uid="{00000000-0005-0000-0000-0000D2590000}"/>
    <cellStyle name="Normal 23 4 7 6" xfId="23001" xr:uid="{00000000-0005-0000-0000-0000D3590000}"/>
    <cellStyle name="Normal 23 4 7 7" xfId="23002" xr:uid="{00000000-0005-0000-0000-0000D4590000}"/>
    <cellStyle name="Normal 23 4 7 8" xfId="23003" xr:uid="{00000000-0005-0000-0000-0000D5590000}"/>
    <cellStyle name="Normal 23 4 8" xfId="23004" xr:uid="{00000000-0005-0000-0000-0000D6590000}"/>
    <cellStyle name="Normal 23 4 8 2" xfId="23005" xr:uid="{00000000-0005-0000-0000-0000D7590000}"/>
    <cellStyle name="Normal 23 4 8 3" xfId="23006" xr:uid="{00000000-0005-0000-0000-0000D8590000}"/>
    <cellStyle name="Normal 23 4 8 4" xfId="23007" xr:uid="{00000000-0005-0000-0000-0000D9590000}"/>
    <cellStyle name="Normal 23 4 8 5" xfId="23008" xr:uid="{00000000-0005-0000-0000-0000DA590000}"/>
    <cellStyle name="Normal 23 4 8 6" xfId="23009" xr:uid="{00000000-0005-0000-0000-0000DB590000}"/>
    <cellStyle name="Normal 23 4 9" xfId="23010" xr:uid="{00000000-0005-0000-0000-0000DC590000}"/>
    <cellStyle name="Normal 23 4 9 2" xfId="23011" xr:uid="{00000000-0005-0000-0000-0000DD590000}"/>
    <cellStyle name="Normal 23 4 9 3" xfId="23012" xr:uid="{00000000-0005-0000-0000-0000DE590000}"/>
    <cellStyle name="Normal 23 4 9 4" xfId="23013" xr:uid="{00000000-0005-0000-0000-0000DF590000}"/>
    <cellStyle name="Normal 23 4 9 5" xfId="23014" xr:uid="{00000000-0005-0000-0000-0000E0590000}"/>
    <cellStyle name="Normal 23 4 9 6" xfId="23015" xr:uid="{00000000-0005-0000-0000-0000E1590000}"/>
    <cellStyle name="Normal 23 5" xfId="23016" xr:uid="{00000000-0005-0000-0000-0000E2590000}"/>
    <cellStyle name="Normal 23 5 10" xfId="23017" xr:uid="{00000000-0005-0000-0000-0000E3590000}"/>
    <cellStyle name="Normal 23 5 11" xfId="23018" xr:uid="{00000000-0005-0000-0000-0000E4590000}"/>
    <cellStyle name="Normal 23 5 12" xfId="23019" xr:uid="{00000000-0005-0000-0000-0000E5590000}"/>
    <cellStyle name="Normal 23 5 2" xfId="23020" xr:uid="{00000000-0005-0000-0000-0000E6590000}"/>
    <cellStyle name="Normal 23 5 2 10" xfId="23021" xr:uid="{00000000-0005-0000-0000-0000E7590000}"/>
    <cellStyle name="Normal 23 5 2 11" xfId="23022" xr:uid="{00000000-0005-0000-0000-0000E8590000}"/>
    <cellStyle name="Normal 23 5 2 2" xfId="23023" xr:uid="{00000000-0005-0000-0000-0000E9590000}"/>
    <cellStyle name="Normal 23 5 2 2 2" xfId="23024" xr:uid="{00000000-0005-0000-0000-0000EA590000}"/>
    <cellStyle name="Normal 23 5 2 2 2 2" xfId="23025" xr:uid="{00000000-0005-0000-0000-0000EB590000}"/>
    <cellStyle name="Normal 23 5 2 2 2 3" xfId="23026" xr:uid="{00000000-0005-0000-0000-0000EC590000}"/>
    <cellStyle name="Normal 23 5 2 2 2 4" xfId="23027" xr:uid="{00000000-0005-0000-0000-0000ED590000}"/>
    <cellStyle name="Normal 23 5 2 2 2 5" xfId="23028" xr:uid="{00000000-0005-0000-0000-0000EE590000}"/>
    <cellStyle name="Normal 23 5 2 2 2 6" xfId="23029" xr:uid="{00000000-0005-0000-0000-0000EF590000}"/>
    <cellStyle name="Normal 23 5 2 2 3" xfId="23030" xr:uid="{00000000-0005-0000-0000-0000F0590000}"/>
    <cellStyle name="Normal 23 5 2 2 3 2" xfId="23031" xr:uid="{00000000-0005-0000-0000-0000F1590000}"/>
    <cellStyle name="Normal 23 5 2 2 3 3" xfId="23032" xr:uid="{00000000-0005-0000-0000-0000F2590000}"/>
    <cellStyle name="Normal 23 5 2 2 3 4" xfId="23033" xr:uid="{00000000-0005-0000-0000-0000F3590000}"/>
    <cellStyle name="Normal 23 5 2 2 3 5" xfId="23034" xr:uid="{00000000-0005-0000-0000-0000F4590000}"/>
    <cellStyle name="Normal 23 5 2 2 3 6" xfId="23035" xr:uid="{00000000-0005-0000-0000-0000F5590000}"/>
    <cellStyle name="Normal 23 5 2 2 4" xfId="23036" xr:uid="{00000000-0005-0000-0000-0000F6590000}"/>
    <cellStyle name="Normal 23 5 2 2 5" xfId="23037" xr:uid="{00000000-0005-0000-0000-0000F7590000}"/>
    <cellStyle name="Normal 23 5 2 2 6" xfId="23038" xr:uid="{00000000-0005-0000-0000-0000F8590000}"/>
    <cellStyle name="Normal 23 5 2 2 7" xfId="23039" xr:uid="{00000000-0005-0000-0000-0000F9590000}"/>
    <cellStyle name="Normal 23 5 2 2 8" xfId="23040" xr:uid="{00000000-0005-0000-0000-0000FA590000}"/>
    <cellStyle name="Normal 23 5 2 3" xfId="23041" xr:uid="{00000000-0005-0000-0000-0000FB590000}"/>
    <cellStyle name="Normal 23 5 2 3 2" xfId="23042" xr:uid="{00000000-0005-0000-0000-0000FC590000}"/>
    <cellStyle name="Normal 23 5 2 3 2 2" xfId="23043" xr:uid="{00000000-0005-0000-0000-0000FD590000}"/>
    <cellStyle name="Normal 23 5 2 3 2 3" xfId="23044" xr:uid="{00000000-0005-0000-0000-0000FE590000}"/>
    <cellStyle name="Normal 23 5 2 3 2 4" xfId="23045" xr:uid="{00000000-0005-0000-0000-0000FF590000}"/>
    <cellStyle name="Normal 23 5 2 3 2 5" xfId="23046" xr:uid="{00000000-0005-0000-0000-0000005A0000}"/>
    <cellStyle name="Normal 23 5 2 3 2 6" xfId="23047" xr:uid="{00000000-0005-0000-0000-0000015A0000}"/>
    <cellStyle name="Normal 23 5 2 3 3" xfId="23048" xr:uid="{00000000-0005-0000-0000-0000025A0000}"/>
    <cellStyle name="Normal 23 5 2 3 3 2" xfId="23049" xr:uid="{00000000-0005-0000-0000-0000035A0000}"/>
    <cellStyle name="Normal 23 5 2 3 3 3" xfId="23050" xr:uid="{00000000-0005-0000-0000-0000045A0000}"/>
    <cellStyle name="Normal 23 5 2 3 3 4" xfId="23051" xr:uid="{00000000-0005-0000-0000-0000055A0000}"/>
    <cellStyle name="Normal 23 5 2 3 3 5" xfId="23052" xr:uid="{00000000-0005-0000-0000-0000065A0000}"/>
    <cellStyle name="Normal 23 5 2 3 3 6" xfId="23053" xr:uid="{00000000-0005-0000-0000-0000075A0000}"/>
    <cellStyle name="Normal 23 5 2 3 4" xfId="23054" xr:uid="{00000000-0005-0000-0000-0000085A0000}"/>
    <cellStyle name="Normal 23 5 2 3 5" xfId="23055" xr:uid="{00000000-0005-0000-0000-0000095A0000}"/>
    <cellStyle name="Normal 23 5 2 3 6" xfId="23056" xr:uid="{00000000-0005-0000-0000-00000A5A0000}"/>
    <cellStyle name="Normal 23 5 2 3 7" xfId="23057" xr:uid="{00000000-0005-0000-0000-00000B5A0000}"/>
    <cellStyle name="Normal 23 5 2 3 8" xfId="23058" xr:uid="{00000000-0005-0000-0000-00000C5A0000}"/>
    <cellStyle name="Normal 23 5 2 4" xfId="23059" xr:uid="{00000000-0005-0000-0000-00000D5A0000}"/>
    <cellStyle name="Normal 23 5 2 4 2" xfId="23060" xr:uid="{00000000-0005-0000-0000-00000E5A0000}"/>
    <cellStyle name="Normal 23 5 2 4 2 2" xfId="23061" xr:uid="{00000000-0005-0000-0000-00000F5A0000}"/>
    <cellStyle name="Normal 23 5 2 4 2 3" xfId="23062" xr:uid="{00000000-0005-0000-0000-0000105A0000}"/>
    <cellStyle name="Normal 23 5 2 4 2 4" xfId="23063" xr:uid="{00000000-0005-0000-0000-0000115A0000}"/>
    <cellStyle name="Normal 23 5 2 4 2 5" xfId="23064" xr:uid="{00000000-0005-0000-0000-0000125A0000}"/>
    <cellStyle name="Normal 23 5 2 4 2 6" xfId="23065" xr:uid="{00000000-0005-0000-0000-0000135A0000}"/>
    <cellStyle name="Normal 23 5 2 4 3" xfId="23066" xr:uid="{00000000-0005-0000-0000-0000145A0000}"/>
    <cellStyle name="Normal 23 5 2 4 3 2" xfId="23067" xr:uid="{00000000-0005-0000-0000-0000155A0000}"/>
    <cellStyle name="Normal 23 5 2 4 3 3" xfId="23068" xr:uid="{00000000-0005-0000-0000-0000165A0000}"/>
    <cellStyle name="Normal 23 5 2 4 3 4" xfId="23069" xr:uid="{00000000-0005-0000-0000-0000175A0000}"/>
    <cellStyle name="Normal 23 5 2 4 3 5" xfId="23070" xr:uid="{00000000-0005-0000-0000-0000185A0000}"/>
    <cellStyle name="Normal 23 5 2 4 3 6" xfId="23071" xr:uid="{00000000-0005-0000-0000-0000195A0000}"/>
    <cellStyle name="Normal 23 5 2 4 4" xfId="23072" xr:uid="{00000000-0005-0000-0000-00001A5A0000}"/>
    <cellStyle name="Normal 23 5 2 4 5" xfId="23073" xr:uid="{00000000-0005-0000-0000-00001B5A0000}"/>
    <cellStyle name="Normal 23 5 2 4 6" xfId="23074" xr:uid="{00000000-0005-0000-0000-00001C5A0000}"/>
    <cellStyle name="Normal 23 5 2 4 7" xfId="23075" xr:uid="{00000000-0005-0000-0000-00001D5A0000}"/>
    <cellStyle name="Normal 23 5 2 4 8" xfId="23076" xr:uid="{00000000-0005-0000-0000-00001E5A0000}"/>
    <cellStyle name="Normal 23 5 2 5" xfId="23077" xr:uid="{00000000-0005-0000-0000-00001F5A0000}"/>
    <cellStyle name="Normal 23 5 2 5 2" xfId="23078" xr:uid="{00000000-0005-0000-0000-0000205A0000}"/>
    <cellStyle name="Normal 23 5 2 5 3" xfId="23079" xr:uid="{00000000-0005-0000-0000-0000215A0000}"/>
    <cellStyle name="Normal 23 5 2 5 4" xfId="23080" xr:uid="{00000000-0005-0000-0000-0000225A0000}"/>
    <cellStyle name="Normal 23 5 2 5 5" xfId="23081" xr:uid="{00000000-0005-0000-0000-0000235A0000}"/>
    <cellStyle name="Normal 23 5 2 5 6" xfId="23082" xr:uid="{00000000-0005-0000-0000-0000245A0000}"/>
    <cellStyle name="Normal 23 5 2 6" xfId="23083" xr:uid="{00000000-0005-0000-0000-0000255A0000}"/>
    <cellStyle name="Normal 23 5 2 6 2" xfId="23084" xr:uid="{00000000-0005-0000-0000-0000265A0000}"/>
    <cellStyle name="Normal 23 5 2 6 3" xfId="23085" xr:uid="{00000000-0005-0000-0000-0000275A0000}"/>
    <cellStyle name="Normal 23 5 2 6 4" xfId="23086" xr:uid="{00000000-0005-0000-0000-0000285A0000}"/>
    <cellStyle name="Normal 23 5 2 6 5" xfId="23087" xr:uid="{00000000-0005-0000-0000-0000295A0000}"/>
    <cellStyle name="Normal 23 5 2 6 6" xfId="23088" xr:uid="{00000000-0005-0000-0000-00002A5A0000}"/>
    <cellStyle name="Normal 23 5 2 7" xfId="23089" xr:uid="{00000000-0005-0000-0000-00002B5A0000}"/>
    <cellStyle name="Normal 23 5 2 8" xfId="23090" xr:uid="{00000000-0005-0000-0000-00002C5A0000}"/>
    <cellStyle name="Normal 23 5 2 9" xfId="23091" xr:uid="{00000000-0005-0000-0000-00002D5A0000}"/>
    <cellStyle name="Normal 23 5 3" xfId="23092" xr:uid="{00000000-0005-0000-0000-00002E5A0000}"/>
    <cellStyle name="Normal 23 5 3 2" xfId="23093" xr:uid="{00000000-0005-0000-0000-00002F5A0000}"/>
    <cellStyle name="Normal 23 5 3 2 2" xfId="23094" xr:uid="{00000000-0005-0000-0000-0000305A0000}"/>
    <cellStyle name="Normal 23 5 3 2 3" xfId="23095" xr:uid="{00000000-0005-0000-0000-0000315A0000}"/>
    <cellStyle name="Normal 23 5 3 2 4" xfId="23096" xr:uid="{00000000-0005-0000-0000-0000325A0000}"/>
    <cellStyle name="Normal 23 5 3 2 5" xfId="23097" xr:uid="{00000000-0005-0000-0000-0000335A0000}"/>
    <cellStyle name="Normal 23 5 3 2 6" xfId="23098" xr:uid="{00000000-0005-0000-0000-0000345A0000}"/>
    <cellStyle name="Normal 23 5 3 3" xfId="23099" xr:uid="{00000000-0005-0000-0000-0000355A0000}"/>
    <cellStyle name="Normal 23 5 3 3 2" xfId="23100" xr:uid="{00000000-0005-0000-0000-0000365A0000}"/>
    <cellStyle name="Normal 23 5 3 3 3" xfId="23101" xr:uid="{00000000-0005-0000-0000-0000375A0000}"/>
    <cellStyle name="Normal 23 5 3 3 4" xfId="23102" xr:uid="{00000000-0005-0000-0000-0000385A0000}"/>
    <cellStyle name="Normal 23 5 3 3 5" xfId="23103" xr:uid="{00000000-0005-0000-0000-0000395A0000}"/>
    <cellStyle name="Normal 23 5 3 3 6" xfId="23104" xr:uid="{00000000-0005-0000-0000-00003A5A0000}"/>
    <cellStyle name="Normal 23 5 3 4" xfId="23105" xr:uid="{00000000-0005-0000-0000-00003B5A0000}"/>
    <cellStyle name="Normal 23 5 3 5" xfId="23106" xr:uid="{00000000-0005-0000-0000-00003C5A0000}"/>
    <cellStyle name="Normal 23 5 3 6" xfId="23107" xr:uid="{00000000-0005-0000-0000-00003D5A0000}"/>
    <cellStyle name="Normal 23 5 3 7" xfId="23108" xr:uid="{00000000-0005-0000-0000-00003E5A0000}"/>
    <cellStyle name="Normal 23 5 3 8" xfId="23109" xr:uid="{00000000-0005-0000-0000-00003F5A0000}"/>
    <cellStyle name="Normal 23 5 4" xfId="23110" xr:uid="{00000000-0005-0000-0000-0000405A0000}"/>
    <cellStyle name="Normal 23 5 4 2" xfId="23111" xr:uid="{00000000-0005-0000-0000-0000415A0000}"/>
    <cellStyle name="Normal 23 5 4 2 2" xfId="23112" xr:uid="{00000000-0005-0000-0000-0000425A0000}"/>
    <cellStyle name="Normal 23 5 4 2 3" xfId="23113" xr:uid="{00000000-0005-0000-0000-0000435A0000}"/>
    <cellStyle name="Normal 23 5 4 2 4" xfId="23114" xr:uid="{00000000-0005-0000-0000-0000445A0000}"/>
    <cellStyle name="Normal 23 5 4 2 5" xfId="23115" xr:uid="{00000000-0005-0000-0000-0000455A0000}"/>
    <cellStyle name="Normal 23 5 4 2 6" xfId="23116" xr:uid="{00000000-0005-0000-0000-0000465A0000}"/>
    <cellStyle name="Normal 23 5 4 3" xfId="23117" xr:uid="{00000000-0005-0000-0000-0000475A0000}"/>
    <cellStyle name="Normal 23 5 4 3 2" xfId="23118" xr:uid="{00000000-0005-0000-0000-0000485A0000}"/>
    <cellStyle name="Normal 23 5 4 3 3" xfId="23119" xr:uid="{00000000-0005-0000-0000-0000495A0000}"/>
    <cellStyle name="Normal 23 5 4 3 4" xfId="23120" xr:uid="{00000000-0005-0000-0000-00004A5A0000}"/>
    <cellStyle name="Normal 23 5 4 3 5" xfId="23121" xr:uid="{00000000-0005-0000-0000-00004B5A0000}"/>
    <cellStyle name="Normal 23 5 4 3 6" xfId="23122" xr:uid="{00000000-0005-0000-0000-00004C5A0000}"/>
    <cellStyle name="Normal 23 5 4 4" xfId="23123" xr:uid="{00000000-0005-0000-0000-00004D5A0000}"/>
    <cellStyle name="Normal 23 5 4 5" xfId="23124" xr:uid="{00000000-0005-0000-0000-00004E5A0000}"/>
    <cellStyle name="Normal 23 5 4 6" xfId="23125" xr:uid="{00000000-0005-0000-0000-00004F5A0000}"/>
    <cellStyle name="Normal 23 5 4 7" xfId="23126" xr:uid="{00000000-0005-0000-0000-0000505A0000}"/>
    <cellStyle name="Normal 23 5 4 8" xfId="23127" xr:uid="{00000000-0005-0000-0000-0000515A0000}"/>
    <cellStyle name="Normal 23 5 5" xfId="23128" xr:uid="{00000000-0005-0000-0000-0000525A0000}"/>
    <cellStyle name="Normal 23 5 5 2" xfId="23129" xr:uid="{00000000-0005-0000-0000-0000535A0000}"/>
    <cellStyle name="Normal 23 5 5 2 2" xfId="23130" xr:uid="{00000000-0005-0000-0000-0000545A0000}"/>
    <cellStyle name="Normal 23 5 5 2 3" xfId="23131" xr:uid="{00000000-0005-0000-0000-0000555A0000}"/>
    <cellStyle name="Normal 23 5 5 2 4" xfId="23132" xr:uid="{00000000-0005-0000-0000-0000565A0000}"/>
    <cellStyle name="Normal 23 5 5 2 5" xfId="23133" xr:uid="{00000000-0005-0000-0000-0000575A0000}"/>
    <cellStyle name="Normal 23 5 5 2 6" xfId="23134" xr:uid="{00000000-0005-0000-0000-0000585A0000}"/>
    <cellStyle name="Normal 23 5 5 3" xfId="23135" xr:uid="{00000000-0005-0000-0000-0000595A0000}"/>
    <cellStyle name="Normal 23 5 5 3 2" xfId="23136" xr:uid="{00000000-0005-0000-0000-00005A5A0000}"/>
    <cellStyle name="Normal 23 5 5 3 3" xfId="23137" xr:uid="{00000000-0005-0000-0000-00005B5A0000}"/>
    <cellStyle name="Normal 23 5 5 3 4" xfId="23138" xr:uid="{00000000-0005-0000-0000-00005C5A0000}"/>
    <cellStyle name="Normal 23 5 5 3 5" xfId="23139" xr:uid="{00000000-0005-0000-0000-00005D5A0000}"/>
    <cellStyle name="Normal 23 5 5 3 6" xfId="23140" xr:uid="{00000000-0005-0000-0000-00005E5A0000}"/>
    <cellStyle name="Normal 23 5 5 4" xfId="23141" xr:uid="{00000000-0005-0000-0000-00005F5A0000}"/>
    <cellStyle name="Normal 23 5 5 5" xfId="23142" xr:uid="{00000000-0005-0000-0000-0000605A0000}"/>
    <cellStyle name="Normal 23 5 5 6" xfId="23143" xr:uid="{00000000-0005-0000-0000-0000615A0000}"/>
    <cellStyle name="Normal 23 5 5 7" xfId="23144" xr:uid="{00000000-0005-0000-0000-0000625A0000}"/>
    <cellStyle name="Normal 23 5 5 8" xfId="23145" xr:uid="{00000000-0005-0000-0000-0000635A0000}"/>
    <cellStyle name="Normal 23 5 6" xfId="23146" xr:uid="{00000000-0005-0000-0000-0000645A0000}"/>
    <cellStyle name="Normal 23 5 6 2" xfId="23147" xr:uid="{00000000-0005-0000-0000-0000655A0000}"/>
    <cellStyle name="Normal 23 5 6 3" xfId="23148" xr:uid="{00000000-0005-0000-0000-0000665A0000}"/>
    <cellStyle name="Normal 23 5 6 4" xfId="23149" xr:uid="{00000000-0005-0000-0000-0000675A0000}"/>
    <cellStyle name="Normal 23 5 6 5" xfId="23150" xr:uid="{00000000-0005-0000-0000-0000685A0000}"/>
    <cellStyle name="Normal 23 5 6 6" xfId="23151" xr:uid="{00000000-0005-0000-0000-0000695A0000}"/>
    <cellStyle name="Normal 23 5 7" xfId="23152" xr:uid="{00000000-0005-0000-0000-00006A5A0000}"/>
    <cellStyle name="Normal 23 5 7 2" xfId="23153" xr:uid="{00000000-0005-0000-0000-00006B5A0000}"/>
    <cellStyle name="Normal 23 5 7 3" xfId="23154" xr:uid="{00000000-0005-0000-0000-00006C5A0000}"/>
    <cellStyle name="Normal 23 5 7 4" xfId="23155" xr:uid="{00000000-0005-0000-0000-00006D5A0000}"/>
    <cellStyle name="Normal 23 5 7 5" xfId="23156" xr:uid="{00000000-0005-0000-0000-00006E5A0000}"/>
    <cellStyle name="Normal 23 5 7 6" xfId="23157" xr:uid="{00000000-0005-0000-0000-00006F5A0000}"/>
    <cellStyle name="Normal 23 5 8" xfId="23158" xr:uid="{00000000-0005-0000-0000-0000705A0000}"/>
    <cellStyle name="Normal 23 5 9" xfId="23159" xr:uid="{00000000-0005-0000-0000-0000715A0000}"/>
    <cellStyle name="Normal 23 6" xfId="23160" xr:uid="{00000000-0005-0000-0000-0000725A0000}"/>
    <cellStyle name="Normal 23 6 10" xfId="23161" xr:uid="{00000000-0005-0000-0000-0000735A0000}"/>
    <cellStyle name="Normal 23 6 11" xfId="23162" xr:uid="{00000000-0005-0000-0000-0000745A0000}"/>
    <cellStyle name="Normal 23 6 12" xfId="23163" xr:uid="{00000000-0005-0000-0000-0000755A0000}"/>
    <cellStyle name="Normal 23 6 2" xfId="23164" xr:uid="{00000000-0005-0000-0000-0000765A0000}"/>
    <cellStyle name="Normal 23 6 2 10" xfId="23165" xr:uid="{00000000-0005-0000-0000-0000775A0000}"/>
    <cellStyle name="Normal 23 6 2 11" xfId="23166" xr:uid="{00000000-0005-0000-0000-0000785A0000}"/>
    <cellStyle name="Normal 23 6 2 2" xfId="23167" xr:uid="{00000000-0005-0000-0000-0000795A0000}"/>
    <cellStyle name="Normal 23 6 2 2 2" xfId="23168" xr:uid="{00000000-0005-0000-0000-00007A5A0000}"/>
    <cellStyle name="Normal 23 6 2 2 2 2" xfId="23169" xr:uid="{00000000-0005-0000-0000-00007B5A0000}"/>
    <cellStyle name="Normal 23 6 2 2 2 3" xfId="23170" xr:uid="{00000000-0005-0000-0000-00007C5A0000}"/>
    <cellStyle name="Normal 23 6 2 2 2 4" xfId="23171" xr:uid="{00000000-0005-0000-0000-00007D5A0000}"/>
    <cellStyle name="Normal 23 6 2 2 2 5" xfId="23172" xr:uid="{00000000-0005-0000-0000-00007E5A0000}"/>
    <cellStyle name="Normal 23 6 2 2 2 6" xfId="23173" xr:uid="{00000000-0005-0000-0000-00007F5A0000}"/>
    <cellStyle name="Normal 23 6 2 2 3" xfId="23174" xr:uid="{00000000-0005-0000-0000-0000805A0000}"/>
    <cellStyle name="Normal 23 6 2 2 3 2" xfId="23175" xr:uid="{00000000-0005-0000-0000-0000815A0000}"/>
    <cellStyle name="Normal 23 6 2 2 3 3" xfId="23176" xr:uid="{00000000-0005-0000-0000-0000825A0000}"/>
    <cellStyle name="Normal 23 6 2 2 3 4" xfId="23177" xr:uid="{00000000-0005-0000-0000-0000835A0000}"/>
    <cellStyle name="Normal 23 6 2 2 3 5" xfId="23178" xr:uid="{00000000-0005-0000-0000-0000845A0000}"/>
    <cellStyle name="Normal 23 6 2 2 3 6" xfId="23179" xr:uid="{00000000-0005-0000-0000-0000855A0000}"/>
    <cellStyle name="Normal 23 6 2 2 4" xfId="23180" xr:uid="{00000000-0005-0000-0000-0000865A0000}"/>
    <cellStyle name="Normal 23 6 2 2 5" xfId="23181" xr:uid="{00000000-0005-0000-0000-0000875A0000}"/>
    <cellStyle name="Normal 23 6 2 2 6" xfId="23182" xr:uid="{00000000-0005-0000-0000-0000885A0000}"/>
    <cellStyle name="Normal 23 6 2 2 7" xfId="23183" xr:uid="{00000000-0005-0000-0000-0000895A0000}"/>
    <cellStyle name="Normal 23 6 2 2 8" xfId="23184" xr:uid="{00000000-0005-0000-0000-00008A5A0000}"/>
    <cellStyle name="Normal 23 6 2 3" xfId="23185" xr:uid="{00000000-0005-0000-0000-00008B5A0000}"/>
    <cellStyle name="Normal 23 6 2 3 2" xfId="23186" xr:uid="{00000000-0005-0000-0000-00008C5A0000}"/>
    <cellStyle name="Normal 23 6 2 3 2 2" xfId="23187" xr:uid="{00000000-0005-0000-0000-00008D5A0000}"/>
    <cellStyle name="Normal 23 6 2 3 2 3" xfId="23188" xr:uid="{00000000-0005-0000-0000-00008E5A0000}"/>
    <cellStyle name="Normal 23 6 2 3 2 4" xfId="23189" xr:uid="{00000000-0005-0000-0000-00008F5A0000}"/>
    <cellStyle name="Normal 23 6 2 3 2 5" xfId="23190" xr:uid="{00000000-0005-0000-0000-0000905A0000}"/>
    <cellStyle name="Normal 23 6 2 3 2 6" xfId="23191" xr:uid="{00000000-0005-0000-0000-0000915A0000}"/>
    <cellStyle name="Normal 23 6 2 3 3" xfId="23192" xr:uid="{00000000-0005-0000-0000-0000925A0000}"/>
    <cellStyle name="Normal 23 6 2 3 3 2" xfId="23193" xr:uid="{00000000-0005-0000-0000-0000935A0000}"/>
    <cellStyle name="Normal 23 6 2 3 3 3" xfId="23194" xr:uid="{00000000-0005-0000-0000-0000945A0000}"/>
    <cellStyle name="Normal 23 6 2 3 3 4" xfId="23195" xr:uid="{00000000-0005-0000-0000-0000955A0000}"/>
    <cellStyle name="Normal 23 6 2 3 3 5" xfId="23196" xr:uid="{00000000-0005-0000-0000-0000965A0000}"/>
    <cellStyle name="Normal 23 6 2 3 3 6" xfId="23197" xr:uid="{00000000-0005-0000-0000-0000975A0000}"/>
    <cellStyle name="Normal 23 6 2 3 4" xfId="23198" xr:uid="{00000000-0005-0000-0000-0000985A0000}"/>
    <cellStyle name="Normal 23 6 2 3 5" xfId="23199" xr:uid="{00000000-0005-0000-0000-0000995A0000}"/>
    <cellStyle name="Normal 23 6 2 3 6" xfId="23200" xr:uid="{00000000-0005-0000-0000-00009A5A0000}"/>
    <cellStyle name="Normal 23 6 2 3 7" xfId="23201" xr:uid="{00000000-0005-0000-0000-00009B5A0000}"/>
    <cellStyle name="Normal 23 6 2 3 8" xfId="23202" xr:uid="{00000000-0005-0000-0000-00009C5A0000}"/>
    <cellStyle name="Normal 23 6 2 4" xfId="23203" xr:uid="{00000000-0005-0000-0000-00009D5A0000}"/>
    <cellStyle name="Normal 23 6 2 4 2" xfId="23204" xr:uid="{00000000-0005-0000-0000-00009E5A0000}"/>
    <cellStyle name="Normal 23 6 2 4 2 2" xfId="23205" xr:uid="{00000000-0005-0000-0000-00009F5A0000}"/>
    <cellStyle name="Normal 23 6 2 4 2 3" xfId="23206" xr:uid="{00000000-0005-0000-0000-0000A05A0000}"/>
    <cellStyle name="Normal 23 6 2 4 2 4" xfId="23207" xr:uid="{00000000-0005-0000-0000-0000A15A0000}"/>
    <cellStyle name="Normal 23 6 2 4 2 5" xfId="23208" xr:uid="{00000000-0005-0000-0000-0000A25A0000}"/>
    <cellStyle name="Normal 23 6 2 4 2 6" xfId="23209" xr:uid="{00000000-0005-0000-0000-0000A35A0000}"/>
    <cellStyle name="Normal 23 6 2 4 3" xfId="23210" xr:uid="{00000000-0005-0000-0000-0000A45A0000}"/>
    <cellStyle name="Normal 23 6 2 4 3 2" xfId="23211" xr:uid="{00000000-0005-0000-0000-0000A55A0000}"/>
    <cellStyle name="Normal 23 6 2 4 3 3" xfId="23212" xr:uid="{00000000-0005-0000-0000-0000A65A0000}"/>
    <cellStyle name="Normal 23 6 2 4 3 4" xfId="23213" xr:uid="{00000000-0005-0000-0000-0000A75A0000}"/>
    <cellStyle name="Normal 23 6 2 4 3 5" xfId="23214" xr:uid="{00000000-0005-0000-0000-0000A85A0000}"/>
    <cellStyle name="Normal 23 6 2 4 3 6" xfId="23215" xr:uid="{00000000-0005-0000-0000-0000A95A0000}"/>
    <cellStyle name="Normal 23 6 2 4 4" xfId="23216" xr:uid="{00000000-0005-0000-0000-0000AA5A0000}"/>
    <cellStyle name="Normal 23 6 2 4 5" xfId="23217" xr:uid="{00000000-0005-0000-0000-0000AB5A0000}"/>
    <cellStyle name="Normal 23 6 2 4 6" xfId="23218" xr:uid="{00000000-0005-0000-0000-0000AC5A0000}"/>
    <cellStyle name="Normal 23 6 2 4 7" xfId="23219" xr:uid="{00000000-0005-0000-0000-0000AD5A0000}"/>
    <cellStyle name="Normal 23 6 2 4 8" xfId="23220" xr:uid="{00000000-0005-0000-0000-0000AE5A0000}"/>
    <cellStyle name="Normal 23 6 2 5" xfId="23221" xr:uid="{00000000-0005-0000-0000-0000AF5A0000}"/>
    <cellStyle name="Normal 23 6 2 5 2" xfId="23222" xr:uid="{00000000-0005-0000-0000-0000B05A0000}"/>
    <cellStyle name="Normal 23 6 2 5 3" xfId="23223" xr:uid="{00000000-0005-0000-0000-0000B15A0000}"/>
    <cellStyle name="Normal 23 6 2 5 4" xfId="23224" xr:uid="{00000000-0005-0000-0000-0000B25A0000}"/>
    <cellStyle name="Normal 23 6 2 5 5" xfId="23225" xr:uid="{00000000-0005-0000-0000-0000B35A0000}"/>
    <cellStyle name="Normal 23 6 2 5 6" xfId="23226" xr:uid="{00000000-0005-0000-0000-0000B45A0000}"/>
    <cellStyle name="Normal 23 6 2 6" xfId="23227" xr:uid="{00000000-0005-0000-0000-0000B55A0000}"/>
    <cellStyle name="Normal 23 6 2 6 2" xfId="23228" xr:uid="{00000000-0005-0000-0000-0000B65A0000}"/>
    <cellStyle name="Normal 23 6 2 6 3" xfId="23229" xr:uid="{00000000-0005-0000-0000-0000B75A0000}"/>
    <cellStyle name="Normal 23 6 2 6 4" xfId="23230" xr:uid="{00000000-0005-0000-0000-0000B85A0000}"/>
    <cellStyle name="Normal 23 6 2 6 5" xfId="23231" xr:uid="{00000000-0005-0000-0000-0000B95A0000}"/>
    <cellStyle name="Normal 23 6 2 6 6" xfId="23232" xr:uid="{00000000-0005-0000-0000-0000BA5A0000}"/>
    <cellStyle name="Normal 23 6 2 7" xfId="23233" xr:uid="{00000000-0005-0000-0000-0000BB5A0000}"/>
    <cellStyle name="Normal 23 6 2 8" xfId="23234" xr:uid="{00000000-0005-0000-0000-0000BC5A0000}"/>
    <cellStyle name="Normal 23 6 2 9" xfId="23235" xr:uid="{00000000-0005-0000-0000-0000BD5A0000}"/>
    <cellStyle name="Normal 23 6 3" xfId="23236" xr:uid="{00000000-0005-0000-0000-0000BE5A0000}"/>
    <cellStyle name="Normal 23 6 3 2" xfId="23237" xr:uid="{00000000-0005-0000-0000-0000BF5A0000}"/>
    <cellStyle name="Normal 23 6 3 2 2" xfId="23238" xr:uid="{00000000-0005-0000-0000-0000C05A0000}"/>
    <cellStyle name="Normal 23 6 3 2 3" xfId="23239" xr:uid="{00000000-0005-0000-0000-0000C15A0000}"/>
    <cellStyle name="Normal 23 6 3 2 4" xfId="23240" xr:uid="{00000000-0005-0000-0000-0000C25A0000}"/>
    <cellStyle name="Normal 23 6 3 2 5" xfId="23241" xr:uid="{00000000-0005-0000-0000-0000C35A0000}"/>
    <cellStyle name="Normal 23 6 3 2 6" xfId="23242" xr:uid="{00000000-0005-0000-0000-0000C45A0000}"/>
    <cellStyle name="Normal 23 6 3 3" xfId="23243" xr:uid="{00000000-0005-0000-0000-0000C55A0000}"/>
    <cellStyle name="Normal 23 6 3 3 2" xfId="23244" xr:uid="{00000000-0005-0000-0000-0000C65A0000}"/>
    <cellStyle name="Normal 23 6 3 3 3" xfId="23245" xr:uid="{00000000-0005-0000-0000-0000C75A0000}"/>
    <cellStyle name="Normal 23 6 3 3 4" xfId="23246" xr:uid="{00000000-0005-0000-0000-0000C85A0000}"/>
    <cellStyle name="Normal 23 6 3 3 5" xfId="23247" xr:uid="{00000000-0005-0000-0000-0000C95A0000}"/>
    <cellStyle name="Normal 23 6 3 3 6" xfId="23248" xr:uid="{00000000-0005-0000-0000-0000CA5A0000}"/>
    <cellStyle name="Normal 23 6 3 4" xfId="23249" xr:uid="{00000000-0005-0000-0000-0000CB5A0000}"/>
    <cellStyle name="Normal 23 6 3 5" xfId="23250" xr:uid="{00000000-0005-0000-0000-0000CC5A0000}"/>
    <cellStyle name="Normal 23 6 3 6" xfId="23251" xr:uid="{00000000-0005-0000-0000-0000CD5A0000}"/>
    <cellStyle name="Normal 23 6 3 7" xfId="23252" xr:uid="{00000000-0005-0000-0000-0000CE5A0000}"/>
    <cellStyle name="Normal 23 6 3 8" xfId="23253" xr:uid="{00000000-0005-0000-0000-0000CF5A0000}"/>
    <cellStyle name="Normal 23 6 4" xfId="23254" xr:uid="{00000000-0005-0000-0000-0000D05A0000}"/>
    <cellStyle name="Normal 23 6 4 2" xfId="23255" xr:uid="{00000000-0005-0000-0000-0000D15A0000}"/>
    <cellStyle name="Normal 23 6 4 2 2" xfId="23256" xr:uid="{00000000-0005-0000-0000-0000D25A0000}"/>
    <cellStyle name="Normal 23 6 4 2 3" xfId="23257" xr:uid="{00000000-0005-0000-0000-0000D35A0000}"/>
    <cellStyle name="Normal 23 6 4 2 4" xfId="23258" xr:uid="{00000000-0005-0000-0000-0000D45A0000}"/>
    <cellStyle name="Normal 23 6 4 2 5" xfId="23259" xr:uid="{00000000-0005-0000-0000-0000D55A0000}"/>
    <cellStyle name="Normal 23 6 4 2 6" xfId="23260" xr:uid="{00000000-0005-0000-0000-0000D65A0000}"/>
    <cellStyle name="Normal 23 6 4 3" xfId="23261" xr:uid="{00000000-0005-0000-0000-0000D75A0000}"/>
    <cellStyle name="Normal 23 6 4 3 2" xfId="23262" xr:uid="{00000000-0005-0000-0000-0000D85A0000}"/>
    <cellStyle name="Normal 23 6 4 3 3" xfId="23263" xr:uid="{00000000-0005-0000-0000-0000D95A0000}"/>
    <cellStyle name="Normal 23 6 4 3 4" xfId="23264" xr:uid="{00000000-0005-0000-0000-0000DA5A0000}"/>
    <cellStyle name="Normal 23 6 4 3 5" xfId="23265" xr:uid="{00000000-0005-0000-0000-0000DB5A0000}"/>
    <cellStyle name="Normal 23 6 4 3 6" xfId="23266" xr:uid="{00000000-0005-0000-0000-0000DC5A0000}"/>
    <cellStyle name="Normal 23 6 4 4" xfId="23267" xr:uid="{00000000-0005-0000-0000-0000DD5A0000}"/>
    <cellStyle name="Normal 23 6 4 5" xfId="23268" xr:uid="{00000000-0005-0000-0000-0000DE5A0000}"/>
    <cellStyle name="Normal 23 6 4 6" xfId="23269" xr:uid="{00000000-0005-0000-0000-0000DF5A0000}"/>
    <cellStyle name="Normal 23 6 4 7" xfId="23270" xr:uid="{00000000-0005-0000-0000-0000E05A0000}"/>
    <cellStyle name="Normal 23 6 4 8" xfId="23271" xr:uid="{00000000-0005-0000-0000-0000E15A0000}"/>
    <cellStyle name="Normal 23 6 5" xfId="23272" xr:uid="{00000000-0005-0000-0000-0000E25A0000}"/>
    <cellStyle name="Normal 23 6 5 2" xfId="23273" xr:uid="{00000000-0005-0000-0000-0000E35A0000}"/>
    <cellStyle name="Normal 23 6 5 2 2" xfId="23274" xr:uid="{00000000-0005-0000-0000-0000E45A0000}"/>
    <cellStyle name="Normal 23 6 5 2 3" xfId="23275" xr:uid="{00000000-0005-0000-0000-0000E55A0000}"/>
    <cellStyle name="Normal 23 6 5 2 4" xfId="23276" xr:uid="{00000000-0005-0000-0000-0000E65A0000}"/>
    <cellStyle name="Normal 23 6 5 2 5" xfId="23277" xr:uid="{00000000-0005-0000-0000-0000E75A0000}"/>
    <cellStyle name="Normal 23 6 5 2 6" xfId="23278" xr:uid="{00000000-0005-0000-0000-0000E85A0000}"/>
    <cellStyle name="Normal 23 6 5 3" xfId="23279" xr:uid="{00000000-0005-0000-0000-0000E95A0000}"/>
    <cellStyle name="Normal 23 6 5 3 2" xfId="23280" xr:uid="{00000000-0005-0000-0000-0000EA5A0000}"/>
    <cellStyle name="Normal 23 6 5 3 3" xfId="23281" xr:uid="{00000000-0005-0000-0000-0000EB5A0000}"/>
    <cellStyle name="Normal 23 6 5 3 4" xfId="23282" xr:uid="{00000000-0005-0000-0000-0000EC5A0000}"/>
    <cellStyle name="Normal 23 6 5 3 5" xfId="23283" xr:uid="{00000000-0005-0000-0000-0000ED5A0000}"/>
    <cellStyle name="Normal 23 6 5 3 6" xfId="23284" xr:uid="{00000000-0005-0000-0000-0000EE5A0000}"/>
    <cellStyle name="Normal 23 6 5 4" xfId="23285" xr:uid="{00000000-0005-0000-0000-0000EF5A0000}"/>
    <cellStyle name="Normal 23 6 5 5" xfId="23286" xr:uid="{00000000-0005-0000-0000-0000F05A0000}"/>
    <cellStyle name="Normal 23 6 5 6" xfId="23287" xr:uid="{00000000-0005-0000-0000-0000F15A0000}"/>
    <cellStyle name="Normal 23 6 5 7" xfId="23288" xr:uid="{00000000-0005-0000-0000-0000F25A0000}"/>
    <cellStyle name="Normal 23 6 5 8" xfId="23289" xr:uid="{00000000-0005-0000-0000-0000F35A0000}"/>
    <cellStyle name="Normal 23 6 6" xfId="23290" xr:uid="{00000000-0005-0000-0000-0000F45A0000}"/>
    <cellStyle name="Normal 23 6 6 2" xfId="23291" xr:uid="{00000000-0005-0000-0000-0000F55A0000}"/>
    <cellStyle name="Normal 23 6 6 3" xfId="23292" xr:uid="{00000000-0005-0000-0000-0000F65A0000}"/>
    <cellStyle name="Normal 23 6 6 4" xfId="23293" xr:uid="{00000000-0005-0000-0000-0000F75A0000}"/>
    <cellStyle name="Normal 23 6 6 5" xfId="23294" xr:uid="{00000000-0005-0000-0000-0000F85A0000}"/>
    <cellStyle name="Normal 23 6 6 6" xfId="23295" xr:uid="{00000000-0005-0000-0000-0000F95A0000}"/>
    <cellStyle name="Normal 23 6 7" xfId="23296" xr:uid="{00000000-0005-0000-0000-0000FA5A0000}"/>
    <cellStyle name="Normal 23 6 7 2" xfId="23297" xr:uid="{00000000-0005-0000-0000-0000FB5A0000}"/>
    <cellStyle name="Normal 23 6 7 3" xfId="23298" xr:uid="{00000000-0005-0000-0000-0000FC5A0000}"/>
    <cellStyle name="Normal 23 6 7 4" xfId="23299" xr:uid="{00000000-0005-0000-0000-0000FD5A0000}"/>
    <cellStyle name="Normal 23 6 7 5" xfId="23300" xr:uid="{00000000-0005-0000-0000-0000FE5A0000}"/>
    <cellStyle name="Normal 23 6 7 6" xfId="23301" xr:uid="{00000000-0005-0000-0000-0000FF5A0000}"/>
    <cellStyle name="Normal 23 6 8" xfId="23302" xr:uid="{00000000-0005-0000-0000-0000005B0000}"/>
    <cellStyle name="Normal 23 6 9" xfId="23303" xr:uid="{00000000-0005-0000-0000-0000015B0000}"/>
    <cellStyle name="Normal 23 7" xfId="23304" xr:uid="{00000000-0005-0000-0000-0000025B0000}"/>
    <cellStyle name="Normal 23 7 10" xfId="23305" xr:uid="{00000000-0005-0000-0000-0000035B0000}"/>
    <cellStyle name="Normal 23 7 11" xfId="23306" xr:uid="{00000000-0005-0000-0000-0000045B0000}"/>
    <cellStyle name="Normal 23 7 2" xfId="23307" xr:uid="{00000000-0005-0000-0000-0000055B0000}"/>
    <cellStyle name="Normal 23 7 2 2" xfId="23308" xr:uid="{00000000-0005-0000-0000-0000065B0000}"/>
    <cellStyle name="Normal 23 7 2 2 2" xfId="23309" xr:uid="{00000000-0005-0000-0000-0000075B0000}"/>
    <cellStyle name="Normal 23 7 2 2 3" xfId="23310" xr:uid="{00000000-0005-0000-0000-0000085B0000}"/>
    <cellStyle name="Normal 23 7 2 2 4" xfId="23311" xr:uid="{00000000-0005-0000-0000-0000095B0000}"/>
    <cellStyle name="Normal 23 7 2 2 5" xfId="23312" xr:uid="{00000000-0005-0000-0000-00000A5B0000}"/>
    <cellStyle name="Normal 23 7 2 2 6" xfId="23313" xr:uid="{00000000-0005-0000-0000-00000B5B0000}"/>
    <cellStyle name="Normal 23 7 2 3" xfId="23314" xr:uid="{00000000-0005-0000-0000-00000C5B0000}"/>
    <cellStyle name="Normal 23 7 2 3 2" xfId="23315" xr:uid="{00000000-0005-0000-0000-00000D5B0000}"/>
    <cellStyle name="Normal 23 7 2 3 3" xfId="23316" xr:uid="{00000000-0005-0000-0000-00000E5B0000}"/>
    <cellStyle name="Normal 23 7 2 3 4" xfId="23317" xr:uid="{00000000-0005-0000-0000-00000F5B0000}"/>
    <cellStyle name="Normal 23 7 2 3 5" xfId="23318" xr:uid="{00000000-0005-0000-0000-0000105B0000}"/>
    <cellStyle name="Normal 23 7 2 3 6" xfId="23319" xr:uid="{00000000-0005-0000-0000-0000115B0000}"/>
    <cellStyle name="Normal 23 7 2 4" xfId="23320" xr:uid="{00000000-0005-0000-0000-0000125B0000}"/>
    <cellStyle name="Normal 23 7 2 5" xfId="23321" xr:uid="{00000000-0005-0000-0000-0000135B0000}"/>
    <cellStyle name="Normal 23 7 2 6" xfId="23322" xr:uid="{00000000-0005-0000-0000-0000145B0000}"/>
    <cellStyle name="Normal 23 7 2 7" xfId="23323" xr:uid="{00000000-0005-0000-0000-0000155B0000}"/>
    <cellStyle name="Normal 23 7 2 8" xfId="23324" xr:uid="{00000000-0005-0000-0000-0000165B0000}"/>
    <cellStyle name="Normal 23 7 3" xfId="23325" xr:uid="{00000000-0005-0000-0000-0000175B0000}"/>
    <cellStyle name="Normal 23 7 3 2" xfId="23326" xr:uid="{00000000-0005-0000-0000-0000185B0000}"/>
    <cellStyle name="Normal 23 7 3 2 2" xfId="23327" xr:uid="{00000000-0005-0000-0000-0000195B0000}"/>
    <cellStyle name="Normal 23 7 3 2 3" xfId="23328" xr:uid="{00000000-0005-0000-0000-00001A5B0000}"/>
    <cellStyle name="Normal 23 7 3 2 4" xfId="23329" xr:uid="{00000000-0005-0000-0000-00001B5B0000}"/>
    <cellStyle name="Normal 23 7 3 2 5" xfId="23330" xr:uid="{00000000-0005-0000-0000-00001C5B0000}"/>
    <cellStyle name="Normal 23 7 3 2 6" xfId="23331" xr:uid="{00000000-0005-0000-0000-00001D5B0000}"/>
    <cellStyle name="Normal 23 7 3 3" xfId="23332" xr:uid="{00000000-0005-0000-0000-00001E5B0000}"/>
    <cellStyle name="Normal 23 7 3 3 2" xfId="23333" xr:uid="{00000000-0005-0000-0000-00001F5B0000}"/>
    <cellStyle name="Normal 23 7 3 3 3" xfId="23334" xr:uid="{00000000-0005-0000-0000-0000205B0000}"/>
    <cellStyle name="Normal 23 7 3 3 4" xfId="23335" xr:uid="{00000000-0005-0000-0000-0000215B0000}"/>
    <cellStyle name="Normal 23 7 3 3 5" xfId="23336" xr:uid="{00000000-0005-0000-0000-0000225B0000}"/>
    <cellStyle name="Normal 23 7 3 3 6" xfId="23337" xr:uid="{00000000-0005-0000-0000-0000235B0000}"/>
    <cellStyle name="Normal 23 7 3 4" xfId="23338" xr:uid="{00000000-0005-0000-0000-0000245B0000}"/>
    <cellStyle name="Normal 23 7 3 5" xfId="23339" xr:uid="{00000000-0005-0000-0000-0000255B0000}"/>
    <cellStyle name="Normal 23 7 3 6" xfId="23340" xr:uid="{00000000-0005-0000-0000-0000265B0000}"/>
    <cellStyle name="Normal 23 7 3 7" xfId="23341" xr:uid="{00000000-0005-0000-0000-0000275B0000}"/>
    <cellStyle name="Normal 23 7 3 8" xfId="23342" xr:uid="{00000000-0005-0000-0000-0000285B0000}"/>
    <cellStyle name="Normal 23 7 4" xfId="23343" xr:uid="{00000000-0005-0000-0000-0000295B0000}"/>
    <cellStyle name="Normal 23 7 4 2" xfId="23344" xr:uid="{00000000-0005-0000-0000-00002A5B0000}"/>
    <cellStyle name="Normal 23 7 4 2 2" xfId="23345" xr:uid="{00000000-0005-0000-0000-00002B5B0000}"/>
    <cellStyle name="Normal 23 7 4 2 3" xfId="23346" xr:uid="{00000000-0005-0000-0000-00002C5B0000}"/>
    <cellStyle name="Normal 23 7 4 2 4" xfId="23347" xr:uid="{00000000-0005-0000-0000-00002D5B0000}"/>
    <cellStyle name="Normal 23 7 4 2 5" xfId="23348" xr:uid="{00000000-0005-0000-0000-00002E5B0000}"/>
    <cellStyle name="Normal 23 7 4 2 6" xfId="23349" xr:uid="{00000000-0005-0000-0000-00002F5B0000}"/>
    <cellStyle name="Normal 23 7 4 3" xfId="23350" xr:uid="{00000000-0005-0000-0000-0000305B0000}"/>
    <cellStyle name="Normal 23 7 4 3 2" xfId="23351" xr:uid="{00000000-0005-0000-0000-0000315B0000}"/>
    <cellStyle name="Normal 23 7 4 3 3" xfId="23352" xr:uid="{00000000-0005-0000-0000-0000325B0000}"/>
    <cellStyle name="Normal 23 7 4 3 4" xfId="23353" xr:uid="{00000000-0005-0000-0000-0000335B0000}"/>
    <cellStyle name="Normal 23 7 4 3 5" xfId="23354" xr:uid="{00000000-0005-0000-0000-0000345B0000}"/>
    <cellStyle name="Normal 23 7 4 3 6" xfId="23355" xr:uid="{00000000-0005-0000-0000-0000355B0000}"/>
    <cellStyle name="Normal 23 7 4 4" xfId="23356" xr:uid="{00000000-0005-0000-0000-0000365B0000}"/>
    <cellStyle name="Normal 23 7 4 5" xfId="23357" xr:uid="{00000000-0005-0000-0000-0000375B0000}"/>
    <cellStyle name="Normal 23 7 4 6" xfId="23358" xr:uid="{00000000-0005-0000-0000-0000385B0000}"/>
    <cellStyle name="Normal 23 7 4 7" xfId="23359" xr:uid="{00000000-0005-0000-0000-0000395B0000}"/>
    <cellStyle name="Normal 23 7 4 8" xfId="23360" xr:uid="{00000000-0005-0000-0000-00003A5B0000}"/>
    <cellStyle name="Normal 23 7 5" xfId="23361" xr:uid="{00000000-0005-0000-0000-00003B5B0000}"/>
    <cellStyle name="Normal 23 7 5 2" xfId="23362" xr:uid="{00000000-0005-0000-0000-00003C5B0000}"/>
    <cellStyle name="Normal 23 7 5 3" xfId="23363" xr:uid="{00000000-0005-0000-0000-00003D5B0000}"/>
    <cellStyle name="Normal 23 7 5 4" xfId="23364" xr:uid="{00000000-0005-0000-0000-00003E5B0000}"/>
    <cellStyle name="Normal 23 7 5 5" xfId="23365" xr:uid="{00000000-0005-0000-0000-00003F5B0000}"/>
    <cellStyle name="Normal 23 7 5 6" xfId="23366" xr:uid="{00000000-0005-0000-0000-0000405B0000}"/>
    <cellStyle name="Normal 23 7 6" xfId="23367" xr:uid="{00000000-0005-0000-0000-0000415B0000}"/>
    <cellStyle name="Normal 23 7 6 2" xfId="23368" xr:uid="{00000000-0005-0000-0000-0000425B0000}"/>
    <cellStyle name="Normal 23 7 6 3" xfId="23369" xr:uid="{00000000-0005-0000-0000-0000435B0000}"/>
    <cellStyle name="Normal 23 7 6 4" xfId="23370" xr:uid="{00000000-0005-0000-0000-0000445B0000}"/>
    <cellStyle name="Normal 23 7 6 5" xfId="23371" xr:uid="{00000000-0005-0000-0000-0000455B0000}"/>
    <cellStyle name="Normal 23 7 6 6" xfId="23372" xr:uid="{00000000-0005-0000-0000-0000465B0000}"/>
    <cellStyle name="Normal 23 7 7" xfId="23373" xr:uid="{00000000-0005-0000-0000-0000475B0000}"/>
    <cellStyle name="Normal 23 7 8" xfId="23374" xr:uid="{00000000-0005-0000-0000-0000485B0000}"/>
    <cellStyle name="Normal 23 7 9" xfId="23375" xr:uid="{00000000-0005-0000-0000-0000495B0000}"/>
    <cellStyle name="Normal 23 8" xfId="23376" xr:uid="{00000000-0005-0000-0000-00004A5B0000}"/>
    <cellStyle name="Normal 23 8 2" xfId="23377" xr:uid="{00000000-0005-0000-0000-00004B5B0000}"/>
    <cellStyle name="Normal 23 8 2 2" xfId="23378" xr:uid="{00000000-0005-0000-0000-00004C5B0000}"/>
    <cellStyle name="Normal 23 8 2 3" xfId="23379" xr:uid="{00000000-0005-0000-0000-00004D5B0000}"/>
    <cellStyle name="Normal 23 8 2 4" xfId="23380" xr:uid="{00000000-0005-0000-0000-00004E5B0000}"/>
    <cellStyle name="Normal 23 8 2 5" xfId="23381" xr:uid="{00000000-0005-0000-0000-00004F5B0000}"/>
    <cellStyle name="Normal 23 8 2 6" xfId="23382" xr:uid="{00000000-0005-0000-0000-0000505B0000}"/>
    <cellStyle name="Normal 23 8 3" xfId="23383" xr:uid="{00000000-0005-0000-0000-0000515B0000}"/>
    <cellStyle name="Normal 23 8 3 2" xfId="23384" xr:uid="{00000000-0005-0000-0000-0000525B0000}"/>
    <cellStyle name="Normal 23 8 3 3" xfId="23385" xr:uid="{00000000-0005-0000-0000-0000535B0000}"/>
    <cellStyle name="Normal 23 8 3 4" xfId="23386" xr:uid="{00000000-0005-0000-0000-0000545B0000}"/>
    <cellStyle name="Normal 23 8 3 5" xfId="23387" xr:uid="{00000000-0005-0000-0000-0000555B0000}"/>
    <cellStyle name="Normal 23 8 3 6" xfId="23388" xr:uid="{00000000-0005-0000-0000-0000565B0000}"/>
    <cellStyle name="Normal 23 8 4" xfId="23389" xr:uid="{00000000-0005-0000-0000-0000575B0000}"/>
    <cellStyle name="Normal 23 8 5" xfId="23390" xr:uid="{00000000-0005-0000-0000-0000585B0000}"/>
    <cellStyle name="Normal 23 8 6" xfId="23391" xr:uid="{00000000-0005-0000-0000-0000595B0000}"/>
    <cellStyle name="Normal 23 8 7" xfId="23392" xr:uid="{00000000-0005-0000-0000-00005A5B0000}"/>
    <cellStyle name="Normal 23 8 8" xfId="23393" xr:uid="{00000000-0005-0000-0000-00005B5B0000}"/>
    <cellStyle name="Normal 23 9" xfId="23394" xr:uid="{00000000-0005-0000-0000-00005C5B0000}"/>
    <cellStyle name="Normal 23 9 2" xfId="23395" xr:uid="{00000000-0005-0000-0000-00005D5B0000}"/>
    <cellStyle name="Normal 23 9 2 2" xfId="23396" xr:uid="{00000000-0005-0000-0000-00005E5B0000}"/>
    <cellStyle name="Normal 23 9 2 3" xfId="23397" xr:uid="{00000000-0005-0000-0000-00005F5B0000}"/>
    <cellStyle name="Normal 23 9 2 4" xfId="23398" xr:uid="{00000000-0005-0000-0000-0000605B0000}"/>
    <cellStyle name="Normal 23 9 2 5" xfId="23399" xr:uid="{00000000-0005-0000-0000-0000615B0000}"/>
    <cellStyle name="Normal 23 9 2 6" xfId="23400" xr:uid="{00000000-0005-0000-0000-0000625B0000}"/>
    <cellStyle name="Normal 23 9 3" xfId="23401" xr:uid="{00000000-0005-0000-0000-0000635B0000}"/>
    <cellStyle name="Normal 23 9 3 2" xfId="23402" xr:uid="{00000000-0005-0000-0000-0000645B0000}"/>
    <cellStyle name="Normal 23 9 3 3" xfId="23403" xr:uid="{00000000-0005-0000-0000-0000655B0000}"/>
    <cellStyle name="Normal 23 9 3 4" xfId="23404" xr:uid="{00000000-0005-0000-0000-0000665B0000}"/>
    <cellStyle name="Normal 23 9 3 5" xfId="23405" xr:uid="{00000000-0005-0000-0000-0000675B0000}"/>
    <cellStyle name="Normal 23 9 3 6" xfId="23406" xr:uid="{00000000-0005-0000-0000-0000685B0000}"/>
    <cellStyle name="Normal 23 9 4" xfId="23407" xr:uid="{00000000-0005-0000-0000-0000695B0000}"/>
    <cellStyle name="Normal 23 9 5" xfId="23408" xr:uid="{00000000-0005-0000-0000-00006A5B0000}"/>
    <cellStyle name="Normal 23 9 6" xfId="23409" xr:uid="{00000000-0005-0000-0000-00006B5B0000}"/>
    <cellStyle name="Normal 23 9 7" xfId="23410" xr:uid="{00000000-0005-0000-0000-00006C5B0000}"/>
    <cellStyle name="Normal 23 9 8" xfId="23411" xr:uid="{00000000-0005-0000-0000-00006D5B0000}"/>
    <cellStyle name="Normal 24" xfId="23412" xr:uid="{00000000-0005-0000-0000-00006E5B0000}"/>
    <cellStyle name="Normal 24 10" xfId="23413" xr:uid="{00000000-0005-0000-0000-00006F5B0000}"/>
    <cellStyle name="Normal 24 10 2" xfId="23414" xr:uid="{00000000-0005-0000-0000-0000705B0000}"/>
    <cellStyle name="Normal 24 11" xfId="23415" xr:uid="{00000000-0005-0000-0000-0000715B0000}"/>
    <cellStyle name="Normal 24 11 2" xfId="23416" xr:uid="{00000000-0005-0000-0000-0000725B0000}"/>
    <cellStyle name="Normal 24 12" xfId="23417" xr:uid="{00000000-0005-0000-0000-0000735B0000}"/>
    <cellStyle name="Normal 24 12 2" xfId="23418" xr:uid="{00000000-0005-0000-0000-0000745B0000}"/>
    <cellStyle name="Normal 24 13" xfId="23419" xr:uid="{00000000-0005-0000-0000-0000755B0000}"/>
    <cellStyle name="Normal 24 13 2" xfId="23420" xr:uid="{00000000-0005-0000-0000-0000765B0000}"/>
    <cellStyle name="Normal 24 14" xfId="23421" xr:uid="{00000000-0005-0000-0000-0000775B0000}"/>
    <cellStyle name="Normal 24 14 2" xfId="23422" xr:uid="{00000000-0005-0000-0000-0000785B0000}"/>
    <cellStyle name="Normal 24 15" xfId="23423" xr:uid="{00000000-0005-0000-0000-0000795B0000}"/>
    <cellStyle name="Normal 24 15 2" xfId="23424" xr:uid="{00000000-0005-0000-0000-00007A5B0000}"/>
    <cellStyle name="Normal 24 16" xfId="23425" xr:uid="{00000000-0005-0000-0000-00007B5B0000}"/>
    <cellStyle name="Normal 24 16 2" xfId="23426" xr:uid="{00000000-0005-0000-0000-00007C5B0000}"/>
    <cellStyle name="Normal 24 17" xfId="23427" xr:uid="{00000000-0005-0000-0000-00007D5B0000}"/>
    <cellStyle name="Normal 24 2" xfId="23428" xr:uid="{00000000-0005-0000-0000-00007E5B0000}"/>
    <cellStyle name="Normal 24 2 2" xfId="23429" xr:uid="{00000000-0005-0000-0000-00007F5B0000}"/>
    <cellStyle name="Normal 24 3" xfId="23430" xr:uid="{00000000-0005-0000-0000-0000805B0000}"/>
    <cellStyle name="Normal 24 3 2" xfId="23431" xr:uid="{00000000-0005-0000-0000-0000815B0000}"/>
    <cellStyle name="Normal 24 4" xfId="23432" xr:uid="{00000000-0005-0000-0000-0000825B0000}"/>
    <cellStyle name="Normal 24 4 2" xfId="23433" xr:uid="{00000000-0005-0000-0000-0000835B0000}"/>
    <cellStyle name="Normal 24 5" xfId="23434" xr:uid="{00000000-0005-0000-0000-0000845B0000}"/>
    <cellStyle name="Normal 24 5 2" xfId="23435" xr:uid="{00000000-0005-0000-0000-0000855B0000}"/>
    <cellStyle name="Normal 24 6" xfId="23436" xr:uid="{00000000-0005-0000-0000-0000865B0000}"/>
    <cellStyle name="Normal 24 6 2" xfId="23437" xr:uid="{00000000-0005-0000-0000-0000875B0000}"/>
    <cellStyle name="Normal 24 7" xfId="23438" xr:uid="{00000000-0005-0000-0000-0000885B0000}"/>
    <cellStyle name="Normal 24 7 2" xfId="23439" xr:uid="{00000000-0005-0000-0000-0000895B0000}"/>
    <cellStyle name="Normal 24 8" xfId="23440" xr:uid="{00000000-0005-0000-0000-00008A5B0000}"/>
    <cellStyle name="Normal 24 8 2" xfId="23441" xr:uid="{00000000-0005-0000-0000-00008B5B0000}"/>
    <cellStyle name="Normal 24 9" xfId="23442" xr:uid="{00000000-0005-0000-0000-00008C5B0000}"/>
    <cellStyle name="Normal 24 9 2" xfId="23443" xr:uid="{00000000-0005-0000-0000-00008D5B0000}"/>
    <cellStyle name="Normal 25" xfId="23444" xr:uid="{00000000-0005-0000-0000-00008E5B0000}"/>
    <cellStyle name="Normal 25 10" xfId="23445" xr:uid="{00000000-0005-0000-0000-00008F5B0000}"/>
    <cellStyle name="Normal 25 10 2" xfId="23446" xr:uid="{00000000-0005-0000-0000-0000905B0000}"/>
    <cellStyle name="Normal 25 10 2 2" xfId="23447" xr:uid="{00000000-0005-0000-0000-0000915B0000}"/>
    <cellStyle name="Normal 25 10 2 3" xfId="23448" xr:uid="{00000000-0005-0000-0000-0000925B0000}"/>
    <cellStyle name="Normal 25 10 2 4" xfId="23449" xr:uid="{00000000-0005-0000-0000-0000935B0000}"/>
    <cellStyle name="Normal 25 10 2 5" xfId="23450" xr:uid="{00000000-0005-0000-0000-0000945B0000}"/>
    <cellStyle name="Normal 25 10 2 6" xfId="23451" xr:uid="{00000000-0005-0000-0000-0000955B0000}"/>
    <cellStyle name="Normal 25 10 3" xfId="23452" xr:uid="{00000000-0005-0000-0000-0000965B0000}"/>
    <cellStyle name="Normal 25 10 3 2" xfId="23453" xr:uid="{00000000-0005-0000-0000-0000975B0000}"/>
    <cellStyle name="Normal 25 10 3 3" xfId="23454" xr:uid="{00000000-0005-0000-0000-0000985B0000}"/>
    <cellStyle name="Normal 25 10 3 4" xfId="23455" xr:uid="{00000000-0005-0000-0000-0000995B0000}"/>
    <cellStyle name="Normal 25 10 3 5" xfId="23456" xr:uid="{00000000-0005-0000-0000-00009A5B0000}"/>
    <cellStyle name="Normal 25 10 3 6" xfId="23457" xr:uid="{00000000-0005-0000-0000-00009B5B0000}"/>
    <cellStyle name="Normal 25 10 4" xfId="23458" xr:uid="{00000000-0005-0000-0000-00009C5B0000}"/>
    <cellStyle name="Normal 25 10 5" xfId="23459" xr:uid="{00000000-0005-0000-0000-00009D5B0000}"/>
    <cellStyle name="Normal 25 10 6" xfId="23460" xr:uid="{00000000-0005-0000-0000-00009E5B0000}"/>
    <cellStyle name="Normal 25 10 7" xfId="23461" xr:uid="{00000000-0005-0000-0000-00009F5B0000}"/>
    <cellStyle name="Normal 25 10 8" xfId="23462" xr:uid="{00000000-0005-0000-0000-0000A05B0000}"/>
    <cellStyle name="Normal 25 11" xfId="23463" xr:uid="{00000000-0005-0000-0000-0000A15B0000}"/>
    <cellStyle name="Normal 25 11 2" xfId="23464" xr:uid="{00000000-0005-0000-0000-0000A25B0000}"/>
    <cellStyle name="Normal 25 11 3" xfId="23465" xr:uid="{00000000-0005-0000-0000-0000A35B0000}"/>
    <cellStyle name="Normal 25 11 4" xfId="23466" xr:uid="{00000000-0005-0000-0000-0000A45B0000}"/>
    <cellStyle name="Normal 25 11 5" xfId="23467" xr:uid="{00000000-0005-0000-0000-0000A55B0000}"/>
    <cellStyle name="Normal 25 11 6" xfId="23468" xr:uid="{00000000-0005-0000-0000-0000A65B0000}"/>
    <cellStyle name="Normal 25 12" xfId="23469" xr:uid="{00000000-0005-0000-0000-0000A75B0000}"/>
    <cellStyle name="Normal 25 12 2" xfId="23470" xr:uid="{00000000-0005-0000-0000-0000A85B0000}"/>
    <cellStyle name="Normal 25 12 3" xfId="23471" xr:uid="{00000000-0005-0000-0000-0000A95B0000}"/>
    <cellStyle name="Normal 25 12 4" xfId="23472" xr:uid="{00000000-0005-0000-0000-0000AA5B0000}"/>
    <cellStyle name="Normal 25 12 5" xfId="23473" xr:uid="{00000000-0005-0000-0000-0000AB5B0000}"/>
    <cellStyle name="Normal 25 12 6" xfId="23474" xr:uid="{00000000-0005-0000-0000-0000AC5B0000}"/>
    <cellStyle name="Normal 25 13" xfId="23475" xr:uid="{00000000-0005-0000-0000-0000AD5B0000}"/>
    <cellStyle name="Normal 25 14" xfId="23476" xr:uid="{00000000-0005-0000-0000-0000AE5B0000}"/>
    <cellStyle name="Normal 25 15" xfId="23477" xr:uid="{00000000-0005-0000-0000-0000AF5B0000}"/>
    <cellStyle name="Normal 25 16" xfId="23478" xr:uid="{00000000-0005-0000-0000-0000B05B0000}"/>
    <cellStyle name="Normal 25 17" xfId="23479" xr:uid="{00000000-0005-0000-0000-0000B15B0000}"/>
    <cellStyle name="Normal 25 2" xfId="23480" xr:uid="{00000000-0005-0000-0000-0000B25B0000}"/>
    <cellStyle name="Normal 25 2 10" xfId="23481" xr:uid="{00000000-0005-0000-0000-0000B35B0000}"/>
    <cellStyle name="Normal 25 2 10 2" xfId="23482" xr:uid="{00000000-0005-0000-0000-0000B45B0000}"/>
    <cellStyle name="Normal 25 2 10 3" xfId="23483" xr:uid="{00000000-0005-0000-0000-0000B55B0000}"/>
    <cellStyle name="Normal 25 2 10 4" xfId="23484" xr:uid="{00000000-0005-0000-0000-0000B65B0000}"/>
    <cellStyle name="Normal 25 2 10 5" xfId="23485" xr:uid="{00000000-0005-0000-0000-0000B75B0000}"/>
    <cellStyle name="Normal 25 2 10 6" xfId="23486" xr:uid="{00000000-0005-0000-0000-0000B85B0000}"/>
    <cellStyle name="Normal 25 2 11" xfId="23487" xr:uid="{00000000-0005-0000-0000-0000B95B0000}"/>
    <cellStyle name="Normal 25 2 12" xfId="23488" xr:uid="{00000000-0005-0000-0000-0000BA5B0000}"/>
    <cellStyle name="Normal 25 2 13" xfId="23489" xr:uid="{00000000-0005-0000-0000-0000BB5B0000}"/>
    <cellStyle name="Normal 25 2 14" xfId="23490" xr:uid="{00000000-0005-0000-0000-0000BC5B0000}"/>
    <cellStyle name="Normal 25 2 15" xfId="23491" xr:uid="{00000000-0005-0000-0000-0000BD5B0000}"/>
    <cellStyle name="Normal 25 2 2" xfId="23492" xr:uid="{00000000-0005-0000-0000-0000BE5B0000}"/>
    <cellStyle name="Normal 25 2 2 10" xfId="23493" xr:uid="{00000000-0005-0000-0000-0000BF5B0000}"/>
    <cellStyle name="Normal 25 2 2 11" xfId="23494" xr:uid="{00000000-0005-0000-0000-0000C05B0000}"/>
    <cellStyle name="Normal 25 2 2 12" xfId="23495" xr:uid="{00000000-0005-0000-0000-0000C15B0000}"/>
    <cellStyle name="Normal 25 2 2 13" xfId="23496" xr:uid="{00000000-0005-0000-0000-0000C25B0000}"/>
    <cellStyle name="Normal 25 2 2 14" xfId="23497" xr:uid="{00000000-0005-0000-0000-0000C35B0000}"/>
    <cellStyle name="Normal 25 2 2 2" xfId="23498" xr:uid="{00000000-0005-0000-0000-0000C45B0000}"/>
    <cellStyle name="Normal 25 2 2 2 10" xfId="23499" xr:uid="{00000000-0005-0000-0000-0000C55B0000}"/>
    <cellStyle name="Normal 25 2 2 2 11" xfId="23500" xr:uid="{00000000-0005-0000-0000-0000C65B0000}"/>
    <cellStyle name="Normal 25 2 2 2 12" xfId="23501" xr:uid="{00000000-0005-0000-0000-0000C75B0000}"/>
    <cellStyle name="Normal 25 2 2 2 2" xfId="23502" xr:uid="{00000000-0005-0000-0000-0000C85B0000}"/>
    <cellStyle name="Normal 25 2 2 2 2 10" xfId="23503" xr:uid="{00000000-0005-0000-0000-0000C95B0000}"/>
    <cellStyle name="Normal 25 2 2 2 2 11" xfId="23504" xr:uid="{00000000-0005-0000-0000-0000CA5B0000}"/>
    <cellStyle name="Normal 25 2 2 2 2 2" xfId="23505" xr:uid="{00000000-0005-0000-0000-0000CB5B0000}"/>
    <cellStyle name="Normal 25 2 2 2 2 2 2" xfId="23506" xr:uid="{00000000-0005-0000-0000-0000CC5B0000}"/>
    <cellStyle name="Normal 25 2 2 2 2 2 2 2" xfId="23507" xr:uid="{00000000-0005-0000-0000-0000CD5B0000}"/>
    <cellStyle name="Normal 25 2 2 2 2 2 2 3" xfId="23508" xr:uid="{00000000-0005-0000-0000-0000CE5B0000}"/>
    <cellStyle name="Normal 25 2 2 2 2 2 2 4" xfId="23509" xr:uid="{00000000-0005-0000-0000-0000CF5B0000}"/>
    <cellStyle name="Normal 25 2 2 2 2 2 2 5" xfId="23510" xr:uid="{00000000-0005-0000-0000-0000D05B0000}"/>
    <cellStyle name="Normal 25 2 2 2 2 2 2 6" xfId="23511" xr:uid="{00000000-0005-0000-0000-0000D15B0000}"/>
    <cellStyle name="Normal 25 2 2 2 2 2 3" xfId="23512" xr:uid="{00000000-0005-0000-0000-0000D25B0000}"/>
    <cellStyle name="Normal 25 2 2 2 2 2 3 2" xfId="23513" xr:uid="{00000000-0005-0000-0000-0000D35B0000}"/>
    <cellStyle name="Normal 25 2 2 2 2 2 3 3" xfId="23514" xr:uid="{00000000-0005-0000-0000-0000D45B0000}"/>
    <cellStyle name="Normal 25 2 2 2 2 2 3 4" xfId="23515" xr:uid="{00000000-0005-0000-0000-0000D55B0000}"/>
    <cellStyle name="Normal 25 2 2 2 2 2 3 5" xfId="23516" xr:uid="{00000000-0005-0000-0000-0000D65B0000}"/>
    <cellStyle name="Normal 25 2 2 2 2 2 3 6" xfId="23517" xr:uid="{00000000-0005-0000-0000-0000D75B0000}"/>
    <cellStyle name="Normal 25 2 2 2 2 2 4" xfId="23518" xr:uid="{00000000-0005-0000-0000-0000D85B0000}"/>
    <cellStyle name="Normal 25 2 2 2 2 2 5" xfId="23519" xr:uid="{00000000-0005-0000-0000-0000D95B0000}"/>
    <cellStyle name="Normal 25 2 2 2 2 2 6" xfId="23520" xr:uid="{00000000-0005-0000-0000-0000DA5B0000}"/>
    <cellStyle name="Normal 25 2 2 2 2 2 7" xfId="23521" xr:uid="{00000000-0005-0000-0000-0000DB5B0000}"/>
    <cellStyle name="Normal 25 2 2 2 2 2 8" xfId="23522" xr:uid="{00000000-0005-0000-0000-0000DC5B0000}"/>
    <cellStyle name="Normal 25 2 2 2 2 3" xfId="23523" xr:uid="{00000000-0005-0000-0000-0000DD5B0000}"/>
    <cellStyle name="Normal 25 2 2 2 2 3 2" xfId="23524" xr:uid="{00000000-0005-0000-0000-0000DE5B0000}"/>
    <cellStyle name="Normal 25 2 2 2 2 3 2 2" xfId="23525" xr:uid="{00000000-0005-0000-0000-0000DF5B0000}"/>
    <cellStyle name="Normal 25 2 2 2 2 3 2 3" xfId="23526" xr:uid="{00000000-0005-0000-0000-0000E05B0000}"/>
    <cellStyle name="Normal 25 2 2 2 2 3 2 4" xfId="23527" xr:uid="{00000000-0005-0000-0000-0000E15B0000}"/>
    <cellStyle name="Normal 25 2 2 2 2 3 2 5" xfId="23528" xr:uid="{00000000-0005-0000-0000-0000E25B0000}"/>
    <cellStyle name="Normal 25 2 2 2 2 3 2 6" xfId="23529" xr:uid="{00000000-0005-0000-0000-0000E35B0000}"/>
    <cellStyle name="Normal 25 2 2 2 2 3 3" xfId="23530" xr:uid="{00000000-0005-0000-0000-0000E45B0000}"/>
    <cellStyle name="Normal 25 2 2 2 2 3 3 2" xfId="23531" xr:uid="{00000000-0005-0000-0000-0000E55B0000}"/>
    <cellStyle name="Normal 25 2 2 2 2 3 3 3" xfId="23532" xr:uid="{00000000-0005-0000-0000-0000E65B0000}"/>
    <cellStyle name="Normal 25 2 2 2 2 3 3 4" xfId="23533" xr:uid="{00000000-0005-0000-0000-0000E75B0000}"/>
    <cellStyle name="Normal 25 2 2 2 2 3 3 5" xfId="23534" xr:uid="{00000000-0005-0000-0000-0000E85B0000}"/>
    <cellStyle name="Normal 25 2 2 2 2 3 3 6" xfId="23535" xr:uid="{00000000-0005-0000-0000-0000E95B0000}"/>
    <cellStyle name="Normal 25 2 2 2 2 3 4" xfId="23536" xr:uid="{00000000-0005-0000-0000-0000EA5B0000}"/>
    <cellStyle name="Normal 25 2 2 2 2 3 5" xfId="23537" xr:uid="{00000000-0005-0000-0000-0000EB5B0000}"/>
    <cellStyle name="Normal 25 2 2 2 2 3 6" xfId="23538" xr:uid="{00000000-0005-0000-0000-0000EC5B0000}"/>
    <cellStyle name="Normal 25 2 2 2 2 3 7" xfId="23539" xr:uid="{00000000-0005-0000-0000-0000ED5B0000}"/>
    <cellStyle name="Normal 25 2 2 2 2 3 8" xfId="23540" xr:uid="{00000000-0005-0000-0000-0000EE5B0000}"/>
    <cellStyle name="Normal 25 2 2 2 2 4" xfId="23541" xr:uid="{00000000-0005-0000-0000-0000EF5B0000}"/>
    <cellStyle name="Normal 25 2 2 2 2 4 2" xfId="23542" xr:uid="{00000000-0005-0000-0000-0000F05B0000}"/>
    <cellStyle name="Normal 25 2 2 2 2 4 2 2" xfId="23543" xr:uid="{00000000-0005-0000-0000-0000F15B0000}"/>
    <cellStyle name="Normal 25 2 2 2 2 4 2 3" xfId="23544" xr:uid="{00000000-0005-0000-0000-0000F25B0000}"/>
    <cellStyle name="Normal 25 2 2 2 2 4 2 4" xfId="23545" xr:uid="{00000000-0005-0000-0000-0000F35B0000}"/>
    <cellStyle name="Normal 25 2 2 2 2 4 2 5" xfId="23546" xr:uid="{00000000-0005-0000-0000-0000F45B0000}"/>
    <cellStyle name="Normal 25 2 2 2 2 4 2 6" xfId="23547" xr:uid="{00000000-0005-0000-0000-0000F55B0000}"/>
    <cellStyle name="Normal 25 2 2 2 2 4 3" xfId="23548" xr:uid="{00000000-0005-0000-0000-0000F65B0000}"/>
    <cellStyle name="Normal 25 2 2 2 2 4 3 2" xfId="23549" xr:uid="{00000000-0005-0000-0000-0000F75B0000}"/>
    <cellStyle name="Normal 25 2 2 2 2 4 3 3" xfId="23550" xr:uid="{00000000-0005-0000-0000-0000F85B0000}"/>
    <cellStyle name="Normal 25 2 2 2 2 4 3 4" xfId="23551" xr:uid="{00000000-0005-0000-0000-0000F95B0000}"/>
    <cellStyle name="Normal 25 2 2 2 2 4 3 5" xfId="23552" xr:uid="{00000000-0005-0000-0000-0000FA5B0000}"/>
    <cellStyle name="Normal 25 2 2 2 2 4 3 6" xfId="23553" xr:uid="{00000000-0005-0000-0000-0000FB5B0000}"/>
    <cellStyle name="Normal 25 2 2 2 2 4 4" xfId="23554" xr:uid="{00000000-0005-0000-0000-0000FC5B0000}"/>
    <cellStyle name="Normal 25 2 2 2 2 4 5" xfId="23555" xr:uid="{00000000-0005-0000-0000-0000FD5B0000}"/>
    <cellStyle name="Normal 25 2 2 2 2 4 6" xfId="23556" xr:uid="{00000000-0005-0000-0000-0000FE5B0000}"/>
    <cellStyle name="Normal 25 2 2 2 2 4 7" xfId="23557" xr:uid="{00000000-0005-0000-0000-0000FF5B0000}"/>
    <cellStyle name="Normal 25 2 2 2 2 4 8" xfId="23558" xr:uid="{00000000-0005-0000-0000-0000005C0000}"/>
    <cellStyle name="Normal 25 2 2 2 2 5" xfId="23559" xr:uid="{00000000-0005-0000-0000-0000015C0000}"/>
    <cellStyle name="Normal 25 2 2 2 2 5 2" xfId="23560" xr:uid="{00000000-0005-0000-0000-0000025C0000}"/>
    <cellStyle name="Normal 25 2 2 2 2 5 3" xfId="23561" xr:uid="{00000000-0005-0000-0000-0000035C0000}"/>
    <cellStyle name="Normal 25 2 2 2 2 5 4" xfId="23562" xr:uid="{00000000-0005-0000-0000-0000045C0000}"/>
    <cellStyle name="Normal 25 2 2 2 2 5 5" xfId="23563" xr:uid="{00000000-0005-0000-0000-0000055C0000}"/>
    <cellStyle name="Normal 25 2 2 2 2 5 6" xfId="23564" xr:uid="{00000000-0005-0000-0000-0000065C0000}"/>
    <cellStyle name="Normal 25 2 2 2 2 6" xfId="23565" xr:uid="{00000000-0005-0000-0000-0000075C0000}"/>
    <cellStyle name="Normal 25 2 2 2 2 6 2" xfId="23566" xr:uid="{00000000-0005-0000-0000-0000085C0000}"/>
    <cellStyle name="Normal 25 2 2 2 2 6 3" xfId="23567" xr:uid="{00000000-0005-0000-0000-0000095C0000}"/>
    <cellStyle name="Normal 25 2 2 2 2 6 4" xfId="23568" xr:uid="{00000000-0005-0000-0000-00000A5C0000}"/>
    <cellStyle name="Normal 25 2 2 2 2 6 5" xfId="23569" xr:uid="{00000000-0005-0000-0000-00000B5C0000}"/>
    <cellStyle name="Normal 25 2 2 2 2 6 6" xfId="23570" xr:uid="{00000000-0005-0000-0000-00000C5C0000}"/>
    <cellStyle name="Normal 25 2 2 2 2 7" xfId="23571" xr:uid="{00000000-0005-0000-0000-00000D5C0000}"/>
    <cellStyle name="Normal 25 2 2 2 2 8" xfId="23572" xr:uid="{00000000-0005-0000-0000-00000E5C0000}"/>
    <cellStyle name="Normal 25 2 2 2 2 9" xfId="23573" xr:uid="{00000000-0005-0000-0000-00000F5C0000}"/>
    <cellStyle name="Normal 25 2 2 2 3" xfId="23574" xr:uid="{00000000-0005-0000-0000-0000105C0000}"/>
    <cellStyle name="Normal 25 2 2 2 3 2" xfId="23575" xr:uid="{00000000-0005-0000-0000-0000115C0000}"/>
    <cellStyle name="Normal 25 2 2 2 3 2 2" xfId="23576" xr:uid="{00000000-0005-0000-0000-0000125C0000}"/>
    <cellStyle name="Normal 25 2 2 2 3 2 3" xfId="23577" xr:uid="{00000000-0005-0000-0000-0000135C0000}"/>
    <cellStyle name="Normal 25 2 2 2 3 2 4" xfId="23578" xr:uid="{00000000-0005-0000-0000-0000145C0000}"/>
    <cellStyle name="Normal 25 2 2 2 3 2 5" xfId="23579" xr:uid="{00000000-0005-0000-0000-0000155C0000}"/>
    <cellStyle name="Normal 25 2 2 2 3 2 6" xfId="23580" xr:uid="{00000000-0005-0000-0000-0000165C0000}"/>
    <cellStyle name="Normal 25 2 2 2 3 3" xfId="23581" xr:uid="{00000000-0005-0000-0000-0000175C0000}"/>
    <cellStyle name="Normal 25 2 2 2 3 3 2" xfId="23582" xr:uid="{00000000-0005-0000-0000-0000185C0000}"/>
    <cellStyle name="Normal 25 2 2 2 3 3 3" xfId="23583" xr:uid="{00000000-0005-0000-0000-0000195C0000}"/>
    <cellStyle name="Normal 25 2 2 2 3 3 4" xfId="23584" xr:uid="{00000000-0005-0000-0000-00001A5C0000}"/>
    <cellStyle name="Normal 25 2 2 2 3 3 5" xfId="23585" xr:uid="{00000000-0005-0000-0000-00001B5C0000}"/>
    <cellStyle name="Normal 25 2 2 2 3 3 6" xfId="23586" xr:uid="{00000000-0005-0000-0000-00001C5C0000}"/>
    <cellStyle name="Normal 25 2 2 2 3 4" xfId="23587" xr:uid="{00000000-0005-0000-0000-00001D5C0000}"/>
    <cellStyle name="Normal 25 2 2 2 3 5" xfId="23588" xr:uid="{00000000-0005-0000-0000-00001E5C0000}"/>
    <cellStyle name="Normal 25 2 2 2 3 6" xfId="23589" xr:uid="{00000000-0005-0000-0000-00001F5C0000}"/>
    <cellStyle name="Normal 25 2 2 2 3 7" xfId="23590" xr:uid="{00000000-0005-0000-0000-0000205C0000}"/>
    <cellStyle name="Normal 25 2 2 2 3 8" xfId="23591" xr:uid="{00000000-0005-0000-0000-0000215C0000}"/>
    <cellStyle name="Normal 25 2 2 2 4" xfId="23592" xr:uid="{00000000-0005-0000-0000-0000225C0000}"/>
    <cellStyle name="Normal 25 2 2 2 4 2" xfId="23593" xr:uid="{00000000-0005-0000-0000-0000235C0000}"/>
    <cellStyle name="Normal 25 2 2 2 4 2 2" xfId="23594" xr:uid="{00000000-0005-0000-0000-0000245C0000}"/>
    <cellStyle name="Normal 25 2 2 2 4 2 3" xfId="23595" xr:uid="{00000000-0005-0000-0000-0000255C0000}"/>
    <cellStyle name="Normal 25 2 2 2 4 2 4" xfId="23596" xr:uid="{00000000-0005-0000-0000-0000265C0000}"/>
    <cellStyle name="Normal 25 2 2 2 4 2 5" xfId="23597" xr:uid="{00000000-0005-0000-0000-0000275C0000}"/>
    <cellStyle name="Normal 25 2 2 2 4 2 6" xfId="23598" xr:uid="{00000000-0005-0000-0000-0000285C0000}"/>
    <cellStyle name="Normal 25 2 2 2 4 3" xfId="23599" xr:uid="{00000000-0005-0000-0000-0000295C0000}"/>
    <cellStyle name="Normal 25 2 2 2 4 3 2" xfId="23600" xr:uid="{00000000-0005-0000-0000-00002A5C0000}"/>
    <cellStyle name="Normal 25 2 2 2 4 3 3" xfId="23601" xr:uid="{00000000-0005-0000-0000-00002B5C0000}"/>
    <cellStyle name="Normal 25 2 2 2 4 3 4" xfId="23602" xr:uid="{00000000-0005-0000-0000-00002C5C0000}"/>
    <cellStyle name="Normal 25 2 2 2 4 3 5" xfId="23603" xr:uid="{00000000-0005-0000-0000-00002D5C0000}"/>
    <cellStyle name="Normal 25 2 2 2 4 3 6" xfId="23604" xr:uid="{00000000-0005-0000-0000-00002E5C0000}"/>
    <cellStyle name="Normal 25 2 2 2 4 4" xfId="23605" xr:uid="{00000000-0005-0000-0000-00002F5C0000}"/>
    <cellStyle name="Normal 25 2 2 2 4 5" xfId="23606" xr:uid="{00000000-0005-0000-0000-0000305C0000}"/>
    <cellStyle name="Normal 25 2 2 2 4 6" xfId="23607" xr:uid="{00000000-0005-0000-0000-0000315C0000}"/>
    <cellStyle name="Normal 25 2 2 2 4 7" xfId="23608" xr:uid="{00000000-0005-0000-0000-0000325C0000}"/>
    <cellStyle name="Normal 25 2 2 2 4 8" xfId="23609" xr:uid="{00000000-0005-0000-0000-0000335C0000}"/>
    <cellStyle name="Normal 25 2 2 2 5" xfId="23610" xr:uid="{00000000-0005-0000-0000-0000345C0000}"/>
    <cellStyle name="Normal 25 2 2 2 5 2" xfId="23611" xr:uid="{00000000-0005-0000-0000-0000355C0000}"/>
    <cellStyle name="Normal 25 2 2 2 5 2 2" xfId="23612" xr:uid="{00000000-0005-0000-0000-0000365C0000}"/>
    <cellStyle name="Normal 25 2 2 2 5 2 3" xfId="23613" xr:uid="{00000000-0005-0000-0000-0000375C0000}"/>
    <cellStyle name="Normal 25 2 2 2 5 2 4" xfId="23614" xr:uid="{00000000-0005-0000-0000-0000385C0000}"/>
    <cellStyle name="Normal 25 2 2 2 5 2 5" xfId="23615" xr:uid="{00000000-0005-0000-0000-0000395C0000}"/>
    <cellStyle name="Normal 25 2 2 2 5 2 6" xfId="23616" xr:uid="{00000000-0005-0000-0000-00003A5C0000}"/>
    <cellStyle name="Normal 25 2 2 2 5 3" xfId="23617" xr:uid="{00000000-0005-0000-0000-00003B5C0000}"/>
    <cellStyle name="Normal 25 2 2 2 5 3 2" xfId="23618" xr:uid="{00000000-0005-0000-0000-00003C5C0000}"/>
    <cellStyle name="Normal 25 2 2 2 5 3 3" xfId="23619" xr:uid="{00000000-0005-0000-0000-00003D5C0000}"/>
    <cellStyle name="Normal 25 2 2 2 5 3 4" xfId="23620" xr:uid="{00000000-0005-0000-0000-00003E5C0000}"/>
    <cellStyle name="Normal 25 2 2 2 5 3 5" xfId="23621" xr:uid="{00000000-0005-0000-0000-00003F5C0000}"/>
    <cellStyle name="Normal 25 2 2 2 5 3 6" xfId="23622" xr:uid="{00000000-0005-0000-0000-0000405C0000}"/>
    <cellStyle name="Normal 25 2 2 2 5 4" xfId="23623" xr:uid="{00000000-0005-0000-0000-0000415C0000}"/>
    <cellStyle name="Normal 25 2 2 2 5 5" xfId="23624" xr:uid="{00000000-0005-0000-0000-0000425C0000}"/>
    <cellStyle name="Normal 25 2 2 2 5 6" xfId="23625" xr:uid="{00000000-0005-0000-0000-0000435C0000}"/>
    <cellStyle name="Normal 25 2 2 2 5 7" xfId="23626" xr:uid="{00000000-0005-0000-0000-0000445C0000}"/>
    <cellStyle name="Normal 25 2 2 2 5 8" xfId="23627" xr:uid="{00000000-0005-0000-0000-0000455C0000}"/>
    <cellStyle name="Normal 25 2 2 2 6" xfId="23628" xr:uid="{00000000-0005-0000-0000-0000465C0000}"/>
    <cellStyle name="Normal 25 2 2 2 6 2" xfId="23629" xr:uid="{00000000-0005-0000-0000-0000475C0000}"/>
    <cellStyle name="Normal 25 2 2 2 6 3" xfId="23630" xr:uid="{00000000-0005-0000-0000-0000485C0000}"/>
    <cellStyle name="Normal 25 2 2 2 6 4" xfId="23631" xr:uid="{00000000-0005-0000-0000-0000495C0000}"/>
    <cellStyle name="Normal 25 2 2 2 6 5" xfId="23632" xr:uid="{00000000-0005-0000-0000-00004A5C0000}"/>
    <cellStyle name="Normal 25 2 2 2 6 6" xfId="23633" xr:uid="{00000000-0005-0000-0000-00004B5C0000}"/>
    <cellStyle name="Normal 25 2 2 2 7" xfId="23634" xr:uid="{00000000-0005-0000-0000-00004C5C0000}"/>
    <cellStyle name="Normal 25 2 2 2 7 2" xfId="23635" xr:uid="{00000000-0005-0000-0000-00004D5C0000}"/>
    <cellStyle name="Normal 25 2 2 2 7 3" xfId="23636" xr:uid="{00000000-0005-0000-0000-00004E5C0000}"/>
    <cellStyle name="Normal 25 2 2 2 7 4" xfId="23637" xr:uid="{00000000-0005-0000-0000-00004F5C0000}"/>
    <cellStyle name="Normal 25 2 2 2 7 5" xfId="23638" xr:uid="{00000000-0005-0000-0000-0000505C0000}"/>
    <cellStyle name="Normal 25 2 2 2 7 6" xfId="23639" xr:uid="{00000000-0005-0000-0000-0000515C0000}"/>
    <cellStyle name="Normal 25 2 2 2 8" xfId="23640" xr:uid="{00000000-0005-0000-0000-0000525C0000}"/>
    <cellStyle name="Normal 25 2 2 2 9" xfId="23641" xr:uid="{00000000-0005-0000-0000-0000535C0000}"/>
    <cellStyle name="Normal 25 2 2 3" xfId="23642" xr:uid="{00000000-0005-0000-0000-0000545C0000}"/>
    <cellStyle name="Normal 25 2 2 3 10" xfId="23643" xr:uid="{00000000-0005-0000-0000-0000555C0000}"/>
    <cellStyle name="Normal 25 2 2 3 11" xfId="23644" xr:uid="{00000000-0005-0000-0000-0000565C0000}"/>
    <cellStyle name="Normal 25 2 2 3 12" xfId="23645" xr:uid="{00000000-0005-0000-0000-0000575C0000}"/>
    <cellStyle name="Normal 25 2 2 3 2" xfId="23646" xr:uid="{00000000-0005-0000-0000-0000585C0000}"/>
    <cellStyle name="Normal 25 2 2 3 2 10" xfId="23647" xr:uid="{00000000-0005-0000-0000-0000595C0000}"/>
    <cellStyle name="Normal 25 2 2 3 2 11" xfId="23648" xr:uid="{00000000-0005-0000-0000-00005A5C0000}"/>
    <cellStyle name="Normal 25 2 2 3 2 2" xfId="23649" xr:uid="{00000000-0005-0000-0000-00005B5C0000}"/>
    <cellStyle name="Normal 25 2 2 3 2 2 2" xfId="23650" xr:uid="{00000000-0005-0000-0000-00005C5C0000}"/>
    <cellStyle name="Normal 25 2 2 3 2 2 2 2" xfId="23651" xr:uid="{00000000-0005-0000-0000-00005D5C0000}"/>
    <cellStyle name="Normal 25 2 2 3 2 2 2 3" xfId="23652" xr:uid="{00000000-0005-0000-0000-00005E5C0000}"/>
    <cellStyle name="Normal 25 2 2 3 2 2 2 4" xfId="23653" xr:uid="{00000000-0005-0000-0000-00005F5C0000}"/>
    <cellStyle name="Normal 25 2 2 3 2 2 2 5" xfId="23654" xr:uid="{00000000-0005-0000-0000-0000605C0000}"/>
    <cellStyle name="Normal 25 2 2 3 2 2 2 6" xfId="23655" xr:uid="{00000000-0005-0000-0000-0000615C0000}"/>
    <cellStyle name="Normal 25 2 2 3 2 2 3" xfId="23656" xr:uid="{00000000-0005-0000-0000-0000625C0000}"/>
    <cellStyle name="Normal 25 2 2 3 2 2 3 2" xfId="23657" xr:uid="{00000000-0005-0000-0000-0000635C0000}"/>
    <cellStyle name="Normal 25 2 2 3 2 2 3 3" xfId="23658" xr:uid="{00000000-0005-0000-0000-0000645C0000}"/>
    <cellStyle name="Normal 25 2 2 3 2 2 3 4" xfId="23659" xr:uid="{00000000-0005-0000-0000-0000655C0000}"/>
    <cellStyle name="Normal 25 2 2 3 2 2 3 5" xfId="23660" xr:uid="{00000000-0005-0000-0000-0000665C0000}"/>
    <cellStyle name="Normal 25 2 2 3 2 2 3 6" xfId="23661" xr:uid="{00000000-0005-0000-0000-0000675C0000}"/>
    <cellStyle name="Normal 25 2 2 3 2 2 4" xfId="23662" xr:uid="{00000000-0005-0000-0000-0000685C0000}"/>
    <cellStyle name="Normal 25 2 2 3 2 2 5" xfId="23663" xr:uid="{00000000-0005-0000-0000-0000695C0000}"/>
    <cellStyle name="Normal 25 2 2 3 2 2 6" xfId="23664" xr:uid="{00000000-0005-0000-0000-00006A5C0000}"/>
    <cellStyle name="Normal 25 2 2 3 2 2 7" xfId="23665" xr:uid="{00000000-0005-0000-0000-00006B5C0000}"/>
    <cellStyle name="Normal 25 2 2 3 2 2 8" xfId="23666" xr:uid="{00000000-0005-0000-0000-00006C5C0000}"/>
    <cellStyle name="Normal 25 2 2 3 2 3" xfId="23667" xr:uid="{00000000-0005-0000-0000-00006D5C0000}"/>
    <cellStyle name="Normal 25 2 2 3 2 3 2" xfId="23668" xr:uid="{00000000-0005-0000-0000-00006E5C0000}"/>
    <cellStyle name="Normal 25 2 2 3 2 3 2 2" xfId="23669" xr:uid="{00000000-0005-0000-0000-00006F5C0000}"/>
    <cellStyle name="Normal 25 2 2 3 2 3 2 3" xfId="23670" xr:uid="{00000000-0005-0000-0000-0000705C0000}"/>
    <cellStyle name="Normal 25 2 2 3 2 3 2 4" xfId="23671" xr:uid="{00000000-0005-0000-0000-0000715C0000}"/>
    <cellStyle name="Normal 25 2 2 3 2 3 2 5" xfId="23672" xr:uid="{00000000-0005-0000-0000-0000725C0000}"/>
    <cellStyle name="Normal 25 2 2 3 2 3 2 6" xfId="23673" xr:uid="{00000000-0005-0000-0000-0000735C0000}"/>
    <cellStyle name="Normal 25 2 2 3 2 3 3" xfId="23674" xr:uid="{00000000-0005-0000-0000-0000745C0000}"/>
    <cellStyle name="Normal 25 2 2 3 2 3 3 2" xfId="23675" xr:uid="{00000000-0005-0000-0000-0000755C0000}"/>
    <cellStyle name="Normal 25 2 2 3 2 3 3 3" xfId="23676" xr:uid="{00000000-0005-0000-0000-0000765C0000}"/>
    <cellStyle name="Normal 25 2 2 3 2 3 3 4" xfId="23677" xr:uid="{00000000-0005-0000-0000-0000775C0000}"/>
    <cellStyle name="Normal 25 2 2 3 2 3 3 5" xfId="23678" xr:uid="{00000000-0005-0000-0000-0000785C0000}"/>
    <cellStyle name="Normal 25 2 2 3 2 3 3 6" xfId="23679" xr:uid="{00000000-0005-0000-0000-0000795C0000}"/>
    <cellStyle name="Normal 25 2 2 3 2 3 4" xfId="23680" xr:uid="{00000000-0005-0000-0000-00007A5C0000}"/>
    <cellStyle name="Normal 25 2 2 3 2 3 5" xfId="23681" xr:uid="{00000000-0005-0000-0000-00007B5C0000}"/>
    <cellStyle name="Normal 25 2 2 3 2 3 6" xfId="23682" xr:uid="{00000000-0005-0000-0000-00007C5C0000}"/>
    <cellStyle name="Normal 25 2 2 3 2 3 7" xfId="23683" xr:uid="{00000000-0005-0000-0000-00007D5C0000}"/>
    <cellStyle name="Normal 25 2 2 3 2 3 8" xfId="23684" xr:uid="{00000000-0005-0000-0000-00007E5C0000}"/>
    <cellStyle name="Normal 25 2 2 3 2 4" xfId="23685" xr:uid="{00000000-0005-0000-0000-00007F5C0000}"/>
    <cellStyle name="Normal 25 2 2 3 2 4 2" xfId="23686" xr:uid="{00000000-0005-0000-0000-0000805C0000}"/>
    <cellStyle name="Normal 25 2 2 3 2 4 2 2" xfId="23687" xr:uid="{00000000-0005-0000-0000-0000815C0000}"/>
    <cellStyle name="Normal 25 2 2 3 2 4 2 3" xfId="23688" xr:uid="{00000000-0005-0000-0000-0000825C0000}"/>
    <cellStyle name="Normal 25 2 2 3 2 4 2 4" xfId="23689" xr:uid="{00000000-0005-0000-0000-0000835C0000}"/>
    <cellStyle name="Normal 25 2 2 3 2 4 2 5" xfId="23690" xr:uid="{00000000-0005-0000-0000-0000845C0000}"/>
    <cellStyle name="Normal 25 2 2 3 2 4 2 6" xfId="23691" xr:uid="{00000000-0005-0000-0000-0000855C0000}"/>
    <cellStyle name="Normal 25 2 2 3 2 4 3" xfId="23692" xr:uid="{00000000-0005-0000-0000-0000865C0000}"/>
    <cellStyle name="Normal 25 2 2 3 2 4 3 2" xfId="23693" xr:uid="{00000000-0005-0000-0000-0000875C0000}"/>
    <cellStyle name="Normal 25 2 2 3 2 4 3 3" xfId="23694" xr:uid="{00000000-0005-0000-0000-0000885C0000}"/>
    <cellStyle name="Normal 25 2 2 3 2 4 3 4" xfId="23695" xr:uid="{00000000-0005-0000-0000-0000895C0000}"/>
    <cellStyle name="Normal 25 2 2 3 2 4 3 5" xfId="23696" xr:uid="{00000000-0005-0000-0000-00008A5C0000}"/>
    <cellStyle name="Normal 25 2 2 3 2 4 3 6" xfId="23697" xr:uid="{00000000-0005-0000-0000-00008B5C0000}"/>
    <cellStyle name="Normal 25 2 2 3 2 4 4" xfId="23698" xr:uid="{00000000-0005-0000-0000-00008C5C0000}"/>
    <cellStyle name="Normal 25 2 2 3 2 4 5" xfId="23699" xr:uid="{00000000-0005-0000-0000-00008D5C0000}"/>
    <cellStyle name="Normal 25 2 2 3 2 4 6" xfId="23700" xr:uid="{00000000-0005-0000-0000-00008E5C0000}"/>
    <cellStyle name="Normal 25 2 2 3 2 4 7" xfId="23701" xr:uid="{00000000-0005-0000-0000-00008F5C0000}"/>
    <cellStyle name="Normal 25 2 2 3 2 4 8" xfId="23702" xr:uid="{00000000-0005-0000-0000-0000905C0000}"/>
    <cellStyle name="Normal 25 2 2 3 2 5" xfId="23703" xr:uid="{00000000-0005-0000-0000-0000915C0000}"/>
    <cellStyle name="Normal 25 2 2 3 2 5 2" xfId="23704" xr:uid="{00000000-0005-0000-0000-0000925C0000}"/>
    <cellStyle name="Normal 25 2 2 3 2 5 3" xfId="23705" xr:uid="{00000000-0005-0000-0000-0000935C0000}"/>
    <cellStyle name="Normal 25 2 2 3 2 5 4" xfId="23706" xr:uid="{00000000-0005-0000-0000-0000945C0000}"/>
    <cellStyle name="Normal 25 2 2 3 2 5 5" xfId="23707" xr:uid="{00000000-0005-0000-0000-0000955C0000}"/>
    <cellStyle name="Normal 25 2 2 3 2 5 6" xfId="23708" xr:uid="{00000000-0005-0000-0000-0000965C0000}"/>
    <cellStyle name="Normal 25 2 2 3 2 6" xfId="23709" xr:uid="{00000000-0005-0000-0000-0000975C0000}"/>
    <cellStyle name="Normal 25 2 2 3 2 6 2" xfId="23710" xr:uid="{00000000-0005-0000-0000-0000985C0000}"/>
    <cellStyle name="Normal 25 2 2 3 2 6 3" xfId="23711" xr:uid="{00000000-0005-0000-0000-0000995C0000}"/>
    <cellStyle name="Normal 25 2 2 3 2 6 4" xfId="23712" xr:uid="{00000000-0005-0000-0000-00009A5C0000}"/>
    <cellStyle name="Normal 25 2 2 3 2 6 5" xfId="23713" xr:uid="{00000000-0005-0000-0000-00009B5C0000}"/>
    <cellStyle name="Normal 25 2 2 3 2 6 6" xfId="23714" xr:uid="{00000000-0005-0000-0000-00009C5C0000}"/>
    <cellStyle name="Normal 25 2 2 3 2 7" xfId="23715" xr:uid="{00000000-0005-0000-0000-00009D5C0000}"/>
    <cellStyle name="Normal 25 2 2 3 2 8" xfId="23716" xr:uid="{00000000-0005-0000-0000-00009E5C0000}"/>
    <cellStyle name="Normal 25 2 2 3 2 9" xfId="23717" xr:uid="{00000000-0005-0000-0000-00009F5C0000}"/>
    <cellStyle name="Normal 25 2 2 3 3" xfId="23718" xr:uid="{00000000-0005-0000-0000-0000A05C0000}"/>
    <cellStyle name="Normal 25 2 2 3 3 2" xfId="23719" xr:uid="{00000000-0005-0000-0000-0000A15C0000}"/>
    <cellStyle name="Normal 25 2 2 3 3 2 2" xfId="23720" xr:uid="{00000000-0005-0000-0000-0000A25C0000}"/>
    <cellStyle name="Normal 25 2 2 3 3 2 3" xfId="23721" xr:uid="{00000000-0005-0000-0000-0000A35C0000}"/>
    <cellStyle name="Normal 25 2 2 3 3 2 4" xfId="23722" xr:uid="{00000000-0005-0000-0000-0000A45C0000}"/>
    <cellStyle name="Normal 25 2 2 3 3 2 5" xfId="23723" xr:uid="{00000000-0005-0000-0000-0000A55C0000}"/>
    <cellStyle name="Normal 25 2 2 3 3 2 6" xfId="23724" xr:uid="{00000000-0005-0000-0000-0000A65C0000}"/>
    <cellStyle name="Normal 25 2 2 3 3 3" xfId="23725" xr:uid="{00000000-0005-0000-0000-0000A75C0000}"/>
    <cellStyle name="Normal 25 2 2 3 3 3 2" xfId="23726" xr:uid="{00000000-0005-0000-0000-0000A85C0000}"/>
    <cellStyle name="Normal 25 2 2 3 3 3 3" xfId="23727" xr:uid="{00000000-0005-0000-0000-0000A95C0000}"/>
    <cellStyle name="Normal 25 2 2 3 3 3 4" xfId="23728" xr:uid="{00000000-0005-0000-0000-0000AA5C0000}"/>
    <cellStyle name="Normal 25 2 2 3 3 3 5" xfId="23729" xr:uid="{00000000-0005-0000-0000-0000AB5C0000}"/>
    <cellStyle name="Normal 25 2 2 3 3 3 6" xfId="23730" xr:uid="{00000000-0005-0000-0000-0000AC5C0000}"/>
    <cellStyle name="Normal 25 2 2 3 3 4" xfId="23731" xr:uid="{00000000-0005-0000-0000-0000AD5C0000}"/>
    <cellStyle name="Normal 25 2 2 3 3 5" xfId="23732" xr:uid="{00000000-0005-0000-0000-0000AE5C0000}"/>
    <cellStyle name="Normal 25 2 2 3 3 6" xfId="23733" xr:uid="{00000000-0005-0000-0000-0000AF5C0000}"/>
    <cellStyle name="Normal 25 2 2 3 3 7" xfId="23734" xr:uid="{00000000-0005-0000-0000-0000B05C0000}"/>
    <cellStyle name="Normal 25 2 2 3 3 8" xfId="23735" xr:uid="{00000000-0005-0000-0000-0000B15C0000}"/>
    <cellStyle name="Normal 25 2 2 3 4" xfId="23736" xr:uid="{00000000-0005-0000-0000-0000B25C0000}"/>
    <cellStyle name="Normal 25 2 2 3 4 2" xfId="23737" xr:uid="{00000000-0005-0000-0000-0000B35C0000}"/>
    <cellStyle name="Normal 25 2 2 3 4 2 2" xfId="23738" xr:uid="{00000000-0005-0000-0000-0000B45C0000}"/>
    <cellStyle name="Normal 25 2 2 3 4 2 3" xfId="23739" xr:uid="{00000000-0005-0000-0000-0000B55C0000}"/>
    <cellStyle name="Normal 25 2 2 3 4 2 4" xfId="23740" xr:uid="{00000000-0005-0000-0000-0000B65C0000}"/>
    <cellStyle name="Normal 25 2 2 3 4 2 5" xfId="23741" xr:uid="{00000000-0005-0000-0000-0000B75C0000}"/>
    <cellStyle name="Normal 25 2 2 3 4 2 6" xfId="23742" xr:uid="{00000000-0005-0000-0000-0000B85C0000}"/>
    <cellStyle name="Normal 25 2 2 3 4 3" xfId="23743" xr:uid="{00000000-0005-0000-0000-0000B95C0000}"/>
    <cellStyle name="Normal 25 2 2 3 4 3 2" xfId="23744" xr:uid="{00000000-0005-0000-0000-0000BA5C0000}"/>
    <cellStyle name="Normal 25 2 2 3 4 3 3" xfId="23745" xr:uid="{00000000-0005-0000-0000-0000BB5C0000}"/>
    <cellStyle name="Normal 25 2 2 3 4 3 4" xfId="23746" xr:uid="{00000000-0005-0000-0000-0000BC5C0000}"/>
    <cellStyle name="Normal 25 2 2 3 4 3 5" xfId="23747" xr:uid="{00000000-0005-0000-0000-0000BD5C0000}"/>
    <cellStyle name="Normal 25 2 2 3 4 3 6" xfId="23748" xr:uid="{00000000-0005-0000-0000-0000BE5C0000}"/>
    <cellStyle name="Normal 25 2 2 3 4 4" xfId="23749" xr:uid="{00000000-0005-0000-0000-0000BF5C0000}"/>
    <cellStyle name="Normal 25 2 2 3 4 5" xfId="23750" xr:uid="{00000000-0005-0000-0000-0000C05C0000}"/>
    <cellStyle name="Normal 25 2 2 3 4 6" xfId="23751" xr:uid="{00000000-0005-0000-0000-0000C15C0000}"/>
    <cellStyle name="Normal 25 2 2 3 4 7" xfId="23752" xr:uid="{00000000-0005-0000-0000-0000C25C0000}"/>
    <cellStyle name="Normal 25 2 2 3 4 8" xfId="23753" xr:uid="{00000000-0005-0000-0000-0000C35C0000}"/>
    <cellStyle name="Normal 25 2 2 3 5" xfId="23754" xr:uid="{00000000-0005-0000-0000-0000C45C0000}"/>
    <cellStyle name="Normal 25 2 2 3 5 2" xfId="23755" xr:uid="{00000000-0005-0000-0000-0000C55C0000}"/>
    <cellStyle name="Normal 25 2 2 3 5 2 2" xfId="23756" xr:uid="{00000000-0005-0000-0000-0000C65C0000}"/>
    <cellStyle name="Normal 25 2 2 3 5 2 3" xfId="23757" xr:uid="{00000000-0005-0000-0000-0000C75C0000}"/>
    <cellStyle name="Normal 25 2 2 3 5 2 4" xfId="23758" xr:uid="{00000000-0005-0000-0000-0000C85C0000}"/>
    <cellStyle name="Normal 25 2 2 3 5 2 5" xfId="23759" xr:uid="{00000000-0005-0000-0000-0000C95C0000}"/>
    <cellStyle name="Normal 25 2 2 3 5 2 6" xfId="23760" xr:uid="{00000000-0005-0000-0000-0000CA5C0000}"/>
    <cellStyle name="Normal 25 2 2 3 5 3" xfId="23761" xr:uid="{00000000-0005-0000-0000-0000CB5C0000}"/>
    <cellStyle name="Normal 25 2 2 3 5 3 2" xfId="23762" xr:uid="{00000000-0005-0000-0000-0000CC5C0000}"/>
    <cellStyle name="Normal 25 2 2 3 5 3 3" xfId="23763" xr:uid="{00000000-0005-0000-0000-0000CD5C0000}"/>
    <cellStyle name="Normal 25 2 2 3 5 3 4" xfId="23764" xr:uid="{00000000-0005-0000-0000-0000CE5C0000}"/>
    <cellStyle name="Normal 25 2 2 3 5 3 5" xfId="23765" xr:uid="{00000000-0005-0000-0000-0000CF5C0000}"/>
    <cellStyle name="Normal 25 2 2 3 5 3 6" xfId="23766" xr:uid="{00000000-0005-0000-0000-0000D05C0000}"/>
    <cellStyle name="Normal 25 2 2 3 5 4" xfId="23767" xr:uid="{00000000-0005-0000-0000-0000D15C0000}"/>
    <cellStyle name="Normal 25 2 2 3 5 5" xfId="23768" xr:uid="{00000000-0005-0000-0000-0000D25C0000}"/>
    <cellStyle name="Normal 25 2 2 3 5 6" xfId="23769" xr:uid="{00000000-0005-0000-0000-0000D35C0000}"/>
    <cellStyle name="Normal 25 2 2 3 5 7" xfId="23770" xr:uid="{00000000-0005-0000-0000-0000D45C0000}"/>
    <cellStyle name="Normal 25 2 2 3 5 8" xfId="23771" xr:uid="{00000000-0005-0000-0000-0000D55C0000}"/>
    <cellStyle name="Normal 25 2 2 3 6" xfId="23772" xr:uid="{00000000-0005-0000-0000-0000D65C0000}"/>
    <cellStyle name="Normal 25 2 2 3 6 2" xfId="23773" xr:uid="{00000000-0005-0000-0000-0000D75C0000}"/>
    <cellStyle name="Normal 25 2 2 3 6 3" xfId="23774" xr:uid="{00000000-0005-0000-0000-0000D85C0000}"/>
    <cellStyle name="Normal 25 2 2 3 6 4" xfId="23775" xr:uid="{00000000-0005-0000-0000-0000D95C0000}"/>
    <cellStyle name="Normal 25 2 2 3 6 5" xfId="23776" xr:uid="{00000000-0005-0000-0000-0000DA5C0000}"/>
    <cellStyle name="Normal 25 2 2 3 6 6" xfId="23777" xr:uid="{00000000-0005-0000-0000-0000DB5C0000}"/>
    <cellStyle name="Normal 25 2 2 3 7" xfId="23778" xr:uid="{00000000-0005-0000-0000-0000DC5C0000}"/>
    <cellStyle name="Normal 25 2 2 3 7 2" xfId="23779" xr:uid="{00000000-0005-0000-0000-0000DD5C0000}"/>
    <cellStyle name="Normal 25 2 2 3 7 3" xfId="23780" xr:uid="{00000000-0005-0000-0000-0000DE5C0000}"/>
    <cellStyle name="Normal 25 2 2 3 7 4" xfId="23781" xr:uid="{00000000-0005-0000-0000-0000DF5C0000}"/>
    <cellStyle name="Normal 25 2 2 3 7 5" xfId="23782" xr:uid="{00000000-0005-0000-0000-0000E05C0000}"/>
    <cellStyle name="Normal 25 2 2 3 7 6" xfId="23783" xr:uid="{00000000-0005-0000-0000-0000E15C0000}"/>
    <cellStyle name="Normal 25 2 2 3 8" xfId="23784" xr:uid="{00000000-0005-0000-0000-0000E25C0000}"/>
    <cellStyle name="Normal 25 2 2 3 9" xfId="23785" xr:uid="{00000000-0005-0000-0000-0000E35C0000}"/>
    <cellStyle name="Normal 25 2 2 4" xfId="23786" xr:uid="{00000000-0005-0000-0000-0000E45C0000}"/>
    <cellStyle name="Normal 25 2 2 4 10" xfId="23787" xr:uid="{00000000-0005-0000-0000-0000E55C0000}"/>
    <cellStyle name="Normal 25 2 2 4 11" xfId="23788" xr:uid="{00000000-0005-0000-0000-0000E65C0000}"/>
    <cellStyle name="Normal 25 2 2 4 2" xfId="23789" xr:uid="{00000000-0005-0000-0000-0000E75C0000}"/>
    <cellStyle name="Normal 25 2 2 4 2 2" xfId="23790" xr:uid="{00000000-0005-0000-0000-0000E85C0000}"/>
    <cellStyle name="Normal 25 2 2 4 2 2 2" xfId="23791" xr:uid="{00000000-0005-0000-0000-0000E95C0000}"/>
    <cellStyle name="Normal 25 2 2 4 2 2 3" xfId="23792" xr:uid="{00000000-0005-0000-0000-0000EA5C0000}"/>
    <cellStyle name="Normal 25 2 2 4 2 2 4" xfId="23793" xr:uid="{00000000-0005-0000-0000-0000EB5C0000}"/>
    <cellStyle name="Normal 25 2 2 4 2 2 5" xfId="23794" xr:uid="{00000000-0005-0000-0000-0000EC5C0000}"/>
    <cellStyle name="Normal 25 2 2 4 2 2 6" xfId="23795" xr:uid="{00000000-0005-0000-0000-0000ED5C0000}"/>
    <cellStyle name="Normal 25 2 2 4 2 3" xfId="23796" xr:uid="{00000000-0005-0000-0000-0000EE5C0000}"/>
    <cellStyle name="Normal 25 2 2 4 2 3 2" xfId="23797" xr:uid="{00000000-0005-0000-0000-0000EF5C0000}"/>
    <cellStyle name="Normal 25 2 2 4 2 3 3" xfId="23798" xr:uid="{00000000-0005-0000-0000-0000F05C0000}"/>
    <cellStyle name="Normal 25 2 2 4 2 3 4" xfId="23799" xr:uid="{00000000-0005-0000-0000-0000F15C0000}"/>
    <cellStyle name="Normal 25 2 2 4 2 3 5" xfId="23800" xr:uid="{00000000-0005-0000-0000-0000F25C0000}"/>
    <cellStyle name="Normal 25 2 2 4 2 3 6" xfId="23801" xr:uid="{00000000-0005-0000-0000-0000F35C0000}"/>
    <cellStyle name="Normal 25 2 2 4 2 4" xfId="23802" xr:uid="{00000000-0005-0000-0000-0000F45C0000}"/>
    <cellStyle name="Normal 25 2 2 4 2 5" xfId="23803" xr:uid="{00000000-0005-0000-0000-0000F55C0000}"/>
    <cellStyle name="Normal 25 2 2 4 2 6" xfId="23804" xr:uid="{00000000-0005-0000-0000-0000F65C0000}"/>
    <cellStyle name="Normal 25 2 2 4 2 7" xfId="23805" xr:uid="{00000000-0005-0000-0000-0000F75C0000}"/>
    <cellStyle name="Normal 25 2 2 4 2 8" xfId="23806" xr:uid="{00000000-0005-0000-0000-0000F85C0000}"/>
    <cellStyle name="Normal 25 2 2 4 3" xfId="23807" xr:uid="{00000000-0005-0000-0000-0000F95C0000}"/>
    <cellStyle name="Normal 25 2 2 4 3 2" xfId="23808" xr:uid="{00000000-0005-0000-0000-0000FA5C0000}"/>
    <cellStyle name="Normal 25 2 2 4 3 2 2" xfId="23809" xr:uid="{00000000-0005-0000-0000-0000FB5C0000}"/>
    <cellStyle name="Normal 25 2 2 4 3 2 3" xfId="23810" xr:uid="{00000000-0005-0000-0000-0000FC5C0000}"/>
    <cellStyle name="Normal 25 2 2 4 3 2 4" xfId="23811" xr:uid="{00000000-0005-0000-0000-0000FD5C0000}"/>
    <cellStyle name="Normal 25 2 2 4 3 2 5" xfId="23812" xr:uid="{00000000-0005-0000-0000-0000FE5C0000}"/>
    <cellStyle name="Normal 25 2 2 4 3 2 6" xfId="23813" xr:uid="{00000000-0005-0000-0000-0000FF5C0000}"/>
    <cellStyle name="Normal 25 2 2 4 3 3" xfId="23814" xr:uid="{00000000-0005-0000-0000-0000005D0000}"/>
    <cellStyle name="Normal 25 2 2 4 3 3 2" xfId="23815" xr:uid="{00000000-0005-0000-0000-0000015D0000}"/>
    <cellStyle name="Normal 25 2 2 4 3 3 3" xfId="23816" xr:uid="{00000000-0005-0000-0000-0000025D0000}"/>
    <cellStyle name="Normal 25 2 2 4 3 3 4" xfId="23817" xr:uid="{00000000-0005-0000-0000-0000035D0000}"/>
    <cellStyle name="Normal 25 2 2 4 3 3 5" xfId="23818" xr:uid="{00000000-0005-0000-0000-0000045D0000}"/>
    <cellStyle name="Normal 25 2 2 4 3 3 6" xfId="23819" xr:uid="{00000000-0005-0000-0000-0000055D0000}"/>
    <cellStyle name="Normal 25 2 2 4 3 4" xfId="23820" xr:uid="{00000000-0005-0000-0000-0000065D0000}"/>
    <cellStyle name="Normal 25 2 2 4 3 5" xfId="23821" xr:uid="{00000000-0005-0000-0000-0000075D0000}"/>
    <cellStyle name="Normal 25 2 2 4 3 6" xfId="23822" xr:uid="{00000000-0005-0000-0000-0000085D0000}"/>
    <cellStyle name="Normal 25 2 2 4 3 7" xfId="23823" xr:uid="{00000000-0005-0000-0000-0000095D0000}"/>
    <cellStyle name="Normal 25 2 2 4 3 8" xfId="23824" xr:uid="{00000000-0005-0000-0000-00000A5D0000}"/>
    <cellStyle name="Normal 25 2 2 4 4" xfId="23825" xr:uid="{00000000-0005-0000-0000-00000B5D0000}"/>
    <cellStyle name="Normal 25 2 2 4 4 2" xfId="23826" xr:uid="{00000000-0005-0000-0000-00000C5D0000}"/>
    <cellStyle name="Normal 25 2 2 4 4 2 2" xfId="23827" xr:uid="{00000000-0005-0000-0000-00000D5D0000}"/>
    <cellStyle name="Normal 25 2 2 4 4 2 3" xfId="23828" xr:uid="{00000000-0005-0000-0000-00000E5D0000}"/>
    <cellStyle name="Normal 25 2 2 4 4 2 4" xfId="23829" xr:uid="{00000000-0005-0000-0000-00000F5D0000}"/>
    <cellStyle name="Normal 25 2 2 4 4 2 5" xfId="23830" xr:uid="{00000000-0005-0000-0000-0000105D0000}"/>
    <cellStyle name="Normal 25 2 2 4 4 2 6" xfId="23831" xr:uid="{00000000-0005-0000-0000-0000115D0000}"/>
    <cellStyle name="Normal 25 2 2 4 4 3" xfId="23832" xr:uid="{00000000-0005-0000-0000-0000125D0000}"/>
    <cellStyle name="Normal 25 2 2 4 4 3 2" xfId="23833" xr:uid="{00000000-0005-0000-0000-0000135D0000}"/>
    <cellStyle name="Normal 25 2 2 4 4 3 3" xfId="23834" xr:uid="{00000000-0005-0000-0000-0000145D0000}"/>
    <cellStyle name="Normal 25 2 2 4 4 3 4" xfId="23835" xr:uid="{00000000-0005-0000-0000-0000155D0000}"/>
    <cellStyle name="Normal 25 2 2 4 4 3 5" xfId="23836" xr:uid="{00000000-0005-0000-0000-0000165D0000}"/>
    <cellStyle name="Normal 25 2 2 4 4 3 6" xfId="23837" xr:uid="{00000000-0005-0000-0000-0000175D0000}"/>
    <cellStyle name="Normal 25 2 2 4 4 4" xfId="23838" xr:uid="{00000000-0005-0000-0000-0000185D0000}"/>
    <cellStyle name="Normal 25 2 2 4 4 5" xfId="23839" xr:uid="{00000000-0005-0000-0000-0000195D0000}"/>
    <cellStyle name="Normal 25 2 2 4 4 6" xfId="23840" xr:uid="{00000000-0005-0000-0000-00001A5D0000}"/>
    <cellStyle name="Normal 25 2 2 4 4 7" xfId="23841" xr:uid="{00000000-0005-0000-0000-00001B5D0000}"/>
    <cellStyle name="Normal 25 2 2 4 4 8" xfId="23842" xr:uid="{00000000-0005-0000-0000-00001C5D0000}"/>
    <cellStyle name="Normal 25 2 2 4 5" xfId="23843" xr:uid="{00000000-0005-0000-0000-00001D5D0000}"/>
    <cellStyle name="Normal 25 2 2 4 5 2" xfId="23844" xr:uid="{00000000-0005-0000-0000-00001E5D0000}"/>
    <cellStyle name="Normal 25 2 2 4 5 3" xfId="23845" xr:uid="{00000000-0005-0000-0000-00001F5D0000}"/>
    <cellStyle name="Normal 25 2 2 4 5 4" xfId="23846" xr:uid="{00000000-0005-0000-0000-0000205D0000}"/>
    <cellStyle name="Normal 25 2 2 4 5 5" xfId="23847" xr:uid="{00000000-0005-0000-0000-0000215D0000}"/>
    <cellStyle name="Normal 25 2 2 4 5 6" xfId="23848" xr:uid="{00000000-0005-0000-0000-0000225D0000}"/>
    <cellStyle name="Normal 25 2 2 4 6" xfId="23849" xr:uid="{00000000-0005-0000-0000-0000235D0000}"/>
    <cellStyle name="Normal 25 2 2 4 6 2" xfId="23850" xr:uid="{00000000-0005-0000-0000-0000245D0000}"/>
    <cellStyle name="Normal 25 2 2 4 6 3" xfId="23851" xr:uid="{00000000-0005-0000-0000-0000255D0000}"/>
    <cellStyle name="Normal 25 2 2 4 6 4" xfId="23852" xr:uid="{00000000-0005-0000-0000-0000265D0000}"/>
    <cellStyle name="Normal 25 2 2 4 6 5" xfId="23853" xr:uid="{00000000-0005-0000-0000-0000275D0000}"/>
    <cellStyle name="Normal 25 2 2 4 6 6" xfId="23854" xr:uid="{00000000-0005-0000-0000-0000285D0000}"/>
    <cellStyle name="Normal 25 2 2 4 7" xfId="23855" xr:uid="{00000000-0005-0000-0000-0000295D0000}"/>
    <cellStyle name="Normal 25 2 2 4 8" xfId="23856" xr:uid="{00000000-0005-0000-0000-00002A5D0000}"/>
    <cellStyle name="Normal 25 2 2 4 9" xfId="23857" xr:uid="{00000000-0005-0000-0000-00002B5D0000}"/>
    <cellStyle name="Normal 25 2 2 5" xfId="23858" xr:uid="{00000000-0005-0000-0000-00002C5D0000}"/>
    <cellStyle name="Normal 25 2 2 5 2" xfId="23859" xr:uid="{00000000-0005-0000-0000-00002D5D0000}"/>
    <cellStyle name="Normal 25 2 2 5 2 2" xfId="23860" xr:uid="{00000000-0005-0000-0000-00002E5D0000}"/>
    <cellStyle name="Normal 25 2 2 5 2 3" xfId="23861" xr:uid="{00000000-0005-0000-0000-00002F5D0000}"/>
    <cellStyle name="Normal 25 2 2 5 2 4" xfId="23862" xr:uid="{00000000-0005-0000-0000-0000305D0000}"/>
    <cellStyle name="Normal 25 2 2 5 2 5" xfId="23863" xr:uid="{00000000-0005-0000-0000-0000315D0000}"/>
    <cellStyle name="Normal 25 2 2 5 2 6" xfId="23864" xr:uid="{00000000-0005-0000-0000-0000325D0000}"/>
    <cellStyle name="Normal 25 2 2 5 3" xfId="23865" xr:uid="{00000000-0005-0000-0000-0000335D0000}"/>
    <cellStyle name="Normal 25 2 2 5 3 2" xfId="23866" xr:uid="{00000000-0005-0000-0000-0000345D0000}"/>
    <cellStyle name="Normal 25 2 2 5 3 3" xfId="23867" xr:uid="{00000000-0005-0000-0000-0000355D0000}"/>
    <cellStyle name="Normal 25 2 2 5 3 4" xfId="23868" xr:uid="{00000000-0005-0000-0000-0000365D0000}"/>
    <cellStyle name="Normal 25 2 2 5 3 5" xfId="23869" xr:uid="{00000000-0005-0000-0000-0000375D0000}"/>
    <cellStyle name="Normal 25 2 2 5 3 6" xfId="23870" xr:uid="{00000000-0005-0000-0000-0000385D0000}"/>
    <cellStyle name="Normal 25 2 2 5 4" xfId="23871" xr:uid="{00000000-0005-0000-0000-0000395D0000}"/>
    <cellStyle name="Normal 25 2 2 5 5" xfId="23872" xr:uid="{00000000-0005-0000-0000-00003A5D0000}"/>
    <cellStyle name="Normal 25 2 2 5 6" xfId="23873" xr:uid="{00000000-0005-0000-0000-00003B5D0000}"/>
    <cellStyle name="Normal 25 2 2 5 7" xfId="23874" xr:uid="{00000000-0005-0000-0000-00003C5D0000}"/>
    <cellStyle name="Normal 25 2 2 5 8" xfId="23875" xr:uid="{00000000-0005-0000-0000-00003D5D0000}"/>
    <cellStyle name="Normal 25 2 2 6" xfId="23876" xr:uid="{00000000-0005-0000-0000-00003E5D0000}"/>
    <cellStyle name="Normal 25 2 2 6 2" xfId="23877" xr:uid="{00000000-0005-0000-0000-00003F5D0000}"/>
    <cellStyle name="Normal 25 2 2 6 2 2" xfId="23878" xr:uid="{00000000-0005-0000-0000-0000405D0000}"/>
    <cellStyle name="Normal 25 2 2 6 2 3" xfId="23879" xr:uid="{00000000-0005-0000-0000-0000415D0000}"/>
    <cellStyle name="Normal 25 2 2 6 2 4" xfId="23880" xr:uid="{00000000-0005-0000-0000-0000425D0000}"/>
    <cellStyle name="Normal 25 2 2 6 2 5" xfId="23881" xr:uid="{00000000-0005-0000-0000-0000435D0000}"/>
    <cellStyle name="Normal 25 2 2 6 2 6" xfId="23882" xr:uid="{00000000-0005-0000-0000-0000445D0000}"/>
    <cellStyle name="Normal 25 2 2 6 3" xfId="23883" xr:uid="{00000000-0005-0000-0000-0000455D0000}"/>
    <cellStyle name="Normal 25 2 2 6 3 2" xfId="23884" xr:uid="{00000000-0005-0000-0000-0000465D0000}"/>
    <cellStyle name="Normal 25 2 2 6 3 3" xfId="23885" xr:uid="{00000000-0005-0000-0000-0000475D0000}"/>
    <cellStyle name="Normal 25 2 2 6 3 4" xfId="23886" xr:uid="{00000000-0005-0000-0000-0000485D0000}"/>
    <cellStyle name="Normal 25 2 2 6 3 5" xfId="23887" xr:uid="{00000000-0005-0000-0000-0000495D0000}"/>
    <cellStyle name="Normal 25 2 2 6 3 6" xfId="23888" xr:uid="{00000000-0005-0000-0000-00004A5D0000}"/>
    <cellStyle name="Normal 25 2 2 6 4" xfId="23889" xr:uid="{00000000-0005-0000-0000-00004B5D0000}"/>
    <cellStyle name="Normal 25 2 2 6 5" xfId="23890" xr:uid="{00000000-0005-0000-0000-00004C5D0000}"/>
    <cellStyle name="Normal 25 2 2 6 6" xfId="23891" xr:uid="{00000000-0005-0000-0000-00004D5D0000}"/>
    <cellStyle name="Normal 25 2 2 6 7" xfId="23892" xr:uid="{00000000-0005-0000-0000-00004E5D0000}"/>
    <cellStyle name="Normal 25 2 2 6 8" xfId="23893" xr:uid="{00000000-0005-0000-0000-00004F5D0000}"/>
    <cellStyle name="Normal 25 2 2 7" xfId="23894" xr:uid="{00000000-0005-0000-0000-0000505D0000}"/>
    <cellStyle name="Normal 25 2 2 7 2" xfId="23895" xr:uid="{00000000-0005-0000-0000-0000515D0000}"/>
    <cellStyle name="Normal 25 2 2 7 2 2" xfId="23896" xr:uid="{00000000-0005-0000-0000-0000525D0000}"/>
    <cellStyle name="Normal 25 2 2 7 2 3" xfId="23897" xr:uid="{00000000-0005-0000-0000-0000535D0000}"/>
    <cellStyle name="Normal 25 2 2 7 2 4" xfId="23898" xr:uid="{00000000-0005-0000-0000-0000545D0000}"/>
    <cellStyle name="Normal 25 2 2 7 2 5" xfId="23899" xr:uid="{00000000-0005-0000-0000-0000555D0000}"/>
    <cellStyle name="Normal 25 2 2 7 2 6" xfId="23900" xr:uid="{00000000-0005-0000-0000-0000565D0000}"/>
    <cellStyle name="Normal 25 2 2 7 3" xfId="23901" xr:uid="{00000000-0005-0000-0000-0000575D0000}"/>
    <cellStyle name="Normal 25 2 2 7 3 2" xfId="23902" xr:uid="{00000000-0005-0000-0000-0000585D0000}"/>
    <cellStyle name="Normal 25 2 2 7 3 3" xfId="23903" xr:uid="{00000000-0005-0000-0000-0000595D0000}"/>
    <cellStyle name="Normal 25 2 2 7 3 4" xfId="23904" xr:uid="{00000000-0005-0000-0000-00005A5D0000}"/>
    <cellStyle name="Normal 25 2 2 7 3 5" xfId="23905" xr:uid="{00000000-0005-0000-0000-00005B5D0000}"/>
    <cellStyle name="Normal 25 2 2 7 3 6" xfId="23906" xr:uid="{00000000-0005-0000-0000-00005C5D0000}"/>
    <cellStyle name="Normal 25 2 2 7 4" xfId="23907" xr:uid="{00000000-0005-0000-0000-00005D5D0000}"/>
    <cellStyle name="Normal 25 2 2 7 5" xfId="23908" xr:uid="{00000000-0005-0000-0000-00005E5D0000}"/>
    <cellStyle name="Normal 25 2 2 7 6" xfId="23909" xr:uid="{00000000-0005-0000-0000-00005F5D0000}"/>
    <cellStyle name="Normal 25 2 2 7 7" xfId="23910" xr:uid="{00000000-0005-0000-0000-0000605D0000}"/>
    <cellStyle name="Normal 25 2 2 7 8" xfId="23911" xr:uid="{00000000-0005-0000-0000-0000615D0000}"/>
    <cellStyle name="Normal 25 2 2 8" xfId="23912" xr:uid="{00000000-0005-0000-0000-0000625D0000}"/>
    <cellStyle name="Normal 25 2 2 8 2" xfId="23913" xr:uid="{00000000-0005-0000-0000-0000635D0000}"/>
    <cellStyle name="Normal 25 2 2 8 3" xfId="23914" xr:uid="{00000000-0005-0000-0000-0000645D0000}"/>
    <cellStyle name="Normal 25 2 2 8 4" xfId="23915" xr:uid="{00000000-0005-0000-0000-0000655D0000}"/>
    <cellStyle name="Normal 25 2 2 8 5" xfId="23916" xr:uid="{00000000-0005-0000-0000-0000665D0000}"/>
    <cellStyle name="Normal 25 2 2 8 6" xfId="23917" xr:uid="{00000000-0005-0000-0000-0000675D0000}"/>
    <cellStyle name="Normal 25 2 2 9" xfId="23918" xr:uid="{00000000-0005-0000-0000-0000685D0000}"/>
    <cellStyle name="Normal 25 2 2 9 2" xfId="23919" xr:uid="{00000000-0005-0000-0000-0000695D0000}"/>
    <cellStyle name="Normal 25 2 2 9 3" xfId="23920" xr:uid="{00000000-0005-0000-0000-00006A5D0000}"/>
    <cellStyle name="Normal 25 2 2 9 4" xfId="23921" xr:uid="{00000000-0005-0000-0000-00006B5D0000}"/>
    <cellStyle name="Normal 25 2 2 9 5" xfId="23922" xr:uid="{00000000-0005-0000-0000-00006C5D0000}"/>
    <cellStyle name="Normal 25 2 2 9 6" xfId="23923" xr:uid="{00000000-0005-0000-0000-00006D5D0000}"/>
    <cellStyle name="Normal 25 2 3" xfId="23924" xr:uid="{00000000-0005-0000-0000-00006E5D0000}"/>
    <cellStyle name="Normal 25 2 3 10" xfId="23925" xr:uid="{00000000-0005-0000-0000-00006F5D0000}"/>
    <cellStyle name="Normal 25 2 3 11" xfId="23926" xr:uid="{00000000-0005-0000-0000-0000705D0000}"/>
    <cellStyle name="Normal 25 2 3 12" xfId="23927" xr:uid="{00000000-0005-0000-0000-0000715D0000}"/>
    <cellStyle name="Normal 25 2 3 2" xfId="23928" xr:uid="{00000000-0005-0000-0000-0000725D0000}"/>
    <cellStyle name="Normal 25 2 3 2 10" xfId="23929" xr:uid="{00000000-0005-0000-0000-0000735D0000}"/>
    <cellStyle name="Normal 25 2 3 2 11" xfId="23930" xr:uid="{00000000-0005-0000-0000-0000745D0000}"/>
    <cellStyle name="Normal 25 2 3 2 2" xfId="23931" xr:uid="{00000000-0005-0000-0000-0000755D0000}"/>
    <cellStyle name="Normal 25 2 3 2 2 2" xfId="23932" xr:uid="{00000000-0005-0000-0000-0000765D0000}"/>
    <cellStyle name="Normal 25 2 3 2 2 2 2" xfId="23933" xr:uid="{00000000-0005-0000-0000-0000775D0000}"/>
    <cellStyle name="Normal 25 2 3 2 2 2 3" xfId="23934" xr:uid="{00000000-0005-0000-0000-0000785D0000}"/>
    <cellStyle name="Normal 25 2 3 2 2 2 4" xfId="23935" xr:uid="{00000000-0005-0000-0000-0000795D0000}"/>
    <cellStyle name="Normal 25 2 3 2 2 2 5" xfId="23936" xr:uid="{00000000-0005-0000-0000-00007A5D0000}"/>
    <cellStyle name="Normal 25 2 3 2 2 2 6" xfId="23937" xr:uid="{00000000-0005-0000-0000-00007B5D0000}"/>
    <cellStyle name="Normal 25 2 3 2 2 3" xfId="23938" xr:uid="{00000000-0005-0000-0000-00007C5D0000}"/>
    <cellStyle name="Normal 25 2 3 2 2 3 2" xfId="23939" xr:uid="{00000000-0005-0000-0000-00007D5D0000}"/>
    <cellStyle name="Normal 25 2 3 2 2 3 3" xfId="23940" xr:uid="{00000000-0005-0000-0000-00007E5D0000}"/>
    <cellStyle name="Normal 25 2 3 2 2 3 4" xfId="23941" xr:uid="{00000000-0005-0000-0000-00007F5D0000}"/>
    <cellStyle name="Normal 25 2 3 2 2 3 5" xfId="23942" xr:uid="{00000000-0005-0000-0000-0000805D0000}"/>
    <cellStyle name="Normal 25 2 3 2 2 3 6" xfId="23943" xr:uid="{00000000-0005-0000-0000-0000815D0000}"/>
    <cellStyle name="Normal 25 2 3 2 2 4" xfId="23944" xr:uid="{00000000-0005-0000-0000-0000825D0000}"/>
    <cellStyle name="Normal 25 2 3 2 2 5" xfId="23945" xr:uid="{00000000-0005-0000-0000-0000835D0000}"/>
    <cellStyle name="Normal 25 2 3 2 2 6" xfId="23946" xr:uid="{00000000-0005-0000-0000-0000845D0000}"/>
    <cellStyle name="Normal 25 2 3 2 2 7" xfId="23947" xr:uid="{00000000-0005-0000-0000-0000855D0000}"/>
    <cellStyle name="Normal 25 2 3 2 2 8" xfId="23948" xr:uid="{00000000-0005-0000-0000-0000865D0000}"/>
    <cellStyle name="Normal 25 2 3 2 3" xfId="23949" xr:uid="{00000000-0005-0000-0000-0000875D0000}"/>
    <cellStyle name="Normal 25 2 3 2 3 2" xfId="23950" xr:uid="{00000000-0005-0000-0000-0000885D0000}"/>
    <cellStyle name="Normal 25 2 3 2 3 2 2" xfId="23951" xr:uid="{00000000-0005-0000-0000-0000895D0000}"/>
    <cellStyle name="Normal 25 2 3 2 3 2 3" xfId="23952" xr:uid="{00000000-0005-0000-0000-00008A5D0000}"/>
    <cellStyle name="Normal 25 2 3 2 3 2 4" xfId="23953" xr:uid="{00000000-0005-0000-0000-00008B5D0000}"/>
    <cellStyle name="Normal 25 2 3 2 3 2 5" xfId="23954" xr:uid="{00000000-0005-0000-0000-00008C5D0000}"/>
    <cellStyle name="Normal 25 2 3 2 3 2 6" xfId="23955" xr:uid="{00000000-0005-0000-0000-00008D5D0000}"/>
    <cellStyle name="Normal 25 2 3 2 3 3" xfId="23956" xr:uid="{00000000-0005-0000-0000-00008E5D0000}"/>
    <cellStyle name="Normal 25 2 3 2 3 3 2" xfId="23957" xr:uid="{00000000-0005-0000-0000-00008F5D0000}"/>
    <cellStyle name="Normal 25 2 3 2 3 3 3" xfId="23958" xr:uid="{00000000-0005-0000-0000-0000905D0000}"/>
    <cellStyle name="Normal 25 2 3 2 3 3 4" xfId="23959" xr:uid="{00000000-0005-0000-0000-0000915D0000}"/>
    <cellStyle name="Normal 25 2 3 2 3 3 5" xfId="23960" xr:uid="{00000000-0005-0000-0000-0000925D0000}"/>
    <cellStyle name="Normal 25 2 3 2 3 3 6" xfId="23961" xr:uid="{00000000-0005-0000-0000-0000935D0000}"/>
    <cellStyle name="Normal 25 2 3 2 3 4" xfId="23962" xr:uid="{00000000-0005-0000-0000-0000945D0000}"/>
    <cellStyle name="Normal 25 2 3 2 3 5" xfId="23963" xr:uid="{00000000-0005-0000-0000-0000955D0000}"/>
    <cellStyle name="Normal 25 2 3 2 3 6" xfId="23964" xr:uid="{00000000-0005-0000-0000-0000965D0000}"/>
    <cellStyle name="Normal 25 2 3 2 3 7" xfId="23965" xr:uid="{00000000-0005-0000-0000-0000975D0000}"/>
    <cellStyle name="Normal 25 2 3 2 3 8" xfId="23966" xr:uid="{00000000-0005-0000-0000-0000985D0000}"/>
    <cellStyle name="Normal 25 2 3 2 4" xfId="23967" xr:uid="{00000000-0005-0000-0000-0000995D0000}"/>
    <cellStyle name="Normal 25 2 3 2 4 2" xfId="23968" xr:uid="{00000000-0005-0000-0000-00009A5D0000}"/>
    <cellStyle name="Normal 25 2 3 2 4 2 2" xfId="23969" xr:uid="{00000000-0005-0000-0000-00009B5D0000}"/>
    <cellStyle name="Normal 25 2 3 2 4 2 3" xfId="23970" xr:uid="{00000000-0005-0000-0000-00009C5D0000}"/>
    <cellStyle name="Normal 25 2 3 2 4 2 4" xfId="23971" xr:uid="{00000000-0005-0000-0000-00009D5D0000}"/>
    <cellStyle name="Normal 25 2 3 2 4 2 5" xfId="23972" xr:uid="{00000000-0005-0000-0000-00009E5D0000}"/>
    <cellStyle name="Normal 25 2 3 2 4 2 6" xfId="23973" xr:uid="{00000000-0005-0000-0000-00009F5D0000}"/>
    <cellStyle name="Normal 25 2 3 2 4 3" xfId="23974" xr:uid="{00000000-0005-0000-0000-0000A05D0000}"/>
    <cellStyle name="Normal 25 2 3 2 4 3 2" xfId="23975" xr:uid="{00000000-0005-0000-0000-0000A15D0000}"/>
    <cellStyle name="Normal 25 2 3 2 4 3 3" xfId="23976" xr:uid="{00000000-0005-0000-0000-0000A25D0000}"/>
    <cellStyle name="Normal 25 2 3 2 4 3 4" xfId="23977" xr:uid="{00000000-0005-0000-0000-0000A35D0000}"/>
    <cellStyle name="Normal 25 2 3 2 4 3 5" xfId="23978" xr:uid="{00000000-0005-0000-0000-0000A45D0000}"/>
    <cellStyle name="Normal 25 2 3 2 4 3 6" xfId="23979" xr:uid="{00000000-0005-0000-0000-0000A55D0000}"/>
    <cellStyle name="Normal 25 2 3 2 4 4" xfId="23980" xr:uid="{00000000-0005-0000-0000-0000A65D0000}"/>
    <cellStyle name="Normal 25 2 3 2 4 5" xfId="23981" xr:uid="{00000000-0005-0000-0000-0000A75D0000}"/>
    <cellStyle name="Normal 25 2 3 2 4 6" xfId="23982" xr:uid="{00000000-0005-0000-0000-0000A85D0000}"/>
    <cellStyle name="Normal 25 2 3 2 4 7" xfId="23983" xr:uid="{00000000-0005-0000-0000-0000A95D0000}"/>
    <cellStyle name="Normal 25 2 3 2 4 8" xfId="23984" xr:uid="{00000000-0005-0000-0000-0000AA5D0000}"/>
    <cellStyle name="Normal 25 2 3 2 5" xfId="23985" xr:uid="{00000000-0005-0000-0000-0000AB5D0000}"/>
    <cellStyle name="Normal 25 2 3 2 5 2" xfId="23986" xr:uid="{00000000-0005-0000-0000-0000AC5D0000}"/>
    <cellStyle name="Normal 25 2 3 2 5 3" xfId="23987" xr:uid="{00000000-0005-0000-0000-0000AD5D0000}"/>
    <cellStyle name="Normal 25 2 3 2 5 4" xfId="23988" xr:uid="{00000000-0005-0000-0000-0000AE5D0000}"/>
    <cellStyle name="Normal 25 2 3 2 5 5" xfId="23989" xr:uid="{00000000-0005-0000-0000-0000AF5D0000}"/>
    <cellStyle name="Normal 25 2 3 2 5 6" xfId="23990" xr:uid="{00000000-0005-0000-0000-0000B05D0000}"/>
    <cellStyle name="Normal 25 2 3 2 6" xfId="23991" xr:uid="{00000000-0005-0000-0000-0000B15D0000}"/>
    <cellStyle name="Normal 25 2 3 2 6 2" xfId="23992" xr:uid="{00000000-0005-0000-0000-0000B25D0000}"/>
    <cellStyle name="Normal 25 2 3 2 6 3" xfId="23993" xr:uid="{00000000-0005-0000-0000-0000B35D0000}"/>
    <cellStyle name="Normal 25 2 3 2 6 4" xfId="23994" xr:uid="{00000000-0005-0000-0000-0000B45D0000}"/>
    <cellStyle name="Normal 25 2 3 2 6 5" xfId="23995" xr:uid="{00000000-0005-0000-0000-0000B55D0000}"/>
    <cellStyle name="Normal 25 2 3 2 6 6" xfId="23996" xr:uid="{00000000-0005-0000-0000-0000B65D0000}"/>
    <cellStyle name="Normal 25 2 3 2 7" xfId="23997" xr:uid="{00000000-0005-0000-0000-0000B75D0000}"/>
    <cellStyle name="Normal 25 2 3 2 8" xfId="23998" xr:uid="{00000000-0005-0000-0000-0000B85D0000}"/>
    <cellStyle name="Normal 25 2 3 2 9" xfId="23999" xr:uid="{00000000-0005-0000-0000-0000B95D0000}"/>
    <cellStyle name="Normal 25 2 3 3" xfId="24000" xr:uid="{00000000-0005-0000-0000-0000BA5D0000}"/>
    <cellStyle name="Normal 25 2 3 3 2" xfId="24001" xr:uid="{00000000-0005-0000-0000-0000BB5D0000}"/>
    <cellStyle name="Normal 25 2 3 3 2 2" xfId="24002" xr:uid="{00000000-0005-0000-0000-0000BC5D0000}"/>
    <cellStyle name="Normal 25 2 3 3 2 3" xfId="24003" xr:uid="{00000000-0005-0000-0000-0000BD5D0000}"/>
    <cellStyle name="Normal 25 2 3 3 2 4" xfId="24004" xr:uid="{00000000-0005-0000-0000-0000BE5D0000}"/>
    <cellStyle name="Normal 25 2 3 3 2 5" xfId="24005" xr:uid="{00000000-0005-0000-0000-0000BF5D0000}"/>
    <cellStyle name="Normal 25 2 3 3 2 6" xfId="24006" xr:uid="{00000000-0005-0000-0000-0000C05D0000}"/>
    <cellStyle name="Normal 25 2 3 3 3" xfId="24007" xr:uid="{00000000-0005-0000-0000-0000C15D0000}"/>
    <cellStyle name="Normal 25 2 3 3 3 2" xfId="24008" xr:uid="{00000000-0005-0000-0000-0000C25D0000}"/>
    <cellStyle name="Normal 25 2 3 3 3 3" xfId="24009" xr:uid="{00000000-0005-0000-0000-0000C35D0000}"/>
    <cellStyle name="Normal 25 2 3 3 3 4" xfId="24010" xr:uid="{00000000-0005-0000-0000-0000C45D0000}"/>
    <cellStyle name="Normal 25 2 3 3 3 5" xfId="24011" xr:uid="{00000000-0005-0000-0000-0000C55D0000}"/>
    <cellStyle name="Normal 25 2 3 3 3 6" xfId="24012" xr:uid="{00000000-0005-0000-0000-0000C65D0000}"/>
    <cellStyle name="Normal 25 2 3 3 4" xfId="24013" xr:uid="{00000000-0005-0000-0000-0000C75D0000}"/>
    <cellStyle name="Normal 25 2 3 3 5" xfId="24014" xr:uid="{00000000-0005-0000-0000-0000C85D0000}"/>
    <cellStyle name="Normal 25 2 3 3 6" xfId="24015" xr:uid="{00000000-0005-0000-0000-0000C95D0000}"/>
    <cellStyle name="Normal 25 2 3 3 7" xfId="24016" xr:uid="{00000000-0005-0000-0000-0000CA5D0000}"/>
    <cellStyle name="Normal 25 2 3 3 8" xfId="24017" xr:uid="{00000000-0005-0000-0000-0000CB5D0000}"/>
    <cellStyle name="Normal 25 2 3 4" xfId="24018" xr:uid="{00000000-0005-0000-0000-0000CC5D0000}"/>
    <cellStyle name="Normal 25 2 3 4 2" xfId="24019" xr:uid="{00000000-0005-0000-0000-0000CD5D0000}"/>
    <cellStyle name="Normal 25 2 3 4 2 2" xfId="24020" xr:uid="{00000000-0005-0000-0000-0000CE5D0000}"/>
    <cellStyle name="Normal 25 2 3 4 2 3" xfId="24021" xr:uid="{00000000-0005-0000-0000-0000CF5D0000}"/>
    <cellStyle name="Normal 25 2 3 4 2 4" xfId="24022" xr:uid="{00000000-0005-0000-0000-0000D05D0000}"/>
    <cellStyle name="Normal 25 2 3 4 2 5" xfId="24023" xr:uid="{00000000-0005-0000-0000-0000D15D0000}"/>
    <cellStyle name="Normal 25 2 3 4 2 6" xfId="24024" xr:uid="{00000000-0005-0000-0000-0000D25D0000}"/>
    <cellStyle name="Normal 25 2 3 4 3" xfId="24025" xr:uid="{00000000-0005-0000-0000-0000D35D0000}"/>
    <cellStyle name="Normal 25 2 3 4 3 2" xfId="24026" xr:uid="{00000000-0005-0000-0000-0000D45D0000}"/>
    <cellStyle name="Normal 25 2 3 4 3 3" xfId="24027" xr:uid="{00000000-0005-0000-0000-0000D55D0000}"/>
    <cellStyle name="Normal 25 2 3 4 3 4" xfId="24028" xr:uid="{00000000-0005-0000-0000-0000D65D0000}"/>
    <cellStyle name="Normal 25 2 3 4 3 5" xfId="24029" xr:uid="{00000000-0005-0000-0000-0000D75D0000}"/>
    <cellStyle name="Normal 25 2 3 4 3 6" xfId="24030" xr:uid="{00000000-0005-0000-0000-0000D85D0000}"/>
    <cellStyle name="Normal 25 2 3 4 4" xfId="24031" xr:uid="{00000000-0005-0000-0000-0000D95D0000}"/>
    <cellStyle name="Normal 25 2 3 4 5" xfId="24032" xr:uid="{00000000-0005-0000-0000-0000DA5D0000}"/>
    <cellStyle name="Normal 25 2 3 4 6" xfId="24033" xr:uid="{00000000-0005-0000-0000-0000DB5D0000}"/>
    <cellStyle name="Normal 25 2 3 4 7" xfId="24034" xr:uid="{00000000-0005-0000-0000-0000DC5D0000}"/>
    <cellStyle name="Normal 25 2 3 4 8" xfId="24035" xr:uid="{00000000-0005-0000-0000-0000DD5D0000}"/>
    <cellStyle name="Normal 25 2 3 5" xfId="24036" xr:uid="{00000000-0005-0000-0000-0000DE5D0000}"/>
    <cellStyle name="Normal 25 2 3 5 2" xfId="24037" xr:uid="{00000000-0005-0000-0000-0000DF5D0000}"/>
    <cellStyle name="Normal 25 2 3 5 2 2" xfId="24038" xr:uid="{00000000-0005-0000-0000-0000E05D0000}"/>
    <cellStyle name="Normal 25 2 3 5 2 3" xfId="24039" xr:uid="{00000000-0005-0000-0000-0000E15D0000}"/>
    <cellStyle name="Normal 25 2 3 5 2 4" xfId="24040" xr:uid="{00000000-0005-0000-0000-0000E25D0000}"/>
    <cellStyle name="Normal 25 2 3 5 2 5" xfId="24041" xr:uid="{00000000-0005-0000-0000-0000E35D0000}"/>
    <cellStyle name="Normal 25 2 3 5 2 6" xfId="24042" xr:uid="{00000000-0005-0000-0000-0000E45D0000}"/>
    <cellStyle name="Normal 25 2 3 5 3" xfId="24043" xr:uid="{00000000-0005-0000-0000-0000E55D0000}"/>
    <cellStyle name="Normal 25 2 3 5 3 2" xfId="24044" xr:uid="{00000000-0005-0000-0000-0000E65D0000}"/>
    <cellStyle name="Normal 25 2 3 5 3 3" xfId="24045" xr:uid="{00000000-0005-0000-0000-0000E75D0000}"/>
    <cellStyle name="Normal 25 2 3 5 3 4" xfId="24046" xr:uid="{00000000-0005-0000-0000-0000E85D0000}"/>
    <cellStyle name="Normal 25 2 3 5 3 5" xfId="24047" xr:uid="{00000000-0005-0000-0000-0000E95D0000}"/>
    <cellStyle name="Normal 25 2 3 5 3 6" xfId="24048" xr:uid="{00000000-0005-0000-0000-0000EA5D0000}"/>
    <cellStyle name="Normal 25 2 3 5 4" xfId="24049" xr:uid="{00000000-0005-0000-0000-0000EB5D0000}"/>
    <cellStyle name="Normal 25 2 3 5 5" xfId="24050" xr:uid="{00000000-0005-0000-0000-0000EC5D0000}"/>
    <cellStyle name="Normal 25 2 3 5 6" xfId="24051" xr:uid="{00000000-0005-0000-0000-0000ED5D0000}"/>
    <cellStyle name="Normal 25 2 3 5 7" xfId="24052" xr:uid="{00000000-0005-0000-0000-0000EE5D0000}"/>
    <cellStyle name="Normal 25 2 3 5 8" xfId="24053" xr:uid="{00000000-0005-0000-0000-0000EF5D0000}"/>
    <cellStyle name="Normal 25 2 3 6" xfId="24054" xr:uid="{00000000-0005-0000-0000-0000F05D0000}"/>
    <cellStyle name="Normal 25 2 3 6 2" xfId="24055" xr:uid="{00000000-0005-0000-0000-0000F15D0000}"/>
    <cellStyle name="Normal 25 2 3 6 3" xfId="24056" xr:uid="{00000000-0005-0000-0000-0000F25D0000}"/>
    <cellStyle name="Normal 25 2 3 6 4" xfId="24057" xr:uid="{00000000-0005-0000-0000-0000F35D0000}"/>
    <cellStyle name="Normal 25 2 3 6 5" xfId="24058" xr:uid="{00000000-0005-0000-0000-0000F45D0000}"/>
    <cellStyle name="Normal 25 2 3 6 6" xfId="24059" xr:uid="{00000000-0005-0000-0000-0000F55D0000}"/>
    <cellStyle name="Normal 25 2 3 7" xfId="24060" xr:uid="{00000000-0005-0000-0000-0000F65D0000}"/>
    <cellStyle name="Normal 25 2 3 7 2" xfId="24061" xr:uid="{00000000-0005-0000-0000-0000F75D0000}"/>
    <cellStyle name="Normal 25 2 3 7 3" xfId="24062" xr:uid="{00000000-0005-0000-0000-0000F85D0000}"/>
    <cellStyle name="Normal 25 2 3 7 4" xfId="24063" xr:uid="{00000000-0005-0000-0000-0000F95D0000}"/>
    <cellStyle name="Normal 25 2 3 7 5" xfId="24064" xr:uid="{00000000-0005-0000-0000-0000FA5D0000}"/>
    <cellStyle name="Normal 25 2 3 7 6" xfId="24065" xr:uid="{00000000-0005-0000-0000-0000FB5D0000}"/>
    <cellStyle name="Normal 25 2 3 8" xfId="24066" xr:uid="{00000000-0005-0000-0000-0000FC5D0000}"/>
    <cellStyle name="Normal 25 2 3 9" xfId="24067" xr:uid="{00000000-0005-0000-0000-0000FD5D0000}"/>
    <cellStyle name="Normal 25 2 4" xfId="24068" xr:uid="{00000000-0005-0000-0000-0000FE5D0000}"/>
    <cellStyle name="Normal 25 2 4 10" xfId="24069" xr:uid="{00000000-0005-0000-0000-0000FF5D0000}"/>
    <cellStyle name="Normal 25 2 4 11" xfId="24070" xr:uid="{00000000-0005-0000-0000-0000005E0000}"/>
    <cellStyle name="Normal 25 2 4 12" xfId="24071" xr:uid="{00000000-0005-0000-0000-0000015E0000}"/>
    <cellStyle name="Normal 25 2 4 2" xfId="24072" xr:uid="{00000000-0005-0000-0000-0000025E0000}"/>
    <cellStyle name="Normal 25 2 4 2 10" xfId="24073" xr:uid="{00000000-0005-0000-0000-0000035E0000}"/>
    <cellStyle name="Normal 25 2 4 2 11" xfId="24074" xr:uid="{00000000-0005-0000-0000-0000045E0000}"/>
    <cellStyle name="Normal 25 2 4 2 2" xfId="24075" xr:uid="{00000000-0005-0000-0000-0000055E0000}"/>
    <cellStyle name="Normal 25 2 4 2 2 2" xfId="24076" xr:uid="{00000000-0005-0000-0000-0000065E0000}"/>
    <cellStyle name="Normal 25 2 4 2 2 2 2" xfId="24077" xr:uid="{00000000-0005-0000-0000-0000075E0000}"/>
    <cellStyle name="Normal 25 2 4 2 2 2 3" xfId="24078" xr:uid="{00000000-0005-0000-0000-0000085E0000}"/>
    <cellStyle name="Normal 25 2 4 2 2 2 4" xfId="24079" xr:uid="{00000000-0005-0000-0000-0000095E0000}"/>
    <cellStyle name="Normal 25 2 4 2 2 2 5" xfId="24080" xr:uid="{00000000-0005-0000-0000-00000A5E0000}"/>
    <cellStyle name="Normal 25 2 4 2 2 2 6" xfId="24081" xr:uid="{00000000-0005-0000-0000-00000B5E0000}"/>
    <cellStyle name="Normal 25 2 4 2 2 3" xfId="24082" xr:uid="{00000000-0005-0000-0000-00000C5E0000}"/>
    <cellStyle name="Normal 25 2 4 2 2 3 2" xfId="24083" xr:uid="{00000000-0005-0000-0000-00000D5E0000}"/>
    <cellStyle name="Normal 25 2 4 2 2 3 3" xfId="24084" xr:uid="{00000000-0005-0000-0000-00000E5E0000}"/>
    <cellStyle name="Normal 25 2 4 2 2 3 4" xfId="24085" xr:uid="{00000000-0005-0000-0000-00000F5E0000}"/>
    <cellStyle name="Normal 25 2 4 2 2 3 5" xfId="24086" xr:uid="{00000000-0005-0000-0000-0000105E0000}"/>
    <cellStyle name="Normal 25 2 4 2 2 3 6" xfId="24087" xr:uid="{00000000-0005-0000-0000-0000115E0000}"/>
    <cellStyle name="Normal 25 2 4 2 2 4" xfId="24088" xr:uid="{00000000-0005-0000-0000-0000125E0000}"/>
    <cellStyle name="Normal 25 2 4 2 2 5" xfId="24089" xr:uid="{00000000-0005-0000-0000-0000135E0000}"/>
    <cellStyle name="Normal 25 2 4 2 2 6" xfId="24090" xr:uid="{00000000-0005-0000-0000-0000145E0000}"/>
    <cellStyle name="Normal 25 2 4 2 2 7" xfId="24091" xr:uid="{00000000-0005-0000-0000-0000155E0000}"/>
    <cellStyle name="Normal 25 2 4 2 2 8" xfId="24092" xr:uid="{00000000-0005-0000-0000-0000165E0000}"/>
    <cellStyle name="Normal 25 2 4 2 3" xfId="24093" xr:uid="{00000000-0005-0000-0000-0000175E0000}"/>
    <cellStyle name="Normal 25 2 4 2 3 2" xfId="24094" xr:uid="{00000000-0005-0000-0000-0000185E0000}"/>
    <cellStyle name="Normal 25 2 4 2 3 2 2" xfId="24095" xr:uid="{00000000-0005-0000-0000-0000195E0000}"/>
    <cellStyle name="Normal 25 2 4 2 3 2 3" xfId="24096" xr:uid="{00000000-0005-0000-0000-00001A5E0000}"/>
    <cellStyle name="Normal 25 2 4 2 3 2 4" xfId="24097" xr:uid="{00000000-0005-0000-0000-00001B5E0000}"/>
    <cellStyle name="Normal 25 2 4 2 3 2 5" xfId="24098" xr:uid="{00000000-0005-0000-0000-00001C5E0000}"/>
    <cellStyle name="Normal 25 2 4 2 3 2 6" xfId="24099" xr:uid="{00000000-0005-0000-0000-00001D5E0000}"/>
    <cellStyle name="Normal 25 2 4 2 3 3" xfId="24100" xr:uid="{00000000-0005-0000-0000-00001E5E0000}"/>
    <cellStyle name="Normal 25 2 4 2 3 3 2" xfId="24101" xr:uid="{00000000-0005-0000-0000-00001F5E0000}"/>
    <cellStyle name="Normal 25 2 4 2 3 3 3" xfId="24102" xr:uid="{00000000-0005-0000-0000-0000205E0000}"/>
    <cellStyle name="Normal 25 2 4 2 3 3 4" xfId="24103" xr:uid="{00000000-0005-0000-0000-0000215E0000}"/>
    <cellStyle name="Normal 25 2 4 2 3 3 5" xfId="24104" xr:uid="{00000000-0005-0000-0000-0000225E0000}"/>
    <cellStyle name="Normal 25 2 4 2 3 3 6" xfId="24105" xr:uid="{00000000-0005-0000-0000-0000235E0000}"/>
    <cellStyle name="Normal 25 2 4 2 3 4" xfId="24106" xr:uid="{00000000-0005-0000-0000-0000245E0000}"/>
    <cellStyle name="Normal 25 2 4 2 3 5" xfId="24107" xr:uid="{00000000-0005-0000-0000-0000255E0000}"/>
    <cellStyle name="Normal 25 2 4 2 3 6" xfId="24108" xr:uid="{00000000-0005-0000-0000-0000265E0000}"/>
    <cellStyle name="Normal 25 2 4 2 3 7" xfId="24109" xr:uid="{00000000-0005-0000-0000-0000275E0000}"/>
    <cellStyle name="Normal 25 2 4 2 3 8" xfId="24110" xr:uid="{00000000-0005-0000-0000-0000285E0000}"/>
    <cellStyle name="Normal 25 2 4 2 4" xfId="24111" xr:uid="{00000000-0005-0000-0000-0000295E0000}"/>
    <cellStyle name="Normal 25 2 4 2 4 2" xfId="24112" xr:uid="{00000000-0005-0000-0000-00002A5E0000}"/>
    <cellStyle name="Normal 25 2 4 2 4 2 2" xfId="24113" xr:uid="{00000000-0005-0000-0000-00002B5E0000}"/>
    <cellStyle name="Normal 25 2 4 2 4 2 3" xfId="24114" xr:uid="{00000000-0005-0000-0000-00002C5E0000}"/>
    <cellStyle name="Normal 25 2 4 2 4 2 4" xfId="24115" xr:uid="{00000000-0005-0000-0000-00002D5E0000}"/>
    <cellStyle name="Normal 25 2 4 2 4 2 5" xfId="24116" xr:uid="{00000000-0005-0000-0000-00002E5E0000}"/>
    <cellStyle name="Normal 25 2 4 2 4 2 6" xfId="24117" xr:uid="{00000000-0005-0000-0000-00002F5E0000}"/>
    <cellStyle name="Normal 25 2 4 2 4 3" xfId="24118" xr:uid="{00000000-0005-0000-0000-0000305E0000}"/>
    <cellStyle name="Normal 25 2 4 2 4 3 2" xfId="24119" xr:uid="{00000000-0005-0000-0000-0000315E0000}"/>
    <cellStyle name="Normal 25 2 4 2 4 3 3" xfId="24120" xr:uid="{00000000-0005-0000-0000-0000325E0000}"/>
    <cellStyle name="Normal 25 2 4 2 4 3 4" xfId="24121" xr:uid="{00000000-0005-0000-0000-0000335E0000}"/>
    <cellStyle name="Normal 25 2 4 2 4 3 5" xfId="24122" xr:uid="{00000000-0005-0000-0000-0000345E0000}"/>
    <cellStyle name="Normal 25 2 4 2 4 3 6" xfId="24123" xr:uid="{00000000-0005-0000-0000-0000355E0000}"/>
    <cellStyle name="Normal 25 2 4 2 4 4" xfId="24124" xr:uid="{00000000-0005-0000-0000-0000365E0000}"/>
    <cellStyle name="Normal 25 2 4 2 4 5" xfId="24125" xr:uid="{00000000-0005-0000-0000-0000375E0000}"/>
    <cellStyle name="Normal 25 2 4 2 4 6" xfId="24126" xr:uid="{00000000-0005-0000-0000-0000385E0000}"/>
    <cellStyle name="Normal 25 2 4 2 4 7" xfId="24127" xr:uid="{00000000-0005-0000-0000-0000395E0000}"/>
    <cellStyle name="Normal 25 2 4 2 4 8" xfId="24128" xr:uid="{00000000-0005-0000-0000-00003A5E0000}"/>
    <cellStyle name="Normal 25 2 4 2 5" xfId="24129" xr:uid="{00000000-0005-0000-0000-00003B5E0000}"/>
    <cellStyle name="Normal 25 2 4 2 5 2" xfId="24130" xr:uid="{00000000-0005-0000-0000-00003C5E0000}"/>
    <cellStyle name="Normal 25 2 4 2 5 3" xfId="24131" xr:uid="{00000000-0005-0000-0000-00003D5E0000}"/>
    <cellStyle name="Normal 25 2 4 2 5 4" xfId="24132" xr:uid="{00000000-0005-0000-0000-00003E5E0000}"/>
    <cellStyle name="Normal 25 2 4 2 5 5" xfId="24133" xr:uid="{00000000-0005-0000-0000-00003F5E0000}"/>
    <cellStyle name="Normal 25 2 4 2 5 6" xfId="24134" xr:uid="{00000000-0005-0000-0000-0000405E0000}"/>
    <cellStyle name="Normal 25 2 4 2 6" xfId="24135" xr:uid="{00000000-0005-0000-0000-0000415E0000}"/>
    <cellStyle name="Normal 25 2 4 2 6 2" xfId="24136" xr:uid="{00000000-0005-0000-0000-0000425E0000}"/>
    <cellStyle name="Normal 25 2 4 2 6 3" xfId="24137" xr:uid="{00000000-0005-0000-0000-0000435E0000}"/>
    <cellStyle name="Normal 25 2 4 2 6 4" xfId="24138" xr:uid="{00000000-0005-0000-0000-0000445E0000}"/>
    <cellStyle name="Normal 25 2 4 2 6 5" xfId="24139" xr:uid="{00000000-0005-0000-0000-0000455E0000}"/>
    <cellStyle name="Normal 25 2 4 2 6 6" xfId="24140" xr:uid="{00000000-0005-0000-0000-0000465E0000}"/>
    <cellStyle name="Normal 25 2 4 2 7" xfId="24141" xr:uid="{00000000-0005-0000-0000-0000475E0000}"/>
    <cellStyle name="Normal 25 2 4 2 8" xfId="24142" xr:uid="{00000000-0005-0000-0000-0000485E0000}"/>
    <cellStyle name="Normal 25 2 4 2 9" xfId="24143" xr:uid="{00000000-0005-0000-0000-0000495E0000}"/>
    <cellStyle name="Normal 25 2 4 3" xfId="24144" xr:uid="{00000000-0005-0000-0000-00004A5E0000}"/>
    <cellStyle name="Normal 25 2 4 3 2" xfId="24145" xr:uid="{00000000-0005-0000-0000-00004B5E0000}"/>
    <cellStyle name="Normal 25 2 4 3 2 2" xfId="24146" xr:uid="{00000000-0005-0000-0000-00004C5E0000}"/>
    <cellStyle name="Normal 25 2 4 3 2 3" xfId="24147" xr:uid="{00000000-0005-0000-0000-00004D5E0000}"/>
    <cellStyle name="Normal 25 2 4 3 2 4" xfId="24148" xr:uid="{00000000-0005-0000-0000-00004E5E0000}"/>
    <cellStyle name="Normal 25 2 4 3 2 5" xfId="24149" xr:uid="{00000000-0005-0000-0000-00004F5E0000}"/>
    <cellStyle name="Normal 25 2 4 3 2 6" xfId="24150" xr:uid="{00000000-0005-0000-0000-0000505E0000}"/>
    <cellStyle name="Normal 25 2 4 3 3" xfId="24151" xr:uid="{00000000-0005-0000-0000-0000515E0000}"/>
    <cellStyle name="Normal 25 2 4 3 3 2" xfId="24152" xr:uid="{00000000-0005-0000-0000-0000525E0000}"/>
    <cellStyle name="Normal 25 2 4 3 3 3" xfId="24153" xr:uid="{00000000-0005-0000-0000-0000535E0000}"/>
    <cellStyle name="Normal 25 2 4 3 3 4" xfId="24154" xr:uid="{00000000-0005-0000-0000-0000545E0000}"/>
    <cellStyle name="Normal 25 2 4 3 3 5" xfId="24155" xr:uid="{00000000-0005-0000-0000-0000555E0000}"/>
    <cellStyle name="Normal 25 2 4 3 3 6" xfId="24156" xr:uid="{00000000-0005-0000-0000-0000565E0000}"/>
    <cellStyle name="Normal 25 2 4 3 4" xfId="24157" xr:uid="{00000000-0005-0000-0000-0000575E0000}"/>
    <cellStyle name="Normal 25 2 4 3 5" xfId="24158" xr:uid="{00000000-0005-0000-0000-0000585E0000}"/>
    <cellStyle name="Normal 25 2 4 3 6" xfId="24159" xr:uid="{00000000-0005-0000-0000-0000595E0000}"/>
    <cellStyle name="Normal 25 2 4 3 7" xfId="24160" xr:uid="{00000000-0005-0000-0000-00005A5E0000}"/>
    <cellStyle name="Normal 25 2 4 3 8" xfId="24161" xr:uid="{00000000-0005-0000-0000-00005B5E0000}"/>
    <cellStyle name="Normal 25 2 4 4" xfId="24162" xr:uid="{00000000-0005-0000-0000-00005C5E0000}"/>
    <cellStyle name="Normal 25 2 4 4 2" xfId="24163" xr:uid="{00000000-0005-0000-0000-00005D5E0000}"/>
    <cellStyle name="Normal 25 2 4 4 2 2" xfId="24164" xr:uid="{00000000-0005-0000-0000-00005E5E0000}"/>
    <cellStyle name="Normal 25 2 4 4 2 3" xfId="24165" xr:uid="{00000000-0005-0000-0000-00005F5E0000}"/>
    <cellStyle name="Normal 25 2 4 4 2 4" xfId="24166" xr:uid="{00000000-0005-0000-0000-0000605E0000}"/>
    <cellStyle name="Normal 25 2 4 4 2 5" xfId="24167" xr:uid="{00000000-0005-0000-0000-0000615E0000}"/>
    <cellStyle name="Normal 25 2 4 4 2 6" xfId="24168" xr:uid="{00000000-0005-0000-0000-0000625E0000}"/>
    <cellStyle name="Normal 25 2 4 4 3" xfId="24169" xr:uid="{00000000-0005-0000-0000-0000635E0000}"/>
    <cellStyle name="Normal 25 2 4 4 3 2" xfId="24170" xr:uid="{00000000-0005-0000-0000-0000645E0000}"/>
    <cellStyle name="Normal 25 2 4 4 3 3" xfId="24171" xr:uid="{00000000-0005-0000-0000-0000655E0000}"/>
    <cellStyle name="Normal 25 2 4 4 3 4" xfId="24172" xr:uid="{00000000-0005-0000-0000-0000665E0000}"/>
    <cellStyle name="Normal 25 2 4 4 3 5" xfId="24173" xr:uid="{00000000-0005-0000-0000-0000675E0000}"/>
    <cellStyle name="Normal 25 2 4 4 3 6" xfId="24174" xr:uid="{00000000-0005-0000-0000-0000685E0000}"/>
    <cellStyle name="Normal 25 2 4 4 4" xfId="24175" xr:uid="{00000000-0005-0000-0000-0000695E0000}"/>
    <cellStyle name="Normal 25 2 4 4 5" xfId="24176" xr:uid="{00000000-0005-0000-0000-00006A5E0000}"/>
    <cellStyle name="Normal 25 2 4 4 6" xfId="24177" xr:uid="{00000000-0005-0000-0000-00006B5E0000}"/>
    <cellStyle name="Normal 25 2 4 4 7" xfId="24178" xr:uid="{00000000-0005-0000-0000-00006C5E0000}"/>
    <cellStyle name="Normal 25 2 4 4 8" xfId="24179" xr:uid="{00000000-0005-0000-0000-00006D5E0000}"/>
    <cellStyle name="Normal 25 2 4 5" xfId="24180" xr:uid="{00000000-0005-0000-0000-00006E5E0000}"/>
    <cellStyle name="Normal 25 2 4 5 2" xfId="24181" xr:uid="{00000000-0005-0000-0000-00006F5E0000}"/>
    <cellStyle name="Normal 25 2 4 5 2 2" xfId="24182" xr:uid="{00000000-0005-0000-0000-0000705E0000}"/>
    <cellStyle name="Normal 25 2 4 5 2 3" xfId="24183" xr:uid="{00000000-0005-0000-0000-0000715E0000}"/>
    <cellStyle name="Normal 25 2 4 5 2 4" xfId="24184" xr:uid="{00000000-0005-0000-0000-0000725E0000}"/>
    <cellStyle name="Normal 25 2 4 5 2 5" xfId="24185" xr:uid="{00000000-0005-0000-0000-0000735E0000}"/>
    <cellStyle name="Normal 25 2 4 5 2 6" xfId="24186" xr:uid="{00000000-0005-0000-0000-0000745E0000}"/>
    <cellStyle name="Normal 25 2 4 5 3" xfId="24187" xr:uid="{00000000-0005-0000-0000-0000755E0000}"/>
    <cellStyle name="Normal 25 2 4 5 3 2" xfId="24188" xr:uid="{00000000-0005-0000-0000-0000765E0000}"/>
    <cellStyle name="Normal 25 2 4 5 3 3" xfId="24189" xr:uid="{00000000-0005-0000-0000-0000775E0000}"/>
    <cellStyle name="Normal 25 2 4 5 3 4" xfId="24190" xr:uid="{00000000-0005-0000-0000-0000785E0000}"/>
    <cellStyle name="Normal 25 2 4 5 3 5" xfId="24191" xr:uid="{00000000-0005-0000-0000-0000795E0000}"/>
    <cellStyle name="Normal 25 2 4 5 3 6" xfId="24192" xr:uid="{00000000-0005-0000-0000-00007A5E0000}"/>
    <cellStyle name="Normal 25 2 4 5 4" xfId="24193" xr:uid="{00000000-0005-0000-0000-00007B5E0000}"/>
    <cellStyle name="Normal 25 2 4 5 5" xfId="24194" xr:uid="{00000000-0005-0000-0000-00007C5E0000}"/>
    <cellStyle name="Normal 25 2 4 5 6" xfId="24195" xr:uid="{00000000-0005-0000-0000-00007D5E0000}"/>
    <cellStyle name="Normal 25 2 4 5 7" xfId="24196" xr:uid="{00000000-0005-0000-0000-00007E5E0000}"/>
    <cellStyle name="Normal 25 2 4 5 8" xfId="24197" xr:uid="{00000000-0005-0000-0000-00007F5E0000}"/>
    <cellStyle name="Normal 25 2 4 6" xfId="24198" xr:uid="{00000000-0005-0000-0000-0000805E0000}"/>
    <cellStyle name="Normal 25 2 4 6 2" xfId="24199" xr:uid="{00000000-0005-0000-0000-0000815E0000}"/>
    <cellStyle name="Normal 25 2 4 6 3" xfId="24200" xr:uid="{00000000-0005-0000-0000-0000825E0000}"/>
    <cellStyle name="Normal 25 2 4 6 4" xfId="24201" xr:uid="{00000000-0005-0000-0000-0000835E0000}"/>
    <cellStyle name="Normal 25 2 4 6 5" xfId="24202" xr:uid="{00000000-0005-0000-0000-0000845E0000}"/>
    <cellStyle name="Normal 25 2 4 6 6" xfId="24203" xr:uid="{00000000-0005-0000-0000-0000855E0000}"/>
    <cellStyle name="Normal 25 2 4 7" xfId="24204" xr:uid="{00000000-0005-0000-0000-0000865E0000}"/>
    <cellStyle name="Normal 25 2 4 7 2" xfId="24205" xr:uid="{00000000-0005-0000-0000-0000875E0000}"/>
    <cellStyle name="Normal 25 2 4 7 3" xfId="24206" xr:uid="{00000000-0005-0000-0000-0000885E0000}"/>
    <cellStyle name="Normal 25 2 4 7 4" xfId="24207" xr:uid="{00000000-0005-0000-0000-0000895E0000}"/>
    <cellStyle name="Normal 25 2 4 7 5" xfId="24208" xr:uid="{00000000-0005-0000-0000-00008A5E0000}"/>
    <cellStyle name="Normal 25 2 4 7 6" xfId="24209" xr:uid="{00000000-0005-0000-0000-00008B5E0000}"/>
    <cellStyle name="Normal 25 2 4 8" xfId="24210" xr:uid="{00000000-0005-0000-0000-00008C5E0000}"/>
    <cellStyle name="Normal 25 2 4 9" xfId="24211" xr:uid="{00000000-0005-0000-0000-00008D5E0000}"/>
    <cellStyle name="Normal 25 2 5" xfId="24212" xr:uid="{00000000-0005-0000-0000-00008E5E0000}"/>
    <cellStyle name="Normal 25 2 5 10" xfId="24213" xr:uid="{00000000-0005-0000-0000-00008F5E0000}"/>
    <cellStyle name="Normal 25 2 5 11" xfId="24214" xr:uid="{00000000-0005-0000-0000-0000905E0000}"/>
    <cellStyle name="Normal 25 2 5 2" xfId="24215" xr:uid="{00000000-0005-0000-0000-0000915E0000}"/>
    <cellStyle name="Normal 25 2 5 2 2" xfId="24216" xr:uid="{00000000-0005-0000-0000-0000925E0000}"/>
    <cellStyle name="Normal 25 2 5 2 2 2" xfId="24217" xr:uid="{00000000-0005-0000-0000-0000935E0000}"/>
    <cellStyle name="Normal 25 2 5 2 2 3" xfId="24218" xr:uid="{00000000-0005-0000-0000-0000945E0000}"/>
    <cellStyle name="Normal 25 2 5 2 2 4" xfId="24219" xr:uid="{00000000-0005-0000-0000-0000955E0000}"/>
    <cellStyle name="Normal 25 2 5 2 2 5" xfId="24220" xr:uid="{00000000-0005-0000-0000-0000965E0000}"/>
    <cellStyle name="Normal 25 2 5 2 2 6" xfId="24221" xr:uid="{00000000-0005-0000-0000-0000975E0000}"/>
    <cellStyle name="Normal 25 2 5 2 3" xfId="24222" xr:uid="{00000000-0005-0000-0000-0000985E0000}"/>
    <cellStyle name="Normal 25 2 5 2 3 2" xfId="24223" xr:uid="{00000000-0005-0000-0000-0000995E0000}"/>
    <cellStyle name="Normal 25 2 5 2 3 3" xfId="24224" xr:uid="{00000000-0005-0000-0000-00009A5E0000}"/>
    <cellStyle name="Normal 25 2 5 2 3 4" xfId="24225" xr:uid="{00000000-0005-0000-0000-00009B5E0000}"/>
    <cellStyle name="Normal 25 2 5 2 3 5" xfId="24226" xr:uid="{00000000-0005-0000-0000-00009C5E0000}"/>
    <cellStyle name="Normal 25 2 5 2 3 6" xfId="24227" xr:uid="{00000000-0005-0000-0000-00009D5E0000}"/>
    <cellStyle name="Normal 25 2 5 2 4" xfId="24228" xr:uid="{00000000-0005-0000-0000-00009E5E0000}"/>
    <cellStyle name="Normal 25 2 5 2 5" xfId="24229" xr:uid="{00000000-0005-0000-0000-00009F5E0000}"/>
    <cellStyle name="Normal 25 2 5 2 6" xfId="24230" xr:uid="{00000000-0005-0000-0000-0000A05E0000}"/>
    <cellStyle name="Normal 25 2 5 2 7" xfId="24231" xr:uid="{00000000-0005-0000-0000-0000A15E0000}"/>
    <cellStyle name="Normal 25 2 5 2 8" xfId="24232" xr:uid="{00000000-0005-0000-0000-0000A25E0000}"/>
    <cellStyle name="Normal 25 2 5 3" xfId="24233" xr:uid="{00000000-0005-0000-0000-0000A35E0000}"/>
    <cellStyle name="Normal 25 2 5 3 2" xfId="24234" xr:uid="{00000000-0005-0000-0000-0000A45E0000}"/>
    <cellStyle name="Normal 25 2 5 3 2 2" xfId="24235" xr:uid="{00000000-0005-0000-0000-0000A55E0000}"/>
    <cellStyle name="Normal 25 2 5 3 2 3" xfId="24236" xr:uid="{00000000-0005-0000-0000-0000A65E0000}"/>
    <cellStyle name="Normal 25 2 5 3 2 4" xfId="24237" xr:uid="{00000000-0005-0000-0000-0000A75E0000}"/>
    <cellStyle name="Normal 25 2 5 3 2 5" xfId="24238" xr:uid="{00000000-0005-0000-0000-0000A85E0000}"/>
    <cellStyle name="Normal 25 2 5 3 2 6" xfId="24239" xr:uid="{00000000-0005-0000-0000-0000A95E0000}"/>
    <cellStyle name="Normal 25 2 5 3 3" xfId="24240" xr:uid="{00000000-0005-0000-0000-0000AA5E0000}"/>
    <cellStyle name="Normal 25 2 5 3 3 2" xfId="24241" xr:uid="{00000000-0005-0000-0000-0000AB5E0000}"/>
    <cellStyle name="Normal 25 2 5 3 3 3" xfId="24242" xr:uid="{00000000-0005-0000-0000-0000AC5E0000}"/>
    <cellStyle name="Normal 25 2 5 3 3 4" xfId="24243" xr:uid="{00000000-0005-0000-0000-0000AD5E0000}"/>
    <cellStyle name="Normal 25 2 5 3 3 5" xfId="24244" xr:uid="{00000000-0005-0000-0000-0000AE5E0000}"/>
    <cellStyle name="Normal 25 2 5 3 3 6" xfId="24245" xr:uid="{00000000-0005-0000-0000-0000AF5E0000}"/>
    <cellStyle name="Normal 25 2 5 3 4" xfId="24246" xr:uid="{00000000-0005-0000-0000-0000B05E0000}"/>
    <cellStyle name="Normal 25 2 5 3 5" xfId="24247" xr:uid="{00000000-0005-0000-0000-0000B15E0000}"/>
    <cellStyle name="Normal 25 2 5 3 6" xfId="24248" xr:uid="{00000000-0005-0000-0000-0000B25E0000}"/>
    <cellStyle name="Normal 25 2 5 3 7" xfId="24249" xr:uid="{00000000-0005-0000-0000-0000B35E0000}"/>
    <cellStyle name="Normal 25 2 5 3 8" xfId="24250" xr:uid="{00000000-0005-0000-0000-0000B45E0000}"/>
    <cellStyle name="Normal 25 2 5 4" xfId="24251" xr:uid="{00000000-0005-0000-0000-0000B55E0000}"/>
    <cellStyle name="Normal 25 2 5 4 2" xfId="24252" xr:uid="{00000000-0005-0000-0000-0000B65E0000}"/>
    <cellStyle name="Normal 25 2 5 4 2 2" xfId="24253" xr:uid="{00000000-0005-0000-0000-0000B75E0000}"/>
    <cellStyle name="Normal 25 2 5 4 2 3" xfId="24254" xr:uid="{00000000-0005-0000-0000-0000B85E0000}"/>
    <cellStyle name="Normal 25 2 5 4 2 4" xfId="24255" xr:uid="{00000000-0005-0000-0000-0000B95E0000}"/>
    <cellStyle name="Normal 25 2 5 4 2 5" xfId="24256" xr:uid="{00000000-0005-0000-0000-0000BA5E0000}"/>
    <cellStyle name="Normal 25 2 5 4 2 6" xfId="24257" xr:uid="{00000000-0005-0000-0000-0000BB5E0000}"/>
    <cellStyle name="Normal 25 2 5 4 3" xfId="24258" xr:uid="{00000000-0005-0000-0000-0000BC5E0000}"/>
    <cellStyle name="Normal 25 2 5 4 3 2" xfId="24259" xr:uid="{00000000-0005-0000-0000-0000BD5E0000}"/>
    <cellStyle name="Normal 25 2 5 4 3 3" xfId="24260" xr:uid="{00000000-0005-0000-0000-0000BE5E0000}"/>
    <cellStyle name="Normal 25 2 5 4 3 4" xfId="24261" xr:uid="{00000000-0005-0000-0000-0000BF5E0000}"/>
    <cellStyle name="Normal 25 2 5 4 3 5" xfId="24262" xr:uid="{00000000-0005-0000-0000-0000C05E0000}"/>
    <cellStyle name="Normal 25 2 5 4 3 6" xfId="24263" xr:uid="{00000000-0005-0000-0000-0000C15E0000}"/>
    <cellStyle name="Normal 25 2 5 4 4" xfId="24264" xr:uid="{00000000-0005-0000-0000-0000C25E0000}"/>
    <cellStyle name="Normal 25 2 5 4 5" xfId="24265" xr:uid="{00000000-0005-0000-0000-0000C35E0000}"/>
    <cellStyle name="Normal 25 2 5 4 6" xfId="24266" xr:uid="{00000000-0005-0000-0000-0000C45E0000}"/>
    <cellStyle name="Normal 25 2 5 4 7" xfId="24267" xr:uid="{00000000-0005-0000-0000-0000C55E0000}"/>
    <cellStyle name="Normal 25 2 5 4 8" xfId="24268" xr:uid="{00000000-0005-0000-0000-0000C65E0000}"/>
    <cellStyle name="Normal 25 2 5 5" xfId="24269" xr:uid="{00000000-0005-0000-0000-0000C75E0000}"/>
    <cellStyle name="Normal 25 2 5 5 2" xfId="24270" xr:uid="{00000000-0005-0000-0000-0000C85E0000}"/>
    <cellStyle name="Normal 25 2 5 5 3" xfId="24271" xr:uid="{00000000-0005-0000-0000-0000C95E0000}"/>
    <cellStyle name="Normal 25 2 5 5 4" xfId="24272" xr:uid="{00000000-0005-0000-0000-0000CA5E0000}"/>
    <cellStyle name="Normal 25 2 5 5 5" xfId="24273" xr:uid="{00000000-0005-0000-0000-0000CB5E0000}"/>
    <cellStyle name="Normal 25 2 5 5 6" xfId="24274" xr:uid="{00000000-0005-0000-0000-0000CC5E0000}"/>
    <cellStyle name="Normal 25 2 5 6" xfId="24275" xr:uid="{00000000-0005-0000-0000-0000CD5E0000}"/>
    <cellStyle name="Normal 25 2 5 6 2" xfId="24276" xr:uid="{00000000-0005-0000-0000-0000CE5E0000}"/>
    <cellStyle name="Normal 25 2 5 6 3" xfId="24277" xr:uid="{00000000-0005-0000-0000-0000CF5E0000}"/>
    <cellStyle name="Normal 25 2 5 6 4" xfId="24278" xr:uid="{00000000-0005-0000-0000-0000D05E0000}"/>
    <cellStyle name="Normal 25 2 5 6 5" xfId="24279" xr:uid="{00000000-0005-0000-0000-0000D15E0000}"/>
    <cellStyle name="Normal 25 2 5 6 6" xfId="24280" xr:uid="{00000000-0005-0000-0000-0000D25E0000}"/>
    <cellStyle name="Normal 25 2 5 7" xfId="24281" xr:uid="{00000000-0005-0000-0000-0000D35E0000}"/>
    <cellStyle name="Normal 25 2 5 8" xfId="24282" xr:uid="{00000000-0005-0000-0000-0000D45E0000}"/>
    <cellStyle name="Normal 25 2 5 9" xfId="24283" xr:uid="{00000000-0005-0000-0000-0000D55E0000}"/>
    <cellStyle name="Normal 25 2 6" xfId="24284" xr:uid="{00000000-0005-0000-0000-0000D65E0000}"/>
    <cellStyle name="Normal 25 2 6 2" xfId="24285" xr:uid="{00000000-0005-0000-0000-0000D75E0000}"/>
    <cellStyle name="Normal 25 2 6 2 2" xfId="24286" xr:uid="{00000000-0005-0000-0000-0000D85E0000}"/>
    <cellStyle name="Normal 25 2 6 2 3" xfId="24287" xr:uid="{00000000-0005-0000-0000-0000D95E0000}"/>
    <cellStyle name="Normal 25 2 6 2 4" xfId="24288" xr:uid="{00000000-0005-0000-0000-0000DA5E0000}"/>
    <cellStyle name="Normal 25 2 6 2 5" xfId="24289" xr:uid="{00000000-0005-0000-0000-0000DB5E0000}"/>
    <cellStyle name="Normal 25 2 6 2 6" xfId="24290" xr:uid="{00000000-0005-0000-0000-0000DC5E0000}"/>
    <cellStyle name="Normal 25 2 6 3" xfId="24291" xr:uid="{00000000-0005-0000-0000-0000DD5E0000}"/>
    <cellStyle name="Normal 25 2 6 3 2" xfId="24292" xr:uid="{00000000-0005-0000-0000-0000DE5E0000}"/>
    <cellStyle name="Normal 25 2 6 3 3" xfId="24293" xr:uid="{00000000-0005-0000-0000-0000DF5E0000}"/>
    <cellStyle name="Normal 25 2 6 3 4" xfId="24294" xr:uid="{00000000-0005-0000-0000-0000E05E0000}"/>
    <cellStyle name="Normal 25 2 6 3 5" xfId="24295" xr:uid="{00000000-0005-0000-0000-0000E15E0000}"/>
    <cellStyle name="Normal 25 2 6 3 6" xfId="24296" xr:uid="{00000000-0005-0000-0000-0000E25E0000}"/>
    <cellStyle name="Normal 25 2 6 4" xfId="24297" xr:uid="{00000000-0005-0000-0000-0000E35E0000}"/>
    <cellStyle name="Normal 25 2 6 5" xfId="24298" xr:uid="{00000000-0005-0000-0000-0000E45E0000}"/>
    <cellStyle name="Normal 25 2 6 6" xfId="24299" xr:uid="{00000000-0005-0000-0000-0000E55E0000}"/>
    <cellStyle name="Normal 25 2 6 7" xfId="24300" xr:uid="{00000000-0005-0000-0000-0000E65E0000}"/>
    <cellStyle name="Normal 25 2 6 8" xfId="24301" xr:uid="{00000000-0005-0000-0000-0000E75E0000}"/>
    <cellStyle name="Normal 25 2 7" xfId="24302" xr:uid="{00000000-0005-0000-0000-0000E85E0000}"/>
    <cellStyle name="Normal 25 2 7 2" xfId="24303" xr:uid="{00000000-0005-0000-0000-0000E95E0000}"/>
    <cellStyle name="Normal 25 2 7 2 2" xfId="24304" xr:uid="{00000000-0005-0000-0000-0000EA5E0000}"/>
    <cellStyle name="Normal 25 2 7 2 3" xfId="24305" xr:uid="{00000000-0005-0000-0000-0000EB5E0000}"/>
    <cellStyle name="Normal 25 2 7 2 4" xfId="24306" xr:uid="{00000000-0005-0000-0000-0000EC5E0000}"/>
    <cellStyle name="Normal 25 2 7 2 5" xfId="24307" xr:uid="{00000000-0005-0000-0000-0000ED5E0000}"/>
    <cellStyle name="Normal 25 2 7 2 6" xfId="24308" xr:uid="{00000000-0005-0000-0000-0000EE5E0000}"/>
    <cellStyle name="Normal 25 2 7 3" xfId="24309" xr:uid="{00000000-0005-0000-0000-0000EF5E0000}"/>
    <cellStyle name="Normal 25 2 7 3 2" xfId="24310" xr:uid="{00000000-0005-0000-0000-0000F05E0000}"/>
    <cellStyle name="Normal 25 2 7 3 3" xfId="24311" xr:uid="{00000000-0005-0000-0000-0000F15E0000}"/>
    <cellStyle name="Normal 25 2 7 3 4" xfId="24312" xr:uid="{00000000-0005-0000-0000-0000F25E0000}"/>
    <cellStyle name="Normal 25 2 7 3 5" xfId="24313" xr:uid="{00000000-0005-0000-0000-0000F35E0000}"/>
    <cellStyle name="Normal 25 2 7 3 6" xfId="24314" xr:uid="{00000000-0005-0000-0000-0000F45E0000}"/>
    <cellStyle name="Normal 25 2 7 4" xfId="24315" xr:uid="{00000000-0005-0000-0000-0000F55E0000}"/>
    <cellStyle name="Normal 25 2 7 5" xfId="24316" xr:uid="{00000000-0005-0000-0000-0000F65E0000}"/>
    <cellStyle name="Normal 25 2 7 6" xfId="24317" xr:uid="{00000000-0005-0000-0000-0000F75E0000}"/>
    <cellStyle name="Normal 25 2 7 7" xfId="24318" xr:uid="{00000000-0005-0000-0000-0000F85E0000}"/>
    <cellStyle name="Normal 25 2 7 8" xfId="24319" xr:uid="{00000000-0005-0000-0000-0000F95E0000}"/>
    <cellStyle name="Normal 25 2 8" xfId="24320" xr:uid="{00000000-0005-0000-0000-0000FA5E0000}"/>
    <cellStyle name="Normal 25 2 8 2" xfId="24321" xr:uid="{00000000-0005-0000-0000-0000FB5E0000}"/>
    <cellStyle name="Normal 25 2 8 2 2" xfId="24322" xr:uid="{00000000-0005-0000-0000-0000FC5E0000}"/>
    <cellStyle name="Normal 25 2 8 2 3" xfId="24323" xr:uid="{00000000-0005-0000-0000-0000FD5E0000}"/>
    <cellStyle name="Normal 25 2 8 2 4" xfId="24324" xr:uid="{00000000-0005-0000-0000-0000FE5E0000}"/>
    <cellStyle name="Normal 25 2 8 2 5" xfId="24325" xr:uid="{00000000-0005-0000-0000-0000FF5E0000}"/>
    <cellStyle name="Normal 25 2 8 2 6" xfId="24326" xr:uid="{00000000-0005-0000-0000-0000005F0000}"/>
    <cellStyle name="Normal 25 2 8 3" xfId="24327" xr:uid="{00000000-0005-0000-0000-0000015F0000}"/>
    <cellStyle name="Normal 25 2 8 3 2" xfId="24328" xr:uid="{00000000-0005-0000-0000-0000025F0000}"/>
    <cellStyle name="Normal 25 2 8 3 3" xfId="24329" xr:uid="{00000000-0005-0000-0000-0000035F0000}"/>
    <cellStyle name="Normal 25 2 8 3 4" xfId="24330" xr:uid="{00000000-0005-0000-0000-0000045F0000}"/>
    <cellStyle name="Normal 25 2 8 3 5" xfId="24331" xr:uid="{00000000-0005-0000-0000-0000055F0000}"/>
    <cellStyle name="Normal 25 2 8 3 6" xfId="24332" xr:uid="{00000000-0005-0000-0000-0000065F0000}"/>
    <cellStyle name="Normal 25 2 8 4" xfId="24333" xr:uid="{00000000-0005-0000-0000-0000075F0000}"/>
    <cellStyle name="Normal 25 2 8 5" xfId="24334" xr:uid="{00000000-0005-0000-0000-0000085F0000}"/>
    <cellStyle name="Normal 25 2 8 6" xfId="24335" xr:uid="{00000000-0005-0000-0000-0000095F0000}"/>
    <cellStyle name="Normal 25 2 8 7" xfId="24336" xr:uid="{00000000-0005-0000-0000-00000A5F0000}"/>
    <cellStyle name="Normal 25 2 8 8" xfId="24337" xr:uid="{00000000-0005-0000-0000-00000B5F0000}"/>
    <cellStyle name="Normal 25 2 9" xfId="24338" xr:uid="{00000000-0005-0000-0000-00000C5F0000}"/>
    <cellStyle name="Normal 25 2 9 2" xfId="24339" xr:uid="{00000000-0005-0000-0000-00000D5F0000}"/>
    <cellStyle name="Normal 25 2 9 3" xfId="24340" xr:uid="{00000000-0005-0000-0000-00000E5F0000}"/>
    <cellStyle name="Normal 25 2 9 4" xfId="24341" xr:uid="{00000000-0005-0000-0000-00000F5F0000}"/>
    <cellStyle name="Normal 25 2 9 5" xfId="24342" xr:uid="{00000000-0005-0000-0000-0000105F0000}"/>
    <cellStyle name="Normal 25 2 9 6" xfId="24343" xr:uid="{00000000-0005-0000-0000-0000115F0000}"/>
    <cellStyle name="Normal 25 3" xfId="24344" xr:uid="{00000000-0005-0000-0000-0000125F0000}"/>
    <cellStyle name="Normal 25 3 10" xfId="24345" xr:uid="{00000000-0005-0000-0000-0000135F0000}"/>
    <cellStyle name="Normal 25 3 10 2" xfId="24346" xr:uid="{00000000-0005-0000-0000-0000145F0000}"/>
    <cellStyle name="Normal 25 3 10 3" xfId="24347" xr:uid="{00000000-0005-0000-0000-0000155F0000}"/>
    <cellStyle name="Normal 25 3 10 4" xfId="24348" xr:uid="{00000000-0005-0000-0000-0000165F0000}"/>
    <cellStyle name="Normal 25 3 10 5" xfId="24349" xr:uid="{00000000-0005-0000-0000-0000175F0000}"/>
    <cellStyle name="Normal 25 3 10 6" xfId="24350" xr:uid="{00000000-0005-0000-0000-0000185F0000}"/>
    <cellStyle name="Normal 25 3 11" xfId="24351" xr:uid="{00000000-0005-0000-0000-0000195F0000}"/>
    <cellStyle name="Normal 25 3 12" xfId="24352" xr:uid="{00000000-0005-0000-0000-00001A5F0000}"/>
    <cellStyle name="Normal 25 3 13" xfId="24353" xr:uid="{00000000-0005-0000-0000-00001B5F0000}"/>
    <cellStyle name="Normal 25 3 14" xfId="24354" xr:uid="{00000000-0005-0000-0000-00001C5F0000}"/>
    <cellStyle name="Normal 25 3 15" xfId="24355" xr:uid="{00000000-0005-0000-0000-00001D5F0000}"/>
    <cellStyle name="Normal 25 3 2" xfId="24356" xr:uid="{00000000-0005-0000-0000-00001E5F0000}"/>
    <cellStyle name="Normal 25 3 2 10" xfId="24357" xr:uid="{00000000-0005-0000-0000-00001F5F0000}"/>
    <cellStyle name="Normal 25 3 2 11" xfId="24358" xr:uid="{00000000-0005-0000-0000-0000205F0000}"/>
    <cellStyle name="Normal 25 3 2 12" xfId="24359" xr:uid="{00000000-0005-0000-0000-0000215F0000}"/>
    <cellStyle name="Normal 25 3 2 13" xfId="24360" xr:uid="{00000000-0005-0000-0000-0000225F0000}"/>
    <cellStyle name="Normal 25 3 2 14" xfId="24361" xr:uid="{00000000-0005-0000-0000-0000235F0000}"/>
    <cellStyle name="Normal 25 3 2 2" xfId="24362" xr:uid="{00000000-0005-0000-0000-0000245F0000}"/>
    <cellStyle name="Normal 25 3 2 2 10" xfId="24363" xr:uid="{00000000-0005-0000-0000-0000255F0000}"/>
    <cellStyle name="Normal 25 3 2 2 11" xfId="24364" xr:uid="{00000000-0005-0000-0000-0000265F0000}"/>
    <cellStyle name="Normal 25 3 2 2 12" xfId="24365" xr:uid="{00000000-0005-0000-0000-0000275F0000}"/>
    <cellStyle name="Normal 25 3 2 2 2" xfId="24366" xr:uid="{00000000-0005-0000-0000-0000285F0000}"/>
    <cellStyle name="Normal 25 3 2 2 2 10" xfId="24367" xr:uid="{00000000-0005-0000-0000-0000295F0000}"/>
    <cellStyle name="Normal 25 3 2 2 2 11" xfId="24368" xr:uid="{00000000-0005-0000-0000-00002A5F0000}"/>
    <cellStyle name="Normal 25 3 2 2 2 2" xfId="24369" xr:uid="{00000000-0005-0000-0000-00002B5F0000}"/>
    <cellStyle name="Normal 25 3 2 2 2 2 2" xfId="24370" xr:uid="{00000000-0005-0000-0000-00002C5F0000}"/>
    <cellStyle name="Normal 25 3 2 2 2 2 2 2" xfId="24371" xr:uid="{00000000-0005-0000-0000-00002D5F0000}"/>
    <cellStyle name="Normal 25 3 2 2 2 2 2 3" xfId="24372" xr:uid="{00000000-0005-0000-0000-00002E5F0000}"/>
    <cellStyle name="Normal 25 3 2 2 2 2 2 4" xfId="24373" xr:uid="{00000000-0005-0000-0000-00002F5F0000}"/>
    <cellStyle name="Normal 25 3 2 2 2 2 2 5" xfId="24374" xr:uid="{00000000-0005-0000-0000-0000305F0000}"/>
    <cellStyle name="Normal 25 3 2 2 2 2 2 6" xfId="24375" xr:uid="{00000000-0005-0000-0000-0000315F0000}"/>
    <cellStyle name="Normal 25 3 2 2 2 2 3" xfId="24376" xr:uid="{00000000-0005-0000-0000-0000325F0000}"/>
    <cellStyle name="Normal 25 3 2 2 2 2 3 2" xfId="24377" xr:uid="{00000000-0005-0000-0000-0000335F0000}"/>
    <cellStyle name="Normal 25 3 2 2 2 2 3 3" xfId="24378" xr:uid="{00000000-0005-0000-0000-0000345F0000}"/>
    <cellStyle name="Normal 25 3 2 2 2 2 3 4" xfId="24379" xr:uid="{00000000-0005-0000-0000-0000355F0000}"/>
    <cellStyle name="Normal 25 3 2 2 2 2 3 5" xfId="24380" xr:uid="{00000000-0005-0000-0000-0000365F0000}"/>
    <cellStyle name="Normal 25 3 2 2 2 2 3 6" xfId="24381" xr:uid="{00000000-0005-0000-0000-0000375F0000}"/>
    <cellStyle name="Normal 25 3 2 2 2 2 4" xfId="24382" xr:uid="{00000000-0005-0000-0000-0000385F0000}"/>
    <cellStyle name="Normal 25 3 2 2 2 2 5" xfId="24383" xr:uid="{00000000-0005-0000-0000-0000395F0000}"/>
    <cellStyle name="Normal 25 3 2 2 2 2 6" xfId="24384" xr:uid="{00000000-0005-0000-0000-00003A5F0000}"/>
    <cellStyle name="Normal 25 3 2 2 2 2 7" xfId="24385" xr:uid="{00000000-0005-0000-0000-00003B5F0000}"/>
    <cellStyle name="Normal 25 3 2 2 2 2 8" xfId="24386" xr:uid="{00000000-0005-0000-0000-00003C5F0000}"/>
    <cellStyle name="Normal 25 3 2 2 2 3" xfId="24387" xr:uid="{00000000-0005-0000-0000-00003D5F0000}"/>
    <cellStyle name="Normal 25 3 2 2 2 3 2" xfId="24388" xr:uid="{00000000-0005-0000-0000-00003E5F0000}"/>
    <cellStyle name="Normal 25 3 2 2 2 3 2 2" xfId="24389" xr:uid="{00000000-0005-0000-0000-00003F5F0000}"/>
    <cellStyle name="Normal 25 3 2 2 2 3 2 3" xfId="24390" xr:uid="{00000000-0005-0000-0000-0000405F0000}"/>
    <cellStyle name="Normal 25 3 2 2 2 3 2 4" xfId="24391" xr:uid="{00000000-0005-0000-0000-0000415F0000}"/>
    <cellStyle name="Normal 25 3 2 2 2 3 2 5" xfId="24392" xr:uid="{00000000-0005-0000-0000-0000425F0000}"/>
    <cellStyle name="Normal 25 3 2 2 2 3 2 6" xfId="24393" xr:uid="{00000000-0005-0000-0000-0000435F0000}"/>
    <cellStyle name="Normal 25 3 2 2 2 3 3" xfId="24394" xr:uid="{00000000-0005-0000-0000-0000445F0000}"/>
    <cellStyle name="Normal 25 3 2 2 2 3 3 2" xfId="24395" xr:uid="{00000000-0005-0000-0000-0000455F0000}"/>
    <cellStyle name="Normal 25 3 2 2 2 3 3 3" xfId="24396" xr:uid="{00000000-0005-0000-0000-0000465F0000}"/>
    <cellStyle name="Normal 25 3 2 2 2 3 3 4" xfId="24397" xr:uid="{00000000-0005-0000-0000-0000475F0000}"/>
    <cellStyle name="Normal 25 3 2 2 2 3 3 5" xfId="24398" xr:uid="{00000000-0005-0000-0000-0000485F0000}"/>
    <cellStyle name="Normal 25 3 2 2 2 3 3 6" xfId="24399" xr:uid="{00000000-0005-0000-0000-0000495F0000}"/>
    <cellStyle name="Normal 25 3 2 2 2 3 4" xfId="24400" xr:uid="{00000000-0005-0000-0000-00004A5F0000}"/>
    <cellStyle name="Normal 25 3 2 2 2 3 5" xfId="24401" xr:uid="{00000000-0005-0000-0000-00004B5F0000}"/>
    <cellStyle name="Normal 25 3 2 2 2 3 6" xfId="24402" xr:uid="{00000000-0005-0000-0000-00004C5F0000}"/>
    <cellStyle name="Normal 25 3 2 2 2 3 7" xfId="24403" xr:uid="{00000000-0005-0000-0000-00004D5F0000}"/>
    <cellStyle name="Normal 25 3 2 2 2 3 8" xfId="24404" xr:uid="{00000000-0005-0000-0000-00004E5F0000}"/>
    <cellStyle name="Normal 25 3 2 2 2 4" xfId="24405" xr:uid="{00000000-0005-0000-0000-00004F5F0000}"/>
    <cellStyle name="Normal 25 3 2 2 2 4 2" xfId="24406" xr:uid="{00000000-0005-0000-0000-0000505F0000}"/>
    <cellStyle name="Normal 25 3 2 2 2 4 2 2" xfId="24407" xr:uid="{00000000-0005-0000-0000-0000515F0000}"/>
    <cellStyle name="Normal 25 3 2 2 2 4 2 3" xfId="24408" xr:uid="{00000000-0005-0000-0000-0000525F0000}"/>
    <cellStyle name="Normal 25 3 2 2 2 4 2 4" xfId="24409" xr:uid="{00000000-0005-0000-0000-0000535F0000}"/>
    <cellStyle name="Normal 25 3 2 2 2 4 2 5" xfId="24410" xr:uid="{00000000-0005-0000-0000-0000545F0000}"/>
    <cellStyle name="Normal 25 3 2 2 2 4 2 6" xfId="24411" xr:uid="{00000000-0005-0000-0000-0000555F0000}"/>
    <cellStyle name="Normal 25 3 2 2 2 4 3" xfId="24412" xr:uid="{00000000-0005-0000-0000-0000565F0000}"/>
    <cellStyle name="Normal 25 3 2 2 2 4 3 2" xfId="24413" xr:uid="{00000000-0005-0000-0000-0000575F0000}"/>
    <cellStyle name="Normal 25 3 2 2 2 4 3 3" xfId="24414" xr:uid="{00000000-0005-0000-0000-0000585F0000}"/>
    <cellStyle name="Normal 25 3 2 2 2 4 3 4" xfId="24415" xr:uid="{00000000-0005-0000-0000-0000595F0000}"/>
    <cellStyle name="Normal 25 3 2 2 2 4 3 5" xfId="24416" xr:uid="{00000000-0005-0000-0000-00005A5F0000}"/>
    <cellStyle name="Normal 25 3 2 2 2 4 3 6" xfId="24417" xr:uid="{00000000-0005-0000-0000-00005B5F0000}"/>
    <cellStyle name="Normal 25 3 2 2 2 4 4" xfId="24418" xr:uid="{00000000-0005-0000-0000-00005C5F0000}"/>
    <cellStyle name="Normal 25 3 2 2 2 4 5" xfId="24419" xr:uid="{00000000-0005-0000-0000-00005D5F0000}"/>
    <cellStyle name="Normal 25 3 2 2 2 4 6" xfId="24420" xr:uid="{00000000-0005-0000-0000-00005E5F0000}"/>
    <cellStyle name="Normal 25 3 2 2 2 4 7" xfId="24421" xr:uid="{00000000-0005-0000-0000-00005F5F0000}"/>
    <cellStyle name="Normal 25 3 2 2 2 4 8" xfId="24422" xr:uid="{00000000-0005-0000-0000-0000605F0000}"/>
    <cellStyle name="Normal 25 3 2 2 2 5" xfId="24423" xr:uid="{00000000-0005-0000-0000-0000615F0000}"/>
    <cellStyle name="Normal 25 3 2 2 2 5 2" xfId="24424" xr:uid="{00000000-0005-0000-0000-0000625F0000}"/>
    <cellStyle name="Normal 25 3 2 2 2 5 3" xfId="24425" xr:uid="{00000000-0005-0000-0000-0000635F0000}"/>
    <cellStyle name="Normal 25 3 2 2 2 5 4" xfId="24426" xr:uid="{00000000-0005-0000-0000-0000645F0000}"/>
    <cellStyle name="Normal 25 3 2 2 2 5 5" xfId="24427" xr:uid="{00000000-0005-0000-0000-0000655F0000}"/>
    <cellStyle name="Normal 25 3 2 2 2 5 6" xfId="24428" xr:uid="{00000000-0005-0000-0000-0000665F0000}"/>
    <cellStyle name="Normal 25 3 2 2 2 6" xfId="24429" xr:uid="{00000000-0005-0000-0000-0000675F0000}"/>
    <cellStyle name="Normal 25 3 2 2 2 6 2" xfId="24430" xr:uid="{00000000-0005-0000-0000-0000685F0000}"/>
    <cellStyle name="Normal 25 3 2 2 2 6 3" xfId="24431" xr:uid="{00000000-0005-0000-0000-0000695F0000}"/>
    <cellStyle name="Normal 25 3 2 2 2 6 4" xfId="24432" xr:uid="{00000000-0005-0000-0000-00006A5F0000}"/>
    <cellStyle name="Normal 25 3 2 2 2 6 5" xfId="24433" xr:uid="{00000000-0005-0000-0000-00006B5F0000}"/>
    <cellStyle name="Normal 25 3 2 2 2 6 6" xfId="24434" xr:uid="{00000000-0005-0000-0000-00006C5F0000}"/>
    <cellStyle name="Normal 25 3 2 2 2 7" xfId="24435" xr:uid="{00000000-0005-0000-0000-00006D5F0000}"/>
    <cellStyle name="Normal 25 3 2 2 2 8" xfId="24436" xr:uid="{00000000-0005-0000-0000-00006E5F0000}"/>
    <cellStyle name="Normal 25 3 2 2 2 9" xfId="24437" xr:uid="{00000000-0005-0000-0000-00006F5F0000}"/>
    <cellStyle name="Normal 25 3 2 2 3" xfId="24438" xr:uid="{00000000-0005-0000-0000-0000705F0000}"/>
    <cellStyle name="Normal 25 3 2 2 3 2" xfId="24439" xr:uid="{00000000-0005-0000-0000-0000715F0000}"/>
    <cellStyle name="Normal 25 3 2 2 3 2 2" xfId="24440" xr:uid="{00000000-0005-0000-0000-0000725F0000}"/>
    <cellStyle name="Normal 25 3 2 2 3 2 3" xfId="24441" xr:uid="{00000000-0005-0000-0000-0000735F0000}"/>
    <cellStyle name="Normal 25 3 2 2 3 2 4" xfId="24442" xr:uid="{00000000-0005-0000-0000-0000745F0000}"/>
    <cellStyle name="Normal 25 3 2 2 3 2 5" xfId="24443" xr:uid="{00000000-0005-0000-0000-0000755F0000}"/>
    <cellStyle name="Normal 25 3 2 2 3 2 6" xfId="24444" xr:uid="{00000000-0005-0000-0000-0000765F0000}"/>
    <cellStyle name="Normal 25 3 2 2 3 3" xfId="24445" xr:uid="{00000000-0005-0000-0000-0000775F0000}"/>
    <cellStyle name="Normal 25 3 2 2 3 3 2" xfId="24446" xr:uid="{00000000-0005-0000-0000-0000785F0000}"/>
    <cellStyle name="Normal 25 3 2 2 3 3 3" xfId="24447" xr:uid="{00000000-0005-0000-0000-0000795F0000}"/>
    <cellStyle name="Normal 25 3 2 2 3 3 4" xfId="24448" xr:uid="{00000000-0005-0000-0000-00007A5F0000}"/>
    <cellStyle name="Normal 25 3 2 2 3 3 5" xfId="24449" xr:uid="{00000000-0005-0000-0000-00007B5F0000}"/>
    <cellStyle name="Normal 25 3 2 2 3 3 6" xfId="24450" xr:uid="{00000000-0005-0000-0000-00007C5F0000}"/>
    <cellStyle name="Normal 25 3 2 2 3 4" xfId="24451" xr:uid="{00000000-0005-0000-0000-00007D5F0000}"/>
    <cellStyle name="Normal 25 3 2 2 3 5" xfId="24452" xr:uid="{00000000-0005-0000-0000-00007E5F0000}"/>
    <cellStyle name="Normal 25 3 2 2 3 6" xfId="24453" xr:uid="{00000000-0005-0000-0000-00007F5F0000}"/>
    <cellStyle name="Normal 25 3 2 2 3 7" xfId="24454" xr:uid="{00000000-0005-0000-0000-0000805F0000}"/>
    <cellStyle name="Normal 25 3 2 2 3 8" xfId="24455" xr:uid="{00000000-0005-0000-0000-0000815F0000}"/>
    <cellStyle name="Normal 25 3 2 2 4" xfId="24456" xr:uid="{00000000-0005-0000-0000-0000825F0000}"/>
    <cellStyle name="Normal 25 3 2 2 4 2" xfId="24457" xr:uid="{00000000-0005-0000-0000-0000835F0000}"/>
    <cellStyle name="Normal 25 3 2 2 4 2 2" xfId="24458" xr:uid="{00000000-0005-0000-0000-0000845F0000}"/>
    <cellStyle name="Normal 25 3 2 2 4 2 3" xfId="24459" xr:uid="{00000000-0005-0000-0000-0000855F0000}"/>
    <cellStyle name="Normal 25 3 2 2 4 2 4" xfId="24460" xr:uid="{00000000-0005-0000-0000-0000865F0000}"/>
    <cellStyle name="Normal 25 3 2 2 4 2 5" xfId="24461" xr:uid="{00000000-0005-0000-0000-0000875F0000}"/>
    <cellStyle name="Normal 25 3 2 2 4 2 6" xfId="24462" xr:uid="{00000000-0005-0000-0000-0000885F0000}"/>
    <cellStyle name="Normal 25 3 2 2 4 3" xfId="24463" xr:uid="{00000000-0005-0000-0000-0000895F0000}"/>
    <cellStyle name="Normal 25 3 2 2 4 3 2" xfId="24464" xr:uid="{00000000-0005-0000-0000-00008A5F0000}"/>
    <cellStyle name="Normal 25 3 2 2 4 3 3" xfId="24465" xr:uid="{00000000-0005-0000-0000-00008B5F0000}"/>
    <cellStyle name="Normal 25 3 2 2 4 3 4" xfId="24466" xr:uid="{00000000-0005-0000-0000-00008C5F0000}"/>
    <cellStyle name="Normal 25 3 2 2 4 3 5" xfId="24467" xr:uid="{00000000-0005-0000-0000-00008D5F0000}"/>
    <cellStyle name="Normal 25 3 2 2 4 3 6" xfId="24468" xr:uid="{00000000-0005-0000-0000-00008E5F0000}"/>
    <cellStyle name="Normal 25 3 2 2 4 4" xfId="24469" xr:uid="{00000000-0005-0000-0000-00008F5F0000}"/>
    <cellStyle name="Normal 25 3 2 2 4 5" xfId="24470" xr:uid="{00000000-0005-0000-0000-0000905F0000}"/>
    <cellStyle name="Normal 25 3 2 2 4 6" xfId="24471" xr:uid="{00000000-0005-0000-0000-0000915F0000}"/>
    <cellStyle name="Normal 25 3 2 2 4 7" xfId="24472" xr:uid="{00000000-0005-0000-0000-0000925F0000}"/>
    <cellStyle name="Normal 25 3 2 2 4 8" xfId="24473" xr:uid="{00000000-0005-0000-0000-0000935F0000}"/>
    <cellStyle name="Normal 25 3 2 2 5" xfId="24474" xr:uid="{00000000-0005-0000-0000-0000945F0000}"/>
    <cellStyle name="Normal 25 3 2 2 5 2" xfId="24475" xr:uid="{00000000-0005-0000-0000-0000955F0000}"/>
    <cellStyle name="Normal 25 3 2 2 5 2 2" xfId="24476" xr:uid="{00000000-0005-0000-0000-0000965F0000}"/>
    <cellStyle name="Normal 25 3 2 2 5 2 3" xfId="24477" xr:uid="{00000000-0005-0000-0000-0000975F0000}"/>
    <cellStyle name="Normal 25 3 2 2 5 2 4" xfId="24478" xr:uid="{00000000-0005-0000-0000-0000985F0000}"/>
    <cellStyle name="Normal 25 3 2 2 5 2 5" xfId="24479" xr:uid="{00000000-0005-0000-0000-0000995F0000}"/>
    <cellStyle name="Normal 25 3 2 2 5 2 6" xfId="24480" xr:uid="{00000000-0005-0000-0000-00009A5F0000}"/>
    <cellStyle name="Normal 25 3 2 2 5 3" xfId="24481" xr:uid="{00000000-0005-0000-0000-00009B5F0000}"/>
    <cellStyle name="Normal 25 3 2 2 5 3 2" xfId="24482" xr:uid="{00000000-0005-0000-0000-00009C5F0000}"/>
    <cellStyle name="Normal 25 3 2 2 5 3 3" xfId="24483" xr:uid="{00000000-0005-0000-0000-00009D5F0000}"/>
    <cellStyle name="Normal 25 3 2 2 5 3 4" xfId="24484" xr:uid="{00000000-0005-0000-0000-00009E5F0000}"/>
    <cellStyle name="Normal 25 3 2 2 5 3 5" xfId="24485" xr:uid="{00000000-0005-0000-0000-00009F5F0000}"/>
    <cellStyle name="Normal 25 3 2 2 5 3 6" xfId="24486" xr:uid="{00000000-0005-0000-0000-0000A05F0000}"/>
    <cellStyle name="Normal 25 3 2 2 5 4" xfId="24487" xr:uid="{00000000-0005-0000-0000-0000A15F0000}"/>
    <cellStyle name="Normal 25 3 2 2 5 5" xfId="24488" xr:uid="{00000000-0005-0000-0000-0000A25F0000}"/>
    <cellStyle name="Normal 25 3 2 2 5 6" xfId="24489" xr:uid="{00000000-0005-0000-0000-0000A35F0000}"/>
    <cellStyle name="Normal 25 3 2 2 5 7" xfId="24490" xr:uid="{00000000-0005-0000-0000-0000A45F0000}"/>
    <cellStyle name="Normal 25 3 2 2 5 8" xfId="24491" xr:uid="{00000000-0005-0000-0000-0000A55F0000}"/>
    <cellStyle name="Normal 25 3 2 2 6" xfId="24492" xr:uid="{00000000-0005-0000-0000-0000A65F0000}"/>
    <cellStyle name="Normal 25 3 2 2 6 2" xfId="24493" xr:uid="{00000000-0005-0000-0000-0000A75F0000}"/>
    <cellStyle name="Normal 25 3 2 2 6 3" xfId="24494" xr:uid="{00000000-0005-0000-0000-0000A85F0000}"/>
    <cellStyle name="Normal 25 3 2 2 6 4" xfId="24495" xr:uid="{00000000-0005-0000-0000-0000A95F0000}"/>
    <cellStyle name="Normal 25 3 2 2 6 5" xfId="24496" xr:uid="{00000000-0005-0000-0000-0000AA5F0000}"/>
    <cellStyle name="Normal 25 3 2 2 6 6" xfId="24497" xr:uid="{00000000-0005-0000-0000-0000AB5F0000}"/>
    <cellStyle name="Normal 25 3 2 2 7" xfId="24498" xr:uid="{00000000-0005-0000-0000-0000AC5F0000}"/>
    <cellStyle name="Normal 25 3 2 2 7 2" xfId="24499" xr:uid="{00000000-0005-0000-0000-0000AD5F0000}"/>
    <cellStyle name="Normal 25 3 2 2 7 3" xfId="24500" xr:uid="{00000000-0005-0000-0000-0000AE5F0000}"/>
    <cellStyle name="Normal 25 3 2 2 7 4" xfId="24501" xr:uid="{00000000-0005-0000-0000-0000AF5F0000}"/>
    <cellStyle name="Normal 25 3 2 2 7 5" xfId="24502" xr:uid="{00000000-0005-0000-0000-0000B05F0000}"/>
    <cellStyle name="Normal 25 3 2 2 7 6" xfId="24503" xr:uid="{00000000-0005-0000-0000-0000B15F0000}"/>
    <cellStyle name="Normal 25 3 2 2 8" xfId="24504" xr:uid="{00000000-0005-0000-0000-0000B25F0000}"/>
    <cellStyle name="Normal 25 3 2 2 9" xfId="24505" xr:uid="{00000000-0005-0000-0000-0000B35F0000}"/>
    <cellStyle name="Normal 25 3 2 3" xfId="24506" xr:uid="{00000000-0005-0000-0000-0000B45F0000}"/>
    <cellStyle name="Normal 25 3 2 3 10" xfId="24507" xr:uid="{00000000-0005-0000-0000-0000B55F0000}"/>
    <cellStyle name="Normal 25 3 2 3 11" xfId="24508" xr:uid="{00000000-0005-0000-0000-0000B65F0000}"/>
    <cellStyle name="Normal 25 3 2 3 12" xfId="24509" xr:uid="{00000000-0005-0000-0000-0000B75F0000}"/>
    <cellStyle name="Normal 25 3 2 3 2" xfId="24510" xr:uid="{00000000-0005-0000-0000-0000B85F0000}"/>
    <cellStyle name="Normal 25 3 2 3 2 10" xfId="24511" xr:uid="{00000000-0005-0000-0000-0000B95F0000}"/>
    <cellStyle name="Normal 25 3 2 3 2 11" xfId="24512" xr:uid="{00000000-0005-0000-0000-0000BA5F0000}"/>
    <cellStyle name="Normal 25 3 2 3 2 2" xfId="24513" xr:uid="{00000000-0005-0000-0000-0000BB5F0000}"/>
    <cellStyle name="Normal 25 3 2 3 2 2 2" xfId="24514" xr:uid="{00000000-0005-0000-0000-0000BC5F0000}"/>
    <cellStyle name="Normal 25 3 2 3 2 2 2 2" xfId="24515" xr:uid="{00000000-0005-0000-0000-0000BD5F0000}"/>
    <cellStyle name="Normal 25 3 2 3 2 2 2 3" xfId="24516" xr:uid="{00000000-0005-0000-0000-0000BE5F0000}"/>
    <cellStyle name="Normal 25 3 2 3 2 2 2 4" xfId="24517" xr:uid="{00000000-0005-0000-0000-0000BF5F0000}"/>
    <cellStyle name="Normal 25 3 2 3 2 2 2 5" xfId="24518" xr:uid="{00000000-0005-0000-0000-0000C05F0000}"/>
    <cellStyle name="Normal 25 3 2 3 2 2 2 6" xfId="24519" xr:uid="{00000000-0005-0000-0000-0000C15F0000}"/>
    <cellStyle name="Normal 25 3 2 3 2 2 3" xfId="24520" xr:uid="{00000000-0005-0000-0000-0000C25F0000}"/>
    <cellStyle name="Normal 25 3 2 3 2 2 3 2" xfId="24521" xr:uid="{00000000-0005-0000-0000-0000C35F0000}"/>
    <cellStyle name="Normal 25 3 2 3 2 2 3 3" xfId="24522" xr:uid="{00000000-0005-0000-0000-0000C45F0000}"/>
    <cellStyle name="Normal 25 3 2 3 2 2 3 4" xfId="24523" xr:uid="{00000000-0005-0000-0000-0000C55F0000}"/>
    <cellStyle name="Normal 25 3 2 3 2 2 3 5" xfId="24524" xr:uid="{00000000-0005-0000-0000-0000C65F0000}"/>
    <cellStyle name="Normal 25 3 2 3 2 2 3 6" xfId="24525" xr:uid="{00000000-0005-0000-0000-0000C75F0000}"/>
    <cellStyle name="Normal 25 3 2 3 2 2 4" xfId="24526" xr:uid="{00000000-0005-0000-0000-0000C85F0000}"/>
    <cellStyle name="Normal 25 3 2 3 2 2 5" xfId="24527" xr:uid="{00000000-0005-0000-0000-0000C95F0000}"/>
    <cellStyle name="Normal 25 3 2 3 2 2 6" xfId="24528" xr:uid="{00000000-0005-0000-0000-0000CA5F0000}"/>
    <cellStyle name="Normal 25 3 2 3 2 2 7" xfId="24529" xr:uid="{00000000-0005-0000-0000-0000CB5F0000}"/>
    <cellStyle name="Normal 25 3 2 3 2 2 8" xfId="24530" xr:uid="{00000000-0005-0000-0000-0000CC5F0000}"/>
    <cellStyle name="Normal 25 3 2 3 2 3" xfId="24531" xr:uid="{00000000-0005-0000-0000-0000CD5F0000}"/>
    <cellStyle name="Normal 25 3 2 3 2 3 2" xfId="24532" xr:uid="{00000000-0005-0000-0000-0000CE5F0000}"/>
    <cellStyle name="Normal 25 3 2 3 2 3 2 2" xfId="24533" xr:uid="{00000000-0005-0000-0000-0000CF5F0000}"/>
    <cellStyle name="Normal 25 3 2 3 2 3 2 3" xfId="24534" xr:uid="{00000000-0005-0000-0000-0000D05F0000}"/>
    <cellStyle name="Normal 25 3 2 3 2 3 2 4" xfId="24535" xr:uid="{00000000-0005-0000-0000-0000D15F0000}"/>
    <cellStyle name="Normal 25 3 2 3 2 3 2 5" xfId="24536" xr:uid="{00000000-0005-0000-0000-0000D25F0000}"/>
    <cellStyle name="Normal 25 3 2 3 2 3 2 6" xfId="24537" xr:uid="{00000000-0005-0000-0000-0000D35F0000}"/>
    <cellStyle name="Normal 25 3 2 3 2 3 3" xfId="24538" xr:uid="{00000000-0005-0000-0000-0000D45F0000}"/>
    <cellStyle name="Normal 25 3 2 3 2 3 3 2" xfId="24539" xr:uid="{00000000-0005-0000-0000-0000D55F0000}"/>
    <cellStyle name="Normal 25 3 2 3 2 3 3 3" xfId="24540" xr:uid="{00000000-0005-0000-0000-0000D65F0000}"/>
    <cellStyle name="Normal 25 3 2 3 2 3 3 4" xfId="24541" xr:uid="{00000000-0005-0000-0000-0000D75F0000}"/>
    <cellStyle name="Normal 25 3 2 3 2 3 3 5" xfId="24542" xr:uid="{00000000-0005-0000-0000-0000D85F0000}"/>
    <cellStyle name="Normal 25 3 2 3 2 3 3 6" xfId="24543" xr:uid="{00000000-0005-0000-0000-0000D95F0000}"/>
    <cellStyle name="Normal 25 3 2 3 2 3 4" xfId="24544" xr:uid="{00000000-0005-0000-0000-0000DA5F0000}"/>
    <cellStyle name="Normal 25 3 2 3 2 3 5" xfId="24545" xr:uid="{00000000-0005-0000-0000-0000DB5F0000}"/>
    <cellStyle name="Normal 25 3 2 3 2 3 6" xfId="24546" xr:uid="{00000000-0005-0000-0000-0000DC5F0000}"/>
    <cellStyle name="Normal 25 3 2 3 2 3 7" xfId="24547" xr:uid="{00000000-0005-0000-0000-0000DD5F0000}"/>
    <cellStyle name="Normal 25 3 2 3 2 3 8" xfId="24548" xr:uid="{00000000-0005-0000-0000-0000DE5F0000}"/>
    <cellStyle name="Normal 25 3 2 3 2 4" xfId="24549" xr:uid="{00000000-0005-0000-0000-0000DF5F0000}"/>
    <cellStyle name="Normal 25 3 2 3 2 4 2" xfId="24550" xr:uid="{00000000-0005-0000-0000-0000E05F0000}"/>
    <cellStyle name="Normal 25 3 2 3 2 4 2 2" xfId="24551" xr:uid="{00000000-0005-0000-0000-0000E15F0000}"/>
    <cellStyle name="Normal 25 3 2 3 2 4 2 3" xfId="24552" xr:uid="{00000000-0005-0000-0000-0000E25F0000}"/>
    <cellStyle name="Normal 25 3 2 3 2 4 2 4" xfId="24553" xr:uid="{00000000-0005-0000-0000-0000E35F0000}"/>
    <cellStyle name="Normal 25 3 2 3 2 4 2 5" xfId="24554" xr:uid="{00000000-0005-0000-0000-0000E45F0000}"/>
    <cellStyle name="Normal 25 3 2 3 2 4 2 6" xfId="24555" xr:uid="{00000000-0005-0000-0000-0000E55F0000}"/>
    <cellStyle name="Normal 25 3 2 3 2 4 3" xfId="24556" xr:uid="{00000000-0005-0000-0000-0000E65F0000}"/>
    <cellStyle name="Normal 25 3 2 3 2 4 3 2" xfId="24557" xr:uid="{00000000-0005-0000-0000-0000E75F0000}"/>
    <cellStyle name="Normal 25 3 2 3 2 4 3 3" xfId="24558" xr:uid="{00000000-0005-0000-0000-0000E85F0000}"/>
    <cellStyle name="Normal 25 3 2 3 2 4 3 4" xfId="24559" xr:uid="{00000000-0005-0000-0000-0000E95F0000}"/>
    <cellStyle name="Normal 25 3 2 3 2 4 3 5" xfId="24560" xr:uid="{00000000-0005-0000-0000-0000EA5F0000}"/>
    <cellStyle name="Normal 25 3 2 3 2 4 3 6" xfId="24561" xr:uid="{00000000-0005-0000-0000-0000EB5F0000}"/>
    <cellStyle name="Normal 25 3 2 3 2 4 4" xfId="24562" xr:uid="{00000000-0005-0000-0000-0000EC5F0000}"/>
    <cellStyle name="Normal 25 3 2 3 2 4 5" xfId="24563" xr:uid="{00000000-0005-0000-0000-0000ED5F0000}"/>
    <cellStyle name="Normal 25 3 2 3 2 4 6" xfId="24564" xr:uid="{00000000-0005-0000-0000-0000EE5F0000}"/>
    <cellStyle name="Normal 25 3 2 3 2 4 7" xfId="24565" xr:uid="{00000000-0005-0000-0000-0000EF5F0000}"/>
    <cellStyle name="Normal 25 3 2 3 2 4 8" xfId="24566" xr:uid="{00000000-0005-0000-0000-0000F05F0000}"/>
    <cellStyle name="Normal 25 3 2 3 2 5" xfId="24567" xr:uid="{00000000-0005-0000-0000-0000F15F0000}"/>
    <cellStyle name="Normal 25 3 2 3 2 5 2" xfId="24568" xr:uid="{00000000-0005-0000-0000-0000F25F0000}"/>
    <cellStyle name="Normal 25 3 2 3 2 5 3" xfId="24569" xr:uid="{00000000-0005-0000-0000-0000F35F0000}"/>
    <cellStyle name="Normal 25 3 2 3 2 5 4" xfId="24570" xr:uid="{00000000-0005-0000-0000-0000F45F0000}"/>
    <cellStyle name="Normal 25 3 2 3 2 5 5" xfId="24571" xr:uid="{00000000-0005-0000-0000-0000F55F0000}"/>
    <cellStyle name="Normal 25 3 2 3 2 5 6" xfId="24572" xr:uid="{00000000-0005-0000-0000-0000F65F0000}"/>
    <cellStyle name="Normal 25 3 2 3 2 6" xfId="24573" xr:uid="{00000000-0005-0000-0000-0000F75F0000}"/>
    <cellStyle name="Normal 25 3 2 3 2 6 2" xfId="24574" xr:uid="{00000000-0005-0000-0000-0000F85F0000}"/>
    <cellStyle name="Normal 25 3 2 3 2 6 3" xfId="24575" xr:uid="{00000000-0005-0000-0000-0000F95F0000}"/>
    <cellStyle name="Normal 25 3 2 3 2 6 4" xfId="24576" xr:uid="{00000000-0005-0000-0000-0000FA5F0000}"/>
    <cellStyle name="Normal 25 3 2 3 2 6 5" xfId="24577" xr:uid="{00000000-0005-0000-0000-0000FB5F0000}"/>
    <cellStyle name="Normal 25 3 2 3 2 6 6" xfId="24578" xr:uid="{00000000-0005-0000-0000-0000FC5F0000}"/>
    <cellStyle name="Normal 25 3 2 3 2 7" xfId="24579" xr:uid="{00000000-0005-0000-0000-0000FD5F0000}"/>
    <cellStyle name="Normal 25 3 2 3 2 8" xfId="24580" xr:uid="{00000000-0005-0000-0000-0000FE5F0000}"/>
    <cellStyle name="Normal 25 3 2 3 2 9" xfId="24581" xr:uid="{00000000-0005-0000-0000-0000FF5F0000}"/>
    <cellStyle name="Normal 25 3 2 3 3" xfId="24582" xr:uid="{00000000-0005-0000-0000-000000600000}"/>
    <cellStyle name="Normal 25 3 2 3 3 2" xfId="24583" xr:uid="{00000000-0005-0000-0000-000001600000}"/>
    <cellStyle name="Normal 25 3 2 3 3 2 2" xfId="24584" xr:uid="{00000000-0005-0000-0000-000002600000}"/>
    <cellStyle name="Normal 25 3 2 3 3 2 3" xfId="24585" xr:uid="{00000000-0005-0000-0000-000003600000}"/>
    <cellStyle name="Normal 25 3 2 3 3 2 4" xfId="24586" xr:uid="{00000000-0005-0000-0000-000004600000}"/>
    <cellStyle name="Normal 25 3 2 3 3 2 5" xfId="24587" xr:uid="{00000000-0005-0000-0000-000005600000}"/>
    <cellStyle name="Normal 25 3 2 3 3 2 6" xfId="24588" xr:uid="{00000000-0005-0000-0000-000006600000}"/>
    <cellStyle name="Normal 25 3 2 3 3 3" xfId="24589" xr:uid="{00000000-0005-0000-0000-000007600000}"/>
    <cellStyle name="Normal 25 3 2 3 3 3 2" xfId="24590" xr:uid="{00000000-0005-0000-0000-000008600000}"/>
    <cellStyle name="Normal 25 3 2 3 3 3 3" xfId="24591" xr:uid="{00000000-0005-0000-0000-000009600000}"/>
    <cellStyle name="Normal 25 3 2 3 3 3 4" xfId="24592" xr:uid="{00000000-0005-0000-0000-00000A600000}"/>
    <cellStyle name="Normal 25 3 2 3 3 3 5" xfId="24593" xr:uid="{00000000-0005-0000-0000-00000B600000}"/>
    <cellStyle name="Normal 25 3 2 3 3 3 6" xfId="24594" xr:uid="{00000000-0005-0000-0000-00000C600000}"/>
    <cellStyle name="Normal 25 3 2 3 3 4" xfId="24595" xr:uid="{00000000-0005-0000-0000-00000D600000}"/>
    <cellStyle name="Normal 25 3 2 3 3 5" xfId="24596" xr:uid="{00000000-0005-0000-0000-00000E600000}"/>
    <cellStyle name="Normal 25 3 2 3 3 6" xfId="24597" xr:uid="{00000000-0005-0000-0000-00000F600000}"/>
    <cellStyle name="Normal 25 3 2 3 3 7" xfId="24598" xr:uid="{00000000-0005-0000-0000-000010600000}"/>
    <cellStyle name="Normal 25 3 2 3 3 8" xfId="24599" xr:uid="{00000000-0005-0000-0000-000011600000}"/>
    <cellStyle name="Normal 25 3 2 3 4" xfId="24600" xr:uid="{00000000-0005-0000-0000-000012600000}"/>
    <cellStyle name="Normal 25 3 2 3 4 2" xfId="24601" xr:uid="{00000000-0005-0000-0000-000013600000}"/>
    <cellStyle name="Normal 25 3 2 3 4 2 2" xfId="24602" xr:uid="{00000000-0005-0000-0000-000014600000}"/>
    <cellStyle name="Normal 25 3 2 3 4 2 3" xfId="24603" xr:uid="{00000000-0005-0000-0000-000015600000}"/>
    <cellStyle name="Normal 25 3 2 3 4 2 4" xfId="24604" xr:uid="{00000000-0005-0000-0000-000016600000}"/>
    <cellStyle name="Normal 25 3 2 3 4 2 5" xfId="24605" xr:uid="{00000000-0005-0000-0000-000017600000}"/>
    <cellStyle name="Normal 25 3 2 3 4 2 6" xfId="24606" xr:uid="{00000000-0005-0000-0000-000018600000}"/>
    <cellStyle name="Normal 25 3 2 3 4 3" xfId="24607" xr:uid="{00000000-0005-0000-0000-000019600000}"/>
    <cellStyle name="Normal 25 3 2 3 4 3 2" xfId="24608" xr:uid="{00000000-0005-0000-0000-00001A600000}"/>
    <cellStyle name="Normal 25 3 2 3 4 3 3" xfId="24609" xr:uid="{00000000-0005-0000-0000-00001B600000}"/>
    <cellStyle name="Normal 25 3 2 3 4 3 4" xfId="24610" xr:uid="{00000000-0005-0000-0000-00001C600000}"/>
    <cellStyle name="Normal 25 3 2 3 4 3 5" xfId="24611" xr:uid="{00000000-0005-0000-0000-00001D600000}"/>
    <cellStyle name="Normal 25 3 2 3 4 3 6" xfId="24612" xr:uid="{00000000-0005-0000-0000-00001E600000}"/>
    <cellStyle name="Normal 25 3 2 3 4 4" xfId="24613" xr:uid="{00000000-0005-0000-0000-00001F600000}"/>
    <cellStyle name="Normal 25 3 2 3 4 5" xfId="24614" xr:uid="{00000000-0005-0000-0000-000020600000}"/>
    <cellStyle name="Normal 25 3 2 3 4 6" xfId="24615" xr:uid="{00000000-0005-0000-0000-000021600000}"/>
    <cellStyle name="Normal 25 3 2 3 4 7" xfId="24616" xr:uid="{00000000-0005-0000-0000-000022600000}"/>
    <cellStyle name="Normal 25 3 2 3 4 8" xfId="24617" xr:uid="{00000000-0005-0000-0000-000023600000}"/>
    <cellStyle name="Normal 25 3 2 3 5" xfId="24618" xr:uid="{00000000-0005-0000-0000-000024600000}"/>
    <cellStyle name="Normal 25 3 2 3 5 2" xfId="24619" xr:uid="{00000000-0005-0000-0000-000025600000}"/>
    <cellStyle name="Normal 25 3 2 3 5 2 2" xfId="24620" xr:uid="{00000000-0005-0000-0000-000026600000}"/>
    <cellStyle name="Normal 25 3 2 3 5 2 3" xfId="24621" xr:uid="{00000000-0005-0000-0000-000027600000}"/>
    <cellStyle name="Normal 25 3 2 3 5 2 4" xfId="24622" xr:uid="{00000000-0005-0000-0000-000028600000}"/>
    <cellStyle name="Normal 25 3 2 3 5 2 5" xfId="24623" xr:uid="{00000000-0005-0000-0000-000029600000}"/>
    <cellStyle name="Normal 25 3 2 3 5 2 6" xfId="24624" xr:uid="{00000000-0005-0000-0000-00002A600000}"/>
    <cellStyle name="Normal 25 3 2 3 5 3" xfId="24625" xr:uid="{00000000-0005-0000-0000-00002B600000}"/>
    <cellStyle name="Normal 25 3 2 3 5 3 2" xfId="24626" xr:uid="{00000000-0005-0000-0000-00002C600000}"/>
    <cellStyle name="Normal 25 3 2 3 5 3 3" xfId="24627" xr:uid="{00000000-0005-0000-0000-00002D600000}"/>
    <cellStyle name="Normal 25 3 2 3 5 3 4" xfId="24628" xr:uid="{00000000-0005-0000-0000-00002E600000}"/>
    <cellStyle name="Normal 25 3 2 3 5 3 5" xfId="24629" xr:uid="{00000000-0005-0000-0000-00002F600000}"/>
    <cellStyle name="Normal 25 3 2 3 5 3 6" xfId="24630" xr:uid="{00000000-0005-0000-0000-000030600000}"/>
    <cellStyle name="Normal 25 3 2 3 5 4" xfId="24631" xr:uid="{00000000-0005-0000-0000-000031600000}"/>
    <cellStyle name="Normal 25 3 2 3 5 5" xfId="24632" xr:uid="{00000000-0005-0000-0000-000032600000}"/>
    <cellStyle name="Normal 25 3 2 3 5 6" xfId="24633" xr:uid="{00000000-0005-0000-0000-000033600000}"/>
    <cellStyle name="Normal 25 3 2 3 5 7" xfId="24634" xr:uid="{00000000-0005-0000-0000-000034600000}"/>
    <cellStyle name="Normal 25 3 2 3 5 8" xfId="24635" xr:uid="{00000000-0005-0000-0000-000035600000}"/>
    <cellStyle name="Normal 25 3 2 3 6" xfId="24636" xr:uid="{00000000-0005-0000-0000-000036600000}"/>
    <cellStyle name="Normal 25 3 2 3 6 2" xfId="24637" xr:uid="{00000000-0005-0000-0000-000037600000}"/>
    <cellStyle name="Normal 25 3 2 3 6 3" xfId="24638" xr:uid="{00000000-0005-0000-0000-000038600000}"/>
    <cellStyle name="Normal 25 3 2 3 6 4" xfId="24639" xr:uid="{00000000-0005-0000-0000-000039600000}"/>
    <cellStyle name="Normal 25 3 2 3 6 5" xfId="24640" xr:uid="{00000000-0005-0000-0000-00003A600000}"/>
    <cellStyle name="Normal 25 3 2 3 6 6" xfId="24641" xr:uid="{00000000-0005-0000-0000-00003B600000}"/>
    <cellStyle name="Normal 25 3 2 3 7" xfId="24642" xr:uid="{00000000-0005-0000-0000-00003C600000}"/>
    <cellStyle name="Normal 25 3 2 3 7 2" xfId="24643" xr:uid="{00000000-0005-0000-0000-00003D600000}"/>
    <cellStyle name="Normal 25 3 2 3 7 3" xfId="24644" xr:uid="{00000000-0005-0000-0000-00003E600000}"/>
    <cellStyle name="Normal 25 3 2 3 7 4" xfId="24645" xr:uid="{00000000-0005-0000-0000-00003F600000}"/>
    <cellStyle name="Normal 25 3 2 3 7 5" xfId="24646" xr:uid="{00000000-0005-0000-0000-000040600000}"/>
    <cellStyle name="Normal 25 3 2 3 7 6" xfId="24647" xr:uid="{00000000-0005-0000-0000-000041600000}"/>
    <cellStyle name="Normal 25 3 2 3 8" xfId="24648" xr:uid="{00000000-0005-0000-0000-000042600000}"/>
    <cellStyle name="Normal 25 3 2 3 9" xfId="24649" xr:uid="{00000000-0005-0000-0000-000043600000}"/>
    <cellStyle name="Normal 25 3 2 4" xfId="24650" xr:uid="{00000000-0005-0000-0000-000044600000}"/>
    <cellStyle name="Normal 25 3 2 4 10" xfId="24651" xr:uid="{00000000-0005-0000-0000-000045600000}"/>
    <cellStyle name="Normal 25 3 2 4 11" xfId="24652" xr:uid="{00000000-0005-0000-0000-000046600000}"/>
    <cellStyle name="Normal 25 3 2 4 2" xfId="24653" xr:uid="{00000000-0005-0000-0000-000047600000}"/>
    <cellStyle name="Normal 25 3 2 4 2 2" xfId="24654" xr:uid="{00000000-0005-0000-0000-000048600000}"/>
    <cellStyle name="Normal 25 3 2 4 2 2 2" xfId="24655" xr:uid="{00000000-0005-0000-0000-000049600000}"/>
    <cellStyle name="Normal 25 3 2 4 2 2 3" xfId="24656" xr:uid="{00000000-0005-0000-0000-00004A600000}"/>
    <cellStyle name="Normal 25 3 2 4 2 2 4" xfId="24657" xr:uid="{00000000-0005-0000-0000-00004B600000}"/>
    <cellStyle name="Normal 25 3 2 4 2 2 5" xfId="24658" xr:uid="{00000000-0005-0000-0000-00004C600000}"/>
    <cellStyle name="Normal 25 3 2 4 2 2 6" xfId="24659" xr:uid="{00000000-0005-0000-0000-00004D600000}"/>
    <cellStyle name="Normal 25 3 2 4 2 3" xfId="24660" xr:uid="{00000000-0005-0000-0000-00004E600000}"/>
    <cellStyle name="Normal 25 3 2 4 2 3 2" xfId="24661" xr:uid="{00000000-0005-0000-0000-00004F600000}"/>
    <cellStyle name="Normal 25 3 2 4 2 3 3" xfId="24662" xr:uid="{00000000-0005-0000-0000-000050600000}"/>
    <cellStyle name="Normal 25 3 2 4 2 3 4" xfId="24663" xr:uid="{00000000-0005-0000-0000-000051600000}"/>
    <cellStyle name="Normal 25 3 2 4 2 3 5" xfId="24664" xr:uid="{00000000-0005-0000-0000-000052600000}"/>
    <cellStyle name="Normal 25 3 2 4 2 3 6" xfId="24665" xr:uid="{00000000-0005-0000-0000-000053600000}"/>
    <cellStyle name="Normal 25 3 2 4 2 4" xfId="24666" xr:uid="{00000000-0005-0000-0000-000054600000}"/>
    <cellStyle name="Normal 25 3 2 4 2 5" xfId="24667" xr:uid="{00000000-0005-0000-0000-000055600000}"/>
    <cellStyle name="Normal 25 3 2 4 2 6" xfId="24668" xr:uid="{00000000-0005-0000-0000-000056600000}"/>
    <cellStyle name="Normal 25 3 2 4 2 7" xfId="24669" xr:uid="{00000000-0005-0000-0000-000057600000}"/>
    <cellStyle name="Normal 25 3 2 4 2 8" xfId="24670" xr:uid="{00000000-0005-0000-0000-000058600000}"/>
    <cellStyle name="Normal 25 3 2 4 3" xfId="24671" xr:uid="{00000000-0005-0000-0000-000059600000}"/>
    <cellStyle name="Normal 25 3 2 4 3 2" xfId="24672" xr:uid="{00000000-0005-0000-0000-00005A600000}"/>
    <cellStyle name="Normal 25 3 2 4 3 2 2" xfId="24673" xr:uid="{00000000-0005-0000-0000-00005B600000}"/>
    <cellStyle name="Normal 25 3 2 4 3 2 3" xfId="24674" xr:uid="{00000000-0005-0000-0000-00005C600000}"/>
    <cellStyle name="Normal 25 3 2 4 3 2 4" xfId="24675" xr:uid="{00000000-0005-0000-0000-00005D600000}"/>
    <cellStyle name="Normal 25 3 2 4 3 2 5" xfId="24676" xr:uid="{00000000-0005-0000-0000-00005E600000}"/>
    <cellStyle name="Normal 25 3 2 4 3 2 6" xfId="24677" xr:uid="{00000000-0005-0000-0000-00005F600000}"/>
    <cellStyle name="Normal 25 3 2 4 3 3" xfId="24678" xr:uid="{00000000-0005-0000-0000-000060600000}"/>
    <cellStyle name="Normal 25 3 2 4 3 3 2" xfId="24679" xr:uid="{00000000-0005-0000-0000-000061600000}"/>
    <cellStyle name="Normal 25 3 2 4 3 3 3" xfId="24680" xr:uid="{00000000-0005-0000-0000-000062600000}"/>
    <cellStyle name="Normal 25 3 2 4 3 3 4" xfId="24681" xr:uid="{00000000-0005-0000-0000-000063600000}"/>
    <cellStyle name="Normal 25 3 2 4 3 3 5" xfId="24682" xr:uid="{00000000-0005-0000-0000-000064600000}"/>
    <cellStyle name="Normal 25 3 2 4 3 3 6" xfId="24683" xr:uid="{00000000-0005-0000-0000-000065600000}"/>
    <cellStyle name="Normal 25 3 2 4 3 4" xfId="24684" xr:uid="{00000000-0005-0000-0000-000066600000}"/>
    <cellStyle name="Normal 25 3 2 4 3 5" xfId="24685" xr:uid="{00000000-0005-0000-0000-000067600000}"/>
    <cellStyle name="Normal 25 3 2 4 3 6" xfId="24686" xr:uid="{00000000-0005-0000-0000-000068600000}"/>
    <cellStyle name="Normal 25 3 2 4 3 7" xfId="24687" xr:uid="{00000000-0005-0000-0000-000069600000}"/>
    <cellStyle name="Normal 25 3 2 4 3 8" xfId="24688" xr:uid="{00000000-0005-0000-0000-00006A600000}"/>
    <cellStyle name="Normal 25 3 2 4 4" xfId="24689" xr:uid="{00000000-0005-0000-0000-00006B600000}"/>
    <cellStyle name="Normal 25 3 2 4 4 2" xfId="24690" xr:uid="{00000000-0005-0000-0000-00006C600000}"/>
    <cellStyle name="Normal 25 3 2 4 4 2 2" xfId="24691" xr:uid="{00000000-0005-0000-0000-00006D600000}"/>
    <cellStyle name="Normal 25 3 2 4 4 2 3" xfId="24692" xr:uid="{00000000-0005-0000-0000-00006E600000}"/>
    <cellStyle name="Normal 25 3 2 4 4 2 4" xfId="24693" xr:uid="{00000000-0005-0000-0000-00006F600000}"/>
    <cellStyle name="Normal 25 3 2 4 4 2 5" xfId="24694" xr:uid="{00000000-0005-0000-0000-000070600000}"/>
    <cellStyle name="Normal 25 3 2 4 4 2 6" xfId="24695" xr:uid="{00000000-0005-0000-0000-000071600000}"/>
    <cellStyle name="Normal 25 3 2 4 4 3" xfId="24696" xr:uid="{00000000-0005-0000-0000-000072600000}"/>
    <cellStyle name="Normal 25 3 2 4 4 3 2" xfId="24697" xr:uid="{00000000-0005-0000-0000-000073600000}"/>
    <cellStyle name="Normal 25 3 2 4 4 3 3" xfId="24698" xr:uid="{00000000-0005-0000-0000-000074600000}"/>
    <cellStyle name="Normal 25 3 2 4 4 3 4" xfId="24699" xr:uid="{00000000-0005-0000-0000-000075600000}"/>
    <cellStyle name="Normal 25 3 2 4 4 3 5" xfId="24700" xr:uid="{00000000-0005-0000-0000-000076600000}"/>
    <cellStyle name="Normal 25 3 2 4 4 3 6" xfId="24701" xr:uid="{00000000-0005-0000-0000-000077600000}"/>
    <cellStyle name="Normal 25 3 2 4 4 4" xfId="24702" xr:uid="{00000000-0005-0000-0000-000078600000}"/>
    <cellStyle name="Normal 25 3 2 4 4 5" xfId="24703" xr:uid="{00000000-0005-0000-0000-000079600000}"/>
    <cellStyle name="Normal 25 3 2 4 4 6" xfId="24704" xr:uid="{00000000-0005-0000-0000-00007A600000}"/>
    <cellStyle name="Normal 25 3 2 4 4 7" xfId="24705" xr:uid="{00000000-0005-0000-0000-00007B600000}"/>
    <cellStyle name="Normal 25 3 2 4 4 8" xfId="24706" xr:uid="{00000000-0005-0000-0000-00007C600000}"/>
    <cellStyle name="Normal 25 3 2 4 5" xfId="24707" xr:uid="{00000000-0005-0000-0000-00007D600000}"/>
    <cellStyle name="Normal 25 3 2 4 5 2" xfId="24708" xr:uid="{00000000-0005-0000-0000-00007E600000}"/>
    <cellStyle name="Normal 25 3 2 4 5 3" xfId="24709" xr:uid="{00000000-0005-0000-0000-00007F600000}"/>
    <cellStyle name="Normal 25 3 2 4 5 4" xfId="24710" xr:uid="{00000000-0005-0000-0000-000080600000}"/>
    <cellStyle name="Normal 25 3 2 4 5 5" xfId="24711" xr:uid="{00000000-0005-0000-0000-000081600000}"/>
    <cellStyle name="Normal 25 3 2 4 5 6" xfId="24712" xr:uid="{00000000-0005-0000-0000-000082600000}"/>
    <cellStyle name="Normal 25 3 2 4 6" xfId="24713" xr:uid="{00000000-0005-0000-0000-000083600000}"/>
    <cellStyle name="Normal 25 3 2 4 6 2" xfId="24714" xr:uid="{00000000-0005-0000-0000-000084600000}"/>
    <cellStyle name="Normal 25 3 2 4 6 3" xfId="24715" xr:uid="{00000000-0005-0000-0000-000085600000}"/>
    <cellStyle name="Normal 25 3 2 4 6 4" xfId="24716" xr:uid="{00000000-0005-0000-0000-000086600000}"/>
    <cellStyle name="Normal 25 3 2 4 6 5" xfId="24717" xr:uid="{00000000-0005-0000-0000-000087600000}"/>
    <cellStyle name="Normal 25 3 2 4 6 6" xfId="24718" xr:uid="{00000000-0005-0000-0000-000088600000}"/>
    <cellStyle name="Normal 25 3 2 4 7" xfId="24719" xr:uid="{00000000-0005-0000-0000-000089600000}"/>
    <cellStyle name="Normal 25 3 2 4 8" xfId="24720" xr:uid="{00000000-0005-0000-0000-00008A600000}"/>
    <cellStyle name="Normal 25 3 2 4 9" xfId="24721" xr:uid="{00000000-0005-0000-0000-00008B600000}"/>
    <cellStyle name="Normal 25 3 2 5" xfId="24722" xr:uid="{00000000-0005-0000-0000-00008C600000}"/>
    <cellStyle name="Normal 25 3 2 5 2" xfId="24723" xr:uid="{00000000-0005-0000-0000-00008D600000}"/>
    <cellStyle name="Normal 25 3 2 5 2 2" xfId="24724" xr:uid="{00000000-0005-0000-0000-00008E600000}"/>
    <cellStyle name="Normal 25 3 2 5 2 3" xfId="24725" xr:uid="{00000000-0005-0000-0000-00008F600000}"/>
    <cellStyle name="Normal 25 3 2 5 2 4" xfId="24726" xr:uid="{00000000-0005-0000-0000-000090600000}"/>
    <cellStyle name="Normal 25 3 2 5 2 5" xfId="24727" xr:uid="{00000000-0005-0000-0000-000091600000}"/>
    <cellStyle name="Normal 25 3 2 5 2 6" xfId="24728" xr:uid="{00000000-0005-0000-0000-000092600000}"/>
    <cellStyle name="Normal 25 3 2 5 3" xfId="24729" xr:uid="{00000000-0005-0000-0000-000093600000}"/>
    <cellStyle name="Normal 25 3 2 5 3 2" xfId="24730" xr:uid="{00000000-0005-0000-0000-000094600000}"/>
    <cellStyle name="Normal 25 3 2 5 3 3" xfId="24731" xr:uid="{00000000-0005-0000-0000-000095600000}"/>
    <cellStyle name="Normal 25 3 2 5 3 4" xfId="24732" xr:uid="{00000000-0005-0000-0000-000096600000}"/>
    <cellStyle name="Normal 25 3 2 5 3 5" xfId="24733" xr:uid="{00000000-0005-0000-0000-000097600000}"/>
    <cellStyle name="Normal 25 3 2 5 3 6" xfId="24734" xr:uid="{00000000-0005-0000-0000-000098600000}"/>
    <cellStyle name="Normal 25 3 2 5 4" xfId="24735" xr:uid="{00000000-0005-0000-0000-000099600000}"/>
    <cellStyle name="Normal 25 3 2 5 5" xfId="24736" xr:uid="{00000000-0005-0000-0000-00009A600000}"/>
    <cellStyle name="Normal 25 3 2 5 6" xfId="24737" xr:uid="{00000000-0005-0000-0000-00009B600000}"/>
    <cellStyle name="Normal 25 3 2 5 7" xfId="24738" xr:uid="{00000000-0005-0000-0000-00009C600000}"/>
    <cellStyle name="Normal 25 3 2 5 8" xfId="24739" xr:uid="{00000000-0005-0000-0000-00009D600000}"/>
    <cellStyle name="Normal 25 3 2 6" xfId="24740" xr:uid="{00000000-0005-0000-0000-00009E600000}"/>
    <cellStyle name="Normal 25 3 2 6 2" xfId="24741" xr:uid="{00000000-0005-0000-0000-00009F600000}"/>
    <cellStyle name="Normal 25 3 2 6 2 2" xfId="24742" xr:uid="{00000000-0005-0000-0000-0000A0600000}"/>
    <cellStyle name="Normal 25 3 2 6 2 3" xfId="24743" xr:uid="{00000000-0005-0000-0000-0000A1600000}"/>
    <cellStyle name="Normal 25 3 2 6 2 4" xfId="24744" xr:uid="{00000000-0005-0000-0000-0000A2600000}"/>
    <cellStyle name="Normal 25 3 2 6 2 5" xfId="24745" xr:uid="{00000000-0005-0000-0000-0000A3600000}"/>
    <cellStyle name="Normal 25 3 2 6 2 6" xfId="24746" xr:uid="{00000000-0005-0000-0000-0000A4600000}"/>
    <cellStyle name="Normal 25 3 2 6 3" xfId="24747" xr:uid="{00000000-0005-0000-0000-0000A5600000}"/>
    <cellStyle name="Normal 25 3 2 6 3 2" xfId="24748" xr:uid="{00000000-0005-0000-0000-0000A6600000}"/>
    <cellStyle name="Normal 25 3 2 6 3 3" xfId="24749" xr:uid="{00000000-0005-0000-0000-0000A7600000}"/>
    <cellStyle name="Normal 25 3 2 6 3 4" xfId="24750" xr:uid="{00000000-0005-0000-0000-0000A8600000}"/>
    <cellStyle name="Normal 25 3 2 6 3 5" xfId="24751" xr:uid="{00000000-0005-0000-0000-0000A9600000}"/>
    <cellStyle name="Normal 25 3 2 6 3 6" xfId="24752" xr:uid="{00000000-0005-0000-0000-0000AA600000}"/>
    <cellStyle name="Normal 25 3 2 6 4" xfId="24753" xr:uid="{00000000-0005-0000-0000-0000AB600000}"/>
    <cellStyle name="Normal 25 3 2 6 5" xfId="24754" xr:uid="{00000000-0005-0000-0000-0000AC600000}"/>
    <cellStyle name="Normal 25 3 2 6 6" xfId="24755" xr:uid="{00000000-0005-0000-0000-0000AD600000}"/>
    <cellStyle name="Normal 25 3 2 6 7" xfId="24756" xr:uid="{00000000-0005-0000-0000-0000AE600000}"/>
    <cellStyle name="Normal 25 3 2 6 8" xfId="24757" xr:uid="{00000000-0005-0000-0000-0000AF600000}"/>
    <cellStyle name="Normal 25 3 2 7" xfId="24758" xr:uid="{00000000-0005-0000-0000-0000B0600000}"/>
    <cellStyle name="Normal 25 3 2 7 2" xfId="24759" xr:uid="{00000000-0005-0000-0000-0000B1600000}"/>
    <cellStyle name="Normal 25 3 2 7 2 2" xfId="24760" xr:uid="{00000000-0005-0000-0000-0000B2600000}"/>
    <cellStyle name="Normal 25 3 2 7 2 3" xfId="24761" xr:uid="{00000000-0005-0000-0000-0000B3600000}"/>
    <cellStyle name="Normal 25 3 2 7 2 4" xfId="24762" xr:uid="{00000000-0005-0000-0000-0000B4600000}"/>
    <cellStyle name="Normal 25 3 2 7 2 5" xfId="24763" xr:uid="{00000000-0005-0000-0000-0000B5600000}"/>
    <cellStyle name="Normal 25 3 2 7 2 6" xfId="24764" xr:uid="{00000000-0005-0000-0000-0000B6600000}"/>
    <cellStyle name="Normal 25 3 2 7 3" xfId="24765" xr:uid="{00000000-0005-0000-0000-0000B7600000}"/>
    <cellStyle name="Normal 25 3 2 7 3 2" xfId="24766" xr:uid="{00000000-0005-0000-0000-0000B8600000}"/>
    <cellStyle name="Normal 25 3 2 7 3 3" xfId="24767" xr:uid="{00000000-0005-0000-0000-0000B9600000}"/>
    <cellStyle name="Normal 25 3 2 7 3 4" xfId="24768" xr:uid="{00000000-0005-0000-0000-0000BA600000}"/>
    <cellStyle name="Normal 25 3 2 7 3 5" xfId="24769" xr:uid="{00000000-0005-0000-0000-0000BB600000}"/>
    <cellStyle name="Normal 25 3 2 7 3 6" xfId="24770" xr:uid="{00000000-0005-0000-0000-0000BC600000}"/>
    <cellStyle name="Normal 25 3 2 7 4" xfId="24771" xr:uid="{00000000-0005-0000-0000-0000BD600000}"/>
    <cellStyle name="Normal 25 3 2 7 5" xfId="24772" xr:uid="{00000000-0005-0000-0000-0000BE600000}"/>
    <cellStyle name="Normal 25 3 2 7 6" xfId="24773" xr:uid="{00000000-0005-0000-0000-0000BF600000}"/>
    <cellStyle name="Normal 25 3 2 7 7" xfId="24774" xr:uid="{00000000-0005-0000-0000-0000C0600000}"/>
    <cellStyle name="Normal 25 3 2 7 8" xfId="24775" xr:uid="{00000000-0005-0000-0000-0000C1600000}"/>
    <cellStyle name="Normal 25 3 2 8" xfId="24776" xr:uid="{00000000-0005-0000-0000-0000C2600000}"/>
    <cellStyle name="Normal 25 3 2 8 2" xfId="24777" xr:uid="{00000000-0005-0000-0000-0000C3600000}"/>
    <cellStyle name="Normal 25 3 2 8 3" xfId="24778" xr:uid="{00000000-0005-0000-0000-0000C4600000}"/>
    <cellStyle name="Normal 25 3 2 8 4" xfId="24779" xr:uid="{00000000-0005-0000-0000-0000C5600000}"/>
    <cellStyle name="Normal 25 3 2 8 5" xfId="24780" xr:uid="{00000000-0005-0000-0000-0000C6600000}"/>
    <cellStyle name="Normal 25 3 2 8 6" xfId="24781" xr:uid="{00000000-0005-0000-0000-0000C7600000}"/>
    <cellStyle name="Normal 25 3 2 9" xfId="24782" xr:uid="{00000000-0005-0000-0000-0000C8600000}"/>
    <cellStyle name="Normal 25 3 2 9 2" xfId="24783" xr:uid="{00000000-0005-0000-0000-0000C9600000}"/>
    <cellStyle name="Normal 25 3 2 9 3" xfId="24784" xr:uid="{00000000-0005-0000-0000-0000CA600000}"/>
    <cellStyle name="Normal 25 3 2 9 4" xfId="24785" xr:uid="{00000000-0005-0000-0000-0000CB600000}"/>
    <cellStyle name="Normal 25 3 2 9 5" xfId="24786" xr:uid="{00000000-0005-0000-0000-0000CC600000}"/>
    <cellStyle name="Normal 25 3 2 9 6" xfId="24787" xr:uid="{00000000-0005-0000-0000-0000CD600000}"/>
    <cellStyle name="Normal 25 3 3" xfId="24788" xr:uid="{00000000-0005-0000-0000-0000CE600000}"/>
    <cellStyle name="Normal 25 3 3 10" xfId="24789" xr:uid="{00000000-0005-0000-0000-0000CF600000}"/>
    <cellStyle name="Normal 25 3 3 11" xfId="24790" xr:uid="{00000000-0005-0000-0000-0000D0600000}"/>
    <cellStyle name="Normal 25 3 3 12" xfId="24791" xr:uid="{00000000-0005-0000-0000-0000D1600000}"/>
    <cellStyle name="Normal 25 3 3 2" xfId="24792" xr:uid="{00000000-0005-0000-0000-0000D2600000}"/>
    <cellStyle name="Normal 25 3 3 2 10" xfId="24793" xr:uid="{00000000-0005-0000-0000-0000D3600000}"/>
    <cellStyle name="Normal 25 3 3 2 11" xfId="24794" xr:uid="{00000000-0005-0000-0000-0000D4600000}"/>
    <cellStyle name="Normal 25 3 3 2 2" xfId="24795" xr:uid="{00000000-0005-0000-0000-0000D5600000}"/>
    <cellStyle name="Normal 25 3 3 2 2 2" xfId="24796" xr:uid="{00000000-0005-0000-0000-0000D6600000}"/>
    <cellStyle name="Normal 25 3 3 2 2 2 2" xfId="24797" xr:uid="{00000000-0005-0000-0000-0000D7600000}"/>
    <cellStyle name="Normal 25 3 3 2 2 2 3" xfId="24798" xr:uid="{00000000-0005-0000-0000-0000D8600000}"/>
    <cellStyle name="Normal 25 3 3 2 2 2 4" xfId="24799" xr:uid="{00000000-0005-0000-0000-0000D9600000}"/>
    <cellStyle name="Normal 25 3 3 2 2 2 5" xfId="24800" xr:uid="{00000000-0005-0000-0000-0000DA600000}"/>
    <cellStyle name="Normal 25 3 3 2 2 2 6" xfId="24801" xr:uid="{00000000-0005-0000-0000-0000DB600000}"/>
    <cellStyle name="Normal 25 3 3 2 2 3" xfId="24802" xr:uid="{00000000-0005-0000-0000-0000DC600000}"/>
    <cellStyle name="Normal 25 3 3 2 2 3 2" xfId="24803" xr:uid="{00000000-0005-0000-0000-0000DD600000}"/>
    <cellStyle name="Normal 25 3 3 2 2 3 3" xfId="24804" xr:uid="{00000000-0005-0000-0000-0000DE600000}"/>
    <cellStyle name="Normal 25 3 3 2 2 3 4" xfId="24805" xr:uid="{00000000-0005-0000-0000-0000DF600000}"/>
    <cellStyle name="Normal 25 3 3 2 2 3 5" xfId="24806" xr:uid="{00000000-0005-0000-0000-0000E0600000}"/>
    <cellStyle name="Normal 25 3 3 2 2 3 6" xfId="24807" xr:uid="{00000000-0005-0000-0000-0000E1600000}"/>
    <cellStyle name="Normal 25 3 3 2 2 4" xfId="24808" xr:uid="{00000000-0005-0000-0000-0000E2600000}"/>
    <cellStyle name="Normal 25 3 3 2 2 5" xfId="24809" xr:uid="{00000000-0005-0000-0000-0000E3600000}"/>
    <cellStyle name="Normal 25 3 3 2 2 6" xfId="24810" xr:uid="{00000000-0005-0000-0000-0000E4600000}"/>
    <cellStyle name="Normal 25 3 3 2 2 7" xfId="24811" xr:uid="{00000000-0005-0000-0000-0000E5600000}"/>
    <cellStyle name="Normal 25 3 3 2 2 8" xfId="24812" xr:uid="{00000000-0005-0000-0000-0000E6600000}"/>
    <cellStyle name="Normal 25 3 3 2 3" xfId="24813" xr:uid="{00000000-0005-0000-0000-0000E7600000}"/>
    <cellStyle name="Normal 25 3 3 2 3 2" xfId="24814" xr:uid="{00000000-0005-0000-0000-0000E8600000}"/>
    <cellStyle name="Normal 25 3 3 2 3 2 2" xfId="24815" xr:uid="{00000000-0005-0000-0000-0000E9600000}"/>
    <cellStyle name="Normal 25 3 3 2 3 2 3" xfId="24816" xr:uid="{00000000-0005-0000-0000-0000EA600000}"/>
    <cellStyle name="Normal 25 3 3 2 3 2 4" xfId="24817" xr:uid="{00000000-0005-0000-0000-0000EB600000}"/>
    <cellStyle name="Normal 25 3 3 2 3 2 5" xfId="24818" xr:uid="{00000000-0005-0000-0000-0000EC600000}"/>
    <cellStyle name="Normal 25 3 3 2 3 2 6" xfId="24819" xr:uid="{00000000-0005-0000-0000-0000ED600000}"/>
    <cellStyle name="Normal 25 3 3 2 3 3" xfId="24820" xr:uid="{00000000-0005-0000-0000-0000EE600000}"/>
    <cellStyle name="Normal 25 3 3 2 3 3 2" xfId="24821" xr:uid="{00000000-0005-0000-0000-0000EF600000}"/>
    <cellStyle name="Normal 25 3 3 2 3 3 3" xfId="24822" xr:uid="{00000000-0005-0000-0000-0000F0600000}"/>
    <cellStyle name="Normal 25 3 3 2 3 3 4" xfId="24823" xr:uid="{00000000-0005-0000-0000-0000F1600000}"/>
    <cellStyle name="Normal 25 3 3 2 3 3 5" xfId="24824" xr:uid="{00000000-0005-0000-0000-0000F2600000}"/>
    <cellStyle name="Normal 25 3 3 2 3 3 6" xfId="24825" xr:uid="{00000000-0005-0000-0000-0000F3600000}"/>
    <cellStyle name="Normal 25 3 3 2 3 4" xfId="24826" xr:uid="{00000000-0005-0000-0000-0000F4600000}"/>
    <cellStyle name="Normal 25 3 3 2 3 5" xfId="24827" xr:uid="{00000000-0005-0000-0000-0000F5600000}"/>
    <cellStyle name="Normal 25 3 3 2 3 6" xfId="24828" xr:uid="{00000000-0005-0000-0000-0000F6600000}"/>
    <cellStyle name="Normal 25 3 3 2 3 7" xfId="24829" xr:uid="{00000000-0005-0000-0000-0000F7600000}"/>
    <cellStyle name="Normal 25 3 3 2 3 8" xfId="24830" xr:uid="{00000000-0005-0000-0000-0000F8600000}"/>
    <cellStyle name="Normal 25 3 3 2 4" xfId="24831" xr:uid="{00000000-0005-0000-0000-0000F9600000}"/>
    <cellStyle name="Normal 25 3 3 2 4 2" xfId="24832" xr:uid="{00000000-0005-0000-0000-0000FA600000}"/>
    <cellStyle name="Normal 25 3 3 2 4 2 2" xfId="24833" xr:uid="{00000000-0005-0000-0000-0000FB600000}"/>
    <cellStyle name="Normal 25 3 3 2 4 2 3" xfId="24834" xr:uid="{00000000-0005-0000-0000-0000FC600000}"/>
    <cellStyle name="Normal 25 3 3 2 4 2 4" xfId="24835" xr:uid="{00000000-0005-0000-0000-0000FD600000}"/>
    <cellStyle name="Normal 25 3 3 2 4 2 5" xfId="24836" xr:uid="{00000000-0005-0000-0000-0000FE600000}"/>
    <cellStyle name="Normal 25 3 3 2 4 2 6" xfId="24837" xr:uid="{00000000-0005-0000-0000-0000FF600000}"/>
    <cellStyle name="Normal 25 3 3 2 4 3" xfId="24838" xr:uid="{00000000-0005-0000-0000-000000610000}"/>
    <cellStyle name="Normal 25 3 3 2 4 3 2" xfId="24839" xr:uid="{00000000-0005-0000-0000-000001610000}"/>
    <cellStyle name="Normal 25 3 3 2 4 3 3" xfId="24840" xr:uid="{00000000-0005-0000-0000-000002610000}"/>
    <cellStyle name="Normal 25 3 3 2 4 3 4" xfId="24841" xr:uid="{00000000-0005-0000-0000-000003610000}"/>
    <cellStyle name="Normal 25 3 3 2 4 3 5" xfId="24842" xr:uid="{00000000-0005-0000-0000-000004610000}"/>
    <cellStyle name="Normal 25 3 3 2 4 3 6" xfId="24843" xr:uid="{00000000-0005-0000-0000-000005610000}"/>
    <cellStyle name="Normal 25 3 3 2 4 4" xfId="24844" xr:uid="{00000000-0005-0000-0000-000006610000}"/>
    <cellStyle name="Normal 25 3 3 2 4 5" xfId="24845" xr:uid="{00000000-0005-0000-0000-000007610000}"/>
    <cellStyle name="Normal 25 3 3 2 4 6" xfId="24846" xr:uid="{00000000-0005-0000-0000-000008610000}"/>
    <cellStyle name="Normal 25 3 3 2 4 7" xfId="24847" xr:uid="{00000000-0005-0000-0000-000009610000}"/>
    <cellStyle name="Normal 25 3 3 2 4 8" xfId="24848" xr:uid="{00000000-0005-0000-0000-00000A610000}"/>
    <cellStyle name="Normal 25 3 3 2 5" xfId="24849" xr:uid="{00000000-0005-0000-0000-00000B610000}"/>
    <cellStyle name="Normal 25 3 3 2 5 2" xfId="24850" xr:uid="{00000000-0005-0000-0000-00000C610000}"/>
    <cellStyle name="Normal 25 3 3 2 5 3" xfId="24851" xr:uid="{00000000-0005-0000-0000-00000D610000}"/>
    <cellStyle name="Normal 25 3 3 2 5 4" xfId="24852" xr:uid="{00000000-0005-0000-0000-00000E610000}"/>
    <cellStyle name="Normal 25 3 3 2 5 5" xfId="24853" xr:uid="{00000000-0005-0000-0000-00000F610000}"/>
    <cellStyle name="Normal 25 3 3 2 5 6" xfId="24854" xr:uid="{00000000-0005-0000-0000-000010610000}"/>
    <cellStyle name="Normal 25 3 3 2 6" xfId="24855" xr:uid="{00000000-0005-0000-0000-000011610000}"/>
    <cellStyle name="Normal 25 3 3 2 6 2" xfId="24856" xr:uid="{00000000-0005-0000-0000-000012610000}"/>
    <cellStyle name="Normal 25 3 3 2 6 3" xfId="24857" xr:uid="{00000000-0005-0000-0000-000013610000}"/>
    <cellStyle name="Normal 25 3 3 2 6 4" xfId="24858" xr:uid="{00000000-0005-0000-0000-000014610000}"/>
    <cellStyle name="Normal 25 3 3 2 6 5" xfId="24859" xr:uid="{00000000-0005-0000-0000-000015610000}"/>
    <cellStyle name="Normal 25 3 3 2 6 6" xfId="24860" xr:uid="{00000000-0005-0000-0000-000016610000}"/>
    <cellStyle name="Normal 25 3 3 2 7" xfId="24861" xr:uid="{00000000-0005-0000-0000-000017610000}"/>
    <cellStyle name="Normal 25 3 3 2 8" xfId="24862" xr:uid="{00000000-0005-0000-0000-000018610000}"/>
    <cellStyle name="Normal 25 3 3 2 9" xfId="24863" xr:uid="{00000000-0005-0000-0000-000019610000}"/>
    <cellStyle name="Normal 25 3 3 3" xfId="24864" xr:uid="{00000000-0005-0000-0000-00001A610000}"/>
    <cellStyle name="Normal 25 3 3 3 2" xfId="24865" xr:uid="{00000000-0005-0000-0000-00001B610000}"/>
    <cellStyle name="Normal 25 3 3 3 2 2" xfId="24866" xr:uid="{00000000-0005-0000-0000-00001C610000}"/>
    <cellStyle name="Normal 25 3 3 3 2 3" xfId="24867" xr:uid="{00000000-0005-0000-0000-00001D610000}"/>
    <cellStyle name="Normal 25 3 3 3 2 4" xfId="24868" xr:uid="{00000000-0005-0000-0000-00001E610000}"/>
    <cellStyle name="Normal 25 3 3 3 2 5" xfId="24869" xr:uid="{00000000-0005-0000-0000-00001F610000}"/>
    <cellStyle name="Normal 25 3 3 3 2 6" xfId="24870" xr:uid="{00000000-0005-0000-0000-000020610000}"/>
    <cellStyle name="Normal 25 3 3 3 3" xfId="24871" xr:uid="{00000000-0005-0000-0000-000021610000}"/>
    <cellStyle name="Normal 25 3 3 3 3 2" xfId="24872" xr:uid="{00000000-0005-0000-0000-000022610000}"/>
    <cellStyle name="Normal 25 3 3 3 3 3" xfId="24873" xr:uid="{00000000-0005-0000-0000-000023610000}"/>
    <cellStyle name="Normal 25 3 3 3 3 4" xfId="24874" xr:uid="{00000000-0005-0000-0000-000024610000}"/>
    <cellStyle name="Normal 25 3 3 3 3 5" xfId="24875" xr:uid="{00000000-0005-0000-0000-000025610000}"/>
    <cellStyle name="Normal 25 3 3 3 3 6" xfId="24876" xr:uid="{00000000-0005-0000-0000-000026610000}"/>
    <cellStyle name="Normal 25 3 3 3 4" xfId="24877" xr:uid="{00000000-0005-0000-0000-000027610000}"/>
    <cellStyle name="Normal 25 3 3 3 5" xfId="24878" xr:uid="{00000000-0005-0000-0000-000028610000}"/>
    <cellStyle name="Normal 25 3 3 3 6" xfId="24879" xr:uid="{00000000-0005-0000-0000-000029610000}"/>
    <cellStyle name="Normal 25 3 3 3 7" xfId="24880" xr:uid="{00000000-0005-0000-0000-00002A610000}"/>
    <cellStyle name="Normal 25 3 3 3 8" xfId="24881" xr:uid="{00000000-0005-0000-0000-00002B610000}"/>
    <cellStyle name="Normal 25 3 3 4" xfId="24882" xr:uid="{00000000-0005-0000-0000-00002C610000}"/>
    <cellStyle name="Normal 25 3 3 4 2" xfId="24883" xr:uid="{00000000-0005-0000-0000-00002D610000}"/>
    <cellStyle name="Normal 25 3 3 4 2 2" xfId="24884" xr:uid="{00000000-0005-0000-0000-00002E610000}"/>
    <cellStyle name="Normal 25 3 3 4 2 3" xfId="24885" xr:uid="{00000000-0005-0000-0000-00002F610000}"/>
    <cellStyle name="Normal 25 3 3 4 2 4" xfId="24886" xr:uid="{00000000-0005-0000-0000-000030610000}"/>
    <cellStyle name="Normal 25 3 3 4 2 5" xfId="24887" xr:uid="{00000000-0005-0000-0000-000031610000}"/>
    <cellStyle name="Normal 25 3 3 4 2 6" xfId="24888" xr:uid="{00000000-0005-0000-0000-000032610000}"/>
    <cellStyle name="Normal 25 3 3 4 3" xfId="24889" xr:uid="{00000000-0005-0000-0000-000033610000}"/>
    <cellStyle name="Normal 25 3 3 4 3 2" xfId="24890" xr:uid="{00000000-0005-0000-0000-000034610000}"/>
    <cellStyle name="Normal 25 3 3 4 3 3" xfId="24891" xr:uid="{00000000-0005-0000-0000-000035610000}"/>
    <cellStyle name="Normal 25 3 3 4 3 4" xfId="24892" xr:uid="{00000000-0005-0000-0000-000036610000}"/>
    <cellStyle name="Normal 25 3 3 4 3 5" xfId="24893" xr:uid="{00000000-0005-0000-0000-000037610000}"/>
    <cellStyle name="Normal 25 3 3 4 3 6" xfId="24894" xr:uid="{00000000-0005-0000-0000-000038610000}"/>
    <cellStyle name="Normal 25 3 3 4 4" xfId="24895" xr:uid="{00000000-0005-0000-0000-000039610000}"/>
    <cellStyle name="Normal 25 3 3 4 5" xfId="24896" xr:uid="{00000000-0005-0000-0000-00003A610000}"/>
    <cellStyle name="Normal 25 3 3 4 6" xfId="24897" xr:uid="{00000000-0005-0000-0000-00003B610000}"/>
    <cellStyle name="Normal 25 3 3 4 7" xfId="24898" xr:uid="{00000000-0005-0000-0000-00003C610000}"/>
    <cellStyle name="Normal 25 3 3 4 8" xfId="24899" xr:uid="{00000000-0005-0000-0000-00003D610000}"/>
    <cellStyle name="Normal 25 3 3 5" xfId="24900" xr:uid="{00000000-0005-0000-0000-00003E610000}"/>
    <cellStyle name="Normal 25 3 3 5 2" xfId="24901" xr:uid="{00000000-0005-0000-0000-00003F610000}"/>
    <cellStyle name="Normal 25 3 3 5 2 2" xfId="24902" xr:uid="{00000000-0005-0000-0000-000040610000}"/>
    <cellStyle name="Normal 25 3 3 5 2 3" xfId="24903" xr:uid="{00000000-0005-0000-0000-000041610000}"/>
    <cellStyle name="Normal 25 3 3 5 2 4" xfId="24904" xr:uid="{00000000-0005-0000-0000-000042610000}"/>
    <cellStyle name="Normal 25 3 3 5 2 5" xfId="24905" xr:uid="{00000000-0005-0000-0000-000043610000}"/>
    <cellStyle name="Normal 25 3 3 5 2 6" xfId="24906" xr:uid="{00000000-0005-0000-0000-000044610000}"/>
    <cellStyle name="Normal 25 3 3 5 3" xfId="24907" xr:uid="{00000000-0005-0000-0000-000045610000}"/>
    <cellStyle name="Normal 25 3 3 5 3 2" xfId="24908" xr:uid="{00000000-0005-0000-0000-000046610000}"/>
    <cellStyle name="Normal 25 3 3 5 3 3" xfId="24909" xr:uid="{00000000-0005-0000-0000-000047610000}"/>
    <cellStyle name="Normal 25 3 3 5 3 4" xfId="24910" xr:uid="{00000000-0005-0000-0000-000048610000}"/>
    <cellStyle name="Normal 25 3 3 5 3 5" xfId="24911" xr:uid="{00000000-0005-0000-0000-000049610000}"/>
    <cellStyle name="Normal 25 3 3 5 3 6" xfId="24912" xr:uid="{00000000-0005-0000-0000-00004A610000}"/>
    <cellStyle name="Normal 25 3 3 5 4" xfId="24913" xr:uid="{00000000-0005-0000-0000-00004B610000}"/>
    <cellStyle name="Normal 25 3 3 5 5" xfId="24914" xr:uid="{00000000-0005-0000-0000-00004C610000}"/>
    <cellStyle name="Normal 25 3 3 5 6" xfId="24915" xr:uid="{00000000-0005-0000-0000-00004D610000}"/>
    <cellStyle name="Normal 25 3 3 5 7" xfId="24916" xr:uid="{00000000-0005-0000-0000-00004E610000}"/>
    <cellStyle name="Normal 25 3 3 5 8" xfId="24917" xr:uid="{00000000-0005-0000-0000-00004F610000}"/>
    <cellStyle name="Normal 25 3 3 6" xfId="24918" xr:uid="{00000000-0005-0000-0000-000050610000}"/>
    <cellStyle name="Normal 25 3 3 6 2" xfId="24919" xr:uid="{00000000-0005-0000-0000-000051610000}"/>
    <cellStyle name="Normal 25 3 3 6 3" xfId="24920" xr:uid="{00000000-0005-0000-0000-000052610000}"/>
    <cellStyle name="Normal 25 3 3 6 4" xfId="24921" xr:uid="{00000000-0005-0000-0000-000053610000}"/>
    <cellStyle name="Normal 25 3 3 6 5" xfId="24922" xr:uid="{00000000-0005-0000-0000-000054610000}"/>
    <cellStyle name="Normal 25 3 3 6 6" xfId="24923" xr:uid="{00000000-0005-0000-0000-000055610000}"/>
    <cellStyle name="Normal 25 3 3 7" xfId="24924" xr:uid="{00000000-0005-0000-0000-000056610000}"/>
    <cellStyle name="Normal 25 3 3 7 2" xfId="24925" xr:uid="{00000000-0005-0000-0000-000057610000}"/>
    <cellStyle name="Normal 25 3 3 7 3" xfId="24926" xr:uid="{00000000-0005-0000-0000-000058610000}"/>
    <cellStyle name="Normal 25 3 3 7 4" xfId="24927" xr:uid="{00000000-0005-0000-0000-000059610000}"/>
    <cellStyle name="Normal 25 3 3 7 5" xfId="24928" xr:uid="{00000000-0005-0000-0000-00005A610000}"/>
    <cellStyle name="Normal 25 3 3 7 6" xfId="24929" xr:uid="{00000000-0005-0000-0000-00005B610000}"/>
    <cellStyle name="Normal 25 3 3 8" xfId="24930" xr:uid="{00000000-0005-0000-0000-00005C610000}"/>
    <cellStyle name="Normal 25 3 3 9" xfId="24931" xr:uid="{00000000-0005-0000-0000-00005D610000}"/>
    <cellStyle name="Normal 25 3 4" xfId="24932" xr:uid="{00000000-0005-0000-0000-00005E610000}"/>
    <cellStyle name="Normal 25 3 4 10" xfId="24933" xr:uid="{00000000-0005-0000-0000-00005F610000}"/>
    <cellStyle name="Normal 25 3 4 11" xfId="24934" xr:uid="{00000000-0005-0000-0000-000060610000}"/>
    <cellStyle name="Normal 25 3 4 12" xfId="24935" xr:uid="{00000000-0005-0000-0000-000061610000}"/>
    <cellStyle name="Normal 25 3 4 2" xfId="24936" xr:uid="{00000000-0005-0000-0000-000062610000}"/>
    <cellStyle name="Normal 25 3 4 2 10" xfId="24937" xr:uid="{00000000-0005-0000-0000-000063610000}"/>
    <cellStyle name="Normal 25 3 4 2 11" xfId="24938" xr:uid="{00000000-0005-0000-0000-000064610000}"/>
    <cellStyle name="Normal 25 3 4 2 2" xfId="24939" xr:uid="{00000000-0005-0000-0000-000065610000}"/>
    <cellStyle name="Normal 25 3 4 2 2 2" xfId="24940" xr:uid="{00000000-0005-0000-0000-000066610000}"/>
    <cellStyle name="Normal 25 3 4 2 2 2 2" xfId="24941" xr:uid="{00000000-0005-0000-0000-000067610000}"/>
    <cellStyle name="Normal 25 3 4 2 2 2 3" xfId="24942" xr:uid="{00000000-0005-0000-0000-000068610000}"/>
    <cellStyle name="Normal 25 3 4 2 2 2 4" xfId="24943" xr:uid="{00000000-0005-0000-0000-000069610000}"/>
    <cellStyle name="Normal 25 3 4 2 2 2 5" xfId="24944" xr:uid="{00000000-0005-0000-0000-00006A610000}"/>
    <cellStyle name="Normal 25 3 4 2 2 2 6" xfId="24945" xr:uid="{00000000-0005-0000-0000-00006B610000}"/>
    <cellStyle name="Normal 25 3 4 2 2 3" xfId="24946" xr:uid="{00000000-0005-0000-0000-00006C610000}"/>
    <cellStyle name="Normal 25 3 4 2 2 3 2" xfId="24947" xr:uid="{00000000-0005-0000-0000-00006D610000}"/>
    <cellStyle name="Normal 25 3 4 2 2 3 3" xfId="24948" xr:uid="{00000000-0005-0000-0000-00006E610000}"/>
    <cellStyle name="Normal 25 3 4 2 2 3 4" xfId="24949" xr:uid="{00000000-0005-0000-0000-00006F610000}"/>
    <cellStyle name="Normal 25 3 4 2 2 3 5" xfId="24950" xr:uid="{00000000-0005-0000-0000-000070610000}"/>
    <cellStyle name="Normal 25 3 4 2 2 3 6" xfId="24951" xr:uid="{00000000-0005-0000-0000-000071610000}"/>
    <cellStyle name="Normal 25 3 4 2 2 4" xfId="24952" xr:uid="{00000000-0005-0000-0000-000072610000}"/>
    <cellStyle name="Normal 25 3 4 2 2 5" xfId="24953" xr:uid="{00000000-0005-0000-0000-000073610000}"/>
    <cellStyle name="Normal 25 3 4 2 2 6" xfId="24954" xr:uid="{00000000-0005-0000-0000-000074610000}"/>
    <cellStyle name="Normal 25 3 4 2 2 7" xfId="24955" xr:uid="{00000000-0005-0000-0000-000075610000}"/>
    <cellStyle name="Normal 25 3 4 2 2 8" xfId="24956" xr:uid="{00000000-0005-0000-0000-000076610000}"/>
    <cellStyle name="Normal 25 3 4 2 3" xfId="24957" xr:uid="{00000000-0005-0000-0000-000077610000}"/>
    <cellStyle name="Normal 25 3 4 2 3 2" xfId="24958" xr:uid="{00000000-0005-0000-0000-000078610000}"/>
    <cellStyle name="Normal 25 3 4 2 3 2 2" xfId="24959" xr:uid="{00000000-0005-0000-0000-000079610000}"/>
    <cellStyle name="Normal 25 3 4 2 3 2 3" xfId="24960" xr:uid="{00000000-0005-0000-0000-00007A610000}"/>
    <cellStyle name="Normal 25 3 4 2 3 2 4" xfId="24961" xr:uid="{00000000-0005-0000-0000-00007B610000}"/>
    <cellStyle name="Normal 25 3 4 2 3 2 5" xfId="24962" xr:uid="{00000000-0005-0000-0000-00007C610000}"/>
    <cellStyle name="Normal 25 3 4 2 3 2 6" xfId="24963" xr:uid="{00000000-0005-0000-0000-00007D610000}"/>
    <cellStyle name="Normal 25 3 4 2 3 3" xfId="24964" xr:uid="{00000000-0005-0000-0000-00007E610000}"/>
    <cellStyle name="Normal 25 3 4 2 3 3 2" xfId="24965" xr:uid="{00000000-0005-0000-0000-00007F610000}"/>
    <cellStyle name="Normal 25 3 4 2 3 3 3" xfId="24966" xr:uid="{00000000-0005-0000-0000-000080610000}"/>
    <cellStyle name="Normal 25 3 4 2 3 3 4" xfId="24967" xr:uid="{00000000-0005-0000-0000-000081610000}"/>
    <cellStyle name="Normal 25 3 4 2 3 3 5" xfId="24968" xr:uid="{00000000-0005-0000-0000-000082610000}"/>
    <cellStyle name="Normal 25 3 4 2 3 3 6" xfId="24969" xr:uid="{00000000-0005-0000-0000-000083610000}"/>
    <cellStyle name="Normal 25 3 4 2 3 4" xfId="24970" xr:uid="{00000000-0005-0000-0000-000084610000}"/>
    <cellStyle name="Normal 25 3 4 2 3 5" xfId="24971" xr:uid="{00000000-0005-0000-0000-000085610000}"/>
    <cellStyle name="Normal 25 3 4 2 3 6" xfId="24972" xr:uid="{00000000-0005-0000-0000-000086610000}"/>
    <cellStyle name="Normal 25 3 4 2 3 7" xfId="24973" xr:uid="{00000000-0005-0000-0000-000087610000}"/>
    <cellStyle name="Normal 25 3 4 2 3 8" xfId="24974" xr:uid="{00000000-0005-0000-0000-000088610000}"/>
    <cellStyle name="Normal 25 3 4 2 4" xfId="24975" xr:uid="{00000000-0005-0000-0000-000089610000}"/>
    <cellStyle name="Normal 25 3 4 2 4 2" xfId="24976" xr:uid="{00000000-0005-0000-0000-00008A610000}"/>
    <cellStyle name="Normal 25 3 4 2 4 2 2" xfId="24977" xr:uid="{00000000-0005-0000-0000-00008B610000}"/>
    <cellStyle name="Normal 25 3 4 2 4 2 3" xfId="24978" xr:uid="{00000000-0005-0000-0000-00008C610000}"/>
    <cellStyle name="Normal 25 3 4 2 4 2 4" xfId="24979" xr:uid="{00000000-0005-0000-0000-00008D610000}"/>
    <cellStyle name="Normal 25 3 4 2 4 2 5" xfId="24980" xr:uid="{00000000-0005-0000-0000-00008E610000}"/>
    <cellStyle name="Normal 25 3 4 2 4 2 6" xfId="24981" xr:uid="{00000000-0005-0000-0000-00008F610000}"/>
    <cellStyle name="Normal 25 3 4 2 4 3" xfId="24982" xr:uid="{00000000-0005-0000-0000-000090610000}"/>
    <cellStyle name="Normal 25 3 4 2 4 3 2" xfId="24983" xr:uid="{00000000-0005-0000-0000-000091610000}"/>
    <cellStyle name="Normal 25 3 4 2 4 3 3" xfId="24984" xr:uid="{00000000-0005-0000-0000-000092610000}"/>
    <cellStyle name="Normal 25 3 4 2 4 3 4" xfId="24985" xr:uid="{00000000-0005-0000-0000-000093610000}"/>
    <cellStyle name="Normal 25 3 4 2 4 3 5" xfId="24986" xr:uid="{00000000-0005-0000-0000-000094610000}"/>
    <cellStyle name="Normal 25 3 4 2 4 3 6" xfId="24987" xr:uid="{00000000-0005-0000-0000-000095610000}"/>
    <cellStyle name="Normal 25 3 4 2 4 4" xfId="24988" xr:uid="{00000000-0005-0000-0000-000096610000}"/>
    <cellStyle name="Normal 25 3 4 2 4 5" xfId="24989" xr:uid="{00000000-0005-0000-0000-000097610000}"/>
    <cellStyle name="Normal 25 3 4 2 4 6" xfId="24990" xr:uid="{00000000-0005-0000-0000-000098610000}"/>
    <cellStyle name="Normal 25 3 4 2 4 7" xfId="24991" xr:uid="{00000000-0005-0000-0000-000099610000}"/>
    <cellStyle name="Normal 25 3 4 2 4 8" xfId="24992" xr:uid="{00000000-0005-0000-0000-00009A610000}"/>
    <cellStyle name="Normal 25 3 4 2 5" xfId="24993" xr:uid="{00000000-0005-0000-0000-00009B610000}"/>
    <cellStyle name="Normal 25 3 4 2 5 2" xfId="24994" xr:uid="{00000000-0005-0000-0000-00009C610000}"/>
    <cellStyle name="Normal 25 3 4 2 5 3" xfId="24995" xr:uid="{00000000-0005-0000-0000-00009D610000}"/>
    <cellStyle name="Normal 25 3 4 2 5 4" xfId="24996" xr:uid="{00000000-0005-0000-0000-00009E610000}"/>
    <cellStyle name="Normal 25 3 4 2 5 5" xfId="24997" xr:uid="{00000000-0005-0000-0000-00009F610000}"/>
    <cellStyle name="Normal 25 3 4 2 5 6" xfId="24998" xr:uid="{00000000-0005-0000-0000-0000A0610000}"/>
    <cellStyle name="Normal 25 3 4 2 6" xfId="24999" xr:uid="{00000000-0005-0000-0000-0000A1610000}"/>
    <cellStyle name="Normal 25 3 4 2 6 2" xfId="25000" xr:uid="{00000000-0005-0000-0000-0000A2610000}"/>
    <cellStyle name="Normal 25 3 4 2 6 3" xfId="25001" xr:uid="{00000000-0005-0000-0000-0000A3610000}"/>
    <cellStyle name="Normal 25 3 4 2 6 4" xfId="25002" xr:uid="{00000000-0005-0000-0000-0000A4610000}"/>
    <cellStyle name="Normal 25 3 4 2 6 5" xfId="25003" xr:uid="{00000000-0005-0000-0000-0000A5610000}"/>
    <cellStyle name="Normal 25 3 4 2 6 6" xfId="25004" xr:uid="{00000000-0005-0000-0000-0000A6610000}"/>
    <cellStyle name="Normal 25 3 4 2 7" xfId="25005" xr:uid="{00000000-0005-0000-0000-0000A7610000}"/>
    <cellStyle name="Normal 25 3 4 2 8" xfId="25006" xr:uid="{00000000-0005-0000-0000-0000A8610000}"/>
    <cellStyle name="Normal 25 3 4 2 9" xfId="25007" xr:uid="{00000000-0005-0000-0000-0000A9610000}"/>
    <cellStyle name="Normal 25 3 4 3" xfId="25008" xr:uid="{00000000-0005-0000-0000-0000AA610000}"/>
    <cellStyle name="Normal 25 3 4 3 2" xfId="25009" xr:uid="{00000000-0005-0000-0000-0000AB610000}"/>
    <cellStyle name="Normal 25 3 4 3 2 2" xfId="25010" xr:uid="{00000000-0005-0000-0000-0000AC610000}"/>
    <cellStyle name="Normal 25 3 4 3 2 3" xfId="25011" xr:uid="{00000000-0005-0000-0000-0000AD610000}"/>
    <cellStyle name="Normal 25 3 4 3 2 4" xfId="25012" xr:uid="{00000000-0005-0000-0000-0000AE610000}"/>
    <cellStyle name="Normal 25 3 4 3 2 5" xfId="25013" xr:uid="{00000000-0005-0000-0000-0000AF610000}"/>
    <cellStyle name="Normal 25 3 4 3 2 6" xfId="25014" xr:uid="{00000000-0005-0000-0000-0000B0610000}"/>
    <cellStyle name="Normal 25 3 4 3 3" xfId="25015" xr:uid="{00000000-0005-0000-0000-0000B1610000}"/>
    <cellStyle name="Normal 25 3 4 3 3 2" xfId="25016" xr:uid="{00000000-0005-0000-0000-0000B2610000}"/>
    <cellStyle name="Normal 25 3 4 3 3 3" xfId="25017" xr:uid="{00000000-0005-0000-0000-0000B3610000}"/>
    <cellStyle name="Normal 25 3 4 3 3 4" xfId="25018" xr:uid="{00000000-0005-0000-0000-0000B4610000}"/>
    <cellStyle name="Normal 25 3 4 3 3 5" xfId="25019" xr:uid="{00000000-0005-0000-0000-0000B5610000}"/>
    <cellStyle name="Normal 25 3 4 3 3 6" xfId="25020" xr:uid="{00000000-0005-0000-0000-0000B6610000}"/>
    <cellStyle name="Normal 25 3 4 3 4" xfId="25021" xr:uid="{00000000-0005-0000-0000-0000B7610000}"/>
    <cellStyle name="Normal 25 3 4 3 5" xfId="25022" xr:uid="{00000000-0005-0000-0000-0000B8610000}"/>
    <cellStyle name="Normal 25 3 4 3 6" xfId="25023" xr:uid="{00000000-0005-0000-0000-0000B9610000}"/>
    <cellStyle name="Normal 25 3 4 3 7" xfId="25024" xr:uid="{00000000-0005-0000-0000-0000BA610000}"/>
    <cellStyle name="Normal 25 3 4 3 8" xfId="25025" xr:uid="{00000000-0005-0000-0000-0000BB610000}"/>
    <cellStyle name="Normal 25 3 4 4" xfId="25026" xr:uid="{00000000-0005-0000-0000-0000BC610000}"/>
    <cellStyle name="Normal 25 3 4 4 2" xfId="25027" xr:uid="{00000000-0005-0000-0000-0000BD610000}"/>
    <cellStyle name="Normal 25 3 4 4 2 2" xfId="25028" xr:uid="{00000000-0005-0000-0000-0000BE610000}"/>
    <cellStyle name="Normal 25 3 4 4 2 3" xfId="25029" xr:uid="{00000000-0005-0000-0000-0000BF610000}"/>
    <cellStyle name="Normal 25 3 4 4 2 4" xfId="25030" xr:uid="{00000000-0005-0000-0000-0000C0610000}"/>
    <cellStyle name="Normal 25 3 4 4 2 5" xfId="25031" xr:uid="{00000000-0005-0000-0000-0000C1610000}"/>
    <cellStyle name="Normal 25 3 4 4 2 6" xfId="25032" xr:uid="{00000000-0005-0000-0000-0000C2610000}"/>
    <cellStyle name="Normal 25 3 4 4 3" xfId="25033" xr:uid="{00000000-0005-0000-0000-0000C3610000}"/>
    <cellStyle name="Normal 25 3 4 4 3 2" xfId="25034" xr:uid="{00000000-0005-0000-0000-0000C4610000}"/>
    <cellStyle name="Normal 25 3 4 4 3 3" xfId="25035" xr:uid="{00000000-0005-0000-0000-0000C5610000}"/>
    <cellStyle name="Normal 25 3 4 4 3 4" xfId="25036" xr:uid="{00000000-0005-0000-0000-0000C6610000}"/>
    <cellStyle name="Normal 25 3 4 4 3 5" xfId="25037" xr:uid="{00000000-0005-0000-0000-0000C7610000}"/>
    <cellStyle name="Normal 25 3 4 4 3 6" xfId="25038" xr:uid="{00000000-0005-0000-0000-0000C8610000}"/>
    <cellStyle name="Normal 25 3 4 4 4" xfId="25039" xr:uid="{00000000-0005-0000-0000-0000C9610000}"/>
    <cellStyle name="Normal 25 3 4 4 5" xfId="25040" xr:uid="{00000000-0005-0000-0000-0000CA610000}"/>
    <cellStyle name="Normal 25 3 4 4 6" xfId="25041" xr:uid="{00000000-0005-0000-0000-0000CB610000}"/>
    <cellStyle name="Normal 25 3 4 4 7" xfId="25042" xr:uid="{00000000-0005-0000-0000-0000CC610000}"/>
    <cellStyle name="Normal 25 3 4 4 8" xfId="25043" xr:uid="{00000000-0005-0000-0000-0000CD610000}"/>
    <cellStyle name="Normal 25 3 4 5" xfId="25044" xr:uid="{00000000-0005-0000-0000-0000CE610000}"/>
    <cellStyle name="Normal 25 3 4 5 2" xfId="25045" xr:uid="{00000000-0005-0000-0000-0000CF610000}"/>
    <cellStyle name="Normal 25 3 4 5 2 2" xfId="25046" xr:uid="{00000000-0005-0000-0000-0000D0610000}"/>
    <cellStyle name="Normal 25 3 4 5 2 3" xfId="25047" xr:uid="{00000000-0005-0000-0000-0000D1610000}"/>
    <cellStyle name="Normal 25 3 4 5 2 4" xfId="25048" xr:uid="{00000000-0005-0000-0000-0000D2610000}"/>
    <cellStyle name="Normal 25 3 4 5 2 5" xfId="25049" xr:uid="{00000000-0005-0000-0000-0000D3610000}"/>
    <cellStyle name="Normal 25 3 4 5 2 6" xfId="25050" xr:uid="{00000000-0005-0000-0000-0000D4610000}"/>
    <cellStyle name="Normal 25 3 4 5 3" xfId="25051" xr:uid="{00000000-0005-0000-0000-0000D5610000}"/>
    <cellStyle name="Normal 25 3 4 5 3 2" xfId="25052" xr:uid="{00000000-0005-0000-0000-0000D6610000}"/>
    <cellStyle name="Normal 25 3 4 5 3 3" xfId="25053" xr:uid="{00000000-0005-0000-0000-0000D7610000}"/>
    <cellStyle name="Normal 25 3 4 5 3 4" xfId="25054" xr:uid="{00000000-0005-0000-0000-0000D8610000}"/>
    <cellStyle name="Normal 25 3 4 5 3 5" xfId="25055" xr:uid="{00000000-0005-0000-0000-0000D9610000}"/>
    <cellStyle name="Normal 25 3 4 5 3 6" xfId="25056" xr:uid="{00000000-0005-0000-0000-0000DA610000}"/>
    <cellStyle name="Normal 25 3 4 5 4" xfId="25057" xr:uid="{00000000-0005-0000-0000-0000DB610000}"/>
    <cellStyle name="Normal 25 3 4 5 5" xfId="25058" xr:uid="{00000000-0005-0000-0000-0000DC610000}"/>
    <cellStyle name="Normal 25 3 4 5 6" xfId="25059" xr:uid="{00000000-0005-0000-0000-0000DD610000}"/>
    <cellStyle name="Normal 25 3 4 5 7" xfId="25060" xr:uid="{00000000-0005-0000-0000-0000DE610000}"/>
    <cellStyle name="Normal 25 3 4 5 8" xfId="25061" xr:uid="{00000000-0005-0000-0000-0000DF610000}"/>
    <cellStyle name="Normal 25 3 4 6" xfId="25062" xr:uid="{00000000-0005-0000-0000-0000E0610000}"/>
    <cellStyle name="Normal 25 3 4 6 2" xfId="25063" xr:uid="{00000000-0005-0000-0000-0000E1610000}"/>
    <cellStyle name="Normal 25 3 4 6 3" xfId="25064" xr:uid="{00000000-0005-0000-0000-0000E2610000}"/>
    <cellStyle name="Normal 25 3 4 6 4" xfId="25065" xr:uid="{00000000-0005-0000-0000-0000E3610000}"/>
    <cellStyle name="Normal 25 3 4 6 5" xfId="25066" xr:uid="{00000000-0005-0000-0000-0000E4610000}"/>
    <cellStyle name="Normal 25 3 4 6 6" xfId="25067" xr:uid="{00000000-0005-0000-0000-0000E5610000}"/>
    <cellStyle name="Normal 25 3 4 7" xfId="25068" xr:uid="{00000000-0005-0000-0000-0000E6610000}"/>
    <cellStyle name="Normal 25 3 4 7 2" xfId="25069" xr:uid="{00000000-0005-0000-0000-0000E7610000}"/>
    <cellStyle name="Normal 25 3 4 7 3" xfId="25070" xr:uid="{00000000-0005-0000-0000-0000E8610000}"/>
    <cellStyle name="Normal 25 3 4 7 4" xfId="25071" xr:uid="{00000000-0005-0000-0000-0000E9610000}"/>
    <cellStyle name="Normal 25 3 4 7 5" xfId="25072" xr:uid="{00000000-0005-0000-0000-0000EA610000}"/>
    <cellStyle name="Normal 25 3 4 7 6" xfId="25073" xr:uid="{00000000-0005-0000-0000-0000EB610000}"/>
    <cellStyle name="Normal 25 3 4 8" xfId="25074" xr:uid="{00000000-0005-0000-0000-0000EC610000}"/>
    <cellStyle name="Normal 25 3 4 9" xfId="25075" xr:uid="{00000000-0005-0000-0000-0000ED610000}"/>
    <cellStyle name="Normal 25 3 5" xfId="25076" xr:uid="{00000000-0005-0000-0000-0000EE610000}"/>
    <cellStyle name="Normal 25 3 5 10" xfId="25077" xr:uid="{00000000-0005-0000-0000-0000EF610000}"/>
    <cellStyle name="Normal 25 3 5 11" xfId="25078" xr:uid="{00000000-0005-0000-0000-0000F0610000}"/>
    <cellStyle name="Normal 25 3 5 2" xfId="25079" xr:uid="{00000000-0005-0000-0000-0000F1610000}"/>
    <cellStyle name="Normal 25 3 5 2 2" xfId="25080" xr:uid="{00000000-0005-0000-0000-0000F2610000}"/>
    <cellStyle name="Normal 25 3 5 2 2 2" xfId="25081" xr:uid="{00000000-0005-0000-0000-0000F3610000}"/>
    <cellStyle name="Normal 25 3 5 2 2 3" xfId="25082" xr:uid="{00000000-0005-0000-0000-0000F4610000}"/>
    <cellStyle name="Normal 25 3 5 2 2 4" xfId="25083" xr:uid="{00000000-0005-0000-0000-0000F5610000}"/>
    <cellStyle name="Normal 25 3 5 2 2 5" xfId="25084" xr:uid="{00000000-0005-0000-0000-0000F6610000}"/>
    <cellStyle name="Normal 25 3 5 2 2 6" xfId="25085" xr:uid="{00000000-0005-0000-0000-0000F7610000}"/>
    <cellStyle name="Normal 25 3 5 2 3" xfId="25086" xr:uid="{00000000-0005-0000-0000-0000F8610000}"/>
    <cellStyle name="Normal 25 3 5 2 3 2" xfId="25087" xr:uid="{00000000-0005-0000-0000-0000F9610000}"/>
    <cellStyle name="Normal 25 3 5 2 3 3" xfId="25088" xr:uid="{00000000-0005-0000-0000-0000FA610000}"/>
    <cellStyle name="Normal 25 3 5 2 3 4" xfId="25089" xr:uid="{00000000-0005-0000-0000-0000FB610000}"/>
    <cellStyle name="Normal 25 3 5 2 3 5" xfId="25090" xr:uid="{00000000-0005-0000-0000-0000FC610000}"/>
    <cellStyle name="Normal 25 3 5 2 3 6" xfId="25091" xr:uid="{00000000-0005-0000-0000-0000FD610000}"/>
    <cellStyle name="Normal 25 3 5 2 4" xfId="25092" xr:uid="{00000000-0005-0000-0000-0000FE610000}"/>
    <cellStyle name="Normal 25 3 5 2 5" xfId="25093" xr:uid="{00000000-0005-0000-0000-0000FF610000}"/>
    <cellStyle name="Normal 25 3 5 2 6" xfId="25094" xr:uid="{00000000-0005-0000-0000-000000620000}"/>
    <cellStyle name="Normal 25 3 5 2 7" xfId="25095" xr:uid="{00000000-0005-0000-0000-000001620000}"/>
    <cellStyle name="Normal 25 3 5 2 8" xfId="25096" xr:uid="{00000000-0005-0000-0000-000002620000}"/>
    <cellStyle name="Normal 25 3 5 3" xfId="25097" xr:uid="{00000000-0005-0000-0000-000003620000}"/>
    <cellStyle name="Normal 25 3 5 3 2" xfId="25098" xr:uid="{00000000-0005-0000-0000-000004620000}"/>
    <cellStyle name="Normal 25 3 5 3 2 2" xfId="25099" xr:uid="{00000000-0005-0000-0000-000005620000}"/>
    <cellStyle name="Normal 25 3 5 3 2 3" xfId="25100" xr:uid="{00000000-0005-0000-0000-000006620000}"/>
    <cellStyle name="Normal 25 3 5 3 2 4" xfId="25101" xr:uid="{00000000-0005-0000-0000-000007620000}"/>
    <cellStyle name="Normal 25 3 5 3 2 5" xfId="25102" xr:uid="{00000000-0005-0000-0000-000008620000}"/>
    <cellStyle name="Normal 25 3 5 3 2 6" xfId="25103" xr:uid="{00000000-0005-0000-0000-000009620000}"/>
    <cellStyle name="Normal 25 3 5 3 3" xfId="25104" xr:uid="{00000000-0005-0000-0000-00000A620000}"/>
    <cellStyle name="Normal 25 3 5 3 3 2" xfId="25105" xr:uid="{00000000-0005-0000-0000-00000B620000}"/>
    <cellStyle name="Normal 25 3 5 3 3 3" xfId="25106" xr:uid="{00000000-0005-0000-0000-00000C620000}"/>
    <cellStyle name="Normal 25 3 5 3 3 4" xfId="25107" xr:uid="{00000000-0005-0000-0000-00000D620000}"/>
    <cellStyle name="Normal 25 3 5 3 3 5" xfId="25108" xr:uid="{00000000-0005-0000-0000-00000E620000}"/>
    <cellStyle name="Normal 25 3 5 3 3 6" xfId="25109" xr:uid="{00000000-0005-0000-0000-00000F620000}"/>
    <cellStyle name="Normal 25 3 5 3 4" xfId="25110" xr:uid="{00000000-0005-0000-0000-000010620000}"/>
    <cellStyle name="Normal 25 3 5 3 5" xfId="25111" xr:uid="{00000000-0005-0000-0000-000011620000}"/>
    <cellStyle name="Normal 25 3 5 3 6" xfId="25112" xr:uid="{00000000-0005-0000-0000-000012620000}"/>
    <cellStyle name="Normal 25 3 5 3 7" xfId="25113" xr:uid="{00000000-0005-0000-0000-000013620000}"/>
    <cellStyle name="Normal 25 3 5 3 8" xfId="25114" xr:uid="{00000000-0005-0000-0000-000014620000}"/>
    <cellStyle name="Normal 25 3 5 4" xfId="25115" xr:uid="{00000000-0005-0000-0000-000015620000}"/>
    <cellStyle name="Normal 25 3 5 4 2" xfId="25116" xr:uid="{00000000-0005-0000-0000-000016620000}"/>
    <cellStyle name="Normal 25 3 5 4 2 2" xfId="25117" xr:uid="{00000000-0005-0000-0000-000017620000}"/>
    <cellStyle name="Normal 25 3 5 4 2 3" xfId="25118" xr:uid="{00000000-0005-0000-0000-000018620000}"/>
    <cellStyle name="Normal 25 3 5 4 2 4" xfId="25119" xr:uid="{00000000-0005-0000-0000-000019620000}"/>
    <cellStyle name="Normal 25 3 5 4 2 5" xfId="25120" xr:uid="{00000000-0005-0000-0000-00001A620000}"/>
    <cellStyle name="Normal 25 3 5 4 2 6" xfId="25121" xr:uid="{00000000-0005-0000-0000-00001B620000}"/>
    <cellStyle name="Normal 25 3 5 4 3" xfId="25122" xr:uid="{00000000-0005-0000-0000-00001C620000}"/>
    <cellStyle name="Normal 25 3 5 4 3 2" xfId="25123" xr:uid="{00000000-0005-0000-0000-00001D620000}"/>
    <cellStyle name="Normal 25 3 5 4 3 3" xfId="25124" xr:uid="{00000000-0005-0000-0000-00001E620000}"/>
    <cellStyle name="Normal 25 3 5 4 3 4" xfId="25125" xr:uid="{00000000-0005-0000-0000-00001F620000}"/>
    <cellStyle name="Normal 25 3 5 4 3 5" xfId="25126" xr:uid="{00000000-0005-0000-0000-000020620000}"/>
    <cellStyle name="Normal 25 3 5 4 3 6" xfId="25127" xr:uid="{00000000-0005-0000-0000-000021620000}"/>
    <cellStyle name="Normal 25 3 5 4 4" xfId="25128" xr:uid="{00000000-0005-0000-0000-000022620000}"/>
    <cellStyle name="Normal 25 3 5 4 5" xfId="25129" xr:uid="{00000000-0005-0000-0000-000023620000}"/>
    <cellStyle name="Normal 25 3 5 4 6" xfId="25130" xr:uid="{00000000-0005-0000-0000-000024620000}"/>
    <cellStyle name="Normal 25 3 5 4 7" xfId="25131" xr:uid="{00000000-0005-0000-0000-000025620000}"/>
    <cellStyle name="Normal 25 3 5 4 8" xfId="25132" xr:uid="{00000000-0005-0000-0000-000026620000}"/>
    <cellStyle name="Normal 25 3 5 5" xfId="25133" xr:uid="{00000000-0005-0000-0000-000027620000}"/>
    <cellStyle name="Normal 25 3 5 5 2" xfId="25134" xr:uid="{00000000-0005-0000-0000-000028620000}"/>
    <cellStyle name="Normal 25 3 5 5 3" xfId="25135" xr:uid="{00000000-0005-0000-0000-000029620000}"/>
    <cellStyle name="Normal 25 3 5 5 4" xfId="25136" xr:uid="{00000000-0005-0000-0000-00002A620000}"/>
    <cellStyle name="Normal 25 3 5 5 5" xfId="25137" xr:uid="{00000000-0005-0000-0000-00002B620000}"/>
    <cellStyle name="Normal 25 3 5 5 6" xfId="25138" xr:uid="{00000000-0005-0000-0000-00002C620000}"/>
    <cellStyle name="Normal 25 3 5 6" xfId="25139" xr:uid="{00000000-0005-0000-0000-00002D620000}"/>
    <cellStyle name="Normal 25 3 5 6 2" xfId="25140" xr:uid="{00000000-0005-0000-0000-00002E620000}"/>
    <cellStyle name="Normal 25 3 5 6 3" xfId="25141" xr:uid="{00000000-0005-0000-0000-00002F620000}"/>
    <cellStyle name="Normal 25 3 5 6 4" xfId="25142" xr:uid="{00000000-0005-0000-0000-000030620000}"/>
    <cellStyle name="Normal 25 3 5 6 5" xfId="25143" xr:uid="{00000000-0005-0000-0000-000031620000}"/>
    <cellStyle name="Normal 25 3 5 6 6" xfId="25144" xr:uid="{00000000-0005-0000-0000-000032620000}"/>
    <cellStyle name="Normal 25 3 5 7" xfId="25145" xr:uid="{00000000-0005-0000-0000-000033620000}"/>
    <cellStyle name="Normal 25 3 5 8" xfId="25146" xr:uid="{00000000-0005-0000-0000-000034620000}"/>
    <cellStyle name="Normal 25 3 5 9" xfId="25147" xr:uid="{00000000-0005-0000-0000-000035620000}"/>
    <cellStyle name="Normal 25 3 6" xfId="25148" xr:uid="{00000000-0005-0000-0000-000036620000}"/>
    <cellStyle name="Normal 25 3 6 2" xfId="25149" xr:uid="{00000000-0005-0000-0000-000037620000}"/>
    <cellStyle name="Normal 25 3 6 2 2" xfId="25150" xr:uid="{00000000-0005-0000-0000-000038620000}"/>
    <cellStyle name="Normal 25 3 6 2 3" xfId="25151" xr:uid="{00000000-0005-0000-0000-000039620000}"/>
    <cellStyle name="Normal 25 3 6 2 4" xfId="25152" xr:uid="{00000000-0005-0000-0000-00003A620000}"/>
    <cellStyle name="Normal 25 3 6 2 5" xfId="25153" xr:uid="{00000000-0005-0000-0000-00003B620000}"/>
    <cellStyle name="Normal 25 3 6 2 6" xfId="25154" xr:uid="{00000000-0005-0000-0000-00003C620000}"/>
    <cellStyle name="Normal 25 3 6 3" xfId="25155" xr:uid="{00000000-0005-0000-0000-00003D620000}"/>
    <cellStyle name="Normal 25 3 6 3 2" xfId="25156" xr:uid="{00000000-0005-0000-0000-00003E620000}"/>
    <cellStyle name="Normal 25 3 6 3 3" xfId="25157" xr:uid="{00000000-0005-0000-0000-00003F620000}"/>
    <cellStyle name="Normal 25 3 6 3 4" xfId="25158" xr:uid="{00000000-0005-0000-0000-000040620000}"/>
    <cellStyle name="Normal 25 3 6 3 5" xfId="25159" xr:uid="{00000000-0005-0000-0000-000041620000}"/>
    <cellStyle name="Normal 25 3 6 3 6" xfId="25160" xr:uid="{00000000-0005-0000-0000-000042620000}"/>
    <cellStyle name="Normal 25 3 6 4" xfId="25161" xr:uid="{00000000-0005-0000-0000-000043620000}"/>
    <cellStyle name="Normal 25 3 6 5" xfId="25162" xr:uid="{00000000-0005-0000-0000-000044620000}"/>
    <cellStyle name="Normal 25 3 6 6" xfId="25163" xr:uid="{00000000-0005-0000-0000-000045620000}"/>
    <cellStyle name="Normal 25 3 6 7" xfId="25164" xr:uid="{00000000-0005-0000-0000-000046620000}"/>
    <cellStyle name="Normal 25 3 6 8" xfId="25165" xr:uid="{00000000-0005-0000-0000-000047620000}"/>
    <cellStyle name="Normal 25 3 7" xfId="25166" xr:uid="{00000000-0005-0000-0000-000048620000}"/>
    <cellStyle name="Normal 25 3 7 2" xfId="25167" xr:uid="{00000000-0005-0000-0000-000049620000}"/>
    <cellStyle name="Normal 25 3 7 2 2" xfId="25168" xr:uid="{00000000-0005-0000-0000-00004A620000}"/>
    <cellStyle name="Normal 25 3 7 2 3" xfId="25169" xr:uid="{00000000-0005-0000-0000-00004B620000}"/>
    <cellStyle name="Normal 25 3 7 2 4" xfId="25170" xr:uid="{00000000-0005-0000-0000-00004C620000}"/>
    <cellStyle name="Normal 25 3 7 2 5" xfId="25171" xr:uid="{00000000-0005-0000-0000-00004D620000}"/>
    <cellStyle name="Normal 25 3 7 2 6" xfId="25172" xr:uid="{00000000-0005-0000-0000-00004E620000}"/>
    <cellStyle name="Normal 25 3 7 3" xfId="25173" xr:uid="{00000000-0005-0000-0000-00004F620000}"/>
    <cellStyle name="Normal 25 3 7 3 2" xfId="25174" xr:uid="{00000000-0005-0000-0000-000050620000}"/>
    <cellStyle name="Normal 25 3 7 3 3" xfId="25175" xr:uid="{00000000-0005-0000-0000-000051620000}"/>
    <cellStyle name="Normal 25 3 7 3 4" xfId="25176" xr:uid="{00000000-0005-0000-0000-000052620000}"/>
    <cellStyle name="Normal 25 3 7 3 5" xfId="25177" xr:uid="{00000000-0005-0000-0000-000053620000}"/>
    <cellStyle name="Normal 25 3 7 3 6" xfId="25178" xr:uid="{00000000-0005-0000-0000-000054620000}"/>
    <cellStyle name="Normal 25 3 7 4" xfId="25179" xr:uid="{00000000-0005-0000-0000-000055620000}"/>
    <cellStyle name="Normal 25 3 7 5" xfId="25180" xr:uid="{00000000-0005-0000-0000-000056620000}"/>
    <cellStyle name="Normal 25 3 7 6" xfId="25181" xr:uid="{00000000-0005-0000-0000-000057620000}"/>
    <cellStyle name="Normal 25 3 7 7" xfId="25182" xr:uid="{00000000-0005-0000-0000-000058620000}"/>
    <cellStyle name="Normal 25 3 7 8" xfId="25183" xr:uid="{00000000-0005-0000-0000-000059620000}"/>
    <cellStyle name="Normal 25 3 8" xfId="25184" xr:uid="{00000000-0005-0000-0000-00005A620000}"/>
    <cellStyle name="Normal 25 3 8 2" xfId="25185" xr:uid="{00000000-0005-0000-0000-00005B620000}"/>
    <cellStyle name="Normal 25 3 8 2 2" xfId="25186" xr:uid="{00000000-0005-0000-0000-00005C620000}"/>
    <cellStyle name="Normal 25 3 8 2 3" xfId="25187" xr:uid="{00000000-0005-0000-0000-00005D620000}"/>
    <cellStyle name="Normal 25 3 8 2 4" xfId="25188" xr:uid="{00000000-0005-0000-0000-00005E620000}"/>
    <cellStyle name="Normal 25 3 8 2 5" xfId="25189" xr:uid="{00000000-0005-0000-0000-00005F620000}"/>
    <cellStyle name="Normal 25 3 8 2 6" xfId="25190" xr:uid="{00000000-0005-0000-0000-000060620000}"/>
    <cellStyle name="Normal 25 3 8 3" xfId="25191" xr:uid="{00000000-0005-0000-0000-000061620000}"/>
    <cellStyle name="Normal 25 3 8 3 2" xfId="25192" xr:uid="{00000000-0005-0000-0000-000062620000}"/>
    <cellStyle name="Normal 25 3 8 3 3" xfId="25193" xr:uid="{00000000-0005-0000-0000-000063620000}"/>
    <cellStyle name="Normal 25 3 8 3 4" xfId="25194" xr:uid="{00000000-0005-0000-0000-000064620000}"/>
    <cellStyle name="Normal 25 3 8 3 5" xfId="25195" xr:uid="{00000000-0005-0000-0000-000065620000}"/>
    <cellStyle name="Normal 25 3 8 3 6" xfId="25196" xr:uid="{00000000-0005-0000-0000-000066620000}"/>
    <cellStyle name="Normal 25 3 8 4" xfId="25197" xr:uid="{00000000-0005-0000-0000-000067620000}"/>
    <cellStyle name="Normal 25 3 8 5" xfId="25198" xr:uid="{00000000-0005-0000-0000-000068620000}"/>
    <cellStyle name="Normal 25 3 8 6" xfId="25199" xr:uid="{00000000-0005-0000-0000-000069620000}"/>
    <cellStyle name="Normal 25 3 8 7" xfId="25200" xr:uid="{00000000-0005-0000-0000-00006A620000}"/>
    <cellStyle name="Normal 25 3 8 8" xfId="25201" xr:uid="{00000000-0005-0000-0000-00006B620000}"/>
    <cellStyle name="Normal 25 3 9" xfId="25202" xr:uid="{00000000-0005-0000-0000-00006C620000}"/>
    <cellStyle name="Normal 25 3 9 2" xfId="25203" xr:uid="{00000000-0005-0000-0000-00006D620000}"/>
    <cellStyle name="Normal 25 3 9 3" xfId="25204" xr:uid="{00000000-0005-0000-0000-00006E620000}"/>
    <cellStyle name="Normal 25 3 9 4" xfId="25205" xr:uid="{00000000-0005-0000-0000-00006F620000}"/>
    <cellStyle name="Normal 25 3 9 5" xfId="25206" xr:uid="{00000000-0005-0000-0000-000070620000}"/>
    <cellStyle name="Normal 25 3 9 6" xfId="25207" xr:uid="{00000000-0005-0000-0000-000071620000}"/>
    <cellStyle name="Normal 25 4" xfId="25208" xr:uid="{00000000-0005-0000-0000-000072620000}"/>
    <cellStyle name="Normal 25 4 10" xfId="25209" xr:uid="{00000000-0005-0000-0000-000073620000}"/>
    <cellStyle name="Normal 25 4 11" xfId="25210" xr:uid="{00000000-0005-0000-0000-000074620000}"/>
    <cellStyle name="Normal 25 4 12" xfId="25211" xr:uid="{00000000-0005-0000-0000-000075620000}"/>
    <cellStyle name="Normal 25 4 13" xfId="25212" xr:uid="{00000000-0005-0000-0000-000076620000}"/>
    <cellStyle name="Normal 25 4 14" xfId="25213" xr:uid="{00000000-0005-0000-0000-000077620000}"/>
    <cellStyle name="Normal 25 4 2" xfId="25214" xr:uid="{00000000-0005-0000-0000-000078620000}"/>
    <cellStyle name="Normal 25 4 2 10" xfId="25215" xr:uid="{00000000-0005-0000-0000-000079620000}"/>
    <cellStyle name="Normal 25 4 2 11" xfId="25216" xr:uid="{00000000-0005-0000-0000-00007A620000}"/>
    <cellStyle name="Normal 25 4 2 12" xfId="25217" xr:uid="{00000000-0005-0000-0000-00007B620000}"/>
    <cellStyle name="Normal 25 4 2 2" xfId="25218" xr:uid="{00000000-0005-0000-0000-00007C620000}"/>
    <cellStyle name="Normal 25 4 2 2 10" xfId="25219" xr:uid="{00000000-0005-0000-0000-00007D620000}"/>
    <cellStyle name="Normal 25 4 2 2 11" xfId="25220" xr:uid="{00000000-0005-0000-0000-00007E620000}"/>
    <cellStyle name="Normal 25 4 2 2 2" xfId="25221" xr:uid="{00000000-0005-0000-0000-00007F620000}"/>
    <cellStyle name="Normal 25 4 2 2 2 2" xfId="25222" xr:uid="{00000000-0005-0000-0000-000080620000}"/>
    <cellStyle name="Normal 25 4 2 2 2 2 2" xfId="25223" xr:uid="{00000000-0005-0000-0000-000081620000}"/>
    <cellStyle name="Normal 25 4 2 2 2 2 3" xfId="25224" xr:uid="{00000000-0005-0000-0000-000082620000}"/>
    <cellStyle name="Normal 25 4 2 2 2 2 4" xfId="25225" xr:uid="{00000000-0005-0000-0000-000083620000}"/>
    <cellStyle name="Normal 25 4 2 2 2 2 5" xfId="25226" xr:uid="{00000000-0005-0000-0000-000084620000}"/>
    <cellStyle name="Normal 25 4 2 2 2 2 6" xfId="25227" xr:uid="{00000000-0005-0000-0000-000085620000}"/>
    <cellStyle name="Normal 25 4 2 2 2 3" xfId="25228" xr:uid="{00000000-0005-0000-0000-000086620000}"/>
    <cellStyle name="Normal 25 4 2 2 2 3 2" xfId="25229" xr:uid="{00000000-0005-0000-0000-000087620000}"/>
    <cellStyle name="Normal 25 4 2 2 2 3 3" xfId="25230" xr:uid="{00000000-0005-0000-0000-000088620000}"/>
    <cellStyle name="Normal 25 4 2 2 2 3 4" xfId="25231" xr:uid="{00000000-0005-0000-0000-000089620000}"/>
    <cellStyle name="Normal 25 4 2 2 2 3 5" xfId="25232" xr:uid="{00000000-0005-0000-0000-00008A620000}"/>
    <cellStyle name="Normal 25 4 2 2 2 3 6" xfId="25233" xr:uid="{00000000-0005-0000-0000-00008B620000}"/>
    <cellStyle name="Normal 25 4 2 2 2 4" xfId="25234" xr:uid="{00000000-0005-0000-0000-00008C620000}"/>
    <cellStyle name="Normal 25 4 2 2 2 5" xfId="25235" xr:uid="{00000000-0005-0000-0000-00008D620000}"/>
    <cellStyle name="Normal 25 4 2 2 2 6" xfId="25236" xr:uid="{00000000-0005-0000-0000-00008E620000}"/>
    <cellStyle name="Normal 25 4 2 2 2 7" xfId="25237" xr:uid="{00000000-0005-0000-0000-00008F620000}"/>
    <cellStyle name="Normal 25 4 2 2 2 8" xfId="25238" xr:uid="{00000000-0005-0000-0000-000090620000}"/>
    <cellStyle name="Normal 25 4 2 2 3" xfId="25239" xr:uid="{00000000-0005-0000-0000-000091620000}"/>
    <cellStyle name="Normal 25 4 2 2 3 2" xfId="25240" xr:uid="{00000000-0005-0000-0000-000092620000}"/>
    <cellStyle name="Normal 25 4 2 2 3 2 2" xfId="25241" xr:uid="{00000000-0005-0000-0000-000093620000}"/>
    <cellStyle name="Normal 25 4 2 2 3 2 3" xfId="25242" xr:uid="{00000000-0005-0000-0000-000094620000}"/>
    <cellStyle name="Normal 25 4 2 2 3 2 4" xfId="25243" xr:uid="{00000000-0005-0000-0000-000095620000}"/>
    <cellStyle name="Normal 25 4 2 2 3 2 5" xfId="25244" xr:uid="{00000000-0005-0000-0000-000096620000}"/>
    <cellStyle name="Normal 25 4 2 2 3 2 6" xfId="25245" xr:uid="{00000000-0005-0000-0000-000097620000}"/>
    <cellStyle name="Normal 25 4 2 2 3 3" xfId="25246" xr:uid="{00000000-0005-0000-0000-000098620000}"/>
    <cellStyle name="Normal 25 4 2 2 3 3 2" xfId="25247" xr:uid="{00000000-0005-0000-0000-000099620000}"/>
    <cellStyle name="Normal 25 4 2 2 3 3 3" xfId="25248" xr:uid="{00000000-0005-0000-0000-00009A620000}"/>
    <cellStyle name="Normal 25 4 2 2 3 3 4" xfId="25249" xr:uid="{00000000-0005-0000-0000-00009B620000}"/>
    <cellStyle name="Normal 25 4 2 2 3 3 5" xfId="25250" xr:uid="{00000000-0005-0000-0000-00009C620000}"/>
    <cellStyle name="Normal 25 4 2 2 3 3 6" xfId="25251" xr:uid="{00000000-0005-0000-0000-00009D620000}"/>
    <cellStyle name="Normal 25 4 2 2 3 4" xfId="25252" xr:uid="{00000000-0005-0000-0000-00009E620000}"/>
    <cellStyle name="Normal 25 4 2 2 3 5" xfId="25253" xr:uid="{00000000-0005-0000-0000-00009F620000}"/>
    <cellStyle name="Normal 25 4 2 2 3 6" xfId="25254" xr:uid="{00000000-0005-0000-0000-0000A0620000}"/>
    <cellStyle name="Normal 25 4 2 2 3 7" xfId="25255" xr:uid="{00000000-0005-0000-0000-0000A1620000}"/>
    <cellStyle name="Normal 25 4 2 2 3 8" xfId="25256" xr:uid="{00000000-0005-0000-0000-0000A2620000}"/>
    <cellStyle name="Normal 25 4 2 2 4" xfId="25257" xr:uid="{00000000-0005-0000-0000-0000A3620000}"/>
    <cellStyle name="Normal 25 4 2 2 4 2" xfId="25258" xr:uid="{00000000-0005-0000-0000-0000A4620000}"/>
    <cellStyle name="Normal 25 4 2 2 4 2 2" xfId="25259" xr:uid="{00000000-0005-0000-0000-0000A5620000}"/>
    <cellStyle name="Normal 25 4 2 2 4 2 3" xfId="25260" xr:uid="{00000000-0005-0000-0000-0000A6620000}"/>
    <cellStyle name="Normal 25 4 2 2 4 2 4" xfId="25261" xr:uid="{00000000-0005-0000-0000-0000A7620000}"/>
    <cellStyle name="Normal 25 4 2 2 4 2 5" xfId="25262" xr:uid="{00000000-0005-0000-0000-0000A8620000}"/>
    <cellStyle name="Normal 25 4 2 2 4 2 6" xfId="25263" xr:uid="{00000000-0005-0000-0000-0000A9620000}"/>
    <cellStyle name="Normal 25 4 2 2 4 3" xfId="25264" xr:uid="{00000000-0005-0000-0000-0000AA620000}"/>
    <cellStyle name="Normal 25 4 2 2 4 3 2" xfId="25265" xr:uid="{00000000-0005-0000-0000-0000AB620000}"/>
    <cellStyle name="Normal 25 4 2 2 4 3 3" xfId="25266" xr:uid="{00000000-0005-0000-0000-0000AC620000}"/>
    <cellStyle name="Normal 25 4 2 2 4 3 4" xfId="25267" xr:uid="{00000000-0005-0000-0000-0000AD620000}"/>
    <cellStyle name="Normal 25 4 2 2 4 3 5" xfId="25268" xr:uid="{00000000-0005-0000-0000-0000AE620000}"/>
    <cellStyle name="Normal 25 4 2 2 4 3 6" xfId="25269" xr:uid="{00000000-0005-0000-0000-0000AF620000}"/>
    <cellStyle name="Normal 25 4 2 2 4 4" xfId="25270" xr:uid="{00000000-0005-0000-0000-0000B0620000}"/>
    <cellStyle name="Normal 25 4 2 2 4 5" xfId="25271" xr:uid="{00000000-0005-0000-0000-0000B1620000}"/>
    <cellStyle name="Normal 25 4 2 2 4 6" xfId="25272" xr:uid="{00000000-0005-0000-0000-0000B2620000}"/>
    <cellStyle name="Normal 25 4 2 2 4 7" xfId="25273" xr:uid="{00000000-0005-0000-0000-0000B3620000}"/>
    <cellStyle name="Normal 25 4 2 2 4 8" xfId="25274" xr:uid="{00000000-0005-0000-0000-0000B4620000}"/>
    <cellStyle name="Normal 25 4 2 2 5" xfId="25275" xr:uid="{00000000-0005-0000-0000-0000B5620000}"/>
    <cellStyle name="Normal 25 4 2 2 5 2" xfId="25276" xr:uid="{00000000-0005-0000-0000-0000B6620000}"/>
    <cellStyle name="Normal 25 4 2 2 5 3" xfId="25277" xr:uid="{00000000-0005-0000-0000-0000B7620000}"/>
    <cellStyle name="Normal 25 4 2 2 5 4" xfId="25278" xr:uid="{00000000-0005-0000-0000-0000B8620000}"/>
    <cellStyle name="Normal 25 4 2 2 5 5" xfId="25279" xr:uid="{00000000-0005-0000-0000-0000B9620000}"/>
    <cellStyle name="Normal 25 4 2 2 5 6" xfId="25280" xr:uid="{00000000-0005-0000-0000-0000BA620000}"/>
    <cellStyle name="Normal 25 4 2 2 6" xfId="25281" xr:uid="{00000000-0005-0000-0000-0000BB620000}"/>
    <cellStyle name="Normal 25 4 2 2 6 2" xfId="25282" xr:uid="{00000000-0005-0000-0000-0000BC620000}"/>
    <cellStyle name="Normal 25 4 2 2 6 3" xfId="25283" xr:uid="{00000000-0005-0000-0000-0000BD620000}"/>
    <cellStyle name="Normal 25 4 2 2 6 4" xfId="25284" xr:uid="{00000000-0005-0000-0000-0000BE620000}"/>
    <cellStyle name="Normal 25 4 2 2 6 5" xfId="25285" xr:uid="{00000000-0005-0000-0000-0000BF620000}"/>
    <cellStyle name="Normal 25 4 2 2 6 6" xfId="25286" xr:uid="{00000000-0005-0000-0000-0000C0620000}"/>
    <cellStyle name="Normal 25 4 2 2 7" xfId="25287" xr:uid="{00000000-0005-0000-0000-0000C1620000}"/>
    <cellStyle name="Normal 25 4 2 2 8" xfId="25288" xr:uid="{00000000-0005-0000-0000-0000C2620000}"/>
    <cellStyle name="Normal 25 4 2 2 9" xfId="25289" xr:uid="{00000000-0005-0000-0000-0000C3620000}"/>
    <cellStyle name="Normal 25 4 2 3" xfId="25290" xr:uid="{00000000-0005-0000-0000-0000C4620000}"/>
    <cellStyle name="Normal 25 4 2 3 2" xfId="25291" xr:uid="{00000000-0005-0000-0000-0000C5620000}"/>
    <cellStyle name="Normal 25 4 2 3 2 2" xfId="25292" xr:uid="{00000000-0005-0000-0000-0000C6620000}"/>
    <cellStyle name="Normal 25 4 2 3 2 3" xfId="25293" xr:uid="{00000000-0005-0000-0000-0000C7620000}"/>
    <cellStyle name="Normal 25 4 2 3 2 4" xfId="25294" xr:uid="{00000000-0005-0000-0000-0000C8620000}"/>
    <cellStyle name="Normal 25 4 2 3 2 5" xfId="25295" xr:uid="{00000000-0005-0000-0000-0000C9620000}"/>
    <cellStyle name="Normal 25 4 2 3 2 6" xfId="25296" xr:uid="{00000000-0005-0000-0000-0000CA620000}"/>
    <cellStyle name="Normal 25 4 2 3 3" xfId="25297" xr:uid="{00000000-0005-0000-0000-0000CB620000}"/>
    <cellStyle name="Normal 25 4 2 3 3 2" xfId="25298" xr:uid="{00000000-0005-0000-0000-0000CC620000}"/>
    <cellStyle name="Normal 25 4 2 3 3 3" xfId="25299" xr:uid="{00000000-0005-0000-0000-0000CD620000}"/>
    <cellStyle name="Normal 25 4 2 3 3 4" xfId="25300" xr:uid="{00000000-0005-0000-0000-0000CE620000}"/>
    <cellStyle name="Normal 25 4 2 3 3 5" xfId="25301" xr:uid="{00000000-0005-0000-0000-0000CF620000}"/>
    <cellStyle name="Normal 25 4 2 3 3 6" xfId="25302" xr:uid="{00000000-0005-0000-0000-0000D0620000}"/>
    <cellStyle name="Normal 25 4 2 3 4" xfId="25303" xr:uid="{00000000-0005-0000-0000-0000D1620000}"/>
    <cellStyle name="Normal 25 4 2 3 5" xfId="25304" xr:uid="{00000000-0005-0000-0000-0000D2620000}"/>
    <cellStyle name="Normal 25 4 2 3 6" xfId="25305" xr:uid="{00000000-0005-0000-0000-0000D3620000}"/>
    <cellStyle name="Normal 25 4 2 3 7" xfId="25306" xr:uid="{00000000-0005-0000-0000-0000D4620000}"/>
    <cellStyle name="Normal 25 4 2 3 8" xfId="25307" xr:uid="{00000000-0005-0000-0000-0000D5620000}"/>
    <cellStyle name="Normal 25 4 2 4" xfId="25308" xr:uid="{00000000-0005-0000-0000-0000D6620000}"/>
    <cellStyle name="Normal 25 4 2 4 2" xfId="25309" xr:uid="{00000000-0005-0000-0000-0000D7620000}"/>
    <cellStyle name="Normal 25 4 2 4 2 2" xfId="25310" xr:uid="{00000000-0005-0000-0000-0000D8620000}"/>
    <cellStyle name="Normal 25 4 2 4 2 3" xfId="25311" xr:uid="{00000000-0005-0000-0000-0000D9620000}"/>
    <cellStyle name="Normal 25 4 2 4 2 4" xfId="25312" xr:uid="{00000000-0005-0000-0000-0000DA620000}"/>
    <cellStyle name="Normal 25 4 2 4 2 5" xfId="25313" xr:uid="{00000000-0005-0000-0000-0000DB620000}"/>
    <cellStyle name="Normal 25 4 2 4 2 6" xfId="25314" xr:uid="{00000000-0005-0000-0000-0000DC620000}"/>
    <cellStyle name="Normal 25 4 2 4 3" xfId="25315" xr:uid="{00000000-0005-0000-0000-0000DD620000}"/>
    <cellStyle name="Normal 25 4 2 4 3 2" xfId="25316" xr:uid="{00000000-0005-0000-0000-0000DE620000}"/>
    <cellStyle name="Normal 25 4 2 4 3 3" xfId="25317" xr:uid="{00000000-0005-0000-0000-0000DF620000}"/>
    <cellStyle name="Normal 25 4 2 4 3 4" xfId="25318" xr:uid="{00000000-0005-0000-0000-0000E0620000}"/>
    <cellStyle name="Normal 25 4 2 4 3 5" xfId="25319" xr:uid="{00000000-0005-0000-0000-0000E1620000}"/>
    <cellStyle name="Normal 25 4 2 4 3 6" xfId="25320" xr:uid="{00000000-0005-0000-0000-0000E2620000}"/>
    <cellStyle name="Normal 25 4 2 4 4" xfId="25321" xr:uid="{00000000-0005-0000-0000-0000E3620000}"/>
    <cellStyle name="Normal 25 4 2 4 5" xfId="25322" xr:uid="{00000000-0005-0000-0000-0000E4620000}"/>
    <cellStyle name="Normal 25 4 2 4 6" xfId="25323" xr:uid="{00000000-0005-0000-0000-0000E5620000}"/>
    <cellStyle name="Normal 25 4 2 4 7" xfId="25324" xr:uid="{00000000-0005-0000-0000-0000E6620000}"/>
    <cellStyle name="Normal 25 4 2 4 8" xfId="25325" xr:uid="{00000000-0005-0000-0000-0000E7620000}"/>
    <cellStyle name="Normal 25 4 2 5" xfId="25326" xr:uid="{00000000-0005-0000-0000-0000E8620000}"/>
    <cellStyle name="Normal 25 4 2 5 2" xfId="25327" xr:uid="{00000000-0005-0000-0000-0000E9620000}"/>
    <cellStyle name="Normal 25 4 2 5 2 2" xfId="25328" xr:uid="{00000000-0005-0000-0000-0000EA620000}"/>
    <cellStyle name="Normal 25 4 2 5 2 3" xfId="25329" xr:uid="{00000000-0005-0000-0000-0000EB620000}"/>
    <cellStyle name="Normal 25 4 2 5 2 4" xfId="25330" xr:uid="{00000000-0005-0000-0000-0000EC620000}"/>
    <cellStyle name="Normal 25 4 2 5 2 5" xfId="25331" xr:uid="{00000000-0005-0000-0000-0000ED620000}"/>
    <cellStyle name="Normal 25 4 2 5 2 6" xfId="25332" xr:uid="{00000000-0005-0000-0000-0000EE620000}"/>
    <cellStyle name="Normal 25 4 2 5 3" xfId="25333" xr:uid="{00000000-0005-0000-0000-0000EF620000}"/>
    <cellStyle name="Normal 25 4 2 5 3 2" xfId="25334" xr:uid="{00000000-0005-0000-0000-0000F0620000}"/>
    <cellStyle name="Normal 25 4 2 5 3 3" xfId="25335" xr:uid="{00000000-0005-0000-0000-0000F1620000}"/>
    <cellStyle name="Normal 25 4 2 5 3 4" xfId="25336" xr:uid="{00000000-0005-0000-0000-0000F2620000}"/>
    <cellStyle name="Normal 25 4 2 5 3 5" xfId="25337" xr:uid="{00000000-0005-0000-0000-0000F3620000}"/>
    <cellStyle name="Normal 25 4 2 5 3 6" xfId="25338" xr:uid="{00000000-0005-0000-0000-0000F4620000}"/>
    <cellStyle name="Normal 25 4 2 5 4" xfId="25339" xr:uid="{00000000-0005-0000-0000-0000F5620000}"/>
    <cellStyle name="Normal 25 4 2 5 5" xfId="25340" xr:uid="{00000000-0005-0000-0000-0000F6620000}"/>
    <cellStyle name="Normal 25 4 2 5 6" xfId="25341" xr:uid="{00000000-0005-0000-0000-0000F7620000}"/>
    <cellStyle name="Normal 25 4 2 5 7" xfId="25342" xr:uid="{00000000-0005-0000-0000-0000F8620000}"/>
    <cellStyle name="Normal 25 4 2 5 8" xfId="25343" xr:uid="{00000000-0005-0000-0000-0000F9620000}"/>
    <cellStyle name="Normal 25 4 2 6" xfId="25344" xr:uid="{00000000-0005-0000-0000-0000FA620000}"/>
    <cellStyle name="Normal 25 4 2 6 2" xfId="25345" xr:uid="{00000000-0005-0000-0000-0000FB620000}"/>
    <cellStyle name="Normal 25 4 2 6 3" xfId="25346" xr:uid="{00000000-0005-0000-0000-0000FC620000}"/>
    <cellStyle name="Normal 25 4 2 6 4" xfId="25347" xr:uid="{00000000-0005-0000-0000-0000FD620000}"/>
    <cellStyle name="Normal 25 4 2 6 5" xfId="25348" xr:uid="{00000000-0005-0000-0000-0000FE620000}"/>
    <cellStyle name="Normal 25 4 2 6 6" xfId="25349" xr:uid="{00000000-0005-0000-0000-0000FF620000}"/>
    <cellStyle name="Normal 25 4 2 7" xfId="25350" xr:uid="{00000000-0005-0000-0000-000000630000}"/>
    <cellStyle name="Normal 25 4 2 7 2" xfId="25351" xr:uid="{00000000-0005-0000-0000-000001630000}"/>
    <cellStyle name="Normal 25 4 2 7 3" xfId="25352" xr:uid="{00000000-0005-0000-0000-000002630000}"/>
    <cellStyle name="Normal 25 4 2 7 4" xfId="25353" xr:uid="{00000000-0005-0000-0000-000003630000}"/>
    <cellStyle name="Normal 25 4 2 7 5" xfId="25354" xr:uid="{00000000-0005-0000-0000-000004630000}"/>
    <cellStyle name="Normal 25 4 2 7 6" xfId="25355" xr:uid="{00000000-0005-0000-0000-000005630000}"/>
    <cellStyle name="Normal 25 4 2 8" xfId="25356" xr:uid="{00000000-0005-0000-0000-000006630000}"/>
    <cellStyle name="Normal 25 4 2 9" xfId="25357" xr:uid="{00000000-0005-0000-0000-000007630000}"/>
    <cellStyle name="Normal 25 4 3" xfId="25358" xr:uid="{00000000-0005-0000-0000-000008630000}"/>
    <cellStyle name="Normal 25 4 3 10" xfId="25359" xr:uid="{00000000-0005-0000-0000-000009630000}"/>
    <cellStyle name="Normal 25 4 3 11" xfId="25360" xr:uid="{00000000-0005-0000-0000-00000A630000}"/>
    <cellStyle name="Normal 25 4 3 12" xfId="25361" xr:uid="{00000000-0005-0000-0000-00000B630000}"/>
    <cellStyle name="Normal 25 4 3 2" xfId="25362" xr:uid="{00000000-0005-0000-0000-00000C630000}"/>
    <cellStyle name="Normal 25 4 3 2 10" xfId="25363" xr:uid="{00000000-0005-0000-0000-00000D630000}"/>
    <cellStyle name="Normal 25 4 3 2 11" xfId="25364" xr:uid="{00000000-0005-0000-0000-00000E630000}"/>
    <cellStyle name="Normal 25 4 3 2 2" xfId="25365" xr:uid="{00000000-0005-0000-0000-00000F630000}"/>
    <cellStyle name="Normal 25 4 3 2 2 2" xfId="25366" xr:uid="{00000000-0005-0000-0000-000010630000}"/>
    <cellStyle name="Normal 25 4 3 2 2 2 2" xfId="25367" xr:uid="{00000000-0005-0000-0000-000011630000}"/>
    <cellStyle name="Normal 25 4 3 2 2 2 3" xfId="25368" xr:uid="{00000000-0005-0000-0000-000012630000}"/>
    <cellStyle name="Normal 25 4 3 2 2 2 4" xfId="25369" xr:uid="{00000000-0005-0000-0000-000013630000}"/>
    <cellStyle name="Normal 25 4 3 2 2 2 5" xfId="25370" xr:uid="{00000000-0005-0000-0000-000014630000}"/>
    <cellStyle name="Normal 25 4 3 2 2 2 6" xfId="25371" xr:uid="{00000000-0005-0000-0000-000015630000}"/>
    <cellStyle name="Normal 25 4 3 2 2 3" xfId="25372" xr:uid="{00000000-0005-0000-0000-000016630000}"/>
    <cellStyle name="Normal 25 4 3 2 2 3 2" xfId="25373" xr:uid="{00000000-0005-0000-0000-000017630000}"/>
    <cellStyle name="Normal 25 4 3 2 2 3 3" xfId="25374" xr:uid="{00000000-0005-0000-0000-000018630000}"/>
    <cellStyle name="Normal 25 4 3 2 2 3 4" xfId="25375" xr:uid="{00000000-0005-0000-0000-000019630000}"/>
    <cellStyle name="Normal 25 4 3 2 2 3 5" xfId="25376" xr:uid="{00000000-0005-0000-0000-00001A630000}"/>
    <cellStyle name="Normal 25 4 3 2 2 3 6" xfId="25377" xr:uid="{00000000-0005-0000-0000-00001B630000}"/>
    <cellStyle name="Normal 25 4 3 2 2 4" xfId="25378" xr:uid="{00000000-0005-0000-0000-00001C630000}"/>
    <cellStyle name="Normal 25 4 3 2 2 5" xfId="25379" xr:uid="{00000000-0005-0000-0000-00001D630000}"/>
    <cellStyle name="Normal 25 4 3 2 2 6" xfId="25380" xr:uid="{00000000-0005-0000-0000-00001E630000}"/>
    <cellStyle name="Normal 25 4 3 2 2 7" xfId="25381" xr:uid="{00000000-0005-0000-0000-00001F630000}"/>
    <cellStyle name="Normal 25 4 3 2 2 8" xfId="25382" xr:uid="{00000000-0005-0000-0000-000020630000}"/>
    <cellStyle name="Normal 25 4 3 2 3" xfId="25383" xr:uid="{00000000-0005-0000-0000-000021630000}"/>
    <cellStyle name="Normal 25 4 3 2 3 2" xfId="25384" xr:uid="{00000000-0005-0000-0000-000022630000}"/>
    <cellStyle name="Normal 25 4 3 2 3 2 2" xfId="25385" xr:uid="{00000000-0005-0000-0000-000023630000}"/>
    <cellStyle name="Normal 25 4 3 2 3 2 3" xfId="25386" xr:uid="{00000000-0005-0000-0000-000024630000}"/>
    <cellStyle name="Normal 25 4 3 2 3 2 4" xfId="25387" xr:uid="{00000000-0005-0000-0000-000025630000}"/>
    <cellStyle name="Normal 25 4 3 2 3 2 5" xfId="25388" xr:uid="{00000000-0005-0000-0000-000026630000}"/>
    <cellStyle name="Normal 25 4 3 2 3 2 6" xfId="25389" xr:uid="{00000000-0005-0000-0000-000027630000}"/>
    <cellStyle name="Normal 25 4 3 2 3 3" xfId="25390" xr:uid="{00000000-0005-0000-0000-000028630000}"/>
    <cellStyle name="Normal 25 4 3 2 3 3 2" xfId="25391" xr:uid="{00000000-0005-0000-0000-000029630000}"/>
    <cellStyle name="Normal 25 4 3 2 3 3 3" xfId="25392" xr:uid="{00000000-0005-0000-0000-00002A630000}"/>
    <cellStyle name="Normal 25 4 3 2 3 3 4" xfId="25393" xr:uid="{00000000-0005-0000-0000-00002B630000}"/>
    <cellStyle name="Normal 25 4 3 2 3 3 5" xfId="25394" xr:uid="{00000000-0005-0000-0000-00002C630000}"/>
    <cellStyle name="Normal 25 4 3 2 3 3 6" xfId="25395" xr:uid="{00000000-0005-0000-0000-00002D630000}"/>
    <cellStyle name="Normal 25 4 3 2 3 4" xfId="25396" xr:uid="{00000000-0005-0000-0000-00002E630000}"/>
    <cellStyle name="Normal 25 4 3 2 3 5" xfId="25397" xr:uid="{00000000-0005-0000-0000-00002F630000}"/>
    <cellStyle name="Normal 25 4 3 2 3 6" xfId="25398" xr:uid="{00000000-0005-0000-0000-000030630000}"/>
    <cellStyle name="Normal 25 4 3 2 3 7" xfId="25399" xr:uid="{00000000-0005-0000-0000-000031630000}"/>
    <cellStyle name="Normal 25 4 3 2 3 8" xfId="25400" xr:uid="{00000000-0005-0000-0000-000032630000}"/>
    <cellStyle name="Normal 25 4 3 2 4" xfId="25401" xr:uid="{00000000-0005-0000-0000-000033630000}"/>
    <cellStyle name="Normal 25 4 3 2 4 2" xfId="25402" xr:uid="{00000000-0005-0000-0000-000034630000}"/>
    <cellStyle name="Normal 25 4 3 2 4 2 2" xfId="25403" xr:uid="{00000000-0005-0000-0000-000035630000}"/>
    <cellStyle name="Normal 25 4 3 2 4 2 3" xfId="25404" xr:uid="{00000000-0005-0000-0000-000036630000}"/>
    <cellStyle name="Normal 25 4 3 2 4 2 4" xfId="25405" xr:uid="{00000000-0005-0000-0000-000037630000}"/>
    <cellStyle name="Normal 25 4 3 2 4 2 5" xfId="25406" xr:uid="{00000000-0005-0000-0000-000038630000}"/>
    <cellStyle name="Normal 25 4 3 2 4 2 6" xfId="25407" xr:uid="{00000000-0005-0000-0000-000039630000}"/>
    <cellStyle name="Normal 25 4 3 2 4 3" xfId="25408" xr:uid="{00000000-0005-0000-0000-00003A630000}"/>
    <cellStyle name="Normal 25 4 3 2 4 3 2" xfId="25409" xr:uid="{00000000-0005-0000-0000-00003B630000}"/>
    <cellStyle name="Normal 25 4 3 2 4 3 3" xfId="25410" xr:uid="{00000000-0005-0000-0000-00003C630000}"/>
    <cellStyle name="Normal 25 4 3 2 4 3 4" xfId="25411" xr:uid="{00000000-0005-0000-0000-00003D630000}"/>
    <cellStyle name="Normal 25 4 3 2 4 3 5" xfId="25412" xr:uid="{00000000-0005-0000-0000-00003E630000}"/>
    <cellStyle name="Normal 25 4 3 2 4 3 6" xfId="25413" xr:uid="{00000000-0005-0000-0000-00003F630000}"/>
    <cellStyle name="Normal 25 4 3 2 4 4" xfId="25414" xr:uid="{00000000-0005-0000-0000-000040630000}"/>
    <cellStyle name="Normal 25 4 3 2 4 5" xfId="25415" xr:uid="{00000000-0005-0000-0000-000041630000}"/>
    <cellStyle name="Normal 25 4 3 2 4 6" xfId="25416" xr:uid="{00000000-0005-0000-0000-000042630000}"/>
    <cellStyle name="Normal 25 4 3 2 4 7" xfId="25417" xr:uid="{00000000-0005-0000-0000-000043630000}"/>
    <cellStyle name="Normal 25 4 3 2 4 8" xfId="25418" xr:uid="{00000000-0005-0000-0000-000044630000}"/>
    <cellStyle name="Normal 25 4 3 2 5" xfId="25419" xr:uid="{00000000-0005-0000-0000-000045630000}"/>
    <cellStyle name="Normal 25 4 3 2 5 2" xfId="25420" xr:uid="{00000000-0005-0000-0000-000046630000}"/>
    <cellStyle name="Normal 25 4 3 2 5 3" xfId="25421" xr:uid="{00000000-0005-0000-0000-000047630000}"/>
    <cellStyle name="Normal 25 4 3 2 5 4" xfId="25422" xr:uid="{00000000-0005-0000-0000-000048630000}"/>
    <cellStyle name="Normal 25 4 3 2 5 5" xfId="25423" xr:uid="{00000000-0005-0000-0000-000049630000}"/>
    <cellStyle name="Normal 25 4 3 2 5 6" xfId="25424" xr:uid="{00000000-0005-0000-0000-00004A630000}"/>
    <cellStyle name="Normal 25 4 3 2 6" xfId="25425" xr:uid="{00000000-0005-0000-0000-00004B630000}"/>
    <cellStyle name="Normal 25 4 3 2 6 2" xfId="25426" xr:uid="{00000000-0005-0000-0000-00004C630000}"/>
    <cellStyle name="Normal 25 4 3 2 6 3" xfId="25427" xr:uid="{00000000-0005-0000-0000-00004D630000}"/>
    <cellStyle name="Normal 25 4 3 2 6 4" xfId="25428" xr:uid="{00000000-0005-0000-0000-00004E630000}"/>
    <cellStyle name="Normal 25 4 3 2 6 5" xfId="25429" xr:uid="{00000000-0005-0000-0000-00004F630000}"/>
    <cellStyle name="Normal 25 4 3 2 6 6" xfId="25430" xr:uid="{00000000-0005-0000-0000-000050630000}"/>
    <cellStyle name="Normal 25 4 3 2 7" xfId="25431" xr:uid="{00000000-0005-0000-0000-000051630000}"/>
    <cellStyle name="Normal 25 4 3 2 8" xfId="25432" xr:uid="{00000000-0005-0000-0000-000052630000}"/>
    <cellStyle name="Normal 25 4 3 2 9" xfId="25433" xr:uid="{00000000-0005-0000-0000-000053630000}"/>
    <cellStyle name="Normal 25 4 3 3" xfId="25434" xr:uid="{00000000-0005-0000-0000-000054630000}"/>
    <cellStyle name="Normal 25 4 3 3 2" xfId="25435" xr:uid="{00000000-0005-0000-0000-000055630000}"/>
    <cellStyle name="Normal 25 4 3 3 2 2" xfId="25436" xr:uid="{00000000-0005-0000-0000-000056630000}"/>
    <cellStyle name="Normal 25 4 3 3 2 3" xfId="25437" xr:uid="{00000000-0005-0000-0000-000057630000}"/>
    <cellStyle name="Normal 25 4 3 3 2 4" xfId="25438" xr:uid="{00000000-0005-0000-0000-000058630000}"/>
    <cellStyle name="Normal 25 4 3 3 2 5" xfId="25439" xr:uid="{00000000-0005-0000-0000-000059630000}"/>
    <cellStyle name="Normal 25 4 3 3 2 6" xfId="25440" xr:uid="{00000000-0005-0000-0000-00005A630000}"/>
    <cellStyle name="Normal 25 4 3 3 3" xfId="25441" xr:uid="{00000000-0005-0000-0000-00005B630000}"/>
    <cellStyle name="Normal 25 4 3 3 3 2" xfId="25442" xr:uid="{00000000-0005-0000-0000-00005C630000}"/>
    <cellStyle name="Normal 25 4 3 3 3 3" xfId="25443" xr:uid="{00000000-0005-0000-0000-00005D630000}"/>
    <cellStyle name="Normal 25 4 3 3 3 4" xfId="25444" xr:uid="{00000000-0005-0000-0000-00005E630000}"/>
    <cellStyle name="Normal 25 4 3 3 3 5" xfId="25445" xr:uid="{00000000-0005-0000-0000-00005F630000}"/>
    <cellStyle name="Normal 25 4 3 3 3 6" xfId="25446" xr:uid="{00000000-0005-0000-0000-000060630000}"/>
    <cellStyle name="Normal 25 4 3 3 4" xfId="25447" xr:uid="{00000000-0005-0000-0000-000061630000}"/>
    <cellStyle name="Normal 25 4 3 3 5" xfId="25448" xr:uid="{00000000-0005-0000-0000-000062630000}"/>
    <cellStyle name="Normal 25 4 3 3 6" xfId="25449" xr:uid="{00000000-0005-0000-0000-000063630000}"/>
    <cellStyle name="Normal 25 4 3 3 7" xfId="25450" xr:uid="{00000000-0005-0000-0000-000064630000}"/>
    <cellStyle name="Normal 25 4 3 3 8" xfId="25451" xr:uid="{00000000-0005-0000-0000-000065630000}"/>
    <cellStyle name="Normal 25 4 3 4" xfId="25452" xr:uid="{00000000-0005-0000-0000-000066630000}"/>
    <cellStyle name="Normal 25 4 3 4 2" xfId="25453" xr:uid="{00000000-0005-0000-0000-000067630000}"/>
    <cellStyle name="Normal 25 4 3 4 2 2" xfId="25454" xr:uid="{00000000-0005-0000-0000-000068630000}"/>
    <cellStyle name="Normal 25 4 3 4 2 3" xfId="25455" xr:uid="{00000000-0005-0000-0000-000069630000}"/>
    <cellStyle name="Normal 25 4 3 4 2 4" xfId="25456" xr:uid="{00000000-0005-0000-0000-00006A630000}"/>
    <cellStyle name="Normal 25 4 3 4 2 5" xfId="25457" xr:uid="{00000000-0005-0000-0000-00006B630000}"/>
    <cellStyle name="Normal 25 4 3 4 2 6" xfId="25458" xr:uid="{00000000-0005-0000-0000-00006C630000}"/>
    <cellStyle name="Normal 25 4 3 4 3" xfId="25459" xr:uid="{00000000-0005-0000-0000-00006D630000}"/>
    <cellStyle name="Normal 25 4 3 4 3 2" xfId="25460" xr:uid="{00000000-0005-0000-0000-00006E630000}"/>
    <cellStyle name="Normal 25 4 3 4 3 3" xfId="25461" xr:uid="{00000000-0005-0000-0000-00006F630000}"/>
    <cellStyle name="Normal 25 4 3 4 3 4" xfId="25462" xr:uid="{00000000-0005-0000-0000-000070630000}"/>
    <cellStyle name="Normal 25 4 3 4 3 5" xfId="25463" xr:uid="{00000000-0005-0000-0000-000071630000}"/>
    <cellStyle name="Normal 25 4 3 4 3 6" xfId="25464" xr:uid="{00000000-0005-0000-0000-000072630000}"/>
    <cellStyle name="Normal 25 4 3 4 4" xfId="25465" xr:uid="{00000000-0005-0000-0000-000073630000}"/>
    <cellStyle name="Normal 25 4 3 4 5" xfId="25466" xr:uid="{00000000-0005-0000-0000-000074630000}"/>
    <cellStyle name="Normal 25 4 3 4 6" xfId="25467" xr:uid="{00000000-0005-0000-0000-000075630000}"/>
    <cellStyle name="Normal 25 4 3 4 7" xfId="25468" xr:uid="{00000000-0005-0000-0000-000076630000}"/>
    <cellStyle name="Normal 25 4 3 4 8" xfId="25469" xr:uid="{00000000-0005-0000-0000-000077630000}"/>
    <cellStyle name="Normal 25 4 3 5" xfId="25470" xr:uid="{00000000-0005-0000-0000-000078630000}"/>
    <cellStyle name="Normal 25 4 3 5 2" xfId="25471" xr:uid="{00000000-0005-0000-0000-000079630000}"/>
    <cellStyle name="Normal 25 4 3 5 2 2" xfId="25472" xr:uid="{00000000-0005-0000-0000-00007A630000}"/>
    <cellStyle name="Normal 25 4 3 5 2 3" xfId="25473" xr:uid="{00000000-0005-0000-0000-00007B630000}"/>
    <cellStyle name="Normal 25 4 3 5 2 4" xfId="25474" xr:uid="{00000000-0005-0000-0000-00007C630000}"/>
    <cellStyle name="Normal 25 4 3 5 2 5" xfId="25475" xr:uid="{00000000-0005-0000-0000-00007D630000}"/>
    <cellStyle name="Normal 25 4 3 5 2 6" xfId="25476" xr:uid="{00000000-0005-0000-0000-00007E630000}"/>
    <cellStyle name="Normal 25 4 3 5 3" xfId="25477" xr:uid="{00000000-0005-0000-0000-00007F630000}"/>
    <cellStyle name="Normal 25 4 3 5 3 2" xfId="25478" xr:uid="{00000000-0005-0000-0000-000080630000}"/>
    <cellStyle name="Normal 25 4 3 5 3 3" xfId="25479" xr:uid="{00000000-0005-0000-0000-000081630000}"/>
    <cellStyle name="Normal 25 4 3 5 3 4" xfId="25480" xr:uid="{00000000-0005-0000-0000-000082630000}"/>
    <cellStyle name="Normal 25 4 3 5 3 5" xfId="25481" xr:uid="{00000000-0005-0000-0000-000083630000}"/>
    <cellStyle name="Normal 25 4 3 5 3 6" xfId="25482" xr:uid="{00000000-0005-0000-0000-000084630000}"/>
    <cellStyle name="Normal 25 4 3 5 4" xfId="25483" xr:uid="{00000000-0005-0000-0000-000085630000}"/>
    <cellStyle name="Normal 25 4 3 5 5" xfId="25484" xr:uid="{00000000-0005-0000-0000-000086630000}"/>
    <cellStyle name="Normal 25 4 3 5 6" xfId="25485" xr:uid="{00000000-0005-0000-0000-000087630000}"/>
    <cellStyle name="Normal 25 4 3 5 7" xfId="25486" xr:uid="{00000000-0005-0000-0000-000088630000}"/>
    <cellStyle name="Normal 25 4 3 5 8" xfId="25487" xr:uid="{00000000-0005-0000-0000-000089630000}"/>
    <cellStyle name="Normal 25 4 3 6" xfId="25488" xr:uid="{00000000-0005-0000-0000-00008A630000}"/>
    <cellStyle name="Normal 25 4 3 6 2" xfId="25489" xr:uid="{00000000-0005-0000-0000-00008B630000}"/>
    <cellStyle name="Normal 25 4 3 6 3" xfId="25490" xr:uid="{00000000-0005-0000-0000-00008C630000}"/>
    <cellStyle name="Normal 25 4 3 6 4" xfId="25491" xr:uid="{00000000-0005-0000-0000-00008D630000}"/>
    <cellStyle name="Normal 25 4 3 6 5" xfId="25492" xr:uid="{00000000-0005-0000-0000-00008E630000}"/>
    <cellStyle name="Normal 25 4 3 6 6" xfId="25493" xr:uid="{00000000-0005-0000-0000-00008F630000}"/>
    <cellStyle name="Normal 25 4 3 7" xfId="25494" xr:uid="{00000000-0005-0000-0000-000090630000}"/>
    <cellStyle name="Normal 25 4 3 7 2" xfId="25495" xr:uid="{00000000-0005-0000-0000-000091630000}"/>
    <cellStyle name="Normal 25 4 3 7 3" xfId="25496" xr:uid="{00000000-0005-0000-0000-000092630000}"/>
    <cellStyle name="Normal 25 4 3 7 4" xfId="25497" xr:uid="{00000000-0005-0000-0000-000093630000}"/>
    <cellStyle name="Normal 25 4 3 7 5" xfId="25498" xr:uid="{00000000-0005-0000-0000-000094630000}"/>
    <cellStyle name="Normal 25 4 3 7 6" xfId="25499" xr:uid="{00000000-0005-0000-0000-000095630000}"/>
    <cellStyle name="Normal 25 4 3 8" xfId="25500" xr:uid="{00000000-0005-0000-0000-000096630000}"/>
    <cellStyle name="Normal 25 4 3 9" xfId="25501" xr:uid="{00000000-0005-0000-0000-000097630000}"/>
    <cellStyle name="Normal 25 4 4" xfId="25502" xr:uid="{00000000-0005-0000-0000-000098630000}"/>
    <cellStyle name="Normal 25 4 4 10" xfId="25503" xr:uid="{00000000-0005-0000-0000-000099630000}"/>
    <cellStyle name="Normal 25 4 4 11" xfId="25504" xr:uid="{00000000-0005-0000-0000-00009A630000}"/>
    <cellStyle name="Normal 25 4 4 2" xfId="25505" xr:uid="{00000000-0005-0000-0000-00009B630000}"/>
    <cellStyle name="Normal 25 4 4 2 2" xfId="25506" xr:uid="{00000000-0005-0000-0000-00009C630000}"/>
    <cellStyle name="Normal 25 4 4 2 2 2" xfId="25507" xr:uid="{00000000-0005-0000-0000-00009D630000}"/>
    <cellStyle name="Normal 25 4 4 2 2 3" xfId="25508" xr:uid="{00000000-0005-0000-0000-00009E630000}"/>
    <cellStyle name="Normal 25 4 4 2 2 4" xfId="25509" xr:uid="{00000000-0005-0000-0000-00009F630000}"/>
    <cellStyle name="Normal 25 4 4 2 2 5" xfId="25510" xr:uid="{00000000-0005-0000-0000-0000A0630000}"/>
    <cellStyle name="Normal 25 4 4 2 2 6" xfId="25511" xr:uid="{00000000-0005-0000-0000-0000A1630000}"/>
    <cellStyle name="Normal 25 4 4 2 3" xfId="25512" xr:uid="{00000000-0005-0000-0000-0000A2630000}"/>
    <cellStyle name="Normal 25 4 4 2 3 2" xfId="25513" xr:uid="{00000000-0005-0000-0000-0000A3630000}"/>
    <cellStyle name="Normal 25 4 4 2 3 3" xfId="25514" xr:uid="{00000000-0005-0000-0000-0000A4630000}"/>
    <cellStyle name="Normal 25 4 4 2 3 4" xfId="25515" xr:uid="{00000000-0005-0000-0000-0000A5630000}"/>
    <cellStyle name="Normal 25 4 4 2 3 5" xfId="25516" xr:uid="{00000000-0005-0000-0000-0000A6630000}"/>
    <cellStyle name="Normal 25 4 4 2 3 6" xfId="25517" xr:uid="{00000000-0005-0000-0000-0000A7630000}"/>
    <cellStyle name="Normal 25 4 4 2 4" xfId="25518" xr:uid="{00000000-0005-0000-0000-0000A8630000}"/>
    <cellStyle name="Normal 25 4 4 2 5" xfId="25519" xr:uid="{00000000-0005-0000-0000-0000A9630000}"/>
    <cellStyle name="Normal 25 4 4 2 6" xfId="25520" xr:uid="{00000000-0005-0000-0000-0000AA630000}"/>
    <cellStyle name="Normal 25 4 4 2 7" xfId="25521" xr:uid="{00000000-0005-0000-0000-0000AB630000}"/>
    <cellStyle name="Normal 25 4 4 2 8" xfId="25522" xr:uid="{00000000-0005-0000-0000-0000AC630000}"/>
    <cellStyle name="Normal 25 4 4 3" xfId="25523" xr:uid="{00000000-0005-0000-0000-0000AD630000}"/>
    <cellStyle name="Normal 25 4 4 3 2" xfId="25524" xr:uid="{00000000-0005-0000-0000-0000AE630000}"/>
    <cellStyle name="Normal 25 4 4 3 2 2" xfId="25525" xr:uid="{00000000-0005-0000-0000-0000AF630000}"/>
    <cellStyle name="Normal 25 4 4 3 2 3" xfId="25526" xr:uid="{00000000-0005-0000-0000-0000B0630000}"/>
    <cellStyle name="Normal 25 4 4 3 2 4" xfId="25527" xr:uid="{00000000-0005-0000-0000-0000B1630000}"/>
    <cellStyle name="Normal 25 4 4 3 2 5" xfId="25528" xr:uid="{00000000-0005-0000-0000-0000B2630000}"/>
    <cellStyle name="Normal 25 4 4 3 2 6" xfId="25529" xr:uid="{00000000-0005-0000-0000-0000B3630000}"/>
    <cellStyle name="Normal 25 4 4 3 3" xfId="25530" xr:uid="{00000000-0005-0000-0000-0000B4630000}"/>
    <cellStyle name="Normal 25 4 4 3 3 2" xfId="25531" xr:uid="{00000000-0005-0000-0000-0000B5630000}"/>
    <cellStyle name="Normal 25 4 4 3 3 3" xfId="25532" xr:uid="{00000000-0005-0000-0000-0000B6630000}"/>
    <cellStyle name="Normal 25 4 4 3 3 4" xfId="25533" xr:uid="{00000000-0005-0000-0000-0000B7630000}"/>
    <cellStyle name="Normal 25 4 4 3 3 5" xfId="25534" xr:uid="{00000000-0005-0000-0000-0000B8630000}"/>
    <cellStyle name="Normal 25 4 4 3 3 6" xfId="25535" xr:uid="{00000000-0005-0000-0000-0000B9630000}"/>
    <cellStyle name="Normal 25 4 4 3 4" xfId="25536" xr:uid="{00000000-0005-0000-0000-0000BA630000}"/>
    <cellStyle name="Normal 25 4 4 3 5" xfId="25537" xr:uid="{00000000-0005-0000-0000-0000BB630000}"/>
    <cellStyle name="Normal 25 4 4 3 6" xfId="25538" xr:uid="{00000000-0005-0000-0000-0000BC630000}"/>
    <cellStyle name="Normal 25 4 4 3 7" xfId="25539" xr:uid="{00000000-0005-0000-0000-0000BD630000}"/>
    <cellStyle name="Normal 25 4 4 3 8" xfId="25540" xr:uid="{00000000-0005-0000-0000-0000BE630000}"/>
    <cellStyle name="Normal 25 4 4 4" xfId="25541" xr:uid="{00000000-0005-0000-0000-0000BF630000}"/>
    <cellStyle name="Normal 25 4 4 4 2" xfId="25542" xr:uid="{00000000-0005-0000-0000-0000C0630000}"/>
    <cellStyle name="Normal 25 4 4 4 2 2" xfId="25543" xr:uid="{00000000-0005-0000-0000-0000C1630000}"/>
    <cellStyle name="Normal 25 4 4 4 2 3" xfId="25544" xr:uid="{00000000-0005-0000-0000-0000C2630000}"/>
    <cellStyle name="Normal 25 4 4 4 2 4" xfId="25545" xr:uid="{00000000-0005-0000-0000-0000C3630000}"/>
    <cellStyle name="Normal 25 4 4 4 2 5" xfId="25546" xr:uid="{00000000-0005-0000-0000-0000C4630000}"/>
    <cellStyle name="Normal 25 4 4 4 2 6" xfId="25547" xr:uid="{00000000-0005-0000-0000-0000C5630000}"/>
    <cellStyle name="Normal 25 4 4 4 3" xfId="25548" xr:uid="{00000000-0005-0000-0000-0000C6630000}"/>
    <cellStyle name="Normal 25 4 4 4 3 2" xfId="25549" xr:uid="{00000000-0005-0000-0000-0000C7630000}"/>
    <cellStyle name="Normal 25 4 4 4 3 3" xfId="25550" xr:uid="{00000000-0005-0000-0000-0000C8630000}"/>
    <cellStyle name="Normal 25 4 4 4 3 4" xfId="25551" xr:uid="{00000000-0005-0000-0000-0000C9630000}"/>
    <cellStyle name="Normal 25 4 4 4 3 5" xfId="25552" xr:uid="{00000000-0005-0000-0000-0000CA630000}"/>
    <cellStyle name="Normal 25 4 4 4 3 6" xfId="25553" xr:uid="{00000000-0005-0000-0000-0000CB630000}"/>
    <cellStyle name="Normal 25 4 4 4 4" xfId="25554" xr:uid="{00000000-0005-0000-0000-0000CC630000}"/>
    <cellStyle name="Normal 25 4 4 4 5" xfId="25555" xr:uid="{00000000-0005-0000-0000-0000CD630000}"/>
    <cellStyle name="Normal 25 4 4 4 6" xfId="25556" xr:uid="{00000000-0005-0000-0000-0000CE630000}"/>
    <cellStyle name="Normal 25 4 4 4 7" xfId="25557" xr:uid="{00000000-0005-0000-0000-0000CF630000}"/>
    <cellStyle name="Normal 25 4 4 4 8" xfId="25558" xr:uid="{00000000-0005-0000-0000-0000D0630000}"/>
    <cellStyle name="Normal 25 4 4 5" xfId="25559" xr:uid="{00000000-0005-0000-0000-0000D1630000}"/>
    <cellStyle name="Normal 25 4 4 5 2" xfId="25560" xr:uid="{00000000-0005-0000-0000-0000D2630000}"/>
    <cellStyle name="Normal 25 4 4 5 3" xfId="25561" xr:uid="{00000000-0005-0000-0000-0000D3630000}"/>
    <cellStyle name="Normal 25 4 4 5 4" xfId="25562" xr:uid="{00000000-0005-0000-0000-0000D4630000}"/>
    <cellStyle name="Normal 25 4 4 5 5" xfId="25563" xr:uid="{00000000-0005-0000-0000-0000D5630000}"/>
    <cellStyle name="Normal 25 4 4 5 6" xfId="25564" xr:uid="{00000000-0005-0000-0000-0000D6630000}"/>
    <cellStyle name="Normal 25 4 4 6" xfId="25565" xr:uid="{00000000-0005-0000-0000-0000D7630000}"/>
    <cellStyle name="Normal 25 4 4 6 2" xfId="25566" xr:uid="{00000000-0005-0000-0000-0000D8630000}"/>
    <cellStyle name="Normal 25 4 4 6 3" xfId="25567" xr:uid="{00000000-0005-0000-0000-0000D9630000}"/>
    <cellStyle name="Normal 25 4 4 6 4" xfId="25568" xr:uid="{00000000-0005-0000-0000-0000DA630000}"/>
    <cellStyle name="Normal 25 4 4 6 5" xfId="25569" xr:uid="{00000000-0005-0000-0000-0000DB630000}"/>
    <cellStyle name="Normal 25 4 4 6 6" xfId="25570" xr:uid="{00000000-0005-0000-0000-0000DC630000}"/>
    <cellStyle name="Normal 25 4 4 7" xfId="25571" xr:uid="{00000000-0005-0000-0000-0000DD630000}"/>
    <cellStyle name="Normal 25 4 4 8" xfId="25572" xr:uid="{00000000-0005-0000-0000-0000DE630000}"/>
    <cellStyle name="Normal 25 4 4 9" xfId="25573" xr:uid="{00000000-0005-0000-0000-0000DF630000}"/>
    <cellStyle name="Normal 25 4 5" xfId="25574" xr:uid="{00000000-0005-0000-0000-0000E0630000}"/>
    <cellStyle name="Normal 25 4 5 2" xfId="25575" xr:uid="{00000000-0005-0000-0000-0000E1630000}"/>
    <cellStyle name="Normal 25 4 5 2 2" xfId="25576" xr:uid="{00000000-0005-0000-0000-0000E2630000}"/>
    <cellStyle name="Normal 25 4 5 2 3" xfId="25577" xr:uid="{00000000-0005-0000-0000-0000E3630000}"/>
    <cellStyle name="Normal 25 4 5 2 4" xfId="25578" xr:uid="{00000000-0005-0000-0000-0000E4630000}"/>
    <cellStyle name="Normal 25 4 5 2 5" xfId="25579" xr:uid="{00000000-0005-0000-0000-0000E5630000}"/>
    <cellStyle name="Normal 25 4 5 2 6" xfId="25580" xr:uid="{00000000-0005-0000-0000-0000E6630000}"/>
    <cellStyle name="Normal 25 4 5 3" xfId="25581" xr:uid="{00000000-0005-0000-0000-0000E7630000}"/>
    <cellStyle name="Normal 25 4 5 3 2" xfId="25582" xr:uid="{00000000-0005-0000-0000-0000E8630000}"/>
    <cellStyle name="Normal 25 4 5 3 3" xfId="25583" xr:uid="{00000000-0005-0000-0000-0000E9630000}"/>
    <cellStyle name="Normal 25 4 5 3 4" xfId="25584" xr:uid="{00000000-0005-0000-0000-0000EA630000}"/>
    <cellStyle name="Normal 25 4 5 3 5" xfId="25585" xr:uid="{00000000-0005-0000-0000-0000EB630000}"/>
    <cellStyle name="Normal 25 4 5 3 6" xfId="25586" xr:uid="{00000000-0005-0000-0000-0000EC630000}"/>
    <cellStyle name="Normal 25 4 5 4" xfId="25587" xr:uid="{00000000-0005-0000-0000-0000ED630000}"/>
    <cellStyle name="Normal 25 4 5 5" xfId="25588" xr:uid="{00000000-0005-0000-0000-0000EE630000}"/>
    <cellStyle name="Normal 25 4 5 6" xfId="25589" xr:uid="{00000000-0005-0000-0000-0000EF630000}"/>
    <cellStyle name="Normal 25 4 5 7" xfId="25590" xr:uid="{00000000-0005-0000-0000-0000F0630000}"/>
    <cellStyle name="Normal 25 4 5 8" xfId="25591" xr:uid="{00000000-0005-0000-0000-0000F1630000}"/>
    <cellStyle name="Normal 25 4 6" xfId="25592" xr:uid="{00000000-0005-0000-0000-0000F2630000}"/>
    <cellStyle name="Normal 25 4 6 2" xfId="25593" xr:uid="{00000000-0005-0000-0000-0000F3630000}"/>
    <cellStyle name="Normal 25 4 6 2 2" xfId="25594" xr:uid="{00000000-0005-0000-0000-0000F4630000}"/>
    <cellStyle name="Normal 25 4 6 2 3" xfId="25595" xr:uid="{00000000-0005-0000-0000-0000F5630000}"/>
    <cellStyle name="Normal 25 4 6 2 4" xfId="25596" xr:uid="{00000000-0005-0000-0000-0000F6630000}"/>
    <cellStyle name="Normal 25 4 6 2 5" xfId="25597" xr:uid="{00000000-0005-0000-0000-0000F7630000}"/>
    <cellStyle name="Normal 25 4 6 2 6" xfId="25598" xr:uid="{00000000-0005-0000-0000-0000F8630000}"/>
    <cellStyle name="Normal 25 4 6 3" xfId="25599" xr:uid="{00000000-0005-0000-0000-0000F9630000}"/>
    <cellStyle name="Normal 25 4 6 3 2" xfId="25600" xr:uid="{00000000-0005-0000-0000-0000FA630000}"/>
    <cellStyle name="Normal 25 4 6 3 3" xfId="25601" xr:uid="{00000000-0005-0000-0000-0000FB630000}"/>
    <cellStyle name="Normal 25 4 6 3 4" xfId="25602" xr:uid="{00000000-0005-0000-0000-0000FC630000}"/>
    <cellStyle name="Normal 25 4 6 3 5" xfId="25603" xr:uid="{00000000-0005-0000-0000-0000FD630000}"/>
    <cellStyle name="Normal 25 4 6 3 6" xfId="25604" xr:uid="{00000000-0005-0000-0000-0000FE630000}"/>
    <cellStyle name="Normal 25 4 6 4" xfId="25605" xr:uid="{00000000-0005-0000-0000-0000FF630000}"/>
    <cellStyle name="Normal 25 4 6 5" xfId="25606" xr:uid="{00000000-0005-0000-0000-000000640000}"/>
    <cellStyle name="Normal 25 4 6 6" xfId="25607" xr:uid="{00000000-0005-0000-0000-000001640000}"/>
    <cellStyle name="Normal 25 4 6 7" xfId="25608" xr:uid="{00000000-0005-0000-0000-000002640000}"/>
    <cellStyle name="Normal 25 4 6 8" xfId="25609" xr:uid="{00000000-0005-0000-0000-000003640000}"/>
    <cellStyle name="Normal 25 4 7" xfId="25610" xr:uid="{00000000-0005-0000-0000-000004640000}"/>
    <cellStyle name="Normal 25 4 7 2" xfId="25611" xr:uid="{00000000-0005-0000-0000-000005640000}"/>
    <cellStyle name="Normal 25 4 7 2 2" xfId="25612" xr:uid="{00000000-0005-0000-0000-000006640000}"/>
    <cellStyle name="Normal 25 4 7 2 3" xfId="25613" xr:uid="{00000000-0005-0000-0000-000007640000}"/>
    <cellStyle name="Normal 25 4 7 2 4" xfId="25614" xr:uid="{00000000-0005-0000-0000-000008640000}"/>
    <cellStyle name="Normal 25 4 7 2 5" xfId="25615" xr:uid="{00000000-0005-0000-0000-000009640000}"/>
    <cellStyle name="Normal 25 4 7 2 6" xfId="25616" xr:uid="{00000000-0005-0000-0000-00000A640000}"/>
    <cellStyle name="Normal 25 4 7 3" xfId="25617" xr:uid="{00000000-0005-0000-0000-00000B640000}"/>
    <cellStyle name="Normal 25 4 7 3 2" xfId="25618" xr:uid="{00000000-0005-0000-0000-00000C640000}"/>
    <cellStyle name="Normal 25 4 7 3 3" xfId="25619" xr:uid="{00000000-0005-0000-0000-00000D640000}"/>
    <cellStyle name="Normal 25 4 7 3 4" xfId="25620" xr:uid="{00000000-0005-0000-0000-00000E640000}"/>
    <cellStyle name="Normal 25 4 7 3 5" xfId="25621" xr:uid="{00000000-0005-0000-0000-00000F640000}"/>
    <cellStyle name="Normal 25 4 7 3 6" xfId="25622" xr:uid="{00000000-0005-0000-0000-000010640000}"/>
    <cellStyle name="Normal 25 4 7 4" xfId="25623" xr:uid="{00000000-0005-0000-0000-000011640000}"/>
    <cellStyle name="Normal 25 4 7 5" xfId="25624" xr:uid="{00000000-0005-0000-0000-000012640000}"/>
    <cellStyle name="Normal 25 4 7 6" xfId="25625" xr:uid="{00000000-0005-0000-0000-000013640000}"/>
    <cellStyle name="Normal 25 4 7 7" xfId="25626" xr:uid="{00000000-0005-0000-0000-000014640000}"/>
    <cellStyle name="Normal 25 4 7 8" xfId="25627" xr:uid="{00000000-0005-0000-0000-000015640000}"/>
    <cellStyle name="Normal 25 4 8" xfId="25628" xr:uid="{00000000-0005-0000-0000-000016640000}"/>
    <cellStyle name="Normal 25 4 8 2" xfId="25629" xr:uid="{00000000-0005-0000-0000-000017640000}"/>
    <cellStyle name="Normal 25 4 8 3" xfId="25630" xr:uid="{00000000-0005-0000-0000-000018640000}"/>
    <cellStyle name="Normal 25 4 8 4" xfId="25631" xr:uid="{00000000-0005-0000-0000-000019640000}"/>
    <cellStyle name="Normal 25 4 8 5" xfId="25632" xr:uid="{00000000-0005-0000-0000-00001A640000}"/>
    <cellStyle name="Normal 25 4 8 6" xfId="25633" xr:uid="{00000000-0005-0000-0000-00001B640000}"/>
    <cellStyle name="Normal 25 4 9" xfId="25634" xr:uid="{00000000-0005-0000-0000-00001C640000}"/>
    <cellStyle name="Normal 25 4 9 2" xfId="25635" xr:uid="{00000000-0005-0000-0000-00001D640000}"/>
    <cellStyle name="Normal 25 4 9 3" xfId="25636" xr:uid="{00000000-0005-0000-0000-00001E640000}"/>
    <cellStyle name="Normal 25 4 9 4" xfId="25637" xr:uid="{00000000-0005-0000-0000-00001F640000}"/>
    <cellStyle name="Normal 25 4 9 5" xfId="25638" xr:uid="{00000000-0005-0000-0000-000020640000}"/>
    <cellStyle name="Normal 25 4 9 6" xfId="25639" xr:uid="{00000000-0005-0000-0000-000021640000}"/>
    <cellStyle name="Normal 25 5" xfId="25640" xr:uid="{00000000-0005-0000-0000-000022640000}"/>
    <cellStyle name="Normal 25 5 10" xfId="25641" xr:uid="{00000000-0005-0000-0000-000023640000}"/>
    <cellStyle name="Normal 25 5 11" xfId="25642" xr:uid="{00000000-0005-0000-0000-000024640000}"/>
    <cellStyle name="Normal 25 5 12" xfId="25643" xr:uid="{00000000-0005-0000-0000-000025640000}"/>
    <cellStyle name="Normal 25 5 2" xfId="25644" xr:uid="{00000000-0005-0000-0000-000026640000}"/>
    <cellStyle name="Normal 25 5 2 10" xfId="25645" xr:uid="{00000000-0005-0000-0000-000027640000}"/>
    <cellStyle name="Normal 25 5 2 11" xfId="25646" xr:uid="{00000000-0005-0000-0000-000028640000}"/>
    <cellStyle name="Normal 25 5 2 2" xfId="25647" xr:uid="{00000000-0005-0000-0000-000029640000}"/>
    <cellStyle name="Normal 25 5 2 2 2" xfId="25648" xr:uid="{00000000-0005-0000-0000-00002A640000}"/>
    <cellStyle name="Normal 25 5 2 2 2 2" xfId="25649" xr:uid="{00000000-0005-0000-0000-00002B640000}"/>
    <cellStyle name="Normal 25 5 2 2 2 3" xfId="25650" xr:uid="{00000000-0005-0000-0000-00002C640000}"/>
    <cellStyle name="Normal 25 5 2 2 2 4" xfId="25651" xr:uid="{00000000-0005-0000-0000-00002D640000}"/>
    <cellStyle name="Normal 25 5 2 2 2 5" xfId="25652" xr:uid="{00000000-0005-0000-0000-00002E640000}"/>
    <cellStyle name="Normal 25 5 2 2 2 6" xfId="25653" xr:uid="{00000000-0005-0000-0000-00002F640000}"/>
    <cellStyle name="Normal 25 5 2 2 3" xfId="25654" xr:uid="{00000000-0005-0000-0000-000030640000}"/>
    <cellStyle name="Normal 25 5 2 2 3 2" xfId="25655" xr:uid="{00000000-0005-0000-0000-000031640000}"/>
    <cellStyle name="Normal 25 5 2 2 3 3" xfId="25656" xr:uid="{00000000-0005-0000-0000-000032640000}"/>
    <cellStyle name="Normal 25 5 2 2 3 4" xfId="25657" xr:uid="{00000000-0005-0000-0000-000033640000}"/>
    <cellStyle name="Normal 25 5 2 2 3 5" xfId="25658" xr:uid="{00000000-0005-0000-0000-000034640000}"/>
    <cellStyle name="Normal 25 5 2 2 3 6" xfId="25659" xr:uid="{00000000-0005-0000-0000-000035640000}"/>
    <cellStyle name="Normal 25 5 2 2 4" xfId="25660" xr:uid="{00000000-0005-0000-0000-000036640000}"/>
    <cellStyle name="Normal 25 5 2 2 5" xfId="25661" xr:uid="{00000000-0005-0000-0000-000037640000}"/>
    <cellStyle name="Normal 25 5 2 2 6" xfId="25662" xr:uid="{00000000-0005-0000-0000-000038640000}"/>
    <cellStyle name="Normal 25 5 2 2 7" xfId="25663" xr:uid="{00000000-0005-0000-0000-000039640000}"/>
    <cellStyle name="Normal 25 5 2 2 8" xfId="25664" xr:uid="{00000000-0005-0000-0000-00003A640000}"/>
    <cellStyle name="Normal 25 5 2 3" xfId="25665" xr:uid="{00000000-0005-0000-0000-00003B640000}"/>
    <cellStyle name="Normal 25 5 2 3 2" xfId="25666" xr:uid="{00000000-0005-0000-0000-00003C640000}"/>
    <cellStyle name="Normal 25 5 2 3 2 2" xfId="25667" xr:uid="{00000000-0005-0000-0000-00003D640000}"/>
    <cellStyle name="Normal 25 5 2 3 2 3" xfId="25668" xr:uid="{00000000-0005-0000-0000-00003E640000}"/>
    <cellStyle name="Normal 25 5 2 3 2 4" xfId="25669" xr:uid="{00000000-0005-0000-0000-00003F640000}"/>
    <cellStyle name="Normal 25 5 2 3 2 5" xfId="25670" xr:uid="{00000000-0005-0000-0000-000040640000}"/>
    <cellStyle name="Normal 25 5 2 3 2 6" xfId="25671" xr:uid="{00000000-0005-0000-0000-000041640000}"/>
    <cellStyle name="Normal 25 5 2 3 3" xfId="25672" xr:uid="{00000000-0005-0000-0000-000042640000}"/>
    <cellStyle name="Normal 25 5 2 3 3 2" xfId="25673" xr:uid="{00000000-0005-0000-0000-000043640000}"/>
    <cellStyle name="Normal 25 5 2 3 3 3" xfId="25674" xr:uid="{00000000-0005-0000-0000-000044640000}"/>
    <cellStyle name="Normal 25 5 2 3 3 4" xfId="25675" xr:uid="{00000000-0005-0000-0000-000045640000}"/>
    <cellStyle name="Normal 25 5 2 3 3 5" xfId="25676" xr:uid="{00000000-0005-0000-0000-000046640000}"/>
    <cellStyle name="Normal 25 5 2 3 3 6" xfId="25677" xr:uid="{00000000-0005-0000-0000-000047640000}"/>
    <cellStyle name="Normal 25 5 2 3 4" xfId="25678" xr:uid="{00000000-0005-0000-0000-000048640000}"/>
    <cellStyle name="Normal 25 5 2 3 5" xfId="25679" xr:uid="{00000000-0005-0000-0000-000049640000}"/>
    <cellStyle name="Normal 25 5 2 3 6" xfId="25680" xr:uid="{00000000-0005-0000-0000-00004A640000}"/>
    <cellStyle name="Normal 25 5 2 3 7" xfId="25681" xr:uid="{00000000-0005-0000-0000-00004B640000}"/>
    <cellStyle name="Normal 25 5 2 3 8" xfId="25682" xr:uid="{00000000-0005-0000-0000-00004C640000}"/>
    <cellStyle name="Normal 25 5 2 4" xfId="25683" xr:uid="{00000000-0005-0000-0000-00004D640000}"/>
    <cellStyle name="Normal 25 5 2 4 2" xfId="25684" xr:uid="{00000000-0005-0000-0000-00004E640000}"/>
    <cellStyle name="Normal 25 5 2 4 2 2" xfId="25685" xr:uid="{00000000-0005-0000-0000-00004F640000}"/>
    <cellStyle name="Normal 25 5 2 4 2 3" xfId="25686" xr:uid="{00000000-0005-0000-0000-000050640000}"/>
    <cellStyle name="Normal 25 5 2 4 2 4" xfId="25687" xr:uid="{00000000-0005-0000-0000-000051640000}"/>
    <cellStyle name="Normal 25 5 2 4 2 5" xfId="25688" xr:uid="{00000000-0005-0000-0000-000052640000}"/>
    <cellStyle name="Normal 25 5 2 4 2 6" xfId="25689" xr:uid="{00000000-0005-0000-0000-000053640000}"/>
    <cellStyle name="Normal 25 5 2 4 3" xfId="25690" xr:uid="{00000000-0005-0000-0000-000054640000}"/>
    <cellStyle name="Normal 25 5 2 4 3 2" xfId="25691" xr:uid="{00000000-0005-0000-0000-000055640000}"/>
    <cellStyle name="Normal 25 5 2 4 3 3" xfId="25692" xr:uid="{00000000-0005-0000-0000-000056640000}"/>
    <cellStyle name="Normal 25 5 2 4 3 4" xfId="25693" xr:uid="{00000000-0005-0000-0000-000057640000}"/>
    <cellStyle name="Normal 25 5 2 4 3 5" xfId="25694" xr:uid="{00000000-0005-0000-0000-000058640000}"/>
    <cellStyle name="Normal 25 5 2 4 3 6" xfId="25695" xr:uid="{00000000-0005-0000-0000-000059640000}"/>
    <cellStyle name="Normal 25 5 2 4 4" xfId="25696" xr:uid="{00000000-0005-0000-0000-00005A640000}"/>
    <cellStyle name="Normal 25 5 2 4 5" xfId="25697" xr:uid="{00000000-0005-0000-0000-00005B640000}"/>
    <cellStyle name="Normal 25 5 2 4 6" xfId="25698" xr:uid="{00000000-0005-0000-0000-00005C640000}"/>
    <cellStyle name="Normal 25 5 2 4 7" xfId="25699" xr:uid="{00000000-0005-0000-0000-00005D640000}"/>
    <cellStyle name="Normal 25 5 2 4 8" xfId="25700" xr:uid="{00000000-0005-0000-0000-00005E640000}"/>
    <cellStyle name="Normal 25 5 2 5" xfId="25701" xr:uid="{00000000-0005-0000-0000-00005F640000}"/>
    <cellStyle name="Normal 25 5 2 5 2" xfId="25702" xr:uid="{00000000-0005-0000-0000-000060640000}"/>
    <cellStyle name="Normal 25 5 2 5 3" xfId="25703" xr:uid="{00000000-0005-0000-0000-000061640000}"/>
    <cellStyle name="Normal 25 5 2 5 4" xfId="25704" xr:uid="{00000000-0005-0000-0000-000062640000}"/>
    <cellStyle name="Normal 25 5 2 5 5" xfId="25705" xr:uid="{00000000-0005-0000-0000-000063640000}"/>
    <cellStyle name="Normal 25 5 2 5 6" xfId="25706" xr:uid="{00000000-0005-0000-0000-000064640000}"/>
    <cellStyle name="Normal 25 5 2 6" xfId="25707" xr:uid="{00000000-0005-0000-0000-000065640000}"/>
    <cellStyle name="Normal 25 5 2 6 2" xfId="25708" xr:uid="{00000000-0005-0000-0000-000066640000}"/>
    <cellStyle name="Normal 25 5 2 6 3" xfId="25709" xr:uid="{00000000-0005-0000-0000-000067640000}"/>
    <cellStyle name="Normal 25 5 2 6 4" xfId="25710" xr:uid="{00000000-0005-0000-0000-000068640000}"/>
    <cellStyle name="Normal 25 5 2 6 5" xfId="25711" xr:uid="{00000000-0005-0000-0000-000069640000}"/>
    <cellStyle name="Normal 25 5 2 6 6" xfId="25712" xr:uid="{00000000-0005-0000-0000-00006A640000}"/>
    <cellStyle name="Normal 25 5 2 7" xfId="25713" xr:uid="{00000000-0005-0000-0000-00006B640000}"/>
    <cellStyle name="Normal 25 5 2 8" xfId="25714" xr:uid="{00000000-0005-0000-0000-00006C640000}"/>
    <cellStyle name="Normal 25 5 2 9" xfId="25715" xr:uid="{00000000-0005-0000-0000-00006D640000}"/>
    <cellStyle name="Normal 25 5 3" xfId="25716" xr:uid="{00000000-0005-0000-0000-00006E640000}"/>
    <cellStyle name="Normal 25 5 3 2" xfId="25717" xr:uid="{00000000-0005-0000-0000-00006F640000}"/>
    <cellStyle name="Normal 25 5 3 2 2" xfId="25718" xr:uid="{00000000-0005-0000-0000-000070640000}"/>
    <cellStyle name="Normal 25 5 3 2 3" xfId="25719" xr:uid="{00000000-0005-0000-0000-000071640000}"/>
    <cellStyle name="Normal 25 5 3 2 4" xfId="25720" xr:uid="{00000000-0005-0000-0000-000072640000}"/>
    <cellStyle name="Normal 25 5 3 2 5" xfId="25721" xr:uid="{00000000-0005-0000-0000-000073640000}"/>
    <cellStyle name="Normal 25 5 3 2 6" xfId="25722" xr:uid="{00000000-0005-0000-0000-000074640000}"/>
    <cellStyle name="Normal 25 5 3 3" xfId="25723" xr:uid="{00000000-0005-0000-0000-000075640000}"/>
    <cellStyle name="Normal 25 5 3 3 2" xfId="25724" xr:uid="{00000000-0005-0000-0000-000076640000}"/>
    <cellStyle name="Normal 25 5 3 3 3" xfId="25725" xr:uid="{00000000-0005-0000-0000-000077640000}"/>
    <cellStyle name="Normal 25 5 3 3 4" xfId="25726" xr:uid="{00000000-0005-0000-0000-000078640000}"/>
    <cellStyle name="Normal 25 5 3 3 5" xfId="25727" xr:uid="{00000000-0005-0000-0000-000079640000}"/>
    <cellStyle name="Normal 25 5 3 3 6" xfId="25728" xr:uid="{00000000-0005-0000-0000-00007A640000}"/>
    <cellStyle name="Normal 25 5 3 4" xfId="25729" xr:uid="{00000000-0005-0000-0000-00007B640000}"/>
    <cellStyle name="Normal 25 5 3 5" xfId="25730" xr:uid="{00000000-0005-0000-0000-00007C640000}"/>
    <cellStyle name="Normal 25 5 3 6" xfId="25731" xr:uid="{00000000-0005-0000-0000-00007D640000}"/>
    <cellStyle name="Normal 25 5 3 7" xfId="25732" xr:uid="{00000000-0005-0000-0000-00007E640000}"/>
    <cellStyle name="Normal 25 5 3 8" xfId="25733" xr:uid="{00000000-0005-0000-0000-00007F640000}"/>
    <cellStyle name="Normal 25 5 4" xfId="25734" xr:uid="{00000000-0005-0000-0000-000080640000}"/>
    <cellStyle name="Normal 25 5 4 2" xfId="25735" xr:uid="{00000000-0005-0000-0000-000081640000}"/>
    <cellStyle name="Normal 25 5 4 2 2" xfId="25736" xr:uid="{00000000-0005-0000-0000-000082640000}"/>
    <cellStyle name="Normal 25 5 4 2 3" xfId="25737" xr:uid="{00000000-0005-0000-0000-000083640000}"/>
    <cellStyle name="Normal 25 5 4 2 4" xfId="25738" xr:uid="{00000000-0005-0000-0000-000084640000}"/>
    <cellStyle name="Normal 25 5 4 2 5" xfId="25739" xr:uid="{00000000-0005-0000-0000-000085640000}"/>
    <cellStyle name="Normal 25 5 4 2 6" xfId="25740" xr:uid="{00000000-0005-0000-0000-000086640000}"/>
    <cellStyle name="Normal 25 5 4 3" xfId="25741" xr:uid="{00000000-0005-0000-0000-000087640000}"/>
    <cellStyle name="Normal 25 5 4 3 2" xfId="25742" xr:uid="{00000000-0005-0000-0000-000088640000}"/>
    <cellStyle name="Normal 25 5 4 3 3" xfId="25743" xr:uid="{00000000-0005-0000-0000-000089640000}"/>
    <cellStyle name="Normal 25 5 4 3 4" xfId="25744" xr:uid="{00000000-0005-0000-0000-00008A640000}"/>
    <cellStyle name="Normal 25 5 4 3 5" xfId="25745" xr:uid="{00000000-0005-0000-0000-00008B640000}"/>
    <cellStyle name="Normal 25 5 4 3 6" xfId="25746" xr:uid="{00000000-0005-0000-0000-00008C640000}"/>
    <cellStyle name="Normal 25 5 4 4" xfId="25747" xr:uid="{00000000-0005-0000-0000-00008D640000}"/>
    <cellStyle name="Normal 25 5 4 5" xfId="25748" xr:uid="{00000000-0005-0000-0000-00008E640000}"/>
    <cellStyle name="Normal 25 5 4 6" xfId="25749" xr:uid="{00000000-0005-0000-0000-00008F640000}"/>
    <cellStyle name="Normal 25 5 4 7" xfId="25750" xr:uid="{00000000-0005-0000-0000-000090640000}"/>
    <cellStyle name="Normal 25 5 4 8" xfId="25751" xr:uid="{00000000-0005-0000-0000-000091640000}"/>
    <cellStyle name="Normal 25 5 5" xfId="25752" xr:uid="{00000000-0005-0000-0000-000092640000}"/>
    <cellStyle name="Normal 25 5 5 2" xfId="25753" xr:uid="{00000000-0005-0000-0000-000093640000}"/>
    <cellStyle name="Normal 25 5 5 2 2" xfId="25754" xr:uid="{00000000-0005-0000-0000-000094640000}"/>
    <cellStyle name="Normal 25 5 5 2 3" xfId="25755" xr:uid="{00000000-0005-0000-0000-000095640000}"/>
    <cellStyle name="Normal 25 5 5 2 4" xfId="25756" xr:uid="{00000000-0005-0000-0000-000096640000}"/>
    <cellStyle name="Normal 25 5 5 2 5" xfId="25757" xr:uid="{00000000-0005-0000-0000-000097640000}"/>
    <cellStyle name="Normal 25 5 5 2 6" xfId="25758" xr:uid="{00000000-0005-0000-0000-000098640000}"/>
    <cellStyle name="Normal 25 5 5 3" xfId="25759" xr:uid="{00000000-0005-0000-0000-000099640000}"/>
    <cellStyle name="Normal 25 5 5 3 2" xfId="25760" xr:uid="{00000000-0005-0000-0000-00009A640000}"/>
    <cellStyle name="Normal 25 5 5 3 3" xfId="25761" xr:uid="{00000000-0005-0000-0000-00009B640000}"/>
    <cellStyle name="Normal 25 5 5 3 4" xfId="25762" xr:uid="{00000000-0005-0000-0000-00009C640000}"/>
    <cellStyle name="Normal 25 5 5 3 5" xfId="25763" xr:uid="{00000000-0005-0000-0000-00009D640000}"/>
    <cellStyle name="Normal 25 5 5 3 6" xfId="25764" xr:uid="{00000000-0005-0000-0000-00009E640000}"/>
    <cellStyle name="Normal 25 5 5 4" xfId="25765" xr:uid="{00000000-0005-0000-0000-00009F640000}"/>
    <cellStyle name="Normal 25 5 5 5" xfId="25766" xr:uid="{00000000-0005-0000-0000-0000A0640000}"/>
    <cellStyle name="Normal 25 5 5 6" xfId="25767" xr:uid="{00000000-0005-0000-0000-0000A1640000}"/>
    <cellStyle name="Normal 25 5 5 7" xfId="25768" xr:uid="{00000000-0005-0000-0000-0000A2640000}"/>
    <cellStyle name="Normal 25 5 5 8" xfId="25769" xr:uid="{00000000-0005-0000-0000-0000A3640000}"/>
    <cellStyle name="Normal 25 5 6" xfId="25770" xr:uid="{00000000-0005-0000-0000-0000A4640000}"/>
    <cellStyle name="Normal 25 5 6 2" xfId="25771" xr:uid="{00000000-0005-0000-0000-0000A5640000}"/>
    <cellStyle name="Normal 25 5 6 3" xfId="25772" xr:uid="{00000000-0005-0000-0000-0000A6640000}"/>
    <cellStyle name="Normal 25 5 6 4" xfId="25773" xr:uid="{00000000-0005-0000-0000-0000A7640000}"/>
    <cellStyle name="Normal 25 5 6 5" xfId="25774" xr:uid="{00000000-0005-0000-0000-0000A8640000}"/>
    <cellStyle name="Normal 25 5 6 6" xfId="25775" xr:uid="{00000000-0005-0000-0000-0000A9640000}"/>
    <cellStyle name="Normal 25 5 7" xfId="25776" xr:uid="{00000000-0005-0000-0000-0000AA640000}"/>
    <cellStyle name="Normal 25 5 7 2" xfId="25777" xr:uid="{00000000-0005-0000-0000-0000AB640000}"/>
    <cellStyle name="Normal 25 5 7 3" xfId="25778" xr:uid="{00000000-0005-0000-0000-0000AC640000}"/>
    <cellStyle name="Normal 25 5 7 4" xfId="25779" xr:uid="{00000000-0005-0000-0000-0000AD640000}"/>
    <cellStyle name="Normal 25 5 7 5" xfId="25780" xr:uid="{00000000-0005-0000-0000-0000AE640000}"/>
    <cellStyle name="Normal 25 5 7 6" xfId="25781" xr:uid="{00000000-0005-0000-0000-0000AF640000}"/>
    <cellStyle name="Normal 25 5 8" xfId="25782" xr:uid="{00000000-0005-0000-0000-0000B0640000}"/>
    <cellStyle name="Normal 25 5 9" xfId="25783" xr:uid="{00000000-0005-0000-0000-0000B1640000}"/>
    <cellStyle name="Normal 25 6" xfId="25784" xr:uid="{00000000-0005-0000-0000-0000B2640000}"/>
    <cellStyle name="Normal 25 6 10" xfId="25785" xr:uid="{00000000-0005-0000-0000-0000B3640000}"/>
    <cellStyle name="Normal 25 6 11" xfId="25786" xr:uid="{00000000-0005-0000-0000-0000B4640000}"/>
    <cellStyle name="Normal 25 6 12" xfId="25787" xr:uid="{00000000-0005-0000-0000-0000B5640000}"/>
    <cellStyle name="Normal 25 6 2" xfId="25788" xr:uid="{00000000-0005-0000-0000-0000B6640000}"/>
    <cellStyle name="Normal 25 6 2 10" xfId="25789" xr:uid="{00000000-0005-0000-0000-0000B7640000}"/>
    <cellStyle name="Normal 25 6 2 11" xfId="25790" xr:uid="{00000000-0005-0000-0000-0000B8640000}"/>
    <cellStyle name="Normal 25 6 2 2" xfId="25791" xr:uid="{00000000-0005-0000-0000-0000B9640000}"/>
    <cellStyle name="Normal 25 6 2 2 2" xfId="25792" xr:uid="{00000000-0005-0000-0000-0000BA640000}"/>
    <cellStyle name="Normal 25 6 2 2 2 2" xfId="25793" xr:uid="{00000000-0005-0000-0000-0000BB640000}"/>
    <cellStyle name="Normal 25 6 2 2 2 3" xfId="25794" xr:uid="{00000000-0005-0000-0000-0000BC640000}"/>
    <cellStyle name="Normal 25 6 2 2 2 4" xfId="25795" xr:uid="{00000000-0005-0000-0000-0000BD640000}"/>
    <cellStyle name="Normal 25 6 2 2 2 5" xfId="25796" xr:uid="{00000000-0005-0000-0000-0000BE640000}"/>
    <cellStyle name="Normal 25 6 2 2 2 6" xfId="25797" xr:uid="{00000000-0005-0000-0000-0000BF640000}"/>
    <cellStyle name="Normal 25 6 2 2 3" xfId="25798" xr:uid="{00000000-0005-0000-0000-0000C0640000}"/>
    <cellStyle name="Normal 25 6 2 2 3 2" xfId="25799" xr:uid="{00000000-0005-0000-0000-0000C1640000}"/>
    <cellStyle name="Normal 25 6 2 2 3 3" xfId="25800" xr:uid="{00000000-0005-0000-0000-0000C2640000}"/>
    <cellStyle name="Normal 25 6 2 2 3 4" xfId="25801" xr:uid="{00000000-0005-0000-0000-0000C3640000}"/>
    <cellStyle name="Normal 25 6 2 2 3 5" xfId="25802" xr:uid="{00000000-0005-0000-0000-0000C4640000}"/>
    <cellStyle name="Normal 25 6 2 2 3 6" xfId="25803" xr:uid="{00000000-0005-0000-0000-0000C5640000}"/>
    <cellStyle name="Normal 25 6 2 2 4" xfId="25804" xr:uid="{00000000-0005-0000-0000-0000C6640000}"/>
    <cellStyle name="Normal 25 6 2 2 5" xfId="25805" xr:uid="{00000000-0005-0000-0000-0000C7640000}"/>
    <cellStyle name="Normal 25 6 2 2 6" xfId="25806" xr:uid="{00000000-0005-0000-0000-0000C8640000}"/>
    <cellStyle name="Normal 25 6 2 2 7" xfId="25807" xr:uid="{00000000-0005-0000-0000-0000C9640000}"/>
    <cellStyle name="Normal 25 6 2 2 8" xfId="25808" xr:uid="{00000000-0005-0000-0000-0000CA640000}"/>
    <cellStyle name="Normal 25 6 2 3" xfId="25809" xr:uid="{00000000-0005-0000-0000-0000CB640000}"/>
    <cellStyle name="Normal 25 6 2 3 2" xfId="25810" xr:uid="{00000000-0005-0000-0000-0000CC640000}"/>
    <cellStyle name="Normal 25 6 2 3 2 2" xfId="25811" xr:uid="{00000000-0005-0000-0000-0000CD640000}"/>
    <cellStyle name="Normal 25 6 2 3 2 3" xfId="25812" xr:uid="{00000000-0005-0000-0000-0000CE640000}"/>
    <cellStyle name="Normal 25 6 2 3 2 4" xfId="25813" xr:uid="{00000000-0005-0000-0000-0000CF640000}"/>
    <cellStyle name="Normal 25 6 2 3 2 5" xfId="25814" xr:uid="{00000000-0005-0000-0000-0000D0640000}"/>
    <cellStyle name="Normal 25 6 2 3 2 6" xfId="25815" xr:uid="{00000000-0005-0000-0000-0000D1640000}"/>
    <cellStyle name="Normal 25 6 2 3 3" xfId="25816" xr:uid="{00000000-0005-0000-0000-0000D2640000}"/>
    <cellStyle name="Normal 25 6 2 3 3 2" xfId="25817" xr:uid="{00000000-0005-0000-0000-0000D3640000}"/>
    <cellStyle name="Normal 25 6 2 3 3 3" xfId="25818" xr:uid="{00000000-0005-0000-0000-0000D4640000}"/>
    <cellStyle name="Normal 25 6 2 3 3 4" xfId="25819" xr:uid="{00000000-0005-0000-0000-0000D5640000}"/>
    <cellStyle name="Normal 25 6 2 3 3 5" xfId="25820" xr:uid="{00000000-0005-0000-0000-0000D6640000}"/>
    <cellStyle name="Normal 25 6 2 3 3 6" xfId="25821" xr:uid="{00000000-0005-0000-0000-0000D7640000}"/>
    <cellStyle name="Normal 25 6 2 3 4" xfId="25822" xr:uid="{00000000-0005-0000-0000-0000D8640000}"/>
    <cellStyle name="Normal 25 6 2 3 5" xfId="25823" xr:uid="{00000000-0005-0000-0000-0000D9640000}"/>
    <cellStyle name="Normal 25 6 2 3 6" xfId="25824" xr:uid="{00000000-0005-0000-0000-0000DA640000}"/>
    <cellStyle name="Normal 25 6 2 3 7" xfId="25825" xr:uid="{00000000-0005-0000-0000-0000DB640000}"/>
    <cellStyle name="Normal 25 6 2 3 8" xfId="25826" xr:uid="{00000000-0005-0000-0000-0000DC640000}"/>
    <cellStyle name="Normal 25 6 2 4" xfId="25827" xr:uid="{00000000-0005-0000-0000-0000DD640000}"/>
    <cellStyle name="Normal 25 6 2 4 2" xfId="25828" xr:uid="{00000000-0005-0000-0000-0000DE640000}"/>
    <cellStyle name="Normal 25 6 2 4 2 2" xfId="25829" xr:uid="{00000000-0005-0000-0000-0000DF640000}"/>
    <cellStyle name="Normal 25 6 2 4 2 3" xfId="25830" xr:uid="{00000000-0005-0000-0000-0000E0640000}"/>
    <cellStyle name="Normal 25 6 2 4 2 4" xfId="25831" xr:uid="{00000000-0005-0000-0000-0000E1640000}"/>
    <cellStyle name="Normal 25 6 2 4 2 5" xfId="25832" xr:uid="{00000000-0005-0000-0000-0000E2640000}"/>
    <cellStyle name="Normal 25 6 2 4 2 6" xfId="25833" xr:uid="{00000000-0005-0000-0000-0000E3640000}"/>
    <cellStyle name="Normal 25 6 2 4 3" xfId="25834" xr:uid="{00000000-0005-0000-0000-0000E4640000}"/>
    <cellStyle name="Normal 25 6 2 4 3 2" xfId="25835" xr:uid="{00000000-0005-0000-0000-0000E5640000}"/>
    <cellStyle name="Normal 25 6 2 4 3 3" xfId="25836" xr:uid="{00000000-0005-0000-0000-0000E6640000}"/>
    <cellStyle name="Normal 25 6 2 4 3 4" xfId="25837" xr:uid="{00000000-0005-0000-0000-0000E7640000}"/>
    <cellStyle name="Normal 25 6 2 4 3 5" xfId="25838" xr:uid="{00000000-0005-0000-0000-0000E8640000}"/>
    <cellStyle name="Normal 25 6 2 4 3 6" xfId="25839" xr:uid="{00000000-0005-0000-0000-0000E9640000}"/>
    <cellStyle name="Normal 25 6 2 4 4" xfId="25840" xr:uid="{00000000-0005-0000-0000-0000EA640000}"/>
    <cellStyle name="Normal 25 6 2 4 5" xfId="25841" xr:uid="{00000000-0005-0000-0000-0000EB640000}"/>
    <cellStyle name="Normal 25 6 2 4 6" xfId="25842" xr:uid="{00000000-0005-0000-0000-0000EC640000}"/>
    <cellStyle name="Normal 25 6 2 4 7" xfId="25843" xr:uid="{00000000-0005-0000-0000-0000ED640000}"/>
    <cellStyle name="Normal 25 6 2 4 8" xfId="25844" xr:uid="{00000000-0005-0000-0000-0000EE640000}"/>
    <cellStyle name="Normal 25 6 2 5" xfId="25845" xr:uid="{00000000-0005-0000-0000-0000EF640000}"/>
    <cellStyle name="Normal 25 6 2 5 2" xfId="25846" xr:uid="{00000000-0005-0000-0000-0000F0640000}"/>
    <cellStyle name="Normal 25 6 2 5 3" xfId="25847" xr:uid="{00000000-0005-0000-0000-0000F1640000}"/>
    <cellStyle name="Normal 25 6 2 5 4" xfId="25848" xr:uid="{00000000-0005-0000-0000-0000F2640000}"/>
    <cellStyle name="Normal 25 6 2 5 5" xfId="25849" xr:uid="{00000000-0005-0000-0000-0000F3640000}"/>
    <cellStyle name="Normal 25 6 2 5 6" xfId="25850" xr:uid="{00000000-0005-0000-0000-0000F4640000}"/>
    <cellStyle name="Normal 25 6 2 6" xfId="25851" xr:uid="{00000000-0005-0000-0000-0000F5640000}"/>
    <cellStyle name="Normal 25 6 2 6 2" xfId="25852" xr:uid="{00000000-0005-0000-0000-0000F6640000}"/>
    <cellStyle name="Normal 25 6 2 6 3" xfId="25853" xr:uid="{00000000-0005-0000-0000-0000F7640000}"/>
    <cellStyle name="Normal 25 6 2 6 4" xfId="25854" xr:uid="{00000000-0005-0000-0000-0000F8640000}"/>
    <cellStyle name="Normal 25 6 2 6 5" xfId="25855" xr:uid="{00000000-0005-0000-0000-0000F9640000}"/>
    <cellStyle name="Normal 25 6 2 6 6" xfId="25856" xr:uid="{00000000-0005-0000-0000-0000FA640000}"/>
    <cellStyle name="Normal 25 6 2 7" xfId="25857" xr:uid="{00000000-0005-0000-0000-0000FB640000}"/>
    <cellStyle name="Normal 25 6 2 8" xfId="25858" xr:uid="{00000000-0005-0000-0000-0000FC640000}"/>
    <cellStyle name="Normal 25 6 2 9" xfId="25859" xr:uid="{00000000-0005-0000-0000-0000FD640000}"/>
    <cellStyle name="Normal 25 6 3" xfId="25860" xr:uid="{00000000-0005-0000-0000-0000FE640000}"/>
    <cellStyle name="Normal 25 6 3 2" xfId="25861" xr:uid="{00000000-0005-0000-0000-0000FF640000}"/>
    <cellStyle name="Normal 25 6 3 2 2" xfId="25862" xr:uid="{00000000-0005-0000-0000-000000650000}"/>
    <cellStyle name="Normal 25 6 3 2 3" xfId="25863" xr:uid="{00000000-0005-0000-0000-000001650000}"/>
    <cellStyle name="Normal 25 6 3 2 4" xfId="25864" xr:uid="{00000000-0005-0000-0000-000002650000}"/>
    <cellStyle name="Normal 25 6 3 2 5" xfId="25865" xr:uid="{00000000-0005-0000-0000-000003650000}"/>
    <cellStyle name="Normal 25 6 3 2 6" xfId="25866" xr:uid="{00000000-0005-0000-0000-000004650000}"/>
    <cellStyle name="Normal 25 6 3 3" xfId="25867" xr:uid="{00000000-0005-0000-0000-000005650000}"/>
    <cellStyle name="Normal 25 6 3 3 2" xfId="25868" xr:uid="{00000000-0005-0000-0000-000006650000}"/>
    <cellStyle name="Normal 25 6 3 3 3" xfId="25869" xr:uid="{00000000-0005-0000-0000-000007650000}"/>
    <cellStyle name="Normal 25 6 3 3 4" xfId="25870" xr:uid="{00000000-0005-0000-0000-000008650000}"/>
    <cellStyle name="Normal 25 6 3 3 5" xfId="25871" xr:uid="{00000000-0005-0000-0000-000009650000}"/>
    <cellStyle name="Normal 25 6 3 3 6" xfId="25872" xr:uid="{00000000-0005-0000-0000-00000A650000}"/>
    <cellStyle name="Normal 25 6 3 4" xfId="25873" xr:uid="{00000000-0005-0000-0000-00000B650000}"/>
    <cellStyle name="Normal 25 6 3 5" xfId="25874" xr:uid="{00000000-0005-0000-0000-00000C650000}"/>
    <cellStyle name="Normal 25 6 3 6" xfId="25875" xr:uid="{00000000-0005-0000-0000-00000D650000}"/>
    <cellStyle name="Normal 25 6 3 7" xfId="25876" xr:uid="{00000000-0005-0000-0000-00000E650000}"/>
    <cellStyle name="Normal 25 6 3 8" xfId="25877" xr:uid="{00000000-0005-0000-0000-00000F650000}"/>
    <cellStyle name="Normal 25 6 4" xfId="25878" xr:uid="{00000000-0005-0000-0000-000010650000}"/>
    <cellStyle name="Normal 25 6 4 2" xfId="25879" xr:uid="{00000000-0005-0000-0000-000011650000}"/>
    <cellStyle name="Normal 25 6 4 2 2" xfId="25880" xr:uid="{00000000-0005-0000-0000-000012650000}"/>
    <cellStyle name="Normal 25 6 4 2 3" xfId="25881" xr:uid="{00000000-0005-0000-0000-000013650000}"/>
    <cellStyle name="Normal 25 6 4 2 4" xfId="25882" xr:uid="{00000000-0005-0000-0000-000014650000}"/>
    <cellStyle name="Normal 25 6 4 2 5" xfId="25883" xr:uid="{00000000-0005-0000-0000-000015650000}"/>
    <cellStyle name="Normal 25 6 4 2 6" xfId="25884" xr:uid="{00000000-0005-0000-0000-000016650000}"/>
    <cellStyle name="Normal 25 6 4 3" xfId="25885" xr:uid="{00000000-0005-0000-0000-000017650000}"/>
    <cellStyle name="Normal 25 6 4 3 2" xfId="25886" xr:uid="{00000000-0005-0000-0000-000018650000}"/>
    <cellStyle name="Normal 25 6 4 3 3" xfId="25887" xr:uid="{00000000-0005-0000-0000-000019650000}"/>
    <cellStyle name="Normal 25 6 4 3 4" xfId="25888" xr:uid="{00000000-0005-0000-0000-00001A650000}"/>
    <cellStyle name="Normal 25 6 4 3 5" xfId="25889" xr:uid="{00000000-0005-0000-0000-00001B650000}"/>
    <cellStyle name="Normal 25 6 4 3 6" xfId="25890" xr:uid="{00000000-0005-0000-0000-00001C650000}"/>
    <cellStyle name="Normal 25 6 4 4" xfId="25891" xr:uid="{00000000-0005-0000-0000-00001D650000}"/>
    <cellStyle name="Normal 25 6 4 5" xfId="25892" xr:uid="{00000000-0005-0000-0000-00001E650000}"/>
    <cellStyle name="Normal 25 6 4 6" xfId="25893" xr:uid="{00000000-0005-0000-0000-00001F650000}"/>
    <cellStyle name="Normal 25 6 4 7" xfId="25894" xr:uid="{00000000-0005-0000-0000-000020650000}"/>
    <cellStyle name="Normal 25 6 4 8" xfId="25895" xr:uid="{00000000-0005-0000-0000-000021650000}"/>
    <cellStyle name="Normal 25 6 5" xfId="25896" xr:uid="{00000000-0005-0000-0000-000022650000}"/>
    <cellStyle name="Normal 25 6 5 2" xfId="25897" xr:uid="{00000000-0005-0000-0000-000023650000}"/>
    <cellStyle name="Normal 25 6 5 2 2" xfId="25898" xr:uid="{00000000-0005-0000-0000-000024650000}"/>
    <cellStyle name="Normal 25 6 5 2 3" xfId="25899" xr:uid="{00000000-0005-0000-0000-000025650000}"/>
    <cellStyle name="Normal 25 6 5 2 4" xfId="25900" xr:uid="{00000000-0005-0000-0000-000026650000}"/>
    <cellStyle name="Normal 25 6 5 2 5" xfId="25901" xr:uid="{00000000-0005-0000-0000-000027650000}"/>
    <cellStyle name="Normal 25 6 5 2 6" xfId="25902" xr:uid="{00000000-0005-0000-0000-000028650000}"/>
    <cellStyle name="Normal 25 6 5 3" xfId="25903" xr:uid="{00000000-0005-0000-0000-000029650000}"/>
    <cellStyle name="Normal 25 6 5 3 2" xfId="25904" xr:uid="{00000000-0005-0000-0000-00002A650000}"/>
    <cellStyle name="Normal 25 6 5 3 3" xfId="25905" xr:uid="{00000000-0005-0000-0000-00002B650000}"/>
    <cellStyle name="Normal 25 6 5 3 4" xfId="25906" xr:uid="{00000000-0005-0000-0000-00002C650000}"/>
    <cellStyle name="Normal 25 6 5 3 5" xfId="25907" xr:uid="{00000000-0005-0000-0000-00002D650000}"/>
    <cellStyle name="Normal 25 6 5 3 6" xfId="25908" xr:uid="{00000000-0005-0000-0000-00002E650000}"/>
    <cellStyle name="Normal 25 6 5 4" xfId="25909" xr:uid="{00000000-0005-0000-0000-00002F650000}"/>
    <cellStyle name="Normal 25 6 5 5" xfId="25910" xr:uid="{00000000-0005-0000-0000-000030650000}"/>
    <cellStyle name="Normal 25 6 5 6" xfId="25911" xr:uid="{00000000-0005-0000-0000-000031650000}"/>
    <cellStyle name="Normal 25 6 5 7" xfId="25912" xr:uid="{00000000-0005-0000-0000-000032650000}"/>
    <cellStyle name="Normal 25 6 5 8" xfId="25913" xr:uid="{00000000-0005-0000-0000-000033650000}"/>
    <cellStyle name="Normal 25 6 6" xfId="25914" xr:uid="{00000000-0005-0000-0000-000034650000}"/>
    <cellStyle name="Normal 25 6 6 2" xfId="25915" xr:uid="{00000000-0005-0000-0000-000035650000}"/>
    <cellStyle name="Normal 25 6 6 3" xfId="25916" xr:uid="{00000000-0005-0000-0000-000036650000}"/>
    <cellStyle name="Normal 25 6 6 4" xfId="25917" xr:uid="{00000000-0005-0000-0000-000037650000}"/>
    <cellStyle name="Normal 25 6 6 5" xfId="25918" xr:uid="{00000000-0005-0000-0000-000038650000}"/>
    <cellStyle name="Normal 25 6 6 6" xfId="25919" xr:uid="{00000000-0005-0000-0000-000039650000}"/>
    <cellStyle name="Normal 25 6 7" xfId="25920" xr:uid="{00000000-0005-0000-0000-00003A650000}"/>
    <cellStyle name="Normal 25 6 7 2" xfId="25921" xr:uid="{00000000-0005-0000-0000-00003B650000}"/>
    <cellStyle name="Normal 25 6 7 3" xfId="25922" xr:uid="{00000000-0005-0000-0000-00003C650000}"/>
    <cellStyle name="Normal 25 6 7 4" xfId="25923" xr:uid="{00000000-0005-0000-0000-00003D650000}"/>
    <cellStyle name="Normal 25 6 7 5" xfId="25924" xr:uid="{00000000-0005-0000-0000-00003E650000}"/>
    <cellStyle name="Normal 25 6 7 6" xfId="25925" xr:uid="{00000000-0005-0000-0000-00003F650000}"/>
    <cellStyle name="Normal 25 6 8" xfId="25926" xr:uid="{00000000-0005-0000-0000-000040650000}"/>
    <cellStyle name="Normal 25 6 9" xfId="25927" xr:uid="{00000000-0005-0000-0000-000041650000}"/>
    <cellStyle name="Normal 25 7" xfId="25928" xr:uid="{00000000-0005-0000-0000-000042650000}"/>
    <cellStyle name="Normal 25 7 10" xfId="25929" xr:uid="{00000000-0005-0000-0000-000043650000}"/>
    <cellStyle name="Normal 25 7 11" xfId="25930" xr:uid="{00000000-0005-0000-0000-000044650000}"/>
    <cellStyle name="Normal 25 7 2" xfId="25931" xr:uid="{00000000-0005-0000-0000-000045650000}"/>
    <cellStyle name="Normal 25 7 2 2" xfId="25932" xr:uid="{00000000-0005-0000-0000-000046650000}"/>
    <cellStyle name="Normal 25 7 2 2 2" xfId="25933" xr:uid="{00000000-0005-0000-0000-000047650000}"/>
    <cellStyle name="Normal 25 7 2 2 3" xfId="25934" xr:uid="{00000000-0005-0000-0000-000048650000}"/>
    <cellStyle name="Normal 25 7 2 2 4" xfId="25935" xr:uid="{00000000-0005-0000-0000-000049650000}"/>
    <cellStyle name="Normal 25 7 2 2 5" xfId="25936" xr:uid="{00000000-0005-0000-0000-00004A650000}"/>
    <cellStyle name="Normal 25 7 2 2 6" xfId="25937" xr:uid="{00000000-0005-0000-0000-00004B650000}"/>
    <cellStyle name="Normal 25 7 2 3" xfId="25938" xr:uid="{00000000-0005-0000-0000-00004C650000}"/>
    <cellStyle name="Normal 25 7 2 3 2" xfId="25939" xr:uid="{00000000-0005-0000-0000-00004D650000}"/>
    <cellStyle name="Normal 25 7 2 3 3" xfId="25940" xr:uid="{00000000-0005-0000-0000-00004E650000}"/>
    <cellStyle name="Normal 25 7 2 3 4" xfId="25941" xr:uid="{00000000-0005-0000-0000-00004F650000}"/>
    <cellStyle name="Normal 25 7 2 3 5" xfId="25942" xr:uid="{00000000-0005-0000-0000-000050650000}"/>
    <cellStyle name="Normal 25 7 2 3 6" xfId="25943" xr:uid="{00000000-0005-0000-0000-000051650000}"/>
    <cellStyle name="Normal 25 7 2 4" xfId="25944" xr:uid="{00000000-0005-0000-0000-000052650000}"/>
    <cellStyle name="Normal 25 7 2 5" xfId="25945" xr:uid="{00000000-0005-0000-0000-000053650000}"/>
    <cellStyle name="Normal 25 7 2 6" xfId="25946" xr:uid="{00000000-0005-0000-0000-000054650000}"/>
    <cellStyle name="Normal 25 7 2 7" xfId="25947" xr:uid="{00000000-0005-0000-0000-000055650000}"/>
    <cellStyle name="Normal 25 7 2 8" xfId="25948" xr:uid="{00000000-0005-0000-0000-000056650000}"/>
    <cellStyle name="Normal 25 7 3" xfId="25949" xr:uid="{00000000-0005-0000-0000-000057650000}"/>
    <cellStyle name="Normal 25 7 3 2" xfId="25950" xr:uid="{00000000-0005-0000-0000-000058650000}"/>
    <cellStyle name="Normal 25 7 3 2 2" xfId="25951" xr:uid="{00000000-0005-0000-0000-000059650000}"/>
    <cellStyle name="Normal 25 7 3 2 3" xfId="25952" xr:uid="{00000000-0005-0000-0000-00005A650000}"/>
    <cellStyle name="Normal 25 7 3 2 4" xfId="25953" xr:uid="{00000000-0005-0000-0000-00005B650000}"/>
    <cellStyle name="Normal 25 7 3 2 5" xfId="25954" xr:uid="{00000000-0005-0000-0000-00005C650000}"/>
    <cellStyle name="Normal 25 7 3 2 6" xfId="25955" xr:uid="{00000000-0005-0000-0000-00005D650000}"/>
    <cellStyle name="Normal 25 7 3 3" xfId="25956" xr:uid="{00000000-0005-0000-0000-00005E650000}"/>
    <cellStyle name="Normal 25 7 3 3 2" xfId="25957" xr:uid="{00000000-0005-0000-0000-00005F650000}"/>
    <cellStyle name="Normal 25 7 3 3 3" xfId="25958" xr:uid="{00000000-0005-0000-0000-000060650000}"/>
    <cellStyle name="Normal 25 7 3 3 4" xfId="25959" xr:uid="{00000000-0005-0000-0000-000061650000}"/>
    <cellStyle name="Normal 25 7 3 3 5" xfId="25960" xr:uid="{00000000-0005-0000-0000-000062650000}"/>
    <cellStyle name="Normal 25 7 3 3 6" xfId="25961" xr:uid="{00000000-0005-0000-0000-000063650000}"/>
    <cellStyle name="Normal 25 7 3 4" xfId="25962" xr:uid="{00000000-0005-0000-0000-000064650000}"/>
    <cellStyle name="Normal 25 7 3 5" xfId="25963" xr:uid="{00000000-0005-0000-0000-000065650000}"/>
    <cellStyle name="Normal 25 7 3 6" xfId="25964" xr:uid="{00000000-0005-0000-0000-000066650000}"/>
    <cellStyle name="Normal 25 7 3 7" xfId="25965" xr:uid="{00000000-0005-0000-0000-000067650000}"/>
    <cellStyle name="Normal 25 7 3 8" xfId="25966" xr:uid="{00000000-0005-0000-0000-000068650000}"/>
    <cellStyle name="Normal 25 7 4" xfId="25967" xr:uid="{00000000-0005-0000-0000-000069650000}"/>
    <cellStyle name="Normal 25 7 4 2" xfId="25968" xr:uid="{00000000-0005-0000-0000-00006A650000}"/>
    <cellStyle name="Normal 25 7 4 2 2" xfId="25969" xr:uid="{00000000-0005-0000-0000-00006B650000}"/>
    <cellStyle name="Normal 25 7 4 2 3" xfId="25970" xr:uid="{00000000-0005-0000-0000-00006C650000}"/>
    <cellStyle name="Normal 25 7 4 2 4" xfId="25971" xr:uid="{00000000-0005-0000-0000-00006D650000}"/>
    <cellStyle name="Normal 25 7 4 2 5" xfId="25972" xr:uid="{00000000-0005-0000-0000-00006E650000}"/>
    <cellStyle name="Normal 25 7 4 2 6" xfId="25973" xr:uid="{00000000-0005-0000-0000-00006F650000}"/>
    <cellStyle name="Normal 25 7 4 3" xfId="25974" xr:uid="{00000000-0005-0000-0000-000070650000}"/>
    <cellStyle name="Normal 25 7 4 3 2" xfId="25975" xr:uid="{00000000-0005-0000-0000-000071650000}"/>
    <cellStyle name="Normal 25 7 4 3 3" xfId="25976" xr:uid="{00000000-0005-0000-0000-000072650000}"/>
    <cellStyle name="Normal 25 7 4 3 4" xfId="25977" xr:uid="{00000000-0005-0000-0000-000073650000}"/>
    <cellStyle name="Normal 25 7 4 3 5" xfId="25978" xr:uid="{00000000-0005-0000-0000-000074650000}"/>
    <cellStyle name="Normal 25 7 4 3 6" xfId="25979" xr:uid="{00000000-0005-0000-0000-000075650000}"/>
    <cellStyle name="Normal 25 7 4 4" xfId="25980" xr:uid="{00000000-0005-0000-0000-000076650000}"/>
    <cellStyle name="Normal 25 7 4 5" xfId="25981" xr:uid="{00000000-0005-0000-0000-000077650000}"/>
    <cellStyle name="Normal 25 7 4 6" xfId="25982" xr:uid="{00000000-0005-0000-0000-000078650000}"/>
    <cellStyle name="Normal 25 7 4 7" xfId="25983" xr:uid="{00000000-0005-0000-0000-000079650000}"/>
    <cellStyle name="Normal 25 7 4 8" xfId="25984" xr:uid="{00000000-0005-0000-0000-00007A650000}"/>
    <cellStyle name="Normal 25 7 5" xfId="25985" xr:uid="{00000000-0005-0000-0000-00007B650000}"/>
    <cellStyle name="Normal 25 7 5 2" xfId="25986" xr:uid="{00000000-0005-0000-0000-00007C650000}"/>
    <cellStyle name="Normal 25 7 5 3" xfId="25987" xr:uid="{00000000-0005-0000-0000-00007D650000}"/>
    <cellStyle name="Normal 25 7 5 4" xfId="25988" xr:uid="{00000000-0005-0000-0000-00007E650000}"/>
    <cellStyle name="Normal 25 7 5 5" xfId="25989" xr:uid="{00000000-0005-0000-0000-00007F650000}"/>
    <cellStyle name="Normal 25 7 5 6" xfId="25990" xr:uid="{00000000-0005-0000-0000-000080650000}"/>
    <cellStyle name="Normal 25 7 6" xfId="25991" xr:uid="{00000000-0005-0000-0000-000081650000}"/>
    <cellStyle name="Normal 25 7 6 2" xfId="25992" xr:uid="{00000000-0005-0000-0000-000082650000}"/>
    <cellStyle name="Normal 25 7 6 3" xfId="25993" xr:uid="{00000000-0005-0000-0000-000083650000}"/>
    <cellStyle name="Normal 25 7 6 4" xfId="25994" xr:uid="{00000000-0005-0000-0000-000084650000}"/>
    <cellStyle name="Normal 25 7 6 5" xfId="25995" xr:uid="{00000000-0005-0000-0000-000085650000}"/>
    <cellStyle name="Normal 25 7 6 6" xfId="25996" xr:uid="{00000000-0005-0000-0000-000086650000}"/>
    <cellStyle name="Normal 25 7 7" xfId="25997" xr:uid="{00000000-0005-0000-0000-000087650000}"/>
    <cellStyle name="Normal 25 7 8" xfId="25998" xr:uid="{00000000-0005-0000-0000-000088650000}"/>
    <cellStyle name="Normal 25 7 9" xfId="25999" xr:uid="{00000000-0005-0000-0000-000089650000}"/>
    <cellStyle name="Normal 25 8" xfId="26000" xr:uid="{00000000-0005-0000-0000-00008A650000}"/>
    <cellStyle name="Normal 25 8 2" xfId="26001" xr:uid="{00000000-0005-0000-0000-00008B650000}"/>
    <cellStyle name="Normal 25 8 2 2" xfId="26002" xr:uid="{00000000-0005-0000-0000-00008C650000}"/>
    <cellStyle name="Normal 25 8 2 3" xfId="26003" xr:uid="{00000000-0005-0000-0000-00008D650000}"/>
    <cellStyle name="Normal 25 8 2 4" xfId="26004" xr:uid="{00000000-0005-0000-0000-00008E650000}"/>
    <cellStyle name="Normal 25 8 2 5" xfId="26005" xr:uid="{00000000-0005-0000-0000-00008F650000}"/>
    <cellStyle name="Normal 25 8 2 6" xfId="26006" xr:uid="{00000000-0005-0000-0000-000090650000}"/>
    <cellStyle name="Normal 25 8 3" xfId="26007" xr:uid="{00000000-0005-0000-0000-000091650000}"/>
    <cellStyle name="Normal 25 8 3 2" xfId="26008" xr:uid="{00000000-0005-0000-0000-000092650000}"/>
    <cellStyle name="Normal 25 8 3 3" xfId="26009" xr:uid="{00000000-0005-0000-0000-000093650000}"/>
    <cellStyle name="Normal 25 8 3 4" xfId="26010" xr:uid="{00000000-0005-0000-0000-000094650000}"/>
    <cellStyle name="Normal 25 8 3 5" xfId="26011" xr:uid="{00000000-0005-0000-0000-000095650000}"/>
    <cellStyle name="Normal 25 8 3 6" xfId="26012" xr:uid="{00000000-0005-0000-0000-000096650000}"/>
    <cellStyle name="Normal 25 8 4" xfId="26013" xr:uid="{00000000-0005-0000-0000-000097650000}"/>
    <cellStyle name="Normal 25 8 5" xfId="26014" xr:uid="{00000000-0005-0000-0000-000098650000}"/>
    <cellStyle name="Normal 25 8 6" xfId="26015" xr:uid="{00000000-0005-0000-0000-000099650000}"/>
    <cellStyle name="Normal 25 8 7" xfId="26016" xr:uid="{00000000-0005-0000-0000-00009A650000}"/>
    <cellStyle name="Normal 25 8 8" xfId="26017" xr:uid="{00000000-0005-0000-0000-00009B650000}"/>
    <cellStyle name="Normal 25 9" xfId="26018" xr:uid="{00000000-0005-0000-0000-00009C650000}"/>
    <cellStyle name="Normal 25 9 2" xfId="26019" xr:uid="{00000000-0005-0000-0000-00009D650000}"/>
    <cellStyle name="Normal 25 9 2 2" xfId="26020" xr:uid="{00000000-0005-0000-0000-00009E650000}"/>
    <cellStyle name="Normal 25 9 2 3" xfId="26021" xr:uid="{00000000-0005-0000-0000-00009F650000}"/>
    <cellStyle name="Normal 25 9 2 4" xfId="26022" xr:uid="{00000000-0005-0000-0000-0000A0650000}"/>
    <cellStyle name="Normal 25 9 2 5" xfId="26023" xr:uid="{00000000-0005-0000-0000-0000A1650000}"/>
    <cellStyle name="Normal 25 9 2 6" xfId="26024" xr:uid="{00000000-0005-0000-0000-0000A2650000}"/>
    <cellStyle name="Normal 25 9 3" xfId="26025" xr:uid="{00000000-0005-0000-0000-0000A3650000}"/>
    <cellStyle name="Normal 25 9 3 2" xfId="26026" xr:uid="{00000000-0005-0000-0000-0000A4650000}"/>
    <cellStyle name="Normal 25 9 3 3" xfId="26027" xr:uid="{00000000-0005-0000-0000-0000A5650000}"/>
    <cellStyle name="Normal 25 9 3 4" xfId="26028" xr:uid="{00000000-0005-0000-0000-0000A6650000}"/>
    <cellStyle name="Normal 25 9 3 5" xfId="26029" xr:uid="{00000000-0005-0000-0000-0000A7650000}"/>
    <cellStyle name="Normal 25 9 3 6" xfId="26030" xr:uid="{00000000-0005-0000-0000-0000A8650000}"/>
    <cellStyle name="Normal 25 9 4" xfId="26031" xr:uid="{00000000-0005-0000-0000-0000A9650000}"/>
    <cellStyle name="Normal 25 9 5" xfId="26032" xr:uid="{00000000-0005-0000-0000-0000AA650000}"/>
    <cellStyle name="Normal 25 9 6" xfId="26033" xr:uid="{00000000-0005-0000-0000-0000AB650000}"/>
    <cellStyle name="Normal 25 9 7" xfId="26034" xr:uid="{00000000-0005-0000-0000-0000AC650000}"/>
    <cellStyle name="Normal 25 9 8" xfId="26035" xr:uid="{00000000-0005-0000-0000-0000AD650000}"/>
    <cellStyle name="Normal 26" xfId="26036" xr:uid="{00000000-0005-0000-0000-0000AE650000}"/>
    <cellStyle name="Normal 26 10" xfId="26037" xr:uid="{00000000-0005-0000-0000-0000AF650000}"/>
    <cellStyle name="Normal 26 10 2" xfId="26038" xr:uid="{00000000-0005-0000-0000-0000B0650000}"/>
    <cellStyle name="Normal 26 10 2 2" xfId="26039" xr:uid="{00000000-0005-0000-0000-0000B1650000}"/>
    <cellStyle name="Normal 26 10 2 3" xfId="26040" xr:uid="{00000000-0005-0000-0000-0000B2650000}"/>
    <cellStyle name="Normal 26 10 2 4" xfId="26041" xr:uid="{00000000-0005-0000-0000-0000B3650000}"/>
    <cellStyle name="Normal 26 10 2 5" xfId="26042" xr:uid="{00000000-0005-0000-0000-0000B4650000}"/>
    <cellStyle name="Normal 26 10 2 6" xfId="26043" xr:uid="{00000000-0005-0000-0000-0000B5650000}"/>
    <cellStyle name="Normal 26 10 3" xfId="26044" xr:uid="{00000000-0005-0000-0000-0000B6650000}"/>
    <cellStyle name="Normal 26 10 3 2" xfId="26045" xr:uid="{00000000-0005-0000-0000-0000B7650000}"/>
    <cellStyle name="Normal 26 10 3 3" xfId="26046" xr:uid="{00000000-0005-0000-0000-0000B8650000}"/>
    <cellStyle name="Normal 26 10 3 4" xfId="26047" xr:uid="{00000000-0005-0000-0000-0000B9650000}"/>
    <cellStyle name="Normal 26 10 3 5" xfId="26048" xr:uid="{00000000-0005-0000-0000-0000BA650000}"/>
    <cellStyle name="Normal 26 10 3 6" xfId="26049" xr:uid="{00000000-0005-0000-0000-0000BB650000}"/>
    <cellStyle name="Normal 26 10 4" xfId="26050" xr:uid="{00000000-0005-0000-0000-0000BC650000}"/>
    <cellStyle name="Normal 26 10 5" xfId="26051" xr:uid="{00000000-0005-0000-0000-0000BD650000}"/>
    <cellStyle name="Normal 26 10 6" xfId="26052" xr:uid="{00000000-0005-0000-0000-0000BE650000}"/>
    <cellStyle name="Normal 26 10 7" xfId="26053" xr:uid="{00000000-0005-0000-0000-0000BF650000}"/>
    <cellStyle name="Normal 26 10 8" xfId="26054" xr:uid="{00000000-0005-0000-0000-0000C0650000}"/>
    <cellStyle name="Normal 26 11" xfId="26055" xr:uid="{00000000-0005-0000-0000-0000C1650000}"/>
    <cellStyle name="Normal 26 11 2" xfId="26056" xr:uid="{00000000-0005-0000-0000-0000C2650000}"/>
    <cellStyle name="Normal 26 11 3" xfId="26057" xr:uid="{00000000-0005-0000-0000-0000C3650000}"/>
    <cellStyle name="Normal 26 11 4" xfId="26058" xr:uid="{00000000-0005-0000-0000-0000C4650000}"/>
    <cellStyle name="Normal 26 11 5" xfId="26059" xr:uid="{00000000-0005-0000-0000-0000C5650000}"/>
    <cellStyle name="Normal 26 11 6" xfId="26060" xr:uid="{00000000-0005-0000-0000-0000C6650000}"/>
    <cellStyle name="Normal 26 12" xfId="26061" xr:uid="{00000000-0005-0000-0000-0000C7650000}"/>
    <cellStyle name="Normal 26 12 2" xfId="26062" xr:uid="{00000000-0005-0000-0000-0000C8650000}"/>
    <cellStyle name="Normal 26 12 3" xfId="26063" xr:uid="{00000000-0005-0000-0000-0000C9650000}"/>
    <cellStyle name="Normal 26 12 4" xfId="26064" xr:uid="{00000000-0005-0000-0000-0000CA650000}"/>
    <cellStyle name="Normal 26 12 5" xfId="26065" xr:uid="{00000000-0005-0000-0000-0000CB650000}"/>
    <cellStyle name="Normal 26 12 6" xfId="26066" xr:uid="{00000000-0005-0000-0000-0000CC650000}"/>
    <cellStyle name="Normal 26 13" xfId="26067" xr:uid="{00000000-0005-0000-0000-0000CD650000}"/>
    <cellStyle name="Normal 26 14" xfId="26068" xr:uid="{00000000-0005-0000-0000-0000CE650000}"/>
    <cellStyle name="Normal 26 15" xfId="26069" xr:uid="{00000000-0005-0000-0000-0000CF650000}"/>
    <cellStyle name="Normal 26 16" xfId="26070" xr:uid="{00000000-0005-0000-0000-0000D0650000}"/>
    <cellStyle name="Normal 26 17" xfId="26071" xr:uid="{00000000-0005-0000-0000-0000D1650000}"/>
    <cellStyle name="Normal 26 2" xfId="26072" xr:uid="{00000000-0005-0000-0000-0000D2650000}"/>
    <cellStyle name="Normal 26 2 10" xfId="26073" xr:uid="{00000000-0005-0000-0000-0000D3650000}"/>
    <cellStyle name="Normal 26 2 10 2" xfId="26074" xr:uid="{00000000-0005-0000-0000-0000D4650000}"/>
    <cellStyle name="Normal 26 2 10 3" xfId="26075" xr:uid="{00000000-0005-0000-0000-0000D5650000}"/>
    <cellStyle name="Normal 26 2 10 4" xfId="26076" xr:uid="{00000000-0005-0000-0000-0000D6650000}"/>
    <cellStyle name="Normal 26 2 10 5" xfId="26077" xr:uid="{00000000-0005-0000-0000-0000D7650000}"/>
    <cellStyle name="Normal 26 2 10 6" xfId="26078" xr:uid="{00000000-0005-0000-0000-0000D8650000}"/>
    <cellStyle name="Normal 26 2 11" xfId="26079" xr:uid="{00000000-0005-0000-0000-0000D9650000}"/>
    <cellStyle name="Normal 26 2 12" xfId="26080" xr:uid="{00000000-0005-0000-0000-0000DA650000}"/>
    <cellStyle name="Normal 26 2 13" xfId="26081" xr:uid="{00000000-0005-0000-0000-0000DB650000}"/>
    <cellStyle name="Normal 26 2 14" xfId="26082" xr:uid="{00000000-0005-0000-0000-0000DC650000}"/>
    <cellStyle name="Normal 26 2 15" xfId="26083" xr:uid="{00000000-0005-0000-0000-0000DD650000}"/>
    <cellStyle name="Normal 26 2 2" xfId="26084" xr:uid="{00000000-0005-0000-0000-0000DE650000}"/>
    <cellStyle name="Normal 26 2 2 10" xfId="26085" xr:uid="{00000000-0005-0000-0000-0000DF650000}"/>
    <cellStyle name="Normal 26 2 2 11" xfId="26086" xr:uid="{00000000-0005-0000-0000-0000E0650000}"/>
    <cellStyle name="Normal 26 2 2 12" xfId="26087" xr:uid="{00000000-0005-0000-0000-0000E1650000}"/>
    <cellStyle name="Normal 26 2 2 13" xfId="26088" xr:uid="{00000000-0005-0000-0000-0000E2650000}"/>
    <cellStyle name="Normal 26 2 2 14" xfId="26089" xr:uid="{00000000-0005-0000-0000-0000E3650000}"/>
    <cellStyle name="Normal 26 2 2 2" xfId="26090" xr:uid="{00000000-0005-0000-0000-0000E4650000}"/>
    <cellStyle name="Normal 26 2 2 2 10" xfId="26091" xr:uid="{00000000-0005-0000-0000-0000E5650000}"/>
    <cellStyle name="Normal 26 2 2 2 11" xfId="26092" xr:uid="{00000000-0005-0000-0000-0000E6650000}"/>
    <cellStyle name="Normal 26 2 2 2 12" xfId="26093" xr:uid="{00000000-0005-0000-0000-0000E7650000}"/>
    <cellStyle name="Normal 26 2 2 2 2" xfId="26094" xr:uid="{00000000-0005-0000-0000-0000E8650000}"/>
    <cellStyle name="Normal 26 2 2 2 2 10" xfId="26095" xr:uid="{00000000-0005-0000-0000-0000E9650000}"/>
    <cellStyle name="Normal 26 2 2 2 2 11" xfId="26096" xr:uid="{00000000-0005-0000-0000-0000EA650000}"/>
    <cellStyle name="Normal 26 2 2 2 2 2" xfId="26097" xr:uid="{00000000-0005-0000-0000-0000EB650000}"/>
    <cellStyle name="Normal 26 2 2 2 2 2 2" xfId="26098" xr:uid="{00000000-0005-0000-0000-0000EC650000}"/>
    <cellStyle name="Normal 26 2 2 2 2 2 2 2" xfId="26099" xr:uid="{00000000-0005-0000-0000-0000ED650000}"/>
    <cellStyle name="Normal 26 2 2 2 2 2 2 3" xfId="26100" xr:uid="{00000000-0005-0000-0000-0000EE650000}"/>
    <cellStyle name="Normal 26 2 2 2 2 2 2 4" xfId="26101" xr:uid="{00000000-0005-0000-0000-0000EF650000}"/>
    <cellStyle name="Normal 26 2 2 2 2 2 2 5" xfId="26102" xr:uid="{00000000-0005-0000-0000-0000F0650000}"/>
    <cellStyle name="Normal 26 2 2 2 2 2 2 6" xfId="26103" xr:uid="{00000000-0005-0000-0000-0000F1650000}"/>
    <cellStyle name="Normal 26 2 2 2 2 2 3" xfId="26104" xr:uid="{00000000-0005-0000-0000-0000F2650000}"/>
    <cellStyle name="Normal 26 2 2 2 2 2 3 2" xfId="26105" xr:uid="{00000000-0005-0000-0000-0000F3650000}"/>
    <cellStyle name="Normal 26 2 2 2 2 2 3 3" xfId="26106" xr:uid="{00000000-0005-0000-0000-0000F4650000}"/>
    <cellStyle name="Normal 26 2 2 2 2 2 3 4" xfId="26107" xr:uid="{00000000-0005-0000-0000-0000F5650000}"/>
    <cellStyle name="Normal 26 2 2 2 2 2 3 5" xfId="26108" xr:uid="{00000000-0005-0000-0000-0000F6650000}"/>
    <cellStyle name="Normal 26 2 2 2 2 2 3 6" xfId="26109" xr:uid="{00000000-0005-0000-0000-0000F7650000}"/>
    <cellStyle name="Normal 26 2 2 2 2 2 4" xfId="26110" xr:uid="{00000000-0005-0000-0000-0000F8650000}"/>
    <cellStyle name="Normal 26 2 2 2 2 2 5" xfId="26111" xr:uid="{00000000-0005-0000-0000-0000F9650000}"/>
    <cellStyle name="Normal 26 2 2 2 2 2 6" xfId="26112" xr:uid="{00000000-0005-0000-0000-0000FA650000}"/>
    <cellStyle name="Normal 26 2 2 2 2 2 7" xfId="26113" xr:uid="{00000000-0005-0000-0000-0000FB650000}"/>
    <cellStyle name="Normal 26 2 2 2 2 2 8" xfId="26114" xr:uid="{00000000-0005-0000-0000-0000FC650000}"/>
    <cellStyle name="Normal 26 2 2 2 2 3" xfId="26115" xr:uid="{00000000-0005-0000-0000-0000FD650000}"/>
    <cellStyle name="Normal 26 2 2 2 2 3 2" xfId="26116" xr:uid="{00000000-0005-0000-0000-0000FE650000}"/>
    <cellStyle name="Normal 26 2 2 2 2 3 2 2" xfId="26117" xr:uid="{00000000-0005-0000-0000-0000FF650000}"/>
    <cellStyle name="Normal 26 2 2 2 2 3 2 3" xfId="26118" xr:uid="{00000000-0005-0000-0000-000000660000}"/>
    <cellStyle name="Normal 26 2 2 2 2 3 2 4" xfId="26119" xr:uid="{00000000-0005-0000-0000-000001660000}"/>
    <cellStyle name="Normal 26 2 2 2 2 3 2 5" xfId="26120" xr:uid="{00000000-0005-0000-0000-000002660000}"/>
    <cellStyle name="Normal 26 2 2 2 2 3 2 6" xfId="26121" xr:uid="{00000000-0005-0000-0000-000003660000}"/>
    <cellStyle name="Normal 26 2 2 2 2 3 3" xfId="26122" xr:uid="{00000000-0005-0000-0000-000004660000}"/>
    <cellStyle name="Normal 26 2 2 2 2 3 3 2" xfId="26123" xr:uid="{00000000-0005-0000-0000-000005660000}"/>
    <cellStyle name="Normal 26 2 2 2 2 3 3 3" xfId="26124" xr:uid="{00000000-0005-0000-0000-000006660000}"/>
    <cellStyle name="Normal 26 2 2 2 2 3 3 4" xfId="26125" xr:uid="{00000000-0005-0000-0000-000007660000}"/>
    <cellStyle name="Normal 26 2 2 2 2 3 3 5" xfId="26126" xr:uid="{00000000-0005-0000-0000-000008660000}"/>
    <cellStyle name="Normal 26 2 2 2 2 3 3 6" xfId="26127" xr:uid="{00000000-0005-0000-0000-000009660000}"/>
    <cellStyle name="Normal 26 2 2 2 2 3 4" xfId="26128" xr:uid="{00000000-0005-0000-0000-00000A660000}"/>
    <cellStyle name="Normal 26 2 2 2 2 3 5" xfId="26129" xr:uid="{00000000-0005-0000-0000-00000B660000}"/>
    <cellStyle name="Normal 26 2 2 2 2 3 6" xfId="26130" xr:uid="{00000000-0005-0000-0000-00000C660000}"/>
    <cellStyle name="Normal 26 2 2 2 2 3 7" xfId="26131" xr:uid="{00000000-0005-0000-0000-00000D660000}"/>
    <cellStyle name="Normal 26 2 2 2 2 3 8" xfId="26132" xr:uid="{00000000-0005-0000-0000-00000E660000}"/>
    <cellStyle name="Normal 26 2 2 2 2 4" xfId="26133" xr:uid="{00000000-0005-0000-0000-00000F660000}"/>
    <cellStyle name="Normal 26 2 2 2 2 4 2" xfId="26134" xr:uid="{00000000-0005-0000-0000-000010660000}"/>
    <cellStyle name="Normal 26 2 2 2 2 4 2 2" xfId="26135" xr:uid="{00000000-0005-0000-0000-000011660000}"/>
    <cellStyle name="Normal 26 2 2 2 2 4 2 3" xfId="26136" xr:uid="{00000000-0005-0000-0000-000012660000}"/>
    <cellStyle name="Normal 26 2 2 2 2 4 2 4" xfId="26137" xr:uid="{00000000-0005-0000-0000-000013660000}"/>
    <cellStyle name="Normal 26 2 2 2 2 4 2 5" xfId="26138" xr:uid="{00000000-0005-0000-0000-000014660000}"/>
    <cellStyle name="Normal 26 2 2 2 2 4 2 6" xfId="26139" xr:uid="{00000000-0005-0000-0000-000015660000}"/>
    <cellStyle name="Normal 26 2 2 2 2 4 3" xfId="26140" xr:uid="{00000000-0005-0000-0000-000016660000}"/>
    <cellStyle name="Normal 26 2 2 2 2 4 3 2" xfId="26141" xr:uid="{00000000-0005-0000-0000-000017660000}"/>
    <cellStyle name="Normal 26 2 2 2 2 4 3 3" xfId="26142" xr:uid="{00000000-0005-0000-0000-000018660000}"/>
    <cellStyle name="Normal 26 2 2 2 2 4 3 4" xfId="26143" xr:uid="{00000000-0005-0000-0000-000019660000}"/>
    <cellStyle name="Normal 26 2 2 2 2 4 3 5" xfId="26144" xr:uid="{00000000-0005-0000-0000-00001A660000}"/>
    <cellStyle name="Normal 26 2 2 2 2 4 3 6" xfId="26145" xr:uid="{00000000-0005-0000-0000-00001B660000}"/>
    <cellStyle name="Normal 26 2 2 2 2 4 4" xfId="26146" xr:uid="{00000000-0005-0000-0000-00001C660000}"/>
    <cellStyle name="Normal 26 2 2 2 2 4 5" xfId="26147" xr:uid="{00000000-0005-0000-0000-00001D660000}"/>
    <cellStyle name="Normal 26 2 2 2 2 4 6" xfId="26148" xr:uid="{00000000-0005-0000-0000-00001E660000}"/>
    <cellStyle name="Normal 26 2 2 2 2 4 7" xfId="26149" xr:uid="{00000000-0005-0000-0000-00001F660000}"/>
    <cellStyle name="Normal 26 2 2 2 2 4 8" xfId="26150" xr:uid="{00000000-0005-0000-0000-000020660000}"/>
    <cellStyle name="Normal 26 2 2 2 2 5" xfId="26151" xr:uid="{00000000-0005-0000-0000-000021660000}"/>
    <cellStyle name="Normal 26 2 2 2 2 5 2" xfId="26152" xr:uid="{00000000-0005-0000-0000-000022660000}"/>
    <cellStyle name="Normal 26 2 2 2 2 5 3" xfId="26153" xr:uid="{00000000-0005-0000-0000-000023660000}"/>
    <cellStyle name="Normal 26 2 2 2 2 5 4" xfId="26154" xr:uid="{00000000-0005-0000-0000-000024660000}"/>
    <cellStyle name="Normal 26 2 2 2 2 5 5" xfId="26155" xr:uid="{00000000-0005-0000-0000-000025660000}"/>
    <cellStyle name="Normal 26 2 2 2 2 5 6" xfId="26156" xr:uid="{00000000-0005-0000-0000-000026660000}"/>
    <cellStyle name="Normal 26 2 2 2 2 6" xfId="26157" xr:uid="{00000000-0005-0000-0000-000027660000}"/>
    <cellStyle name="Normal 26 2 2 2 2 6 2" xfId="26158" xr:uid="{00000000-0005-0000-0000-000028660000}"/>
    <cellStyle name="Normal 26 2 2 2 2 6 3" xfId="26159" xr:uid="{00000000-0005-0000-0000-000029660000}"/>
    <cellStyle name="Normal 26 2 2 2 2 6 4" xfId="26160" xr:uid="{00000000-0005-0000-0000-00002A660000}"/>
    <cellStyle name="Normal 26 2 2 2 2 6 5" xfId="26161" xr:uid="{00000000-0005-0000-0000-00002B660000}"/>
    <cellStyle name="Normal 26 2 2 2 2 6 6" xfId="26162" xr:uid="{00000000-0005-0000-0000-00002C660000}"/>
    <cellStyle name="Normal 26 2 2 2 2 7" xfId="26163" xr:uid="{00000000-0005-0000-0000-00002D660000}"/>
    <cellStyle name="Normal 26 2 2 2 2 8" xfId="26164" xr:uid="{00000000-0005-0000-0000-00002E660000}"/>
    <cellStyle name="Normal 26 2 2 2 2 9" xfId="26165" xr:uid="{00000000-0005-0000-0000-00002F660000}"/>
    <cellStyle name="Normal 26 2 2 2 3" xfId="26166" xr:uid="{00000000-0005-0000-0000-000030660000}"/>
    <cellStyle name="Normal 26 2 2 2 3 2" xfId="26167" xr:uid="{00000000-0005-0000-0000-000031660000}"/>
    <cellStyle name="Normal 26 2 2 2 3 2 2" xfId="26168" xr:uid="{00000000-0005-0000-0000-000032660000}"/>
    <cellStyle name="Normal 26 2 2 2 3 2 3" xfId="26169" xr:uid="{00000000-0005-0000-0000-000033660000}"/>
    <cellStyle name="Normal 26 2 2 2 3 2 4" xfId="26170" xr:uid="{00000000-0005-0000-0000-000034660000}"/>
    <cellStyle name="Normal 26 2 2 2 3 2 5" xfId="26171" xr:uid="{00000000-0005-0000-0000-000035660000}"/>
    <cellStyle name="Normal 26 2 2 2 3 2 6" xfId="26172" xr:uid="{00000000-0005-0000-0000-000036660000}"/>
    <cellStyle name="Normal 26 2 2 2 3 3" xfId="26173" xr:uid="{00000000-0005-0000-0000-000037660000}"/>
    <cellStyle name="Normal 26 2 2 2 3 3 2" xfId="26174" xr:uid="{00000000-0005-0000-0000-000038660000}"/>
    <cellStyle name="Normal 26 2 2 2 3 3 3" xfId="26175" xr:uid="{00000000-0005-0000-0000-000039660000}"/>
    <cellStyle name="Normal 26 2 2 2 3 3 4" xfId="26176" xr:uid="{00000000-0005-0000-0000-00003A660000}"/>
    <cellStyle name="Normal 26 2 2 2 3 3 5" xfId="26177" xr:uid="{00000000-0005-0000-0000-00003B660000}"/>
    <cellStyle name="Normal 26 2 2 2 3 3 6" xfId="26178" xr:uid="{00000000-0005-0000-0000-00003C660000}"/>
    <cellStyle name="Normal 26 2 2 2 3 4" xfId="26179" xr:uid="{00000000-0005-0000-0000-00003D660000}"/>
    <cellStyle name="Normal 26 2 2 2 3 5" xfId="26180" xr:uid="{00000000-0005-0000-0000-00003E660000}"/>
    <cellStyle name="Normal 26 2 2 2 3 6" xfId="26181" xr:uid="{00000000-0005-0000-0000-00003F660000}"/>
    <cellStyle name="Normal 26 2 2 2 3 7" xfId="26182" xr:uid="{00000000-0005-0000-0000-000040660000}"/>
    <cellStyle name="Normal 26 2 2 2 3 8" xfId="26183" xr:uid="{00000000-0005-0000-0000-000041660000}"/>
    <cellStyle name="Normal 26 2 2 2 4" xfId="26184" xr:uid="{00000000-0005-0000-0000-000042660000}"/>
    <cellStyle name="Normal 26 2 2 2 4 2" xfId="26185" xr:uid="{00000000-0005-0000-0000-000043660000}"/>
    <cellStyle name="Normal 26 2 2 2 4 2 2" xfId="26186" xr:uid="{00000000-0005-0000-0000-000044660000}"/>
    <cellStyle name="Normal 26 2 2 2 4 2 3" xfId="26187" xr:uid="{00000000-0005-0000-0000-000045660000}"/>
    <cellStyle name="Normal 26 2 2 2 4 2 4" xfId="26188" xr:uid="{00000000-0005-0000-0000-000046660000}"/>
    <cellStyle name="Normal 26 2 2 2 4 2 5" xfId="26189" xr:uid="{00000000-0005-0000-0000-000047660000}"/>
    <cellStyle name="Normal 26 2 2 2 4 2 6" xfId="26190" xr:uid="{00000000-0005-0000-0000-000048660000}"/>
    <cellStyle name="Normal 26 2 2 2 4 3" xfId="26191" xr:uid="{00000000-0005-0000-0000-000049660000}"/>
    <cellStyle name="Normal 26 2 2 2 4 3 2" xfId="26192" xr:uid="{00000000-0005-0000-0000-00004A660000}"/>
    <cellStyle name="Normal 26 2 2 2 4 3 3" xfId="26193" xr:uid="{00000000-0005-0000-0000-00004B660000}"/>
    <cellStyle name="Normal 26 2 2 2 4 3 4" xfId="26194" xr:uid="{00000000-0005-0000-0000-00004C660000}"/>
    <cellStyle name="Normal 26 2 2 2 4 3 5" xfId="26195" xr:uid="{00000000-0005-0000-0000-00004D660000}"/>
    <cellStyle name="Normal 26 2 2 2 4 3 6" xfId="26196" xr:uid="{00000000-0005-0000-0000-00004E660000}"/>
    <cellStyle name="Normal 26 2 2 2 4 4" xfId="26197" xr:uid="{00000000-0005-0000-0000-00004F660000}"/>
    <cellStyle name="Normal 26 2 2 2 4 5" xfId="26198" xr:uid="{00000000-0005-0000-0000-000050660000}"/>
    <cellStyle name="Normal 26 2 2 2 4 6" xfId="26199" xr:uid="{00000000-0005-0000-0000-000051660000}"/>
    <cellStyle name="Normal 26 2 2 2 4 7" xfId="26200" xr:uid="{00000000-0005-0000-0000-000052660000}"/>
    <cellStyle name="Normal 26 2 2 2 4 8" xfId="26201" xr:uid="{00000000-0005-0000-0000-000053660000}"/>
    <cellStyle name="Normal 26 2 2 2 5" xfId="26202" xr:uid="{00000000-0005-0000-0000-000054660000}"/>
    <cellStyle name="Normal 26 2 2 2 5 2" xfId="26203" xr:uid="{00000000-0005-0000-0000-000055660000}"/>
    <cellStyle name="Normal 26 2 2 2 5 2 2" xfId="26204" xr:uid="{00000000-0005-0000-0000-000056660000}"/>
    <cellStyle name="Normal 26 2 2 2 5 2 3" xfId="26205" xr:uid="{00000000-0005-0000-0000-000057660000}"/>
    <cellStyle name="Normal 26 2 2 2 5 2 4" xfId="26206" xr:uid="{00000000-0005-0000-0000-000058660000}"/>
    <cellStyle name="Normal 26 2 2 2 5 2 5" xfId="26207" xr:uid="{00000000-0005-0000-0000-000059660000}"/>
    <cellStyle name="Normal 26 2 2 2 5 2 6" xfId="26208" xr:uid="{00000000-0005-0000-0000-00005A660000}"/>
    <cellStyle name="Normal 26 2 2 2 5 3" xfId="26209" xr:uid="{00000000-0005-0000-0000-00005B660000}"/>
    <cellStyle name="Normal 26 2 2 2 5 3 2" xfId="26210" xr:uid="{00000000-0005-0000-0000-00005C660000}"/>
    <cellStyle name="Normal 26 2 2 2 5 3 3" xfId="26211" xr:uid="{00000000-0005-0000-0000-00005D660000}"/>
    <cellStyle name="Normal 26 2 2 2 5 3 4" xfId="26212" xr:uid="{00000000-0005-0000-0000-00005E660000}"/>
    <cellStyle name="Normal 26 2 2 2 5 3 5" xfId="26213" xr:uid="{00000000-0005-0000-0000-00005F660000}"/>
    <cellStyle name="Normal 26 2 2 2 5 3 6" xfId="26214" xr:uid="{00000000-0005-0000-0000-000060660000}"/>
    <cellStyle name="Normal 26 2 2 2 5 4" xfId="26215" xr:uid="{00000000-0005-0000-0000-000061660000}"/>
    <cellStyle name="Normal 26 2 2 2 5 5" xfId="26216" xr:uid="{00000000-0005-0000-0000-000062660000}"/>
    <cellStyle name="Normal 26 2 2 2 5 6" xfId="26217" xr:uid="{00000000-0005-0000-0000-000063660000}"/>
    <cellStyle name="Normal 26 2 2 2 5 7" xfId="26218" xr:uid="{00000000-0005-0000-0000-000064660000}"/>
    <cellStyle name="Normal 26 2 2 2 5 8" xfId="26219" xr:uid="{00000000-0005-0000-0000-000065660000}"/>
    <cellStyle name="Normal 26 2 2 2 6" xfId="26220" xr:uid="{00000000-0005-0000-0000-000066660000}"/>
    <cellStyle name="Normal 26 2 2 2 6 2" xfId="26221" xr:uid="{00000000-0005-0000-0000-000067660000}"/>
    <cellStyle name="Normal 26 2 2 2 6 3" xfId="26222" xr:uid="{00000000-0005-0000-0000-000068660000}"/>
    <cellStyle name="Normal 26 2 2 2 6 4" xfId="26223" xr:uid="{00000000-0005-0000-0000-000069660000}"/>
    <cellStyle name="Normal 26 2 2 2 6 5" xfId="26224" xr:uid="{00000000-0005-0000-0000-00006A660000}"/>
    <cellStyle name="Normal 26 2 2 2 6 6" xfId="26225" xr:uid="{00000000-0005-0000-0000-00006B660000}"/>
    <cellStyle name="Normal 26 2 2 2 7" xfId="26226" xr:uid="{00000000-0005-0000-0000-00006C660000}"/>
    <cellStyle name="Normal 26 2 2 2 7 2" xfId="26227" xr:uid="{00000000-0005-0000-0000-00006D660000}"/>
    <cellStyle name="Normal 26 2 2 2 7 3" xfId="26228" xr:uid="{00000000-0005-0000-0000-00006E660000}"/>
    <cellStyle name="Normal 26 2 2 2 7 4" xfId="26229" xr:uid="{00000000-0005-0000-0000-00006F660000}"/>
    <cellStyle name="Normal 26 2 2 2 7 5" xfId="26230" xr:uid="{00000000-0005-0000-0000-000070660000}"/>
    <cellStyle name="Normal 26 2 2 2 7 6" xfId="26231" xr:uid="{00000000-0005-0000-0000-000071660000}"/>
    <cellStyle name="Normal 26 2 2 2 8" xfId="26232" xr:uid="{00000000-0005-0000-0000-000072660000}"/>
    <cellStyle name="Normal 26 2 2 2 9" xfId="26233" xr:uid="{00000000-0005-0000-0000-000073660000}"/>
    <cellStyle name="Normal 26 2 2 3" xfId="26234" xr:uid="{00000000-0005-0000-0000-000074660000}"/>
    <cellStyle name="Normal 26 2 2 3 10" xfId="26235" xr:uid="{00000000-0005-0000-0000-000075660000}"/>
    <cellStyle name="Normal 26 2 2 3 11" xfId="26236" xr:uid="{00000000-0005-0000-0000-000076660000}"/>
    <cellStyle name="Normal 26 2 2 3 12" xfId="26237" xr:uid="{00000000-0005-0000-0000-000077660000}"/>
    <cellStyle name="Normal 26 2 2 3 2" xfId="26238" xr:uid="{00000000-0005-0000-0000-000078660000}"/>
    <cellStyle name="Normal 26 2 2 3 2 10" xfId="26239" xr:uid="{00000000-0005-0000-0000-000079660000}"/>
    <cellStyle name="Normal 26 2 2 3 2 11" xfId="26240" xr:uid="{00000000-0005-0000-0000-00007A660000}"/>
    <cellStyle name="Normal 26 2 2 3 2 2" xfId="26241" xr:uid="{00000000-0005-0000-0000-00007B660000}"/>
    <cellStyle name="Normal 26 2 2 3 2 2 2" xfId="26242" xr:uid="{00000000-0005-0000-0000-00007C660000}"/>
    <cellStyle name="Normal 26 2 2 3 2 2 2 2" xfId="26243" xr:uid="{00000000-0005-0000-0000-00007D660000}"/>
    <cellStyle name="Normal 26 2 2 3 2 2 2 3" xfId="26244" xr:uid="{00000000-0005-0000-0000-00007E660000}"/>
    <cellStyle name="Normal 26 2 2 3 2 2 2 4" xfId="26245" xr:uid="{00000000-0005-0000-0000-00007F660000}"/>
    <cellStyle name="Normal 26 2 2 3 2 2 2 5" xfId="26246" xr:uid="{00000000-0005-0000-0000-000080660000}"/>
    <cellStyle name="Normal 26 2 2 3 2 2 2 6" xfId="26247" xr:uid="{00000000-0005-0000-0000-000081660000}"/>
    <cellStyle name="Normal 26 2 2 3 2 2 3" xfId="26248" xr:uid="{00000000-0005-0000-0000-000082660000}"/>
    <cellStyle name="Normal 26 2 2 3 2 2 3 2" xfId="26249" xr:uid="{00000000-0005-0000-0000-000083660000}"/>
    <cellStyle name="Normal 26 2 2 3 2 2 3 3" xfId="26250" xr:uid="{00000000-0005-0000-0000-000084660000}"/>
    <cellStyle name="Normal 26 2 2 3 2 2 3 4" xfId="26251" xr:uid="{00000000-0005-0000-0000-000085660000}"/>
    <cellStyle name="Normal 26 2 2 3 2 2 3 5" xfId="26252" xr:uid="{00000000-0005-0000-0000-000086660000}"/>
    <cellStyle name="Normal 26 2 2 3 2 2 3 6" xfId="26253" xr:uid="{00000000-0005-0000-0000-000087660000}"/>
    <cellStyle name="Normal 26 2 2 3 2 2 4" xfId="26254" xr:uid="{00000000-0005-0000-0000-000088660000}"/>
    <cellStyle name="Normal 26 2 2 3 2 2 5" xfId="26255" xr:uid="{00000000-0005-0000-0000-000089660000}"/>
    <cellStyle name="Normal 26 2 2 3 2 2 6" xfId="26256" xr:uid="{00000000-0005-0000-0000-00008A660000}"/>
    <cellStyle name="Normal 26 2 2 3 2 2 7" xfId="26257" xr:uid="{00000000-0005-0000-0000-00008B660000}"/>
    <cellStyle name="Normal 26 2 2 3 2 2 8" xfId="26258" xr:uid="{00000000-0005-0000-0000-00008C660000}"/>
    <cellStyle name="Normal 26 2 2 3 2 3" xfId="26259" xr:uid="{00000000-0005-0000-0000-00008D660000}"/>
    <cellStyle name="Normal 26 2 2 3 2 3 2" xfId="26260" xr:uid="{00000000-0005-0000-0000-00008E660000}"/>
    <cellStyle name="Normal 26 2 2 3 2 3 2 2" xfId="26261" xr:uid="{00000000-0005-0000-0000-00008F660000}"/>
    <cellStyle name="Normal 26 2 2 3 2 3 2 3" xfId="26262" xr:uid="{00000000-0005-0000-0000-000090660000}"/>
    <cellStyle name="Normal 26 2 2 3 2 3 2 4" xfId="26263" xr:uid="{00000000-0005-0000-0000-000091660000}"/>
    <cellStyle name="Normal 26 2 2 3 2 3 2 5" xfId="26264" xr:uid="{00000000-0005-0000-0000-000092660000}"/>
    <cellStyle name="Normal 26 2 2 3 2 3 2 6" xfId="26265" xr:uid="{00000000-0005-0000-0000-000093660000}"/>
    <cellStyle name="Normal 26 2 2 3 2 3 3" xfId="26266" xr:uid="{00000000-0005-0000-0000-000094660000}"/>
    <cellStyle name="Normal 26 2 2 3 2 3 3 2" xfId="26267" xr:uid="{00000000-0005-0000-0000-000095660000}"/>
    <cellStyle name="Normal 26 2 2 3 2 3 3 3" xfId="26268" xr:uid="{00000000-0005-0000-0000-000096660000}"/>
    <cellStyle name="Normal 26 2 2 3 2 3 3 4" xfId="26269" xr:uid="{00000000-0005-0000-0000-000097660000}"/>
    <cellStyle name="Normal 26 2 2 3 2 3 3 5" xfId="26270" xr:uid="{00000000-0005-0000-0000-000098660000}"/>
    <cellStyle name="Normal 26 2 2 3 2 3 3 6" xfId="26271" xr:uid="{00000000-0005-0000-0000-000099660000}"/>
    <cellStyle name="Normal 26 2 2 3 2 3 4" xfId="26272" xr:uid="{00000000-0005-0000-0000-00009A660000}"/>
    <cellStyle name="Normal 26 2 2 3 2 3 5" xfId="26273" xr:uid="{00000000-0005-0000-0000-00009B660000}"/>
    <cellStyle name="Normal 26 2 2 3 2 3 6" xfId="26274" xr:uid="{00000000-0005-0000-0000-00009C660000}"/>
    <cellStyle name="Normal 26 2 2 3 2 3 7" xfId="26275" xr:uid="{00000000-0005-0000-0000-00009D660000}"/>
    <cellStyle name="Normal 26 2 2 3 2 3 8" xfId="26276" xr:uid="{00000000-0005-0000-0000-00009E660000}"/>
    <cellStyle name="Normal 26 2 2 3 2 4" xfId="26277" xr:uid="{00000000-0005-0000-0000-00009F660000}"/>
    <cellStyle name="Normal 26 2 2 3 2 4 2" xfId="26278" xr:uid="{00000000-0005-0000-0000-0000A0660000}"/>
    <cellStyle name="Normal 26 2 2 3 2 4 2 2" xfId="26279" xr:uid="{00000000-0005-0000-0000-0000A1660000}"/>
    <cellStyle name="Normal 26 2 2 3 2 4 2 3" xfId="26280" xr:uid="{00000000-0005-0000-0000-0000A2660000}"/>
    <cellStyle name="Normal 26 2 2 3 2 4 2 4" xfId="26281" xr:uid="{00000000-0005-0000-0000-0000A3660000}"/>
    <cellStyle name="Normal 26 2 2 3 2 4 2 5" xfId="26282" xr:uid="{00000000-0005-0000-0000-0000A4660000}"/>
    <cellStyle name="Normal 26 2 2 3 2 4 2 6" xfId="26283" xr:uid="{00000000-0005-0000-0000-0000A5660000}"/>
    <cellStyle name="Normal 26 2 2 3 2 4 3" xfId="26284" xr:uid="{00000000-0005-0000-0000-0000A6660000}"/>
    <cellStyle name="Normal 26 2 2 3 2 4 3 2" xfId="26285" xr:uid="{00000000-0005-0000-0000-0000A7660000}"/>
    <cellStyle name="Normal 26 2 2 3 2 4 3 3" xfId="26286" xr:uid="{00000000-0005-0000-0000-0000A8660000}"/>
    <cellStyle name="Normal 26 2 2 3 2 4 3 4" xfId="26287" xr:uid="{00000000-0005-0000-0000-0000A9660000}"/>
    <cellStyle name="Normal 26 2 2 3 2 4 3 5" xfId="26288" xr:uid="{00000000-0005-0000-0000-0000AA660000}"/>
    <cellStyle name="Normal 26 2 2 3 2 4 3 6" xfId="26289" xr:uid="{00000000-0005-0000-0000-0000AB660000}"/>
    <cellStyle name="Normal 26 2 2 3 2 4 4" xfId="26290" xr:uid="{00000000-0005-0000-0000-0000AC660000}"/>
    <cellStyle name="Normal 26 2 2 3 2 4 5" xfId="26291" xr:uid="{00000000-0005-0000-0000-0000AD660000}"/>
    <cellStyle name="Normal 26 2 2 3 2 4 6" xfId="26292" xr:uid="{00000000-0005-0000-0000-0000AE660000}"/>
    <cellStyle name="Normal 26 2 2 3 2 4 7" xfId="26293" xr:uid="{00000000-0005-0000-0000-0000AF660000}"/>
    <cellStyle name="Normal 26 2 2 3 2 4 8" xfId="26294" xr:uid="{00000000-0005-0000-0000-0000B0660000}"/>
    <cellStyle name="Normal 26 2 2 3 2 5" xfId="26295" xr:uid="{00000000-0005-0000-0000-0000B1660000}"/>
    <cellStyle name="Normal 26 2 2 3 2 5 2" xfId="26296" xr:uid="{00000000-0005-0000-0000-0000B2660000}"/>
    <cellStyle name="Normal 26 2 2 3 2 5 3" xfId="26297" xr:uid="{00000000-0005-0000-0000-0000B3660000}"/>
    <cellStyle name="Normal 26 2 2 3 2 5 4" xfId="26298" xr:uid="{00000000-0005-0000-0000-0000B4660000}"/>
    <cellStyle name="Normal 26 2 2 3 2 5 5" xfId="26299" xr:uid="{00000000-0005-0000-0000-0000B5660000}"/>
    <cellStyle name="Normal 26 2 2 3 2 5 6" xfId="26300" xr:uid="{00000000-0005-0000-0000-0000B6660000}"/>
    <cellStyle name="Normal 26 2 2 3 2 6" xfId="26301" xr:uid="{00000000-0005-0000-0000-0000B7660000}"/>
    <cellStyle name="Normal 26 2 2 3 2 6 2" xfId="26302" xr:uid="{00000000-0005-0000-0000-0000B8660000}"/>
    <cellStyle name="Normal 26 2 2 3 2 6 3" xfId="26303" xr:uid="{00000000-0005-0000-0000-0000B9660000}"/>
    <cellStyle name="Normal 26 2 2 3 2 6 4" xfId="26304" xr:uid="{00000000-0005-0000-0000-0000BA660000}"/>
    <cellStyle name="Normal 26 2 2 3 2 6 5" xfId="26305" xr:uid="{00000000-0005-0000-0000-0000BB660000}"/>
    <cellStyle name="Normal 26 2 2 3 2 6 6" xfId="26306" xr:uid="{00000000-0005-0000-0000-0000BC660000}"/>
    <cellStyle name="Normal 26 2 2 3 2 7" xfId="26307" xr:uid="{00000000-0005-0000-0000-0000BD660000}"/>
    <cellStyle name="Normal 26 2 2 3 2 8" xfId="26308" xr:uid="{00000000-0005-0000-0000-0000BE660000}"/>
    <cellStyle name="Normal 26 2 2 3 2 9" xfId="26309" xr:uid="{00000000-0005-0000-0000-0000BF660000}"/>
    <cellStyle name="Normal 26 2 2 3 3" xfId="26310" xr:uid="{00000000-0005-0000-0000-0000C0660000}"/>
    <cellStyle name="Normal 26 2 2 3 3 2" xfId="26311" xr:uid="{00000000-0005-0000-0000-0000C1660000}"/>
    <cellStyle name="Normal 26 2 2 3 3 2 2" xfId="26312" xr:uid="{00000000-0005-0000-0000-0000C2660000}"/>
    <cellStyle name="Normal 26 2 2 3 3 2 3" xfId="26313" xr:uid="{00000000-0005-0000-0000-0000C3660000}"/>
    <cellStyle name="Normal 26 2 2 3 3 2 4" xfId="26314" xr:uid="{00000000-0005-0000-0000-0000C4660000}"/>
    <cellStyle name="Normal 26 2 2 3 3 2 5" xfId="26315" xr:uid="{00000000-0005-0000-0000-0000C5660000}"/>
    <cellStyle name="Normal 26 2 2 3 3 2 6" xfId="26316" xr:uid="{00000000-0005-0000-0000-0000C6660000}"/>
    <cellStyle name="Normal 26 2 2 3 3 3" xfId="26317" xr:uid="{00000000-0005-0000-0000-0000C7660000}"/>
    <cellStyle name="Normal 26 2 2 3 3 3 2" xfId="26318" xr:uid="{00000000-0005-0000-0000-0000C8660000}"/>
    <cellStyle name="Normal 26 2 2 3 3 3 3" xfId="26319" xr:uid="{00000000-0005-0000-0000-0000C9660000}"/>
    <cellStyle name="Normal 26 2 2 3 3 3 4" xfId="26320" xr:uid="{00000000-0005-0000-0000-0000CA660000}"/>
    <cellStyle name="Normal 26 2 2 3 3 3 5" xfId="26321" xr:uid="{00000000-0005-0000-0000-0000CB660000}"/>
    <cellStyle name="Normal 26 2 2 3 3 3 6" xfId="26322" xr:uid="{00000000-0005-0000-0000-0000CC660000}"/>
    <cellStyle name="Normal 26 2 2 3 3 4" xfId="26323" xr:uid="{00000000-0005-0000-0000-0000CD660000}"/>
    <cellStyle name="Normal 26 2 2 3 3 5" xfId="26324" xr:uid="{00000000-0005-0000-0000-0000CE660000}"/>
    <cellStyle name="Normal 26 2 2 3 3 6" xfId="26325" xr:uid="{00000000-0005-0000-0000-0000CF660000}"/>
    <cellStyle name="Normal 26 2 2 3 3 7" xfId="26326" xr:uid="{00000000-0005-0000-0000-0000D0660000}"/>
    <cellStyle name="Normal 26 2 2 3 3 8" xfId="26327" xr:uid="{00000000-0005-0000-0000-0000D1660000}"/>
    <cellStyle name="Normal 26 2 2 3 4" xfId="26328" xr:uid="{00000000-0005-0000-0000-0000D2660000}"/>
    <cellStyle name="Normal 26 2 2 3 4 2" xfId="26329" xr:uid="{00000000-0005-0000-0000-0000D3660000}"/>
    <cellStyle name="Normal 26 2 2 3 4 2 2" xfId="26330" xr:uid="{00000000-0005-0000-0000-0000D4660000}"/>
    <cellStyle name="Normal 26 2 2 3 4 2 3" xfId="26331" xr:uid="{00000000-0005-0000-0000-0000D5660000}"/>
    <cellStyle name="Normal 26 2 2 3 4 2 4" xfId="26332" xr:uid="{00000000-0005-0000-0000-0000D6660000}"/>
    <cellStyle name="Normal 26 2 2 3 4 2 5" xfId="26333" xr:uid="{00000000-0005-0000-0000-0000D7660000}"/>
    <cellStyle name="Normal 26 2 2 3 4 2 6" xfId="26334" xr:uid="{00000000-0005-0000-0000-0000D8660000}"/>
    <cellStyle name="Normal 26 2 2 3 4 3" xfId="26335" xr:uid="{00000000-0005-0000-0000-0000D9660000}"/>
    <cellStyle name="Normal 26 2 2 3 4 3 2" xfId="26336" xr:uid="{00000000-0005-0000-0000-0000DA660000}"/>
    <cellStyle name="Normal 26 2 2 3 4 3 3" xfId="26337" xr:uid="{00000000-0005-0000-0000-0000DB660000}"/>
    <cellStyle name="Normal 26 2 2 3 4 3 4" xfId="26338" xr:uid="{00000000-0005-0000-0000-0000DC660000}"/>
    <cellStyle name="Normal 26 2 2 3 4 3 5" xfId="26339" xr:uid="{00000000-0005-0000-0000-0000DD660000}"/>
    <cellStyle name="Normal 26 2 2 3 4 3 6" xfId="26340" xr:uid="{00000000-0005-0000-0000-0000DE660000}"/>
    <cellStyle name="Normal 26 2 2 3 4 4" xfId="26341" xr:uid="{00000000-0005-0000-0000-0000DF660000}"/>
    <cellStyle name="Normal 26 2 2 3 4 5" xfId="26342" xr:uid="{00000000-0005-0000-0000-0000E0660000}"/>
    <cellStyle name="Normal 26 2 2 3 4 6" xfId="26343" xr:uid="{00000000-0005-0000-0000-0000E1660000}"/>
    <cellStyle name="Normal 26 2 2 3 4 7" xfId="26344" xr:uid="{00000000-0005-0000-0000-0000E2660000}"/>
    <cellStyle name="Normal 26 2 2 3 4 8" xfId="26345" xr:uid="{00000000-0005-0000-0000-0000E3660000}"/>
    <cellStyle name="Normal 26 2 2 3 5" xfId="26346" xr:uid="{00000000-0005-0000-0000-0000E4660000}"/>
    <cellStyle name="Normal 26 2 2 3 5 2" xfId="26347" xr:uid="{00000000-0005-0000-0000-0000E5660000}"/>
    <cellStyle name="Normal 26 2 2 3 5 2 2" xfId="26348" xr:uid="{00000000-0005-0000-0000-0000E6660000}"/>
    <cellStyle name="Normal 26 2 2 3 5 2 3" xfId="26349" xr:uid="{00000000-0005-0000-0000-0000E7660000}"/>
    <cellStyle name="Normal 26 2 2 3 5 2 4" xfId="26350" xr:uid="{00000000-0005-0000-0000-0000E8660000}"/>
    <cellStyle name="Normal 26 2 2 3 5 2 5" xfId="26351" xr:uid="{00000000-0005-0000-0000-0000E9660000}"/>
    <cellStyle name="Normal 26 2 2 3 5 2 6" xfId="26352" xr:uid="{00000000-0005-0000-0000-0000EA660000}"/>
    <cellStyle name="Normal 26 2 2 3 5 3" xfId="26353" xr:uid="{00000000-0005-0000-0000-0000EB660000}"/>
    <cellStyle name="Normal 26 2 2 3 5 3 2" xfId="26354" xr:uid="{00000000-0005-0000-0000-0000EC660000}"/>
    <cellStyle name="Normal 26 2 2 3 5 3 3" xfId="26355" xr:uid="{00000000-0005-0000-0000-0000ED660000}"/>
    <cellStyle name="Normal 26 2 2 3 5 3 4" xfId="26356" xr:uid="{00000000-0005-0000-0000-0000EE660000}"/>
    <cellStyle name="Normal 26 2 2 3 5 3 5" xfId="26357" xr:uid="{00000000-0005-0000-0000-0000EF660000}"/>
    <cellStyle name="Normal 26 2 2 3 5 3 6" xfId="26358" xr:uid="{00000000-0005-0000-0000-0000F0660000}"/>
    <cellStyle name="Normal 26 2 2 3 5 4" xfId="26359" xr:uid="{00000000-0005-0000-0000-0000F1660000}"/>
    <cellStyle name="Normal 26 2 2 3 5 5" xfId="26360" xr:uid="{00000000-0005-0000-0000-0000F2660000}"/>
    <cellStyle name="Normal 26 2 2 3 5 6" xfId="26361" xr:uid="{00000000-0005-0000-0000-0000F3660000}"/>
    <cellStyle name="Normal 26 2 2 3 5 7" xfId="26362" xr:uid="{00000000-0005-0000-0000-0000F4660000}"/>
    <cellStyle name="Normal 26 2 2 3 5 8" xfId="26363" xr:uid="{00000000-0005-0000-0000-0000F5660000}"/>
    <cellStyle name="Normal 26 2 2 3 6" xfId="26364" xr:uid="{00000000-0005-0000-0000-0000F6660000}"/>
    <cellStyle name="Normal 26 2 2 3 6 2" xfId="26365" xr:uid="{00000000-0005-0000-0000-0000F7660000}"/>
    <cellStyle name="Normal 26 2 2 3 6 3" xfId="26366" xr:uid="{00000000-0005-0000-0000-0000F8660000}"/>
    <cellStyle name="Normal 26 2 2 3 6 4" xfId="26367" xr:uid="{00000000-0005-0000-0000-0000F9660000}"/>
    <cellStyle name="Normal 26 2 2 3 6 5" xfId="26368" xr:uid="{00000000-0005-0000-0000-0000FA660000}"/>
    <cellStyle name="Normal 26 2 2 3 6 6" xfId="26369" xr:uid="{00000000-0005-0000-0000-0000FB660000}"/>
    <cellStyle name="Normal 26 2 2 3 7" xfId="26370" xr:uid="{00000000-0005-0000-0000-0000FC660000}"/>
    <cellStyle name="Normal 26 2 2 3 7 2" xfId="26371" xr:uid="{00000000-0005-0000-0000-0000FD660000}"/>
    <cellStyle name="Normal 26 2 2 3 7 3" xfId="26372" xr:uid="{00000000-0005-0000-0000-0000FE660000}"/>
    <cellStyle name="Normal 26 2 2 3 7 4" xfId="26373" xr:uid="{00000000-0005-0000-0000-0000FF660000}"/>
    <cellStyle name="Normal 26 2 2 3 7 5" xfId="26374" xr:uid="{00000000-0005-0000-0000-000000670000}"/>
    <cellStyle name="Normal 26 2 2 3 7 6" xfId="26375" xr:uid="{00000000-0005-0000-0000-000001670000}"/>
    <cellStyle name="Normal 26 2 2 3 8" xfId="26376" xr:uid="{00000000-0005-0000-0000-000002670000}"/>
    <cellStyle name="Normal 26 2 2 3 9" xfId="26377" xr:uid="{00000000-0005-0000-0000-000003670000}"/>
    <cellStyle name="Normal 26 2 2 4" xfId="26378" xr:uid="{00000000-0005-0000-0000-000004670000}"/>
    <cellStyle name="Normal 26 2 2 4 10" xfId="26379" xr:uid="{00000000-0005-0000-0000-000005670000}"/>
    <cellStyle name="Normal 26 2 2 4 11" xfId="26380" xr:uid="{00000000-0005-0000-0000-000006670000}"/>
    <cellStyle name="Normal 26 2 2 4 2" xfId="26381" xr:uid="{00000000-0005-0000-0000-000007670000}"/>
    <cellStyle name="Normal 26 2 2 4 2 2" xfId="26382" xr:uid="{00000000-0005-0000-0000-000008670000}"/>
    <cellStyle name="Normal 26 2 2 4 2 2 2" xfId="26383" xr:uid="{00000000-0005-0000-0000-000009670000}"/>
    <cellStyle name="Normal 26 2 2 4 2 2 3" xfId="26384" xr:uid="{00000000-0005-0000-0000-00000A670000}"/>
    <cellStyle name="Normal 26 2 2 4 2 2 4" xfId="26385" xr:uid="{00000000-0005-0000-0000-00000B670000}"/>
    <cellStyle name="Normal 26 2 2 4 2 2 5" xfId="26386" xr:uid="{00000000-0005-0000-0000-00000C670000}"/>
    <cellStyle name="Normal 26 2 2 4 2 2 6" xfId="26387" xr:uid="{00000000-0005-0000-0000-00000D670000}"/>
    <cellStyle name="Normal 26 2 2 4 2 3" xfId="26388" xr:uid="{00000000-0005-0000-0000-00000E670000}"/>
    <cellStyle name="Normal 26 2 2 4 2 3 2" xfId="26389" xr:uid="{00000000-0005-0000-0000-00000F670000}"/>
    <cellStyle name="Normal 26 2 2 4 2 3 3" xfId="26390" xr:uid="{00000000-0005-0000-0000-000010670000}"/>
    <cellStyle name="Normal 26 2 2 4 2 3 4" xfId="26391" xr:uid="{00000000-0005-0000-0000-000011670000}"/>
    <cellStyle name="Normal 26 2 2 4 2 3 5" xfId="26392" xr:uid="{00000000-0005-0000-0000-000012670000}"/>
    <cellStyle name="Normal 26 2 2 4 2 3 6" xfId="26393" xr:uid="{00000000-0005-0000-0000-000013670000}"/>
    <cellStyle name="Normal 26 2 2 4 2 4" xfId="26394" xr:uid="{00000000-0005-0000-0000-000014670000}"/>
    <cellStyle name="Normal 26 2 2 4 2 5" xfId="26395" xr:uid="{00000000-0005-0000-0000-000015670000}"/>
    <cellStyle name="Normal 26 2 2 4 2 6" xfId="26396" xr:uid="{00000000-0005-0000-0000-000016670000}"/>
    <cellStyle name="Normal 26 2 2 4 2 7" xfId="26397" xr:uid="{00000000-0005-0000-0000-000017670000}"/>
    <cellStyle name="Normal 26 2 2 4 2 8" xfId="26398" xr:uid="{00000000-0005-0000-0000-000018670000}"/>
    <cellStyle name="Normal 26 2 2 4 3" xfId="26399" xr:uid="{00000000-0005-0000-0000-000019670000}"/>
    <cellStyle name="Normal 26 2 2 4 3 2" xfId="26400" xr:uid="{00000000-0005-0000-0000-00001A670000}"/>
    <cellStyle name="Normal 26 2 2 4 3 2 2" xfId="26401" xr:uid="{00000000-0005-0000-0000-00001B670000}"/>
    <cellStyle name="Normal 26 2 2 4 3 2 3" xfId="26402" xr:uid="{00000000-0005-0000-0000-00001C670000}"/>
    <cellStyle name="Normal 26 2 2 4 3 2 4" xfId="26403" xr:uid="{00000000-0005-0000-0000-00001D670000}"/>
    <cellStyle name="Normal 26 2 2 4 3 2 5" xfId="26404" xr:uid="{00000000-0005-0000-0000-00001E670000}"/>
    <cellStyle name="Normal 26 2 2 4 3 2 6" xfId="26405" xr:uid="{00000000-0005-0000-0000-00001F670000}"/>
    <cellStyle name="Normal 26 2 2 4 3 3" xfId="26406" xr:uid="{00000000-0005-0000-0000-000020670000}"/>
    <cellStyle name="Normal 26 2 2 4 3 3 2" xfId="26407" xr:uid="{00000000-0005-0000-0000-000021670000}"/>
    <cellStyle name="Normal 26 2 2 4 3 3 3" xfId="26408" xr:uid="{00000000-0005-0000-0000-000022670000}"/>
    <cellStyle name="Normal 26 2 2 4 3 3 4" xfId="26409" xr:uid="{00000000-0005-0000-0000-000023670000}"/>
    <cellStyle name="Normal 26 2 2 4 3 3 5" xfId="26410" xr:uid="{00000000-0005-0000-0000-000024670000}"/>
    <cellStyle name="Normal 26 2 2 4 3 3 6" xfId="26411" xr:uid="{00000000-0005-0000-0000-000025670000}"/>
    <cellStyle name="Normal 26 2 2 4 3 4" xfId="26412" xr:uid="{00000000-0005-0000-0000-000026670000}"/>
    <cellStyle name="Normal 26 2 2 4 3 5" xfId="26413" xr:uid="{00000000-0005-0000-0000-000027670000}"/>
    <cellStyle name="Normal 26 2 2 4 3 6" xfId="26414" xr:uid="{00000000-0005-0000-0000-000028670000}"/>
    <cellStyle name="Normal 26 2 2 4 3 7" xfId="26415" xr:uid="{00000000-0005-0000-0000-000029670000}"/>
    <cellStyle name="Normal 26 2 2 4 3 8" xfId="26416" xr:uid="{00000000-0005-0000-0000-00002A670000}"/>
    <cellStyle name="Normal 26 2 2 4 4" xfId="26417" xr:uid="{00000000-0005-0000-0000-00002B670000}"/>
    <cellStyle name="Normal 26 2 2 4 4 2" xfId="26418" xr:uid="{00000000-0005-0000-0000-00002C670000}"/>
    <cellStyle name="Normal 26 2 2 4 4 2 2" xfId="26419" xr:uid="{00000000-0005-0000-0000-00002D670000}"/>
    <cellStyle name="Normal 26 2 2 4 4 2 3" xfId="26420" xr:uid="{00000000-0005-0000-0000-00002E670000}"/>
    <cellStyle name="Normal 26 2 2 4 4 2 4" xfId="26421" xr:uid="{00000000-0005-0000-0000-00002F670000}"/>
    <cellStyle name="Normal 26 2 2 4 4 2 5" xfId="26422" xr:uid="{00000000-0005-0000-0000-000030670000}"/>
    <cellStyle name="Normal 26 2 2 4 4 2 6" xfId="26423" xr:uid="{00000000-0005-0000-0000-000031670000}"/>
    <cellStyle name="Normal 26 2 2 4 4 3" xfId="26424" xr:uid="{00000000-0005-0000-0000-000032670000}"/>
    <cellStyle name="Normal 26 2 2 4 4 3 2" xfId="26425" xr:uid="{00000000-0005-0000-0000-000033670000}"/>
    <cellStyle name="Normal 26 2 2 4 4 3 3" xfId="26426" xr:uid="{00000000-0005-0000-0000-000034670000}"/>
    <cellStyle name="Normal 26 2 2 4 4 3 4" xfId="26427" xr:uid="{00000000-0005-0000-0000-000035670000}"/>
    <cellStyle name="Normal 26 2 2 4 4 3 5" xfId="26428" xr:uid="{00000000-0005-0000-0000-000036670000}"/>
    <cellStyle name="Normal 26 2 2 4 4 3 6" xfId="26429" xr:uid="{00000000-0005-0000-0000-000037670000}"/>
    <cellStyle name="Normal 26 2 2 4 4 4" xfId="26430" xr:uid="{00000000-0005-0000-0000-000038670000}"/>
    <cellStyle name="Normal 26 2 2 4 4 5" xfId="26431" xr:uid="{00000000-0005-0000-0000-000039670000}"/>
    <cellStyle name="Normal 26 2 2 4 4 6" xfId="26432" xr:uid="{00000000-0005-0000-0000-00003A670000}"/>
    <cellStyle name="Normal 26 2 2 4 4 7" xfId="26433" xr:uid="{00000000-0005-0000-0000-00003B670000}"/>
    <cellStyle name="Normal 26 2 2 4 4 8" xfId="26434" xr:uid="{00000000-0005-0000-0000-00003C670000}"/>
    <cellStyle name="Normal 26 2 2 4 5" xfId="26435" xr:uid="{00000000-0005-0000-0000-00003D670000}"/>
    <cellStyle name="Normal 26 2 2 4 5 2" xfId="26436" xr:uid="{00000000-0005-0000-0000-00003E670000}"/>
    <cellStyle name="Normal 26 2 2 4 5 3" xfId="26437" xr:uid="{00000000-0005-0000-0000-00003F670000}"/>
    <cellStyle name="Normal 26 2 2 4 5 4" xfId="26438" xr:uid="{00000000-0005-0000-0000-000040670000}"/>
    <cellStyle name="Normal 26 2 2 4 5 5" xfId="26439" xr:uid="{00000000-0005-0000-0000-000041670000}"/>
    <cellStyle name="Normal 26 2 2 4 5 6" xfId="26440" xr:uid="{00000000-0005-0000-0000-000042670000}"/>
    <cellStyle name="Normal 26 2 2 4 6" xfId="26441" xr:uid="{00000000-0005-0000-0000-000043670000}"/>
    <cellStyle name="Normal 26 2 2 4 6 2" xfId="26442" xr:uid="{00000000-0005-0000-0000-000044670000}"/>
    <cellStyle name="Normal 26 2 2 4 6 3" xfId="26443" xr:uid="{00000000-0005-0000-0000-000045670000}"/>
    <cellStyle name="Normal 26 2 2 4 6 4" xfId="26444" xr:uid="{00000000-0005-0000-0000-000046670000}"/>
    <cellStyle name="Normal 26 2 2 4 6 5" xfId="26445" xr:uid="{00000000-0005-0000-0000-000047670000}"/>
    <cellStyle name="Normal 26 2 2 4 6 6" xfId="26446" xr:uid="{00000000-0005-0000-0000-000048670000}"/>
    <cellStyle name="Normal 26 2 2 4 7" xfId="26447" xr:uid="{00000000-0005-0000-0000-000049670000}"/>
    <cellStyle name="Normal 26 2 2 4 8" xfId="26448" xr:uid="{00000000-0005-0000-0000-00004A670000}"/>
    <cellStyle name="Normal 26 2 2 4 9" xfId="26449" xr:uid="{00000000-0005-0000-0000-00004B670000}"/>
    <cellStyle name="Normal 26 2 2 5" xfId="26450" xr:uid="{00000000-0005-0000-0000-00004C670000}"/>
    <cellStyle name="Normal 26 2 2 5 2" xfId="26451" xr:uid="{00000000-0005-0000-0000-00004D670000}"/>
    <cellStyle name="Normal 26 2 2 5 2 2" xfId="26452" xr:uid="{00000000-0005-0000-0000-00004E670000}"/>
    <cellStyle name="Normal 26 2 2 5 2 3" xfId="26453" xr:uid="{00000000-0005-0000-0000-00004F670000}"/>
    <cellStyle name="Normal 26 2 2 5 2 4" xfId="26454" xr:uid="{00000000-0005-0000-0000-000050670000}"/>
    <cellStyle name="Normal 26 2 2 5 2 5" xfId="26455" xr:uid="{00000000-0005-0000-0000-000051670000}"/>
    <cellStyle name="Normal 26 2 2 5 2 6" xfId="26456" xr:uid="{00000000-0005-0000-0000-000052670000}"/>
    <cellStyle name="Normal 26 2 2 5 3" xfId="26457" xr:uid="{00000000-0005-0000-0000-000053670000}"/>
    <cellStyle name="Normal 26 2 2 5 3 2" xfId="26458" xr:uid="{00000000-0005-0000-0000-000054670000}"/>
    <cellStyle name="Normal 26 2 2 5 3 3" xfId="26459" xr:uid="{00000000-0005-0000-0000-000055670000}"/>
    <cellStyle name="Normal 26 2 2 5 3 4" xfId="26460" xr:uid="{00000000-0005-0000-0000-000056670000}"/>
    <cellStyle name="Normal 26 2 2 5 3 5" xfId="26461" xr:uid="{00000000-0005-0000-0000-000057670000}"/>
    <cellStyle name="Normal 26 2 2 5 3 6" xfId="26462" xr:uid="{00000000-0005-0000-0000-000058670000}"/>
    <cellStyle name="Normal 26 2 2 5 4" xfId="26463" xr:uid="{00000000-0005-0000-0000-000059670000}"/>
    <cellStyle name="Normal 26 2 2 5 5" xfId="26464" xr:uid="{00000000-0005-0000-0000-00005A670000}"/>
    <cellStyle name="Normal 26 2 2 5 6" xfId="26465" xr:uid="{00000000-0005-0000-0000-00005B670000}"/>
    <cellStyle name="Normal 26 2 2 5 7" xfId="26466" xr:uid="{00000000-0005-0000-0000-00005C670000}"/>
    <cellStyle name="Normal 26 2 2 5 8" xfId="26467" xr:uid="{00000000-0005-0000-0000-00005D670000}"/>
    <cellStyle name="Normal 26 2 2 6" xfId="26468" xr:uid="{00000000-0005-0000-0000-00005E670000}"/>
    <cellStyle name="Normal 26 2 2 6 2" xfId="26469" xr:uid="{00000000-0005-0000-0000-00005F670000}"/>
    <cellStyle name="Normal 26 2 2 6 2 2" xfId="26470" xr:uid="{00000000-0005-0000-0000-000060670000}"/>
    <cellStyle name="Normal 26 2 2 6 2 3" xfId="26471" xr:uid="{00000000-0005-0000-0000-000061670000}"/>
    <cellStyle name="Normal 26 2 2 6 2 4" xfId="26472" xr:uid="{00000000-0005-0000-0000-000062670000}"/>
    <cellStyle name="Normal 26 2 2 6 2 5" xfId="26473" xr:uid="{00000000-0005-0000-0000-000063670000}"/>
    <cellStyle name="Normal 26 2 2 6 2 6" xfId="26474" xr:uid="{00000000-0005-0000-0000-000064670000}"/>
    <cellStyle name="Normal 26 2 2 6 3" xfId="26475" xr:uid="{00000000-0005-0000-0000-000065670000}"/>
    <cellStyle name="Normal 26 2 2 6 3 2" xfId="26476" xr:uid="{00000000-0005-0000-0000-000066670000}"/>
    <cellStyle name="Normal 26 2 2 6 3 3" xfId="26477" xr:uid="{00000000-0005-0000-0000-000067670000}"/>
    <cellStyle name="Normal 26 2 2 6 3 4" xfId="26478" xr:uid="{00000000-0005-0000-0000-000068670000}"/>
    <cellStyle name="Normal 26 2 2 6 3 5" xfId="26479" xr:uid="{00000000-0005-0000-0000-000069670000}"/>
    <cellStyle name="Normal 26 2 2 6 3 6" xfId="26480" xr:uid="{00000000-0005-0000-0000-00006A670000}"/>
    <cellStyle name="Normal 26 2 2 6 4" xfId="26481" xr:uid="{00000000-0005-0000-0000-00006B670000}"/>
    <cellStyle name="Normal 26 2 2 6 5" xfId="26482" xr:uid="{00000000-0005-0000-0000-00006C670000}"/>
    <cellStyle name="Normal 26 2 2 6 6" xfId="26483" xr:uid="{00000000-0005-0000-0000-00006D670000}"/>
    <cellStyle name="Normal 26 2 2 6 7" xfId="26484" xr:uid="{00000000-0005-0000-0000-00006E670000}"/>
    <cellStyle name="Normal 26 2 2 6 8" xfId="26485" xr:uid="{00000000-0005-0000-0000-00006F670000}"/>
    <cellStyle name="Normal 26 2 2 7" xfId="26486" xr:uid="{00000000-0005-0000-0000-000070670000}"/>
    <cellStyle name="Normal 26 2 2 7 2" xfId="26487" xr:uid="{00000000-0005-0000-0000-000071670000}"/>
    <cellStyle name="Normal 26 2 2 7 2 2" xfId="26488" xr:uid="{00000000-0005-0000-0000-000072670000}"/>
    <cellStyle name="Normal 26 2 2 7 2 3" xfId="26489" xr:uid="{00000000-0005-0000-0000-000073670000}"/>
    <cellStyle name="Normal 26 2 2 7 2 4" xfId="26490" xr:uid="{00000000-0005-0000-0000-000074670000}"/>
    <cellStyle name="Normal 26 2 2 7 2 5" xfId="26491" xr:uid="{00000000-0005-0000-0000-000075670000}"/>
    <cellStyle name="Normal 26 2 2 7 2 6" xfId="26492" xr:uid="{00000000-0005-0000-0000-000076670000}"/>
    <cellStyle name="Normal 26 2 2 7 3" xfId="26493" xr:uid="{00000000-0005-0000-0000-000077670000}"/>
    <cellStyle name="Normal 26 2 2 7 3 2" xfId="26494" xr:uid="{00000000-0005-0000-0000-000078670000}"/>
    <cellStyle name="Normal 26 2 2 7 3 3" xfId="26495" xr:uid="{00000000-0005-0000-0000-000079670000}"/>
    <cellStyle name="Normal 26 2 2 7 3 4" xfId="26496" xr:uid="{00000000-0005-0000-0000-00007A670000}"/>
    <cellStyle name="Normal 26 2 2 7 3 5" xfId="26497" xr:uid="{00000000-0005-0000-0000-00007B670000}"/>
    <cellStyle name="Normal 26 2 2 7 3 6" xfId="26498" xr:uid="{00000000-0005-0000-0000-00007C670000}"/>
    <cellStyle name="Normal 26 2 2 7 4" xfId="26499" xr:uid="{00000000-0005-0000-0000-00007D670000}"/>
    <cellStyle name="Normal 26 2 2 7 5" xfId="26500" xr:uid="{00000000-0005-0000-0000-00007E670000}"/>
    <cellStyle name="Normal 26 2 2 7 6" xfId="26501" xr:uid="{00000000-0005-0000-0000-00007F670000}"/>
    <cellStyle name="Normal 26 2 2 7 7" xfId="26502" xr:uid="{00000000-0005-0000-0000-000080670000}"/>
    <cellStyle name="Normal 26 2 2 7 8" xfId="26503" xr:uid="{00000000-0005-0000-0000-000081670000}"/>
    <cellStyle name="Normal 26 2 2 8" xfId="26504" xr:uid="{00000000-0005-0000-0000-000082670000}"/>
    <cellStyle name="Normal 26 2 2 8 2" xfId="26505" xr:uid="{00000000-0005-0000-0000-000083670000}"/>
    <cellStyle name="Normal 26 2 2 8 3" xfId="26506" xr:uid="{00000000-0005-0000-0000-000084670000}"/>
    <cellStyle name="Normal 26 2 2 8 4" xfId="26507" xr:uid="{00000000-0005-0000-0000-000085670000}"/>
    <cellStyle name="Normal 26 2 2 8 5" xfId="26508" xr:uid="{00000000-0005-0000-0000-000086670000}"/>
    <cellStyle name="Normal 26 2 2 8 6" xfId="26509" xr:uid="{00000000-0005-0000-0000-000087670000}"/>
    <cellStyle name="Normal 26 2 2 9" xfId="26510" xr:uid="{00000000-0005-0000-0000-000088670000}"/>
    <cellStyle name="Normal 26 2 2 9 2" xfId="26511" xr:uid="{00000000-0005-0000-0000-000089670000}"/>
    <cellStyle name="Normal 26 2 2 9 3" xfId="26512" xr:uid="{00000000-0005-0000-0000-00008A670000}"/>
    <cellStyle name="Normal 26 2 2 9 4" xfId="26513" xr:uid="{00000000-0005-0000-0000-00008B670000}"/>
    <cellStyle name="Normal 26 2 2 9 5" xfId="26514" xr:uid="{00000000-0005-0000-0000-00008C670000}"/>
    <cellStyle name="Normal 26 2 2 9 6" xfId="26515" xr:uid="{00000000-0005-0000-0000-00008D670000}"/>
    <cellStyle name="Normal 26 2 3" xfId="26516" xr:uid="{00000000-0005-0000-0000-00008E670000}"/>
    <cellStyle name="Normal 26 2 3 10" xfId="26517" xr:uid="{00000000-0005-0000-0000-00008F670000}"/>
    <cellStyle name="Normal 26 2 3 11" xfId="26518" xr:uid="{00000000-0005-0000-0000-000090670000}"/>
    <cellStyle name="Normal 26 2 3 12" xfId="26519" xr:uid="{00000000-0005-0000-0000-000091670000}"/>
    <cellStyle name="Normal 26 2 3 2" xfId="26520" xr:uid="{00000000-0005-0000-0000-000092670000}"/>
    <cellStyle name="Normal 26 2 3 2 10" xfId="26521" xr:uid="{00000000-0005-0000-0000-000093670000}"/>
    <cellStyle name="Normal 26 2 3 2 11" xfId="26522" xr:uid="{00000000-0005-0000-0000-000094670000}"/>
    <cellStyle name="Normal 26 2 3 2 2" xfId="26523" xr:uid="{00000000-0005-0000-0000-000095670000}"/>
    <cellStyle name="Normal 26 2 3 2 2 2" xfId="26524" xr:uid="{00000000-0005-0000-0000-000096670000}"/>
    <cellStyle name="Normal 26 2 3 2 2 2 2" xfId="26525" xr:uid="{00000000-0005-0000-0000-000097670000}"/>
    <cellStyle name="Normal 26 2 3 2 2 2 3" xfId="26526" xr:uid="{00000000-0005-0000-0000-000098670000}"/>
    <cellStyle name="Normal 26 2 3 2 2 2 4" xfId="26527" xr:uid="{00000000-0005-0000-0000-000099670000}"/>
    <cellStyle name="Normal 26 2 3 2 2 2 5" xfId="26528" xr:uid="{00000000-0005-0000-0000-00009A670000}"/>
    <cellStyle name="Normal 26 2 3 2 2 2 6" xfId="26529" xr:uid="{00000000-0005-0000-0000-00009B670000}"/>
    <cellStyle name="Normal 26 2 3 2 2 3" xfId="26530" xr:uid="{00000000-0005-0000-0000-00009C670000}"/>
    <cellStyle name="Normal 26 2 3 2 2 3 2" xfId="26531" xr:uid="{00000000-0005-0000-0000-00009D670000}"/>
    <cellStyle name="Normal 26 2 3 2 2 3 3" xfId="26532" xr:uid="{00000000-0005-0000-0000-00009E670000}"/>
    <cellStyle name="Normal 26 2 3 2 2 3 4" xfId="26533" xr:uid="{00000000-0005-0000-0000-00009F670000}"/>
    <cellStyle name="Normal 26 2 3 2 2 3 5" xfId="26534" xr:uid="{00000000-0005-0000-0000-0000A0670000}"/>
    <cellStyle name="Normal 26 2 3 2 2 3 6" xfId="26535" xr:uid="{00000000-0005-0000-0000-0000A1670000}"/>
    <cellStyle name="Normal 26 2 3 2 2 4" xfId="26536" xr:uid="{00000000-0005-0000-0000-0000A2670000}"/>
    <cellStyle name="Normal 26 2 3 2 2 5" xfId="26537" xr:uid="{00000000-0005-0000-0000-0000A3670000}"/>
    <cellStyle name="Normal 26 2 3 2 2 6" xfId="26538" xr:uid="{00000000-0005-0000-0000-0000A4670000}"/>
    <cellStyle name="Normal 26 2 3 2 2 7" xfId="26539" xr:uid="{00000000-0005-0000-0000-0000A5670000}"/>
    <cellStyle name="Normal 26 2 3 2 2 8" xfId="26540" xr:uid="{00000000-0005-0000-0000-0000A6670000}"/>
    <cellStyle name="Normal 26 2 3 2 3" xfId="26541" xr:uid="{00000000-0005-0000-0000-0000A7670000}"/>
    <cellStyle name="Normal 26 2 3 2 3 2" xfId="26542" xr:uid="{00000000-0005-0000-0000-0000A8670000}"/>
    <cellStyle name="Normal 26 2 3 2 3 2 2" xfId="26543" xr:uid="{00000000-0005-0000-0000-0000A9670000}"/>
    <cellStyle name="Normal 26 2 3 2 3 2 3" xfId="26544" xr:uid="{00000000-0005-0000-0000-0000AA670000}"/>
    <cellStyle name="Normal 26 2 3 2 3 2 4" xfId="26545" xr:uid="{00000000-0005-0000-0000-0000AB670000}"/>
    <cellStyle name="Normal 26 2 3 2 3 2 5" xfId="26546" xr:uid="{00000000-0005-0000-0000-0000AC670000}"/>
    <cellStyle name="Normal 26 2 3 2 3 2 6" xfId="26547" xr:uid="{00000000-0005-0000-0000-0000AD670000}"/>
    <cellStyle name="Normal 26 2 3 2 3 3" xfId="26548" xr:uid="{00000000-0005-0000-0000-0000AE670000}"/>
    <cellStyle name="Normal 26 2 3 2 3 3 2" xfId="26549" xr:uid="{00000000-0005-0000-0000-0000AF670000}"/>
    <cellStyle name="Normal 26 2 3 2 3 3 3" xfId="26550" xr:uid="{00000000-0005-0000-0000-0000B0670000}"/>
    <cellStyle name="Normal 26 2 3 2 3 3 4" xfId="26551" xr:uid="{00000000-0005-0000-0000-0000B1670000}"/>
    <cellStyle name="Normal 26 2 3 2 3 3 5" xfId="26552" xr:uid="{00000000-0005-0000-0000-0000B2670000}"/>
    <cellStyle name="Normal 26 2 3 2 3 3 6" xfId="26553" xr:uid="{00000000-0005-0000-0000-0000B3670000}"/>
    <cellStyle name="Normal 26 2 3 2 3 4" xfId="26554" xr:uid="{00000000-0005-0000-0000-0000B4670000}"/>
    <cellStyle name="Normal 26 2 3 2 3 5" xfId="26555" xr:uid="{00000000-0005-0000-0000-0000B5670000}"/>
    <cellStyle name="Normal 26 2 3 2 3 6" xfId="26556" xr:uid="{00000000-0005-0000-0000-0000B6670000}"/>
    <cellStyle name="Normal 26 2 3 2 3 7" xfId="26557" xr:uid="{00000000-0005-0000-0000-0000B7670000}"/>
    <cellStyle name="Normal 26 2 3 2 3 8" xfId="26558" xr:uid="{00000000-0005-0000-0000-0000B8670000}"/>
    <cellStyle name="Normal 26 2 3 2 4" xfId="26559" xr:uid="{00000000-0005-0000-0000-0000B9670000}"/>
    <cellStyle name="Normal 26 2 3 2 4 2" xfId="26560" xr:uid="{00000000-0005-0000-0000-0000BA670000}"/>
    <cellStyle name="Normal 26 2 3 2 4 2 2" xfId="26561" xr:uid="{00000000-0005-0000-0000-0000BB670000}"/>
    <cellStyle name="Normal 26 2 3 2 4 2 3" xfId="26562" xr:uid="{00000000-0005-0000-0000-0000BC670000}"/>
    <cellStyle name="Normal 26 2 3 2 4 2 4" xfId="26563" xr:uid="{00000000-0005-0000-0000-0000BD670000}"/>
    <cellStyle name="Normal 26 2 3 2 4 2 5" xfId="26564" xr:uid="{00000000-0005-0000-0000-0000BE670000}"/>
    <cellStyle name="Normal 26 2 3 2 4 2 6" xfId="26565" xr:uid="{00000000-0005-0000-0000-0000BF670000}"/>
    <cellStyle name="Normal 26 2 3 2 4 3" xfId="26566" xr:uid="{00000000-0005-0000-0000-0000C0670000}"/>
    <cellStyle name="Normal 26 2 3 2 4 3 2" xfId="26567" xr:uid="{00000000-0005-0000-0000-0000C1670000}"/>
    <cellStyle name="Normal 26 2 3 2 4 3 3" xfId="26568" xr:uid="{00000000-0005-0000-0000-0000C2670000}"/>
    <cellStyle name="Normal 26 2 3 2 4 3 4" xfId="26569" xr:uid="{00000000-0005-0000-0000-0000C3670000}"/>
    <cellStyle name="Normal 26 2 3 2 4 3 5" xfId="26570" xr:uid="{00000000-0005-0000-0000-0000C4670000}"/>
    <cellStyle name="Normal 26 2 3 2 4 3 6" xfId="26571" xr:uid="{00000000-0005-0000-0000-0000C5670000}"/>
    <cellStyle name="Normal 26 2 3 2 4 4" xfId="26572" xr:uid="{00000000-0005-0000-0000-0000C6670000}"/>
    <cellStyle name="Normal 26 2 3 2 4 5" xfId="26573" xr:uid="{00000000-0005-0000-0000-0000C7670000}"/>
    <cellStyle name="Normal 26 2 3 2 4 6" xfId="26574" xr:uid="{00000000-0005-0000-0000-0000C8670000}"/>
    <cellStyle name="Normal 26 2 3 2 4 7" xfId="26575" xr:uid="{00000000-0005-0000-0000-0000C9670000}"/>
    <cellStyle name="Normal 26 2 3 2 4 8" xfId="26576" xr:uid="{00000000-0005-0000-0000-0000CA670000}"/>
    <cellStyle name="Normal 26 2 3 2 5" xfId="26577" xr:uid="{00000000-0005-0000-0000-0000CB670000}"/>
    <cellStyle name="Normal 26 2 3 2 5 2" xfId="26578" xr:uid="{00000000-0005-0000-0000-0000CC670000}"/>
    <cellStyle name="Normal 26 2 3 2 5 3" xfId="26579" xr:uid="{00000000-0005-0000-0000-0000CD670000}"/>
    <cellStyle name="Normal 26 2 3 2 5 4" xfId="26580" xr:uid="{00000000-0005-0000-0000-0000CE670000}"/>
    <cellStyle name="Normal 26 2 3 2 5 5" xfId="26581" xr:uid="{00000000-0005-0000-0000-0000CF670000}"/>
    <cellStyle name="Normal 26 2 3 2 5 6" xfId="26582" xr:uid="{00000000-0005-0000-0000-0000D0670000}"/>
    <cellStyle name="Normal 26 2 3 2 6" xfId="26583" xr:uid="{00000000-0005-0000-0000-0000D1670000}"/>
    <cellStyle name="Normal 26 2 3 2 6 2" xfId="26584" xr:uid="{00000000-0005-0000-0000-0000D2670000}"/>
    <cellStyle name="Normal 26 2 3 2 6 3" xfId="26585" xr:uid="{00000000-0005-0000-0000-0000D3670000}"/>
    <cellStyle name="Normal 26 2 3 2 6 4" xfId="26586" xr:uid="{00000000-0005-0000-0000-0000D4670000}"/>
    <cellStyle name="Normal 26 2 3 2 6 5" xfId="26587" xr:uid="{00000000-0005-0000-0000-0000D5670000}"/>
    <cellStyle name="Normal 26 2 3 2 6 6" xfId="26588" xr:uid="{00000000-0005-0000-0000-0000D6670000}"/>
    <cellStyle name="Normal 26 2 3 2 7" xfId="26589" xr:uid="{00000000-0005-0000-0000-0000D7670000}"/>
    <cellStyle name="Normal 26 2 3 2 8" xfId="26590" xr:uid="{00000000-0005-0000-0000-0000D8670000}"/>
    <cellStyle name="Normal 26 2 3 2 9" xfId="26591" xr:uid="{00000000-0005-0000-0000-0000D9670000}"/>
    <cellStyle name="Normal 26 2 3 3" xfId="26592" xr:uid="{00000000-0005-0000-0000-0000DA670000}"/>
    <cellStyle name="Normal 26 2 3 3 2" xfId="26593" xr:uid="{00000000-0005-0000-0000-0000DB670000}"/>
    <cellStyle name="Normal 26 2 3 3 2 2" xfId="26594" xr:uid="{00000000-0005-0000-0000-0000DC670000}"/>
    <cellStyle name="Normal 26 2 3 3 2 3" xfId="26595" xr:uid="{00000000-0005-0000-0000-0000DD670000}"/>
    <cellStyle name="Normal 26 2 3 3 2 4" xfId="26596" xr:uid="{00000000-0005-0000-0000-0000DE670000}"/>
    <cellStyle name="Normal 26 2 3 3 2 5" xfId="26597" xr:uid="{00000000-0005-0000-0000-0000DF670000}"/>
    <cellStyle name="Normal 26 2 3 3 2 6" xfId="26598" xr:uid="{00000000-0005-0000-0000-0000E0670000}"/>
    <cellStyle name="Normal 26 2 3 3 3" xfId="26599" xr:uid="{00000000-0005-0000-0000-0000E1670000}"/>
    <cellStyle name="Normal 26 2 3 3 3 2" xfId="26600" xr:uid="{00000000-0005-0000-0000-0000E2670000}"/>
    <cellStyle name="Normal 26 2 3 3 3 3" xfId="26601" xr:uid="{00000000-0005-0000-0000-0000E3670000}"/>
    <cellStyle name="Normal 26 2 3 3 3 4" xfId="26602" xr:uid="{00000000-0005-0000-0000-0000E4670000}"/>
    <cellStyle name="Normal 26 2 3 3 3 5" xfId="26603" xr:uid="{00000000-0005-0000-0000-0000E5670000}"/>
    <cellStyle name="Normal 26 2 3 3 3 6" xfId="26604" xr:uid="{00000000-0005-0000-0000-0000E6670000}"/>
    <cellStyle name="Normal 26 2 3 3 4" xfId="26605" xr:uid="{00000000-0005-0000-0000-0000E7670000}"/>
    <cellStyle name="Normal 26 2 3 3 5" xfId="26606" xr:uid="{00000000-0005-0000-0000-0000E8670000}"/>
    <cellStyle name="Normal 26 2 3 3 6" xfId="26607" xr:uid="{00000000-0005-0000-0000-0000E9670000}"/>
    <cellStyle name="Normal 26 2 3 3 7" xfId="26608" xr:uid="{00000000-0005-0000-0000-0000EA670000}"/>
    <cellStyle name="Normal 26 2 3 3 8" xfId="26609" xr:uid="{00000000-0005-0000-0000-0000EB670000}"/>
    <cellStyle name="Normal 26 2 3 4" xfId="26610" xr:uid="{00000000-0005-0000-0000-0000EC670000}"/>
    <cellStyle name="Normal 26 2 3 4 2" xfId="26611" xr:uid="{00000000-0005-0000-0000-0000ED670000}"/>
    <cellStyle name="Normal 26 2 3 4 2 2" xfId="26612" xr:uid="{00000000-0005-0000-0000-0000EE670000}"/>
    <cellStyle name="Normal 26 2 3 4 2 3" xfId="26613" xr:uid="{00000000-0005-0000-0000-0000EF670000}"/>
    <cellStyle name="Normal 26 2 3 4 2 4" xfId="26614" xr:uid="{00000000-0005-0000-0000-0000F0670000}"/>
    <cellStyle name="Normal 26 2 3 4 2 5" xfId="26615" xr:uid="{00000000-0005-0000-0000-0000F1670000}"/>
    <cellStyle name="Normal 26 2 3 4 2 6" xfId="26616" xr:uid="{00000000-0005-0000-0000-0000F2670000}"/>
    <cellStyle name="Normal 26 2 3 4 3" xfId="26617" xr:uid="{00000000-0005-0000-0000-0000F3670000}"/>
    <cellStyle name="Normal 26 2 3 4 3 2" xfId="26618" xr:uid="{00000000-0005-0000-0000-0000F4670000}"/>
    <cellStyle name="Normal 26 2 3 4 3 3" xfId="26619" xr:uid="{00000000-0005-0000-0000-0000F5670000}"/>
    <cellStyle name="Normal 26 2 3 4 3 4" xfId="26620" xr:uid="{00000000-0005-0000-0000-0000F6670000}"/>
    <cellStyle name="Normal 26 2 3 4 3 5" xfId="26621" xr:uid="{00000000-0005-0000-0000-0000F7670000}"/>
    <cellStyle name="Normal 26 2 3 4 3 6" xfId="26622" xr:uid="{00000000-0005-0000-0000-0000F8670000}"/>
    <cellStyle name="Normal 26 2 3 4 4" xfId="26623" xr:uid="{00000000-0005-0000-0000-0000F9670000}"/>
    <cellStyle name="Normal 26 2 3 4 5" xfId="26624" xr:uid="{00000000-0005-0000-0000-0000FA670000}"/>
    <cellStyle name="Normal 26 2 3 4 6" xfId="26625" xr:uid="{00000000-0005-0000-0000-0000FB670000}"/>
    <cellStyle name="Normal 26 2 3 4 7" xfId="26626" xr:uid="{00000000-0005-0000-0000-0000FC670000}"/>
    <cellStyle name="Normal 26 2 3 4 8" xfId="26627" xr:uid="{00000000-0005-0000-0000-0000FD670000}"/>
    <cellStyle name="Normal 26 2 3 5" xfId="26628" xr:uid="{00000000-0005-0000-0000-0000FE670000}"/>
    <cellStyle name="Normal 26 2 3 5 2" xfId="26629" xr:uid="{00000000-0005-0000-0000-0000FF670000}"/>
    <cellStyle name="Normal 26 2 3 5 2 2" xfId="26630" xr:uid="{00000000-0005-0000-0000-000000680000}"/>
    <cellStyle name="Normal 26 2 3 5 2 3" xfId="26631" xr:uid="{00000000-0005-0000-0000-000001680000}"/>
    <cellStyle name="Normal 26 2 3 5 2 4" xfId="26632" xr:uid="{00000000-0005-0000-0000-000002680000}"/>
    <cellStyle name="Normal 26 2 3 5 2 5" xfId="26633" xr:uid="{00000000-0005-0000-0000-000003680000}"/>
    <cellStyle name="Normal 26 2 3 5 2 6" xfId="26634" xr:uid="{00000000-0005-0000-0000-000004680000}"/>
    <cellStyle name="Normal 26 2 3 5 3" xfId="26635" xr:uid="{00000000-0005-0000-0000-000005680000}"/>
    <cellStyle name="Normal 26 2 3 5 3 2" xfId="26636" xr:uid="{00000000-0005-0000-0000-000006680000}"/>
    <cellStyle name="Normal 26 2 3 5 3 3" xfId="26637" xr:uid="{00000000-0005-0000-0000-000007680000}"/>
    <cellStyle name="Normal 26 2 3 5 3 4" xfId="26638" xr:uid="{00000000-0005-0000-0000-000008680000}"/>
    <cellStyle name="Normal 26 2 3 5 3 5" xfId="26639" xr:uid="{00000000-0005-0000-0000-000009680000}"/>
    <cellStyle name="Normal 26 2 3 5 3 6" xfId="26640" xr:uid="{00000000-0005-0000-0000-00000A680000}"/>
    <cellStyle name="Normal 26 2 3 5 4" xfId="26641" xr:uid="{00000000-0005-0000-0000-00000B680000}"/>
    <cellStyle name="Normal 26 2 3 5 5" xfId="26642" xr:uid="{00000000-0005-0000-0000-00000C680000}"/>
    <cellStyle name="Normal 26 2 3 5 6" xfId="26643" xr:uid="{00000000-0005-0000-0000-00000D680000}"/>
    <cellStyle name="Normal 26 2 3 5 7" xfId="26644" xr:uid="{00000000-0005-0000-0000-00000E680000}"/>
    <cellStyle name="Normal 26 2 3 5 8" xfId="26645" xr:uid="{00000000-0005-0000-0000-00000F680000}"/>
    <cellStyle name="Normal 26 2 3 6" xfId="26646" xr:uid="{00000000-0005-0000-0000-000010680000}"/>
    <cellStyle name="Normal 26 2 3 6 2" xfId="26647" xr:uid="{00000000-0005-0000-0000-000011680000}"/>
    <cellStyle name="Normal 26 2 3 6 3" xfId="26648" xr:uid="{00000000-0005-0000-0000-000012680000}"/>
    <cellStyle name="Normal 26 2 3 6 4" xfId="26649" xr:uid="{00000000-0005-0000-0000-000013680000}"/>
    <cellStyle name="Normal 26 2 3 6 5" xfId="26650" xr:uid="{00000000-0005-0000-0000-000014680000}"/>
    <cellStyle name="Normal 26 2 3 6 6" xfId="26651" xr:uid="{00000000-0005-0000-0000-000015680000}"/>
    <cellStyle name="Normal 26 2 3 7" xfId="26652" xr:uid="{00000000-0005-0000-0000-000016680000}"/>
    <cellStyle name="Normal 26 2 3 7 2" xfId="26653" xr:uid="{00000000-0005-0000-0000-000017680000}"/>
    <cellStyle name="Normal 26 2 3 7 3" xfId="26654" xr:uid="{00000000-0005-0000-0000-000018680000}"/>
    <cellStyle name="Normal 26 2 3 7 4" xfId="26655" xr:uid="{00000000-0005-0000-0000-000019680000}"/>
    <cellStyle name="Normal 26 2 3 7 5" xfId="26656" xr:uid="{00000000-0005-0000-0000-00001A680000}"/>
    <cellStyle name="Normal 26 2 3 7 6" xfId="26657" xr:uid="{00000000-0005-0000-0000-00001B680000}"/>
    <cellStyle name="Normal 26 2 3 8" xfId="26658" xr:uid="{00000000-0005-0000-0000-00001C680000}"/>
    <cellStyle name="Normal 26 2 3 9" xfId="26659" xr:uid="{00000000-0005-0000-0000-00001D680000}"/>
    <cellStyle name="Normal 26 2 4" xfId="26660" xr:uid="{00000000-0005-0000-0000-00001E680000}"/>
    <cellStyle name="Normal 26 2 4 10" xfId="26661" xr:uid="{00000000-0005-0000-0000-00001F680000}"/>
    <cellStyle name="Normal 26 2 4 11" xfId="26662" xr:uid="{00000000-0005-0000-0000-000020680000}"/>
    <cellStyle name="Normal 26 2 4 12" xfId="26663" xr:uid="{00000000-0005-0000-0000-000021680000}"/>
    <cellStyle name="Normal 26 2 4 2" xfId="26664" xr:uid="{00000000-0005-0000-0000-000022680000}"/>
    <cellStyle name="Normal 26 2 4 2 10" xfId="26665" xr:uid="{00000000-0005-0000-0000-000023680000}"/>
    <cellStyle name="Normal 26 2 4 2 11" xfId="26666" xr:uid="{00000000-0005-0000-0000-000024680000}"/>
    <cellStyle name="Normal 26 2 4 2 2" xfId="26667" xr:uid="{00000000-0005-0000-0000-000025680000}"/>
    <cellStyle name="Normal 26 2 4 2 2 2" xfId="26668" xr:uid="{00000000-0005-0000-0000-000026680000}"/>
    <cellStyle name="Normal 26 2 4 2 2 2 2" xfId="26669" xr:uid="{00000000-0005-0000-0000-000027680000}"/>
    <cellStyle name="Normal 26 2 4 2 2 2 3" xfId="26670" xr:uid="{00000000-0005-0000-0000-000028680000}"/>
    <cellStyle name="Normal 26 2 4 2 2 2 4" xfId="26671" xr:uid="{00000000-0005-0000-0000-000029680000}"/>
    <cellStyle name="Normal 26 2 4 2 2 2 5" xfId="26672" xr:uid="{00000000-0005-0000-0000-00002A680000}"/>
    <cellStyle name="Normal 26 2 4 2 2 2 6" xfId="26673" xr:uid="{00000000-0005-0000-0000-00002B680000}"/>
    <cellStyle name="Normal 26 2 4 2 2 3" xfId="26674" xr:uid="{00000000-0005-0000-0000-00002C680000}"/>
    <cellStyle name="Normal 26 2 4 2 2 3 2" xfId="26675" xr:uid="{00000000-0005-0000-0000-00002D680000}"/>
    <cellStyle name="Normal 26 2 4 2 2 3 3" xfId="26676" xr:uid="{00000000-0005-0000-0000-00002E680000}"/>
    <cellStyle name="Normal 26 2 4 2 2 3 4" xfId="26677" xr:uid="{00000000-0005-0000-0000-00002F680000}"/>
    <cellStyle name="Normal 26 2 4 2 2 3 5" xfId="26678" xr:uid="{00000000-0005-0000-0000-000030680000}"/>
    <cellStyle name="Normal 26 2 4 2 2 3 6" xfId="26679" xr:uid="{00000000-0005-0000-0000-000031680000}"/>
    <cellStyle name="Normal 26 2 4 2 2 4" xfId="26680" xr:uid="{00000000-0005-0000-0000-000032680000}"/>
    <cellStyle name="Normal 26 2 4 2 2 5" xfId="26681" xr:uid="{00000000-0005-0000-0000-000033680000}"/>
    <cellStyle name="Normal 26 2 4 2 2 6" xfId="26682" xr:uid="{00000000-0005-0000-0000-000034680000}"/>
    <cellStyle name="Normal 26 2 4 2 2 7" xfId="26683" xr:uid="{00000000-0005-0000-0000-000035680000}"/>
    <cellStyle name="Normal 26 2 4 2 2 8" xfId="26684" xr:uid="{00000000-0005-0000-0000-000036680000}"/>
    <cellStyle name="Normal 26 2 4 2 3" xfId="26685" xr:uid="{00000000-0005-0000-0000-000037680000}"/>
    <cellStyle name="Normal 26 2 4 2 3 2" xfId="26686" xr:uid="{00000000-0005-0000-0000-000038680000}"/>
    <cellStyle name="Normal 26 2 4 2 3 2 2" xfId="26687" xr:uid="{00000000-0005-0000-0000-000039680000}"/>
    <cellStyle name="Normal 26 2 4 2 3 2 3" xfId="26688" xr:uid="{00000000-0005-0000-0000-00003A680000}"/>
    <cellStyle name="Normal 26 2 4 2 3 2 4" xfId="26689" xr:uid="{00000000-0005-0000-0000-00003B680000}"/>
    <cellStyle name="Normal 26 2 4 2 3 2 5" xfId="26690" xr:uid="{00000000-0005-0000-0000-00003C680000}"/>
    <cellStyle name="Normal 26 2 4 2 3 2 6" xfId="26691" xr:uid="{00000000-0005-0000-0000-00003D680000}"/>
    <cellStyle name="Normal 26 2 4 2 3 3" xfId="26692" xr:uid="{00000000-0005-0000-0000-00003E680000}"/>
    <cellStyle name="Normal 26 2 4 2 3 3 2" xfId="26693" xr:uid="{00000000-0005-0000-0000-00003F680000}"/>
    <cellStyle name="Normal 26 2 4 2 3 3 3" xfId="26694" xr:uid="{00000000-0005-0000-0000-000040680000}"/>
    <cellStyle name="Normal 26 2 4 2 3 3 4" xfId="26695" xr:uid="{00000000-0005-0000-0000-000041680000}"/>
    <cellStyle name="Normal 26 2 4 2 3 3 5" xfId="26696" xr:uid="{00000000-0005-0000-0000-000042680000}"/>
    <cellStyle name="Normal 26 2 4 2 3 3 6" xfId="26697" xr:uid="{00000000-0005-0000-0000-000043680000}"/>
    <cellStyle name="Normal 26 2 4 2 3 4" xfId="26698" xr:uid="{00000000-0005-0000-0000-000044680000}"/>
    <cellStyle name="Normal 26 2 4 2 3 5" xfId="26699" xr:uid="{00000000-0005-0000-0000-000045680000}"/>
    <cellStyle name="Normal 26 2 4 2 3 6" xfId="26700" xr:uid="{00000000-0005-0000-0000-000046680000}"/>
    <cellStyle name="Normal 26 2 4 2 3 7" xfId="26701" xr:uid="{00000000-0005-0000-0000-000047680000}"/>
    <cellStyle name="Normal 26 2 4 2 3 8" xfId="26702" xr:uid="{00000000-0005-0000-0000-000048680000}"/>
    <cellStyle name="Normal 26 2 4 2 4" xfId="26703" xr:uid="{00000000-0005-0000-0000-000049680000}"/>
    <cellStyle name="Normal 26 2 4 2 4 2" xfId="26704" xr:uid="{00000000-0005-0000-0000-00004A680000}"/>
    <cellStyle name="Normal 26 2 4 2 4 2 2" xfId="26705" xr:uid="{00000000-0005-0000-0000-00004B680000}"/>
    <cellStyle name="Normal 26 2 4 2 4 2 3" xfId="26706" xr:uid="{00000000-0005-0000-0000-00004C680000}"/>
    <cellStyle name="Normal 26 2 4 2 4 2 4" xfId="26707" xr:uid="{00000000-0005-0000-0000-00004D680000}"/>
    <cellStyle name="Normal 26 2 4 2 4 2 5" xfId="26708" xr:uid="{00000000-0005-0000-0000-00004E680000}"/>
    <cellStyle name="Normal 26 2 4 2 4 2 6" xfId="26709" xr:uid="{00000000-0005-0000-0000-00004F680000}"/>
    <cellStyle name="Normal 26 2 4 2 4 3" xfId="26710" xr:uid="{00000000-0005-0000-0000-000050680000}"/>
    <cellStyle name="Normal 26 2 4 2 4 3 2" xfId="26711" xr:uid="{00000000-0005-0000-0000-000051680000}"/>
    <cellStyle name="Normal 26 2 4 2 4 3 3" xfId="26712" xr:uid="{00000000-0005-0000-0000-000052680000}"/>
    <cellStyle name="Normal 26 2 4 2 4 3 4" xfId="26713" xr:uid="{00000000-0005-0000-0000-000053680000}"/>
    <cellStyle name="Normal 26 2 4 2 4 3 5" xfId="26714" xr:uid="{00000000-0005-0000-0000-000054680000}"/>
    <cellStyle name="Normal 26 2 4 2 4 3 6" xfId="26715" xr:uid="{00000000-0005-0000-0000-000055680000}"/>
    <cellStyle name="Normal 26 2 4 2 4 4" xfId="26716" xr:uid="{00000000-0005-0000-0000-000056680000}"/>
    <cellStyle name="Normal 26 2 4 2 4 5" xfId="26717" xr:uid="{00000000-0005-0000-0000-000057680000}"/>
    <cellStyle name="Normal 26 2 4 2 4 6" xfId="26718" xr:uid="{00000000-0005-0000-0000-000058680000}"/>
    <cellStyle name="Normal 26 2 4 2 4 7" xfId="26719" xr:uid="{00000000-0005-0000-0000-000059680000}"/>
    <cellStyle name="Normal 26 2 4 2 4 8" xfId="26720" xr:uid="{00000000-0005-0000-0000-00005A680000}"/>
    <cellStyle name="Normal 26 2 4 2 5" xfId="26721" xr:uid="{00000000-0005-0000-0000-00005B680000}"/>
    <cellStyle name="Normal 26 2 4 2 5 2" xfId="26722" xr:uid="{00000000-0005-0000-0000-00005C680000}"/>
    <cellStyle name="Normal 26 2 4 2 5 3" xfId="26723" xr:uid="{00000000-0005-0000-0000-00005D680000}"/>
    <cellStyle name="Normal 26 2 4 2 5 4" xfId="26724" xr:uid="{00000000-0005-0000-0000-00005E680000}"/>
    <cellStyle name="Normal 26 2 4 2 5 5" xfId="26725" xr:uid="{00000000-0005-0000-0000-00005F680000}"/>
    <cellStyle name="Normal 26 2 4 2 5 6" xfId="26726" xr:uid="{00000000-0005-0000-0000-000060680000}"/>
    <cellStyle name="Normal 26 2 4 2 6" xfId="26727" xr:uid="{00000000-0005-0000-0000-000061680000}"/>
    <cellStyle name="Normal 26 2 4 2 6 2" xfId="26728" xr:uid="{00000000-0005-0000-0000-000062680000}"/>
    <cellStyle name="Normal 26 2 4 2 6 3" xfId="26729" xr:uid="{00000000-0005-0000-0000-000063680000}"/>
    <cellStyle name="Normal 26 2 4 2 6 4" xfId="26730" xr:uid="{00000000-0005-0000-0000-000064680000}"/>
    <cellStyle name="Normal 26 2 4 2 6 5" xfId="26731" xr:uid="{00000000-0005-0000-0000-000065680000}"/>
    <cellStyle name="Normal 26 2 4 2 6 6" xfId="26732" xr:uid="{00000000-0005-0000-0000-000066680000}"/>
    <cellStyle name="Normal 26 2 4 2 7" xfId="26733" xr:uid="{00000000-0005-0000-0000-000067680000}"/>
    <cellStyle name="Normal 26 2 4 2 8" xfId="26734" xr:uid="{00000000-0005-0000-0000-000068680000}"/>
    <cellStyle name="Normal 26 2 4 2 9" xfId="26735" xr:uid="{00000000-0005-0000-0000-000069680000}"/>
    <cellStyle name="Normal 26 2 4 3" xfId="26736" xr:uid="{00000000-0005-0000-0000-00006A680000}"/>
    <cellStyle name="Normal 26 2 4 3 2" xfId="26737" xr:uid="{00000000-0005-0000-0000-00006B680000}"/>
    <cellStyle name="Normal 26 2 4 3 2 2" xfId="26738" xr:uid="{00000000-0005-0000-0000-00006C680000}"/>
    <cellStyle name="Normal 26 2 4 3 2 3" xfId="26739" xr:uid="{00000000-0005-0000-0000-00006D680000}"/>
    <cellStyle name="Normal 26 2 4 3 2 4" xfId="26740" xr:uid="{00000000-0005-0000-0000-00006E680000}"/>
    <cellStyle name="Normal 26 2 4 3 2 5" xfId="26741" xr:uid="{00000000-0005-0000-0000-00006F680000}"/>
    <cellStyle name="Normal 26 2 4 3 2 6" xfId="26742" xr:uid="{00000000-0005-0000-0000-000070680000}"/>
    <cellStyle name="Normal 26 2 4 3 3" xfId="26743" xr:uid="{00000000-0005-0000-0000-000071680000}"/>
    <cellStyle name="Normal 26 2 4 3 3 2" xfId="26744" xr:uid="{00000000-0005-0000-0000-000072680000}"/>
    <cellStyle name="Normal 26 2 4 3 3 3" xfId="26745" xr:uid="{00000000-0005-0000-0000-000073680000}"/>
    <cellStyle name="Normal 26 2 4 3 3 4" xfId="26746" xr:uid="{00000000-0005-0000-0000-000074680000}"/>
    <cellStyle name="Normal 26 2 4 3 3 5" xfId="26747" xr:uid="{00000000-0005-0000-0000-000075680000}"/>
    <cellStyle name="Normal 26 2 4 3 3 6" xfId="26748" xr:uid="{00000000-0005-0000-0000-000076680000}"/>
    <cellStyle name="Normal 26 2 4 3 4" xfId="26749" xr:uid="{00000000-0005-0000-0000-000077680000}"/>
    <cellStyle name="Normal 26 2 4 3 5" xfId="26750" xr:uid="{00000000-0005-0000-0000-000078680000}"/>
    <cellStyle name="Normal 26 2 4 3 6" xfId="26751" xr:uid="{00000000-0005-0000-0000-000079680000}"/>
    <cellStyle name="Normal 26 2 4 3 7" xfId="26752" xr:uid="{00000000-0005-0000-0000-00007A680000}"/>
    <cellStyle name="Normal 26 2 4 3 8" xfId="26753" xr:uid="{00000000-0005-0000-0000-00007B680000}"/>
    <cellStyle name="Normal 26 2 4 4" xfId="26754" xr:uid="{00000000-0005-0000-0000-00007C680000}"/>
    <cellStyle name="Normal 26 2 4 4 2" xfId="26755" xr:uid="{00000000-0005-0000-0000-00007D680000}"/>
    <cellStyle name="Normal 26 2 4 4 2 2" xfId="26756" xr:uid="{00000000-0005-0000-0000-00007E680000}"/>
    <cellStyle name="Normal 26 2 4 4 2 3" xfId="26757" xr:uid="{00000000-0005-0000-0000-00007F680000}"/>
    <cellStyle name="Normal 26 2 4 4 2 4" xfId="26758" xr:uid="{00000000-0005-0000-0000-000080680000}"/>
    <cellStyle name="Normal 26 2 4 4 2 5" xfId="26759" xr:uid="{00000000-0005-0000-0000-000081680000}"/>
    <cellStyle name="Normal 26 2 4 4 2 6" xfId="26760" xr:uid="{00000000-0005-0000-0000-000082680000}"/>
    <cellStyle name="Normal 26 2 4 4 3" xfId="26761" xr:uid="{00000000-0005-0000-0000-000083680000}"/>
    <cellStyle name="Normal 26 2 4 4 3 2" xfId="26762" xr:uid="{00000000-0005-0000-0000-000084680000}"/>
    <cellStyle name="Normal 26 2 4 4 3 3" xfId="26763" xr:uid="{00000000-0005-0000-0000-000085680000}"/>
    <cellStyle name="Normal 26 2 4 4 3 4" xfId="26764" xr:uid="{00000000-0005-0000-0000-000086680000}"/>
    <cellStyle name="Normal 26 2 4 4 3 5" xfId="26765" xr:uid="{00000000-0005-0000-0000-000087680000}"/>
    <cellStyle name="Normal 26 2 4 4 3 6" xfId="26766" xr:uid="{00000000-0005-0000-0000-000088680000}"/>
    <cellStyle name="Normal 26 2 4 4 4" xfId="26767" xr:uid="{00000000-0005-0000-0000-000089680000}"/>
    <cellStyle name="Normal 26 2 4 4 5" xfId="26768" xr:uid="{00000000-0005-0000-0000-00008A680000}"/>
    <cellStyle name="Normal 26 2 4 4 6" xfId="26769" xr:uid="{00000000-0005-0000-0000-00008B680000}"/>
    <cellStyle name="Normal 26 2 4 4 7" xfId="26770" xr:uid="{00000000-0005-0000-0000-00008C680000}"/>
    <cellStyle name="Normal 26 2 4 4 8" xfId="26771" xr:uid="{00000000-0005-0000-0000-00008D680000}"/>
    <cellStyle name="Normal 26 2 4 5" xfId="26772" xr:uid="{00000000-0005-0000-0000-00008E680000}"/>
    <cellStyle name="Normal 26 2 4 5 2" xfId="26773" xr:uid="{00000000-0005-0000-0000-00008F680000}"/>
    <cellStyle name="Normal 26 2 4 5 2 2" xfId="26774" xr:uid="{00000000-0005-0000-0000-000090680000}"/>
    <cellStyle name="Normal 26 2 4 5 2 3" xfId="26775" xr:uid="{00000000-0005-0000-0000-000091680000}"/>
    <cellStyle name="Normal 26 2 4 5 2 4" xfId="26776" xr:uid="{00000000-0005-0000-0000-000092680000}"/>
    <cellStyle name="Normal 26 2 4 5 2 5" xfId="26777" xr:uid="{00000000-0005-0000-0000-000093680000}"/>
    <cellStyle name="Normal 26 2 4 5 2 6" xfId="26778" xr:uid="{00000000-0005-0000-0000-000094680000}"/>
    <cellStyle name="Normal 26 2 4 5 3" xfId="26779" xr:uid="{00000000-0005-0000-0000-000095680000}"/>
    <cellStyle name="Normal 26 2 4 5 3 2" xfId="26780" xr:uid="{00000000-0005-0000-0000-000096680000}"/>
    <cellStyle name="Normal 26 2 4 5 3 3" xfId="26781" xr:uid="{00000000-0005-0000-0000-000097680000}"/>
    <cellStyle name="Normal 26 2 4 5 3 4" xfId="26782" xr:uid="{00000000-0005-0000-0000-000098680000}"/>
    <cellStyle name="Normal 26 2 4 5 3 5" xfId="26783" xr:uid="{00000000-0005-0000-0000-000099680000}"/>
    <cellStyle name="Normal 26 2 4 5 3 6" xfId="26784" xr:uid="{00000000-0005-0000-0000-00009A680000}"/>
    <cellStyle name="Normal 26 2 4 5 4" xfId="26785" xr:uid="{00000000-0005-0000-0000-00009B680000}"/>
    <cellStyle name="Normal 26 2 4 5 5" xfId="26786" xr:uid="{00000000-0005-0000-0000-00009C680000}"/>
    <cellStyle name="Normal 26 2 4 5 6" xfId="26787" xr:uid="{00000000-0005-0000-0000-00009D680000}"/>
    <cellStyle name="Normal 26 2 4 5 7" xfId="26788" xr:uid="{00000000-0005-0000-0000-00009E680000}"/>
    <cellStyle name="Normal 26 2 4 5 8" xfId="26789" xr:uid="{00000000-0005-0000-0000-00009F680000}"/>
    <cellStyle name="Normal 26 2 4 6" xfId="26790" xr:uid="{00000000-0005-0000-0000-0000A0680000}"/>
    <cellStyle name="Normal 26 2 4 6 2" xfId="26791" xr:uid="{00000000-0005-0000-0000-0000A1680000}"/>
    <cellStyle name="Normal 26 2 4 6 3" xfId="26792" xr:uid="{00000000-0005-0000-0000-0000A2680000}"/>
    <cellStyle name="Normal 26 2 4 6 4" xfId="26793" xr:uid="{00000000-0005-0000-0000-0000A3680000}"/>
    <cellStyle name="Normal 26 2 4 6 5" xfId="26794" xr:uid="{00000000-0005-0000-0000-0000A4680000}"/>
    <cellStyle name="Normal 26 2 4 6 6" xfId="26795" xr:uid="{00000000-0005-0000-0000-0000A5680000}"/>
    <cellStyle name="Normal 26 2 4 7" xfId="26796" xr:uid="{00000000-0005-0000-0000-0000A6680000}"/>
    <cellStyle name="Normal 26 2 4 7 2" xfId="26797" xr:uid="{00000000-0005-0000-0000-0000A7680000}"/>
    <cellStyle name="Normal 26 2 4 7 3" xfId="26798" xr:uid="{00000000-0005-0000-0000-0000A8680000}"/>
    <cellStyle name="Normal 26 2 4 7 4" xfId="26799" xr:uid="{00000000-0005-0000-0000-0000A9680000}"/>
    <cellStyle name="Normal 26 2 4 7 5" xfId="26800" xr:uid="{00000000-0005-0000-0000-0000AA680000}"/>
    <cellStyle name="Normal 26 2 4 7 6" xfId="26801" xr:uid="{00000000-0005-0000-0000-0000AB680000}"/>
    <cellStyle name="Normal 26 2 4 8" xfId="26802" xr:uid="{00000000-0005-0000-0000-0000AC680000}"/>
    <cellStyle name="Normal 26 2 4 9" xfId="26803" xr:uid="{00000000-0005-0000-0000-0000AD680000}"/>
    <cellStyle name="Normal 26 2 5" xfId="26804" xr:uid="{00000000-0005-0000-0000-0000AE680000}"/>
    <cellStyle name="Normal 26 2 5 10" xfId="26805" xr:uid="{00000000-0005-0000-0000-0000AF680000}"/>
    <cellStyle name="Normal 26 2 5 11" xfId="26806" xr:uid="{00000000-0005-0000-0000-0000B0680000}"/>
    <cellStyle name="Normal 26 2 5 2" xfId="26807" xr:uid="{00000000-0005-0000-0000-0000B1680000}"/>
    <cellStyle name="Normal 26 2 5 2 2" xfId="26808" xr:uid="{00000000-0005-0000-0000-0000B2680000}"/>
    <cellStyle name="Normal 26 2 5 2 2 2" xfId="26809" xr:uid="{00000000-0005-0000-0000-0000B3680000}"/>
    <cellStyle name="Normal 26 2 5 2 2 3" xfId="26810" xr:uid="{00000000-0005-0000-0000-0000B4680000}"/>
    <cellStyle name="Normal 26 2 5 2 2 4" xfId="26811" xr:uid="{00000000-0005-0000-0000-0000B5680000}"/>
    <cellStyle name="Normal 26 2 5 2 2 5" xfId="26812" xr:uid="{00000000-0005-0000-0000-0000B6680000}"/>
    <cellStyle name="Normal 26 2 5 2 2 6" xfId="26813" xr:uid="{00000000-0005-0000-0000-0000B7680000}"/>
    <cellStyle name="Normal 26 2 5 2 3" xfId="26814" xr:uid="{00000000-0005-0000-0000-0000B8680000}"/>
    <cellStyle name="Normal 26 2 5 2 3 2" xfId="26815" xr:uid="{00000000-0005-0000-0000-0000B9680000}"/>
    <cellStyle name="Normal 26 2 5 2 3 3" xfId="26816" xr:uid="{00000000-0005-0000-0000-0000BA680000}"/>
    <cellStyle name="Normal 26 2 5 2 3 4" xfId="26817" xr:uid="{00000000-0005-0000-0000-0000BB680000}"/>
    <cellStyle name="Normal 26 2 5 2 3 5" xfId="26818" xr:uid="{00000000-0005-0000-0000-0000BC680000}"/>
    <cellStyle name="Normal 26 2 5 2 3 6" xfId="26819" xr:uid="{00000000-0005-0000-0000-0000BD680000}"/>
    <cellStyle name="Normal 26 2 5 2 4" xfId="26820" xr:uid="{00000000-0005-0000-0000-0000BE680000}"/>
    <cellStyle name="Normal 26 2 5 2 5" xfId="26821" xr:uid="{00000000-0005-0000-0000-0000BF680000}"/>
    <cellStyle name="Normal 26 2 5 2 6" xfId="26822" xr:uid="{00000000-0005-0000-0000-0000C0680000}"/>
    <cellStyle name="Normal 26 2 5 2 7" xfId="26823" xr:uid="{00000000-0005-0000-0000-0000C1680000}"/>
    <cellStyle name="Normal 26 2 5 2 8" xfId="26824" xr:uid="{00000000-0005-0000-0000-0000C2680000}"/>
    <cellStyle name="Normal 26 2 5 3" xfId="26825" xr:uid="{00000000-0005-0000-0000-0000C3680000}"/>
    <cellStyle name="Normal 26 2 5 3 2" xfId="26826" xr:uid="{00000000-0005-0000-0000-0000C4680000}"/>
    <cellStyle name="Normal 26 2 5 3 2 2" xfId="26827" xr:uid="{00000000-0005-0000-0000-0000C5680000}"/>
    <cellStyle name="Normal 26 2 5 3 2 3" xfId="26828" xr:uid="{00000000-0005-0000-0000-0000C6680000}"/>
    <cellStyle name="Normal 26 2 5 3 2 4" xfId="26829" xr:uid="{00000000-0005-0000-0000-0000C7680000}"/>
    <cellStyle name="Normal 26 2 5 3 2 5" xfId="26830" xr:uid="{00000000-0005-0000-0000-0000C8680000}"/>
    <cellStyle name="Normal 26 2 5 3 2 6" xfId="26831" xr:uid="{00000000-0005-0000-0000-0000C9680000}"/>
    <cellStyle name="Normal 26 2 5 3 3" xfId="26832" xr:uid="{00000000-0005-0000-0000-0000CA680000}"/>
    <cellStyle name="Normal 26 2 5 3 3 2" xfId="26833" xr:uid="{00000000-0005-0000-0000-0000CB680000}"/>
    <cellStyle name="Normal 26 2 5 3 3 3" xfId="26834" xr:uid="{00000000-0005-0000-0000-0000CC680000}"/>
    <cellStyle name="Normal 26 2 5 3 3 4" xfId="26835" xr:uid="{00000000-0005-0000-0000-0000CD680000}"/>
    <cellStyle name="Normal 26 2 5 3 3 5" xfId="26836" xr:uid="{00000000-0005-0000-0000-0000CE680000}"/>
    <cellStyle name="Normal 26 2 5 3 3 6" xfId="26837" xr:uid="{00000000-0005-0000-0000-0000CF680000}"/>
    <cellStyle name="Normal 26 2 5 3 4" xfId="26838" xr:uid="{00000000-0005-0000-0000-0000D0680000}"/>
    <cellStyle name="Normal 26 2 5 3 5" xfId="26839" xr:uid="{00000000-0005-0000-0000-0000D1680000}"/>
    <cellStyle name="Normal 26 2 5 3 6" xfId="26840" xr:uid="{00000000-0005-0000-0000-0000D2680000}"/>
    <cellStyle name="Normal 26 2 5 3 7" xfId="26841" xr:uid="{00000000-0005-0000-0000-0000D3680000}"/>
    <cellStyle name="Normal 26 2 5 3 8" xfId="26842" xr:uid="{00000000-0005-0000-0000-0000D4680000}"/>
    <cellStyle name="Normal 26 2 5 4" xfId="26843" xr:uid="{00000000-0005-0000-0000-0000D5680000}"/>
    <cellStyle name="Normal 26 2 5 4 2" xfId="26844" xr:uid="{00000000-0005-0000-0000-0000D6680000}"/>
    <cellStyle name="Normal 26 2 5 4 2 2" xfId="26845" xr:uid="{00000000-0005-0000-0000-0000D7680000}"/>
    <cellStyle name="Normal 26 2 5 4 2 3" xfId="26846" xr:uid="{00000000-0005-0000-0000-0000D8680000}"/>
    <cellStyle name="Normal 26 2 5 4 2 4" xfId="26847" xr:uid="{00000000-0005-0000-0000-0000D9680000}"/>
    <cellStyle name="Normal 26 2 5 4 2 5" xfId="26848" xr:uid="{00000000-0005-0000-0000-0000DA680000}"/>
    <cellStyle name="Normal 26 2 5 4 2 6" xfId="26849" xr:uid="{00000000-0005-0000-0000-0000DB680000}"/>
    <cellStyle name="Normal 26 2 5 4 3" xfId="26850" xr:uid="{00000000-0005-0000-0000-0000DC680000}"/>
    <cellStyle name="Normal 26 2 5 4 3 2" xfId="26851" xr:uid="{00000000-0005-0000-0000-0000DD680000}"/>
    <cellStyle name="Normal 26 2 5 4 3 3" xfId="26852" xr:uid="{00000000-0005-0000-0000-0000DE680000}"/>
    <cellStyle name="Normal 26 2 5 4 3 4" xfId="26853" xr:uid="{00000000-0005-0000-0000-0000DF680000}"/>
    <cellStyle name="Normal 26 2 5 4 3 5" xfId="26854" xr:uid="{00000000-0005-0000-0000-0000E0680000}"/>
    <cellStyle name="Normal 26 2 5 4 3 6" xfId="26855" xr:uid="{00000000-0005-0000-0000-0000E1680000}"/>
    <cellStyle name="Normal 26 2 5 4 4" xfId="26856" xr:uid="{00000000-0005-0000-0000-0000E2680000}"/>
    <cellStyle name="Normal 26 2 5 4 5" xfId="26857" xr:uid="{00000000-0005-0000-0000-0000E3680000}"/>
    <cellStyle name="Normal 26 2 5 4 6" xfId="26858" xr:uid="{00000000-0005-0000-0000-0000E4680000}"/>
    <cellStyle name="Normal 26 2 5 4 7" xfId="26859" xr:uid="{00000000-0005-0000-0000-0000E5680000}"/>
    <cellStyle name="Normal 26 2 5 4 8" xfId="26860" xr:uid="{00000000-0005-0000-0000-0000E6680000}"/>
    <cellStyle name="Normal 26 2 5 5" xfId="26861" xr:uid="{00000000-0005-0000-0000-0000E7680000}"/>
    <cellStyle name="Normal 26 2 5 5 2" xfId="26862" xr:uid="{00000000-0005-0000-0000-0000E8680000}"/>
    <cellStyle name="Normal 26 2 5 5 3" xfId="26863" xr:uid="{00000000-0005-0000-0000-0000E9680000}"/>
    <cellStyle name="Normal 26 2 5 5 4" xfId="26864" xr:uid="{00000000-0005-0000-0000-0000EA680000}"/>
    <cellStyle name="Normal 26 2 5 5 5" xfId="26865" xr:uid="{00000000-0005-0000-0000-0000EB680000}"/>
    <cellStyle name="Normal 26 2 5 5 6" xfId="26866" xr:uid="{00000000-0005-0000-0000-0000EC680000}"/>
    <cellStyle name="Normal 26 2 5 6" xfId="26867" xr:uid="{00000000-0005-0000-0000-0000ED680000}"/>
    <cellStyle name="Normal 26 2 5 6 2" xfId="26868" xr:uid="{00000000-0005-0000-0000-0000EE680000}"/>
    <cellStyle name="Normal 26 2 5 6 3" xfId="26869" xr:uid="{00000000-0005-0000-0000-0000EF680000}"/>
    <cellStyle name="Normal 26 2 5 6 4" xfId="26870" xr:uid="{00000000-0005-0000-0000-0000F0680000}"/>
    <cellStyle name="Normal 26 2 5 6 5" xfId="26871" xr:uid="{00000000-0005-0000-0000-0000F1680000}"/>
    <cellStyle name="Normal 26 2 5 6 6" xfId="26872" xr:uid="{00000000-0005-0000-0000-0000F2680000}"/>
    <cellStyle name="Normal 26 2 5 7" xfId="26873" xr:uid="{00000000-0005-0000-0000-0000F3680000}"/>
    <cellStyle name="Normal 26 2 5 8" xfId="26874" xr:uid="{00000000-0005-0000-0000-0000F4680000}"/>
    <cellStyle name="Normal 26 2 5 9" xfId="26875" xr:uid="{00000000-0005-0000-0000-0000F5680000}"/>
    <cellStyle name="Normal 26 2 6" xfId="26876" xr:uid="{00000000-0005-0000-0000-0000F6680000}"/>
    <cellStyle name="Normal 26 2 6 2" xfId="26877" xr:uid="{00000000-0005-0000-0000-0000F7680000}"/>
    <cellStyle name="Normal 26 2 6 2 2" xfId="26878" xr:uid="{00000000-0005-0000-0000-0000F8680000}"/>
    <cellStyle name="Normal 26 2 6 2 3" xfId="26879" xr:uid="{00000000-0005-0000-0000-0000F9680000}"/>
    <cellStyle name="Normal 26 2 6 2 4" xfId="26880" xr:uid="{00000000-0005-0000-0000-0000FA680000}"/>
    <cellStyle name="Normal 26 2 6 2 5" xfId="26881" xr:uid="{00000000-0005-0000-0000-0000FB680000}"/>
    <cellStyle name="Normal 26 2 6 2 6" xfId="26882" xr:uid="{00000000-0005-0000-0000-0000FC680000}"/>
    <cellStyle name="Normal 26 2 6 3" xfId="26883" xr:uid="{00000000-0005-0000-0000-0000FD680000}"/>
    <cellStyle name="Normal 26 2 6 3 2" xfId="26884" xr:uid="{00000000-0005-0000-0000-0000FE680000}"/>
    <cellStyle name="Normal 26 2 6 3 3" xfId="26885" xr:uid="{00000000-0005-0000-0000-0000FF680000}"/>
    <cellStyle name="Normal 26 2 6 3 4" xfId="26886" xr:uid="{00000000-0005-0000-0000-000000690000}"/>
    <cellStyle name="Normal 26 2 6 3 5" xfId="26887" xr:uid="{00000000-0005-0000-0000-000001690000}"/>
    <cellStyle name="Normal 26 2 6 3 6" xfId="26888" xr:uid="{00000000-0005-0000-0000-000002690000}"/>
    <cellStyle name="Normal 26 2 6 4" xfId="26889" xr:uid="{00000000-0005-0000-0000-000003690000}"/>
    <cellStyle name="Normal 26 2 6 5" xfId="26890" xr:uid="{00000000-0005-0000-0000-000004690000}"/>
    <cellStyle name="Normal 26 2 6 6" xfId="26891" xr:uid="{00000000-0005-0000-0000-000005690000}"/>
    <cellStyle name="Normal 26 2 6 7" xfId="26892" xr:uid="{00000000-0005-0000-0000-000006690000}"/>
    <cellStyle name="Normal 26 2 6 8" xfId="26893" xr:uid="{00000000-0005-0000-0000-000007690000}"/>
    <cellStyle name="Normal 26 2 7" xfId="26894" xr:uid="{00000000-0005-0000-0000-000008690000}"/>
    <cellStyle name="Normal 26 2 7 2" xfId="26895" xr:uid="{00000000-0005-0000-0000-000009690000}"/>
    <cellStyle name="Normal 26 2 7 2 2" xfId="26896" xr:uid="{00000000-0005-0000-0000-00000A690000}"/>
    <cellStyle name="Normal 26 2 7 2 3" xfId="26897" xr:uid="{00000000-0005-0000-0000-00000B690000}"/>
    <cellStyle name="Normal 26 2 7 2 4" xfId="26898" xr:uid="{00000000-0005-0000-0000-00000C690000}"/>
    <cellStyle name="Normal 26 2 7 2 5" xfId="26899" xr:uid="{00000000-0005-0000-0000-00000D690000}"/>
    <cellStyle name="Normal 26 2 7 2 6" xfId="26900" xr:uid="{00000000-0005-0000-0000-00000E690000}"/>
    <cellStyle name="Normal 26 2 7 3" xfId="26901" xr:uid="{00000000-0005-0000-0000-00000F690000}"/>
    <cellStyle name="Normal 26 2 7 3 2" xfId="26902" xr:uid="{00000000-0005-0000-0000-000010690000}"/>
    <cellStyle name="Normal 26 2 7 3 3" xfId="26903" xr:uid="{00000000-0005-0000-0000-000011690000}"/>
    <cellStyle name="Normal 26 2 7 3 4" xfId="26904" xr:uid="{00000000-0005-0000-0000-000012690000}"/>
    <cellStyle name="Normal 26 2 7 3 5" xfId="26905" xr:uid="{00000000-0005-0000-0000-000013690000}"/>
    <cellStyle name="Normal 26 2 7 3 6" xfId="26906" xr:uid="{00000000-0005-0000-0000-000014690000}"/>
    <cellStyle name="Normal 26 2 7 4" xfId="26907" xr:uid="{00000000-0005-0000-0000-000015690000}"/>
    <cellStyle name="Normal 26 2 7 5" xfId="26908" xr:uid="{00000000-0005-0000-0000-000016690000}"/>
    <cellStyle name="Normal 26 2 7 6" xfId="26909" xr:uid="{00000000-0005-0000-0000-000017690000}"/>
    <cellStyle name="Normal 26 2 7 7" xfId="26910" xr:uid="{00000000-0005-0000-0000-000018690000}"/>
    <cellStyle name="Normal 26 2 7 8" xfId="26911" xr:uid="{00000000-0005-0000-0000-000019690000}"/>
    <cellStyle name="Normal 26 2 8" xfId="26912" xr:uid="{00000000-0005-0000-0000-00001A690000}"/>
    <cellStyle name="Normal 26 2 8 2" xfId="26913" xr:uid="{00000000-0005-0000-0000-00001B690000}"/>
    <cellStyle name="Normal 26 2 8 2 2" xfId="26914" xr:uid="{00000000-0005-0000-0000-00001C690000}"/>
    <cellStyle name="Normal 26 2 8 2 3" xfId="26915" xr:uid="{00000000-0005-0000-0000-00001D690000}"/>
    <cellStyle name="Normal 26 2 8 2 4" xfId="26916" xr:uid="{00000000-0005-0000-0000-00001E690000}"/>
    <cellStyle name="Normal 26 2 8 2 5" xfId="26917" xr:uid="{00000000-0005-0000-0000-00001F690000}"/>
    <cellStyle name="Normal 26 2 8 2 6" xfId="26918" xr:uid="{00000000-0005-0000-0000-000020690000}"/>
    <cellStyle name="Normal 26 2 8 3" xfId="26919" xr:uid="{00000000-0005-0000-0000-000021690000}"/>
    <cellStyle name="Normal 26 2 8 3 2" xfId="26920" xr:uid="{00000000-0005-0000-0000-000022690000}"/>
    <cellStyle name="Normal 26 2 8 3 3" xfId="26921" xr:uid="{00000000-0005-0000-0000-000023690000}"/>
    <cellStyle name="Normal 26 2 8 3 4" xfId="26922" xr:uid="{00000000-0005-0000-0000-000024690000}"/>
    <cellStyle name="Normal 26 2 8 3 5" xfId="26923" xr:uid="{00000000-0005-0000-0000-000025690000}"/>
    <cellStyle name="Normal 26 2 8 3 6" xfId="26924" xr:uid="{00000000-0005-0000-0000-000026690000}"/>
    <cellStyle name="Normal 26 2 8 4" xfId="26925" xr:uid="{00000000-0005-0000-0000-000027690000}"/>
    <cellStyle name="Normal 26 2 8 5" xfId="26926" xr:uid="{00000000-0005-0000-0000-000028690000}"/>
    <cellStyle name="Normal 26 2 8 6" xfId="26927" xr:uid="{00000000-0005-0000-0000-000029690000}"/>
    <cellStyle name="Normal 26 2 8 7" xfId="26928" xr:uid="{00000000-0005-0000-0000-00002A690000}"/>
    <cellStyle name="Normal 26 2 8 8" xfId="26929" xr:uid="{00000000-0005-0000-0000-00002B690000}"/>
    <cellStyle name="Normal 26 2 9" xfId="26930" xr:uid="{00000000-0005-0000-0000-00002C690000}"/>
    <cellStyle name="Normal 26 2 9 2" xfId="26931" xr:uid="{00000000-0005-0000-0000-00002D690000}"/>
    <cellStyle name="Normal 26 2 9 3" xfId="26932" xr:uid="{00000000-0005-0000-0000-00002E690000}"/>
    <cellStyle name="Normal 26 2 9 4" xfId="26933" xr:uid="{00000000-0005-0000-0000-00002F690000}"/>
    <cellStyle name="Normal 26 2 9 5" xfId="26934" xr:uid="{00000000-0005-0000-0000-000030690000}"/>
    <cellStyle name="Normal 26 2 9 6" xfId="26935" xr:uid="{00000000-0005-0000-0000-000031690000}"/>
    <cellStyle name="Normal 26 3" xfId="26936" xr:uid="{00000000-0005-0000-0000-000032690000}"/>
    <cellStyle name="Normal 26 3 10" xfId="26937" xr:uid="{00000000-0005-0000-0000-000033690000}"/>
    <cellStyle name="Normal 26 3 10 2" xfId="26938" xr:uid="{00000000-0005-0000-0000-000034690000}"/>
    <cellStyle name="Normal 26 3 10 3" xfId="26939" xr:uid="{00000000-0005-0000-0000-000035690000}"/>
    <cellStyle name="Normal 26 3 10 4" xfId="26940" xr:uid="{00000000-0005-0000-0000-000036690000}"/>
    <cellStyle name="Normal 26 3 10 5" xfId="26941" xr:uid="{00000000-0005-0000-0000-000037690000}"/>
    <cellStyle name="Normal 26 3 10 6" xfId="26942" xr:uid="{00000000-0005-0000-0000-000038690000}"/>
    <cellStyle name="Normal 26 3 11" xfId="26943" xr:uid="{00000000-0005-0000-0000-000039690000}"/>
    <cellStyle name="Normal 26 3 12" xfId="26944" xr:uid="{00000000-0005-0000-0000-00003A690000}"/>
    <cellStyle name="Normal 26 3 13" xfId="26945" xr:uid="{00000000-0005-0000-0000-00003B690000}"/>
    <cellStyle name="Normal 26 3 14" xfId="26946" xr:uid="{00000000-0005-0000-0000-00003C690000}"/>
    <cellStyle name="Normal 26 3 15" xfId="26947" xr:uid="{00000000-0005-0000-0000-00003D690000}"/>
    <cellStyle name="Normal 26 3 2" xfId="26948" xr:uid="{00000000-0005-0000-0000-00003E690000}"/>
    <cellStyle name="Normal 26 3 2 10" xfId="26949" xr:uid="{00000000-0005-0000-0000-00003F690000}"/>
    <cellStyle name="Normal 26 3 2 11" xfId="26950" xr:uid="{00000000-0005-0000-0000-000040690000}"/>
    <cellStyle name="Normal 26 3 2 12" xfId="26951" xr:uid="{00000000-0005-0000-0000-000041690000}"/>
    <cellStyle name="Normal 26 3 2 13" xfId="26952" xr:uid="{00000000-0005-0000-0000-000042690000}"/>
    <cellStyle name="Normal 26 3 2 14" xfId="26953" xr:uid="{00000000-0005-0000-0000-000043690000}"/>
    <cellStyle name="Normal 26 3 2 2" xfId="26954" xr:uid="{00000000-0005-0000-0000-000044690000}"/>
    <cellStyle name="Normal 26 3 2 2 10" xfId="26955" xr:uid="{00000000-0005-0000-0000-000045690000}"/>
    <cellStyle name="Normal 26 3 2 2 11" xfId="26956" xr:uid="{00000000-0005-0000-0000-000046690000}"/>
    <cellStyle name="Normal 26 3 2 2 12" xfId="26957" xr:uid="{00000000-0005-0000-0000-000047690000}"/>
    <cellStyle name="Normal 26 3 2 2 2" xfId="26958" xr:uid="{00000000-0005-0000-0000-000048690000}"/>
    <cellStyle name="Normal 26 3 2 2 2 10" xfId="26959" xr:uid="{00000000-0005-0000-0000-000049690000}"/>
    <cellStyle name="Normal 26 3 2 2 2 11" xfId="26960" xr:uid="{00000000-0005-0000-0000-00004A690000}"/>
    <cellStyle name="Normal 26 3 2 2 2 2" xfId="26961" xr:uid="{00000000-0005-0000-0000-00004B690000}"/>
    <cellStyle name="Normal 26 3 2 2 2 2 2" xfId="26962" xr:uid="{00000000-0005-0000-0000-00004C690000}"/>
    <cellStyle name="Normal 26 3 2 2 2 2 2 2" xfId="26963" xr:uid="{00000000-0005-0000-0000-00004D690000}"/>
    <cellStyle name="Normal 26 3 2 2 2 2 2 3" xfId="26964" xr:uid="{00000000-0005-0000-0000-00004E690000}"/>
    <cellStyle name="Normal 26 3 2 2 2 2 2 4" xfId="26965" xr:uid="{00000000-0005-0000-0000-00004F690000}"/>
    <cellStyle name="Normal 26 3 2 2 2 2 2 5" xfId="26966" xr:uid="{00000000-0005-0000-0000-000050690000}"/>
    <cellStyle name="Normal 26 3 2 2 2 2 2 6" xfId="26967" xr:uid="{00000000-0005-0000-0000-000051690000}"/>
    <cellStyle name="Normal 26 3 2 2 2 2 3" xfId="26968" xr:uid="{00000000-0005-0000-0000-000052690000}"/>
    <cellStyle name="Normal 26 3 2 2 2 2 3 2" xfId="26969" xr:uid="{00000000-0005-0000-0000-000053690000}"/>
    <cellStyle name="Normal 26 3 2 2 2 2 3 3" xfId="26970" xr:uid="{00000000-0005-0000-0000-000054690000}"/>
    <cellStyle name="Normal 26 3 2 2 2 2 3 4" xfId="26971" xr:uid="{00000000-0005-0000-0000-000055690000}"/>
    <cellStyle name="Normal 26 3 2 2 2 2 3 5" xfId="26972" xr:uid="{00000000-0005-0000-0000-000056690000}"/>
    <cellStyle name="Normal 26 3 2 2 2 2 3 6" xfId="26973" xr:uid="{00000000-0005-0000-0000-000057690000}"/>
    <cellStyle name="Normal 26 3 2 2 2 2 4" xfId="26974" xr:uid="{00000000-0005-0000-0000-000058690000}"/>
    <cellStyle name="Normal 26 3 2 2 2 2 5" xfId="26975" xr:uid="{00000000-0005-0000-0000-000059690000}"/>
    <cellStyle name="Normal 26 3 2 2 2 2 6" xfId="26976" xr:uid="{00000000-0005-0000-0000-00005A690000}"/>
    <cellStyle name="Normal 26 3 2 2 2 2 7" xfId="26977" xr:uid="{00000000-0005-0000-0000-00005B690000}"/>
    <cellStyle name="Normal 26 3 2 2 2 2 8" xfId="26978" xr:uid="{00000000-0005-0000-0000-00005C690000}"/>
    <cellStyle name="Normal 26 3 2 2 2 3" xfId="26979" xr:uid="{00000000-0005-0000-0000-00005D690000}"/>
    <cellStyle name="Normal 26 3 2 2 2 3 2" xfId="26980" xr:uid="{00000000-0005-0000-0000-00005E690000}"/>
    <cellStyle name="Normal 26 3 2 2 2 3 2 2" xfId="26981" xr:uid="{00000000-0005-0000-0000-00005F690000}"/>
    <cellStyle name="Normal 26 3 2 2 2 3 2 3" xfId="26982" xr:uid="{00000000-0005-0000-0000-000060690000}"/>
    <cellStyle name="Normal 26 3 2 2 2 3 2 4" xfId="26983" xr:uid="{00000000-0005-0000-0000-000061690000}"/>
    <cellStyle name="Normal 26 3 2 2 2 3 2 5" xfId="26984" xr:uid="{00000000-0005-0000-0000-000062690000}"/>
    <cellStyle name="Normal 26 3 2 2 2 3 2 6" xfId="26985" xr:uid="{00000000-0005-0000-0000-000063690000}"/>
    <cellStyle name="Normal 26 3 2 2 2 3 3" xfId="26986" xr:uid="{00000000-0005-0000-0000-000064690000}"/>
    <cellStyle name="Normal 26 3 2 2 2 3 3 2" xfId="26987" xr:uid="{00000000-0005-0000-0000-000065690000}"/>
    <cellStyle name="Normal 26 3 2 2 2 3 3 3" xfId="26988" xr:uid="{00000000-0005-0000-0000-000066690000}"/>
    <cellStyle name="Normal 26 3 2 2 2 3 3 4" xfId="26989" xr:uid="{00000000-0005-0000-0000-000067690000}"/>
    <cellStyle name="Normal 26 3 2 2 2 3 3 5" xfId="26990" xr:uid="{00000000-0005-0000-0000-000068690000}"/>
    <cellStyle name="Normal 26 3 2 2 2 3 3 6" xfId="26991" xr:uid="{00000000-0005-0000-0000-000069690000}"/>
    <cellStyle name="Normal 26 3 2 2 2 3 4" xfId="26992" xr:uid="{00000000-0005-0000-0000-00006A690000}"/>
    <cellStyle name="Normal 26 3 2 2 2 3 5" xfId="26993" xr:uid="{00000000-0005-0000-0000-00006B690000}"/>
    <cellStyle name="Normal 26 3 2 2 2 3 6" xfId="26994" xr:uid="{00000000-0005-0000-0000-00006C690000}"/>
    <cellStyle name="Normal 26 3 2 2 2 3 7" xfId="26995" xr:uid="{00000000-0005-0000-0000-00006D690000}"/>
    <cellStyle name="Normal 26 3 2 2 2 3 8" xfId="26996" xr:uid="{00000000-0005-0000-0000-00006E690000}"/>
    <cellStyle name="Normal 26 3 2 2 2 4" xfId="26997" xr:uid="{00000000-0005-0000-0000-00006F690000}"/>
    <cellStyle name="Normal 26 3 2 2 2 4 2" xfId="26998" xr:uid="{00000000-0005-0000-0000-000070690000}"/>
    <cellStyle name="Normal 26 3 2 2 2 4 2 2" xfId="26999" xr:uid="{00000000-0005-0000-0000-000071690000}"/>
    <cellStyle name="Normal 26 3 2 2 2 4 2 3" xfId="27000" xr:uid="{00000000-0005-0000-0000-000072690000}"/>
    <cellStyle name="Normal 26 3 2 2 2 4 2 4" xfId="27001" xr:uid="{00000000-0005-0000-0000-000073690000}"/>
    <cellStyle name="Normal 26 3 2 2 2 4 2 5" xfId="27002" xr:uid="{00000000-0005-0000-0000-000074690000}"/>
    <cellStyle name="Normal 26 3 2 2 2 4 2 6" xfId="27003" xr:uid="{00000000-0005-0000-0000-000075690000}"/>
    <cellStyle name="Normal 26 3 2 2 2 4 3" xfId="27004" xr:uid="{00000000-0005-0000-0000-000076690000}"/>
    <cellStyle name="Normal 26 3 2 2 2 4 3 2" xfId="27005" xr:uid="{00000000-0005-0000-0000-000077690000}"/>
    <cellStyle name="Normal 26 3 2 2 2 4 3 3" xfId="27006" xr:uid="{00000000-0005-0000-0000-000078690000}"/>
    <cellStyle name="Normal 26 3 2 2 2 4 3 4" xfId="27007" xr:uid="{00000000-0005-0000-0000-000079690000}"/>
    <cellStyle name="Normal 26 3 2 2 2 4 3 5" xfId="27008" xr:uid="{00000000-0005-0000-0000-00007A690000}"/>
    <cellStyle name="Normal 26 3 2 2 2 4 3 6" xfId="27009" xr:uid="{00000000-0005-0000-0000-00007B690000}"/>
    <cellStyle name="Normal 26 3 2 2 2 4 4" xfId="27010" xr:uid="{00000000-0005-0000-0000-00007C690000}"/>
    <cellStyle name="Normal 26 3 2 2 2 4 5" xfId="27011" xr:uid="{00000000-0005-0000-0000-00007D690000}"/>
    <cellStyle name="Normal 26 3 2 2 2 4 6" xfId="27012" xr:uid="{00000000-0005-0000-0000-00007E690000}"/>
    <cellStyle name="Normal 26 3 2 2 2 4 7" xfId="27013" xr:uid="{00000000-0005-0000-0000-00007F690000}"/>
    <cellStyle name="Normal 26 3 2 2 2 4 8" xfId="27014" xr:uid="{00000000-0005-0000-0000-000080690000}"/>
    <cellStyle name="Normal 26 3 2 2 2 5" xfId="27015" xr:uid="{00000000-0005-0000-0000-000081690000}"/>
    <cellStyle name="Normal 26 3 2 2 2 5 2" xfId="27016" xr:uid="{00000000-0005-0000-0000-000082690000}"/>
    <cellStyle name="Normal 26 3 2 2 2 5 3" xfId="27017" xr:uid="{00000000-0005-0000-0000-000083690000}"/>
    <cellStyle name="Normal 26 3 2 2 2 5 4" xfId="27018" xr:uid="{00000000-0005-0000-0000-000084690000}"/>
    <cellStyle name="Normal 26 3 2 2 2 5 5" xfId="27019" xr:uid="{00000000-0005-0000-0000-000085690000}"/>
    <cellStyle name="Normal 26 3 2 2 2 5 6" xfId="27020" xr:uid="{00000000-0005-0000-0000-000086690000}"/>
    <cellStyle name="Normal 26 3 2 2 2 6" xfId="27021" xr:uid="{00000000-0005-0000-0000-000087690000}"/>
    <cellStyle name="Normal 26 3 2 2 2 6 2" xfId="27022" xr:uid="{00000000-0005-0000-0000-000088690000}"/>
    <cellStyle name="Normal 26 3 2 2 2 6 3" xfId="27023" xr:uid="{00000000-0005-0000-0000-000089690000}"/>
    <cellStyle name="Normal 26 3 2 2 2 6 4" xfId="27024" xr:uid="{00000000-0005-0000-0000-00008A690000}"/>
    <cellStyle name="Normal 26 3 2 2 2 6 5" xfId="27025" xr:uid="{00000000-0005-0000-0000-00008B690000}"/>
    <cellStyle name="Normal 26 3 2 2 2 6 6" xfId="27026" xr:uid="{00000000-0005-0000-0000-00008C690000}"/>
    <cellStyle name="Normal 26 3 2 2 2 7" xfId="27027" xr:uid="{00000000-0005-0000-0000-00008D690000}"/>
    <cellStyle name="Normal 26 3 2 2 2 8" xfId="27028" xr:uid="{00000000-0005-0000-0000-00008E690000}"/>
    <cellStyle name="Normal 26 3 2 2 2 9" xfId="27029" xr:uid="{00000000-0005-0000-0000-00008F690000}"/>
    <cellStyle name="Normal 26 3 2 2 3" xfId="27030" xr:uid="{00000000-0005-0000-0000-000090690000}"/>
    <cellStyle name="Normal 26 3 2 2 3 2" xfId="27031" xr:uid="{00000000-0005-0000-0000-000091690000}"/>
    <cellStyle name="Normal 26 3 2 2 3 2 2" xfId="27032" xr:uid="{00000000-0005-0000-0000-000092690000}"/>
    <cellStyle name="Normal 26 3 2 2 3 2 3" xfId="27033" xr:uid="{00000000-0005-0000-0000-000093690000}"/>
    <cellStyle name="Normal 26 3 2 2 3 2 4" xfId="27034" xr:uid="{00000000-0005-0000-0000-000094690000}"/>
    <cellStyle name="Normal 26 3 2 2 3 2 5" xfId="27035" xr:uid="{00000000-0005-0000-0000-000095690000}"/>
    <cellStyle name="Normal 26 3 2 2 3 2 6" xfId="27036" xr:uid="{00000000-0005-0000-0000-000096690000}"/>
    <cellStyle name="Normal 26 3 2 2 3 3" xfId="27037" xr:uid="{00000000-0005-0000-0000-000097690000}"/>
    <cellStyle name="Normal 26 3 2 2 3 3 2" xfId="27038" xr:uid="{00000000-0005-0000-0000-000098690000}"/>
    <cellStyle name="Normal 26 3 2 2 3 3 3" xfId="27039" xr:uid="{00000000-0005-0000-0000-000099690000}"/>
    <cellStyle name="Normal 26 3 2 2 3 3 4" xfId="27040" xr:uid="{00000000-0005-0000-0000-00009A690000}"/>
    <cellStyle name="Normal 26 3 2 2 3 3 5" xfId="27041" xr:uid="{00000000-0005-0000-0000-00009B690000}"/>
    <cellStyle name="Normal 26 3 2 2 3 3 6" xfId="27042" xr:uid="{00000000-0005-0000-0000-00009C690000}"/>
    <cellStyle name="Normal 26 3 2 2 3 4" xfId="27043" xr:uid="{00000000-0005-0000-0000-00009D690000}"/>
    <cellStyle name="Normal 26 3 2 2 3 5" xfId="27044" xr:uid="{00000000-0005-0000-0000-00009E690000}"/>
    <cellStyle name="Normal 26 3 2 2 3 6" xfId="27045" xr:uid="{00000000-0005-0000-0000-00009F690000}"/>
    <cellStyle name="Normal 26 3 2 2 3 7" xfId="27046" xr:uid="{00000000-0005-0000-0000-0000A0690000}"/>
    <cellStyle name="Normal 26 3 2 2 3 8" xfId="27047" xr:uid="{00000000-0005-0000-0000-0000A1690000}"/>
    <cellStyle name="Normal 26 3 2 2 4" xfId="27048" xr:uid="{00000000-0005-0000-0000-0000A2690000}"/>
    <cellStyle name="Normal 26 3 2 2 4 2" xfId="27049" xr:uid="{00000000-0005-0000-0000-0000A3690000}"/>
    <cellStyle name="Normal 26 3 2 2 4 2 2" xfId="27050" xr:uid="{00000000-0005-0000-0000-0000A4690000}"/>
    <cellStyle name="Normal 26 3 2 2 4 2 3" xfId="27051" xr:uid="{00000000-0005-0000-0000-0000A5690000}"/>
    <cellStyle name="Normal 26 3 2 2 4 2 4" xfId="27052" xr:uid="{00000000-0005-0000-0000-0000A6690000}"/>
    <cellStyle name="Normal 26 3 2 2 4 2 5" xfId="27053" xr:uid="{00000000-0005-0000-0000-0000A7690000}"/>
    <cellStyle name="Normal 26 3 2 2 4 2 6" xfId="27054" xr:uid="{00000000-0005-0000-0000-0000A8690000}"/>
    <cellStyle name="Normal 26 3 2 2 4 3" xfId="27055" xr:uid="{00000000-0005-0000-0000-0000A9690000}"/>
    <cellStyle name="Normal 26 3 2 2 4 3 2" xfId="27056" xr:uid="{00000000-0005-0000-0000-0000AA690000}"/>
    <cellStyle name="Normal 26 3 2 2 4 3 3" xfId="27057" xr:uid="{00000000-0005-0000-0000-0000AB690000}"/>
    <cellStyle name="Normal 26 3 2 2 4 3 4" xfId="27058" xr:uid="{00000000-0005-0000-0000-0000AC690000}"/>
    <cellStyle name="Normal 26 3 2 2 4 3 5" xfId="27059" xr:uid="{00000000-0005-0000-0000-0000AD690000}"/>
    <cellStyle name="Normal 26 3 2 2 4 3 6" xfId="27060" xr:uid="{00000000-0005-0000-0000-0000AE690000}"/>
    <cellStyle name="Normal 26 3 2 2 4 4" xfId="27061" xr:uid="{00000000-0005-0000-0000-0000AF690000}"/>
    <cellStyle name="Normal 26 3 2 2 4 5" xfId="27062" xr:uid="{00000000-0005-0000-0000-0000B0690000}"/>
    <cellStyle name="Normal 26 3 2 2 4 6" xfId="27063" xr:uid="{00000000-0005-0000-0000-0000B1690000}"/>
    <cellStyle name="Normal 26 3 2 2 4 7" xfId="27064" xr:uid="{00000000-0005-0000-0000-0000B2690000}"/>
    <cellStyle name="Normal 26 3 2 2 4 8" xfId="27065" xr:uid="{00000000-0005-0000-0000-0000B3690000}"/>
    <cellStyle name="Normal 26 3 2 2 5" xfId="27066" xr:uid="{00000000-0005-0000-0000-0000B4690000}"/>
    <cellStyle name="Normal 26 3 2 2 5 2" xfId="27067" xr:uid="{00000000-0005-0000-0000-0000B5690000}"/>
    <cellStyle name="Normal 26 3 2 2 5 2 2" xfId="27068" xr:uid="{00000000-0005-0000-0000-0000B6690000}"/>
    <cellStyle name="Normal 26 3 2 2 5 2 3" xfId="27069" xr:uid="{00000000-0005-0000-0000-0000B7690000}"/>
    <cellStyle name="Normal 26 3 2 2 5 2 4" xfId="27070" xr:uid="{00000000-0005-0000-0000-0000B8690000}"/>
    <cellStyle name="Normal 26 3 2 2 5 2 5" xfId="27071" xr:uid="{00000000-0005-0000-0000-0000B9690000}"/>
    <cellStyle name="Normal 26 3 2 2 5 2 6" xfId="27072" xr:uid="{00000000-0005-0000-0000-0000BA690000}"/>
    <cellStyle name="Normal 26 3 2 2 5 3" xfId="27073" xr:uid="{00000000-0005-0000-0000-0000BB690000}"/>
    <cellStyle name="Normal 26 3 2 2 5 3 2" xfId="27074" xr:uid="{00000000-0005-0000-0000-0000BC690000}"/>
    <cellStyle name="Normal 26 3 2 2 5 3 3" xfId="27075" xr:uid="{00000000-0005-0000-0000-0000BD690000}"/>
    <cellStyle name="Normal 26 3 2 2 5 3 4" xfId="27076" xr:uid="{00000000-0005-0000-0000-0000BE690000}"/>
    <cellStyle name="Normal 26 3 2 2 5 3 5" xfId="27077" xr:uid="{00000000-0005-0000-0000-0000BF690000}"/>
    <cellStyle name="Normal 26 3 2 2 5 3 6" xfId="27078" xr:uid="{00000000-0005-0000-0000-0000C0690000}"/>
    <cellStyle name="Normal 26 3 2 2 5 4" xfId="27079" xr:uid="{00000000-0005-0000-0000-0000C1690000}"/>
    <cellStyle name="Normal 26 3 2 2 5 5" xfId="27080" xr:uid="{00000000-0005-0000-0000-0000C2690000}"/>
    <cellStyle name="Normal 26 3 2 2 5 6" xfId="27081" xr:uid="{00000000-0005-0000-0000-0000C3690000}"/>
    <cellStyle name="Normal 26 3 2 2 5 7" xfId="27082" xr:uid="{00000000-0005-0000-0000-0000C4690000}"/>
    <cellStyle name="Normal 26 3 2 2 5 8" xfId="27083" xr:uid="{00000000-0005-0000-0000-0000C5690000}"/>
    <cellStyle name="Normal 26 3 2 2 6" xfId="27084" xr:uid="{00000000-0005-0000-0000-0000C6690000}"/>
    <cellStyle name="Normal 26 3 2 2 6 2" xfId="27085" xr:uid="{00000000-0005-0000-0000-0000C7690000}"/>
    <cellStyle name="Normal 26 3 2 2 6 3" xfId="27086" xr:uid="{00000000-0005-0000-0000-0000C8690000}"/>
    <cellStyle name="Normal 26 3 2 2 6 4" xfId="27087" xr:uid="{00000000-0005-0000-0000-0000C9690000}"/>
    <cellStyle name="Normal 26 3 2 2 6 5" xfId="27088" xr:uid="{00000000-0005-0000-0000-0000CA690000}"/>
    <cellStyle name="Normal 26 3 2 2 6 6" xfId="27089" xr:uid="{00000000-0005-0000-0000-0000CB690000}"/>
    <cellStyle name="Normal 26 3 2 2 7" xfId="27090" xr:uid="{00000000-0005-0000-0000-0000CC690000}"/>
    <cellStyle name="Normal 26 3 2 2 7 2" xfId="27091" xr:uid="{00000000-0005-0000-0000-0000CD690000}"/>
    <cellStyle name="Normal 26 3 2 2 7 3" xfId="27092" xr:uid="{00000000-0005-0000-0000-0000CE690000}"/>
    <cellStyle name="Normal 26 3 2 2 7 4" xfId="27093" xr:uid="{00000000-0005-0000-0000-0000CF690000}"/>
    <cellStyle name="Normal 26 3 2 2 7 5" xfId="27094" xr:uid="{00000000-0005-0000-0000-0000D0690000}"/>
    <cellStyle name="Normal 26 3 2 2 7 6" xfId="27095" xr:uid="{00000000-0005-0000-0000-0000D1690000}"/>
    <cellStyle name="Normal 26 3 2 2 8" xfId="27096" xr:uid="{00000000-0005-0000-0000-0000D2690000}"/>
    <cellStyle name="Normal 26 3 2 2 9" xfId="27097" xr:uid="{00000000-0005-0000-0000-0000D3690000}"/>
    <cellStyle name="Normal 26 3 2 3" xfId="27098" xr:uid="{00000000-0005-0000-0000-0000D4690000}"/>
    <cellStyle name="Normal 26 3 2 3 10" xfId="27099" xr:uid="{00000000-0005-0000-0000-0000D5690000}"/>
    <cellStyle name="Normal 26 3 2 3 11" xfId="27100" xr:uid="{00000000-0005-0000-0000-0000D6690000}"/>
    <cellStyle name="Normal 26 3 2 3 12" xfId="27101" xr:uid="{00000000-0005-0000-0000-0000D7690000}"/>
    <cellStyle name="Normal 26 3 2 3 2" xfId="27102" xr:uid="{00000000-0005-0000-0000-0000D8690000}"/>
    <cellStyle name="Normal 26 3 2 3 2 10" xfId="27103" xr:uid="{00000000-0005-0000-0000-0000D9690000}"/>
    <cellStyle name="Normal 26 3 2 3 2 11" xfId="27104" xr:uid="{00000000-0005-0000-0000-0000DA690000}"/>
    <cellStyle name="Normal 26 3 2 3 2 2" xfId="27105" xr:uid="{00000000-0005-0000-0000-0000DB690000}"/>
    <cellStyle name="Normal 26 3 2 3 2 2 2" xfId="27106" xr:uid="{00000000-0005-0000-0000-0000DC690000}"/>
    <cellStyle name="Normal 26 3 2 3 2 2 2 2" xfId="27107" xr:uid="{00000000-0005-0000-0000-0000DD690000}"/>
    <cellStyle name="Normal 26 3 2 3 2 2 2 3" xfId="27108" xr:uid="{00000000-0005-0000-0000-0000DE690000}"/>
    <cellStyle name="Normal 26 3 2 3 2 2 2 4" xfId="27109" xr:uid="{00000000-0005-0000-0000-0000DF690000}"/>
    <cellStyle name="Normal 26 3 2 3 2 2 2 5" xfId="27110" xr:uid="{00000000-0005-0000-0000-0000E0690000}"/>
    <cellStyle name="Normal 26 3 2 3 2 2 2 6" xfId="27111" xr:uid="{00000000-0005-0000-0000-0000E1690000}"/>
    <cellStyle name="Normal 26 3 2 3 2 2 3" xfId="27112" xr:uid="{00000000-0005-0000-0000-0000E2690000}"/>
    <cellStyle name="Normal 26 3 2 3 2 2 3 2" xfId="27113" xr:uid="{00000000-0005-0000-0000-0000E3690000}"/>
    <cellStyle name="Normal 26 3 2 3 2 2 3 3" xfId="27114" xr:uid="{00000000-0005-0000-0000-0000E4690000}"/>
    <cellStyle name="Normal 26 3 2 3 2 2 3 4" xfId="27115" xr:uid="{00000000-0005-0000-0000-0000E5690000}"/>
    <cellStyle name="Normal 26 3 2 3 2 2 3 5" xfId="27116" xr:uid="{00000000-0005-0000-0000-0000E6690000}"/>
    <cellStyle name="Normal 26 3 2 3 2 2 3 6" xfId="27117" xr:uid="{00000000-0005-0000-0000-0000E7690000}"/>
    <cellStyle name="Normal 26 3 2 3 2 2 4" xfId="27118" xr:uid="{00000000-0005-0000-0000-0000E8690000}"/>
    <cellStyle name="Normal 26 3 2 3 2 2 5" xfId="27119" xr:uid="{00000000-0005-0000-0000-0000E9690000}"/>
    <cellStyle name="Normal 26 3 2 3 2 2 6" xfId="27120" xr:uid="{00000000-0005-0000-0000-0000EA690000}"/>
    <cellStyle name="Normal 26 3 2 3 2 2 7" xfId="27121" xr:uid="{00000000-0005-0000-0000-0000EB690000}"/>
    <cellStyle name="Normal 26 3 2 3 2 2 8" xfId="27122" xr:uid="{00000000-0005-0000-0000-0000EC690000}"/>
    <cellStyle name="Normal 26 3 2 3 2 3" xfId="27123" xr:uid="{00000000-0005-0000-0000-0000ED690000}"/>
    <cellStyle name="Normal 26 3 2 3 2 3 2" xfId="27124" xr:uid="{00000000-0005-0000-0000-0000EE690000}"/>
    <cellStyle name="Normal 26 3 2 3 2 3 2 2" xfId="27125" xr:uid="{00000000-0005-0000-0000-0000EF690000}"/>
    <cellStyle name="Normal 26 3 2 3 2 3 2 3" xfId="27126" xr:uid="{00000000-0005-0000-0000-0000F0690000}"/>
    <cellStyle name="Normal 26 3 2 3 2 3 2 4" xfId="27127" xr:uid="{00000000-0005-0000-0000-0000F1690000}"/>
    <cellStyle name="Normal 26 3 2 3 2 3 2 5" xfId="27128" xr:uid="{00000000-0005-0000-0000-0000F2690000}"/>
    <cellStyle name="Normal 26 3 2 3 2 3 2 6" xfId="27129" xr:uid="{00000000-0005-0000-0000-0000F3690000}"/>
    <cellStyle name="Normal 26 3 2 3 2 3 3" xfId="27130" xr:uid="{00000000-0005-0000-0000-0000F4690000}"/>
    <cellStyle name="Normal 26 3 2 3 2 3 3 2" xfId="27131" xr:uid="{00000000-0005-0000-0000-0000F5690000}"/>
    <cellStyle name="Normal 26 3 2 3 2 3 3 3" xfId="27132" xr:uid="{00000000-0005-0000-0000-0000F6690000}"/>
    <cellStyle name="Normal 26 3 2 3 2 3 3 4" xfId="27133" xr:uid="{00000000-0005-0000-0000-0000F7690000}"/>
    <cellStyle name="Normal 26 3 2 3 2 3 3 5" xfId="27134" xr:uid="{00000000-0005-0000-0000-0000F8690000}"/>
    <cellStyle name="Normal 26 3 2 3 2 3 3 6" xfId="27135" xr:uid="{00000000-0005-0000-0000-0000F9690000}"/>
    <cellStyle name="Normal 26 3 2 3 2 3 4" xfId="27136" xr:uid="{00000000-0005-0000-0000-0000FA690000}"/>
    <cellStyle name="Normal 26 3 2 3 2 3 5" xfId="27137" xr:uid="{00000000-0005-0000-0000-0000FB690000}"/>
    <cellStyle name="Normal 26 3 2 3 2 3 6" xfId="27138" xr:uid="{00000000-0005-0000-0000-0000FC690000}"/>
    <cellStyle name="Normal 26 3 2 3 2 3 7" xfId="27139" xr:uid="{00000000-0005-0000-0000-0000FD690000}"/>
    <cellStyle name="Normal 26 3 2 3 2 3 8" xfId="27140" xr:uid="{00000000-0005-0000-0000-0000FE690000}"/>
    <cellStyle name="Normal 26 3 2 3 2 4" xfId="27141" xr:uid="{00000000-0005-0000-0000-0000FF690000}"/>
    <cellStyle name="Normal 26 3 2 3 2 4 2" xfId="27142" xr:uid="{00000000-0005-0000-0000-0000006A0000}"/>
    <cellStyle name="Normal 26 3 2 3 2 4 2 2" xfId="27143" xr:uid="{00000000-0005-0000-0000-0000016A0000}"/>
    <cellStyle name="Normal 26 3 2 3 2 4 2 3" xfId="27144" xr:uid="{00000000-0005-0000-0000-0000026A0000}"/>
    <cellStyle name="Normal 26 3 2 3 2 4 2 4" xfId="27145" xr:uid="{00000000-0005-0000-0000-0000036A0000}"/>
    <cellStyle name="Normal 26 3 2 3 2 4 2 5" xfId="27146" xr:uid="{00000000-0005-0000-0000-0000046A0000}"/>
    <cellStyle name="Normal 26 3 2 3 2 4 2 6" xfId="27147" xr:uid="{00000000-0005-0000-0000-0000056A0000}"/>
    <cellStyle name="Normal 26 3 2 3 2 4 3" xfId="27148" xr:uid="{00000000-0005-0000-0000-0000066A0000}"/>
    <cellStyle name="Normal 26 3 2 3 2 4 3 2" xfId="27149" xr:uid="{00000000-0005-0000-0000-0000076A0000}"/>
    <cellStyle name="Normal 26 3 2 3 2 4 3 3" xfId="27150" xr:uid="{00000000-0005-0000-0000-0000086A0000}"/>
    <cellStyle name="Normal 26 3 2 3 2 4 3 4" xfId="27151" xr:uid="{00000000-0005-0000-0000-0000096A0000}"/>
    <cellStyle name="Normal 26 3 2 3 2 4 3 5" xfId="27152" xr:uid="{00000000-0005-0000-0000-00000A6A0000}"/>
    <cellStyle name="Normal 26 3 2 3 2 4 3 6" xfId="27153" xr:uid="{00000000-0005-0000-0000-00000B6A0000}"/>
    <cellStyle name="Normal 26 3 2 3 2 4 4" xfId="27154" xr:uid="{00000000-0005-0000-0000-00000C6A0000}"/>
    <cellStyle name="Normal 26 3 2 3 2 4 5" xfId="27155" xr:uid="{00000000-0005-0000-0000-00000D6A0000}"/>
    <cellStyle name="Normal 26 3 2 3 2 4 6" xfId="27156" xr:uid="{00000000-0005-0000-0000-00000E6A0000}"/>
    <cellStyle name="Normal 26 3 2 3 2 4 7" xfId="27157" xr:uid="{00000000-0005-0000-0000-00000F6A0000}"/>
    <cellStyle name="Normal 26 3 2 3 2 4 8" xfId="27158" xr:uid="{00000000-0005-0000-0000-0000106A0000}"/>
    <cellStyle name="Normal 26 3 2 3 2 5" xfId="27159" xr:uid="{00000000-0005-0000-0000-0000116A0000}"/>
    <cellStyle name="Normal 26 3 2 3 2 5 2" xfId="27160" xr:uid="{00000000-0005-0000-0000-0000126A0000}"/>
    <cellStyle name="Normal 26 3 2 3 2 5 3" xfId="27161" xr:uid="{00000000-0005-0000-0000-0000136A0000}"/>
    <cellStyle name="Normal 26 3 2 3 2 5 4" xfId="27162" xr:uid="{00000000-0005-0000-0000-0000146A0000}"/>
    <cellStyle name="Normal 26 3 2 3 2 5 5" xfId="27163" xr:uid="{00000000-0005-0000-0000-0000156A0000}"/>
    <cellStyle name="Normal 26 3 2 3 2 5 6" xfId="27164" xr:uid="{00000000-0005-0000-0000-0000166A0000}"/>
    <cellStyle name="Normal 26 3 2 3 2 6" xfId="27165" xr:uid="{00000000-0005-0000-0000-0000176A0000}"/>
    <cellStyle name="Normal 26 3 2 3 2 6 2" xfId="27166" xr:uid="{00000000-0005-0000-0000-0000186A0000}"/>
    <cellStyle name="Normal 26 3 2 3 2 6 3" xfId="27167" xr:uid="{00000000-0005-0000-0000-0000196A0000}"/>
    <cellStyle name="Normal 26 3 2 3 2 6 4" xfId="27168" xr:uid="{00000000-0005-0000-0000-00001A6A0000}"/>
    <cellStyle name="Normal 26 3 2 3 2 6 5" xfId="27169" xr:uid="{00000000-0005-0000-0000-00001B6A0000}"/>
    <cellStyle name="Normal 26 3 2 3 2 6 6" xfId="27170" xr:uid="{00000000-0005-0000-0000-00001C6A0000}"/>
    <cellStyle name="Normal 26 3 2 3 2 7" xfId="27171" xr:uid="{00000000-0005-0000-0000-00001D6A0000}"/>
    <cellStyle name="Normal 26 3 2 3 2 8" xfId="27172" xr:uid="{00000000-0005-0000-0000-00001E6A0000}"/>
    <cellStyle name="Normal 26 3 2 3 2 9" xfId="27173" xr:uid="{00000000-0005-0000-0000-00001F6A0000}"/>
    <cellStyle name="Normal 26 3 2 3 3" xfId="27174" xr:uid="{00000000-0005-0000-0000-0000206A0000}"/>
    <cellStyle name="Normal 26 3 2 3 3 2" xfId="27175" xr:uid="{00000000-0005-0000-0000-0000216A0000}"/>
    <cellStyle name="Normal 26 3 2 3 3 2 2" xfId="27176" xr:uid="{00000000-0005-0000-0000-0000226A0000}"/>
    <cellStyle name="Normal 26 3 2 3 3 2 3" xfId="27177" xr:uid="{00000000-0005-0000-0000-0000236A0000}"/>
    <cellStyle name="Normal 26 3 2 3 3 2 4" xfId="27178" xr:uid="{00000000-0005-0000-0000-0000246A0000}"/>
    <cellStyle name="Normal 26 3 2 3 3 2 5" xfId="27179" xr:uid="{00000000-0005-0000-0000-0000256A0000}"/>
    <cellStyle name="Normal 26 3 2 3 3 2 6" xfId="27180" xr:uid="{00000000-0005-0000-0000-0000266A0000}"/>
    <cellStyle name="Normal 26 3 2 3 3 3" xfId="27181" xr:uid="{00000000-0005-0000-0000-0000276A0000}"/>
    <cellStyle name="Normal 26 3 2 3 3 3 2" xfId="27182" xr:uid="{00000000-0005-0000-0000-0000286A0000}"/>
    <cellStyle name="Normal 26 3 2 3 3 3 3" xfId="27183" xr:uid="{00000000-0005-0000-0000-0000296A0000}"/>
    <cellStyle name="Normal 26 3 2 3 3 3 4" xfId="27184" xr:uid="{00000000-0005-0000-0000-00002A6A0000}"/>
    <cellStyle name="Normal 26 3 2 3 3 3 5" xfId="27185" xr:uid="{00000000-0005-0000-0000-00002B6A0000}"/>
    <cellStyle name="Normal 26 3 2 3 3 3 6" xfId="27186" xr:uid="{00000000-0005-0000-0000-00002C6A0000}"/>
    <cellStyle name="Normal 26 3 2 3 3 4" xfId="27187" xr:uid="{00000000-0005-0000-0000-00002D6A0000}"/>
    <cellStyle name="Normal 26 3 2 3 3 5" xfId="27188" xr:uid="{00000000-0005-0000-0000-00002E6A0000}"/>
    <cellStyle name="Normal 26 3 2 3 3 6" xfId="27189" xr:uid="{00000000-0005-0000-0000-00002F6A0000}"/>
    <cellStyle name="Normal 26 3 2 3 3 7" xfId="27190" xr:uid="{00000000-0005-0000-0000-0000306A0000}"/>
    <cellStyle name="Normal 26 3 2 3 3 8" xfId="27191" xr:uid="{00000000-0005-0000-0000-0000316A0000}"/>
    <cellStyle name="Normal 26 3 2 3 4" xfId="27192" xr:uid="{00000000-0005-0000-0000-0000326A0000}"/>
    <cellStyle name="Normal 26 3 2 3 4 2" xfId="27193" xr:uid="{00000000-0005-0000-0000-0000336A0000}"/>
    <cellStyle name="Normal 26 3 2 3 4 2 2" xfId="27194" xr:uid="{00000000-0005-0000-0000-0000346A0000}"/>
    <cellStyle name="Normal 26 3 2 3 4 2 3" xfId="27195" xr:uid="{00000000-0005-0000-0000-0000356A0000}"/>
    <cellStyle name="Normal 26 3 2 3 4 2 4" xfId="27196" xr:uid="{00000000-0005-0000-0000-0000366A0000}"/>
    <cellStyle name="Normal 26 3 2 3 4 2 5" xfId="27197" xr:uid="{00000000-0005-0000-0000-0000376A0000}"/>
    <cellStyle name="Normal 26 3 2 3 4 2 6" xfId="27198" xr:uid="{00000000-0005-0000-0000-0000386A0000}"/>
    <cellStyle name="Normal 26 3 2 3 4 3" xfId="27199" xr:uid="{00000000-0005-0000-0000-0000396A0000}"/>
    <cellStyle name="Normal 26 3 2 3 4 3 2" xfId="27200" xr:uid="{00000000-0005-0000-0000-00003A6A0000}"/>
    <cellStyle name="Normal 26 3 2 3 4 3 3" xfId="27201" xr:uid="{00000000-0005-0000-0000-00003B6A0000}"/>
    <cellStyle name="Normal 26 3 2 3 4 3 4" xfId="27202" xr:uid="{00000000-0005-0000-0000-00003C6A0000}"/>
    <cellStyle name="Normal 26 3 2 3 4 3 5" xfId="27203" xr:uid="{00000000-0005-0000-0000-00003D6A0000}"/>
    <cellStyle name="Normal 26 3 2 3 4 3 6" xfId="27204" xr:uid="{00000000-0005-0000-0000-00003E6A0000}"/>
    <cellStyle name="Normal 26 3 2 3 4 4" xfId="27205" xr:uid="{00000000-0005-0000-0000-00003F6A0000}"/>
    <cellStyle name="Normal 26 3 2 3 4 5" xfId="27206" xr:uid="{00000000-0005-0000-0000-0000406A0000}"/>
    <cellStyle name="Normal 26 3 2 3 4 6" xfId="27207" xr:uid="{00000000-0005-0000-0000-0000416A0000}"/>
    <cellStyle name="Normal 26 3 2 3 4 7" xfId="27208" xr:uid="{00000000-0005-0000-0000-0000426A0000}"/>
    <cellStyle name="Normal 26 3 2 3 4 8" xfId="27209" xr:uid="{00000000-0005-0000-0000-0000436A0000}"/>
    <cellStyle name="Normal 26 3 2 3 5" xfId="27210" xr:uid="{00000000-0005-0000-0000-0000446A0000}"/>
    <cellStyle name="Normal 26 3 2 3 5 2" xfId="27211" xr:uid="{00000000-0005-0000-0000-0000456A0000}"/>
    <cellStyle name="Normal 26 3 2 3 5 2 2" xfId="27212" xr:uid="{00000000-0005-0000-0000-0000466A0000}"/>
    <cellStyle name="Normal 26 3 2 3 5 2 3" xfId="27213" xr:uid="{00000000-0005-0000-0000-0000476A0000}"/>
    <cellStyle name="Normal 26 3 2 3 5 2 4" xfId="27214" xr:uid="{00000000-0005-0000-0000-0000486A0000}"/>
    <cellStyle name="Normal 26 3 2 3 5 2 5" xfId="27215" xr:uid="{00000000-0005-0000-0000-0000496A0000}"/>
    <cellStyle name="Normal 26 3 2 3 5 2 6" xfId="27216" xr:uid="{00000000-0005-0000-0000-00004A6A0000}"/>
    <cellStyle name="Normal 26 3 2 3 5 3" xfId="27217" xr:uid="{00000000-0005-0000-0000-00004B6A0000}"/>
    <cellStyle name="Normal 26 3 2 3 5 3 2" xfId="27218" xr:uid="{00000000-0005-0000-0000-00004C6A0000}"/>
    <cellStyle name="Normal 26 3 2 3 5 3 3" xfId="27219" xr:uid="{00000000-0005-0000-0000-00004D6A0000}"/>
    <cellStyle name="Normal 26 3 2 3 5 3 4" xfId="27220" xr:uid="{00000000-0005-0000-0000-00004E6A0000}"/>
    <cellStyle name="Normal 26 3 2 3 5 3 5" xfId="27221" xr:uid="{00000000-0005-0000-0000-00004F6A0000}"/>
    <cellStyle name="Normal 26 3 2 3 5 3 6" xfId="27222" xr:uid="{00000000-0005-0000-0000-0000506A0000}"/>
    <cellStyle name="Normal 26 3 2 3 5 4" xfId="27223" xr:uid="{00000000-0005-0000-0000-0000516A0000}"/>
    <cellStyle name="Normal 26 3 2 3 5 5" xfId="27224" xr:uid="{00000000-0005-0000-0000-0000526A0000}"/>
    <cellStyle name="Normal 26 3 2 3 5 6" xfId="27225" xr:uid="{00000000-0005-0000-0000-0000536A0000}"/>
    <cellStyle name="Normal 26 3 2 3 5 7" xfId="27226" xr:uid="{00000000-0005-0000-0000-0000546A0000}"/>
    <cellStyle name="Normal 26 3 2 3 5 8" xfId="27227" xr:uid="{00000000-0005-0000-0000-0000556A0000}"/>
    <cellStyle name="Normal 26 3 2 3 6" xfId="27228" xr:uid="{00000000-0005-0000-0000-0000566A0000}"/>
    <cellStyle name="Normal 26 3 2 3 6 2" xfId="27229" xr:uid="{00000000-0005-0000-0000-0000576A0000}"/>
    <cellStyle name="Normal 26 3 2 3 6 3" xfId="27230" xr:uid="{00000000-0005-0000-0000-0000586A0000}"/>
    <cellStyle name="Normal 26 3 2 3 6 4" xfId="27231" xr:uid="{00000000-0005-0000-0000-0000596A0000}"/>
    <cellStyle name="Normal 26 3 2 3 6 5" xfId="27232" xr:uid="{00000000-0005-0000-0000-00005A6A0000}"/>
    <cellStyle name="Normal 26 3 2 3 6 6" xfId="27233" xr:uid="{00000000-0005-0000-0000-00005B6A0000}"/>
    <cellStyle name="Normal 26 3 2 3 7" xfId="27234" xr:uid="{00000000-0005-0000-0000-00005C6A0000}"/>
    <cellStyle name="Normal 26 3 2 3 7 2" xfId="27235" xr:uid="{00000000-0005-0000-0000-00005D6A0000}"/>
    <cellStyle name="Normal 26 3 2 3 7 3" xfId="27236" xr:uid="{00000000-0005-0000-0000-00005E6A0000}"/>
    <cellStyle name="Normal 26 3 2 3 7 4" xfId="27237" xr:uid="{00000000-0005-0000-0000-00005F6A0000}"/>
    <cellStyle name="Normal 26 3 2 3 7 5" xfId="27238" xr:uid="{00000000-0005-0000-0000-0000606A0000}"/>
    <cellStyle name="Normal 26 3 2 3 7 6" xfId="27239" xr:uid="{00000000-0005-0000-0000-0000616A0000}"/>
    <cellStyle name="Normal 26 3 2 3 8" xfId="27240" xr:uid="{00000000-0005-0000-0000-0000626A0000}"/>
    <cellStyle name="Normal 26 3 2 3 9" xfId="27241" xr:uid="{00000000-0005-0000-0000-0000636A0000}"/>
    <cellStyle name="Normal 26 3 2 4" xfId="27242" xr:uid="{00000000-0005-0000-0000-0000646A0000}"/>
    <cellStyle name="Normal 26 3 2 4 10" xfId="27243" xr:uid="{00000000-0005-0000-0000-0000656A0000}"/>
    <cellStyle name="Normal 26 3 2 4 11" xfId="27244" xr:uid="{00000000-0005-0000-0000-0000666A0000}"/>
    <cellStyle name="Normal 26 3 2 4 2" xfId="27245" xr:uid="{00000000-0005-0000-0000-0000676A0000}"/>
    <cellStyle name="Normal 26 3 2 4 2 2" xfId="27246" xr:uid="{00000000-0005-0000-0000-0000686A0000}"/>
    <cellStyle name="Normal 26 3 2 4 2 2 2" xfId="27247" xr:uid="{00000000-0005-0000-0000-0000696A0000}"/>
    <cellStyle name="Normal 26 3 2 4 2 2 3" xfId="27248" xr:uid="{00000000-0005-0000-0000-00006A6A0000}"/>
    <cellStyle name="Normal 26 3 2 4 2 2 4" xfId="27249" xr:uid="{00000000-0005-0000-0000-00006B6A0000}"/>
    <cellStyle name="Normal 26 3 2 4 2 2 5" xfId="27250" xr:uid="{00000000-0005-0000-0000-00006C6A0000}"/>
    <cellStyle name="Normal 26 3 2 4 2 2 6" xfId="27251" xr:uid="{00000000-0005-0000-0000-00006D6A0000}"/>
    <cellStyle name="Normal 26 3 2 4 2 3" xfId="27252" xr:uid="{00000000-0005-0000-0000-00006E6A0000}"/>
    <cellStyle name="Normal 26 3 2 4 2 3 2" xfId="27253" xr:uid="{00000000-0005-0000-0000-00006F6A0000}"/>
    <cellStyle name="Normal 26 3 2 4 2 3 3" xfId="27254" xr:uid="{00000000-0005-0000-0000-0000706A0000}"/>
    <cellStyle name="Normal 26 3 2 4 2 3 4" xfId="27255" xr:uid="{00000000-0005-0000-0000-0000716A0000}"/>
    <cellStyle name="Normal 26 3 2 4 2 3 5" xfId="27256" xr:uid="{00000000-0005-0000-0000-0000726A0000}"/>
    <cellStyle name="Normal 26 3 2 4 2 3 6" xfId="27257" xr:uid="{00000000-0005-0000-0000-0000736A0000}"/>
    <cellStyle name="Normal 26 3 2 4 2 4" xfId="27258" xr:uid="{00000000-0005-0000-0000-0000746A0000}"/>
    <cellStyle name="Normal 26 3 2 4 2 5" xfId="27259" xr:uid="{00000000-0005-0000-0000-0000756A0000}"/>
    <cellStyle name="Normal 26 3 2 4 2 6" xfId="27260" xr:uid="{00000000-0005-0000-0000-0000766A0000}"/>
    <cellStyle name="Normal 26 3 2 4 2 7" xfId="27261" xr:uid="{00000000-0005-0000-0000-0000776A0000}"/>
    <cellStyle name="Normal 26 3 2 4 2 8" xfId="27262" xr:uid="{00000000-0005-0000-0000-0000786A0000}"/>
    <cellStyle name="Normal 26 3 2 4 3" xfId="27263" xr:uid="{00000000-0005-0000-0000-0000796A0000}"/>
    <cellStyle name="Normal 26 3 2 4 3 2" xfId="27264" xr:uid="{00000000-0005-0000-0000-00007A6A0000}"/>
    <cellStyle name="Normal 26 3 2 4 3 2 2" xfId="27265" xr:uid="{00000000-0005-0000-0000-00007B6A0000}"/>
    <cellStyle name="Normal 26 3 2 4 3 2 3" xfId="27266" xr:uid="{00000000-0005-0000-0000-00007C6A0000}"/>
    <cellStyle name="Normal 26 3 2 4 3 2 4" xfId="27267" xr:uid="{00000000-0005-0000-0000-00007D6A0000}"/>
    <cellStyle name="Normal 26 3 2 4 3 2 5" xfId="27268" xr:uid="{00000000-0005-0000-0000-00007E6A0000}"/>
    <cellStyle name="Normal 26 3 2 4 3 2 6" xfId="27269" xr:uid="{00000000-0005-0000-0000-00007F6A0000}"/>
    <cellStyle name="Normal 26 3 2 4 3 3" xfId="27270" xr:uid="{00000000-0005-0000-0000-0000806A0000}"/>
    <cellStyle name="Normal 26 3 2 4 3 3 2" xfId="27271" xr:uid="{00000000-0005-0000-0000-0000816A0000}"/>
    <cellStyle name="Normal 26 3 2 4 3 3 3" xfId="27272" xr:uid="{00000000-0005-0000-0000-0000826A0000}"/>
    <cellStyle name="Normal 26 3 2 4 3 3 4" xfId="27273" xr:uid="{00000000-0005-0000-0000-0000836A0000}"/>
    <cellStyle name="Normal 26 3 2 4 3 3 5" xfId="27274" xr:uid="{00000000-0005-0000-0000-0000846A0000}"/>
    <cellStyle name="Normal 26 3 2 4 3 3 6" xfId="27275" xr:uid="{00000000-0005-0000-0000-0000856A0000}"/>
    <cellStyle name="Normal 26 3 2 4 3 4" xfId="27276" xr:uid="{00000000-0005-0000-0000-0000866A0000}"/>
    <cellStyle name="Normal 26 3 2 4 3 5" xfId="27277" xr:uid="{00000000-0005-0000-0000-0000876A0000}"/>
    <cellStyle name="Normal 26 3 2 4 3 6" xfId="27278" xr:uid="{00000000-0005-0000-0000-0000886A0000}"/>
    <cellStyle name="Normal 26 3 2 4 3 7" xfId="27279" xr:uid="{00000000-0005-0000-0000-0000896A0000}"/>
    <cellStyle name="Normal 26 3 2 4 3 8" xfId="27280" xr:uid="{00000000-0005-0000-0000-00008A6A0000}"/>
    <cellStyle name="Normal 26 3 2 4 4" xfId="27281" xr:uid="{00000000-0005-0000-0000-00008B6A0000}"/>
    <cellStyle name="Normal 26 3 2 4 4 2" xfId="27282" xr:uid="{00000000-0005-0000-0000-00008C6A0000}"/>
    <cellStyle name="Normal 26 3 2 4 4 2 2" xfId="27283" xr:uid="{00000000-0005-0000-0000-00008D6A0000}"/>
    <cellStyle name="Normal 26 3 2 4 4 2 3" xfId="27284" xr:uid="{00000000-0005-0000-0000-00008E6A0000}"/>
    <cellStyle name="Normal 26 3 2 4 4 2 4" xfId="27285" xr:uid="{00000000-0005-0000-0000-00008F6A0000}"/>
    <cellStyle name="Normal 26 3 2 4 4 2 5" xfId="27286" xr:uid="{00000000-0005-0000-0000-0000906A0000}"/>
    <cellStyle name="Normal 26 3 2 4 4 2 6" xfId="27287" xr:uid="{00000000-0005-0000-0000-0000916A0000}"/>
    <cellStyle name="Normal 26 3 2 4 4 3" xfId="27288" xr:uid="{00000000-0005-0000-0000-0000926A0000}"/>
    <cellStyle name="Normal 26 3 2 4 4 3 2" xfId="27289" xr:uid="{00000000-0005-0000-0000-0000936A0000}"/>
    <cellStyle name="Normal 26 3 2 4 4 3 3" xfId="27290" xr:uid="{00000000-0005-0000-0000-0000946A0000}"/>
    <cellStyle name="Normal 26 3 2 4 4 3 4" xfId="27291" xr:uid="{00000000-0005-0000-0000-0000956A0000}"/>
    <cellStyle name="Normal 26 3 2 4 4 3 5" xfId="27292" xr:uid="{00000000-0005-0000-0000-0000966A0000}"/>
    <cellStyle name="Normal 26 3 2 4 4 3 6" xfId="27293" xr:uid="{00000000-0005-0000-0000-0000976A0000}"/>
    <cellStyle name="Normal 26 3 2 4 4 4" xfId="27294" xr:uid="{00000000-0005-0000-0000-0000986A0000}"/>
    <cellStyle name="Normal 26 3 2 4 4 5" xfId="27295" xr:uid="{00000000-0005-0000-0000-0000996A0000}"/>
    <cellStyle name="Normal 26 3 2 4 4 6" xfId="27296" xr:uid="{00000000-0005-0000-0000-00009A6A0000}"/>
    <cellStyle name="Normal 26 3 2 4 4 7" xfId="27297" xr:uid="{00000000-0005-0000-0000-00009B6A0000}"/>
    <cellStyle name="Normal 26 3 2 4 4 8" xfId="27298" xr:uid="{00000000-0005-0000-0000-00009C6A0000}"/>
    <cellStyle name="Normal 26 3 2 4 5" xfId="27299" xr:uid="{00000000-0005-0000-0000-00009D6A0000}"/>
    <cellStyle name="Normal 26 3 2 4 5 2" xfId="27300" xr:uid="{00000000-0005-0000-0000-00009E6A0000}"/>
    <cellStyle name="Normal 26 3 2 4 5 3" xfId="27301" xr:uid="{00000000-0005-0000-0000-00009F6A0000}"/>
    <cellStyle name="Normal 26 3 2 4 5 4" xfId="27302" xr:uid="{00000000-0005-0000-0000-0000A06A0000}"/>
    <cellStyle name="Normal 26 3 2 4 5 5" xfId="27303" xr:uid="{00000000-0005-0000-0000-0000A16A0000}"/>
    <cellStyle name="Normal 26 3 2 4 5 6" xfId="27304" xr:uid="{00000000-0005-0000-0000-0000A26A0000}"/>
    <cellStyle name="Normal 26 3 2 4 6" xfId="27305" xr:uid="{00000000-0005-0000-0000-0000A36A0000}"/>
    <cellStyle name="Normal 26 3 2 4 6 2" xfId="27306" xr:uid="{00000000-0005-0000-0000-0000A46A0000}"/>
    <cellStyle name="Normal 26 3 2 4 6 3" xfId="27307" xr:uid="{00000000-0005-0000-0000-0000A56A0000}"/>
    <cellStyle name="Normal 26 3 2 4 6 4" xfId="27308" xr:uid="{00000000-0005-0000-0000-0000A66A0000}"/>
    <cellStyle name="Normal 26 3 2 4 6 5" xfId="27309" xr:uid="{00000000-0005-0000-0000-0000A76A0000}"/>
    <cellStyle name="Normal 26 3 2 4 6 6" xfId="27310" xr:uid="{00000000-0005-0000-0000-0000A86A0000}"/>
    <cellStyle name="Normal 26 3 2 4 7" xfId="27311" xr:uid="{00000000-0005-0000-0000-0000A96A0000}"/>
    <cellStyle name="Normal 26 3 2 4 8" xfId="27312" xr:uid="{00000000-0005-0000-0000-0000AA6A0000}"/>
    <cellStyle name="Normal 26 3 2 4 9" xfId="27313" xr:uid="{00000000-0005-0000-0000-0000AB6A0000}"/>
    <cellStyle name="Normal 26 3 2 5" xfId="27314" xr:uid="{00000000-0005-0000-0000-0000AC6A0000}"/>
    <cellStyle name="Normal 26 3 2 5 2" xfId="27315" xr:uid="{00000000-0005-0000-0000-0000AD6A0000}"/>
    <cellStyle name="Normal 26 3 2 5 2 2" xfId="27316" xr:uid="{00000000-0005-0000-0000-0000AE6A0000}"/>
    <cellStyle name="Normal 26 3 2 5 2 3" xfId="27317" xr:uid="{00000000-0005-0000-0000-0000AF6A0000}"/>
    <cellStyle name="Normal 26 3 2 5 2 4" xfId="27318" xr:uid="{00000000-0005-0000-0000-0000B06A0000}"/>
    <cellStyle name="Normal 26 3 2 5 2 5" xfId="27319" xr:uid="{00000000-0005-0000-0000-0000B16A0000}"/>
    <cellStyle name="Normal 26 3 2 5 2 6" xfId="27320" xr:uid="{00000000-0005-0000-0000-0000B26A0000}"/>
    <cellStyle name="Normal 26 3 2 5 3" xfId="27321" xr:uid="{00000000-0005-0000-0000-0000B36A0000}"/>
    <cellStyle name="Normal 26 3 2 5 3 2" xfId="27322" xr:uid="{00000000-0005-0000-0000-0000B46A0000}"/>
    <cellStyle name="Normal 26 3 2 5 3 3" xfId="27323" xr:uid="{00000000-0005-0000-0000-0000B56A0000}"/>
    <cellStyle name="Normal 26 3 2 5 3 4" xfId="27324" xr:uid="{00000000-0005-0000-0000-0000B66A0000}"/>
    <cellStyle name="Normal 26 3 2 5 3 5" xfId="27325" xr:uid="{00000000-0005-0000-0000-0000B76A0000}"/>
    <cellStyle name="Normal 26 3 2 5 3 6" xfId="27326" xr:uid="{00000000-0005-0000-0000-0000B86A0000}"/>
    <cellStyle name="Normal 26 3 2 5 4" xfId="27327" xr:uid="{00000000-0005-0000-0000-0000B96A0000}"/>
    <cellStyle name="Normal 26 3 2 5 5" xfId="27328" xr:uid="{00000000-0005-0000-0000-0000BA6A0000}"/>
    <cellStyle name="Normal 26 3 2 5 6" xfId="27329" xr:uid="{00000000-0005-0000-0000-0000BB6A0000}"/>
    <cellStyle name="Normal 26 3 2 5 7" xfId="27330" xr:uid="{00000000-0005-0000-0000-0000BC6A0000}"/>
    <cellStyle name="Normal 26 3 2 5 8" xfId="27331" xr:uid="{00000000-0005-0000-0000-0000BD6A0000}"/>
    <cellStyle name="Normal 26 3 2 6" xfId="27332" xr:uid="{00000000-0005-0000-0000-0000BE6A0000}"/>
    <cellStyle name="Normal 26 3 2 6 2" xfId="27333" xr:uid="{00000000-0005-0000-0000-0000BF6A0000}"/>
    <cellStyle name="Normal 26 3 2 6 2 2" xfId="27334" xr:uid="{00000000-0005-0000-0000-0000C06A0000}"/>
    <cellStyle name="Normal 26 3 2 6 2 3" xfId="27335" xr:uid="{00000000-0005-0000-0000-0000C16A0000}"/>
    <cellStyle name="Normal 26 3 2 6 2 4" xfId="27336" xr:uid="{00000000-0005-0000-0000-0000C26A0000}"/>
    <cellStyle name="Normal 26 3 2 6 2 5" xfId="27337" xr:uid="{00000000-0005-0000-0000-0000C36A0000}"/>
    <cellStyle name="Normal 26 3 2 6 2 6" xfId="27338" xr:uid="{00000000-0005-0000-0000-0000C46A0000}"/>
    <cellStyle name="Normal 26 3 2 6 3" xfId="27339" xr:uid="{00000000-0005-0000-0000-0000C56A0000}"/>
    <cellStyle name="Normal 26 3 2 6 3 2" xfId="27340" xr:uid="{00000000-0005-0000-0000-0000C66A0000}"/>
    <cellStyle name="Normal 26 3 2 6 3 3" xfId="27341" xr:uid="{00000000-0005-0000-0000-0000C76A0000}"/>
    <cellStyle name="Normal 26 3 2 6 3 4" xfId="27342" xr:uid="{00000000-0005-0000-0000-0000C86A0000}"/>
    <cellStyle name="Normal 26 3 2 6 3 5" xfId="27343" xr:uid="{00000000-0005-0000-0000-0000C96A0000}"/>
    <cellStyle name="Normal 26 3 2 6 3 6" xfId="27344" xr:uid="{00000000-0005-0000-0000-0000CA6A0000}"/>
    <cellStyle name="Normal 26 3 2 6 4" xfId="27345" xr:uid="{00000000-0005-0000-0000-0000CB6A0000}"/>
    <cellStyle name="Normal 26 3 2 6 5" xfId="27346" xr:uid="{00000000-0005-0000-0000-0000CC6A0000}"/>
    <cellStyle name="Normal 26 3 2 6 6" xfId="27347" xr:uid="{00000000-0005-0000-0000-0000CD6A0000}"/>
    <cellStyle name="Normal 26 3 2 6 7" xfId="27348" xr:uid="{00000000-0005-0000-0000-0000CE6A0000}"/>
    <cellStyle name="Normal 26 3 2 6 8" xfId="27349" xr:uid="{00000000-0005-0000-0000-0000CF6A0000}"/>
    <cellStyle name="Normal 26 3 2 7" xfId="27350" xr:uid="{00000000-0005-0000-0000-0000D06A0000}"/>
    <cellStyle name="Normal 26 3 2 7 2" xfId="27351" xr:uid="{00000000-0005-0000-0000-0000D16A0000}"/>
    <cellStyle name="Normal 26 3 2 7 2 2" xfId="27352" xr:uid="{00000000-0005-0000-0000-0000D26A0000}"/>
    <cellStyle name="Normal 26 3 2 7 2 3" xfId="27353" xr:uid="{00000000-0005-0000-0000-0000D36A0000}"/>
    <cellStyle name="Normal 26 3 2 7 2 4" xfId="27354" xr:uid="{00000000-0005-0000-0000-0000D46A0000}"/>
    <cellStyle name="Normal 26 3 2 7 2 5" xfId="27355" xr:uid="{00000000-0005-0000-0000-0000D56A0000}"/>
    <cellStyle name="Normal 26 3 2 7 2 6" xfId="27356" xr:uid="{00000000-0005-0000-0000-0000D66A0000}"/>
    <cellStyle name="Normal 26 3 2 7 3" xfId="27357" xr:uid="{00000000-0005-0000-0000-0000D76A0000}"/>
    <cellStyle name="Normal 26 3 2 7 3 2" xfId="27358" xr:uid="{00000000-0005-0000-0000-0000D86A0000}"/>
    <cellStyle name="Normal 26 3 2 7 3 3" xfId="27359" xr:uid="{00000000-0005-0000-0000-0000D96A0000}"/>
    <cellStyle name="Normal 26 3 2 7 3 4" xfId="27360" xr:uid="{00000000-0005-0000-0000-0000DA6A0000}"/>
    <cellStyle name="Normal 26 3 2 7 3 5" xfId="27361" xr:uid="{00000000-0005-0000-0000-0000DB6A0000}"/>
    <cellStyle name="Normal 26 3 2 7 3 6" xfId="27362" xr:uid="{00000000-0005-0000-0000-0000DC6A0000}"/>
    <cellStyle name="Normal 26 3 2 7 4" xfId="27363" xr:uid="{00000000-0005-0000-0000-0000DD6A0000}"/>
    <cellStyle name="Normal 26 3 2 7 5" xfId="27364" xr:uid="{00000000-0005-0000-0000-0000DE6A0000}"/>
    <cellStyle name="Normal 26 3 2 7 6" xfId="27365" xr:uid="{00000000-0005-0000-0000-0000DF6A0000}"/>
    <cellStyle name="Normal 26 3 2 7 7" xfId="27366" xr:uid="{00000000-0005-0000-0000-0000E06A0000}"/>
    <cellStyle name="Normal 26 3 2 7 8" xfId="27367" xr:uid="{00000000-0005-0000-0000-0000E16A0000}"/>
    <cellStyle name="Normal 26 3 2 8" xfId="27368" xr:uid="{00000000-0005-0000-0000-0000E26A0000}"/>
    <cellStyle name="Normal 26 3 2 8 2" xfId="27369" xr:uid="{00000000-0005-0000-0000-0000E36A0000}"/>
    <cellStyle name="Normal 26 3 2 8 3" xfId="27370" xr:uid="{00000000-0005-0000-0000-0000E46A0000}"/>
    <cellStyle name="Normal 26 3 2 8 4" xfId="27371" xr:uid="{00000000-0005-0000-0000-0000E56A0000}"/>
    <cellStyle name="Normal 26 3 2 8 5" xfId="27372" xr:uid="{00000000-0005-0000-0000-0000E66A0000}"/>
    <cellStyle name="Normal 26 3 2 8 6" xfId="27373" xr:uid="{00000000-0005-0000-0000-0000E76A0000}"/>
    <cellStyle name="Normal 26 3 2 9" xfId="27374" xr:uid="{00000000-0005-0000-0000-0000E86A0000}"/>
    <cellStyle name="Normal 26 3 2 9 2" xfId="27375" xr:uid="{00000000-0005-0000-0000-0000E96A0000}"/>
    <cellStyle name="Normal 26 3 2 9 3" xfId="27376" xr:uid="{00000000-0005-0000-0000-0000EA6A0000}"/>
    <cellStyle name="Normal 26 3 2 9 4" xfId="27377" xr:uid="{00000000-0005-0000-0000-0000EB6A0000}"/>
    <cellStyle name="Normal 26 3 2 9 5" xfId="27378" xr:uid="{00000000-0005-0000-0000-0000EC6A0000}"/>
    <cellStyle name="Normal 26 3 2 9 6" xfId="27379" xr:uid="{00000000-0005-0000-0000-0000ED6A0000}"/>
    <cellStyle name="Normal 26 3 3" xfId="27380" xr:uid="{00000000-0005-0000-0000-0000EE6A0000}"/>
    <cellStyle name="Normal 26 3 3 10" xfId="27381" xr:uid="{00000000-0005-0000-0000-0000EF6A0000}"/>
    <cellStyle name="Normal 26 3 3 11" xfId="27382" xr:uid="{00000000-0005-0000-0000-0000F06A0000}"/>
    <cellStyle name="Normal 26 3 3 12" xfId="27383" xr:uid="{00000000-0005-0000-0000-0000F16A0000}"/>
    <cellStyle name="Normal 26 3 3 2" xfId="27384" xr:uid="{00000000-0005-0000-0000-0000F26A0000}"/>
    <cellStyle name="Normal 26 3 3 2 10" xfId="27385" xr:uid="{00000000-0005-0000-0000-0000F36A0000}"/>
    <cellStyle name="Normal 26 3 3 2 11" xfId="27386" xr:uid="{00000000-0005-0000-0000-0000F46A0000}"/>
    <cellStyle name="Normal 26 3 3 2 2" xfId="27387" xr:uid="{00000000-0005-0000-0000-0000F56A0000}"/>
    <cellStyle name="Normal 26 3 3 2 2 2" xfId="27388" xr:uid="{00000000-0005-0000-0000-0000F66A0000}"/>
    <cellStyle name="Normal 26 3 3 2 2 2 2" xfId="27389" xr:uid="{00000000-0005-0000-0000-0000F76A0000}"/>
    <cellStyle name="Normal 26 3 3 2 2 2 3" xfId="27390" xr:uid="{00000000-0005-0000-0000-0000F86A0000}"/>
    <cellStyle name="Normal 26 3 3 2 2 2 4" xfId="27391" xr:uid="{00000000-0005-0000-0000-0000F96A0000}"/>
    <cellStyle name="Normal 26 3 3 2 2 2 5" xfId="27392" xr:uid="{00000000-0005-0000-0000-0000FA6A0000}"/>
    <cellStyle name="Normal 26 3 3 2 2 2 6" xfId="27393" xr:uid="{00000000-0005-0000-0000-0000FB6A0000}"/>
    <cellStyle name="Normal 26 3 3 2 2 3" xfId="27394" xr:uid="{00000000-0005-0000-0000-0000FC6A0000}"/>
    <cellStyle name="Normal 26 3 3 2 2 3 2" xfId="27395" xr:uid="{00000000-0005-0000-0000-0000FD6A0000}"/>
    <cellStyle name="Normal 26 3 3 2 2 3 3" xfId="27396" xr:uid="{00000000-0005-0000-0000-0000FE6A0000}"/>
    <cellStyle name="Normal 26 3 3 2 2 3 4" xfId="27397" xr:uid="{00000000-0005-0000-0000-0000FF6A0000}"/>
    <cellStyle name="Normal 26 3 3 2 2 3 5" xfId="27398" xr:uid="{00000000-0005-0000-0000-0000006B0000}"/>
    <cellStyle name="Normal 26 3 3 2 2 3 6" xfId="27399" xr:uid="{00000000-0005-0000-0000-0000016B0000}"/>
    <cellStyle name="Normal 26 3 3 2 2 4" xfId="27400" xr:uid="{00000000-0005-0000-0000-0000026B0000}"/>
    <cellStyle name="Normal 26 3 3 2 2 5" xfId="27401" xr:uid="{00000000-0005-0000-0000-0000036B0000}"/>
    <cellStyle name="Normal 26 3 3 2 2 6" xfId="27402" xr:uid="{00000000-0005-0000-0000-0000046B0000}"/>
    <cellStyle name="Normal 26 3 3 2 2 7" xfId="27403" xr:uid="{00000000-0005-0000-0000-0000056B0000}"/>
    <cellStyle name="Normal 26 3 3 2 2 8" xfId="27404" xr:uid="{00000000-0005-0000-0000-0000066B0000}"/>
    <cellStyle name="Normal 26 3 3 2 3" xfId="27405" xr:uid="{00000000-0005-0000-0000-0000076B0000}"/>
    <cellStyle name="Normal 26 3 3 2 3 2" xfId="27406" xr:uid="{00000000-0005-0000-0000-0000086B0000}"/>
    <cellStyle name="Normal 26 3 3 2 3 2 2" xfId="27407" xr:uid="{00000000-0005-0000-0000-0000096B0000}"/>
    <cellStyle name="Normal 26 3 3 2 3 2 3" xfId="27408" xr:uid="{00000000-0005-0000-0000-00000A6B0000}"/>
    <cellStyle name="Normal 26 3 3 2 3 2 4" xfId="27409" xr:uid="{00000000-0005-0000-0000-00000B6B0000}"/>
    <cellStyle name="Normal 26 3 3 2 3 2 5" xfId="27410" xr:uid="{00000000-0005-0000-0000-00000C6B0000}"/>
    <cellStyle name="Normal 26 3 3 2 3 2 6" xfId="27411" xr:uid="{00000000-0005-0000-0000-00000D6B0000}"/>
    <cellStyle name="Normal 26 3 3 2 3 3" xfId="27412" xr:uid="{00000000-0005-0000-0000-00000E6B0000}"/>
    <cellStyle name="Normal 26 3 3 2 3 3 2" xfId="27413" xr:uid="{00000000-0005-0000-0000-00000F6B0000}"/>
    <cellStyle name="Normal 26 3 3 2 3 3 3" xfId="27414" xr:uid="{00000000-0005-0000-0000-0000106B0000}"/>
    <cellStyle name="Normal 26 3 3 2 3 3 4" xfId="27415" xr:uid="{00000000-0005-0000-0000-0000116B0000}"/>
    <cellStyle name="Normal 26 3 3 2 3 3 5" xfId="27416" xr:uid="{00000000-0005-0000-0000-0000126B0000}"/>
    <cellStyle name="Normal 26 3 3 2 3 3 6" xfId="27417" xr:uid="{00000000-0005-0000-0000-0000136B0000}"/>
    <cellStyle name="Normal 26 3 3 2 3 4" xfId="27418" xr:uid="{00000000-0005-0000-0000-0000146B0000}"/>
    <cellStyle name="Normal 26 3 3 2 3 5" xfId="27419" xr:uid="{00000000-0005-0000-0000-0000156B0000}"/>
    <cellStyle name="Normal 26 3 3 2 3 6" xfId="27420" xr:uid="{00000000-0005-0000-0000-0000166B0000}"/>
    <cellStyle name="Normal 26 3 3 2 3 7" xfId="27421" xr:uid="{00000000-0005-0000-0000-0000176B0000}"/>
    <cellStyle name="Normal 26 3 3 2 3 8" xfId="27422" xr:uid="{00000000-0005-0000-0000-0000186B0000}"/>
    <cellStyle name="Normal 26 3 3 2 4" xfId="27423" xr:uid="{00000000-0005-0000-0000-0000196B0000}"/>
    <cellStyle name="Normal 26 3 3 2 4 2" xfId="27424" xr:uid="{00000000-0005-0000-0000-00001A6B0000}"/>
    <cellStyle name="Normal 26 3 3 2 4 2 2" xfId="27425" xr:uid="{00000000-0005-0000-0000-00001B6B0000}"/>
    <cellStyle name="Normal 26 3 3 2 4 2 3" xfId="27426" xr:uid="{00000000-0005-0000-0000-00001C6B0000}"/>
    <cellStyle name="Normal 26 3 3 2 4 2 4" xfId="27427" xr:uid="{00000000-0005-0000-0000-00001D6B0000}"/>
    <cellStyle name="Normal 26 3 3 2 4 2 5" xfId="27428" xr:uid="{00000000-0005-0000-0000-00001E6B0000}"/>
    <cellStyle name="Normal 26 3 3 2 4 2 6" xfId="27429" xr:uid="{00000000-0005-0000-0000-00001F6B0000}"/>
    <cellStyle name="Normal 26 3 3 2 4 3" xfId="27430" xr:uid="{00000000-0005-0000-0000-0000206B0000}"/>
    <cellStyle name="Normal 26 3 3 2 4 3 2" xfId="27431" xr:uid="{00000000-0005-0000-0000-0000216B0000}"/>
    <cellStyle name="Normal 26 3 3 2 4 3 3" xfId="27432" xr:uid="{00000000-0005-0000-0000-0000226B0000}"/>
    <cellStyle name="Normal 26 3 3 2 4 3 4" xfId="27433" xr:uid="{00000000-0005-0000-0000-0000236B0000}"/>
    <cellStyle name="Normal 26 3 3 2 4 3 5" xfId="27434" xr:uid="{00000000-0005-0000-0000-0000246B0000}"/>
    <cellStyle name="Normal 26 3 3 2 4 3 6" xfId="27435" xr:uid="{00000000-0005-0000-0000-0000256B0000}"/>
    <cellStyle name="Normal 26 3 3 2 4 4" xfId="27436" xr:uid="{00000000-0005-0000-0000-0000266B0000}"/>
    <cellStyle name="Normal 26 3 3 2 4 5" xfId="27437" xr:uid="{00000000-0005-0000-0000-0000276B0000}"/>
    <cellStyle name="Normal 26 3 3 2 4 6" xfId="27438" xr:uid="{00000000-0005-0000-0000-0000286B0000}"/>
    <cellStyle name="Normal 26 3 3 2 4 7" xfId="27439" xr:uid="{00000000-0005-0000-0000-0000296B0000}"/>
    <cellStyle name="Normal 26 3 3 2 4 8" xfId="27440" xr:uid="{00000000-0005-0000-0000-00002A6B0000}"/>
    <cellStyle name="Normal 26 3 3 2 5" xfId="27441" xr:uid="{00000000-0005-0000-0000-00002B6B0000}"/>
    <cellStyle name="Normal 26 3 3 2 5 2" xfId="27442" xr:uid="{00000000-0005-0000-0000-00002C6B0000}"/>
    <cellStyle name="Normal 26 3 3 2 5 3" xfId="27443" xr:uid="{00000000-0005-0000-0000-00002D6B0000}"/>
    <cellStyle name="Normal 26 3 3 2 5 4" xfId="27444" xr:uid="{00000000-0005-0000-0000-00002E6B0000}"/>
    <cellStyle name="Normal 26 3 3 2 5 5" xfId="27445" xr:uid="{00000000-0005-0000-0000-00002F6B0000}"/>
    <cellStyle name="Normal 26 3 3 2 5 6" xfId="27446" xr:uid="{00000000-0005-0000-0000-0000306B0000}"/>
    <cellStyle name="Normal 26 3 3 2 6" xfId="27447" xr:uid="{00000000-0005-0000-0000-0000316B0000}"/>
    <cellStyle name="Normal 26 3 3 2 6 2" xfId="27448" xr:uid="{00000000-0005-0000-0000-0000326B0000}"/>
    <cellStyle name="Normal 26 3 3 2 6 3" xfId="27449" xr:uid="{00000000-0005-0000-0000-0000336B0000}"/>
    <cellStyle name="Normal 26 3 3 2 6 4" xfId="27450" xr:uid="{00000000-0005-0000-0000-0000346B0000}"/>
    <cellStyle name="Normal 26 3 3 2 6 5" xfId="27451" xr:uid="{00000000-0005-0000-0000-0000356B0000}"/>
    <cellStyle name="Normal 26 3 3 2 6 6" xfId="27452" xr:uid="{00000000-0005-0000-0000-0000366B0000}"/>
    <cellStyle name="Normal 26 3 3 2 7" xfId="27453" xr:uid="{00000000-0005-0000-0000-0000376B0000}"/>
    <cellStyle name="Normal 26 3 3 2 8" xfId="27454" xr:uid="{00000000-0005-0000-0000-0000386B0000}"/>
    <cellStyle name="Normal 26 3 3 2 9" xfId="27455" xr:uid="{00000000-0005-0000-0000-0000396B0000}"/>
    <cellStyle name="Normal 26 3 3 3" xfId="27456" xr:uid="{00000000-0005-0000-0000-00003A6B0000}"/>
    <cellStyle name="Normal 26 3 3 3 2" xfId="27457" xr:uid="{00000000-0005-0000-0000-00003B6B0000}"/>
    <cellStyle name="Normal 26 3 3 3 2 2" xfId="27458" xr:uid="{00000000-0005-0000-0000-00003C6B0000}"/>
    <cellStyle name="Normal 26 3 3 3 2 3" xfId="27459" xr:uid="{00000000-0005-0000-0000-00003D6B0000}"/>
    <cellStyle name="Normal 26 3 3 3 2 4" xfId="27460" xr:uid="{00000000-0005-0000-0000-00003E6B0000}"/>
    <cellStyle name="Normal 26 3 3 3 2 5" xfId="27461" xr:uid="{00000000-0005-0000-0000-00003F6B0000}"/>
    <cellStyle name="Normal 26 3 3 3 2 6" xfId="27462" xr:uid="{00000000-0005-0000-0000-0000406B0000}"/>
    <cellStyle name="Normal 26 3 3 3 3" xfId="27463" xr:uid="{00000000-0005-0000-0000-0000416B0000}"/>
    <cellStyle name="Normal 26 3 3 3 3 2" xfId="27464" xr:uid="{00000000-0005-0000-0000-0000426B0000}"/>
    <cellStyle name="Normal 26 3 3 3 3 3" xfId="27465" xr:uid="{00000000-0005-0000-0000-0000436B0000}"/>
    <cellStyle name="Normal 26 3 3 3 3 4" xfId="27466" xr:uid="{00000000-0005-0000-0000-0000446B0000}"/>
    <cellStyle name="Normal 26 3 3 3 3 5" xfId="27467" xr:uid="{00000000-0005-0000-0000-0000456B0000}"/>
    <cellStyle name="Normal 26 3 3 3 3 6" xfId="27468" xr:uid="{00000000-0005-0000-0000-0000466B0000}"/>
    <cellStyle name="Normal 26 3 3 3 4" xfId="27469" xr:uid="{00000000-0005-0000-0000-0000476B0000}"/>
    <cellStyle name="Normal 26 3 3 3 5" xfId="27470" xr:uid="{00000000-0005-0000-0000-0000486B0000}"/>
    <cellStyle name="Normal 26 3 3 3 6" xfId="27471" xr:uid="{00000000-0005-0000-0000-0000496B0000}"/>
    <cellStyle name="Normal 26 3 3 3 7" xfId="27472" xr:uid="{00000000-0005-0000-0000-00004A6B0000}"/>
    <cellStyle name="Normal 26 3 3 3 8" xfId="27473" xr:uid="{00000000-0005-0000-0000-00004B6B0000}"/>
    <cellStyle name="Normal 26 3 3 4" xfId="27474" xr:uid="{00000000-0005-0000-0000-00004C6B0000}"/>
    <cellStyle name="Normal 26 3 3 4 2" xfId="27475" xr:uid="{00000000-0005-0000-0000-00004D6B0000}"/>
    <cellStyle name="Normal 26 3 3 4 2 2" xfId="27476" xr:uid="{00000000-0005-0000-0000-00004E6B0000}"/>
    <cellStyle name="Normal 26 3 3 4 2 3" xfId="27477" xr:uid="{00000000-0005-0000-0000-00004F6B0000}"/>
    <cellStyle name="Normal 26 3 3 4 2 4" xfId="27478" xr:uid="{00000000-0005-0000-0000-0000506B0000}"/>
    <cellStyle name="Normal 26 3 3 4 2 5" xfId="27479" xr:uid="{00000000-0005-0000-0000-0000516B0000}"/>
    <cellStyle name="Normal 26 3 3 4 2 6" xfId="27480" xr:uid="{00000000-0005-0000-0000-0000526B0000}"/>
    <cellStyle name="Normal 26 3 3 4 3" xfId="27481" xr:uid="{00000000-0005-0000-0000-0000536B0000}"/>
    <cellStyle name="Normal 26 3 3 4 3 2" xfId="27482" xr:uid="{00000000-0005-0000-0000-0000546B0000}"/>
    <cellStyle name="Normal 26 3 3 4 3 3" xfId="27483" xr:uid="{00000000-0005-0000-0000-0000556B0000}"/>
    <cellStyle name="Normal 26 3 3 4 3 4" xfId="27484" xr:uid="{00000000-0005-0000-0000-0000566B0000}"/>
    <cellStyle name="Normal 26 3 3 4 3 5" xfId="27485" xr:uid="{00000000-0005-0000-0000-0000576B0000}"/>
    <cellStyle name="Normal 26 3 3 4 3 6" xfId="27486" xr:uid="{00000000-0005-0000-0000-0000586B0000}"/>
    <cellStyle name="Normal 26 3 3 4 4" xfId="27487" xr:uid="{00000000-0005-0000-0000-0000596B0000}"/>
    <cellStyle name="Normal 26 3 3 4 5" xfId="27488" xr:uid="{00000000-0005-0000-0000-00005A6B0000}"/>
    <cellStyle name="Normal 26 3 3 4 6" xfId="27489" xr:uid="{00000000-0005-0000-0000-00005B6B0000}"/>
    <cellStyle name="Normal 26 3 3 4 7" xfId="27490" xr:uid="{00000000-0005-0000-0000-00005C6B0000}"/>
    <cellStyle name="Normal 26 3 3 4 8" xfId="27491" xr:uid="{00000000-0005-0000-0000-00005D6B0000}"/>
    <cellStyle name="Normal 26 3 3 5" xfId="27492" xr:uid="{00000000-0005-0000-0000-00005E6B0000}"/>
    <cellStyle name="Normal 26 3 3 5 2" xfId="27493" xr:uid="{00000000-0005-0000-0000-00005F6B0000}"/>
    <cellStyle name="Normal 26 3 3 5 2 2" xfId="27494" xr:uid="{00000000-0005-0000-0000-0000606B0000}"/>
    <cellStyle name="Normal 26 3 3 5 2 3" xfId="27495" xr:uid="{00000000-0005-0000-0000-0000616B0000}"/>
    <cellStyle name="Normal 26 3 3 5 2 4" xfId="27496" xr:uid="{00000000-0005-0000-0000-0000626B0000}"/>
    <cellStyle name="Normal 26 3 3 5 2 5" xfId="27497" xr:uid="{00000000-0005-0000-0000-0000636B0000}"/>
    <cellStyle name="Normal 26 3 3 5 2 6" xfId="27498" xr:uid="{00000000-0005-0000-0000-0000646B0000}"/>
    <cellStyle name="Normal 26 3 3 5 3" xfId="27499" xr:uid="{00000000-0005-0000-0000-0000656B0000}"/>
    <cellStyle name="Normal 26 3 3 5 3 2" xfId="27500" xr:uid="{00000000-0005-0000-0000-0000666B0000}"/>
    <cellStyle name="Normal 26 3 3 5 3 3" xfId="27501" xr:uid="{00000000-0005-0000-0000-0000676B0000}"/>
    <cellStyle name="Normal 26 3 3 5 3 4" xfId="27502" xr:uid="{00000000-0005-0000-0000-0000686B0000}"/>
    <cellStyle name="Normal 26 3 3 5 3 5" xfId="27503" xr:uid="{00000000-0005-0000-0000-0000696B0000}"/>
    <cellStyle name="Normal 26 3 3 5 3 6" xfId="27504" xr:uid="{00000000-0005-0000-0000-00006A6B0000}"/>
    <cellStyle name="Normal 26 3 3 5 4" xfId="27505" xr:uid="{00000000-0005-0000-0000-00006B6B0000}"/>
    <cellStyle name="Normal 26 3 3 5 5" xfId="27506" xr:uid="{00000000-0005-0000-0000-00006C6B0000}"/>
    <cellStyle name="Normal 26 3 3 5 6" xfId="27507" xr:uid="{00000000-0005-0000-0000-00006D6B0000}"/>
    <cellStyle name="Normal 26 3 3 5 7" xfId="27508" xr:uid="{00000000-0005-0000-0000-00006E6B0000}"/>
    <cellStyle name="Normal 26 3 3 5 8" xfId="27509" xr:uid="{00000000-0005-0000-0000-00006F6B0000}"/>
    <cellStyle name="Normal 26 3 3 6" xfId="27510" xr:uid="{00000000-0005-0000-0000-0000706B0000}"/>
    <cellStyle name="Normal 26 3 3 6 2" xfId="27511" xr:uid="{00000000-0005-0000-0000-0000716B0000}"/>
    <cellStyle name="Normal 26 3 3 6 3" xfId="27512" xr:uid="{00000000-0005-0000-0000-0000726B0000}"/>
    <cellStyle name="Normal 26 3 3 6 4" xfId="27513" xr:uid="{00000000-0005-0000-0000-0000736B0000}"/>
    <cellStyle name="Normal 26 3 3 6 5" xfId="27514" xr:uid="{00000000-0005-0000-0000-0000746B0000}"/>
    <cellStyle name="Normal 26 3 3 6 6" xfId="27515" xr:uid="{00000000-0005-0000-0000-0000756B0000}"/>
    <cellStyle name="Normal 26 3 3 7" xfId="27516" xr:uid="{00000000-0005-0000-0000-0000766B0000}"/>
    <cellStyle name="Normal 26 3 3 7 2" xfId="27517" xr:uid="{00000000-0005-0000-0000-0000776B0000}"/>
    <cellStyle name="Normal 26 3 3 7 3" xfId="27518" xr:uid="{00000000-0005-0000-0000-0000786B0000}"/>
    <cellStyle name="Normal 26 3 3 7 4" xfId="27519" xr:uid="{00000000-0005-0000-0000-0000796B0000}"/>
    <cellStyle name="Normal 26 3 3 7 5" xfId="27520" xr:uid="{00000000-0005-0000-0000-00007A6B0000}"/>
    <cellStyle name="Normal 26 3 3 7 6" xfId="27521" xr:uid="{00000000-0005-0000-0000-00007B6B0000}"/>
    <cellStyle name="Normal 26 3 3 8" xfId="27522" xr:uid="{00000000-0005-0000-0000-00007C6B0000}"/>
    <cellStyle name="Normal 26 3 3 9" xfId="27523" xr:uid="{00000000-0005-0000-0000-00007D6B0000}"/>
    <cellStyle name="Normal 26 3 4" xfId="27524" xr:uid="{00000000-0005-0000-0000-00007E6B0000}"/>
    <cellStyle name="Normal 26 3 4 10" xfId="27525" xr:uid="{00000000-0005-0000-0000-00007F6B0000}"/>
    <cellStyle name="Normal 26 3 4 11" xfId="27526" xr:uid="{00000000-0005-0000-0000-0000806B0000}"/>
    <cellStyle name="Normal 26 3 4 12" xfId="27527" xr:uid="{00000000-0005-0000-0000-0000816B0000}"/>
    <cellStyle name="Normal 26 3 4 2" xfId="27528" xr:uid="{00000000-0005-0000-0000-0000826B0000}"/>
    <cellStyle name="Normal 26 3 4 2 10" xfId="27529" xr:uid="{00000000-0005-0000-0000-0000836B0000}"/>
    <cellStyle name="Normal 26 3 4 2 11" xfId="27530" xr:uid="{00000000-0005-0000-0000-0000846B0000}"/>
    <cellStyle name="Normal 26 3 4 2 2" xfId="27531" xr:uid="{00000000-0005-0000-0000-0000856B0000}"/>
    <cellStyle name="Normal 26 3 4 2 2 2" xfId="27532" xr:uid="{00000000-0005-0000-0000-0000866B0000}"/>
    <cellStyle name="Normal 26 3 4 2 2 2 2" xfId="27533" xr:uid="{00000000-0005-0000-0000-0000876B0000}"/>
    <cellStyle name="Normal 26 3 4 2 2 2 3" xfId="27534" xr:uid="{00000000-0005-0000-0000-0000886B0000}"/>
    <cellStyle name="Normal 26 3 4 2 2 2 4" xfId="27535" xr:uid="{00000000-0005-0000-0000-0000896B0000}"/>
    <cellStyle name="Normal 26 3 4 2 2 2 5" xfId="27536" xr:uid="{00000000-0005-0000-0000-00008A6B0000}"/>
    <cellStyle name="Normal 26 3 4 2 2 2 6" xfId="27537" xr:uid="{00000000-0005-0000-0000-00008B6B0000}"/>
    <cellStyle name="Normal 26 3 4 2 2 3" xfId="27538" xr:uid="{00000000-0005-0000-0000-00008C6B0000}"/>
    <cellStyle name="Normal 26 3 4 2 2 3 2" xfId="27539" xr:uid="{00000000-0005-0000-0000-00008D6B0000}"/>
    <cellStyle name="Normal 26 3 4 2 2 3 3" xfId="27540" xr:uid="{00000000-0005-0000-0000-00008E6B0000}"/>
    <cellStyle name="Normal 26 3 4 2 2 3 4" xfId="27541" xr:uid="{00000000-0005-0000-0000-00008F6B0000}"/>
    <cellStyle name="Normal 26 3 4 2 2 3 5" xfId="27542" xr:uid="{00000000-0005-0000-0000-0000906B0000}"/>
    <cellStyle name="Normal 26 3 4 2 2 3 6" xfId="27543" xr:uid="{00000000-0005-0000-0000-0000916B0000}"/>
    <cellStyle name="Normal 26 3 4 2 2 4" xfId="27544" xr:uid="{00000000-0005-0000-0000-0000926B0000}"/>
    <cellStyle name="Normal 26 3 4 2 2 5" xfId="27545" xr:uid="{00000000-0005-0000-0000-0000936B0000}"/>
    <cellStyle name="Normal 26 3 4 2 2 6" xfId="27546" xr:uid="{00000000-0005-0000-0000-0000946B0000}"/>
    <cellStyle name="Normal 26 3 4 2 2 7" xfId="27547" xr:uid="{00000000-0005-0000-0000-0000956B0000}"/>
    <cellStyle name="Normal 26 3 4 2 2 8" xfId="27548" xr:uid="{00000000-0005-0000-0000-0000966B0000}"/>
    <cellStyle name="Normal 26 3 4 2 3" xfId="27549" xr:uid="{00000000-0005-0000-0000-0000976B0000}"/>
    <cellStyle name="Normal 26 3 4 2 3 2" xfId="27550" xr:uid="{00000000-0005-0000-0000-0000986B0000}"/>
    <cellStyle name="Normal 26 3 4 2 3 2 2" xfId="27551" xr:uid="{00000000-0005-0000-0000-0000996B0000}"/>
    <cellStyle name="Normal 26 3 4 2 3 2 3" xfId="27552" xr:uid="{00000000-0005-0000-0000-00009A6B0000}"/>
    <cellStyle name="Normal 26 3 4 2 3 2 4" xfId="27553" xr:uid="{00000000-0005-0000-0000-00009B6B0000}"/>
    <cellStyle name="Normal 26 3 4 2 3 2 5" xfId="27554" xr:uid="{00000000-0005-0000-0000-00009C6B0000}"/>
    <cellStyle name="Normal 26 3 4 2 3 2 6" xfId="27555" xr:uid="{00000000-0005-0000-0000-00009D6B0000}"/>
    <cellStyle name="Normal 26 3 4 2 3 3" xfId="27556" xr:uid="{00000000-0005-0000-0000-00009E6B0000}"/>
    <cellStyle name="Normal 26 3 4 2 3 3 2" xfId="27557" xr:uid="{00000000-0005-0000-0000-00009F6B0000}"/>
    <cellStyle name="Normal 26 3 4 2 3 3 3" xfId="27558" xr:uid="{00000000-0005-0000-0000-0000A06B0000}"/>
    <cellStyle name="Normal 26 3 4 2 3 3 4" xfId="27559" xr:uid="{00000000-0005-0000-0000-0000A16B0000}"/>
    <cellStyle name="Normal 26 3 4 2 3 3 5" xfId="27560" xr:uid="{00000000-0005-0000-0000-0000A26B0000}"/>
    <cellStyle name="Normal 26 3 4 2 3 3 6" xfId="27561" xr:uid="{00000000-0005-0000-0000-0000A36B0000}"/>
    <cellStyle name="Normal 26 3 4 2 3 4" xfId="27562" xr:uid="{00000000-0005-0000-0000-0000A46B0000}"/>
    <cellStyle name="Normal 26 3 4 2 3 5" xfId="27563" xr:uid="{00000000-0005-0000-0000-0000A56B0000}"/>
    <cellStyle name="Normal 26 3 4 2 3 6" xfId="27564" xr:uid="{00000000-0005-0000-0000-0000A66B0000}"/>
    <cellStyle name="Normal 26 3 4 2 3 7" xfId="27565" xr:uid="{00000000-0005-0000-0000-0000A76B0000}"/>
    <cellStyle name="Normal 26 3 4 2 3 8" xfId="27566" xr:uid="{00000000-0005-0000-0000-0000A86B0000}"/>
    <cellStyle name="Normal 26 3 4 2 4" xfId="27567" xr:uid="{00000000-0005-0000-0000-0000A96B0000}"/>
    <cellStyle name="Normal 26 3 4 2 4 2" xfId="27568" xr:uid="{00000000-0005-0000-0000-0000AA6B0000}"/>
    <cellStyle name="Normal 26 3 4 2 4 2 2" xfId="27569" xr:uid="{00000000-0005-0000-0000-0000AB6B0000}"/>
    <cellStyle name="Normal 26 3 4 2 4 2 3" xfId="27570" xr:uid="{00000000-0005-0000-0000-0000AC6B0000}"/>
    <cellStyle name="Normal 26 3 4 2 4 2 4" xfId="27571" xr:uid="{00000000-0005-0000-0000-0000AD6B0000}"/>
    <cellStyle name="Normal 26 3 4 2 4 2 5" xfId="27572" xr:uid="{00000000-0005-0000-0000-0000AE6B0000}"/>
    <cellStyle name="Normal 26 3 4 2 4 2 6" xfId="27573" xr:uid="{00000000-0005-0000-0000-0000AF6B0000}"/>
    <cellStyle name="Normal 26 3 4 2 4 3" xfId="27574" xr:uid="{00000000-0005-0000-0000-0000B06B0000}"/>
    <cellStyle name="Normal 26 3 4 2 4 3 2" xfId="27575" xr:uid="{00000000-0005-0000-0000-0000B16B0000}"/>
    <cellStyle name="Normal 26 3 4 2 4 3 3" xfId="27576" xr:uid="{00000000-0005-0000-0000-0000B26B0000}"/>
    <cellStyle name="Normal 26 3 4 2 4 3 4" xfId="27577" xr:uid="{00000000-0005-0000-0000-0000B36B0000}"/>
    <cellStyle name="Normal 26 3 4 2 4 3 5" xfId="27578" xr:uid="{00000000-0005-0000-0000-0000B46B0000}"/>
    <cellStyle name="Normal 26 3 4 2 4 3 6" xfId="27579" xr:uid="{00000000-0005-0000-0000-0000B56B0000}"/>
    <cellStyle name="Normal 26 3 4 2 4 4" xfId="27580" xr:uid="{00000000-0005-0000-0000-0000B66B0000}"/>
    <cellStyle name="Normal 26 3 4 2 4 5" xfId="27581" xr:uid="{00000000-0005-0000-0000-0000B76B0000}"/>
    <cellStyle name="Normal 26 3 4 2 4 6" xfId="27582" xr:uid="{00000000-0005-0000-0000-0000B86B0000}"/>
    <cellStyle name="Normal 26 3 4 2 4 7" xfId="27583" xr:uid="{00000000-0005-0000-0000-0000B96B0000}"/>
    <cellStyle name="Normal 26 3 4 2 4 8" xfId="27584" xr:uid="{00000000-0005-0000-0000-0000BA6B0000}"/>
    <cellStyle name="Normal 26 3 4 2 5" xfId="27585" xr:uid="{00000000-0005-0000-0000-0000BB6B0000}"/>
    <cellStyle name="Normal 26 3 4 2 5 2" xfId="27586" xr:uid="{00000000-0005-0000-0000-0000BC6B0000}"/>
    <cellStyle name="Normal 26 3 4 2 5 3" xfId="27587" xr:uid="{00000000-0005-0000-0000-0000BD6B0000}"/>
    <cellStyle name="Normal 26 3 4 2 5 4" xfId="27588" xr:uid="{00000000-0005-0000-0000-0000BE6B0000}"/>
    <cellStyle name="Normal 26 3 4 2 5 5" xfId="27589" xr:uid="{00000000-0005-0000-0000-0000BF6B0000}"/>
    <cellStyle name="Normal 26 3 4 2 5 6" xfId="27590" xr:uid="{00000000-0005-0000-0000-0000C06B0000}"/>
    <cellStyle name="Normal 26 3 4 2 6" xfId="27591" xr:uid="{00000000-0005-0000-0000-0000C16B0000}"/>
    <cellStyle name="Normal 26 3 4 2 6 2" xfId="27592" xr:uid="{00000000-0005-0000-0000-0000C26B0000}"/>
    <cellStyle name="Normal 26 3 4 2 6 3" xfId="27593" xr:uid="{00000000-0005-0000-0000-0000C36B0000}"/>
    <cellStyle name="Normal 26 3 4 2 6 4" xfId="27594" xr:uid="{00000000-0005-0000-0000-0000C46B0000}"/>
    <cellStyle name="Normal 26 3 4 2 6 5" xfId="27595" xr:uid="{00000000-0005-0000-0000-0000C56B0000}"/>
    <cellStyle name="Normal 26 3 4 2 6 6" xfId="27596" xr:uid="{00000000-0005-0000-0000-0000C66B0000}"/>
    <cellStyle name="Normal 26 3 4 2 7" xfId="27597" xr:uid="{00000000-0005-0000-0000-0000C76B0000}"/>
    <cellStyle name="Normal 26 3 4 2 8" xfId="27598" xr:uid="{00000000-0005-0000-0000-0000C86B0000}"/>
    <cellStyle name="Normal 26 3 4 2 9" xfId="27599" xr:uid="{00000000-0005-0000-0000-0000C96B0000}"/>
    <cellStyle name="Normal 26 3 4 3" xfId="27600" xr:uid="{00000000-0005-0000-0000-0000CA6B0000}"/>
    <cellStyle name="Normal 26 3 4 3 2" xfId="27601" xr:uid="{00000000-0005-0000-0000-0000CB6B0000}"/>
    <cellStyle name="Normal 26 3 4 3 2 2" xfId="27602" xr:uid="{00000000-0005-0000-0000-0000CC6B0000}"/>
    <cellStyle name="Normal 26 3 4 3 2 3" xfId="27603" xr:uid="{00000000-0005-0000-0000-0000CD6B0000}"/>
    <cellStyle name="Normal 26 3 4 3 2 4" xfId="27604" xr:uid="{00000000-0005-0000-0000-0000CE6B0000}"/>
    <cellStyle name="Normal 26 3 4 3 2 5" xfId="27605" xr:uid="{00000000-0005-0000-0000-0000CF6B0000}"/>
    <cellStyle name="Normal 26 3 4 3 2 6" xfId="27606" xr:uid="{00000000-0005-0000-0000-0000D06B0000}"/>
    <cellStyle name="Normal 26 3 4 3 3" xfId="27607" xr:uid="{00000000-0005-0000-0000-0000D16B0000}"/>
    <cellStyle name="Normal 26 3 4 3 3 2" xfId="27608" xr:uid="{00000000-0005-0000-0000-0000D26B0000}"/>
    <cellStyle name="Normal 26 3 4 3 3 3" xfId="27609" xr:uid="{00000000-0005-0000-0000-0000D36B0000}"/>
    <cellStyle name="Normal 26 3 4 3 3 4" xfId="27610" xr:uid="{00000000-0005-0000-0000-0000D46B0000}"/>
    <cellStyle name="Normal 26 3 4 3 3 5" xfId="27611" xr:uid="{00000000-0005-0000-0000-0000D56B0000}"/>
    <cellStyle name="Normal 26 3 4 3 3 6" xfId="27612" xr:uid="{00000000-0005-0000-0000-0000D66B0000}"/>
    <cellStyle name="Normal 26 3 4 3 4" xfId="27613" xr:uid="{00000000-0005-0000-0000-0000D76B0000}"/>
    <cellStyle name="Normal 26 3 4 3 5" xfId="27614" xr:uid="{00000000-0005-0000-0000-0000D86B0000}"/>
    <cellStyle name="Normal 26 3 4 3 6" xfId="27615" xr:uid="{00000000-0005-0000-0000-0000D96B0000}"/>
    <cellStyle name="Normal 26 3 4 3 7" xfId="27616" xr:uid="{00000000-0005-0000-0000-0000DA6B0000}"/>
    <cellStyle name="Normal 26 3 4 3 8" xfId="27617" xr:uid="{00000000-0005-0000-0000-0000DB6B0000}"/>
    <cellStyle name="Normal 26 3 4 4" xfId="27618" xr:uid="{00000000-0005-0000-0000-0000DC6B0000}"/>
    <cellStyle name="Normal 26 3 4 4 2" xfId="27619" xr:uid="{00000000-0005-0000-0000-0000DD6B0000}"/>
    <cellStyle name="Normal 26 3 4 4 2 2" xfId="27620" xr:uid="{00000000-0005-0000-0000-0000DE6B0000}"/>
    <cellStyle name="Normal 26 3 4 4 2 3" xfId="27621" xr:uid="{00000000-0005-0000-0000-0000DF6B0000}"/>
    <cellStyle name="Normal 26 3 4 4 2 4" xfId="27622" xr:uid="{00000000-0005-0000-0000-0000E06B0000}"/>
    <cellStyle name="Normal 26 3 4 4 2 5" xfId="27623" xr:uid="{00000000-0005-0000-0000-0000E16B0000}"/>
    <cellStyle name="Normal 26 3 4 4 2 6" xfId="27624" xr:uid="{00000000-0005-0000-0000-0000E26B0000}"/>
    <cellStyle name="Normal 26 3 4 4 3" xfId="27625" xr:uid="{00000000-0005-0000-0000-0000E36B0000}"/>
    <cellStyle name="Normal 26 3 4 4 3 2" xfId="27626" xr:uid="{00000000-0005-0000-0000-0000E46B0000}"/>
    <cellStyle name="Normal 26 3 4 4 3 3" xfId="27627" xr:uid="{00000000-0005-0000-0000-0000E56B0000}"/>
    <cellStyle name="Normal 26 3 4 4 3 4" xfId="27628" xr:uid="{00000000-0005-0000-0000-0000E66B0000}"/>
    <cellStyle name="Normal 26 3 4 4 3 5" xfId="27629" xr:uid="{00000000-0005-0000-0000-0000E76B0000}"/>
    <cellStyle name="Normal 26 3 4 4 3 6" xfId="27630" xr:uid="{00000000-0005-0000-0000-0000E86B0000}"/>
    <cellStyle name="Normal 26 3 4 4 4" xfId="27631" xr:uid="{00000000-0005-0000-0000-0000E96B0000}"/>
    <cellStyle name="Normal 26 3 4 4 5" xfId="27632" xr:uid="{00000000-0005-0000-0000-0000EA6B0000}"/>
    <cellStyle name="Normal 26 3 4 4 6" xfId="27633" xr:uid="{00000000-0005-0000-0000-0000EB6B0000}"/>
    <cellStyle name="Normal 26 3 4 4 7" xfId="27634" xr:uid="{00000000-0005-0000-0000-0000EC6B0000}"/>
    <cellStyle name="Normal 26 3 4 4 8" xfId="27635" xr:uid="{00000000-0005-0000-0000-0000ED6B0000}"/>
    <cellStyle name="Normal 26 3 4 5" xfId="27636" xr:uid="{00000000-0005-0000-0000-0000EE6B0000}"/>
    <cellStyle name="Normal 26 3 4 5 2" xfId="27637" xr:uid="{00000000-0005-0000-0000-0000EF6B0000}"/>
    <cellStyle name="Normal 26 3 4 5 2 2" xfId="27638" xr:uid="{00000000-0005-0000-0000-0000F06B0000}"/>
    <cellStyle name="Normal 26 3 4 5 2 3" xfId="27639" xr:uid="{00000000-0005-0000-0000-0000F16B0000}"/>
    <cellStyle name="Normal 26 3 4 5 2 4" xfId="27640" xr:uid="{00000000-0005-0000-0000-0000F26B0000}"/>
    <cellStyle name="Normal 26 3 4 5 2 5" xfId="27641" xr:uid="{00000000-0005-0000-0000-0000F36B0000}"/>
    <cellStyle name="Normal 26 3 4 5 2 6" xfId="27642" xr:uid="{00000000-0005-0000-0000-0000F46B0000}"/>
    <cellStyle name="Normal 26 3 4 5 3" xfId="27643" xr:uid="{00000000-0005-0000-0000-0000F56B0000}"/>
    <cellStyle name="Normal 26 3 4 5 3 2" xfId="27644" xr:uid="{00000000-0005-0000-0000-0000F66B0000}"/>
    <cellStyle name="Normal 26 3 4 5 3 3" xfId="27645" xr:uid="{00000000-0005-0000-0000-0000F76B0000}"/>
    <cellStyle name="Normal 26 3 4 5 3 4" xfId="27646" xr:uid="{00000000-0005-0000-0000-0000F86B0000}"/>
    <cellStyle name="Normal 26 3 4 5 3 5" xfId="27647" xr:uid="{00000000-0005-0000-0000-0000F96B0000}"/>
    <cellStyle name="Normal 26 3 4 5 3 6" xfId="27648" xr:uid="{00000000-0005-0000-0000-0000FA6B0000}"/>
    <cellStyle name="Normal 26 3 4 5 4" xfId="27649" xr:uid="{00000000-0005-0000-0000-0000FB6B0000}"/>
    <cellStyle name="Normal 26 3 4 5 5" xfId="27650" xr:uid="{00000000-0005-0000-0000-0000FC6B0000}"/>
    <cellStyle name="Normal 26 3 4 5 6" xfId="27651" xr:uid="{00000000-0005-0000-0000-0000FD6B0000}"/>
    <cellStyle name="Normal 26 3 4 5 7" xfId="27652" xr:uid="{00000000-0005-0000-0000-0000FE6B0000}"/>
    <cellStyle name="Normal 26 3 4 5 8" xfId="27653" xr:uid="{00000000-0005-0000-0000-0000FF6B0000}"/>
    <cellStyle name="Normal 26 3 4 6" xfId="27654" xr:uid="{00000000-0005-0000-0000-0000006C0000}"/>
    <cellStyle name="Normal 26 3 4 6 2" xfId="27655" xr:uid="{00000000-0005-0000-0000-0000016C0000}"/>
    <cellStyle name="Normal 26 3 4 6 3" xfId="27656" xr:uid="{00000000-0005-0000-0000-0000026C0000}"/>
    <cellStyle name="Normal 26 3 4 6 4" xfId="27657" xr:uid="{00000000-0005-0000-0000-0000036C0000}"/>
    <cellStyle name="Normal 26 3 4 6 5" xfId="27658" xr:uid="{00000000-0005-0000-0000-0000046C0000}"/>
    <cellStyle name="Normal 26 3 4 6 6" xfId="27659" xr:uid="{00000000-0005-0000-0000-0000056C0000}"/>
    <cellStyle name="Normal 26 3 4 7" xfId="27660" xr:uid="{00000000-0005-0000-0000-0000066C0000}"/>
    <cellStyle name="Normal 26 3 4 7 2" xfId="27661" xr:uid="{00000000-0005-0000-0000-0000076C0000}"/>
    <cellStyle name="Normal 26 3 4 7 3" xfId="27662" xr:uid="{00000000-0005-0000-0000-0000086C0000}"/>
    <cellStyle name="Normal 26 3 4 7 4" xfId="27663" xr:uid="{00000000-0005-0000-0000-0000096C0000}"/>
    <cellStyle name="Normal 26 3 4 7 5" xfId="27664" xr:uid="{00000000-0005-0000-0000-00000A6C0000}"/>
    <cellStyle name="Normal 26 3 4 7 6" xfId="27665" xr:uid="{00000000-0005-0000-0000-00000B6C0000}"/>
    <cellStyle name="Normal 26 3 4 8" xfId="27666" xr:uid="{00000000-0005-0000-0000-00000C6C0000}"/>
    <cellStyle name="Normal 26 3 4 9" xfId="27667" xr:uid="{00000000-0005-0000-0000-00000D6C0000}"/>
    <cellStyle name="Normal 26 3 5" xfId="27668" xr:uid="{00000000-0005-0000-0000-00000E6C0000}"/>
    <cellStyle name="Normal 26 3 5 10" xfId="27669" xr:uid="{00000000-0005-0000-0000-00000F6C0000}"/>
    <cellStyle name="Normal 26 3 5 11" xfId="27670" xr:uid="{00000000-0005-0000-0000-0000106C0000}"/>
    <cellStyle name="Normal 26 3 5 2" xfId="27671" xr:uid="{00000000-0005-0000-0000-0000116C0000}"/>
    <cellStyle name="Normal 26 3 5 2 2" xfId="27672" xr:uid="{00000000-0005-0000-0000-0000126C0000}"/>
    <cellStyle name="Normal 26 3 5 2 2 2" xfId="27673" xr:uid="{00000000-0005-0000-0000-0000136C0000}"/>
    <cellStyle name="Normal 26 3 5 2 2 3" xfId="27674" xr:uid="{00000000-0005-0000-0000-0000146C0000}"/>
    <cellStyle name="Normal 26 3 5 2 2 4" xfId="27675" xr:uid="{00000000-0005-0000-0000-0000156C0000}"/>
    <cellStyle name="Normal 26 3 5 2 2 5" xfId="27676" xr:uid="{00000000-0005-0000-0000-0000166C0000}"/>
    <cellStyle name="Normal 26 3 5 2 2 6" xfId="27677" xr:uid="{00000000-0005-0000-0000-0000176C0000}"/>
    <cellStyle name="Normal 26 3 5 2 3" xfId="27678" xr:uid="{00000000-0005-0000-0000-0000186C0000}"/>
    <cellStyle name="Normal 26 3 5 2 3 2" xfId="27679" xr:uid="{00000000-0005-0000-0000-0000196C0000}"/>
    <cellStyle name="Normal 26 3 5 2 3 3" xfId="27680" xr:uid="{00000000-0005-0000-0000-00001A6C0000}"/>
    <cellStyle name="Normal 26 3 5 2 3 4" xfId="27681" xr:uid="{00000000-0005-0000-0000-00001B6C0000}"/>
    <cellStyle name="Normal 26 3 5 2 3 5" xfId="27682" xr:uid="{00000000-0005-0000-0000-00001C6C0000}"/>
    <cellStyle name="Normal 26 3 5 2 3 6" xfId="27683" xr:uid="{00000000-0005-0000-0000-00001D6C0000}"/>
    <cellStyle name="Normal 26 3 5 2 4" xfId="27684" xr:uid="{00000000-0005-0000-0000-00001E6C0000}"/>
    <cellStyle name="Normal 26 3 5 2 5" xfId="27685" xr:uid="{00000000-0005-0000-0000-00001F6C0000}"/>
    <cellStyle name="Normal 26 3 5 2 6" xfId="27686" xr:uid="{00000000-0005-0000-0000-0000206C0000}"/>
    <cellStyle name="Normal 26 3 5 2 7" xfId="27687" xr:uid="{00000000-0005-0000-0000-0000216C0000}"/>
    <cellStyle name="Normal 26 3 5 2 8" xfId="27688" xr:uid="{00000000-0005-0000-0000-0000226C0000}"/>
    <cellStyle name="Normal 26 3 5 3" xfId="27689" xr:uid="{00000000-0005-0000-0000-0000236C0000}"/>
    <cellStyle name="Normal 26 3 5 3 2" xfId="27690" xr:uid="{00000000-0005-0000-0000-0000246C0000}"/>
    <cellStyle name="Normal 26 3 5 3 2 2" xfId="27691" xr:uid="{00000000-0005-0000-0000-0000256C0000}"/>
    <cellStyle name="Normal 26 3 5 3 2 3" xfId="27692" xr:uid="{00000000-0005-0000-0000-0000266C0000}"/>
    <cellStyle name="Normal 26 3 5 3 2 4" xfId="27693" xr:uid="{00000000-0005-0000-0000-0000276C0000}"/>
    <cellStyle name="Normal 26 3 5 3 2 5" xfId="27694" xr:uid="{00000000-0005-0000-0000-0000286C0000}"/>
    <cellStyle name="Normal 26 3 5 3 2 6" xfId="27695" xr:uid="{00000000-0005-0000-0000-0000296C0000}"/>
    <cellStyle name="Normal 26 3 5 3 3" xfId="27696" xr:uid="{00000000-0005-0000-0000-00002A6C0000}"/>
    <cellStyle name="Normal 26 3 5 3 3 2" xfId="27697" xr:uid="{00000000-0005-0000-0000-00002B6C0000}"/>
    <cellStyle name="Normal 26 3 5 3 3 3" xfId="27698" xr:uid="{00000000-0005-0000-0000-00002C6C0000}"/>
    <cellStyle name="Normal 26 3 5 3 3 4" xfId="27699" xr:uid="{00000000-0005-0000-0000-00002D6C0000}"/>
    <cellStyle name="Normal 26 3 5 3 3 5" xfId="27700" xr:uid="{00000000-0005-0000-0000-00002E6C0000}"/>
    <cellStyle name="Normal 26 3 5 3 3 6" xfId="27701" xr:uid="{00000000-0005-0000-0000-00002F6C0000}"/>
    <cellStyle name="Normal 26 3 5 3 4" xfId="27702" xr:uid="{00000000-0005-0000-0000-0000306C0000}"/>
    <cellStyle name="Normal 26 3 5 3 5" xfId="27703" xr:uid="{00000000-0005-0000-0000-0000316C0000}"/>
    <cellStyle name="Normal 26 3 5 3 6" xfId="27704" xr:uid="{00000000-0005-0000-0000-0000326C0000}"/>
    <cellStyle name="Normal 26 3 5 3 7" xfId="27705" xr:uid="{00000000-0005-0000-0000-0000336C0000}"/>
    <cellStyle name="Normal 26 3 5 3 8" xfId="27706" xr:uid="{00000000-0005-0000-0000-0000346C0000}"/>
    <cellStyle name="Normal 26 3 5 4" xfId="27707" xr:uid="{00000000-0005-0000-0000-0000356C0000}"/>
    <cellStyle name="Normal 26 3 5 4 2" xfId="27708" xr:uid="{00000000-0005-0000-0000-0000366C0000}"/>
    <cellStyle name="Normal 26 3 5 4 2 2" xfId="27709" xr:uid="{00000000-0005-0000-0000-0000376C0000}"/>
    <cellStyle name="Normal 26 3 5 4 2 3" xfId="27710" xr:uid="{00000000-0005-0000-0000-0000386C0000}"/>
    <cellStyle name="Normal 26 3 5 4 2 4" xfId="27711" xr:uid="{00000000-0005-0000-0000-0000396C0000}"/>
    <cellStyle name="Normal 26 3 5 4 2 5" xfId="27712" xr:uid="{00000000-0005-0000-0000-00003A6C0000}"/>
    <cellStyle name="Normal 26 3 5 4 2 6" xfId="27713" xr:uid="{00000000-0005-0000-0000-00003B6C0000}"/>
    <cellStyle name="Normal 26 3 5 4 3" xfId="27714" xr:uid="{00000000-0005-0000-0000-00003C6C0000}"/>
    <cellStyle name="Normal 26 3 5 4 3 2" xfId="27715" xr:uid="{00000000-0005-0000-0000-00003D6C0000}"/>
    <cellStyle name="Normal 26 3 5 4 3 3" xfId="27716" xr:uid="{00000000-0005-0000-0000-00003E6C0000}"/>
    <cellStyle name="Normal 26 3 5 4 3 4" xfId="27717" xr:uid="{00000000-0005-0000-0000-00003F6C0000}"/>
    <cellStyle name="Normal 26 3 5 4 3 5" xfId="27718" xr:uid="{00000000-0005-0000-0000-0000406C0000}"/>
    <cellStyle name="Normal 26 3 5 4 3 6" xfId="27719" xr:uid="{00000000-0005-0000-0000-0000416C0000}"/>
    <cellStyle name="Normal 26 3 5 4 4" xfId="27720" xr:uid="{00000000-0005-0000-0000-0000426C0000}"/>
    <cellStyle name="Normal 26 3 5 4 5" xfId="27721" xr:uid="{00000000-0005-0000-0000-0000436C0000}"/>
    <cellStyle name="Normal 26 3 5 4 6" xfId="27722" xr:uid="{00000000-0005-0000-0000-0000446C0000}"/>
    <cellStyle name="Normal 26 3 5 4 7" xfId="27723" xr:uid="{00000000-0005-0000-0000-0000456C0000}"/>
    <cellStyle name="Normal 26 3 5 4 8" xfId="27724" xr:uid="{00000000-0005-0000-0000-0000466C0000}"/>
    <cellStyle name="Normal 26 3 5 5" xfId="27725" xr:uid="{00000000-0005-0000-0000-0000476C0000}"/>
    <cellStyle name="Normal 26 3 5 5 2" xfId="27726" xr:uid="{00000000-0005-0000-0000-0000486C0000}"/>
    <cellStyle name="Normal 26 3 5 5 3" xfId="27727" xr:uid="{00000000-0005-0000-0000-0000496C0000}"/>
    <cellStyle name="Normal 26 3 5 5 4" xfId="27728" xr:uid="{00000000-0005-0000-0000-00004A6C0000}"/>
    <cellStyle name="Normal 26 3 5 5 5" xfId="27729" xr:uid="{00000000-0005-0000-0000-00004B6C0000}"/>
    <cellStyle name="Normal 26 3 5 5 6" xfId="27730" xr:uid="{00000000-0005-0000-0000-00004C6C0000}"/>
    <cellStyle name="Normal 26 3 5 6" xfId="27731" xr:uid="{00000000-0005-0000-0000-00004D6C0000}"/>
    <cellStyle name="Normal 26 3 5 6 2" xfId="27732" xr:uid="{00000000-0005-0000-0000-00004E6C0000}"/>
    <cellStyle name="Normal 26 3 5 6 3" xfId="27733" xr:uid="{00000000-0005-0000-0000-00004F6C0000}"/>
    <cellStyle name="Normal 26 3 5 6 4" xfId="27734" xr:uid="{00000000-0005-0000-0000-0000506C0000}"/>
    <cellStyle name="Normal 26 3 5 6 5" xfId="27735" xr:uid="{00000000-0005-0000-0000-0000516C0000}"/>
    <cellStyle name="Normal 26 3 5 6 6" xfId="27736" xr:uid="{00000000-0005-0000-0000-0000526C0000}"/>
    <cellStyle name="Normal 26 3 5 7" xfId="27737" xr:uid="{00000000-0005-0000-0000-0000536C0000}"/>
    <cellStyle name="Normal 26 3 5 8" xfId="27738" xr:uid="{00000000-0005-0000-0000-0000546C0000}"/>
    <cellStyle name="Normal 26 3 5 9" xfId="27739" xr:uid="{00000000-0005-0000-0000-0000556C0000}"/>
    <cellStyle name="Normal 26 3 6" xfId="27740" xr:uid="{00000000-0005-0000-0000-0000566C0000}"/>
    <cellStyle name="Normal 26 3 6 2" xfId="27741" xr:uid="{00000000-0005-0000-0000-0000576C0000}"/>
    <cellStyle name="Normal 26 3 6 2 2" xfId="27742" xr:uid="{00000000-0005-0000-0000-0000586C0000}"/>
    <cellStyle name="Normal 26 3 6 2 3" xfId="27743" xr:uid="{00000000-0005-0000-0000-0000596C0000}"/>
    <cellStyle name="Normal 26 3 6 2 4" xfId="27744" xr:uid="{00000000-0005-0000-0000-00005A6C0000}"/>
    <cellStyle name="Normal 26 3 6 2 5" xfId="27745" xr:uid="{00000000-0005-0000-0000-00005B6C0000}"/>
    <cellStyle name="Normal 26 3 6 2 6" xfId="27746" xr:uid="{00000000-0005-0000-0000-00005C6C0000}"/>
    <cellStyle name="Normal 26 3 6 3" xfId="27747" xr:uid="{00000000-0005-0000-0000-00005D6C0000}"/>
    <cellStyle name="Normal 26 3 6 3 2" xfId="27748" xr:uid="{00000000-0005-0000-0000-00005E6C0000}"/>
    <cellStyle name="Normal 26 3 6 3 3" xfId="27749" xr:uid="{00000000-0005-0000-0000-00005F6C0000}"/>
    <cellStyle name="Normal 26 3 6 3 4" xfId="27750" xr:uid="{00000000-0005-0000-0000-0000606C0000}"/>
    <cellStyle name="Normal 26 3 6 3 5" xfId="27751" xr:uid="{00000000-0005-0000-0000-0000616C0000}"/>
    <cellStyle name="Normal 26 3 6 3 6" xfId="27752" xr:uid="{00000000-0005-0000-0000-0000626C0000}"/>
    <cellStyle name="Normal 26 3 6 4" xfId="27753" xr:uid="{00000000-0005-0000-0000-0000636C0000}"/>
    <cellStyle name="Normal 26 3 6 5" xfId="27754" xr:uid="{00000000-0005-0000-0000-0000646C0000}"/>
    <cellStyle name="Normal 26 3 6 6" xfId="27755" xr:uid="{00000000-0005-0000-0000-0000656C0000}"/>
    <cellStyle name="Normal 26 3 6 7" xfId="27756" xr:uid="{00000000-0005-0000-0000-0000666C0000}"/>
    <cellStyle name="Normal 26 3 6 8" xfId="27757" xr:uid="{00000000-0005-0000-0000-0000676C0000}"/>
    <cellStyle name="Normal 26 3 7" xfId="27758" xr:uid="{00000000-0005-0000-0000-0000686C0000}"/>
    <cellStyle name="Normal 26 3 7 2" xfId="27759" xr:uid="{00000000-0005-0000-0000-0000696C0000}"/>
    <cellStyle name="Normal 26 3 7 2 2" xfId="27760" xr:uid="{00000000-0005-0000-0000-00006A6C0000}"/>
    <cellStyle name="Normal 26 3 7 2 3" xfId="27761" xr:uid="{00000000-0005-0000-0000-00006B6C0000}"/>
    <cellStyle name="Normal 26 3 7 2 4" xfId="27762" xr:uid="{00000000-0005-0000-0000-00006C6C0000}"/>
    <cellStyle name="Normal 26 3 7 2 5" xfId="27763" xr:uid="{00000000-0005-0000-0000-00006D6C0000}"/>
    <cellStyle name="Normal 26 3 7 2 6" xfId="27764" xr:uid="{00000000-0005-0000-0000-00006E6C0000}"/>
    <cellStyle name="Normal 26 3 7 3" xfId="27765" xr:uid="{00000000-0005-0000-0000-00006F6C0000}"/>
    <cellStyle name="Normal 26 3 7 3 2" xfId="27766" xr:uid="{00000000-0005-0000-0000-0000706C0000}"/>
    <cellStyle name="Normal 26 3 7 3 3" xfId="27767" xr:uid="{00000000-0005-0000-0000-0000716C0000}"/>
    <cellStyle name="Normal 26 3 7 3 4" xfId="27768" xr:uid="{00000000-0005-0000-0000-0000726C0000}"/>
    <cellStyle name="Normal 26 3 7 3 5" xfId="27769" xr:uid="{00000000-0005-0000-0000-0000736C0000}"/>
    <cellStyle name="Normal 26 3 7 3 6" xfId="27770" xr:uid="{00000000-0005-0000-0000-0000746C0000}"/>
    <cellStyle name="Normal 26 3 7 4" xfId="27771" xr:uid="{00000000-0005-0000-0000-0000756C0000}"/>
    <cellStyle name="Normal 26 3 7 5" xfId="27772" xr:uid="{00000000-0005-0000-0000-0000766C0000}"/>
    <cellStyle name="Normal 26 3 7 6" xfId="27773" xr:uid="{00000000-0005-0000-0000-0000776C0000}"/>
    <cellStyle name="Normal 26 3 7 7" xfId="27774" xr:uid="{00000000-0005-0000-0000-0000786C0000}"/>
    <cellStyle name="Normal 26 3 7 8" xfId="27775" xr:uid="{00000000-0005-0000-0000-0000796C0000}"/>
    <cellStyle name="Normal 26 3 8" xfId="27776" xr:uid="{00000000-0005-0000-0000-00007A6C0000}"/>
    <cellStyle name="Normal 26 3 8 2" xfId="27777" xr:uid="{00000000-0005-0000-0000-00007B6C0000}"/>
    <cellStyle name="Normal 26 3 8 2 2" xfId="27778" xr:uid="{00000000-0005-0000-0000-00007C6C0000}"/>
    <cellStyle name="Normal 26 3 8 2 3" xfId="27779" xr:uid="{00000000-0005-0000-0000-00007D6C0000}"/>
    <cellStyle name="Normal 26 3 8 2 4" xfId="27780" xr:uid="{00000000-0005-0000-0000-00007E6C0000}"/>
    <cellStyle name="Normal 26 3 8 2 5" xfId="27781" xr:uid="{00000000-0005-0000-0000-00007F6C0000}"/>
    <cellStyle name="Normal 26 3 8 2 6" xfId="27782" xr:uid="{00000000-0005-0000-0000-0000806C0000}"/>
    <cellStyle name="Normal 26 3 8 3" xfId="27783" xr:uid="{00000000-0005-0000-0000-0000816C0000}"/>
    <cellStyle name="Normal 26 3 8 3 2" xfId="27784" xr:uid="{00000000-0005-0000-0000-0000826C0000}"/>
    <cellStyle name="Normal 26 3 8 3 3" xfId="27785" xr:uid="{00000000-0005-0000-0000-0000836C0000}"/>
    <cellStyle name="Normal 26 3 8 3 4" xfId="27786" xr:uid="{00000000-0005-0000-0000-0000846C0000}"/>
    <cellStyle name="Normal 26 3 8 3 5" xfId="27787" xr:uid="{00000000-0005-0000-0000-0000856C0000}"/>
    <cellStyle name="Normal 26 3 8 3 6" xfId="27788" xr:uid="{00000000-0005-0000-0000-0000866C0000}"/>
    <cellStyle name="Normal 26 3 8 4" xfId="27789" xr:uid="{00000000-0005-0000-0000-0000876C0000}"/>
    <cellStyle name="Normal 26 3 8 5" xfId="27790" xr:uid="{00000000-0005-0000-0000-0000886C0000}"/>
    <cellStyle name="Normal 26 3 8 6" xfId="27791" xr:uid="{00000000-0005-0000-0000-0000896C0000}"/>
    <cellStyle name="Normal 26 3 8 7" xfId="27792" xr:uid="{00000000-0005-0000-0000-00008A6C0000}"/>
    <cellStyle name="Normal 26 3 8 8" xfId="27793" xr:uid="{00000000-0005-0000-0000-00008B6C0000}"/>
    <cellStyle name="Normal 26 3 9" xfId="27794" xr:uid="{00000000-0005-0000-0000-00008C6C0000}"/>
    <cellStyle name="Normal 26 3 9 2" xfId="27795" xr:uid="{00000000-0005-0000-0000-00008D6C0000}"/>
    <cellStyle name="Normal 26 3 9 3" xfId="27796" xr:uid="{00000000-0005-0000-0000-00008E6C0000}"/>
    <cellStyle name="Normal 26 3 9 4" xfId="27797" xr:uid="{00000000-0005-0000-0000-00008F6C0000}"/>
    <cellStyle name="Normal 26 3 9 5" xfId="27798" xr:uid="{00000000-0005-0000-0000-0000906C0000}"/>
    <cellStyle name="Normal 26 3 9 6" xfId="27799" xr:uid="{00000000-0005-0000-0000-0000916C0000}"/>
    <cellStyle name="Normal 26 4" xfId="27800" xr:uid="{00000000-0005-0000-0000-0000926C0000}"/>
    <cellStyle name="Normal 26 4 10" xfId="27801" xr:uid="{00000000-0005-0000-0000-0000936C0000}"/>
    <cellStyle name="Normal 26 4 11" xfId="27802" xr:uid="{00000000-0005-0000-0000-0000946C0000}"/>
    <cellStyle name="Normal 26 4 12" xfId="27803" xr:uid="{00000000-0005-0000-0000-0000956C0000}"/>
    <cellStyle name="Normal 26 4 13" xfId="27804" xr:uid="{00000000-0005-0000-0000-0000966C0000}"/>
    <cellStyle name="Normal 26 4 14" xfId="27805" xr:uid="{00000000-0005-0000-0000-0000976C0000}"/>
    <cellStyle name="Normal 26 4 2" xfId="27806" xr:uid="{00000000-0005-0000-0000-0000986C0000}"/>
    <cellStyle name="Normal 26 4 2 10" xfId="27807" xr:uid="{00000000-0005-0000-0000-0000996C0000}"/>
    <cellStyle name="Normal 26 4 2 11" xfId="27808" xr:uid="{00000000-0005-0000-0000-00009A6C0000}"/>
    <cellStyle name="Normal 26 4 2 12" xfId="27809" xr:uid="{00000000-0005-0000-0000-00009B6C0000}"/>
    <cellStyle name="Normal 26 4 2 2" xfId="27810" xr:uid="{00000000-0005-0000-0000-00009C6C0000}"/>
    <cellStyle name="Normal 26 4 2 2 10" xfId="27811" xr:uid="{00000000-0005-0000-0000-00009D6C0000}"/>
    <cellStyle name="Normal 26 4 2 2 11" xfId="27812" xr:uid="{00000000-0005-0000-0000-00009E6C0000}"/>
    <cellStyle name="Normal 26 4 2 2 2" xfId="27813" xr:uid="{00000000-0005-0000-0000-00009F6C0000}"/>
    <cellStyle name="Normal 26 4 2 2 2 2" xfId="27814" xr:uid="{00000000-0005-0000-0000-0000A06C0000}"/>
    <cellStyle name="Normal 26 4 2 2 2 2 2" xfId="27815" xr:uid="{00000000-0005-0000-0000-0000A16C0000}"/>
    <cellStyle name="Normal 26 4 2 2 2 2 3" xfId="27816" xr:uid="{00000000-0005-0000-0000-0000A26C0000}"/>
    <cellStyle name="Normal 26 4 2 2 2 2 4" xfId="27817" xr:uid="{00000000-0005-0000-0000-0000A36C0000}"/>
    <cellStyle name="Normal 26 4 2 2 2 2 5" xfId="27818" xr:uid="{00000000-0005-0000-0000-0000A46C0000}"/>
    <cellStyle name="Normal 26 4 2 2 2 2 6" xfId="27819" xr:uid="{00000000-0005-0000-0000-0000A56C0000}"/>
    <cellStyle name="Normal 26 4 2 2 2 3" xfId="27820" xr:uid="{00000000-0005-0000-0000-0000A66C0000}"/>
    <cellStyle name="Normal 26 4 2 2 2 3 2" xfId="27821" xr:uid="{00000000-0005-0000-0000-0000A76C0000}"/>
    <cellStyle name="Normal 26 4 2 2 2 3 3" xfId="27822" xr:uid="{00000000-0005-0000-0000-0000A86C0000}"/>
    <cellStyle name="Normal 26 4 2 2 2 3 4" xfId="27823" xr:uid="{00000000-0005-0000-0000-0000A96C0000}"/>
    <cellStyle name="Normal 26 4 2 2 2 3 5" xfId="27824" xr:uid="{00000000-0005-0000-0000-0000AA6C0000}"/>
    <cellStyle name="Normal 26 4 2 2 2 3 6" xfId="27825" xr:uid="{00000000-0005-0000-0000-0000AB6C0000}"/>
    <cellStyle name="Normal 26 4 2 2 2 4" xfId="27826" xr:uid="{00000000-0005-0000-0000-0000AC6C0000}"/>
    <cellStyle name="Normal 26 4 2 2 2 5" xfId="27827" xr:uid="{00000000-0005-0000-0000-0000AD6C0000}"/>
    <cellStyle name="Normal 26 4 2 2 2 6" xfId="27828" xr:uid="{00000000-0005-0000-0000-0000AE6C0000}"/>
    <cellStyle name="Normal 26 4 2 2 2 7" xfId="27829" xr:uid="{00000000-0005-0000-0000-0000AF6C0000}"/>
    <cellStyle name="Normal 26 4 2 2 2 8" xfId="27830" xr:uid="{00000000-0005-0000-0000-0000B06C0000}"/>
    <cellStyle name="Normal 26 4 2 2 3" xfId="27831" xr:uid="{00000000-0005-0000-0000-0000B16C0000}"/>
    <cellStyle name="Normal 26 4 2 2 3 2" xfId="27832" xr:uid="{00000000-0005-0000-0000-0000B26C0000}"/>
    <cellStyle name="Normal 26 4 2 2 3 2 2" xfId="27833" xr:uid="{00000000-0005-0000-0000-0000B36C0000}"/>
    <cellStyle name="Normal 26 4 2 2 3 2 3" xfId="27834" xr:uid="{00000000-0005-0000-0000-0000B46C0000}"/>
    <cellStyle name="Normal 26 4 2 2 3 2 4" xfId="27835" xr:uid="{00000000-0005-0000-0000-0000B56C0000}"/>
    <cellStyle name="Normal 26 4 2 2 3 2 5" xfId="27836" xr:uid="{00000000-0005-0000-0000-0000B66C0000}"/>
    <cellStyle name="Normal 26 4 2 2 3 2 6" xfId="27837" xr:uid="{00000000-0005-0000-0000-0000B76C0000}"/>
    <cellStyle name="Normal 26 4 2 2 3 3" xfId="27838" xr:uid="{00000000-0005-0000-0000-0000B86C0000}"/>
    <cellStyle name="Normal 26 4 2 2 3 3 2" xfId="27839" xr:uid="{00000000-0005-0000-0000-0000B96C0000}"/>
    <cellStyle name="Normal 26 4 2 2 3 3 3" xfId="27840" xr:uid="{00000000-0005-0000-0000-0000BA6C0000}"/>
    <cellStyle name="Normal 26 4 2 2 3 3 4" xfId="27841" xr:uid="{00000000-0005-0000-0000-0000BB6C0000}"/>
    <cellStyle name="Normal 26 4 2 2 3 3 5" xfId="27842" xr:uid="{00000000-0005-0000-0000-0000BC6C0000}"/>
    <cellStyle name="Normal 26 4 2 2 3 3 6" xfId="27843" xr:uid="{00000000-0005-0000-0000-0000BD6C0000}"/>
    <cellStyle name="Normal 26 4 2 2 3 4" xfId="27844" xr:uid="{00000000-0005-0000-0000-0000BE6C0000}"/>
    <cellStyle name="Normal 26 4 2 2 3 5" xfId="27845" xr:uid="{00000000-0005-0000-0000-0000BF6C0000}"/>
    <cellStyle name="Normal 26 4 2 2 3 6" xfId="27846" xr:uid="{00000000-0005-0000-0000-0000C06C0000}"/>
    <cellStyle name="Normal 26 4 2 2 3 7" xfId="27847" xr:uid="{00000000-0005-0000-0000-0000C16C0000}"/>
    <cellStyle name="Normal 26 4 2 2 3 8" xfId="27848" xr:uid="{00000000-0005-0000-0000-0000C26C0000}"/>
    <cellStyle name="Normal 26 4 2 2 4" xfId="27849" xr:uid="{00000000-0005-0000-0000-0000C36C0000}"/>
    <cellStyle name="Normal 26 4 2 2 4 2" xfId="27850" xr:uid="{00000000-0005-0000-0000-0000C46C0000}"/>
    <cellStyle name="Normal 26 4 2 2 4 2 2" xfId="27851" xr:uid="{00000000-0005-0000-0000-0000C56C0000}"/>
    <cellStyle name="Normal 26 4 2 2 4 2 3" xfId="27852" xr:uid="{00000000-0005-0000-0000-0000C66C0000}"/>
    <cellStyle name="Normal 26 4 2 2 4 2 4" xfId="27853" xr:uid="{00000000-0005-0000-0000-0000C76C0000}"/>
    <cellStyle name="Normal 26 4 2 2 4 2 5" xfId="27854" xr:uid="{00000000-0005-0000-0000-0000C86C0000}"/>
    <cellStyle name="Normal 26 4 2 2 4 2 6" xfId="27855" xr:uid="{00000000-0005-0000-0000-0000C96C0000}"/>
    <cellStyle name="Normal 26 4 2 2 4 3" xfId="27856" xr:uid="{00000000-0005-0000-0000-0000CA6C0000}"/>
    <cellStyle name="Normal 26 4 2 2 4 3 2" xfId="27857" xr:uid="{00000000-0005-0000-0000-0000CB6C0000}"/>
    <cellStyle name="Normal 26 4 2 2 4 3 3" xfId="27858" xr:uid="{00000000-0005-0000-0000-0000CC6C0000}"/>
    <cellStyle name="Normal 26 4 2 2 4 3 4" xfId="27859" xr:uid="{00000000-0005-0000-0000-0000CD6C0000}"/>
    <cellStyle name="Normal 26 4 2 2 4 3 5" xfId="27860" xr:uid="{00000000-0005-0000-0000-0000CE6C0000}"/>
    <cellStyle name="Normal 26 4 2 2 4 3 6" xfId="27861" xr:uid="{00000000-0005-0000-0000-0000CF6C0000}"/>
    <cellStyle name="Normal 26 4 2 2 4 4" xfId="27862" xr:uid="{00000000-0005-0000-0000-0000D06C0000}"/>
    <cellStyle name="Normal 26 4 2 2 4 5" xfId="27863" xr:uid="{00000000-0005-0000-0000-0000D16C0000}"/>
    <cellStyle name="Normal 26 4 2 2 4 6" xfId="27864" xr:uid="{00000000-0005-0000-0000-0000D26C0000}"/>
    <cellStyle name="Normal 26 4 2 2 4 7" xfId="27865" xr:uid="{00000000-0005-0000-0000-0000D36C0000}"/>
    <cellStyle name="Normal 26 4 2 2 4 8" xfId="27866" xr:uid="{00000000-0005-0000-0000-0000D46C0000}"/>
    <cellStyle name="Normal 26 4 2 2 5" xfId="27867" xr:uid="{00000000-0005-0000-0000-0000D56C0000}"/>
    <cellStyle name="Normal 26 4 2 2 5 2" xfId="27868" xr:uid="{00000000-0005-0000-0000-0000D66C0000}"/>
    <cellStyle name="Normal 26 4 2 2 5 3" xfId="27869" xr:uid="{00000000-0005-0000-0000-0000D76C0000}"/>
    <cellStyle name="Normal 26 4 2 2 5 4" xfId="27870" xr:uid="{00000000-0005-0000-0000-0000D86C0000}"/>
    <cellStyle name="Normal 26 4 2 2 5 5" xfId="27871" xr:uid="{00000000-0005-0000-0000-0000D96C0000}"/>
    <cellStyle name="Normal 26 4 2 2 5 6" xfId="27872" xr:uid="{00000000-0005-0000-0000-0000DA6C0000}"/>
    <cellStyle name="Normal 26 4 2 2 6" xfId="27873" xr:uid="{00000000-0005-0000-0000-0000DB6C0000}"/>
    <cellStyle name="Normal 26 4 2 2 6 2" xfId="27874" xr:uid="{00000000-0005-0000-0000-0000DC6C0000}"/>
    <cellStyle name="Normal 26 4 2 2 6 3" xfId="27875" xr:uid="{00000000-0005-0000-0000-0000DD6C0000}"/>
    <cellStyle name="Normal 26 4 2 2 6 4" xfId="27876" xr:uid="{00000000-0005-0000-0000-0000DE6C0000}"/>
    <cellStyle name="Normal 26 4 2 2 6 5" xfId="27877" xr:uid="{00000000-0005-0000-0000-0000DF6C0000}"/>
    <cellStyle name="Normal 26 4 2 2 6 6" xfId="27878" xr:uid="{00000000-0005-0000-0000-0000E06C0000}"/>
    <cellStyle name="Normal 26 4 2 2 7" xfId="27879" xr:uid="{00000000-0005-0000-0000-0000E16C0000}"/>
    <cellStyle name="Normal 26 4 2 2 8" xfId="27880" xr:uid="{00000000-0005-0000-0000-0000E26C0000}"/>
    <cellStyle name="Normal 26 4 2 2 9" xfId="27881" xr:uid="{00000000-0005-0000-0000-0000E36C0000}"/>
    <cellStyle name="Normal 26 4 2 3" xfId="27882" xr:uid="{00000000-0005-0000-0000-0000E46C0000}"/>
    <cellStyle name="Normal 26 4 2 3 2" xfId="27883" xr:uid="{00000000-0005-0000-0000-0000E56C0000}"/>
    <cellStyle name="Normal 26 4 2 3 2 2" xfId="27884" xr:uid="{00000000-0005-0000-0000-0000E66C0000}"/>
    <cellStyle name="Normal 26 4 2 3 2 3" xfId="27885" xr:uid="{00000000-0005-0000-0000-0000E76C0000}"/>
    <cellStyle name="Normal 26 4 2 3 2 4" xfId="27886" xr:uid="{00000000-0005-0000-0000-0000E86C0000}"/>
    <cellStyle name="Normal 26 4 2 3 2 5" xfId="27887" xr:uid="{00000000-0005-0000-0000-0000E96C0000}"/>
    <cellStyle name="Normal 26 4 2 3 2 6" xfId="27888" xr:uid="{00000000-0005-0000-0000-0000EA6C0000}"/>
    <cellStyle name="Normal 26 4 2 3 3" xfId="27889" xr:uid="{00000000-0005-0000-0000-0000EB6C0000}"/>
    <cellStyle name="Normal 26 4 2 3 3 2" xfId="27890" xr:uid="{00000000-0005-0000-0000-0000EC6C0000}"/>
    <cellStyle name="Normal 26 4 2 3 3 3" xfId="27891" xr:uid="{00000000-0005-0000-0000-0000ED6C0000}"/>
    <cellStyle name="Normal 26 4 2 3 3 4" xfId="27892" xr:uid="{00000000-0005-0000-0000-0000EE6C0000}"/>
    <cellStyle name="Normal 26 4 2 3 3 5" xfId="27893" xr:uid="{00000000-0005-0000-0000-0000EF6C0000}"/>
    <cellStyle name="Normal 26 4 2 3 3 6" xfId="27894" xr:uid="{00000000-0005-0000-0000-0000F06C0000}"/>
    <cellStyle name="Normal 26 4 2 3 4" xfId="27895" xr:uid="{00000000-0005-0000-0000-0000F16C0000}"/>
    <cellStyle name="Normal 26 4 2 3 5" xfId="27896" xr:uid="{00000000-0005-0000-0000-0000F26C0000}"/>
    <cellStyle name="Normal 26 4 2 3 6" xfId="27897" xr:uid="{00000000-0005-0000-0000-0000F36C0000}"/>
    <cellStyle name="Normal 26 4 2 3 7" xfId="27898" xr:uid="{00000000-0005-0000-0000-0000F46C0000}"/>
    <cellStyle name="Normal 26 4 2 3 8" xfId="27899" xr:uid="{00000000-0005-0000-0000-0000F56C0000}"/>
    <cellStyle name="Normal 26 4 2 4" xfId="27900" xr:uid="{00000000-0005-0000-0000-0000F66C0000}"/>
    <cellStyle name="Normal 26 4 2 4 2" xfId="27901" xr:uid="{00000000-0005-0000-0000-0000F76C0000}"/>
    <cellStyle name="Normal 26 4 2 4 2 2" xfId="27902" xr:uid="{00000000-0005-0000-0000-0000F86C0000}"/>
    <cellStyle name="Normal 26 4 2 4 2 3" xfId="27903" xr:uid="{00000000-0005-0000-0000-0000F96C0000}"/>
    <cellStyle name="Normal 26 4 2 4 2 4" xfId="27904" xr:uid="{00000000-0005-0000-0000-0000FA6C0000}"/>
    <cellStyle name="Normal 26 4 2 4 2 5" xfId="27905" xr:uid="{00000000-0005-0000-0000-0000FB6C0000}"/>
    <cellStyle name="Normal 26 4 2 4 2 6" xfId="27906" xr:uid="{00000000-0005-0000-0000-0000FC6C0000}"/>
    <cellStyle name="Normal 26 4 2 4 3" xfId="27907" xr:uid="{00000000-0005-0000-0000-0000FD6C0000}"/>
    <cellStyle name="Normal 26 4 2 4 3 2" xfId="27908" xr:uid="{00000000-0005-0000-0000-0000FE6C0000}"/>
    <cellStyle name="Normal 26 4 2 4 3 3" xfId="27909" xr:uid="{00000000-0005-0000-0000-0000FF6C0000}"/>
    <cellStyle name="Normal 26 4 2 4 3 4" xfId="27910" xr:uid="{00000000-0005-0000-0000-0000006D0000}"/>
    <cellStyle name="Normal 26 4 2 4 3 5" xfId="27911" xr:uid="{00000000-0005-0000-0000-0000016D0000}"/>
    <cellStyle name="Normal 26 4 2 4 3 6" xfId="27912" xr:uid="{00000000-0005-0000-0000-0000026D0000}"/>
    <cellStyle name="Normal 26 4 2 4 4" xfId="27913" xr:uid="{00000000-0005-0000-0000-0000036D0000}"/>
    <cellStyle name="Normal 26 4 2 4 5" xfId="27914" xr:uid="{00000000-0005-0000-0000-0000046D0000}"/>
    <cellStyle name="Normal 26 4 2 4 6" xfId="27915" xr:uid="{00000000-0005-0000-0000-0000056D0000}"/>
    <cellStyle name="Normal 26 4 2 4 7" xfId="27916" xr:uid="{00000000-0005-0000-0000-0000066D0000}"/>
    <cellStyle name="Normal 26 4 2 4 8" xfId="27917" xr:uid="{00000000-0005-0000-0000-0000076D0000}"/>
    <cellStyle name="Normal 26 4 2 5" xfId="27918" xr:uid="{00000000-0005-0000-0000-0000086D0000}"/>
    <cellStyle name="Normal 26 4 2 5 2" xfId="27919" xr:uid="{00000000-0005-0000-0000-0000096D0000}"/>
    <cellStyle name="Normal 26 4 2 5 2 2" xfId="27920" xr:uid="{00000000-0005-0000-0000-00000A6D0000}"/>
    <cellStyle name="Normal 26 4 2 5 2 3" xfId="27921" xr:uid="{00000000-0005-0000-0000-00000B6D0000}"/>
    <cellStyle name="Normal 26 4 2 5 2 4" xfId="27922" xr:uid="{00000000-0005-0000-0000-00000C6D0000}"/>
    <cellStyle name="Normal 26 4 2 5 2 5" xfId="27923" xr:uid="{00000000-0005-0000-0000-00000D6D0000}"/>
    <cellStyle name="Normal 26 4 2 5 2 6" xfId="27924" xr:uid="{00000000-0005-0000-0000-00000E6D0000}"/>
    <cellStyle name="Normal 26 4 2 5 3" xfId="27925" xr:uid="{00000000-0005-0000-0000-00000F6D0000}"/>
    <cellStyle name="Normal 26 4 2 5 3 2" xfId="27926" xr:uid="{00000000-0005-0000-0000-0000106D0000}"/>
    <cellStyle name="Normal 26 4 2 5 3 3" xfId="27927" xr:uid="{00000000-0005-0000-0000-0000116D0000}"/>
    <cellStyle name="Normal 26 4 2 5 3 4" xfId="27928" xr:uid="{00000000-0005-0000-0000-0000126D0000}"/>
    <cellStyle name="Normal 26 4 2 5 3 5" xfId="27929" xr:uid="{00000000-0005-0000-0000-0000136D0000}"/>
    <cellStyle name="Normal 26 4 2 5 3 6" xfId="27930" xr:uid="{00000000-0005-0000-0000-0000146D0000}"/>
    <cellStyle name="Normal 26 4 2 5 4" xfId="27931" xr:uid="{00000000-0005-0000-0000-0000156D0000}"/>
    <cellStyle name="Normal 26 4 2 5 5" xfId="27932" xr:uid="{00000000-0005-0000-0000-0000166D0000}"/>
    <cellStyle name="Normal 26 4 2 5 6" xfId="27933" xr:uid="{00000000-0005-0000-0000-0000176D0000}"/>
    <cellStyle name="Normal 26 4 2 5 7" xfId="27934" xr:uid="{00000000-0005-0000-0000-0000186D0000}"/>
    <cellStyle name="Normal 26 4 2 5 8" xfId="27935" xr:uid="{00000000-0005-0000-0000-0000196D0000}"/>
    <cellStyle name="Normal 26 4 2 6" xfId="27936" xr:uid="{00000000-0005-0000-0000-00001A6D0000}"/>
    <cellStyle name="Normal 26 4 2 6 2" xfId="27937" xr:uid="{00000000-0005-0000-0000-00001B6D0000}"/>
    <cellStyle name="Normal 26 4 2 6 3" xfId="27938" xr:uid="{00000000-0005-0000-0000-00001C6D0000}"/>
    <cellStyle name="Normal 26 4 2 6 4" xfId="27939" xr:uid="{00000000-0005-0000-0000-00001D6D0000}"/>
    <cellStyle name="Normal 26 4 2 6 5" xfId="27940" xr:uid="{00000000-0005-0000-0000-00001E6D0000}"/>
    <cellStyle name="Normal 26 4 2 6 6" xfId="27941" xr:uid="{00000000-0005-0000-0000-00001F6D0000}"/>
    <cellStyle name="Normal 26 4 2 7" xfId="27942" xr:uid="{00000000-0005-0000-0000-0000206D0000}"/>
    <cellStyle name="Normal 26 4 2 7 2" xfId="27943" xr:uid="{00000000-0005-0000-0000-0000216D0000}"/>
    <cellStyle name="Normal 26 4 2 7 3" xfId="27944" xr:uid="{00000000-0005-0000-0000-0000226D0000}"/>
    <cellStyle name="Normal 26 4 2 7 4" xfId="27945" xr:uid="{00000000-0005-0000-0000-0000236D0000}"/>
    <cellStyle name="Normal 26 4 2 7 5" xfId="27946" xr:uid="{00000000-0005-0000-0000-0000246D0000}"/>
    <cellStyle name="Normal 26 4 2 7 6" xfId="27947" xr:uid="{00000000-0005-0000-0000-0000256D0000}"/>
    <cellStyle name="Normal 26 4 2 8" xfId="27948" xr:uid="{00000000-0005-0000-0000-0000266D0000}"/>
    <cellStyle name="Normal 26 4 2 9" xfId="27949" xr:uid="{00000000-0005-0000-0000-0000276D0000}"/>
    <cellStyle name="Normal 26 4 3" xfId="27950" xr:uid="{00000000-0005-0000-0000-0000286D0000}"/>
    <cellStyle name="Normal 26 4 3 10" xfId="27951" xr:uid="{00000000-0005-0000-0000-0000296D0000}"/>
    <cellStyle name="Normal 26 4 3 11" xfId="27952" xr:uid="{00000000-0005-0000-0000-00002A6D0000}"/>
    <cellStyle name="Normal 26 4 3 12" xfId="27953" xr:uid="{00000000-0005-0000-0000-00002B6D0000}"/>
    <cellStyle name="Normal 26 4 3 2" xfId="27954" xr:uid="{00000000-0005-0000-0000-00002C6D0000}"/>
    <cellStyle name="Normal 26 4 3 2 10" xfId="27955" xr:uid="{00000000-0005-0000-0000-00002D6D0000}"/>
    <cellStyle name="Normal 26 4 3 2 11" xfId="27956" xr:uid="{00000000-0005-0000-0000-00002E6D0000}"/>
    <cellStyle name="Normal 26 4 3 2 2" xfId="27957" xr:uid="{00000000-0005-0000-0000-00002F6D0000}"/>
    <cellStyle name="Normal 26 4 3 2 2 2" xfId="27958" xr:uid="{00000000-0005-0000-0000-0000306D0000}"/>
    <cellStyle name="Normal 26 4 3 2 2 2 2" xfId="27959" xr:uid="{00000000-0005-0000-0000-0000316D0000}"/>
    <cellStyle name="Normal 26 4 3 2 2 2 3" xfId="27960" xr:uid="{00000000-0005-0000-0000-0000326D0000}"/>
    <cellStyle name="Normal 26 4 3 2 2 2 4" xfId="27961" xr:uid="{00000000-0005-0000-0000-0000336D0000}"/>
    <cellStyle name="Normal 26 4 3 2 2 2 5" xfId="27962" xr:uid="{00000000-0005-0000-0000-0000346D0000}"/>
    <cellStyle name="Normal 26 4 3 2 2 2 6" xfId="27963" xr:uid="{00000000-0005-0000-0000-0000356D0000}"/>
    <cellStyle name="Normal 26 4 3 2 2 3" xfId="27964" xr:uid="{00000000-0005-0000-0000-0000366D0000}"/>
    <cellStyle name="Normal 26 4 3 2 2 3 2" xfId="27965" xr:uid="{00000000-0005-0000-0000-0000376D0000}"/>
    <cellStyle name="Normal 26 4 3 2 2 3 3" xfId="27966" xr:uid="{00000000-0005-0000-0000-0000386D0000}"/>
    <cellStyle name="Normal 26 4 3 2 2 3 4" xfId="27967" xr:uid="{00000000-0005-0000-0000-0000396D0000}"/>
    <cellStyle name="Normal 26 4 3 2 2 3 5" xfId="27968" xr:uid="{00000000-0005-0000-0000-00003A6D0000}"/>
    <cellStyle name="Normal 26 4 3 2 2 3 6" xfId="27969" xr:uid="{00000000-0005-0000-0000-00003B6D0000}"/>
    <cellStyle name="Normal 26 4 3 2 2 4" xfId="27970" xr:uid="{00000000-0005-0000-0000-00003C6D0000}"/>
    <cellStyle name="Normal 26 4 3 2 2 5" xfId="27971" xr:uid="{00000000-0005-0000-0000-00003D6D0000}"/>
    <cellStyle name="Normal 26 4 3 2 2 6" xfId="27972" xr:uid="{00000000-0005-0000-0000-00003E6D0000}"/>
    <cellStyle name="Normal 26 4 3 2 2 7" xfId="27973" xr:uid="{00000000-0005-0000-0000-00003F6D0000}"/>
    <cellStyle name="Normal 26 4 3 2 2 8" xfId="27974" xr:uid="{00000000-0005-0000-0000-0000406D0000}"/>
    <cellStyle name="Normal 26 4 3 2 3" xfId="27975" xr:uid="{00000000-0005-0000-0000-0000416D0000}"/>
    <cellStyle name="Normal 26 4 3 2 3 2" xfId="27976" xr:uid="{00000000-0005-0000-0000-0000426D0000}"/>
    <cellStyle name="Normal 26 4 3 2 3 2 2" xfId="27977" xr:uid="{00000000-0005-0000-0000-0000436D0000}"/>
    <cellStyle name="Normal 26 4 3 2 3 2 3" xfId="27978" xr:uid="{00000000-0005-0000-0000-0000446D0000}"/>
    <cellStyle name="Normal 26 4 3 2 3 2 4" xfId="27979" xr:uid="{00000000-0005-0000-0000-0000456D0000}"/>
    <cellStyle name="Normal 26 4 3 2 3 2 5" xfId="27980" xr:uid="{00000000-0005-0000-0000-0000466D0000}"/>
    <cellStyle name="Normal 26 4 3 2 3 2 6" xfId="27981" xr:uid="{00000000-0005-0000-0000-0000476D0000}"/>
    <cellStyle name="Normal 26 4 3 2 3 3" xfId="27982" xr:uid="{00000000-0005-0000-0000-0000486D0000}"/>
    <cellStyle name="Normal 26 4 3 2 3 3 2" xfId="27983" xr:uid="{00000000-0005-0000-0000-0000496D0000}"/>
    <cellStyle name="Normal 26 4 3 2 3 3 3" xfId="27984" xr:uid="{00000000-0005-0000-0000-00004A6D0000}"/>
    <cellStyle name="Normal 26 4 3 2 3 3 4" xfId="27985" xr:uid="{00000000-0005-0000-0000-00004B6D0000}"/>
    <cellStyle name="Normal 26 4 3 2 3 3 5" xfId="27986" xr:uid="{00000000-0005-0000-0000-00004C6D0000}"/>
    <cellStyle name="Normal 26 4 3 2 3 3 6" xfId="27987" xr:uid="{00000000-0005-0000-0000-00004D6D0000}"/>
    <cellStyle name="Normal 26 4 3 2 3 4" xfId="27988" xr:uid="{00000000-0005-0000-0000-00004E6D0000}"/>
    <cellStyle name="Normal 26 4 3 2 3 5" xfId="27989" xr:uid="{00000000-0005-0000-0000-00004F6D0000}"/>
    <cellStyle name="Normal 26 4 3 2 3 6" xfId="27990" xr:uid="{00000000-0005-0000-0000-0000506D0000}"/>
    <cellStyle name="Normal 26 4 3 2 3 7" xfId="27991" xr:uid="{00000000-0005-0000-0000-0000516D0000}"/>
    <cellStyle name="Normal 26 4 3 2 3 8" xfId="27992" xr:uid="{00000000-0005-0000-0000-0000526D0000}"/>
    <cellStyle name="Normal 26 4 3 2 4" xfId="27993" xr:uid="{00000000-0005-0000-0000-0000536D0000}"/>
    <cellStyle name="Normal 26 4 3 2 4 2" xfId="27994" xr:uid="{00000000-0005-0000-0000-0000546D0000}"/>
    <cellStyle name="Normal 26 4 3 2 4 2 2" xfId="27995" xr:uid="{00000000-0005-0000-0000-0000556D0000}"/>
    <cellStyle name="Normal 26 4 3 2 4 2 3" xfId="27996" xr:uid="{00000000-0005-0000-0000-0000566D0000}"/>
    <cellStyle name="Normal 26 4 3 2 4 2 4" xfId="27997" xr:uid="{00000000-0005-0000-0000-0000576D0000}"/>
    <cellStyle name="Normal 26 4 3 2 4 2 5" xfId="27998" xr:uid="{00000000-0005-0000-0000-0000586D0000}"/>
    <cellStyle name="Normal 26 4 3 2 4 2 6" xfId="27999" xr:uid="{00000000-0005-0000-0000-0000596D0000}"/>
    <cellStyle name="Normal 26 4 3 2 4 3" xfId="28000" xr:uid="{00000000-0005-0000-0000-00005A6D0000}"/>
    <cellStyle name="Normal 26 4 3 2 4 3 2" xfId="28001" xr:uid="{00000000-0005-0000-0000-00005B6D0000}"/>
    <cellStyle name="Normal 26 4 3 2 4 3 3" xfId="28002" xr:uid="{00000000-0005-0000-0000-00005C6D0000}"/>
    <cellStyle name="Normal 26 4 3 2 4 3 4" xfId="28003" xr:uid="{00000000-0005-0000-0000-00005D6D0000}"/>
    <cellStyle name="Normal 26 4 3 2 4 3 5" xfId="28004" xr:uid="{00000000-0005-0000-0000-00005E6D0000}"/>
    <cellStyle name="Normal 26 4 3 2 4 3 6" xfId="28005" xr:uid="{00000000-0005-0000-0000-00005F6D0000}"/>
    <cellStyle name="Normal 26 4 3 2 4 4" xfId="28006" xr:uid="{00000000-0005-0000-0000-0000606D0000}"/>
    <cellStyle name="Normal 26 4 3 2 4 5" xfId="28007" xr:uid="{00000000-0005-0000-0000-0000616D0000}"/>
    <cellStyle name="Normal 26 4 3 2 4 6" xfId="28008" xr:uid="{00000000-0005-0000-0000-0000626D0000}"/>
    <cellStyle name="Normal 26 4 3 2 4 7" xfId="28009" xr:uid="{00000000-0005-0000-0000-0000636D0000}"/>
    <cellStyle name="Normal 26 4 3 2 4 8" xfId="28010" xr:uid="{00000000-0005-0000-0000-0000646D0000}"/>
    <cellStyle name="Normal 26 4 3 2 5" xfId="28011" xr:uid="{00000000-0005-0000-0000-0000656D0000}"/>
    <cellStyle name="Normal 26 4 3 2 5 2" xfId="28012" xr:uid="{00000000-0005-0000-0000-0000666D0000}"/>
    <cellStyle name="Normal 26 4 3 2 5 3" xfId="28013" xr:uid="{00000000-0005-0000-0000-0000676D0000}"/>
    <cellStyle name="Normal 26 4 3 2 5 4" xfId="28014" xr:uid="{00000000-0005-0000-0000-0000686D0000}"/>
    <cellStyle name="Normal 26 4 3 2 5 5" xfId="28015" xr:uid="{00000000-0005-0000-0000-0000696D0000}"/>
    <cellStyle name="Normal 26 4 3 2 5 6" xfId="28016" xr:uid="{00000000-0005-0000-0000-00006A6D0000}"/>
    <cellStyle name="Normal 26 4 3 2 6" xfId="28017" xr:uid="{00000000-0005-0000-0000-00006B6D0000}"/>
    <cellStyle name="Normal 26 4 3 2 6 2" xfId="28018" xr:uid="{00000000-0005-0000-0000-00006C6D0000}"/>
    <cellStyle name="Normal 26 4 3 2 6 3" xfId="28019" xr:uid="{00000000-0005-0000-0000-00006D6D0000}"/>
    <cellStyle name="Normal 26 4 3 2 6 4" xfId="28020" xr:uid="{00000000-0005-0000-0000-00006E6D0000}"/>
    <cellStyle name="Normal 26 4 3 2 6 5" xfId="28021" xr:uid="{00000000-0005-0000-0000-00006F6D0000}"/>
    <cellStyle name="Normal 26 4 3 2 6 6" xfId="28022" xr:uid="{00000000-0005-0000-0000-0000706D0000}"/>
    <cellStyle name="Normal 26 4 3 2 7" xfId="28023" xr:uid="{00000000-0005-0000-0000-0000716D0000}"/>
    <cellStyle name="Normal 26 4 3 2 8" xfId="28024" xr:uid="{00000000-0005-0000-0000-0000726D0000}"/>
    <cellStyle name="Normal 26 4 3 2 9" xfId="28025" xr:uid="{00000000-0005-0000-0000-0000736D0000}"/>
    <cellStyle name="Normal 26 4 3 3" xfId="28026" xr:uid="{00000000-0005-0000-0000-0000746D0000}"/>
    <cellStyle name="Normal 26 4 3 3 2" xfId="28027" xr:uid="{00000000-0005-0000-0000-0000756D0000}"/>
    <cellStyle name="Normal 26 4 3 3 2 2" xfId="28028" xr:uid="{00000000-0005-0000-0000-0000766D0000}"/>
    <cellStyle name="Normal 26 4 3 3 2 3" xfId="28029" xr:uid="{00000000-0005-0000-0000-0000776D0000}"/>
    <cellStyle name="Normal 26 4 3 3 2 4" xfId="28030" xr:uid="{00000000-0005-0000-0000-0000786D0000}"/>
    <cellStyle name="Normal 26 4 3 3 2 5" xfId="28031" xr:uid="{00000000-0005-0000-0000-0000796D0000}"/>
    <cellStyle name="Normal 26 4 3 3 2 6" xfId="28032" xr:uid="{00000000-0005-0000-0000-00007A6D0000}"/>
    <cellStyle name="Normal 26 4 3 3 3" xfId="28033" xr:uid="{00000000-0005-0000-0000-00007B6D0000}"/>
    <cellStyle name="Normal 26 4 3 3 3 2" xfId="28034" xr:uid="{00000000-0005-0000-0000-00007C6D0000}"/>
    <cellStyle name="Normal 26 4 3 3 3 3" xfId="28035" xr:uid="{00000000-0005-0000-0000-00007D6D0000}"/>
    <cellStyle name="Normal 26 4 3 3 3 4" xfId="28036" xr:uid="{00000000-0005-0000-0000-00007E6D0000}"/>
    <cellStyle name="Normal 26 4 3 3 3 5" xfId="28037" xr:uid="{00000000-0005-0000-0000-00007F6D0000}"/>
    <cellStyle name="Normal 26 4 3 3 3 6" xfId="28038" xr:uid="{00000000-0005-0000-0000-0000806D0000}"/>
    <cellStyle name="Normal 26 4 3 3 4" xfId="28039" xr:uid="{00000000-0005-0000-0000-0000816D0000}"/>
    <cellStyle name="Normal 26 4 3 3 5" xfId="28040" xr:uid="{00000000-0005-0000-0000-0000826D0000}"/>
    <cellStyle name="Normal 26 4 3 3 6" xfId="28041" xr:uid="{00000000-0005-0000-0000-0000836D0000}"/>
    <cellStyle name="Normal 26 4 3 3 7" xfId="28042" xr:uid="{00000000-0005-0000-0000-0000846D0000}"/>
    <cellStyle name="Normal 26 4 3 3 8" xfId="28043" xr:uid="{00000000-0005-0000-0000-0000856D0000}"/>
    <cellStyle name="Normal 26 4 3 4" xfId="28044" xr:uid="{00000000-0005-0000-0000-0000866D0000}"/>
    <cellStyle name="Normal 26 4 3 4 2" xfId="28045" xr:uid="{00000000-0005-0000-0000-0000876D0000}"/>
    <cellStyle name="Normal 26 4 3 4 2 2" xfId="28046" xr:uid="{00000000-0005-0000-0000-0000886D0000}"/>
    <cellStyle name="Normal 26 4 3 4 2 3" xfId="28047" xr:uid="{00000000-0005-0000-0000-0000896D0000}"/>
    <cellStyle name="Normal 26 4 3 4 2 4" xfId="28048" xr:uid="{00000000-0005-0000-0000-00008A6D0000}"/>
    <cellStyle name="Normal 26 4 3 4 2 5" xfId="28049" xr:uid="{00000000-0005-0000-0000-00008B6D0000}"/>
    <cellStyle name="Normal 26 4 3 4 2 6" xfId="28050" xr:uid="{00000000-0005-0000-0000-00008C6D0000}"/>
    <cellStyle name="Normal 26 4 3 4 3" xfId="28051" xr:uid="{00000000-0005-0000-0000-00008D6D0000}"/>
    <cellStyle name="Normal 26 4 3 4 3 2" xfId="28052" xr:uid="{00000000-0005-0000-0000-00008E6D0000}"/>
    <cellStyle name="Normal 26 4 3 4 3 3" xfId="28053" xr:uid="{00000000-0005-0000-0000-00008F6D0000}"/>
    <cellStyle name="Normal 26 4 3 4 3 4" xfId="28054" xr:uid="{00000000-0005-0000-0000-0000906D0000}"/>
    <cellStyle name="Normal 26 4 3 4 3 5" xfId="28055" xr:uid="{00000000-0005-0000-0000-0000916D0000}"/>
    <cellStyle name="Normal 26 4 3 4 3 6" xfId="28056" xr:uid="{00000000-0005-0000-0000-0000926D0000}"/>
    <cellStyle name="Normal 26 4 3 4 4" xfId="28057" xr:uid="{00000000-0005-0000-0000-0000936D0000}"/>
    <cellStyle name="Normal 26 4 3 4 5" xfId="28058" xr:uid="{00000000-0005-0000-0000-0000946D0000}"/>
    <cellStyle name="Normal 26 4 3 4 6" xfId="28059" xr:uid="{00000000-0005-0000-0000-0000956D0000}"/>
    <cellStyle name="Normal 26 4 3 4 7" xfId="28060" xr:uid="{00000000-0005-0000-0000-0000966D0000}"/>
    <cellStyle name="Normal 26 4 3 4 8" xfId="28061" xr:uid="{00000000-0005-0000-0000-0000976D0000}"/>
    <cellStyle name="Normal 26 4 3 5" xfId="28062" xr:uid="{00000000-0005-0000-0000-0000986D0000}"/>
    <cellStyle name="Normal 26 4 3 5 2" xfId="28063" xr:uid="{00000000-0005-0000-0000-0000996D0000}"/>
    <cellStyle name="Normal 26 4 3 5 2 2" xfId="28064" xr:uid="{00000000-0005-0000-0000-00009A6D0000}"/>
    <cellStyle name="Normal 26 4 3 5 2 3" xfId="28065" xr:uid="{00000000-0005-0000-0000-00009B6D0000}"/>
    <cellStyle name="Normal 26 4 3 5 2 4" xfId="28066" xr:uid="{00000000-0005-0000-0000-00009C6D0000}"/>
    <cellStyle name="Normal 26 4 3 5 2 5" xfId="28067" xr:uid="{00000000-0005-0000-0000-00009D6D0000}"/>
    <cellStyle name="Normal 26 4 3 5 2 6" xfId="28068" xr:uid="{00000000-0005-0000-0000-00009E6D0000}"/>
    <cellStyle name="Normal 26 4 3 5 3" xfId="28069" xr:uid="{00000000-0005-0000-0000-00009F6D0000}"/>
    <cellStyle name="Normal 26 4 3 5 3 2" xfId="28070" xr:uid="{00000000-0005-0000-0000-0000A06D0000}"/>
    <cellStyle name="Normal 26 4 3 5 3 3" xfId="28071" xr:uid="{00000000-0005-0000-0000-0000A16D0000}"/>
    <cellStyle name="Normal 26 4 3 5 3 4" xfId="28072" xr:uid="{00000000-0005-0000-0000-0000A26D0000}"/>
    <cellStyle name="Normal 26 4 3 5 3 5" xfId="28073" xr:uid="{00000000-0005-0000-0000-0000A36D0000}"/>
    <cellStyle name="Normal 26 4 3 5 3 6" xfId="28074" xr:uid="{00000000-0005-0000-0000-0000A46D0000}"/>
    <cellStyle name="Normal 26 4 3 5 4" xfId="28075" xr:uid="{00000000-0005-0000-0000-0000A56D0000}"/>
    <cellStyle name="Normal 26 4 3 5 5" xfId="28076" xr:uid="{00000000-0005-0000-0000-0000A66D0000}"/>
    <cellStyle name="Normal 26 4 3 5 6" xfId="28077" xr:uid="{00000000-0005-0000-0000-0000A76D0000}"/>
    <cellStyle name="Normal 26 4 3 5 7" xfId="28078" xr:uid="{00000000-0005-0000-0000-0000A86D0000}"/>
    <cellStyle name="Normal 26 4 3 5 8" xfId="28079" xr:uid="{00000000-0005-0000-0000-0000A96D0000}"/>
    <cellStyle name="Normal 26 4 3 6" xfId="28080" xr:uid="{00000000-0005-0000-0000-0000AA6D0000}"/>
    <cellStyle name="Normal 26 4 3 6 2" xfId="28081" xr:uid="{00000000-0005-0000-0000-0000AB6D0000}"/>
    <cellStyle name="Normal 26 4 3 6 3" xfId="28082" xr:uid="{00000000-0005-0000-0000-0000AC6D0000}"/>
    <cellStyle name="Normal 26 4 3 6 4" xfId="28083" xr:uid="{00000000-0005-0000-0000-0000AD6D0000}"/>
    <cellStyle name="Normal 26 4 3 6 5" xfId="28084" xr:uid="{00000000-0005-0000-0000-0000AE6D0000}"/>
    <cellStyle name="Normal 26 4 3 6 6" xfId="28085" xr:uid="{00000000-0005-0000-0000-0000AF6D0000}"/>
    <cellStyle name="Normal 26 4 3 7" xfId="28086" xr:uid="{00000000-0005-0000-0000-0000B06D0000}"/>
    <cellStyle name="Normal 26 4 3 7 2" xfId="28087" xr:uid="{00000000-0005-0000-0000-0000B16D0000}"/>
    <cellStyle name="Normal 26 4 3 7 3" xfId="28088" xr:uid="{00000000-0005-0000-0000-0000B26D0000}"/>
    <cellStyle name="Normal 26 4 3 7 4" xfId="28089" xr:uid="{00000000-0005-0000-0000-0000B36D0000}"/>
    <cellStyle name="Normal 26 4 3 7 5" xfId="28090" xr:uid="{00000000-0005-0000-0000-0000B46D0000}"/>
    <cellStyle name="Normal 26 4 3 7 6" xfId="28091" xr:uid="{00000000-0005-0000-0000-0000B56D0000}"/>
    <cellStyle name="Normal 26 4 3 8" xfId="28092" xr:uid="{00000000-0005-0000-0000-0000B66D0000}"/>
    <cellStyle name="Normal 26 4 3 9" xfId="28093" xr:uid="{00000000-0005-0000-0000-0000B76D0000}"/>
    <cellStyle name="Normal 26 4 4" xfId="28094" xr:uid="{00000000-0005-0000-0000-0000B86D0000}"/>
    <cellStyle name="Normal 26 4 4 10" xfId="28095" xr:uid="{00000000-0005-0000-0000-0000B96D0000}"/>
    <cellStyle name="Normal 26 4 4 11" xfId="28096" xr:uid="{00000000-0005-0000-0000-0000BA6D0000}"/>
    <cellStyle name="Normal 26 4 4 2" xfId="28097" xr:uid="{00000000-0005-0000-0000-0000BB6D0000}"/>
    <cellStyle name="Normal 26 4 4 2 2" xfId="28098" xr:uid="{00000000-0005-0000-0000-0000BC6D0000}"/>
    <cellStyle name="Normal 26 4 4 2 2 2" xfId="28099" xr:uid="{00000000-0005-0000-0000-0000BD6D0000}"/>
    <cellStyle name="Normal 26 4 4 2 2 3" xfId="28100" xr:uid="{00000000-0005-0000-0000-0000BE6D0000}"/>
    <cellStyle name="Normal 26 4 4 2 2 4" xfId="28101" xr:uid="{00000000-0005-0000-0000-0000BF6D0000}"/>
    <cellStyle name="Normal 26 4 4 2 2 5" xfId="28102" xr:uid="{00000000-0005-0000-0000-0000C06D0000}"/>
    <cellStyle name="Normal 26 4 4 2 2 6" xfId="28103" xr:uid="{00000000-0005-0000-0000-0000C16D0000}"/>
    <cellStyle name="Normal 26 4 4 2 3" xfId="28104" xr:uid="{00000000-0005-0000-0000-0000C26D0000}"/>
    <cellStyle name="Normal 26 4 4 2 3 2" xfId="28105" xr:uid="{00000000-0005-0000-0000-0000C36D0000}"/>
    <cellStyle name="Normal 26 4 4 2 3 3" xfId="28106" xr:uid="{00000000-0005-0000-0000-0000C46D0000}"/>
    <cellStyle name="Normal 26 4 4 2 3 4" xfId="28107" xr:uid="{00000000-0005-0000-0000-0000C56D0000}"/>
    <cellStyle name="Normal 26 4 4 2 3 5" xfId="28108" xr:uid="{00000000-0005-0000-0000-0000C66D0000}"/>
    <cellStyle name="Normal 26 4 4 2 3 6" xfId="28109" xr:uid="{00000000-0005-0000-0000-0000C76D0000}"/>
    <cellStyle name="Normal 26 4 4 2 4" xfId="28110" xr:uid="{00000000-0005-0000-0000-0000C86D0000}"/>
    <cellStyle name="Normal 26 4 4 2 5" xfId="28111" xr:uid="{00000000-0005-0000-0000-0000C96D0000}"/>
    <cellStyle name="Normal 26 4 4 2 6" xfId="28112" xr:uid="{00000000-0005-0000-0000-0000CA6D0000}"/>
    <cellStyle name="Normal 26 4 4 2 7" xfId="28113" xr:uid="{00000000-0005-0000-0000-0000CB6D0000}"/>
    <cellStyle name="Normal 26 4 4 2 8" xfId="28114" xr:uid="{00000000-0005-0000-0000-0000CC6D0000}"/>
    <cellStyle name="Normal 26 4 4 3" xfId="28115" xr:uid="{00000000-0005-0000-0000-0000CD6D0000}"/>
    <cellStyle name="Normal 26 4 4 3 2" xfId="28116" xr:uid="{00000000-0005-0000-0000-0000CE6D0000}"/>
    <cellStyle name="Normal 26 4 4 3 2 2" xfId="28117" xr:uid="{00000000-0005-0000-0000-0000CF6D0000}"/>
    <cellStyle name="Normal 26 4 4 3 2 3" xfId="28118" xr:uid="{00000000-0005-0000-0000-0000D06D0000}"/>
    <cellStyle name="Normal 26 4 4 3 2 4" xfId="28119" xr:uid="{00000000-0005-0000-0000-0000D16D0000}"/>
    <cellStyle name="Normal 26 4 4 3 2 5" xfId="28120" xr:uid="{00000000-0005-0000-0000-0000D26D0000}"/>
    <cellStyle name="Normal 26 4 4 3 2 6" xfId="28121" xr:uid="{00000000-0005-0000-0000-0000D36D0000}"/>
    <cellStyle name="Normal 26 4 4 3 3" xfId="28122" xr:uid="{00000000-0005-0000-0000-0000D46D0000}"/>
    <cellStyle name="Normal 26 4 4 3 3 2" xfId="28123" xr:uid="{00000000-0005-0000-0000-0000D56D0000}"/>
    <cellStyle name="Normal 26 4 4 3 3 3" xfId="28124" xr:uid="{00000000-0005-0000-0000-0000D66D0000}"/>
    <cellStyle name="Normal 26 4 4 3 3 4" xfId="28125" xr:uid="{00000000-0005-0000-0000-0000D76D0000}"/>
    <cellStyle name="Normal 26 4 4 3 3 5" xfId="28126" xr:uid="{00000000-0005-0000-0000-0000D86D0000}"/>
    <cellStyle name="Normal 26 4 4 3 3 6" xfId="28127" xr:uid="{00000000-0005-0000-0000-0000D96D0000}"/>
    <cellStyle name="Normal 26 4 4 3 4" xfId="28128" xr:uid="{00000000-0005-0000-0000-0000DA6D0000}"/>
    <cellStyle name="Normal 26 4 4 3 5" xfId="28129" xr:uid="{00000000-0005-0000-0000-0000DB6D0000}"/>
    <cellStyle name="Normal 26 4 4 3 6" xfId="28130" xr:uid="{00000000-0005-0000-0000-0000DC6D0000}"/>
    <cellStyle name="Normal 26 4 4 3 7" xfId="28131" xr:uid="{00000000-0005-0000-0000-0000DD6D0000}"/>
    <cellStyle name="Normal 26 4 4 3 8" xfId="28132" xr:uid="{00000000-0005-0000-0000-0000DE6D0000}"/>
    <cellStyle name="Normal 26 4 4 4" xfId="28133" xr:uid="{00000000-0005-0000-0000-0000DF6D0000}"/>
    <cellStyle name="Normal 26 4 4 4 2" xfId="28134" xr:uid="{00000000-0005-0000-0000-0000E06D0000}"/>
    <cellStyle name="Normal 26 4 4 4 2 2" xfId="28135" xr:uid="{00000000-0005-0000-0000-0000E16D0000}"/>
    <cellStyle name="Normal 26 4 4 4 2 3" xfId="28136" xr:uid="{00000000-0005-0000-0000-0000E26D0000}"/>
    <cellStyle name="Normal 26 4 4 4 2 4" xfId="28137" xr:uid="{00000000-0005-0000-0000-0000E36D0000}"/>
    <cellStyle name="Normal 26 4 4 4 2 5" xfId="28138" xr:uid="{00000000-0005-0000-0000-0000E46D0000}"/>
    <cellStyle name="Normal 26 4 4 4 2 6" xfId="28139" xr:uid="{00000000-0005-0000-0000-0000E56D0000}"/>
    <cellStyle name="Normal 26 4 4 4 3" xfId="28140" xr:uid="{00000000-0005-0000-0000-0000E66D0000}"/>
    <cellStyle name="Normal 26 4 4 4 3 2" xfId="28141" xr:uid="{00000000-0005-0000-0000-0000E76D0000}"/>
    <cellStyle name="Normal 26 4 4 4 3 3" xfId="28142" xr:uid="{00000000-0005-0000-0000-0000E86D0000}"/>
    <cellStyle name="Normal 26 4 4 4 3 4" xfId="28143" xr:uid="{00000000-0005-0000-0000-0000E96D0000}"/>
    <cellStyle name="Normal 26 4 4 4 3 5" xfId="28144" xr:uid="{00000000-0005-0000-0000-0000EA6D0000}"/>
    <cellStyle name="Normal 26 4 4 4 3 6" xfId="28145" xr:uid="{00000000-0005-0000-0000-0000EB6D0000}"/>
    <cellStyle name="Normal 26 4 4 4 4" xfId="28146" xr:uid="{00000000-0005-0000-0000-0000EC6D0000}"/>
    <cellStyle name="Normal 26 4 4 4 5" xfId="28147" xr:uid="{00000000-0005-0000-0000-0000ED6D0000}"/>
    <cellStyle name="Normal 26 4 4 4 6" xfId="28148" xr:uid="{00000000-0005-0000-0000-0000EE6D0000}"/>
    <cellStyle name="Normal 26 4 4 4 7" xfId="28149" xr:uid="{00000000-0005-0000-0000-0000EF6D0000}"/>
    <cellStyle name="Normal 26 4 4 4 8" xfId="28150" xr:uid="{00000000-0005-0000-0000-0000F06D0000}"/>
    <cellStyle name="Normal 26 4 4 5" xfId="28151" xr:uid="{00000000-0005-0000-0000-0000F16D0000}"/>
    <cellStyle name="Normal 26 4 4 5 2" xfId="28152" xr:uid="{00000000-0005-0000-0000-0000F26D0000}"/>
    <cellStyle name="Normal 26 4 4 5 3" xfId="28153" xr:uid="{00000000-0005-0000-0000-0000F36D0000}"/>
    <cellStyle name="Normal 26 4 4 5 4" xfId="28154" xr:uid="{00000000-0005-0000-0000-0000F46D0000}"/>
    <cellStyle name="Normal 26 4 4 5 5" xfId="28155" xr:uid="{00000000-0005-0000-0000-0000F56D0000}"/>
    <cellStyle name="Normal 26 4 4 5 6" xfId="28156" xr:uid="{00000000-0005-0000-0000-0000F66D0000}"/>
    <cellStyle name="Normal 26 4 4 6" xfId="28157" xr:uid="{00000000-0005-0000-0000-0000F76D0000}"/>
    <cellStyle name="Normal 26 4 4 6 2" xfId="28158" xr:uid="{00000000-0005-0000-0000-0000F86D0000}"/>
    <cellStyle name="Normal 26 4 4 6 3" xfId="28159" xr:uid="{00000000-0005-0000-0000-0000F96D0000}"/>
    <cellStyle name="Normal 26 4 4 6 4" xfId="28160" xr:uid="{00000000-0005-0000-0000-0000FA6D0000}"/>
    <cellStyle name="Normal 26 4 4 6 5" xfId="28161" xr:uid="{00000000-0005-0000-0000-0000FB6D0000}"/>
    <cellStyle name="Normal 26 4 4 6 6" xfId="28162" xr:uid="{00000000-0005-0000-0000-0000FC6D0000}"/>
    <cellStyle name="Normal 26 4 4 7" xfId="28163" xr:uid="{00000000-0005-0000-0000-0000FD6D0000}"/>
    <cellStyle name="Normal 26 4 4 8" xfId="28164" xr:uid="{00000000-0005-0000-0000-0000FE6D0000}"/>
    <cellStyle name="Normal 26 4 4 9" xfId="28165" xr:uid="{00000000-0005-0000-0000-0000FF6D0000}"/>
    <cellStyle name="Normal 26 4 5" xfId="28166" xr:uid="{00000000-0005-0000-0000-0000006E0000}"/>
    <cellStyle name="Normal 26 4 5 2" xfId="28167" xr:uid="{00000000-0005-0000-0000-0000016E0000}"/>
    <cellStyle name="Normal 26 4 5 2 2" xfId="28168" xr:uid="{00000000-0005-0000-0000-0000026E0000}"/>
    <cellStyle name="Normal 26 4 5 2 3" xfId="28169" xr:uid="{00000000-0005-0000-0000-0000036E0000}"/>
    <cellStyle name="Normal 26 4 5 2 4" xfId="28170" xr:uid="{00000000-0005-0000-0000-0000046E0000}"/>
    <cellStyle name="Normal 26 4 5 2 5" xfId="28171" xr:uid="{00000000-0005-0000-0000-0000056E0000}"/>
    <cellStyle name="Normal 26 4 5 2 6" xfId="28172" xr:uid="{00000000-0005-0000-0000-0000066E0000}"/>
    <cellStyle name="Normal 26 4 5 3" xfId="28173" xr:uid="{00000000-0005-0000-0000-0000076E0000}"/>
    <cellStyle name="Normal 26 4 5 3 2" xfId="28174" xr:uid="{00000000-0005-0000-0000-0000086E0000}"/>
    <cellStyle name="Normal 26 4 5 3 3" xfId="28175" xr:uid="{00000000-0005-0000-0000-0000096E0000}"/>
    <cellStyle name="Normal 26 4 5 3 4" xfId="28176" xr:uid="{00000000-0005-0000-0000-00000A6E0000}"/>
    <cellStyle name="Normal 26 4 5 3 5" xfId="28177" xr:uid="{00000000-0005-0000-0000-00000B6E0000}"/>
    <cellStyle name="Normal 26 4 5 3 6" xfId="28178" xr:uid="{00000000-0005-0000-0000-00000C6E0000}"/>
    <cellStyle name="Normal 26 4 5 4" xfId="28179" xr:uid="{00000000-0005-0000-0000-00000D6E0000}"/>
    <cellStyle name="Normal 26 4 5 5" xfId="28180" xr:uid="{00000000-0005-0000-0000-00000E6E0000}"/>
    <cellStyle name="Normal 26 4 5 6" xfId="28181" xr:uid="{00000000-0005-0000-0000-00000F6E0000}"/>
    <cellStyle name="Normal 26 4 5 7" xfId="28182" xr:uid="{00000000-0005-0000-0000-0000106E0000}"/>
    <cellStyle name="Normal 26 4 5 8" xfId="28183" xr:uid="{00000000-0005-0000-0000-0000116E0000}"/>
    <cellStyle name="Normal 26 4 6" xfId="28184" xr:uid="{00000000-0005-0000-0000-0000126E0000}"/>
    <cellStyle name="Normal 26 4 6 2" xfId="28185" xr:uid="{00000000-0005-0000-0000-0000136E0000}"/>
    <cellStyle name="Normal 26 4 6 2 2" xfId="28186" xr:uid="{00000000-0005-0000-0000-0000146E0000}"/>
    <cellStyle name="Normal 26 4 6 2 3" xfId="28187" xr:uid="{00000000-0005-0000-0000-0000156E0000}"/>
    <cellStyle name="Normal 26 4 6 2 4" xfId="28188" xr:uid="{00000000-0005-0000-0000-0000166E0000}"/>
    <cellStyle name="Normal 26 4 6 2 5" xfId="28189" xr:uid="{00000000-0005-0000-0000-0000176E0000}"/>
    <cellStyle name="Normal 26 4 6 2 6" xfId="28190" xr:uid="{00000000-0005-0000-0000-0000186E0000}"/>
    <cellStyle name="Normal 26 4 6 3" xfId="28191" xr:uid="{00000000-0005-0000-0000-0000196E0000}"/>
    <cellStyle name="Normal 26 4 6 3 2" xfId="28192" xr:uid="{00000000-0005-0000-0000-00001A6E0000}"/>
    <cellStyle name="Normal 26 4 6 3 3" xfId="28193" xr:uid="{00000000-0005-0000-0000-00001B6E0000}"/>
    <cellStyle name="Normal 26 4 6 3 4" xfId="28194" xr:uid="{00000000-0005-0000-0000-00001C6E0000}"/>
    <cellStyle name="Normal 26 4 6 3 5" xfId="28195" xr:uid="{00000000-0005-0000-0000-00001D6E0000}"/>
    <cellStyle name="Normal 26 4 6 3 6" xfId="28196" xr:uid="{00000000-0005-0000-0000-00001E6E0000}"/>
    <cellStyle name="Normal 26 4 6 4" xfId="28197" xr:uid="{00000000-0005-0000-0000-00001F6E0000}"/>
    <cellStyle name="Normal 26 4 6 5" xfId="28198" xr:uid="{00000000-0005-0000-0000-0000206E0000}"/>
    <cellStyle name="Normal 26 4 6 6" xfId="28199" xr:uid="{00000000-0005-0000-0000-0000216E0000}"/>
    <cellStyle name="Normal 26 4 6 7" xfId="28200" xr:uid="{00000000-0005-0000-0000-0000226E0000}"/>
    <cellStyle name="Normal 26 4 6 8" xfId="28201" xr:uid="{00000000-0005-0000-0000-0000236E0000}"/>
    <cellStyle name="Normal 26 4 7" xfId="28202" xr:uid="{00000000-0005-0000-0000-0000246E0000}"/>
    <cellStyle name="Normal 26 4 7 2" xfId="28203" xr:uid="{00000000-0005-0000-0000-0000256E0000}"/>
    <cellStyle name="Normal 26 4 7 2 2" xfId="28204" xr:uid="{00000000-0005-0000-0000-0000266E0000}"/>
    <cellStyle name="Normal 26 4 7 2 3" xfId="28205" xr:uid="{00000000-0005-0000-0000-0000276E0000}"/>
    <cellStyle name="Normal 26 4 7 2 4" xfId="28206" xr:uid="{00000000-0005-0000-0000-0000286E0000}"/>
    <cellStyle name="Normal 26 4 7 2 5" xfId="28207" xr:uid="{00000000-0005-0000-0000-0000296E0000}"/>
    <cellStyle name="Normal 26 4 7 2 6" xfId="28208" xr:uid="{00000000-0005-0000-0000-00002A6E0000}"/>
    <cellStyle name="Normal 26 4 7 3" xfId="28209" xr:uid="{00000000-0005-0000-0000-00002B6E0000}"/>
    <cellStyle name="Normal 26 4 7 3 2" xfId="28210" xr:uid="{00000000-0005-0000-0000-00002C6E0000}"/>
    <cellStyle name="Normal 26 4 7 3 3" xfId="28211" xr:uid="{00000000-0005-0000-0000-00002D6E0000}"/>
    <cellStyle name="Normal 26 4 7 3 4" xfId="28212" xr:uid="{00000000-0005-0000-0000-00002E6E0000}"/>
    <cellStyle name="Normal 26 4 7 3 5" xfId="28213" xr:uid="{00000000-0005-0000-0000-00002F6E0000}"/>
    <cellStyle name="Normal 26 4 7 3 6" xfId="28214" xr:uid="{00000000-0005-0000-0000-0000306E0000}"/>
    <cellStyle name="Normal 26 4 7 4" xfId="28215" xr:uid="{00000000-0005-0000-0000-0000316E0000}"/>
    <cellStyle name="Normal 26 4 7 5" xfId="28216" xr:uid="{00000000-0005-0000-0000-0000326E0000}"/>
    <cellStyle name="Normal 26 4 7 6" xfId="28217" xr:uid="{00000000-0005-0000-0000-0000336E0000}"/>
    <cellStyle name="Normal 26 4 7 7" xfId="28218" xr:uid="{00000000-0005-0000-0000-0000346E0000}"/>
    <cellStyle name="Normal 26 4 7 8" xfId="28219" xr:uid="{00000000-0005-0000-0000-0000356E0000}"/>
    <cellStyle name="Normal 26 4 8" xfId="28220" xr:uid="{00000000-0005-0000-0000-0000366E0000}"/>
    <cellStyle name="Normal 26 4 8 2" xfId="28221" xr:uid="{00000000-0005-0000-0000-0000376E0000}"/>
    <cellStyle name="Normal 26 4 8 3" xfId="28222" xr:uid="{00000000-0005-0000-0000-0000386E0000}"/>
    <cellStyle name="Normal 26 4 8 4" xfId="28223" xr:uid="{00000000-0005-0000-0000-0000396E0000}"/>
    <cellStyle name="Normal 26 4 8 5" xfId="28224" xr:uid="{00000000-0005-0000-0000-00003A6E0000}"/>
    <cellStyle name="Normal 26 4 8 6" xfId="28225" xr:uid="{00000000-0005-0000-0000-00003B6E0000}"/>
    <cellStyle name="Normal 26 4 9" xfId="28226" xr:uid="{00000000-0005-0000-0000-00003C6E0000}"/>
    <cellStyle name="Normal 26 4 9 2" xfId="28227" xr:uid="{00000000-0005-0000-0000-00003D6E0000}"/>
    <cellStyle name="Normal 26 4 9 3" xfId="28228" xr:uid="{00000000-0005-0000-0000-00003E6E0000}"/>
    <cellStyle name="Normal 26 4 9 4" xfId="28229" xr:uid="{00000000-0005-0000-0000-00003F6E0000}"/>
    <cellStyle name="Normal 26 4 9 5" xfId="28230" xr:uid="{00000000-0005-0000-0000-0000406E0000}"/>
    <cellStyle name="Normal 26 4 9 6" xfId="28231" xr:uid="{00000000-0005-0000-0000-0000416E0000}"/>
    <cellStyle name="Normal 26 5" xfId="28232" xr:uid="{00000000-0005-0000-0000-0000426E0000}"/>
    <cellStyle name="Normal 26 5 10" xfId="28233" xr:uid="{00000000-0005-0000-0000-0000436E0000}"/>
    <cellStyle name="Normal 26 5 11" xfId="28234" xr:uid="{00000000-0005-0000-0000-0000446E0000}"/>
    <cellStyle name="Normal 26 5 12" xfId="28235" xr:uid="{00000000-0005-0000-0000-0000456E0000}"/>
    <cellStyle name="Normal 26 5 2" xfId="28236" xr:uid="{00000000-0005-0000-0000-0000466E0000}"/>
    <cellStyle name="Normal 26 5 2 10" xfId="28237" xr:uid="{00000000-0005-0000-0000-0000476E0000}"/>
    <cellStyle name="Normal 26 5 2 11" xfId="28238" xr:uid="{00000000-0005-0000-0000-0000486E0000}"/>
    <cellStyle name="Normal 26 5 2 2" xfId="28239" xr:uid="{00000000-0005-0000-0000-0000496E0000}"/>
    <cellStyle name="Normal 26 5 2 2 2" xfId="28240" xr:uid="{00000000-0005-0000-0000-00004A6E0000}"/>
    <cellStyle name="Normal 26 5 2 2 2 2" xfId="28241" xr:uid="{00000000-0005-0000-0000-00004B6E0000}"/>
    <cellStyle name="Normal 26 5 2 2 2 3" xfId="28242" xr:uid="{00000000-0005-0000-0000-00004C6E0000}"/>
    <cellStyle name="Normal 26 5 2 2 2 4" xfId="28243" xr:uid="{00000000-0005-0000-0000-00004D6E0000}"/>
    <cellStyle name="Normal 26 5 2 2 2 5" xfId="28244" xr:uid="{00000000-0005-0000-0000-00004E6E0000}"/>
    <cellStyle name="Normal 26 5 2 2 2 6" xfId="28245" xr:uid="{00000000-0005-0000-0000-00004F6E0000}"/>
    <cellStyle name="Normal 26 5 2 2 3" xfId="28246" xr:uid="{00000000-0005-0000-0000-0000506E0000}"/>
    <cellStyle name="Normal 26 5 2 2 3 2" xfId="28247" xr:uid="{00000000-0005-0000-0000-0000516E0000}"/>
    <cellStyle name="Normal 26 5 2 2 3 3" xfId="28248" xr:uid="{00000000-0005-0000-0000-0000526E0000}"/>
    <cellStyle name="Normal 26 5 2 2 3 4" xfId="28249" xr:uid="{00000000-0005-0000-0000-0000536E0000}"/>
    <cellStyle name="Normal 26 5 2 2 3 5" xfId="28250" xr:uid="{00000000-0005-0000-0000-0000546E0000}"/>
    <cellStyle name="Normal 26 5 2 2 3 6" xfId="28251" xr:uid="{00000000-0005-0000-0000-0000556E0000}"/>
    <cellStyle name="Normal 26 5 2 2 4" xfId="28252" xr:uid="{00000000-0005-0000-0000-0000566E0000}"/>
    <cellStyle name="Normal 26 5 2 2 5" xfId="28253" xr:uid="{00000000-0005-0000-0000-0000576E0000}"/>
    <cellStyle name="Normal 26 5 2 2 6" xfId="28254" xr:uid="{00000000-0005-0000-0000-0000586E0000}"/>
    <cellStyle name="Normal 26 5 2 2 7" xfId="28255" xr:uid="{00000000-0005-0000-0000-0000596E0000}"/>
    <cellStyle name="Normal 26 5 2 2 8" xfId="28256" xr:uid="{00000000-0005-0000-0000-00005A6E0000}"/>
    <cellStyle name="Normal 26 5 2 3" xfId="28257" xr:uid="{00000000-0005-0000-0000-00005B6E0000}"/>
    <cellStyle name="Normal 26 5 2 3 2" xfId="28258" xr:uid="{00000000-0005-0000-0000-00005C6E0000}"/>
    <cellStyle name="Normal 26 5 2 3 2 2" xfId="28259" xr:uid="{00000000-0005-0000-0000-00005D6E0000}"/>
    <cellStyle name="Normal 26 5 2 3 2 3" xfId="28260" xr:uid="{00000000-0005-0000-0000-00005E6E0000}"/>
    <cellStyle name="Normal 26 5 2 3 2 4" xfId="28261" xr:uid="{00000000-0005-0000-0000-00005F6E0000}"/>
    <cellStyle name="Normal 26 5 2 3 2 5" xfId="28262" xr:uid="{00000000-0005-0000-0000-0000606E0000}"/>
    <cellStyle name="Normal 26 5 2 3 2 6" xfId="28263" xr:uid="{00000000-0005-0000-0000-0000616E0000}"/>
    <cellStyle name="Normal 26 5 2 3 3" xfId="28264" xr:uid="{00000000-0005-0000-0000-0000626E0000}"/>
    <cellStyle name="Normal 26 5 2 3 3 2" xfId="28265" xr:uid="{00000000-0005-0000-0000-0000636E0000}"/>
    <cellStyle name="Normal 26 5 2 3 3 3" xfId="28266" xr:uid="{00000000-0005-0000-0000-0000646E0000}"/>
    <cellStyle name="Normal 26 5 2 3 3 4" xfId="28267" xr:uid="{00000000-0005-0000-0000-0000656E0000}"/>
    <cellStyle name="Normal 26 5 2 3 3 5" xfId="28268" xr:uid="{00000000-0005-0000-0000-0000666E0000}"/>
    <cellStyle name="Normal 26 5 2 3 3 6" xfId="28269" xr:uid="{00000000-0005-0000-0000-0000676E0000}"/>
    <cellStyle name="Normal 26 5 2 3 4" xfId="28270" xr:uid="{00000000-0005-0000-0000-0000686E0000}"/>
    <cellStyle name="Normal 26 5 2 3 5" xfId="28271" xr:uid="{00000000-0005-0000-0000-0000696E0000}"/>
    <cellStyle name="Normal 26 5 2 3 6" xfId="28272" xr:uid="{00000000-0005-0000-0000-00006A6E0000}"/>
    <cellStyle name="Normal 26 5 2 3 7" xfId="28273" xr:uid="{00000000-0005-0000-0000-00006B6E0000}"/>
    <cellStyle name="Normal 26 5 2 3 8" xfId="28274" xr:uid="{00000000-0005-0000-0000-00006C6E0000}"/>
    <cellStyle name="Normal 26 5 2 4" xfId="28275" xr:uid="{00000000-0005-0000-0000-00006D6E0000}"/>
    <cellStyle name="Normal 26 5 2 4 2" xfId="28276" xr:uid="{00000000-0005-0000-0000-00006E6E0000}"/>
    <cellStyle name="Normal 26 5 2 4 2 2" xfId="28277" xr:uid="{00000000-0005-0000-0000-00006F6E0000}"/>
    <cellStyle name="Normal 26 5 2 4 2 3" xfId="28278" xr:uid="{00000000-0005-0000-0000-0000706E0000}"/>
    <cellStyle name="Normal 26 5 2 4 2 4" xfId="28279" xr:uid="{00000000-0005-0000-0000-0000716E0000}"/>
    <cellStyle name="Normal 26 5 2 4 2 5" xfId="28280" xr:uid="{00000000-0005-0000-0000-0000726E0000}"/>
    <cellStyle name="Normal 26 5 2 4 2 6" xfId="28281" xr:uid="{00000000-0005-0000-0000-0000736E0000}"/>
    <cellStyle name="Normal 26 5 2 4 3" xfId="28282" xr:uid="{00000000-0005-0000-0000-0000746E0000}"/>
    <cellStyle name="Normal 26 5 2 4 3 2" xfId="28283" xr:uid="{00000000-0005-0000-0000-0000756E0000}"/>
    <cellStyle name="Normal 26 5 2 4 3 3" xfId="28284" xr:uid="{00000000-0005-0000-0000-0000766E0000}"/>
    <cellStyle name="Normal 26 5 2 4 3 4" xfId="28285" xr:uid="{00000000-0005-0000-0000-0000776E0000}"/>
    <cellStyle name="Normal 26 5 2 4 3 5" xfId="28286" xr:uid="{00000000-0005-0000-0000-0000786E0000}"/>
    <cellStyle name="Normal 26 5 2 4 3 6" xfId="28287" xr:uid="{00000000-0005-0000-0000-0000796E0000}"/>
    <cellStyle name="Normal 26 5 2 4 4" xfId="28288" xr:uid="{00000000-0005-0000-0000-00007A6E0000}"/>
    <cellStyle name="Normal 26 5 2 4 5" xfId="28289" xr:uid="{00000000-0005-0000-0000-00007B6E0000}"/>
    <cellStyle name="Normal 26 5 2 4 6" xfId="28290" xr:uid="{00000000-0005-0000-0000-00007C6E0000}"/>
    <cellStyle name="Normal 26 5 2 4 7" xfId="28291" xr:uid="{00000000-0005-0000-0000-00007D6E0000}"/>
    <cellStyle name="Normal 26 5 2 4 8" xfId="28292" xr:uid="{00000000-0005-0000-0000-00007E6E0000}"/>
    <cellStyle name="Normal 26 5 2 5" xfId="28293" xr:uid="{00000000-0005-0000-0000-00007F6E0000}"/>
    <cellStyle name="Normal 26 5 2 5 2" xfId="28294" xr:uid="{00000000-0005-0000-0000-0000806E0000}"/>
    <cellStyle name="Normal 26 5 2 5 3" xfId="28295" xr:uid="{00000000-0005-0000-0000-0000816E0000}"/>
    <cellStyle name="Normal 26 5 2 5 4" xfId="28296" xr:uid="{00000000-0005-0000-0000-0000826E0000}"/>
    <cellStyle name="Normal 26 5 2 5 5" xfId="28297" xr:uid="{00000000-0005-0000-0000-0000836E0000}"/>
    <cellStyle name="Normal 26 5 2 5 6" xfId="28298" xr:uid="{00000000-0005-0000-0000-0000846E0000}"/>
    <cellStyle name="Normal 26 5 2 6" xfId="28299" xr:uid="{00000000-0005-0000-0000-0000856E0000}"/>
    <cellStyle name="Normal 26 5 2 6 2" xfId="28300" xr:uid="{00000000-0005-0000-0000-0000866E0000}"/>
    <cellStyle name="Normal 26 5 2 6 3" xfId="28301" xr:uid="{00000000-0005-0000-0000-0000876E0000}"/>
    <cellStyle name="Normal 26 5 2 6 4" xfId="28302" xr:uid="{00000000-0005-0000-0000-0000886E0000}"/>
    <cellStyle name="Normal 26 5 2 6 5" xfId="28303" xr:uid="{00000000-0005-0000-0000-0000896E0000}"/>
    <cellStyle name="Normal 26 5 2 6 6" xfId="28304" xr:uid="{00000000-0005-0000-0000-00008A6E0000}"/>
    <cellStyle name="Normal 26 5 2 7" xfId="28305" xr:uid="{00000000-0005-0000-0000-00008B6E0000}"/>
    <cellStyle name="Normal 26 5 2 8" xfId="28306" xr:uid="{00000000-0005-0000-0000-00008C6E0000}"/>
    <cellStyle name="Normal 26 5 2 9" xfId="28307" xr:uid="{00000000-0005-0000-0000-00008D6E0000}"/>
    <cellStyle name="Normal 26 5 3" xfId="28308" xr:uid="{00000000-0005-0000-0000-00008E6E0000}"/>
    <cellStyle name="Normal 26 5 3 2" xfId="28309" xr:uid="{00000000-0005-0000-0000-00008F6E0000}"/>
    <cellStyle name="Normal 26 5 3 2 2" xfId="28310" xr:uid="{00000000-0005-0000-0000-0000906E0000}"/>
    <cellStyle name="Normal 26 5 3 2 3" xfId="28311" xr:uid="{00000000-0005-0000-0000-0000916E0000}"/>
    <cellStyle name="Normal 26 5 3 2 4" xfId="28312" xr:uid="{00000000-0005-0000-0000-0000926E0000}"/>
    <cellStyle name="Normal 26 5 3 2 5" xfId="28313" xr:uid="{00000000-0005-0000-0000-0000936E0000}"/>
    <cellStyle name="Normal 26 5 3 2 6" xfId="28314" xr:uid="{00000000-0005-0000-0000-0000946E0000}"/>
    <cellStyle name="Normal 26 5 3 3" xfId="28315" xr:uid="{00000000-0005-0000-0000-0000956E0000}"/>
    <cellStyle name="Normal 26 5 3 3 2" xfId="28316" xr:uid="{00000000-0005-0000-0000-0000966E0000}"/>
    <cellStyle name="Normal 26 5 3 3 3" xfId="28317" xr:uid="{00000000-0005-0000-0000-0000976E0000}"/>
    <cellStyle name="Normal 26 5 3 3 4" xfId="28318" xr:uid="{00000000-0005-0000-0000-0000986E0000}"/>
    <cellStyle name="Normal 26 5 3 3 5" xfId="28319" xr:uid="{00000000-0005-0000-0000-0000996E0000}"/>
    <cellStyle name="Normal 26 5 3 3 6" xfId="28320" xr:uid="{00000000-0005-0000-0000-00009A6E0000}"/>
    <cellStyle name="Normal 26 5 3 4" xfId="28321" xr:uid="{00000000-0005-0000-0000-00009B6E0000}"/>
    <cellStyle name="Normal 26 5 3 5" xfId="28322" xr:uid="{00000000-0005-0000-0000-00009C6E0000}"/>
    <cellStyle name="Normal 26 5 3 6" xfId="28323" xr:uid="{00000000-0005-0000-0000-00009D6E0000}"/>
    <cellStyle name="Normal 26 5 3 7" xfId="28324" xr:uid="{00000000-0005-0000-0000-00009E6E0000}"/>
    <cellStyle name="Normal 26 5 3 8" xfId="28325" xr:uid="{00000000-0005-0000-0000-00009F6E0000}"/>
    <cellStyle name="Normal 26 5 4" xfId="28326" xr:uid="{00000000-0005-0000-0000-0000A06E0000}"/>
    <cellStyle name="Normal 26 5 4 2" xfId="28327" xr:uid="{00000000-0005-0000-0000-0000A16E0000}"/>
    <cellStyle name="Normal 26 5 4 2 2" xfId="28328" xr:uid="{00000000-0005-0000-0000-0000A26E0000}"/>
    <cellStyle name="Normal 26 5 4 2 3" xfId="28329" xr:uid="{00000000-0005-0000-0000-0000A36E0000}"/>
    <cellStyle name="Normal 26 5 4 2 4" xfId="28330" xr:uid="{00000000-0005-0000-0000-0000A46E0000}"/>
    <cellStyle name="Normal 26 5 4 2 5" xfId="28331" xr:uid="{00000000-0005-0000-0000-0000A56E0000}"/>
    <cellStyle name="Normal 26 5 4 2 6" xfId="28332" xr:uid="{00000000-0005-0000-0000-0000A66E0000}"/>
    <cellStyle name="Normal 26 5 4 3" xfId="28333" xr:uid="{00000000-0005-0000-0000-0000A76E0000}"/>
    <cellStyle name="Normal 26 5 4 3 2" xfId="28334" xr:uid="{00000000-0005-0000-0000-0000A86E0000}"/>
    <cellStyle name="Normal 26 5 4 3 3" xfId="28335" xr:uid="{00000000-0005-0000-0000-0000A96E0000}"/>
    <cellStyle name="Normal 26 5 4 3 4" xfId="28336" xr:uid="{00000000-0005-0000-0000-0000AA6E0000}"/>
    <cellStyle name="Normal 26 5 4 3 5" xfId="28337" xr:uid="{00000000-0005-0000-0000-0000AB6E0000}"/>
    <cellStyle name="Normal 26 5 4 3 6" xfId="28338" xr:uid="{00000000-0005-0000-0000-0000AC6E0000}"/>
    <cellStyle name="Normal 26 5 4 4" xfId="28339" xr:uid="{00000000-0005-0000-0000-0000AD6E0000}"/>
    <cellStyle name="Normal 26 5 4 5" xfId="28340" xr:uid="{00000000-0005-0000-0000-0000AE6E0000}"/>
    <cellStyle name="Normal 26 5 4 6" xfId="28341" xr:uid="{00000000-0005-0000-0000-0000AF6E0000}"/>
    <cellStyle name="Normal 26 5 4 7" xfId="28342" xr:uid="{00000000-0005-0000-0000-0000B06E0000}"/>
    <cellStyle name="Normal 26 5 4 8" xfId="28343" xr:uid="{00000000-0005-0000-0000-0000B16E0000}"/>
    <cellStyle name="Normal 26 5 5" xfId="28344" xr:uid="{00000000-0005-0000-0000-0000B26E0000}"/>
    <cellStyle name="Normal 26 5 5 2" xfId="28345" xr:uid="{00000000-0005-0000-0000-0000B36E0000}"/>
    <cellStyle name="Normal 26 5 5 2 2" xfId="28346" xr:uid="{00000000-0005-0000-0000-0000B46E0000}"/>
    <cellStyle name="Normal 26 5 5 2 3" xfId="28347" xr:uid="{00000000-0005-0000-0000-0000B56E0000}"/>
    <cellStyle name="Normal 26 5 5 2 4" xfId="28348" xr:uid="{00000000-0005-0000-0000-0000B66E0000}"/>
    <cellStyle name="Normal 26 5 5 2 5" xfId="28349" xr:uid="{00000000-0005-0000-0000-0000B76E0000}"/>
    <cellStyle name="Normal 26 5 5 2 6" xfId="28350" xr:uid="{00000000-0005-0000-0000-0000B86E0000}"/>
    <cellStyle name="Normal 26 5 5 3" xfId="28351" xr:uid="{00000000-0005-0000-0000-0000B96E0000}"/>
    <cellStyle name="Normal 26 5 5 3 2" xfId="28352" xr:uid="{00000000-0005-0000-0000-0000BA6E0000}"/>
    <cellStyle name="Normal 26 5 5 3 3" xfId="28353" xr:uid="{00000000-0005-0000-0000-0000BB6E0000}"/>
    <cellStyle name="Normal 26 5 5 3 4" xfId="28354" xr:uid="{00000000-0005-0000-0000-0000BC6E0000}"/>
    <cellStyle name="Normal 26 5 5 3 5" xfId="28355" xr:uid="{00000000-0005-0000-0000-0000BD6E0000}"/>
    <cellStyle name="Normal 26 5 5 3 6" xfId="28356" xr:uid="{00000000-0005-0000-0000-0000BE6E0000}"/>
    <cellStyle name="Normal 26 5 5 4" xfId="28357" xr:uid="{00000000-0005-0000-0000-0000BF6E0000}"/>
    <cellStyle name="Normal 26 5 5 5" xfId="28358" xr:uid="{00000000-0005-0000-0000-0000C06E0000}"/>
    <cellStyle name="Normal 26 5 5 6" xfId="28359" xr:uid="{00000000-0005-0000-0000-0000C16E0000}"/>
    <cellStyle name="Normal 26 5 5 7" xfId="28360" xr:uid="{00000000-0005-0000-0000-0000C26E0000}"/>
    <cellStyle name="Normal 26 5 5 8" xfId="28361" xr:uid="{00000000-0005-0000-0000-0000C36E0000}"/>
    <cellStyle name="Normal 26 5 6" xfId="28362" xr:uid="{00000000-0005-0000-0000-0000C46E0000}"/>
    <cellStyle name="Normal 26 5 6 2" xfId="28363" xr:uid="{00000000-0005-0000-0000-0000C56E0000}"/>
    <cellStyle name="Normal 26 5 6 3" xfId="28364" xr:uid="{00000000-0005-0000-0000-0000C66E0000}"/>
    <cellStyle name="Normal 26 5 6 4" xfId="28365" xr:uid="{00000000-0005-0000-0000-0000C76E0000}"/>
    <cellStyle name="Normal 26 5 6 5" xfId="28366" xr:uid="{00000000-0005-0000-0000-0000C86E0000}"/>
    <cellStyle name="Normal 26 5 6 6" xfId="28367" xr:uid="{00000000-0005-0000-0000-0000C96E0000}"/>
    <cellStyle name="Normal 26 5 7" xfId="28368" xr:uid="{00000000-0005-0000-0000-0000CA6E0000}"/>
    <cellStyle name="Normal 26 5 7 2" xfId="28369" xr:uid="{00000000-0005-0000-0000-0000CB6E0000}"/>
    <cellStyle name="Normal 26 5 7 3" xfId="28370" xr:uid="{00000000-0005-0000-0000-0000CC6E0000}"/>
    <cellStyle name="Normal 26 5 7 4" xfId="28371" xr:uid="{00000000-0005-0000-0000-0000CD6E0000}"/>
    <cellStyle name="Normal 26 5 7 5" xfId="28372" xr:uid="{00000000-0005-0000-0000-0000CE6E0000}"/>
    <cellStyle name="Normal 26 5 7 6" xfId="28373" xr:uid="{00000000-0005-0000-0000-0000CF6E0000}"/>
    <cellStyle name="Normal 26 5 8" xfId="28374" xr:uid="{00000000-0005-0000-0000-0000D06E0000}"/>
    <cellStyle name="Normal 26 5 9" xfId="28375" xr:uid="{00000000-0005-0000-0000-0000D16E0000}"/>
    <cellStyle name="Normal 26 6" xfId="28376" xr:uid="{00000000-0005-0000-0000-0000D26E0000}"/>
    <cellStyle name="Normal 26 6 10" xfId="28377" xr:uid="{00000000-0005-0000-0000-0000D36E0000}"/>
    <cellStyle name="Normal 26 6 11" xfId="28378" xr:uid="{00000000-0005-0000-0000-0000D46E0000}"/>
    <cellStyle name="Normal 26 6 12" xfId="28379" xr:uid="{00000000-0005-0000-0000-0000D56E0000}"/>
    <cellStyle name="Normal 26 6 2" xfId="28380" xr:uid="{00000000-0005-0000-0000-0000D66E0000}"/>
    <cellStyle name="Normal 26 6 2 10" xfId="28381" xr:uid="{00000000-0005-0000-0000-0000D76E0000}"/>
    <cellStyle name="Normal 26 6 2 11" xfId="28382" xr:uid="{00000000-0005-0000-0000-0000D86E0000}"/>
    <cellStyle name="Normal 26 6 2 2" xfId="28383" xr:uid="{00000000-0005-0000-0000-0000D96E0000}"/>
    <cellStyle name="Normal 26 6 2 2 2" xfId="28384" xr:uid="{00000000-0005-0000-0000-0000DA6E0000}"/>
    <cellStyle name="Normal 26 6 2 2 2 2" xfId="28385" xr:uid="{00000000-0005-0000-0000-0000DB6E0000}"/>
    <cellStyle name="Normal 26 6 2 2 2 3" xfId="28386" xr:uid="{00000000-0005-0000-0000-0000DC6E0000}"/>
    <cellStyle name="Normal 26 6 2 2 2 4" xfId="28387" xr:uid="{00000000-0005-0000-0000-0000DD6E0000}"/>
    <cellStyle name="Normal 26 6 2 2 2 5" xfId="28388" xr:uid="{00000000-0005-0000-0000-0000DE6E0000}"/>
    <cellStyle name="Normal 26 6 2 2 2 6" xfId="28389" xr:uid="{00000000-0005-0000-0000-0000DF6E0000}"/>
    <cellStyle name="Normal 26 6 2 2 3" xfId="28390" xr:uid="{00000000-0005-0000-0000-0000E06E0000}"/>
    <cellStyle name="Normal 26 6 2 2 3 2" xfId="28391" xr:uid="{00000000-0005-0000-0000-0000E16E0000}"/>
    <cellStyle name="Normal 26 6 2 2 3 3" xfId="28392" xr:uid="{00000000-0005-0000-0000-0000E26E0000}"/>
    <cellStyle name="Normal 26 6 2 2 3 4" xfId="28393" xr:uid="{00000000-0005-0000-0000-0000E36E0000}"/>
    <cellStyle name="Normal 26 6 2 2 3 5" xfId="28394" xr:uid="{00000000-0005-0000-0000-0000E46E0000}"/>
    <cellStyle name="Normal 26 6 2 2 3 6" xfId="28395" xr:uid="{00000000-0005-0000-0000-0000E56E0000}"/>
    <cellStyle name="Normal 26 6 2 2 4" xfId="28396" xr:uid="{00000000-0005-0000-0000-0000E66E0000}"/>
    <cellStyle name="Normal 26 6 2 2 5" xfId="28397" xr:uid="{00000000-0005-0000-0000-0000E76E0000}"/>
    <cellStyle name="Normal 26 6 2 2 6" xfId="28398" xr:uid="{00000000-0005-0000-0000-0000E86E0000}"/>
    <cellStyle name="Normal 26 6 2 2 7" xfId="28399" xr:uid="{00000000-0005-0000-0000-0000E96E0000}"/>
    <cellStyle name="Normal 26 6 2 2 8" xfId="28400" xr:uid="{00000000-0005-0000-0000-0000EA6E0000}"/>
    <cellStyle name="Normal 26 6 2 3" xfId="28401" xr:uid="{00000000-0005-0000-0000-0000EB6E0000}"/>
    <cellStyle name="Normal 26 6 2 3 2" xfId="28402" xr:uid="{00000000-0005-0000-0000-0000EC6E0000}"/>
    <cellStyle name="Normal 26 6 2 3 2 2" xfId="28403" xr:uid="{00000000-0005-0000-0000-0000ED6E0000}"/>
    <cellStyle name="Normal 26 6 2 3 2 3" xfId="28404" xr:uid="{00000000-0005-0000-0000-0000EE6E0000}"/>
    <cellStyle name="Normal 26 6 2 3 2 4" xfId="28405" xr:uid="{00000000-0005-0000-0000-0000EF6E0000}"/>
    <cellStyle name="Normal 26 6 2 3 2 5" xfId="28406" xr:uid="{00000000-0005-0000-0000-0000F06E0000}"/>
    <cellStyle name="Normal 26 6 2 3 2 6" xfId="28407" xr:uid="{00000000-0005-0000-0000-0000F16E0000}"/>
    <cellStyle name="Normal 26 6 2 3 3" xfId="28408" xr:uid="{00000000-0005-0000-0000-0000F26E0000}"/>
    <cellStyle name="Normal 26 6 2 3 3 2" xfId="28409" xr:uid="{00000000-0005-0000-0000-0000F36E0000}"/>
    <cellStyle name="Normal 26 6 2 3 3 3" xfId="28410" xr:uid="{00000000-0005-0000-0000-0000F46E0000}"/>
    <cellStyle name="Normal 26 6 2 3 3 4" xfId="28411" xr:uid="{00000000-0005-0000-0000-0000F56E0000}"/>
    <cellStyle name="Normal 26 6 2 3 3 5" xfId="28412" xr:uid="{00000000-0005-0000-0000-0000F66E0000}"/>
    <cellStyle name="Normal 26 6 2 3 3 6" xfId="28413" xr:uid="{00000000-0005-0000-0000-0000F76E0000}"/>
    <cellStyle name="Normal 26 6 2 3 4" xfId="28414" xr:uid="{00000000-0005-0000-0000-0000F86E0000}"/>
    <cellStyle name="Normal 26 6 2 3 5" xfId="28415" xr:uid="{00000000-0005-0000-0000-0000F96E0000}"/>
    <cellStyle name="Normal 26 6 2 3 6" xfId="28416" xr:uid="{00000000-0005-0000-0000-0000FA6E0000}"/>
    <cellStyle name="Normal 26 6 2 3 7" xfId="28417" xr:uid="{00000000-0005-0000-0000-0000FB6E0000}"/>
    <cellStyle name="Normal 26 6 2 3 8" xfId="28418" xr:uid="{00000000-0005-0000-0000-0000FC6E0000}"/>
    <cellStyle name="Normal 26 6 2 4" xfId="28419" xr:uid="{00000000-0005-0000-0000-0000FD6E0000}"/>
    <cellStyle name="Normal 26 6 2 4 2" xfId="28420" xr:uid="{00000000-0005-0000-0000-0000FE6E0000}"/>
    <cellStyle name="Normal 26 6 2 4 2 2" xfId="28421" xr:uid="{00000000-0005-0000-0000-0000FF6E0000}"/>
    <cellStyle name="Normal 26 6 2 4 2 3" xfId="28422" xr:uid="{00000000-0005-0000-0000-0000006F0000}"/>
    <cellStyle name="Normal 26 6 2 4 2 4" xfId="28423" xr:uid="{00000000-0005-0000-0000-0000016F0000}"/>
    <cellStyle name="Normal 26 6 2 4 2 5" xfId="28424" xr:uid="{00000000-0005-0000-0000-0000026F0000}"/>
    <cellStyle name="Normal 26 6 2 4 2 6" xfId="28425" xr:uid="{00000000-0005-0000-0000-0000036F0000}"/>
    <cellStyle name="Normal 26 6 2 4 3" xfId="28426" xr:uid="{00000000-0005-0000-0000-0000046F0000}"/>
    <cellStyle name="Normal 26 6 2 4 3 2" xfId="28427" xr:uid="{00000000-0005-0000-0000-0000056F0000}"/>
    <cellStyle name="Normal 26 6 2 4 3 3" xfId="28428" xr:uid="{00000000-0005-0000-0000-0000066F0000}"/>
    <cellStyle name="Normal 26 6 2 4 3 4" xfId="28429" xr:uid="{00000000-0005-0000-0000-0000076F0000}"/>
    <cellStyle name="Normal 26 6 2 4 3 5" xfId="28430" xr:uid="{00000000-0005-0000-0000-0000086F0000}"/>
    <cellStyle name="Normal 26 6 2 4 3 6" xfId="28431" xr:uid="{00000000-0005-0000-0000-0000096F0000}"/>
    <cellStyle name="Normal 26 6 2 4 4" xfId="28432" xr:uid="{00000000-0005-0000-0000-00000A6F0000}"/>
    <cellStyle name="Normal 26 6 2 4 5" xfId="28433" xr:uid="{00000000-0005-0000-0000-00000B6F0000}"/>
    <cellStyle name="Normal 26 6 2 4 6" xfId="28434" xr:uid="{00000000-0005-0000-0000-00000C6F0000}"/>
    <cellStyle name="Normal 26 6 2 4 7" xfId="28435" xr:uid="{00000000-0005-0000-0000-00000D6F0000}"/>
    <cellStyle name="Normal 26 6 2 4 8" xfId="28436" xr:uid="{00000000-0005-0000-0000-00000E6F0000}"/>
    <cellStyle name="Normal 26 6 2 5" xfId="28437" xr:uid="{00000000-0005-0000-0000-00000F6F0000}"/>
    <cellStyle name="Normal 26 6 2 5 2" xfId="28438" xr:uid="{00000000-0005-0000-0000-0000106F0000}"/>
    <cellStyle name="Normal 26 6 2 5 3" xfId="28439" xr:uid="{00000000-0005-0000-0000-0000116F0000}"/>
    <cellStyle name="Normal 26 6 2 5 4" xfId="28440" xr:uid="{00000000-0005-0000-0000-0000126F0000}"/>
    <cellStyle name="Normal 26 6 2 5 5" xfId="28441" xr:uid="{00000000-0005-0000-0000-0000136F0000}"/>
    <cellStyle name="Normal 26 6 2 5 6" xfId="28442" xr:uid="{00000000-0005-0000-0000-0000146F0000}"/>
    <cellStyle name="Normal 26 6 2 6" xfId="28443" xr:uid="{00000000-0005-0000-0000-0000156F0000}"/>
    <cellStyle name="Normal 26 6 2 6 2" xfId="28444" xr:uid="{00000000-0005-0000-0000-0000166F0000}"/>
    <cellStyle name="Normal 26 6 2 6 3" xfId="28445" xr:uid="{00000000-0005-0000-0000-0000176F0000}"/>
    <cellStyle name="Normal 26 6 2 6 4" xfId="28446" xr:uid="{00000000-0005-0000-0000-0000186F0000}"/>
    <cellStyle name="Normal 26 6 2 6 5" xfId="28447" xr:uid="{00000000-0005-0000-0000-0000196F0000}"/>
    <cellStyle name="Normal 26 6 2 6 6" xfId="28448" xr:uid="{00000000-0005-0000-0000-00001A6F0000}"/>
    <cellStyle name="Normal 26 6 2 7" xfId="28449" xr:uid="{00000000-0005-0000-0000-00001B6F0000}"/>
    <cellStyle name="Normal 26 6 2 8" xfId="28450" xr:uid="{00000000-0005-0000-0000-00001C6F0000}"/>
    <cellStyle name="Normal 26 6 2 9" xfId="28451" xr:uid="{00000000-0005-0000-0000-00001D6F0000}"/>
    <cellStyle name="Normal 26 6 3" xfId="28452" xr:uid="{00000000-0005-0000-0000-00001E6F0000}"/>
    <cellStyle name="Normal 26 6 3 2" xfId="28453" xr:uid="{00000000-0005-0000-0000-00001F6F0000}"/>
    <cellStyle name="Normal 26 6 3 2 2" xfId="28454" xr:uid="{00000000-0005-0000-0000-0000206F0000}"/>
    <cellStyle name="Normal 26 6 3 2 3" xfId="28455" xr:uid="{00000000-0005-0000-0000-0000216F0000}"/>
    <cellStyle name="Normal 26 6 3 2 4" xfId="28456" xr:uid="{00000000-0005-0000-0000-0000226F0000}"/>
    <cellStyle name="Normal 26 6 3 2 5" xfId="28457" xr:uid="{00000000-0005-0000-0000-0000236F0000}"/>
    <cellStyle name="Normal 26 6 3 2 6" xfId="28458" xr:uid="{00000000-0005-0000-0000-0000246F0000}"/>
    <cellStyle name="Normal 26 6 3 3" xfId="28459" xr:uid="{00000000-0005-0000-0000-0000256F0000}"/>
    <cellStyle name="Normal 26 6 3 3 2" xfId="28460" xr:uid="{00000000-0005-0000-0000-0000266F0000}"/>
    <cellStyle name="Normal 26 6 3 3 3" xfId="28461" xr:uid="{00000000-0005-0000-0000-0000276F0000}"/>
    <cellStyle name="Normal 26 6 3 3 4" xfId="28462" xr:uid="{00000000-0005-0000-0000-0000286F0000}"/>
    <cellStyle name="Normal 26 6 3 3 5" xfId="28463" xr:uid="{00000000-0005-0000-0000-0000296F0000}"/>
    <cellStyle name="Normal 26 6 3 3 6" xfId="28464" xr:uid="{00000000-0005-0000-0000-00002A6F0000}"/>
    <cellStyle name="Normal 26 6 3 4" xfId="28465" xr:uid="{00000000-0005-0000-0000-00002B6F0000}"/>
    <cellStyle name="Normal 26 6 3 5" xfId="28466" xr:uid="{00000000-0005-0000-0000-00002C6F0000}"/>
    <cellStyle name="Normal 26 6 3 6" xfId="28467" xr:uid="{00000000-0005-0000-0000-00002D6F0000}"/>
    <cellStyle name="Normal 26 6 3 7" xfId="28468" xr:uid="{00000000-0005-0000-0000-00002E6F0000}"/>
    <cellStyle name="Normal 26 6 3 8" xfId="28469" xr:uid="{00000000-0005-0000-0000-00002F6F0000}"/>
    <cellStyle name="Normal 26 6 4" xfId="28470" xr:uid="{00000000-0005-0000-0000-0000306F0000}"/>
    <cellStyle name="Normal 26 6 4 2" xfId="28471" xr:uid="{00000000-0005-0000-0000-0000316F0000}"/>
    <cellStyle name="Normal 26 6 4 2 2" xfId="28472" xr:uid="{00000000-0005-0000-0000-0000326F0000}"/>
    <cellStyle name="Normal 26 6 4 2 3" xfId="28473" xr:uid="{00000000-0005-0000-0000-0000336F0000}"/>
    <cellStyle name="Normal 26 6 4 2 4" xfId="28474" xr:uid="{00000000-0005-0000-0000-0000346F0000}"/>
    <cellStyle name="Normal 26 6 4 2 5" xfId="28475" xr:uid="{00000000-0005-0000-0000-0000356F0000}"/>
    <cellStyle name="Normal 26 6 4 2 6" xfId="28476" xr:uid="{00000000-0005-0000-0000-0000366F0000}"/>
    <cellStyle name="Normal 26 6 4 3" xfId="28477" xr:uid="{00000000-0005-0000-0000-0000376F0000}"/>
    <cellStyle name="Normal 26 6 4 3 2" xfId="28478" xr:uid="{00000000-0005-0000-0000-0000386F0000}"/>
    <cellStyle name="Normal 26 6 4 3 3" xfId="28479" xr:uid="{00000000-0005-0000-0000-0000396F0000}"/>
    <cellStyle name="Normal 26 6 4 3 4" xfId="28480" xr:uid="{00000000-0005-0000-0000-00003A6F0000}"/>
    <cellStyle name="Normal 26 6 4 3 5" xfId="28481" xr:uid="{00000000-0005-0000-0000-00003B6F0000}"/>
    <cellStyle name="Normal 26 6 4 3 6" xfId="28482" xr:uid="{00000000-0005-0000-0000-00003C6F0000}"/>
    <cellStyle name="Normal 26 6 4 4" xfId="28483" xr:uid="{00000000-0005-0000-0000-00003D6F0000}"/>
    <cellStyle name="Normal 26 6 4 5" xfId="28484" xr:uid="{00000000-0005-0000-0000-00003E6F0000}"/>
    <cellStyle name="Normal 26 6 4 6" xfId="28485" xr:uid="{00000000-0005-0000-0000-00003F6F0000}"/>
    <cellStyle name="Normal 26 6 4 7" xfId="28486" xr:uid="{00000000-0005-0000-0000-0000406F0000}"/>
    <cellStyle name="Normal 26 6 4 8" xfId="28487" xr:uid="{00000000-0005-0000-0000-0000416F0000}"/>
    <cellStyle name="Normal 26 6 5" xfId="28488" xr:uid="{00000000-0005-0000-0000-0000426F0000}"/>
    <cellStyle name="Normal 26 6 5 2" xfId="28489" xr:uid="{00000000-0005-0000-0000-0000436F0000}"/>
    <cellStyle name="Normal 26 6 5 2 2" xfId="28490" xr:uid="{00000000-0005-0000-0000-0000446F0000}"/>
    <cellStyle name="Normal 26 6 5 2 3" xfId="28491" xr:uid="{00000000-0005-0000-0000-0000456F0000}"/>
    <cellStyle name="Normal 26 6 5 2 4" xfId="28492" xr:uid="{00000000-0005-0000-0000-0000466F0000}"/>
    <cellStyle name="Normal 26 6 5 2 5" xfId="28493" xr:uid="{00000000-0005-0000-0000-0000476F0000}"/>
    <cellStyle name="Normal 26 6 5 2 6" xfId="28494" xr:uid="{00000000-0005-0000-0000-0000486F0000}"/>
    <cellStyle name="Normal 26 6 5 3" xfId="28495" xr:uid="{00000000-0005-0000-0000-0000496F0000}"/>
    <cellStyle name="Normal 26 6 5 3 2" xfId="28496" xr:uid="{00000000-0005-0000-0000-00004A6F0000}"/>
    <cellStyle name="Normal 26 6 5 3 3" xfId="28497" xr:uid="{00000000-0005-0000-0000-00004B6F0000}"/>
    <cellStyle name="Normal 26 6 5 3 4" xfId="28498" xr:uid="{00000000-0005-0000-0000-00004C6F0000}"/>
    <cellStyle name="Normal 26 6 5 3 5" xfId="28499" xr:uid="{00000000-0005-0000-0000-00004D6F0000}"/>
    <cellStyle name="Normal 26 6 5 3 6" xfId="28500" xr:uid="{00000000-0005-0000-0000-00004E6F0000}"/>
    <cellStyle name="Normal 26 6 5 4" xfId="28501" xr:uid="{00000000-0005-0000-0000-00004F6F0000}"/>
    <cellStyle name="Normal 26 6 5 5" xfId="28502" xr:uid="{00000000-0005-0000-0000-0000506F0000}"/>
    <cellStyle name="Normal 26 6 5 6" xfId="28503" xr:uid="{00000000-0005-0000-0000-0000516F0000}"/>
    <cellStyle name="Normal 26 6 5 7" xfId="28504" xr:uid="{00000000-0005-0000-0000-0000526F0000}"/>
    <cellStyle name="Normal 26 6 5 8" xfId="28505" xr:uid="{00000000-0005-0000-0000-0000536F0000}"/>
    <cellStyle name="Normal 26 6 6" xfId="28506" xr:uid="{00000000-0005-0000-0000-0000546F0000}"/>
    <cellStyle name="Normal 26 6 6 2" xfId="28507" xr:uid="{00000000-0005-0000-0000-0000556F0000}"/>
    <cellStyle name="Normal 26 6 6 3" xfId="28508" xr:uid="{00000000-0005-0000-0000-0000566F0000}"/>
    <cellStyle name="Normal 26 6 6 4" xfId="28509" xr:uid="{00000000-0005-0000-0000-0000576F0000}"/>
    <cellStyle name="Normal 26 6 6 5" xfId="28510" xr:uid="{00000000-0005-0000-0000-0000586F0000}"/>
    <cellStyle name="Normal 26 6 6 6" xfId="28511" xr:uid="{00000000-0005-0000-0000-0000596F0000}"/>
    <cellStyle name="Normal 26 6 7" xfId="28512" xr:uid="{00000000-0005-0000-0000-00005A6F0000}"/>
    <cellStyle name="Normal 26 6 7 2" xfId="28513" xr:uid="{00000000-0005-0000-0000-00005B6F0000}"/>
    <cellStyle name="Normal 26 6 7 3" xfId="28514" xr:uid="{00000000-0005-0000-0000-00005C6F0000}"/>
    <cellStyle name="Normal 26 6 7 4" xfId="28515" xr:uid="{00000000-0005-0000-0000-00005D6F0000}"/>
    <cellStyle name="Normal 26 6 7 5" xfId="28516" xr:uid="{00000000-0005-0000-0000-00005E6F0000}"/>
    <cellStyle name="Normal 26 6 7 6" xfId="28517" xr:uid="{00000000-0005-0000-0000-00005F6F0000}"/>
    <cellStyle name="Normal 26 6 8" xfId="28518" xr:uid="{00000000-0005-0000-0000-0000606F0000}"/>
    <cellStyle name="Normal 26 6 9" xfId="28519" xr:uid="{00000000-0005-0000-0000-0000616F0000}"/>
    <cellStyle name="Normal 26 7" xfId="28520" xr:uid="{00000000-0005-0000-0000-0000626F0000}"/>
    <cellStyle name="Normal 26 7 10" xfId="28521" xr:uid="{00000000-0005-0000-0000-0000636F0000}"/>
    <cellStyle name="Normal 26 7 11" xfId="28522" xr:uid="{00000000-0005-0000-0000-0000646F0000}"/>
    <cellStyle name="Normal 26 7 2" xfId="28523" xr:uid="{00000000-0005-0000-0000-0000656F0000}"/>
    <cellStyle name="Normal 26 7 2 2" xfId="28524" xr:uid="{00000000-0005-0000-0000-0000666F0000}"/>
    <cellStyle name="Normal 26 7 2 2 2" xfId="28525" xr:uid="{00000000-0005-0000-0000-0000676F0000}"/>
    <cellStyle name="Normal 26 7 2 2 3" xfId="28526" xr:uid="{00000000-0005-0000-0000-0000686F0000}"/>
    <cellStyle name="Normal 26 7 2 2 4" xfId="28527" xr:uid="{00000000-0005-0000-0000-0000696F0000}"/>
    <cellStyle name="Normal 26 7 2 2 5" xfId="28528" xr:uid="{00000000-0005-0000-0000-00006A6F0000}"/>
    <cellStyle name="Normal 26 7 2 2 6" xfId="28529" xr:uid="{00000000-0005-0000-0000-00006B6F0000}"/>
    <cellStyle name="Normal 26 7 2 3" xfId="28530" xr:uid="{00000000-0005-0000-0000-00006C6F0000}"/>
    <cellStyle name="Normal 26 7 2 3 2" xfId="28531" xr:uid="{00000000-0005-0000-0000-00006D6F0000}"/>
    <cellStyle name="Normal 26 7 2 3 3" xfId="28532" xr:uid="{00000000-0005-0000-0000-00006E6F0000}"/>
    <cellStyle name="Normal 26 7 2 3 4" xfId="28533" xr:uid="{00000000-0005-0000-0000-00006F6F0000}"/>
    <cellStyle name="Normal 26 7 2 3 5" xfId="28534" xr:uid="{00000000-0005-0000-0000-0000706F0000}"/>
    <cellStyle name="Normal 26 7 2 3 6" xfId="28535" xr:uid="{00000000-0005-0000-0000-0000716F0000}"/>
    <cellStyle name="Normal 26 7 2 4" xfId="28536" xr:uid="{00000000-0005-0000-0000-0000726F0000}"/>
    <cellStyle name="Normal 26 7 2 5" xfId="28537" xr:uid="{00000000-0005-0000-0000-0000736F0000}"/>
    <cellStyle name="Normal 26 7 2 6" xfId="28538" xr:uid="{00000000-0005-0000-0000-0000746F0000}"/>
    <cellStyle name="Normal 26 7 2 7" xfId="28539" xr:uid="{00000000-0005-0000-0000-0000756F0000}"/>
    <cellStyle name="Normal 26 7 2 8" xfId="28540" xr:uid="{00000000-0005-0000-0000-0000766F0000}"/>
    <cellStyle name="Normal 26 7 3" xfId="28541" xr:uid="{00000000-0005-0000-0000-0000776F0000}"/>
    <cellStyle name="Normal 26 7 3 2" xfId="28542" xr:uid="{00000000-0005-0000-0000-0000786F0000}"/>
    <cellStyle name="Normal 26 7 3 2 2" xfId="28543" xr:uid="{00000000-0005-0000-0000-0000796F0000}"/>
    <cellStyle name="Normal 26 7 3 2 3" xfId="28544" xr:uid="{00000000-0005-0000-0000-00007A6F0000}"/>
    <cellStyle name="Normal 26 7 3 2 4" xfId="28545" xr:uid="{00000000-0005-0000-0000-00007B6F0000}"/>
    <cellStyle name="Normal 26 7 3 2 5" xfId="28546" xr:uid="{00000000-0005-0000-0000-00007C6F0000}"/>
    <cellStyle name="Normal 26 7 3 2 6" xfId="28547" xr:uid="{00000000-0005-0000-0000-00007D6F0000}"/>
    <cellStyle name="Normal 26 7 3 3" xfId="28548" xr:uid="{00000000-0005-0000-0000-00007E6F0000}"/>
    <cellStyle name="Normal 26 7 3 3 2" xfId="28549" xr:uid="{00000000-0005-0000-0000-00007F6F0000}"/>
    <cellStyle name="Normal 26 7 3 3 3" xfId="28550" xr:uid="{00000000-0005-0000-0000-0000806F0000}"/>
    <cellStyle name="Normal 26 7 3 3 4" xfId="28551" xr:uid="{00000000-0005-0000-0000-0000816F0000}"/>
    <cellStyle name="Normal 26 7 3 3 5" xfId="28552" xr:uid="{00000000-0005-0000-0000-0000826F0000}"/>
    <cellStyle name="Normal 26 7 3 3 6" xfId="28553" xr:uid="{00000000-0005-0000-0000-0000836F0000}"/>
    <cellStyle name="Normal 26 7 3 4" xfId="28554" xr:uid="{00000000-0005-0000-0000-0000846F0000}"/>
    <cellStyle name="Normal 26 7 3 5" xfId="28555" xr:uid="{00000000-0005-0000-0000-0000856F0000}"/>
    <cellStyle name="Normal 26 7 3 6" xfId="28556" xr:uid="{00000000-0005-0000-0000-0000866F0000}"/>
    <cellStyle name="Normal 26 7 3 7" xfId="28557" xr:uid="{00000000-0005-0000-0000-0000876F0000}"/>
    <cellStyle name="Normal 26 7 3 8" xfId="28558" xr:uid="{00000000-0005-0000-0000-0000886F0000}"/>
    <cellStyle name="Normal 26 7 4" xfId="28559" xr:uid="{00000000-0005-0000-0000-0000896F0000}"/>
    <cellStyle name="Normal 26 7 4 2" xfId="28560" xr:uid="{00000000-0005-0000-0000-00008A6F0000}"/>
    <cellStyle name="Normal 26 7 4 2 2" xfId="28561" xr:uid="{00000000-0005-0000-0000-00008B6F0000}"/>
    <cellStyle name="Normal 26 7 4 2 3" xfId="28562" xr:uid="{00000000-0005-0000-0000-00008C6F0000}"/>
    <cellStyle name="Normal 26 7 4 2 4" xfId="28563" xr:uid="{00000000-0005-0000-0000-00008D6F0000}"/>
    <cellStyle name="Normal 26 7 4 2 5" xfId="28564" xr:uid="{00000000-0005-0000-0000-00008E6F0000}"/>
    <cellStyle name="Normal 26 7 4 2 6" xfId="28565" xr:uid="{00000000-0005-0000-0000-00008F6F0000}"/>
    <cellStyle name="Normal 26 7 4 3" xfId="28566" xr:uid="{00000000-0005-0000-0000-0000906F0000}"/>
    <cellStyle name="Normal 26 7 4 3 2" xfId="28567" xr:uid="{00000000-0005-0000-0000-0000916F0000}"/>
    <cellStyle name="Normal 26 7 4 3 3" xfId="28568" xr:uid="{00000000-0005-0000-0000-0000926F0000}"/>
    <cellStyle name="Normal 26 7 4 3 4" xfId="28569" xr:uid="{00000000-0005-0000-0000-0000936F0000}"/>
    <cellStyle name="Normal 26 7 4 3 5" xfId="28570" xr:uid="{00000000-0005-0000-0000-0000946F0000}"/>
    <cellStyle name="Normal 26 7 4 3 6" xfId="28571" xr:uid="{00000000-0005-0000-0000-0000956F0000}"/>
    <cellStyle name="Normal 26 7 4 4" xfId="28572" xr:uid="{00000000-0005-0000-0000-0000966F0000}"/>
    <cellStyle name="Normal 26 7 4 5" xfId="28573" xr:uid="{00000000-0005-0000-0000-0000976F0000}"/>
    <cellStyle name="Normal 26 7 4 6" xfId="28574" xr:uid="{00000000-0005-0000-0000-0000986F0000}"/>
    <cellStyle name="Normal 26 7 4 7" xfId="28575" xr:uid="{00000000-0005-0000-0000-0000996F0000}"/>
    <cellStyle name="Normal 26 7 4 8" xfId="28576" xr:uid="{00000000-0005-0000-0000-00009A6F0000}"/>
    <cellStyle name="Normal 26 7 5" xfId="28577" xr:uid="{00000000-0005-0000-0000-00009B6F0000}"/>
    <cellStyle name="Normal 26 7 5 2" xfId="28578" xr:uid="{00000000-0005-0000-0000-00009C6F0000}"/>
    <cellStyle name="Normal 26 7 5 3" xfId="28579" xr:uid="{00000000-0005-0000-0000-00009D6F0000}"/>
    <cellStyle name="Normal 26 7 5 4" xfId="28580" xr:uid="{00000000-0005-0000-0000-00009E6F0000}"/>
    <cellStyle name="Normal 26 7 5 5" xfId="28581" xr:uid="{00000000-0005-0000-0000-00009F6F0000}"/>
    <cellStyle name="Normal 26 7 5 6" xfId="28582" xr:uid="{00000000-0005-0000-0000-0000A06F0000}"/>
    <cellStyle name="Normal 26 7 6" xfId="28583" xr:uid="{00000000-0005-0000-0000-0000A16F0000}"/>
    <cellStyle name="Normal 26 7 6 2" xfId="28584" xr:uid="{00000000-0005-0000-0000-0000A26F0000}"/>
    <cellStyle name="Normal 26 7 6 3" xfId="28585" xr:uid="{00000000-0005-0000-0000-0000A36F0000}"/>
    <cellStyle name="Normal 26 7 6 4" xfId="28586" xr:uid="{00000000-0005-0000-0000-0000A46F0000}"/>
    <cellStyle name="Normal 26 7 6 5" xfId="28587" xr:uid="{00000000-0005-0000-0000-0000A56F0000}"/>
    <cellStyle name="Normal 26 7 6 6" xfId="28588" xr:uid="{00000000-0005-0000-0000-0000A66F0000}"/>
    <cellStyle name="Normal 26 7 7" xfId="28589" xr:uid="{00000000-0005-0000-0000-0000A76F0000}"/>
    <cellStyle name="Normal 26 7 8" xfId="28590" xr:uid="{00000000-0005-0000-0000-0000A86F0000}"/>
    <cellStyle name="Normal 26 7 9" xfId="28591" xr:uid="{00000000-0005-0000-0000-0000A96F0000}"/>
    <cellStyle name="Normal 26 8" xfId="28592" xr:uid="{00000000-0005-0000-0000-0000AA6F0000}"/>
    <cellStyle name="Normal 26 8 2" xfId="28593" xr:uid="{00000000-0005-0000-0000-0000AB6F0000}"/>
    <cellStyle name="Normal 26 8 2 2" xfId="28594" xr:uid="{00000000-0005-0000-0000-0000AC6F0000}"/>
    <cellStyle name="Normal 26 8 2 3" xfId="28595" xr:uid="{00000000-0005-0000-0000-0000AD6F0000}"/>
    <cellStyle name="Normal 26 8 2 4" xfId="28596" xr:uid="{00000000-0005-0000-0000-0000AE6F0000}"/>
    <cellStyle name="Normal 26 8 2 5" xfId="28597" xr:uid="{00000000-0005-0000-0000-0000AF6F0000}"/>
    <cellStyle name="Normal 26 8 2 6" xfId="28598" xr:uid="{00000000-0005-0000-0000-0000B06F0000}"/>
    <cellStyle name="Normal 26 8 3" xfId="28599" xr:uid="{00000000-0005-0000-0000-0000B16F0000}"/>
    <cellStyle name="Normal 26 8 3 2" xfId="28600" xr:uid="{00000000-0005-0000-0000-0000B26F0000}"/>
    <cellStyle name="Normal 26 8 3 3" xfId="28601" xr:uid="{00000000-0005-0000-0000-0000B36F0000}"/>
    <cellStyle name="Normal 26 8 3 4" xfId="28602" xr:uid="{00000000-0005-0000-0000-0000B46F0000}"/>
    <cellStyle name="Normal 26 8 3 5" xfId="28603" xr:uid="{00000000-0005-0000-0000-0000B56F0000}"/>
    <cellStyle name="Normal 26 8 3 6" xfId="28604" xr:uid="{00000000-0005-0000-0000-0000B66F0000}"/>
    <cellStyle name="Normal 26 8 4" xfId="28605" xr:uid="{00000000-0005-0000-0000-0000B76F0000}"/>
    <cellStyle name="Normal 26 8 5" xfId="28606" xr:uid="{00000000-0005-0000-0000-0000B86F0000}"/>
    <cellStyle name="Normal 26 8 6" xfId="28607" xr:uid="{00000000-0005-0000-0000-0000B96F0000}"/>
    <cellStyle name="Normal 26 8 7" xfId="28608" xr:uid="{00000000-0005-0000-0000-0000BA6F0000}"/>
    <cellStyle name="Normal 26 8 8" xfId="28609" xr:uid="{00000000-0005-0000-0000-0000BB6F0000}"/>
    <cellStyle name="Normal 26 9" xfId="28610" xr:uid="{00000000-0005-0000-0000-0000BC6F0000}"/>
    <cellStyle name="Normal 26 9 2" xfId="28611" xr:uid="{00000000-0005-0000-0000-0000BD6F0000}"/>
    <cellStyle name="Normal 26 9 2 2" xfId="28612" xr:uid="{00000000-0005-0000-0000-0000BE6F0000}"/>
    <cellStyle name="Normal 26 9 2 3" xfId="28613" xr:uid="{00000000-0005-0000-0000-0000BF6F0000}"/>
    <cellStyle name="Normal 26 9 2 4" xfId="28614" xr:uid="{00000000-0005-0000-0000-0000C06F0000}"/>
    <cellStyle name="Normal 26 9 2 5" xfId="28615" xr:uid="{00000000-0005-0000-0000-0000C16F0000}"/>
    <cellStyle name="Normal 26 9 2 6" xfId="28616" xr:uid="{00000000-0005-0000-0000-0000C26F0000}"/>
    <cellStyle name="Normal 26 9 3" xfId="28617" xr:uid="{00000000-0005-0000-0000-0000C36F0000}"/>
    <cellStyle name="Normal 26 9 3 2" xfId="28618" xr:uid="{00000000-0005-0000-0000-0000C46F0000}"/>
    <cellStyle name="Normal 26 9 3 3" xfId="28619" xr:uid="{00000000-0005-0000-0000-0000C56F0000}"/>
    <cellStyle name="Normal 26 9 3 4" xfId="28620" xr:uid="{00000000-0005-0000-0000-0000C66F0000}"/>
    <cellStyle name="Normal 26 9 3 5" xfId="28621" xr:uid="{00000000-0005-0000-0000-0000C76F0000}"/>
    <cellStyle name="Normal 26 9 3 6" xfId="28622" xr:uid="{00000000-0005-0000-0000-0000C86F0000}"/>
    <cellStyle name="Normal 26 9 4" xfId="28623" xr:uid="{00000000-0005-0000-0000-0000C96F0000}"/>
    <cellStyle name="Normal 26 9 5" xfId="28624" xr:uid="{00000000-0005-0000-0000-0000CA6F0000}"/>
    <cellStyle name="Normal 26 9 6" xfId="28625" xr:uid="{00000000-0005-0000-0000-0000CB6F0000}"/>
    <cellStyle name="Normal 26 9 7" xfId="28626" xr:uid="{00000000-0005-0000-0000-0000CC6F0000}"/>
    <cellStyle name="Normal 26 9 8" xfId="28627" xr:uid="{00000000-0005-0000-0000-0000CD6F0000}"/>
    <cellStyle name="Normal 27" xfId="28628" xr:uid="{00000000-0005-0000-0000-0000CE6F0000}"/>
    <cellStyle name="Normal 27 10" xfId="28629" xr:uid="{00000000-0005-0000-0000-0000CF6F0000}"/>
    <cellStyle name="Normal 27 10 2" xfId="28630" xr:uid="{00000000-0005-0000-0000-0000D06F0000}"/>
    <cellStyle name="Normal 27 11" xfId="28631" xr:uid="{00000000-0005-0000-0000-0000D16F0000}"/>
    <cellStyle name="Normal 27 11 2" xfId="28632" xr:uid="{00000000-0005-0000-0000-0000D26F0000}"/>
    <cellStyle name="Normal 27 12" xfId="28633" xr:uid="{00000000-0005-0000-0000-0000D36F0000}"/>
    <cellStyle name="Normal 27 12 2" xfId="28634" xr:uid="{00000000-0005-0000-0000-0000D46F0000}"/>
    <cellStyle name="Normal 27 13" xfId="28635" xr:uid="{00000000-0005-0000-0000-0000D56F0000}"/>
    <cellStyle name="Normal 27 13 2" xfId="28636" xr:uid="{00000000-0005-0000-0000-0000D66F0000}"/>
    <cellStyle name="Normal 27 14" xfId="28637" xr:uid="{00000000-0005-0000-0000-0000D76F0000}"/>
    <cellStyle name="Normal 27 14 2" xfId="28638" xr:uid="{00000000-0005-0000-0000-0000D86F0000}"/>
    <cellStyle name="Normal 27 15" xfId="28639" xr:uid="{00000000-0005-0000-0000-0000D96F0000}"/>
    <cellStyle name="Normal 27 15 2" xfId="28640" xr:uid="{00000000-0005-0000-0000-0000DA6F0000}"/>
    <cellStyle name="Normal 27 16" xfId="28641" xr:uid="{00000000-0005-0000-0000-0000DB6F0000}"/>
    <cellStyle name="Normal 27 16 2" xfId="28642" xr:uid="{00000000-0005-0000-0000-0000DC6F0000}"/>
    <cellStyle name="Normal 27 17" xfId="28643" xr:uid="{00000000-0005-0000-0000-0000DD6F0000}"/>
    <cellStyle name="Normal 27 2" xfId="28644" xr:uid="{00000000-0005-0000-0000-0000DE6F0000}"/>
    <cellStyle name="Normal 27 2 2" xfId="28645" xr:uid="{00000000-0005-0000-0000-0000DF6F0000}"/>
    <cellStyle name="Normal 27 3" xfId="28646" xr:uid="{00000000-0005-0000-0000-0000E06F0000}"/>
    <cellStyle name="Normal 27 3 2" xfId="28647" xr:uid="{00000000-0005-0000-0000-0000E16F0000}"/>
    <cellStyle name="Normal 27 4" xfId="28648" xr:uid="{00000000-0005-0000-0000-0000E26F0000}"/>
    <cellStyle name="Normal 27 4 2" xfId="28649" xr:uid="{00000000-0005-0000-0000-0000E36F0000}"/>
    <cellStyle name="Normal 27 5" xfId="28650" xr:uid="{00000000-0005-0000-0000-0000E46F0000}"/>
    <cellStyle name="Normal 27 5 2" xfId="28651" xr:uid="{00000000-0005-0000-0000-0000E56F0000}"/>
    <cellStyle name="Normal 27 6" xfId="28652" xr:uid="{00000000-0005-0000-0000-0000E66F0000}"/>
    <cellStyle name="Normal 27 6 2" xfId="28653" xr:uid="{00000000-0005-0000-0000-0000E76F0000}"/>
    <cellStyle name="Normal 27 7" xfId="28654" xr:uid="{00000000-0005-0000-0000-0000E86F0000}"/>
    <cellStyle name="Normal 27 7 2" xfId="28655" xr:uid="{00000000-0005-0000-0000-0000E96F0000}"/>
    <cellStyle name="Normal 27 8" xfId="28656" xr:uid="{00000000-0005-0000-0000-0000EA6F0000}"/>
    <cellStyle name="Normal 27 8 2" xfId="28657" xr:uid="{00000000-0005-0000-0000-0000EB6F0000}"/>
    <cellStyle name="Normal 27 9" xfId="28658" xr:uid="{00000000-0005-0000-0000-0000EC6F0000}"/>
    <cellStyle name="Normal 27 9 2" xfId="28659" xr:uid="{00000000-0005-0000-0000-0000ED6F0000}"/>
    <cellStyle name="Normal 28" xfId="28660" xr:uid="{00000000-0005-0000-0000-0000EE6F0000}"/>
    <cellStyle name="Normal 28 10" xfId="28661" xr:uid="{00000000-0005-0000-0000-0000EF6F0000}"/>
    <cellStyle name="Normal 28 10 2" xfId="28662" xr:uid="{00000000-0005-0000-0000-0000F06F0000}"/>
    <cellStyle name="Normal 28 11" xfId="28663" xr:uid="{00000000-0005-0000-0000-0000F16F0000}"/>
    <cellStyle name="Normal 28 11 2" xfId="28664" xr:uid="{00000000-0005-0000-0000-0000F26F0000}"/>
    <cellStyle name="Normal 28 12" xfId="28665" xr:uid="{00000000-0005-0000-0000-0000F36F0000}"/>
    <cellStyle name="Normal 28 12 2" xfId="28666" xr:uid="{00000000-0005-0000-0000-0000F46F0000}"/>
    <cellStyle name="Normal 28 13" xfId="28667" xr:uid="{00000000-0005-0000-0000-0000F56F0000}"/>
    <cellStyle name="Normal 28 13 2" xfId="28668" xr:uid="{00000000-0005-0000-0000-0000F66F0000}"/>
    <cellStyle name="Normal 28 14" xfId="28669" xr:uid="{00000000-0005-0000-0000-0000F76F0000}"/>
    <cellStyle name="Normal 28 14 2" xfId="28670" xr:uid="{00000000-0005-0000-0000-0000F86F0000}"/>
    <cellStyle name="Normal 28 15" xfId="28671" xr:uid="{00000000-0005-0000-0000-0000F96F0000}"/>
    <cellStyle name="Normal 28 15 2" xfId="28672" xr:uid="{00000000-0005-0000-0000-0000FA6F0000}"/>
    <cellStyle name="Normal 28 16" xfId="28673" xr:uid="{00000000-0005-0000-0000-0000FB6F0000}"/>
    <cellStyle name="Normal 28 16 2" xfId="28674" xr:uid="{00000000-0005-0000-0000-0000FC6F0000}"/>
    <cellStyle name="Normal 28 17" xfId="28675" xr:uid="{00000000-0005-0000-0000-0000FD6F0000}"/>
    <cellStyle name="Normal 28 2" xfId="28676" xr:uid="{00000000-0005-0000-0000-0000FE6F0000}"/>
    <cellStyle name="Normal 28 2 2" xfId="28677" xr:uid="{00000000-0005-0000-0000-0000FF6F0000}"/>
    <cellStyle name="Normal 28 3" xfId="28678" xr:uid="{00000000-0005-0000-0000-000000700000}"/>
    <cellStyle name="Normal 28 3 2" xfId="28679" xr:uid="{00000000-0005-0000-0000-000001700000}"/>
    <cellStyle name="Normal 28 4" xfId="28680" xr:uid="{00000000-0005-0000-0000-000002700000}"/>
    <cellStyle name="Normal 28 4 2" xfId="28681" xr:uid="{00000000-0005-0000-0000-000003700000}"/>
    <cellStyle name="Normal 28 5" xfId="28682" xr:uid="{00000000-0005-0000-0000-000004700000}"/>
    <cellStyle name="Normal 28 5 2" xfId="28683" xr:uid="{00000000-0005-0000-0000-000005700000}"/>
    <cellStyle name="Normal 28 6" xfId="28684" xr:uid="{00000000-0005-0000-0000-000006700000}"/>
    <cellStyle name="Normal 28 6 2" xfId="28685" xr:uid="{00000000-0005-0000-0000-000007700000}"/>
    <cellStyle name="Normal 28 7" xfId="28686" xr:uid="{00000000-0005-0000-0000-000008700000}"/>
    <cellStyle name="Normal 28 7 2" xfId="28687" xr:uid="{00000000-0005-0000-0000-000009700000}"/>
    <cellStyle name="Normal 28 8" xfId="28688" xr:uid="{00000000-0005-0000-0000-00000A700000}"/>
    <cellStyle name="Normal 28 8 2" xfId="28689" xr:uid="{00000000-0005-0000-0000-00000B700000}"/>
    <cellStyle name="Normal 28 9" xfId="28690" xr:uid="{00000000-0005-0000-0000-00000C700000}"/>
    <cellStyle name="Normal 28 9 2" xfId="28691" xr:uid="{00000000-0005-0000-0000-00000D700000}"/>
    <cellStyle name="Normal 29" xfId="28692" xr:uid="{00000000-0005-0000-0000-00000E700000}"/>
    <cellStyle name="Normal 29 10" xfId="28693" xr:uid="{00000000-0005-0000-0000-00000F700000}"/>
    <cellStyle name="Normal 29 10 2" xfId="28694" xr:uid="{00000000-0005-0000-0000-000010700000}"/>
    <cellStyle name="Normal 29 11" xfId="28695" xr:uid="{00000000-0005-0000-0000-000011700000}"/>
    <cellStyle name="Normal 29 11 2" xfId="28696" xr:uid="{00000000-0005-0000-0000-000012700000}"/>
    <cellStyle name="Normal 29 12" xfId="28697" xr:uid="{00000000-0005-0000-0000-000013700000}"/>
    <cellStyle name="Normal 29 12 2" xfId="28698" xr:uid="{00000000-0005-0000-0000-000014700000}"/>
    <cellStyle name="Normal 29 13" xfId="28699" xr:uid="{00000000-0005-0000-0000-000015700000}"/>
    <cellStyle name="Normal 29 13 2" xfId="28700" xr:uid="{00000000-0005-0000-0000-000016700000}"/>
    <cellStyle name="Normal 29 14" xfId="28701" xr:uid="{00000000-0005-0000-0000-000017700000}"/>
    <cellStyle name="Normal 29 14 2" xfId="28702" xr:uid="{00000000-0005-0000-0000-000018700000}"/>
    <cellStyle name="Normal 29 15" xfId="28703" xr:uid="{00000000-0005-0000-0000-000019700000}"/>
    <cellStyle name="Normal 29 15 2" xfId="28704" xr:uid="{00000000-0005-0000-0000-00001A700000}"/>
    <cellStyle name="Normal 29 16" xfId="28705" xr:uid="{00000000-0005-0000-0000-00001B700000}"/>
    <cellStyle name="Normal 29 16 2" xfId="28706" xr:uid="{00000000-0005-0000-0000-00001C700000}"/>
    <cellStyle name="Normal 29 17" xfId="28707" xr:uid="{00000000-0005-0000-0000-00001D700000}"/>
    <cellStyle name="Normal 29 2" xfId="28708" xr:uid="{00000000-0005-0000-0000-00001E700000}"/>
    <cellStyle name="Normal 29 2 2" xfId="28709" xr:uid="{00000000-0005-0000-0000-00001F700000}"/>
    <cellStyle name="Normal 29 3" xfId="28710" xr:uid="{00000000-0005-0000-0000-000020700000}"/>
    <cellStyle name="Normal 29 3 2" xfId="28711" xr:uid="{00000000-0005-0000-0000-000021700000}"/>
    <cellStyle name="Normal 29 4" xfId="28712" xr:uid="{00000000-0005-0000-0000-000022700000}"/>
    <cellStyle name="Normal 29 4 2" xfId="28713" xr:uid="{00000000-0005-0000-0000-000023700000}"/>
    <cellStyle name="Normal 29 5" xfId="28714" xr:uid="{00000000-0005-0000-0000-000024700000}"/>
    <cellStyle name="Normal 29 5 2" xfId="28715" xr:uid="{00000000-0005-0000-0000-000025700000}"/>
    <cellStyle name="Normal 29 6" xfId="28716" xr:uid="{00000000-0005-0000-0000-000026700000}"/>
    <cellStyle name="Normal 29 6 2" xfId="28717" xr:uid="{00000000-0005-0000-0000-000027700000}"/>
    <cellStyle name="Normal 29 7" xfId="28718" xr:uid="{00000000-0005-0000-0000-000028700000}"/>
    <cellStyle name="Normal 29 7 2" xfId="28719" xr:uid="{00000000-0005-0000-0000-000029700000}"/>
    <cellStyle name="Normal 29 8" xfId="28720" xr:uid="{00000000-0005-0000-0000-00002A700000}"/>
    <cellStyle name="Normal 29 8 2" xfId="28721" xr:uid="{00000000-0005-0000-0000-00002B700000}"/>
    <cellStyle name="Normal 29 9" xfId="28722" xr:uid="{00000000-0005-0000-0000-00002C700000}"/>
    <cellStyle name="Normal 29 9 2" xfId="28723" xr:uid="{00000000-0005-0000-0000-00002D700000}"/>
    <cellStyle name="Normal 3" xfId="29" xr:uid="{00000000-0005-0000-0000-00002E700000}"/>
    <cellStyle name="Normal 3 10" xfId="28724" xr:uid="{00000000-0005-0000-0000-00002F700000}"/>
    <cellStyle name="Normal 3 10 2" xfId="28725" xr:uid="{00000000-0005-0000-0000-000030700000}"/>
    <cellStyle name="Normal 3 11" xfId="28726" xr:uid="{00000000-0005-0000-0000-000031700000}"/>
    <cellStyle name="Normal 3 11 2" xfId="28727" xr:uid="{00000000-0005-0000-0000-000032700000}"/>
    <cellStyle name="Normal 3 12" xfId="28728" xr:uid="{00000000-0005-0000-0000-000033700000}"/>
    <cellStyle name="Normal 3 12 2" xfId="28729" xr:uid="{00000000-0005-0000-0000-000034700000}"/>
    <cellStyle name="Normal 3 13" xfId="28730" xr:uid="{00000000-0005-0000-0000-000035700000}"/>
    <cellStyle name="Normal 3 13 2" xfId="28731" xr:uid="{00000000-0005-0000-0000-000036700000}"/>
    <cellStyle name="Normal 3 14" xfId="28732" xr:uid="{00000000-0005-0000-0000-000037700000}"/>
    <cellStyle name="Normal 3 14 2" xfId="28733" xr:uid="{00000000-0005-0000-0000-000038700000}"/>
    <cellStyle name="Normal 3 15" xfId="28734" xr:uid="{00000000-0005-0000-0000-000039700000}"/>
    <cellStyle name="Normal 3 15 2" xfId="28735" xr:uid="{00000000-0005-0000-0000-00003A700000}"/>
    <cellStyle name="Normal 3 16" xfId="28736" xr:uid="{00000000-0005-0000-0000-00003B700000}"/>
    <cellStyle name="Normal 3 16 2" xfId="28737" xr:uid="{00000000-0005-0000-0000-00003C700000}"/>
    <cellStyle name="Normal 3 17" xfId="28738" xr:uid="{00000000-0005-0000-0000-00003D700000}"/>
    <cellStyle name="Normal 3 17 2" xfId="28739" xr:uid="{00000000-0005-0000-0000-00003E700000}"/>
    <cellStyle name="Normal 3 18" xfId="28740" xr:uid="{00000000-0005-0000-0000-00003F700000}"/>
    <cellStyle name="Normal 3 18 2" xfId="28741" xr:uid="{00000000-0005-0000-0000-000040700000}"/>
    <cellStyle name="Normal 3 19" xfId="28742" xr:uid="{00000000-0005-0000-0000-000041700000}"/>
    <cellStyle name="Normal 3 19 2" xfId="28743" xr:uid="{00000000-0005-0000-0000-000042700000}"/>
    <cellStyle name="Normal 3 2" xfId="30" xr:uid="{00000000-0005-0000-0000-000043700000}"/>
    <cellStyle name="Normal 3 2 10" xfId="28744" xr:uid="{00000000-0005-0000-0000-000044700000}"/>
    <cellStyle name="Normal 3 2 11" xfId="28745" xr:uid="{00000000-0005-0000-0000-000045700000}"/>
    <cellStyle name="Normal 3 2 12" xfId="28746" xr:uid="{00000000-0005-0000-0000-000046700000}"/>
    <cellStyle name="Normal 3 2 2" xfId="31" xr:uid="{00000000-0005-0000-0000-000047700000}"/>
    <cellStyle name="Normal 3 2 2 2" xfId="28747" xr:uid="{00000000-0005-0000-0000-000048700000}"/>
    <cellStyle name="Normal 3 2 3" xfId="32" xr:uid="{00000000-0005-0000-0000-000049700000}"/>
    <cellStyle name="Normal 3 2 4" xfId="28748" xr:uid="{00000000-0005-0000-0000-00004A700000}"/>
    <cellStyle name="Normal 3 2 5" xfId="28749" xr:uid="{00000000-0005-0000-0000-00004B700000}"/>
    <cellStyle name="Normal 3 2 6" xfId="28750" xr:uid="{00000000-0005-0000-0000-00004C700000}"/>
    <cellStyle name="Normal 3 2 7" xfId="28751" xr:uid="{00000000-0005-0000-0000-00004D700000}"/>
    <cellStyle name="Normal 3 2 7 10" xfId="28752" xr:uid="{00000000-0005-0000-0000-00004E700000}"/>
    <cellStyle name="Normal 3 2 7 11" xfId="28753" xr:uid="{00000000-0005-0000-0000-00004F700000}"/>
    <cellStyle name="Normal 3 2 7 2" xfId="28754" xr:uid="{00000000-0005-0000-0000-000050700000}"/>
    <cellStyle name="Normal 3 2 7 2 2" xfId="28755" xr:uid="{00000000-0005-0000-0000-000051700000}"/>
    <cellStyle name="Normal 3 2 7 2 2 2" xfId="28756" xr:uid="{00000000-0005-0000-0000-000052700000}"/>
    <cellStyle name="Normal 3 2 7 2 2 3" xfId="28757" xr:uid="{00000000-0005-0000-0000-000053700000}"/>
    <cellStyle name="Normal 3 2 7 2 2 4" xfId="28758" xr:uid="{00000000-0005-0000-0000-000054700000}"/>
    <cellStyle name="Normal 3 2 7 2 2 5" xfId="28759" xr:uid="{00000000-0005-0000-0000-000055700000}"/>
    <cellStyle name="Normal 3 2 7 2 2 6" xfId="28760" xr:uid="{00000000-0005-0000-0000-000056700000}"/>
    <cellStyle name="Normal 3 2 7 2 3" xfId="28761" xr:uid="{00000000-0005-0000-0000-000057700000}"/>
    <cellStyle name="Normal 3 2 7 2 3 2" xfId="28762" xr:uid="{00000000-0005-0000-0000-000058700000}"/>
    <cellStyle name="Normal 3 2 7 2 3 3" xfId="28763" xr:uid="{00000000-0005-0000-0000-000059700000}"/>
    <cellStyle name="Normal 3 2 7 2 3 4" xfId="28764" xr:uid="{00000000-0005-0000-0000-00005A700000}"/>
    <cellStyle name="Normal 3 2 7 2 3 5" xfId="28765" xr:uid="{00000000-0005-0000-0000-00005B700000}"/>
    <cellStyle name="Normal 3 2 7 2 3 6" xfId="28766" xr:uid="{00000000-0005-0000-0000-00005C700000}"/>
    <cellStyle name="Normal 3 2 7 2 4" xfId="28767" xr:uid="{00000000-0005-0000-0000-00005D700000}"/>
    <cellStyle name="Normal 3 2 7 2 5" xfId="28768" xr:uid="{00000000-0005-0000-0000-00005E700000}"/>
    <cellStyle name="Normal 3 2 7 2 6" xfId="28769" xr:uid="{00000000-0005-0000-0000-00005F700000}"/>
    <cellStyle name="Normal 3 2 7 2 7" xfId="28770" xr:uid="{00000000-0005-0000-0000-000060700000}"/>
    <cellStyle name="Normal 3 2 7 2 8" xfId="28771" xr:uid="{00000000-0005-0000-0000-000061700000}"/>
    <cellStyle name="Normal 3 2 7 3" xfId="28772" xr:uid="{00000000-0005-0000-0000-000062700000}"/>
    <cellStyle name="Normal 3 2 7 3 2" xfId="28773" xr:uid="{00000000-0005-0000-0000-000063700000}"/>
    <cellStyle name="Normal 3 2 7 3 2 2" xfId="28774" xr:uid="{00000000-0005-0000-0000-000064700000}"/>
    <cellStyle name="Normal 3 2 7 3 2 3" xfId="28775" xr:uid="{00000000-0005-0000-0000-000065700000}"/>
    <cellStyle name="Normal 3 2 7 3 2 4" xfId="28776" xr:uid="{00000000-0005-0000-0000-000066700000}"/>
    <cellStyle name="Normal 3 2 7 3 2 5" xfId="28777" xr:uid="{00000000-0005-0000-0000-000067700000}"/>
    <cellStyle name="Normal 3 2 7 3 2 6" xfId="28778" xr:uid="{00000000-0005-0000-0000-000068700000}"/>
    <cellStyle name="Normal 3 2 7 3 3" xfId="28779" xr:uid="{00000000-0005-0000-0000-000069700000}"/>
    <cellStyle name="Normal 3 2 7 3 3 2" xfId="28780" xr:uid="{00000000-0005-0000-0000-00006A700000}"/>
    <cellStyle name="Normal 3 2 7 3 3 3" xfId="28781" xr:uid="{00000000-0005-0000-0000-00006B700000}"/>
    <cellStyle name="Normal 3 2 7 3 3 4" xfId="28782" xr:uid="{00000000-0005-0000-0000-00006C700000}"/>
    <cellStyle name="Normal 3 2 7 3 3 5" xfId="28783" xr:uid="{00000000-0005-0000-0000-00006D700000}"/>
    <cellStyle name="Normal 3 2 7 3 3 6" xfId="28784" xr:uid="{00000000-0005-0000-0000-00006E700000}"/>
    <cellStyle name="Normal 3 2 7 3 4" xfId="28785" xr:uid="{00000000-0005-0000-0000-00006F700000}"/>
    <cellStyle name="Normal 3 2 7 3 5" xfId="28786" xr:uid="{00000000-0005-0000-0000-000070700000}"/>
    <cellStyle name="Normal 3 2 7 3 6" xfId="28787" xr:uid="{00000000-0005-0000-0000-000071700000}"/>
    <cellStyle name="Normal 3 2 7 3 7" xfId="28788" xr:uid="{00000000-0005-0000-0000-000072700000}"/>
    <cellStyle name="Normal 3 2 7 3 8" xfId="28789" xr:uid="{00000000-0005-0000-0000-000073700000}"/>
    <cellStyle name="Normal 3 2 7 4" xfId="28790" xr:uid="{00000000-0005-0000-0000-000074700000}"/>
    <cellStyle name="Normal 3 2 7 4 2" xfId="28791" xr:uid="{00000000-0005-0000-0000-000075700000}"/>
    <cellStyle name="Normal 3 2 7 4 2 2" xfId="28792" xr:uid="{00000000-0005-0000-0000-000076700000}"/>
    <cellStyle name="Normal 3 2 7 4 2 3" xfId="28793" xr:uid="{00000000-0005-0000-0000-000077700000}"/>
    <cellStyle name="Normal 3 2 7 4 2 4" xfId="28794" xr:uid="{00000000-0005-0000-0000-000078700000}"/>
    <cellStyle name="Normal 3 2 7 4 2 5" xfId="28795" xr:uid="{00000000-0005-0000-0000-000079700000}"/>
    <cellStyle name="Normal 3 2 7 4 2 6" xfId="28796" xr:uid="{00000000-0005-0000-0000-00007A700000}"/>
    <cellStyle name="Normal 3 2 7 4 3" xfId="28797" xr:uid="{00000000-0005-0000-0000-00007B700000}"/>
    <cellStyle name="Normal 3 2 7 4 3 2" xfId="28798" xr:uid="{00000000-0005-0000-0000-00007C700000}"/>
    <cellStyle name="Normal 3 2 7 4 3 3" xfId="28799" xr:uid="{00000000-0005-0000-0000-00007D700000}"/>
    <cellStyle name="Normal 3 2 7 4 3 4" xfId="28800" xr:uid="{00000000-0005-0000-0000-00007E700000}"/>
    <cellStyle name="Normal 3 2 7 4 3 5" xfId="28801" xr:uid="{00000000-0005-0000-0000-00007F700000}"/>
    <cellStyle name="Normal 3 2 7 4 3 6" xfId="28802" xr:uid="{00000000-0005-0000-0000-000080700000}"/>
    <cellStyle name="Normal 3 2 7 4 4" xfId="28803" xr:uid="{00000000-0005-0000-0000-000081700000}"/>
    <cellStyle name="Normal 3 2 7 4 5" xfId="28804" xr:uid="{00000000-0005-0000-0000-000082700000}"/>
    <cellStyle name="Normal 3 2 7 4 6" xfId="28805" xr:uid="{00000000-0005-0000-0000-000083700000}"/>
    <cellStyle name="Normal 3 2 7 4 7" xfId="28806" xr:uid="{00000000-0005-0000-0000-000084700000}"/>
    <cellStyle name="Normal 3 2 7 4 8" xfId="28807" xr:uid="{00000000-0005-0000-0000-000085700000}"/>
    <cellStyle name="Normal 3 2 7 5" xfId="28808" xr:uid="{00000000-0005-0000-0000-000086700000}"/>
    <cellStyle name="Normal 3 2 7 5 2" xfId="28809" xr:uid="{00000000-0005-0000-0000-000087700000}"/>
    <cellStyle name="Normal 3 2 7 5 3" xfId="28810" xr:uid="{00000000-0005-0000-0000-000088700000}"/>
    <cellStyle name="Normal 3 2 7 5 4" xfId="28811" xr:uid="{00000000-0005-0000-0000-000089700000}"/>
    <cellStyle name="Normal 3 2 7 5 5" xfId="28812" xr:uid="{00000000-0005-0000-0000-00008A700000}"/>
    <cellStyle name="Normal 3 2 7 5 6" xfId="28813" xr:uid="{00000000-0005-0000-0000-00008B700000}"/>
    <cellStyle name="Normal 3 2 7 6" xfId="28814" xr:uid="{00000000-0005-0000-0000-00008C700000}"/>
    <cellStyle name="Normal 3 2 7 6 2" xfId="28815" xr:uid="{00000000-0005-0000-0000-00008D700000}"/>
    <cellStyle name="Normal 3 2 7 6 3" xfId="28816" xr:uid="{00000000-0005-0000-0000-00008E700000}"/>
    <cellStyle name="Normal 3 2 7 6 4" xfId="28817" xr:uid="{00000000-0005-0000-0000-00008F700000}"/>
    <cellStyle name="Normal 3 2 7 6 5" xfId="28818" xr:uid="{00000000-0005-0000-0000-000090700000}"/>
    <cellStyle name="Normal 3 2 7 6 6" xfId="28819" xr:uid="{00000000-0005-0000-0000-000091700000}"/>
    <cellStyle name="Normal 3 2 7 7" xfId="28820" xr:uid="{00000000-0005-0000-0000-000092700000}"/>
    <cellStyle name="Normal 3 2 7 8" xfId="28821" xr:uid="{00000000-0005-0000-0000-000093700000}"/>
    <cellStyle name="Normal 3 2 7 9" xfId="28822" xr:uid="{00000000-0005-0000-0000-000094700000}"/>
    <cellStyle name="Normal 3 2 8" xfId="28823" xr:uid="{00000000-0005-0000-0000-000095700000}"/>
    <cellStyle name="Normal 3 2 9" xfId="28824" xr:uid="{00000000-0005-0000-0000-000096700000}"/>
    <cellStyle name="Normal 3 20" xfId="28825" xr:uid="{00000000-0005-0000-0000-000097700000}"/>
    <cellStyle name="Normal 3 20 2" xfId="28826" xr:uid="{00000000-0005-0000-0000-000098700000}"/>
    <cellStyle name="Normal 3 21" xfId="28827" xr:uid="{00000000-0005-0000-0000-000099700000}"/>
    <cellStyle name="Normal 3 21 2" xfId="28828" xr:uid="{00000000-0005-0000-0000-00009A700000}"/>
    <cellStyle name="Normal 3 22" xfId="28829" xr:uid="{00000000-0005-0000-0000-00009B700000}"/>
    <cellStyle name="Normal 3 22 2" xfId="28830" xr:uid="{00000000-0005-0000-0000-00009C700000}"/>
    <cellStyle name="Normal 3 23" xfId="28831" xr:uid="{00000000-0005-0000-0000-00009D700000}"/>
    <cellStyle name="Normal 3 23 10" xfId="28832" xr:uid="{00000000-0005-0000-0000-00009E700000}"/>
    <cellStyle name="Normal 3 23 10 2" xfId="28833" xr:uid="{00000000-0005-0000-0000-00009F700000}"/>
    <cellStyle name="Normal 3 23 10 3" xfId="28834" xr:uid="{00000000-0005-0000-0000-0000A0700000}"/>
    <cellStyle name="Normal 3 23 10 4" xfId="28835" xr:uid="{00000000-0005-0000-0000-0000A1700000}"/>
    <cellStyle name="Normal 3 23 10 5" xfId="28836" xr:uid="{00000000-0005-0000-0000-0000A2700000}"/>
    <cellStyle name="Normal 3 23 10 6" xfId="28837" xr:uid="{00000000-0005-0000-0000-0000A3700000}"/>
    <cellStyle name="Normal 3 23 11" xfId="28838" xr:uid="{00000000-0005-0000-0000-0000A4700000}"/>
    <cellStyle name="Normal 3 23 12" xfId="28839" xr:uid="{00000000-0005-0000-0000-0000A5700000}"/>
    <cellStyle name="Normal 3 23 13" xfId="28840" xr:uid="{00000000-0005-0000-0000-0000A6700000}"/>
    <cellStyle name="Normal 3 23 14" xfId="28841" xr:uid="{00000000-0005-0000-0000-0000A7700000}"/>
    <cellStyle name="Normal 3 23 15" xfId="28842" xr:uid="{00000000-0005-0000-0000-0000A8700000}"/>
    <cellStyle name="Normal 3 23 2" xfId="28843" xr:uid="{00000000-0005-0000-0000-0000A9700000}"/>
    <cellStyle name="Normal 3 23 2 10" xfId="28844" xr:uid="{00000000-0005-0000-0000-0000AA700000}"/>
    <cellStyle name="Normal 3 23 2 11" xfId="28845" xr:uid="{00000000-0005-0000-0000-0000AB700000}"/>
    <cellStyle name="Normal 3 23 2 12" xfId="28846" xr:uid="{00000000-0005-0000-0000-0000AC700000}"/>
    <cellStyle name="Normal 3 23 2 13" xfId="28847" xr:uid="{00000000-0005-0000-0000-0000AD700000}"/>
    <cellStyle name="Normal 3 23 2 14" xfId="28848" xr:uid="{00000000-0005-0000-0000-0000AE700000}"/>
    <cellStyle name="Normal 3 23 2 2" xfId="28849" xr:uid="{00000000-0005-0000-0000-0000AF700000}"/>
    <cellStyle name="Normal 3 23 2 2 10" xfId="28850" xr:uid="{00000000-0005-0000-0000-0000B0700000}"/>
    <cellStyle name="Normal 3 23 2 2 11" xfId="28851" xr:uid="{00000000-0005-0000-0000-0000B1700000}"/>
    <cellStyle name="Normal 3 23 2 2 12" xfId="28852" xr:uid="{00000000-0005-0000-0000-0000B2700000}"/>
    <cellStyle name="Normal 3 23 2 2 2" xfId="28853" xr:uid="{00000000-0005-0000-0000-0000B3700000}"/>
    <cellStyle name="Normal 3 23 2 2 2 10" xfId="28854" xr:uid="{00000000-0005-0000-0000-0000B4700000}"/>
    <cellStyle name="Normal 3 23 2 2 2 11" xfId="28855" xr:uid="{00000000-0005-0000-0000-0000B5700000}"/>
    <cellStyle name="Normal 3 23 2 2 2 2" xfId="28856" xr:uid="{00000000-0005-0000-0000-0000B6700000}"/>
    <cellStyle name="Normal 3 23 2 2 2 2 2" xfId="28857" xr:uid="{00000000-0005-0000-0000-0000B7700000}"/>
    <cellStyle name="Normal 3 23 2 2 2 2 2 2" xfId="28858" xr:uid="{00000000-0005-0000-0000-0000B8700000}"/>
    <cellStyle name="Normal 3 23 2 2 2 2 2 3" xfId="28859" xr:uid="{00000000-0005-0000-0000-0000B9700000}"/>
    <cellStyle name="Normal 3 23 2 2 2 2 2 4" xfId="28860" xr:uid="{00000000-0005-0000-0000-0000BA700000}"/>
    <cellStyle name="Normal 3 23 2 2 2 2 2 5" xfId="28861" xr:uid="{00000000-0005-0000-0000-0000BB700000}"/>
    <cellStyle name="Normal 3 23 2 2 2 2 2 6" xfId="28862" xr:uid="{00000000-0005-0000-0000-0000BC700000}"/>
    <cellStyle name="Normal 3 23 2 2 2 2 3" xfId="28863" xr:uid="{00000000-0005-0000-0000-0000BD700000}"/>
    <cellStyle name="Normal 3 23 2 2 2 2 3 2" xfId="28864" xr:uid="{00000000-0005-0000-0000-0000BE700000}"/>
    <cellStyle name="Normal 3 23 2 2 2 2 3 3" xfId="28865" xr:uid="{00000000-0005-0000-0000-0000BF700000}"/>
    <cellStyle name="Normal 3 23 2 2 2 2 3 4" xfId="28866" xr:uid="{00000000-0005-0000-0000-0000C0700000}"/>
    <cellStyle name="Normal 3 23 2 2 2 2 3 5" xfId="28867" xr:uid="{00000000-0005-0000-0000-0000C1700000}"/>
    <cellStyle name="Normal 3 23 2 2 2 2 3 6" xfId="28868" xr:uid="{00000000-0005-0000-0000-0000C2700000}"/>
    <cellStyle name="Normal 3 23 2 2 2 2 4" xfId="28869" xr:uid="{00000000-0005-0000-0000-0000C3700000}"/>
    <cellStyle name="Normal 3 23 2 2 2 2 5" xfId="28870" xr:uid="{00000000-0005-0000-0000-0000C4700000}"/>
    <cellStyle name="Normal 3 23 2 2 2 2 6" xfId="28871" xr:uid="{00000000-0005-0000-0000-0000C5700000}"/>
    <cellStyle name="Normal 3 23 2 2 2 2 7" xfId="28872" xr:uid="{00000000-0005-0000-0000-0000C6700000}"/>
    <cellStyle name="Normal 3 23 2 2 2 2 8" xfId="28873" xr:uid="{00000000-0005-0000-0000-0000C7700000}"/>
    <cellStyle name="Normal 3 23 2 2 2 3" xfId="28874" xr:uid="{00000000-0005-0000-0000-0000C8700000}"/>
    <cellStyle name="Normal 3 23 2 2 2 3 2" xfId="28875" xr:uid="{00000000-0005-0000-0000-0000C9700000}"/>
    <cellStyle name="Normal 3 23 2 2 2 3 2 2" xfId="28876" xr:uid="{00000000-0005-0000-0000-0000CA700000}"/>
    <cellStyle name="Normal 3 23 2 2 2 3 2 3" xfId="28877" xr:uid="{00000000-0005-0000-0000-0000CB700000}"/>
    <cellStyle name="Normal 3 23 2 2 2 3 2 4" xfId="28878" xr:uid="{00000000-0005-0000-0000-0000CC700000}"/>
    <cellStyle name="Normal 3 23 2 2 2 3 2 5" xfId="28879" xr:uid="{00000000-0005-0000-0000-0000CD700000}"/>
    <cellStyle name="Normal 3 23 2 2 2 3 2 6" xfId="28880" xr:uid="{00000000-0005-0000-0000-0000CE700000}"/>
    <cellStyle name="Normal 3 23 2 2 2 3 3" xfId="28881" xr:uid="{00000000-0005-0000-0000-0000CF700000}"/>
    <cellStyle name="Normal 3 23 2 2 2 3 3 2" xfId="28882" xr:uid="{00000000-0005-0000-0000-0000D0700000}"/>
    <cellStyle name="Normal 3 23 2 2 2 3 3 3" xfId="28883" xr:uid="{00000000-0005-0000-0000-0000D1700000}"/>
    <cellStyle name="Normal 3 23 2 2 2 3 3 4" xfId="28884" xr:uid="{00000000-0005-0000-0000-0000D2700000}"/>
    <cellStyle name="Normal 3 23 2 2 2 3 3 5" xfId="28885" xr:uid="{00000000-0005-0000-0000-0000D3700000}"/>
    <cellStyle name="Normal 3 23 2 2 2 3 3 6" xfId="28886" xr:uid="{00000000-0005-0000-0000-0000D4700000}"/>
    <cellStyle name="Normal 3 23 2 2 2 3 4" xfId="28887" xr:uid="{00000000-0005-0000-0000-0000D5700000}"/>
    <cellStyle name="Normal 3 23 2 2 2 3 5" xfId="28888" xr:uid="{00000000-0005-0000-0000-0000D6700000}"/>
    <cellStyle name="Normal 3 23 2 2 2 3 6" xfId="28889" xr:uid="{00000000-0005-0000-0000-0000D7700000}"/>
    <cellStyle name="Normal 3 23 2 2 2 3 7" xfId="28890" xr:uid="{00000000-0005-0000-0000-0000D8700000}"/>
    <cellStyle name="Normal 3 23 2 2 2 3 8" xfId="28891" xr:uid="{00000000-0005-0000-0000-0000D9700000}"/>
    <cellStyle name="Normal 3 23 2 2 2 4" xfId="28892" xr:uid="{00000000-0005-0000-0000-0000DA700000}"/>
    <cellStyle name="Normal 3 23 2 2 2 4 2" xfId="28893" xr:uid="{00000000-0005-0000-0000-0000DB700000}"/>
    <cellStyle name="Normal 3 23 2 2 2 4 2 2" xfId="28894" xr:uid="{00000000-0005-0000-0000-0000DC700000}"/>
    <cellStyle name="Normal 3 23 2 2 2 4 2 3" xfId="28895" xr:uid="{00000000-0005-0000-0000-0000DD700000}"/>
    <cellStyle name="Normal 3 23 2 2 2 4 2 4" xfId="28896" xr:uid="{00000000-0005-0000-0000-0000DE700000}"/>
    <cellStyle name="Normal 3 23 2 2 2 4 2 5" xfId="28897" xr:uid="{00000000-0005-0000-0000-0000DF700000}"/>
    <cellStyle name="Normal 3 23 2 2 2 4 2 6" xfId="28898" xr:uid="{00000000-0005-0000-0000-0000E0700000}"/>
    <cellStyle name="Normal 3 23 2 2 2 4 3" xfId="28899" xr:uid="{00000000-0005-0000-0000-0000E1700000}"/>
    <cellStyle name="Normal 3 23 2 2 2 4 3 2" xfId="28900" xr:uid="{00000000-0005-0000-0000-0000E2700000}"/>
    <cellStyle name="Normal 3 23 2 2 2 4 3 3" xfId="28901" xr:uid="{00000000-0005-0000-0000-0000E3700000}"/>
    <cellStyle name="Normal 3 23 2 2 2 4 3 4" xfId="28902" xr:uid="{00000000-0005-0000-0000-0000E4700000}"/>
    <cellStyle name="Normal 3 23 2 2 2 4 3 5" xfId="28903" xr:uid="{00000000-0005-0000-0000-0000E5700000}"/>
    <cellStyle name="Normal 3 23 2 2 2 4 3 6" xfId="28904" xr:uid="{00000000-0005-0000-0000-0000E6700000}"/>
    <cellStyle name="Normal 3 23 2 2 2 4 4" xfId="28905" xr:uid="{00000000-0005-0000-0000-0000E7700000}"/>
    <cellStyle name="Normal 3 23 2 2 2 4 5" xfId="28906" xr:uid="{00000000-0005-0000-0000-0000E8700000}"/>
    <cellStyle name="Normal 3 23 2 2 2 4 6" xfId="28907" xr:uid="{00000000-0005-0000-0000-0000E9700000}"/>
    <cellStyle name="Normal 3 23 2 2 2 4 7" xfId="28908" xr:uid="{00000000-0005-0000-0000-0000EA700000}"/>
    <cellStyle name="Normal 3 23 2 2 2 4 8" xfId="28909" xr:uid="{00000000-0005-0000-0000-0000EB700000}"/>
    <cellStyle name="Normal 3 23 2 2 2 5" xfId="28910" xr:uid="{00000000-0005-0000-0000-0000EC700000}"/>
    <cellStyle name="Normal 3 23 2 2 2 5 2" xfId="28911" xr:uid="{00000000-0005-0000-0000-0000ED700000}"/>
    <cellStyle name="Normal 3 23 2 2 2 5 3" xfId="28912" xr:uid="{00000000-0005-0000-0000-0000EE700000}"/>
    <cellStyle name="Normal 3 23 2 2 2 5 4" xfId="28913" xr:uid="{00000000-0005-0000-0000-0000EF700000}"/>
    <cellStyle name="Normal 3 23 2 2 2 5 5" xfId="28914" xr:uid="{00000000-0005-0000-0000-0000F0700000}"/>
    <cellStyle name="Normal 3 23 2 2 2 5 6" xfId="28915" xr:uid="{00000000-0005-0000-0000-0000F1700000}"/>
    <cellStyle name="Normal 3 23 2 2 2 6" xfId="28916" xr:uid="{00000000-0005-0000-0000-0000F2700000}"/>
    <cellStyle name="Normal 3 23 2 2 2 6 2" xfId="28917" xr:uid="{00000000-0005-0000-0000-0000F3700000}"/>
    <cellStyle name="Normal 3 23 2 2 2 6 3" xfId="28918" xr:uid="{00000000-0005-0000-0000-0000F4700000}"/>
    <cellStyle name="Normal 3 23 2 2 2 6 4" xfId="28919" xr:uid="{00000000-0005-0000-0000-0000F5700000}"/>
    <cellStyle name="Normal 3 23 2 2 2 6 5" xfId="28920" xr:uid="{00000000-0005-0000-0000-0000F6700000}"/>
    <cellStyle name="Normal 3 23 2 2 2 6 6" xfId="28921" xr:uid="{00000000-0005-0000-0000-0000F7700000}"/>
    <cellStyle name="Normal 3 23 2 2 2 7" xfId="28922" xr:uid="{00000000-0005-0000-0000-0000F8700000}"/>
    <cellStyle name="Normal 3 23 2 2 2 8" xfId="28923" xr:uid="{00000000-0005-0000-0000-0000F9700000}"/>
    <cellStyle name="Normal 3 23 2 2 2 9" xfId="28924" xr:uid="{00000000-0005-0000-0000-0000FA700000}"/>
    <cellStyle name="Normal 3 23 2 2 3" xfId="28925" xr:uid="{00000000-0005-0000-0000-0000FB700000}"/>
    <cellStyle name="Normal 3 23 2 2 3 2" xfId="28926" xr:uid="{00000000-0005-0000-0000-0000FC700000}"/>
    <cellStyle name="Normal 3 23 2 2 3 2 2" xfId="28927" xr:uid="{00000000-0005-0000-0000-0000FD700000}"/>
    <cellStyle name="Normal 3 23 2 2 3 2 3" xfId="28928" xr:uid="{00000000-0005-0000-0000-0000FE700000}"/>
    <cellStyle name="Normal 3 23 2 2 3 2 4" xfId="28929" xr:uid="{00000000-0005-0000-0000-0000FF700000}"/>
    <cellStyle name="Normal 3 23 2 2 3 2 5" xfId="28930" xr:uid="{00000000-0005-0000-0000-000000710000}"/>
    <cellStyle name="Normal 3 23 2 2 3 2 6" xfId="28931" xr:uid="{00000000-0005-0000-0000-000001710000}"/>
    <cellStyle name="Normal 3 23 2 2 3 3" xfId="28932" xr:uid="{00000000-0005-0000-0000-000002710000}"/>
    <cellStyle name="Normal 3 23 2 2 3 3 2" xfId="28933" xr:uid="{00000000-0005-0000-0000-000003710000}"/>
    <cellStyle name="Normal 3 23 2 2 3 3 3" xfId="28934" xr:uid="{00000000-0005-0000-0000-000004710000}"/>
    <cellStyle name="Normal 3 23 2 2 3 3 4" xfId="28935" xr:uid="{00000000-0005-0000-0000-000005710000}"/>
    <cellStyle name="Normal 3 23 2 2 3 3 5" xfId="28936" xr:uid="{00000000-0005-0000-0000-000006710000}"/>
    <cellStyle name="Normal 3 23 2 2 3 3 6" xfId="28937" xr:uid="{00000000-0005-0000-0000-000007710000}"/>
    <cellStyle name="Normal 3 23 2 2 3 4" xfId="28938" xr:uid="{00000000-0005-0000-0000-000008710000}"/>
    <cellStyle name="Normal 3 23 2 2 3 5" xfId="28939" xr:uid="{00000000-0005-0000-0000-000009710000}"/>
    <cellStyle name="Normal 3 23 2 2 3 6" xfId="28940" xr:uid="{00000000-0005-0000-0000-00000A710000}"/>
    <cellStyle name="Normal 3 23 2 2 3 7" xfId="28941" xr:uid="{00000000-0005-0000-0000-00000B710000}"/>
    <cellStyle name="Normal 3 23 2 2 3 8" xfId="28942" xr:uid="{00000000-0005-0000-0000-00000C710000}"/>
    <cellStyle name="Normal 3 23 2 2 4" xfId="28943" xr:uid="{00000000-0005-0000-0000-00000D710000}"/>
    <cellStyle name="Normal 3 23 2 2 4 2" xfId="28944" xr:uid="{00000000-0005-0000-0000-00000E710000}"/>
    <cellStyle name="Normal 3 23 2 2 4 2 2" xfId="28945" xr:uid="{00000000-0005-0000-0000-00000F710000}"/>
    <cellStyle name="Normal 3 23 2 2 4 2 3" xfId="28946" xr:uid="{00000000-0005-0000-0000-000010710000}"/>
    <cellStyle name="Normal 3 23 2 2 4 2 4" xfId="28947" xr:uid="{00000000-0005-0000-0000-000011710000}"/>
    <cellStyle name="Normal 3 23 2 2 4 2 5" xfId="28948" xr:uid="{00000000-0005-0000-0000-000012710000}"/>
    <cellStyle name="Normal 3 23 2 2 4 2 6" xfId="28949" xr:uid="{00000000-0005-0000-0000-000013710000}"/>
    <cellStyle name="Normal 3 23 2 2 4 3" xfId="28950" xr:uid="{00000000-0005-0000-0000-000014710000}"/>
    <cellStyle name="Normal 3 23 2 2 4 3 2" xfId="28951" xr:uid="{00000000-0005-0000-0000-000015710000}"/>
    <cellStyle name="Normal 3 23 2 2 4 3 3" xfId="28952" xr:uid="{00000000-0005-0000-0000-000016710000}"/>
    <cellStyle name="Normal 3 23 2 2 4 3 4" xfId="28953" xr:uid="{00000000-0005-0000-0000-000017710000}"/>
    <cellStyle name="Normal 3 23 2 2 4 3 5" xfId="28954" xr:uid="{00000000-0005-0000-0000-000018710000}"/>
    <cellStyle name="Normal 3 23 2 2 4 3 6" xfId="28955" xr:uid="{00000000-0005-0000-0000-000019710000}"/>
    <cellStyle name="Normal 3 23 2 2 4 4" xfId="28956" xr:uid="{00000000-0005-0000-0000-00001A710000}"/>
    <cellStyle name="Normal 3 23 2 2 4 5" xfId="28957" xr:uid="{00000000-0005-0000-0000-00001B710000}"/>
    <cellStyle name="Normal 3 23 2 2 4 6" xfId="28958" xr:uid="{00000000-0005-0000-0000-00001C710000}"/>
    <cellStyle name="Normal 3 23 2 2 4 7" xfId="28959" xr:uid="{00000000-0005-0000-0000-00001D710000}"/>
    <cellStyle name="Normal 3 23 2 2 4 8" xfId="28960" xr:uid="{00000000-0005-0000-0000-00001E710000}"/>
    <cellStyle name="Normal 3 23 2 2 5" xfId="28961" xr:uid="{00000000-0005-0000-0000-00001F710000}"/>
    <cellStyle name="Normal 3 23 2 2 5 2" xfId="28962" xr:uid="{00000000-0005-0000-0000-000020710000}"/>
    <cellStyle name="Normal 3 23 2 2 5 2 2" xfId="28963" xr:uid="{00000000-0005-0000-0000-000021710000}"/>
    <cellStyle name="Normal 3 23 2 2 5 2 3" xfId="28964" xr:uid="{00000000-0005-0000-0000-000022710000}"/>
    <cellStyle name="Normal 3 23 2 2 5 2 4" xfId="28965" xr:uid="{00000000-0005-0000-0000-000023710000}"/>
    <cellStyle name="Normal 3 23 2 2 5 2 5" xfId="28966" xr:uid="{00000000-0005-0000-0000-000024710000}"/>
    <cellStyle name="Normal 3 23 2 2 5 2 6" xfId="28967" xr:uid="{00000000-0005-0000-0000-000025710000}"/>
    <cellStyle name="Normal 3 23 2 2 5 3" xfId="28968" xr:uid="{00000000-0005-0000-0000-000026710000}"/>
    <cellStyle name="Normal 3 23 2 2 5 3 2" xfId="28969" xr:uid="{00000000-0005-0000-0000-000027710000}"/>
    <cellStyle name="Normal 3 23 2 2 5 3 3" xfId="28970" xr:uid="{00000000-0005-0000-0000-000028710000}"/>
    <cellStyle name="Normal 3 23 2 2 5 3 4" xfId="28971" xr:uid="{00000000-0005-0000-0000-000029710000}"/>
    <cellStyle name="Normal 3 23 2 2 5 3 5" xfId="28972" xr:uid="{00000000-0005-0000-0000-00002A710000}"/>
    <cellStyle name="Normal 3 23 2 2 5 3 6" xfId="28973" xr:uid="{00000000-0005-0000-0000-00002B710000}"/>
    <cellStyle name="Normal 3 23 2 2 5 4" xfId="28974" xr:uid="{00000000-0005-0000-0000-00002C710000}"/>
    <cellStyle name="Normal 3 23 2 2 5 5" xfId="28975" xr:uid="{00000000-0005-0000-0000-00002D710000}"/>
    <cellStyle name="Normal 3 23 2 2 5 6" xfId="28976" xr:uid="{00000000-0005-0000-0000-00002E710000}"/>
    <cellStyle name="Normal 3 23 2 2 5 7" xfId="28977" xr:uid="{00000000-0005-0000-0000-00002F710000}"/>
    <cellStyle name="Normal 3 23 2 2 5 8" xfId="28978" xr:uid="{00000000-0005-0000-0000-000030710000}"/>
    <cellStyle name="Normal 3 23 2 2 6" xfId="28979" xr:uid="{00000000-0005-0000-0000-000031710000}"/>
    <cellStyle name="Normal 3 23 2 2 6 2" xfId="28980" xr:uid="{00000000-0005-0000-0000-000032710000}"/>
    <cellStyle name="Normal 3 23 2 2 6 3" xfId="28981" xr:uid="{00000000-0005-0000-0000-000033710000}"/>
    <cellStyle name="Normal 3 23 2 2 6 4" xfId="28982" xr:uid="{00000000-0005-0000-0000-000034710000}"/>
    <cellStyle name="Normal 3 23 2 2 6 5" xfId="28983" xr:uid="{00000000-0005-0000-0000-000035710000}"/>
    <cellStyle name="Normal 3 23 2 2 6 6" xfId="28984" xr:uid="{00000000-0005-0000-0000-000036710000}"/>
    <cellStyle name="Normal 3 23 2 2 7" xfId="28985" xr:uid="{00000000-0005-0000-0000-000037710000}"/>
    <cellStyle name="Normal 3 23 2 2 7 2" xfId="28986" xr:uid="{00000000-0005-0000-0000-000038710000}"/>
    <cellStyle name="Normal 3 23 2 2 7 3" xfId="28987" xr:uid="{00000000-0005-0000-0000-000039710000}"/>
    <cellStyle name="Normal 3 23 2 2 7 4" xfId="28988" xr:uid="{00000000-0005-0000-0000-00003A710000}"/>
    <cellStyle name="Normal 3 23 2 2 7 5" xfId="28989" xr:uid="{00000000-0005-0000-0000-00003B710000}"/>
    <cellStyle name="Normal 3 23 2 2 7 6" xfId="28990" xr:uid="{00000000-0005-0000-0000-00003C710000}"/>
    <cellStyle name="Normal 3 23 2 2 8" xfId="28991" xr:uid="{00000000-0005-0000-0000-00003D710000}"/>
    <cellStyle name="Normal 3 23 2 2 9" xfId="28992" xr:uid="{00000000-0005-0000-0000-00003E710000}"/>
    <cellStyle name="Normal 3 23 2 3" xfId="28993" xr:uid="{00000000-0005-0000-0000-00003F710000}"/>
    <cellStyle name="Normal 3 23 2 3 10" xfId="28994" xr:uid="{00000000-0005-0000-0000-000040710000}"/>
    <cellStyle name="Normal 3 23 2 3 11" xfId="28995" xr:uid="{00000000-0005-0000-0000-000041710000}"/>
    <cellStyle name="Normal 3 23 2 3 12" xfId="28996" xr:uid="{00000000-0005-0000-0000-000042710000}"/>
    <cellStyle name="Normal 3 23 2 3 2" xfId="28997" xr:uid="{00000000-0005-0000-0000-000043710000}"/>
    <cellStyle name="Normal 3 23 2 3 2 10" xfId="28998" xr:uid="{00000000-0005-0000-0000-000044710000}"/>
    <cellStyle name="Normal 3 23 2 3 2 11" xfId="28999" xr:uid="{00000000-0005-0000-0000-000045710000}"/>
    <cellStyle name="Normal 3 23 2 3 2 2" xfId="29000" xr:uid="{00000000-0005-0000-0000-000046710000}"/>
    <cellStyle name="Normal 3 23 2 3 2 2 2" xfId="29001" xr:uid="{00000000-0005-0000-0000-000047710000}"/>
    <cellStyle name="Normal 3 23 2 3 2 2 2 2" xfId="29002" xr:uid="{00000000-0005-0000-0000-000048710000}"/>
    <cellStyle name="Normal 3 23 2 3 2 2 2 3" xfId="29003" xr:uid="{00000000-0005-0000-0000-000049710000}"/>
    <cellStyle name="Normal 3 23 2 3 2 2 2 4" xfId="29004" xr:uid="{00000000-0005-0000-0000-00004A710000}"/>
    <cellStyle name="Normal 3 23 2 3 2 2 2 5" xfId="29005" xr:uid="{00000000-0005-0000-0000-00004B710000}"/>
    <cellStyle name="Normal 3 23 2 3 2 2 2 6" xfId="29006" xr:uid="{00000000-0005-0000-0000-00004C710000}"/>
    <cellStyle name="Normal 3 23 2 3 2 2 3" xfId="29007" xr:uid="{00000000-0005-0000-0000-00004D710000}"/>
    <cellStyle name="Normal 3 23 2 3 2 2 3 2" xfId="29008" xr:uid="{00000000-0005-0000-0000-00004E710000}"/>
    <cellStyle name="Normal 3 23 2 3 2 2 3 3" xfId="29009" xr:uid="{00000000-0005-0000-0000-00004F710000}"/>
    <cellStyle name="Normal 3 23 2 3 2 2 3 4" xfId="29010" xr:uid="{00000000-0005-0000-0000-000050710000}"/>
    <cellStyle name="Normal 3 23 2 3 2 2 3 5" xfId="29011" xr:uid="{00000000-0005-0000-0000-000051710000}"/>
    <cellStyle name="Normal 3 23 2 3 2 2 3 6" xfId="29012" xr:uid="{00000000-0005-0000-0000-000052710000}"/>
    <cellStyle name="Normal 3 23 2 3 2 2 4" xfId="29013" xr:uid="{00000000-0005-0000-0000-000053710000}"/>
    <cellStyle name="Normal 3 23 2 3 2 2 5" xfId="29014" xr:uid="{00000000-0005-0000-0000-000054710000}"/>
    <cellStyle name="Normal 3 23 2 3 2 2 6" xfId="29015" xr:uid="{00000000-0005-0000-0000-000055710000}"/>
    <cellStyle name="Normal 3 23 2 3 2 2 7" xfId="29016" xr:uid="{00000000-0005-0000-0000-000056710000}"/>
    <cellStyle name="Normal 3 23 2 3 2 2 8" xfId="29017" xr:uid="{00000000-0005-0000-0000-000057710000}"/>
    <cellStyle name="Normal 3 23 2 3 2 3" xfId="29018" xr:uid="{00000000-0005-0000-0000-000058710000}"/>
    <cellStyle name="Normal 3 23 2 3 2 3 2" xfId="29019" xr:uid="{00000000-0005-0000-0000-000059710000}"/>
    <cellStyle name="Normal 3 23 2 3 2 3 2 2" xfId="29020" xr:uid="{00000000-0005-0000-0000-00005A710000}"/>
    <cellStyle name="Normal 3 23 2 3 2 3 2 3" xfId="29021" xr:uid="{00000000-0005-0000-0000-00005B710000}"/>
    <cellStyle name="Normal 3 23 2 3 2 3 2 4" xfId="29022" xr:uid="{00000000-0005-0000-0000-00005C710000}"/>
    <cellStyle name="Normal 3 23 2 3 2 3 2 5" xfId="29023" xr:uid="{00000000-0005-0000-0000-00005D710000}"/>
    <cellStyle name="Normal 3 23 2 3 2 3 2 6" xfId="29024" xr:uid="{00000000-0005-0000-0000-00005E710000}"/>
    <cellStyle name="Normal 3 23 2 3 2 3 3" xfId="29025" xr:uid="{00000000-0005-0000-0000-00005F710000}"/>
    <cellStyle name="Normal 3 23 2 3 2 3 3 2" xfId="29026" xr:uid="{00000000-0005-0000-0000-000060710000}"/>
    <cellStyle name="Normal 3 23 2 3 2 3 3 3" xfId="29027" xr:uid="{00000000-0005-0000-0000-000061710000}"/>
    <cellStyle name="Normal 3 23 2 3 2 3 3 4" xfId="29028" xr:uid="{00000000-0005-0000-0000-000062710000}"/>
    <cellStyle name="Normal 3 23 2 3 2 3 3 5" xfId="29029" xr:uid="{00000000-0005-0000-0000-000063710000}"/>
    <cellStyle name="Normal 3 23 2 3 2 3 3 6" xfId="29030" xr:uid="{00000000-0005-0000-0000-000064710000}"/>
    <cellStyle name="Normal 3 23 2 3 2 3 4" xfId="29031" xr:uid="{00000000-0005-0000-0000-000065710000}"/>
    <cellStyle name="Normal 3 23 2 3 2 3 5" xfId="29032" xr:uid="{00000000-0005-0000-0000-000066710000}"/>
    <cellStyle name="Normal 3 23 2 3 2 3 6" xfId="29033" xr:uid="{00000000-0005-0000-0000-000067710000}"/>
    <cellStyle name="Normal 3 23 2 3 2 3 7" xfId="29034" xr:uid="{00000000-0005-0000-0000-000068710000}"/>
    <cellStyle name="Normal 3 23 2 3 2 3 8" xfId="29035" xr:uid="{00000000-0005-0000-0000-000069710000}"/>
    <cellStyle name="Normal 3 23 2 3 2 4" xfId="29036" xr:uid="{00000000-0005-0000-0000-00006A710000}"/>
    <cellStyle name="Normal 3 23 2 3 2 4 2" xfId="29037" xr:uid="{00000000-0005-0000-0000-00006B710000}"/>
    <cellStyle name="Normal 3 23 2 3 2 4 2 2" xfId="29038" xr:uid="{00000000-0005-0000-0000-00006C710000}"/>
    <cellStyle name="Normal 3 23 2 3 2 4 2 3" xfId="29039" xr:uid="{00000000-0005-0000-0000-00006D710000}"/>
    <cellStyle name="Normal 3 23 2 3 2 4 2 4" xfId="29040" xr:uid="{00000000-0005-0000-0000-00006E710000}"/>
    <cellStyle name="Normal 3 23 2 3 2 4 2 5" xfId="29041" xr:uid="{00000000-0005-0000-0000-00006F710000}"/>
    <cellStyle name="Normal 3 23 2 3 2 4 2 6" xfId="29042" xr:uid="{00000000-0005-0000-0000-000070710000}"/>
    <cellStyle name="Normal 3 23 2 3 2 4 3" xfId="29043" xr:uid="{00000000-0005-0000-0000-000071710000}"/>
    <cellStyle name="Normal 3 23 2 3 2 4 3 2" xfId="29044" xr:uid="{00000000-0005-0000-0000-000072710000}"/>
    <cellStyle name="Normal 3 23 2 3 2 4 3 3" xfId="29045" xr:uid="{00000000-0005-0000-0000-000073710000}"/>
    <cellStyle name="Normal 3 23 2 3 2 4 3 4" xfId="29046" xr:uid="{00000000-0005-0000-0000-000074710000}"/>
    <cellStyle name="Normal 3 23 2 3 2 4 3 5" xfId="29047" xr:uid="{00000000-0005-0000-0000-000075710000}"/>
    <cellStyle name="Normal 3 23 2 3 2 4 3 6" xfId="29048" xr:uid="{00000000-0005-0000-0000-000076710000}"/>
    <cellStyle name="Normal 3 23 2 3 2 4 4" xfId="29049" xr:uid="{00000000-0005-0000-0000-000077710000}"/>
    <cellStyle name="Normal 3 23 2 3 2 4 5" xfId="29050" xr:uid="{00000000-0005-0000-0000-000078710000}"/>
    <cellStyle name="Normal 3 23 2 3 2 4 6" xfId="29051" xr:uid="{00000000-0005-0000-0000-000079710000}"/>
    <cellStyle name="Normal 3 23 2 3 2 4 7" xfId="29052" xr:uid="{00000000-0005-0000-0000-00007A710000}"/>
    <cellStyle name="Normal 3 23 2 3 2 4 8" xfId="29053" xr:uid="{00000000-0005-0000-0000-00007B710000}"/>
    <cellStyle name="Normal 3 23 2 3 2 5" xfId="29054" xr:uid="{00000000-0005-0000-0000-00007C710000}"/>
    <cellStyle name="Normal 3 23 2 3 2 5 2" xfId="29055" xr:uid="{00000000-0005-0000-0000-00007D710000}"/>
    <cellStyle name="Normal 3 23 2 3 2 5 3" xfId="29056" xr:uid="{00000000-0005-0000-0000-00007E710000}"/>
    <cellStyle name="Normal 3 23 2 3 2 5 4" xfId="29057" xr:uid="{00000000-0005-0000-0000-00007F710000}"/>
    <cellStyle name="Normal 3 23 2 3 2 5 5" xfId="29058" xr:uid="{00000000-0005-0000-0000-000080710000}"/>
    <cellStyle name="Normal 3 23 2 3 2 5 6" xfId="29059" xr:uid="{00000000-0005-0000-0000-000081710000}"/>
    <cellStyle name="Normal 3 23 2 3 2 6" xfId="29060" xr:uid="{00000000-0005-0000-0000-000082710000}"/>
    <cellStyle name="Normal 3 23 2 3 2 6 2" xfId="29061" xr:uid="{00000000-0005-0000-0000-000083710000}"/>
    <cellStyle name="Normal 3 23 2 3 2 6 3" xfId="29062" xr:uid="{00000000-0005-0000-0000-000084710000}"/>
    <cellStyle name="Normal 3 23 2 3 2 6 4" xfId="29063" xr:uid="{00000000-0005-0000-0000-000085710000}"/>
    <cellStyle name="Normal 3 23 2 3 2 6 5" xfId="29064" xr:uid="{00000000-0005-0000-0000-000086710000}"/>
    <cellStyle name="Normal 3 23 2 3 2 6 6" xfId="29065" xr:uid="{00000000-0005-0000-0000-000087710000}"/>
    <cellStyle name="Normal 3 23 2 3 2 7" xfId="29066" xr:uid="{00000000-0005-0000-0000-000088710000}"/>
    <cellStyle name="Normal 3 23 2 3 2 8" xfId="29067" xr:uid="{00000000-0005-0000-0000-000089710000}"/>
    <cellStyle name="Normal 3 23 2 3 2 9" xfId="29068" xr:uid="{00000000-0005-0000-0000-00008A710000}"/>
    <cellStyle name="Normal 3 23 2 3 3" xfId="29069" xr:uid="{00000000-0005-0000-0000-00008B710000}"/>
    <cellStyle name="Normal 3 23 2 3 3 2" xfId="29070" xr:uid="{00000000-0005-0000-0000-00008C710000}"/>
    <cellStyle name="Normal 3 23 2 3 3 2 2" xfId="29071" xr:uid="{00000000-0005-0000-0000-00008D710000}"/>
    <cellStyle name="Normal 3 23 2 3 3 2 3" xfId="29072" xr:uid="{00000000-0005-0000-0000-00008E710000}"/>
    <cellStyle name="Normal 3 23 2 3 3 2 4" xfId="29073" xr:uid="{00000000-0005-0000-0000-00008F710000}"/>
    <cellStyle name="Normal 3 23 2 3 3 2 5" xfId="29074" xr:uid="{00000000-0005-0000-0000-000090710000}"/>
    <cellStyle name="Normal 3 23 2 3 3 2 6" xfId="29075" xr:uid="{00000000-0005-0000-0000-000091710000}"/>
    <cellStyle name="Normal 3 23 2 3 3 3" xfId="29076" xr:uid="{00000000-0005-0000-0000-000092710000}"/>
    <cellStyle name="Normal 3 23 2 3 3 3 2" xfId="29077" xr:uid="{00000000-0005-0000-0000-000093710000}"/>
    <cellStyle name="Normal 3 23 2 3 3 3 3" xfId="29078" xr:uid="{00000000-0005-0000-0000-000094710000}"/>
    <cellStyle name="Normal 3 23 2 3 3 3 4" xfId="29079" xr:uid="{00000000-0005-0000-0000-000095710000}"/>
    <cellStyle name="Normal 3 23 2 3 3 3 5" xfId="29080" xr:uid="{00000000-0005-0000-0000-000096710000}"/>
    <cellStyle name="Normal 3 23 2 3 3 3 6" xfId="29081" xr:uid="{00000000-0005-0000-0000-000097710000}"/>
    <cellStyle name="Normal 3 23 2 3 3 4" xfId="29082" xr:uid="{00000000-0005-0000-0000-000098710000}"/>
    <cellStyle name="Normal 3 23 2 3 3 5" xfId="29083" xr:uid="{00000000-0005-0000-0000-000099710000}"/>
    <cellStyle name="Normal 3 23 2 3 3 6" xfId="29084" xr:uid="{00000000-0005-0000-0000-00009A710000}"/>
    <cellStyle name="Normal 3 23 2 3 3 7" xfId="29085" xr:uid="{00000000-0005-0000-0000-00009B710000}"/>
    <cellStyle name="Normal 3 23 2 3 3 8" xfId="29086" xr:uid="{00000000-0005-0000-0000-00009C710000}"/>
    <cellStyle name="Normal 3 23 2 3 4" xfId="29087" xr:uid="{00000000-0005-0000-0000-00009D710000}"/>
    <cellStyle name="Normal 3 23 2 3 4 2" xfId="29088" xr:uid="{00000000-0005-0000-0000-00009E710000}"/>
    <cellStyle name="Normal 3 23 2 3 4 2 2" xfId="29089" xr:uid="{00000000-0005-0000-0000-00009F710000}"/>
    <cellStyle name="Normal 3 23 2 3 4 2 3" xfId="29090" xr:uid="{00000000-0005-0000-0000-0000A0710000}"/>
    <cellStyle name="Normal 3 23 2 3 4 2 4" xfId="29091" xr:uid="{00000000-0005-0000-0000-0000A1710000}"/>
    <cellStyle name="Normal 3 23 2 3 4 2 5" xfId="29092" xr:uid="{00000000-0005-0000-0000-0000A2710000}"/>
    <cellStyle name="Normal 3 23 2 3 4 2 6" xfId="29093" xr:uid="{00000000-0005-0000-0000-0000A3710000}"/>
    <cellStyle name="Normal 3 23 2 3 4 3" xfId="29094" xr:uid="{00000000-0005-0000-0000-0000A4710000}"/>
    <cellStyle name="Normal 3 23 2 3 4 3 2" xfId="29095" xr:uid="{00000000-0005-0000-0000-0000A5710000}"/>
    <cellStyle name="Normal 3 23 2 3 4 3 3" xfId="29096" xr:uid="{00000000-0005-0000-0000-0000A6710000}"/>
    <cellStyle name="Normal 3 23 2 3 4 3 4" xfId="29097" xr:uid="{00000000-0005-0000-0000-0000A7710000}"/>
    <cellStyle name="Normal 3 23 2 3 4 3 5" xfId="29098" xr:uid="{00000000-0005-0000-0000-0000A8710000}"/>
    <cellStyle name="Normal 3 23 2 3 4 3 6" xfId="29099" xr:uid="{00000000-0005-0000-0000-0000A9710000}"/>
    <cellStyle name="Normal 3 23 2 3 4 4" xfId="29100" xr:uid="{00000000-0005-0000-0000-0000AA710000}"/>
    <cellStyle name="Normal 3 23 2 3 4 5" xfId="29101" xr:uid="{00000000-0005-0000-0000-0000AB710000}"/>
    <cellStyle name="Normal 3 23 2 3 4 6" xfId="29102" xr:uid="{00000000-0005-0000-0000-0000AC710000}"/>
    <cellStyle name="Normal 3 23 2 3 4 7" xfId="29103" xr:uid="{00000000-0005-0000-0000-0000AD710000}"/>
    <cellStyle name="Normal 3 23 2 3 4 8" xfId="29104" xr:uid="{00000000-0005-0000-0000-0000AE710000}"/>
    <cellStyle name="Normal 3 23 2 3 5" xfId="29105" xr:uid="{00000000-0005-0000-0000-0000AF710000}"/>
    <cellStyle name="Normal 3 23 2 3 5 2" xfId="29106" xr:uid="{00000000-0005-0000-0000-0000B0710000}"/>
    <cellStyle name="Normal 3 23 2 3 5 2 2" xfId="29107" xr:uid="{00000000-0005-0000-0000-0000B1710000}"/>
    <cellStyle name="Normal 3 23 2 3 5 2 3" xfId="29108" xr:uid="{00000000-0005-0000-0000-0000B2710000}"/>
    <cellStyle name="Normal 3 23 2 3 5 2 4" xfId="29109" xr:uid="{00000000-0005-0000-0000-0000B3710000}"/>
    <cellStyle name="Normal 3 23 2 3 5 2 5" xfId="29110" xr:uid="{00000000-0005-0000-0000-0000B4710000}"/>
    <cellStyle name="Normal 3 23 2 3 5 2 6" xfId="29111" xr:uid="{00000000-0005-0000-0000-0000B5710000}"/>
    <cellStyle name="Normal 3 23 2 3 5 3" xfId="29112" xr:uid="{00000000-0005-0000-0000-0000B6710000}"/>
    <cellStyle name="Normal 3 23 2 3 5 3 2" xfId="29113" xr:uid="{00000000-0005-0000-0000-0000B7710000}"/>
    <cellStyle name="Normal 3 23 2 3 5 3 3" xfId="29114" xr:uid="{00000000-0005-0000-0000-0000B8710000}"/>
    <cellStyle name="Normal 3 23 2 3 5 3 4" xfId="29115" xr:uid="{00000000-0005-0000-0000-0000B9710000}"/>
    <cellStyle name="Normal 3 23 2 3 5 3 5" xfId="29116" xr:uid="{00000000-0005-0000-0000-0000BA710000}"/>
    <cellStyle name="Normal 3 23 2 3 5 3 6" xfId="29117" xr:uid="{00000000-0005-0000-0000-0000BB710000}"/>
    <cellStyle name="Normal 3 23 2 3 5 4" xfId="29118" xr:uid="{00000000-0005-0000-0000-0000BC710000}"/>
    <cellStyle name="Normal 3 23 2 3 5 5" xfId="29119" xr:uid="{00000000-0005-0000-0000-0000BD710000}"/>
    <cellStyle name="Normal 3 23 2 3 5 6" xfId="29120" xr:uid="{00000000-0005-0000-0000-0000BE710000}"/>
    <cellStyle name="Normal 3 23 2 3 5 7" xfId="29121" xr:uid="{00000000-0005-0000-0000-0000BF710000}"/>
    <cellStyle name="Normal 3 23 2 3 5 8" xfId="29122" xr:uid="{00000000-0005-0000-0000-0000C0710000}"/>
    <cellStyle name="Normal 3 23 2 3 6" xfId="29123" xr:uid="{00000000-0005-0000-0000-0000C1710000}"/>
    <cellStyle name="Normal 3 23 2 3 6 2" xfId="29124" xr:uid="{00000000-0005-0000-0000-0000C2710000}"/>
    <cellStyle name="Normal 3 23 2 3 6 3" xfId="29125" xr:uid="{00000000-0005-0000-0000-0000C3710000}"/>
    <cellStyle name="Normal 3 23 2 3 6 4" xfId="29126" xr:uid="{00000000-0005-0000-0000-0000C4710000}"/>
    <cellStyle name="Normal 3 23 2 3 6 5" xfId="29127" xr:uid="{00000000-0005-0000-0000-0000C5710000}"/>
    <cellStyle name="Normal 3 23 2 3 6 6" xfId="29128" xr:uid="{00000000-0005-0000-0000-0000C6710000}"/>
    <cellStyle name="Normal 3 23 2 3 7" xfId="29129" xr:uid="{00000000-0005-0000-0000-0000C7710000}"/>
    <cellStyle name="Normal 3 23 2 3 7 2" xfId="29130" xr:uid="{00000000-0005-0000-0000-0000C8710000}"/>
    <cellStyle name="Normal 3 23 2 3 7 3" xfId="29131" xr:uid="{00000000-0005-0000-0000-0000C9710000}"/>
    <cellStyle name="Normal 3 23 2 3 7 4" xfId="29132" xr:uid="{00000000-0005-0000-0000-0000CA710000}"/>
    <cellStyle name="Normal 3 23 2 3 7 5" xfId="29133" xr:uid="{00000000-0005-0000-0000-0000CB710000}"/>
    <cellStyle name="Normal 3 23 2 3 7 6" xfId="29134" xr:uid="{00000000-0005-0000-0000-0000CC710000}"/>
    <cellStyle name="Normal 3 23 2 3 8" xfId="29135" xr:uid="{00000000-0005-0000-0000-0000CD710000}"/>
    <cellStyle name="Normal 3 23 2 3 9" xfId="29136" xr:uid="{00000000-0005-0000-0000-0000CE710000}"/>
    <cellStyle name="Normal 3 23 2 4" xfId="29137" xr:uid="{00000000-0005-0000-0000-0000CF710000}"/>
    <cellStyle name="Normal 3 23 2 4 10" xfId="29138" xr:uid="{00000000-0005-0000-0000-0000D0710000}"/>
    <cellStyle name="Normal 3 23 2 4 11" xfId="29139" xr:uid="{00000000-0005-0000-0000-0000D1710000}"/>
    <cellStyle name="Normal 3 23 2 4 2" xfId="29140" xr:uid="{00000000-0005-0000-0000-0000D2710000}"/>
    <cellStyle name="Normal 3 23 2 4 2 2" xfId="29141" xr:uid="{00000000-0005-0000-0000-0000D3710000}"/>
    <cellStyle name="Normal 3 23 2 4 2 2 2" xfId="29142" xr:uid="{00000000-0005-0000-0000-0000D4710000}"/>
    <cellStyle name="Normal 3 23 2 4 2 2 3" xfId="29143" xr:uid="{00000000-0005-0000-0000-0000D5710000}"/>
    <cellStyle name="Normal 3 23 2 4 2 2 4" xfId="29144" xr:uid="{00000000-0005-0000-0000-0000D6710000}"/>
    <cellStyle name="Normal 3 23 2 4 2 2 5" xfId="29145" xr:uid="{00000000-0005-0000-0000-0000D7710000}"/>
    <cellStyle name="Normal 3 23 2 4 2 2 6" xfId="29146" xr:uid="{00000000-0005-0000-0000-0000D8710000}"/>
    <cellStyle name="Normal 3 23 2 4 2 3" xfId="29147" xr:uid="{00000000-0005-0000-0000-0000D9710000}"/>
    <cellStyle name="Normal 3 23 2 4 2 3 2" xfId="29148" xr:uid="{00000000-0005-0000-0000-0000DA710000}"/>
    <cellStyle name="Normal 3 23 2 4 2 3 3" xfId="29149" xr:uid="{00000000-0005-0000-0000-0000DB710000}"/>
    <cellStyle name="Normal 3 23 2 4 2 3 4" xfId="29150" xr:uid="{00000000-0005-0000-0000-0000DC710000}"/>
    <cellStyle name="Normal 3 23 2 4 2 3 5" xfId="29151" xr:uid="{00000000-0005-0000-0000-0000DD710000}"/>
    <cellStyle name="Normal 3 23 2 4 2 3 6" xfId="29152" xr:uid="{00000000-0005-0000-0000-0000DE710000}"/>
    <cellStyle name="Normal 3 23 2 4 2 4" xfId="29153" xr:uid="{00000000-0005-0000-0000-0000DF710000}"/>
    <cellStyle name="Normal 3 23 2 4 2 5" xfId="29154" xr:uid="{00000000-0005-0000-0000-0000E0710000}"/>
    <cellStyle name="Normal 3 23 2 4 2 6" xfId="29155" xr:uid="{00000000-0005-0000-0000-0000E1710000}"/>
    <cellStyle name="Normal 3 23 2 4 2 7" xfId="29156" xr:uid="{00000000-0005-0000-0000-0000E2710000}"/>
    <cellStyle name="Normal 3 23 2 4 2 8" xfId="29157" xr:uid="{00000000-0005-0000-0000-0000E3710000}"/>
    <cellStyle name="Normal 3 23 2 4 3" xfId="29158" xr:uid="{00000000-0005-0000-0000-0000E4710000}"/>
    <cellStyle name="Normal 3 23 2 4 3 2" xfId="29159" xr:uid="{00000000-0005-0000-0000-0000E5710000}"/>
    <cellStyle name="Normal 3 23 2 4 3 2 2" xfId="29160" xr:uid="{00000000-0005-0000-0000-0000E6710000}"/>
    <cellStyle name="Normal 3 23 2 4 3 2 3" xfId="29161" xr:uid="{00000000-0005-0000-0000-0000E7710000}"/>
    <cellStyle name="Normal 3 23 2 4 3 2 4" xfId="29162" xr:uid="{00000000-0005-0000-0000-0000E8710000}"/>
    <cellStyle name="Normal 3 23 2 4 3 2 5" xfId="29163" xr:uid="{00000000-0005-0000-0000-0000E9710000}"/>
    <cellStyle name="Normal 3 23 2 4 3 2 6" xfId="29164" xr:uid="{00000000-0005-0000-0000-0000EA710000}"/>
    <cellStyle name="Normal 3 23 2 4 3 3" xfId="29165" xr:uid="{00000000-0005-0000-0000-0000EB710000}"/>
    <cellStyle name="Normal 3 23 2 4 3 3 2" xfId="29166" xr:uid="{00000000-0005-0000-0000-0000EC710000}"/>
    <cellStyle name="Normal 3 23 2 4 3 3 3" xfId="29167" xr:uid="{00000000-0005-0000-0000-0000ED710000}"/>
    <cellStyle name="Normal 3 23 2 4 3 3 4" xfId="29168" xr:uid="{00000000-0005-0000-0000-0000EE710000}"/>
    <cellStyle name="Normal 3 23 2 4 3 3 5" xfId="29169" xr:uid="{00000000-0005-0000-0000-0000EF710000}"/>
    <cellStyle name="Normal 3 23 2 4 3 3 6" xfId="29170" xr:uid="{00000000-0005-0000-0000-0000F0710000}"/>
    <cellStyle name="Normal 3 23 2 4 3 4" xfId="29171" xr:uid="{00000000-0005-0000-0000-0000F1710000}"/>
    <cellStyle name="Normal 3 23 2 4 3 5" xfId="29172" xr:uid="{00000000-0005-0000-0000-0000F2710000}"/>
    <cellStyle name="Normal 3 23 2 4 3 6" xfId="29173" xr:uid="{00000000-0005-0000-0000-0000F3710000}"/>
    <cellStyle name="Normal 3 23 2 4 3 7" xfId="29174" xr:uid="{00000000-0005-0000-0000-0000F4710000}"/>
    <cellStyle name="Normal 3 23 2 4 3 8" xfId="29175" xr:uid="{00000000-0005-0000-0000-0000F5710000}"/>
    <cellStyle name="Normal 3 23 2 4 4" xfId="29176" xr:uid="{00000000-0005-0000-0000-0000F6710000}"/>
    <cellStyle name="Normal 3 23 2 4 4 2" xfId="29177" xr:uid="{00000000-0005-0000-0000-0000F7710000}"/>
    <cellStyle name="Normal 3 23 2 4 4 2 2" xfId="29178" xr:uid="{00000000-0005-0000-0000-0000F8710000}"/>
    <cellStyle name="Normal 3 23 2 4 4 2 3" xfId="29179" xr:uid="{00000000-0005-0000-0000-0000F9710000}"/>
    <cellStyle name="Normal 3 23 2 4 4 2 4" xfId="29180" xr:uid="{00000000-0005-0000-0000-0000FA710000}"/>
    <cellStyle name="Normal 3 23 2 4 4 2 5" xfId="29181" xr:uid="{00000000-0005-0000-0000-0000FB710000}"/>
    <cellStyle name="Normal 3 23 2 4 4 2 6" xfId="29182" xr:uid="{00000000-0005-0000-0000-0000FC710000}"/>
    <cellStyle name="Normal 3 23 2 4 4 3" xfId="29183" xr:uid="{00000000-0005-0000-0000-0000FD710000}"/>
    <cellStyle name="Normal 3 23 2 4 4 3 2" xfId="29184" xr:uid="{00000000-0005-0000-0000-0000FE710000}"/>
    <cellStyle name="Normal 3 23 2 4 4 3 3" xfId="29185" xr:uid="{00000000-0005-0000-0000-0000FF710000}"/>
    <cellStyle name="Normal 3 23 2 4 4 3 4" xfId="29186" xr:uid="{00000000-0005-0000-0000-000000720000}"/>
    <cellStyle name="Normal 3 23 2 4 4 3 5" xfId="29187" xr:uid="{00000000-0005-0000-0000-000001720000}"/>
    <cellStyle name="Normal 3 23 2 4 4 3 6" xfId="29188" xr:uid="{00000000-0005-0000-0000-000002720000}"/>
    <cellStyle name="Normal 3 23 2 4 4 4" xfId="29189" xr:uid="{00000000-0005-0000-0000-000003720000}"/>
    <cellStyle name="Normal 3 23 2 4 4 5" xfId="29190" xr:uid="{00000000-0005-0000-0000-000004720000}"/>
    <cellStyle name="Normal 3 23 2 4 4 6" xfId="29191" xr:uid="{00000000-0005-0000-0000-000005720000}"/>
    <cellStyle name="Normal 3 23 2 4 4 7" xfId="29192" xr:uid="{00000000-0005-0000-0000-000006720000}"/>
    <cellStyle name="Normal 3 23 2 4 4 8" xfId="29193" xr:uid="{00000000-0005-0000-0000-000007720000}"/>
    <cellStyle name="Normal 3 23 2 4 5" xfId="29194" xr:uid="{00000000-0005-0000-0000-000008720000}"/>
    <cellStyle name="Normal 3 23 2 4 5 2" xfId="29195" xr:uid="{00000000-0005-0000-0000-000009720000}"/>
    <cellStyle name="Normal 3 23 2 4 5 3" xfId="29196" xr:uid="{00000000-0005-0000-0000-00000A720000}"/>
    <cellStyle name="Normal 3 23 2 4 5 4" xfId="29197" xr:uid="{00000000-0005-0000-0000-00000B720000}"/>
    <cellStyle name="Normal 3 23 2 4 5 5" xfId="29198" xr:uid="{00000000-0005-0000-0000-00000C720000}"/>
    <cellStyle name="Normal 3 23 2 4 5 6" xfId="29199" xr:uid="{00000000-0005-0000-0000-00000D720000}"/>
    <cellStyle name="Normal 3 23 2 4 6" xfId="29200" xr:uid="{00000000-0005-0000-0000-00000E720000}"/>
    <cellStyle name="Normal 3 23 2 4 6 2" xfId="29201" xr:uid="{00000000-0005-0000-0000-00000F720000}"/>
    <cellStyle name="Normal 3 23 2 4 6 3" xfId="29202" xr:uid="{00000000-0005-0000-0000-000010720000}"/>
    <cellStyle name="Normal 3 23 2 4 6 4" xfId="29203" xr:uid="{00000000-0005-0000-0000-000011720000}"/>
    <cellStyle name="Normal 3 23 2 4 6 5" xfId="29204" xr:uid="{00000000-0005-0000-0000-000012720000}"/>
    <cellStyle name="Normal 3 23 2 4 6 6" xfId="29205" xr:uid="{00000000-0005-0000-0000-000013720000}"/>
    <cellStyle name="Normal 3 23 2 4 7" xfId="29206" xr:uid="{00000000-0005-0000-0000-000014720000}"/>
    <cellStyle name="Normal 3 23 2 4 8" xfId="29207" xr:uid="{00000000-0005-0000-0000-000015720000}"/>
    <cellStyle name="Normal 3 23 2 4 9" xfId="29208" xr:uid="{00000000-0005-0000-0000-000016720000}"/>
    <cellStyle name="Normal 3 23 2 5" xfId="29209" xr:uid="{00000000-0005-0000-0000-000017720000}"/>
    <cellStyle name="Normal 3 23 2 5 2" xfId="29210" xr:uid="{00000000-0005-0000-0000-000018720000}"/>
    <cellStyle name="Normal 3 23 2 5 2 2" xfId="29211" xr:uid="{00000000-0005-0000-0000-000019720000}"/>
    <cellStyle name="Normal 3 23 2 5 2 3" xfId="29212" xr:uid="{00000000-0005-0000-0000-00001A720000}"/>
    <cellStyle name="Normal 3 23 2 5 2 4" xfId="29213" xr:uid="{00000000-0005-0000-0000-00001B720000}"/>
    <cellStyle name="Normal 3 23 2 5 2 5" xfId="29214" xr:uid="{00000000-0005-0000-0000-00001C720000}"/>
    <cellStyle name="Normal 3 23 2 5 2 6" xfId="29215" xr:uid="{00000000-0005-0000-0000-00001D720000}"/>
    <cellStyle name="Normal 3 23 2 5 3" xfId="29216" xr:uid="{00000000-0005-0000-0000-00001E720000}"/>
    <cellStyle name="Normal 3 23 2 5 3 2" xfId="29217" xr:uid="{00000000-0005-0000-0000-00001F720000}"/>
    <cellStyle name="Normal 3 23 2 5 3 3" xfId="29218" xr:uid="{00000000-0005-0000-0000-000020720000}"/>
    <cellStyle name="Normal 3 23 2 5 3 4" xfId="29219" xr:uid="{00000000-0005-0000-0000-000021720000}"/>
    <cellStyle name="Normal 3 23 2 5 3 5" xfId="29220" xr:uid="{00000000-0005-0000-0000-000022720000}"/>
    <cellStyle name="Normal 3 23 2 5 3 6" xfId="29221" xr:uid="{00000000-0005-0000-0000-000023720000}"/>
    <cellStyle name="Normal 3 23 2 5 4" xfId="29222" xr:uid="{00000000-0005-0000-0000-000024720000}"/>
    <cellStyle name="Normal 3 23 2 5 5" xfId="29223" xr:uid="{00000000-0005-0000-0000-000025720000}"/>
    <cellStyle name="Normal 3 23 2 5 6" xfId="29224" xr:uid="{00000000-0005-0000-0000-000026720000}"/>
    <cellStyle name="Normal 3 23 2 5 7" xfId="29225" xr:uid="{00000000-0005-0000-0000-000027720000}"/>
    <cellStyle name="Normal 3 23 2 5 8" xfId="29226" xr:uid="{00000000-0005-0000-0000-000028720000}"/>
    <cellStyle name="Normal 3 23 2 6" xfId="29227" xr:uid="{00000000-0005-0000-0000-000029720000}"/>
    <cellStyle name="Normal 3 23 2 6 2" xfId="29228" xr:uid="{00000000-0005-0000-0000-00002A720000}"/>
    <cellStyle name="Normal 3 23 2 6 2 2" xfId="29229" xr:uid="{00000000-0005-0000-0000-00002B720000}"/>
    <cellStyle name="Normal 3 23 2 6 2 3" xfId="29230" xr:uid="{00000000-0005-0000-0000-00002C720000}"/>
    <cellStyle name="Normal 3 23 2 6 2 4" xfId="29231" xr:uid="{00000000-0005-0000-0000-00002D720000}"/>
    <cellStyle name="Normal 3 23 2 6 2 5" xfId="29232" xr:uid="{00000000-0005-0000-0000-00002E720000}"/>
    <cellStyle name="Normal 3 23 2 6 2 6" xfId="29233" xr:uid="{00000000-0005-0000-0000-00002F720000}"/>
    <cellStyle name="Normal 3 23 2 6 3" xfId="29234" xr:uid="{00000000-0005-0000-0000-000030720000}"/>
    <cellStyle name="Normal 3 23 2 6 3 2" xfId="29235" xr:uid="{00000000-0005-0000-0000-000031720000}"/>
    <cellStyle name="Normal 3 23 2 6 3 3" xfId="29236" xr:uid="{00000000-0005-0000-0000-000032720000}"/>
    <cellStyle name="Normal 3 23 2 6 3 4" xfId="29237" xr:uid="{00000000-0005-0000-0000-000033720000}"/>
    <cellStyle name="Normal 3 23 2 6 3 5" xfId="29238" xr:uid="{00000000-0005-0000-0000-000034720000}"/>
    <cellStyle name="Normal 3 23 2 6 3 6" xfId="29239" xr:uid="{00000000-0005-0000-0000-000035720000}"/>
    <cellStyle name="Normal 3 23 2 6 4" xfId="29240" xr:uid="{00000000-0005-0000-0000-000036720000}"/>
    <cellStyle name="Normal 3 23 2 6 5" xfId="29241" xr:uid="{00000000-0005-0000-0000-000037720000}"/>
    <cellStyle name="Normal 3 23 2 6 6" xfId="29242" xr:uid="{00000000-0005-0000-0000-000038720000}"/>
    <cellStyle name="Normal 3 23 2 6 7" xfId="29243" xr:uid="{00000000-0005-0000-0000-000039720000}"/>
    <cellStyle name="Normal 3 23 2 6 8" xfId="29244" xr:uid="{00000000-0005-0000-0000-00003A720000}"/>
    <cellStyle name="Normal 3 23 2 7" xfId="29245" xr:uid="{00000000-0005-0000-0000-00003B720000}"/>
    <cellStyle name="Normal 3 23 2 7 2" xfId="29246" xr:uid="{00000000-0005-0000-0000-00003C720000}"/>
    <cellStyle name="Normal 3 23 2 7 2 2" xfId="29247" xr:uid="{00000000-0005-0000-0000-00003D720000}"/>
    <cellStyle name="Normal 3 23 2 7 2 3" xfId="29248" xr:uid="{00000000-0005-0000-0000-00003E720000}"/>
    <cellStyle name="Normal 3 23 2 7 2 4" xfId="29249" xr:uid="{00000000-0005-0000-0000-00003F720000}"/>
    <cellStyle name="Normal 3 23 2 7 2 5" xfId="29250" xr:uid="{00000000-0005-0000-0000-000040720000}"/>
    <cellStyle name="Normal 3 23 2 7 2 6" xfId="29251" xr:uid="{00000000-0005-0000-0000-000041720000}"/>
    <cellStyle name="Normal 3 23 2 7 3" xfId="29252" xr:uid="{00000000-0005-0000-0000-000042720000}"/>
    <cellStyle name="Normal 3 23 2 7 3 2" xfId="29253" xr:uid="{00000000-0005-0000-0000-000043720000}"/>
    <cellStyle name="Normal 3 23 2 7 3 3" xfId="29254" xr:uid="{00000000-0005-0000-0000-000044720000}"/>
    <cellStyle name="Normal 3 23 2 7 3 4" xfId="29255" xr:uid="{00000000-0005-0000-0000-000045720000}"/>
    <cellStyle name="Normal 3 23 2 7 3 5" xfId="29256" xr:uid="{00000000-0005-0000-0000-000046720000}"/>
    <cellStyle name="Normal 3 23 2 7 3 6" xfId="29257" xr:uid="{00000000-0005-0000-0000-000047720000}"/>
    <cellStyle name="Normal 3 23 2 7 4" xfId="29258" xr:uid="{00000000-0005-0000-0000-000048720000}"/>
    <cellStyle name="Normal 3 23 2 7 5" xfId="29259" xr:uid="{00000000-0005-0000-0000-000049720000}"/>
    <cellStyle name="Normal 3 23 2 7 6" xfId="29260" xr:uid="{00000000-0005-0000-0000-00004A720000}"/>
    <cellStyle name="Normal 3 23 2 7 7" xfId="29261" xr:uid="{00000000-0005-0000-0000-00004B720000}"/>
    <cellStyle name="Normal 3 23 2 7 8" xfId="29262" xr:uid="{00000000-0005-0000-0000-00004C720000}"/>
    <cellStyle name="Normal 3 23 2 8" xfId="29263" xr:uid="{00000000-0005-0000-0000-00004D720000}"/>
    <cellStyle name="Normal 3 23 2 8 2" xfId="29264" xr:uid="{00000000-0005-0000-0000-00004E720000}"/>
    <cellStyle name="Normal 3 23 2 8 3" xfId="29265" xr:uid="{00000000-0005-0000-0000-00004F720000}"/>
    <cellStyle name="Normal 3 23 2 8 4" xfId="29266" xr:uid="{00000000-0005-0000-0000-000050720000}"/>
    <cellStyle name="Normal 3 23 2 8 5" xfId="29267" xr:uid="{00000000-0005-0000-0000-000051720000}"/>
    <cellStyle name="Normal 3 23 2 8 6" xfId="29268" xr:uid="{00000000-0005-0000-0000-000052720000}"/>
    <cellStyle name="Normal 3 23 2 9" xfId="29269" xr:uid="{00000000-0005-0000-0000-000053720000}"/>
    <cellStyle name="Normal 3 23 2 9 2" xfId="29270" xr:uid="{00000000-0005-0000-0000-000054720000}"/>
    <cellStyle name="Normal 3 23 2 9 3" xfId="29271" xr:uid="{00000000-0005-0000-0000-000055720000}"/>
    <cellStyle name="Normal 3 23 2 9 4" xfId="29272" xr:uid="{00000000-0005-0000-0000-000056720000}"/>
    <cellStyle name="Normal 3 23 2 9 5" xfId="29273" xr:uid="{00000000-0005-0000-0000-000057720000}"/>
    <cellStyle name="Normal 3 23 2 9 6" xfId="29274" xr:uid="{00000000-0005-0000-0000-000058720000}"/>
    <cellStyle name="Normal 3 23 3" xfId="29275" xr:uid="{00000000-0005-0000-0000-000059720000}"/>
    <cellStyle name="Normal 3 23 3 10" xfId="29276" xr:uid="{00000000-0005-0000-0000-00005A720000}"/>
    <cellStyle name="Normal 3 23 3 11" xfId="29277" xr:uid="{00000000-0005-0000-0000-00005B720000}"/>
    <cellStyle name="Normal 3 23 3 12" xfId="29278" xr:uid="{00000000-0005-0000-0000-00005C720000}"/>
    <cellStyle name="Normal 3 23 3 2" xfId="29279" xr:uid="{00000000-0005-0000-0000-00005D720000}"/>
    <cellStyle name="Normal 3 23 3 2 10" xfId="29280" xr:uid="{00000000-0005-0000-0000-00005E720000}"/>
    <cellStyle name="Normal 3 23 3 2 11" xfId="29281" xr:uid="{00000000-0005-0000-0000-00005F720000}"/>
    <cellStyle name="Normal 3 23 3 2 2" xfId="29282" xr:uid="{00000000-0005-0000-0000-000060720000}"/>
    <cellStyle name="Normal 3 23 3 2 2 2" xfId="29283" xr:uid="{00000000-0005-0000-0000-000061720000}"/>
    <cellStyle name="Normal 3 23 3 2 2 2 2" xfId="29284" xr:uid="{00000000-0005-0000-0000-000062720000}"/>
    <cellStyle name="Normal 3 23 3 2 2 2 3" xfId="29285" xr:uid="{00000000-0005-0000-0000-000063720000}"/>
    <cellStyle name="Normal 3 23 3 2 2 2 4" xfId="29286" xr:uid="{00000000-0005-0000-0000-000064720000}"/>
    <cellStyle name="Normal 3 23 3 2 2 2 5" xfId="29287" xr:uid="{00000000-0005-0000-0000-000065720000}"/>
    <cellStyle name="Normal 3 23 3 2 2 2 6" xfId="29288" xr:uid="{00000000-0005-0000-0000-000066720000}"/>
    <cellStyle name="Normal 3 23 3 2 2 3" xfId="29289" xr:uid="{00000000-0005-0000-0000-000067720000}"/>
    <cellStyle name="Normal 3 23 3 2 2 3 2" xfId="29290" xr:uid="{00000000-0005-0000-0000-000068720000}"/>
    <cellStyle name="Normal 3 23 3 2 2 3 3" xfId="29291" xr:uid="{00000000-0005-0000-0000-000069720000}"/>
    <cellStyle name="Normal 3 23 3 2 2 3 4" xfId="29292" xr:uid="{00000000-0005-0000-0000-00006A720000}"/>
    <cellStyle name="Normal 3 23 3 2 2 3 5" xfId="29293" xr:uid="{00000000-0005-0000-0000-00006B720000}"/>
    <cellStyle name="Normal 3 23 3 2 2 3 6" xfId="29294" xr:uid="{00000000-0005-0000-0000-00006C720000}"/>
    <cellStyle name="Normal 3 23 3 2 2 4" xfId="29295" xr:uid="{00000000-0005-0000-0000-00006D720000}"/>
    <cellStyle name="Normal 3 23 3 2 2 5" xfId="29296" xr:uid="{00000000-0005-0000-0000-00006E720000}"/>
    <cellStyle name="Normal 3 23 3 2 2 6" xfId="29297" xr:uid="{00000000-0005-0000-0000-00006F720000}"/>
    <cellStyle name="Normal 3 23 3 2 2 7" xfId="29298" xr:uid="{00000000-0005-0000-0000-000070720000}"/>
    <cellStyle name="Normal 3 23 3 2 2 8" xfId="29299" xr:uid="{00000000-0005-0000-0000-000071720000}"/>
    <cellStyle name="Normal 3 23 3 2 3" xfId="29300" xr:uid="{00000000-0005-0000-0000-000072720000}"/>
    <cellStyle name="Normal 3 23 3 2 3 2" xfId="29301" xr:uid="{00000000-0005-0000-0000-000073720000}"/>
    <cellStyle name="Normal 3 23 3 2 3 2 2" xfId="29302" xr:uid="{00000000-0005-0000-0000-000074720000}"/>
    <cellStyle name="Normal 3 23 3 2 3 2 3" xfId="29303" xr:uid="{00000000-0005-0000-0000-000075720000}"/>
    <cellStyle name="Normal 3 23 3 2 3 2 4" xfId="29304" xr:uid="{00000000-0005-0000-0000-000076720000}"/>
    <cellStyle name="Normal 3 23 3 2 3 2 5" xfId="29305" xr:uid="{00000000-0005-0000-0000-000077720000}"/>
    <cellStyle name="Normal 3 23 3 2 3 2 6" xfId="29306" xr:uid="{00000000-0005-0000-0000-000078720000}"/>
    <cellStyle name="Normal 3 23 3 2 3 3" xfId="29307" xr:uid="{00000000-0005-0000-0000-000079720000}"/>
    <cellStyle name="Normal 3 23 3 2 3 3 2" xfId="29308" xr:uid="{00000000-0005-0000-0000-00007A720000}"/>
    <cellStyle name="Normal 3 23 3 2 3 3 3" xfId="29309" xr:uid="{00000000-0005-0000-0000-00007B720000}"/>
    <cellStyle name="Normal 3 23 3 2 3 3 4" xfId="29310" xr:uid="{00000000-0005-0000-0000-00007C720000}"/>
    <cellStyle name="Normal 3 23 3 2 3 3 5" xfId="29311" xr:uid="{00000000-0005-0000-0000-00007D720000}"/>
    <cellStyle name="Normal 3 23 3 2 3 3 6" xfId="29312" xr:uid="{00000000-0005-0000-0000-00007E720000}"/>
    <cellStyle name="Normal 3 23 3 2 3 4" xfId="29313" xr:uid="{00000000-0005-0000-0000-00007F720000}"/>
    <cellStyle name="Normal 3 23 3 2 3 5" xfId="29314" xr:uid="{00000000-0005-0000-0000-000080720000}"/>
    <cellStyle name="Normal 3 23 3 2 3 6" xfId="29315" xr:uid="{00000000-0005-0000-0000-000081720000}"/>
    <cellStyle name="Normal 3 23 3 2 3 7" xfId="29316" xr:uid="{00000000-0005-0000-0000-000082720000}"/>
    <cellStyle name="Normal 3 23 3 2 3 8" xfId="29317" xr:uid="{00000000-0005-0000-0000-000083720000}"/>
    <cellStyle name="Normal 3 23 3 2 4" xfId="29318" xr:uid="{00000000-0005-0000-0000-000084720000}"/>
    <cellStyle name="Normal 3 23 3 2 4 2" xfId="29319" xr:uid="{00000000-0005-0000-0000-000085720000}"/>
    <cellStyle name="Normal 3 23 3 2 4 2 2" xfId="29320" xr:uid="{00000000-0005-0000-0000-000086720000}"/>
    <cellStyle name="Normal 3 23 3 2 4 2 3" xfId="29321" xr:uid="{00000000-0005-0000-0000-000087720000}"/>
    <cellStyle name="Normal 3 23 3 2 4 2 4" xfId="29322" xr:uid="{00000000-0005-0000-0000-000088720000}"/>
    <cellStyle name="Normal 3 23 3 2 4 2 5" xfId="29323" xr:uid="{00000000-0005-0000-0000-000089720000}"/>
    <cellStyle name="Normal 3 23 3 2 4 2 6" xfId="29324" xr:uid="{00000000-0005-0000-0000-00008A720000}"/>
    <cellStyle name="Normal 3 23 3 2 4 3" xfId="29325" xr:uid="{00000000-0005-0000-0000-00008B720000}"/>
    <cellStyle name="Normal 3 23 3 2 4 3 2" xfId="29326" xr:uid="{00000000-0005-0000-0000-00008C720000}"/>
    <cellStyle name="Normal 3 23 3 2 4 3 3" xfId="29327" xr:uid="{00000000-0005-0000-0000-00008D720000}"/>
    <cellStyle name="Normal 3 23 3 2 4 3 4" xfId="29328" xr:uid="{00000000-0005-0000-0000-00008E720000}"/>
    <cellStyle name="Normal 3 23 3 2 4 3 5" xfId="29329" xr:uid="{00000000-0005-0000-0000-00008F720000}"/>
    <cellStyle name="Normal 3 23 3 2 4 3 6" xfId="29330" xr:uid="{00000000-0005-0000-0000-000090720000}"/>
    <cellStyle name="Normal 3 23 3 2 4 4" xfId="29331" xr:uid="{00000000-0005-0000-0000-000091720000}"/>
    <cellStyle name="Normal 3 23 3 2 4 5" xfId="29332" xr:uid="{00000000-0005-0000-0000-000092720000}"/>
    <cellStyle name="Normal 3 23 3 2 4 6" xfId="29333" xr:uid="{00000000-0005-0000-0000-000093720000}"/>
    <cellStyle name="Normal 3 23 3 2 4 7" xfId="29334" xr:uid="{00000000-0005-0000-0000-000094720000}"/>
    <cellStyle name="Normal 3 23 3 2 4 8" xfId="29335" xr:uid="{00000000-0005-0000-0000-000095720000}"/>
    <cellStyle name="Normal 3 23 3 2 5" xfId="29336" xr:uid="{00000000-0005-0000-0000-000096720000}"/>
    <cellStyle name="Normal 3 23 3 2 5 2" xfId="29337" xr:uid="{00000000-0005-0000-0000-000097720000}"/>
    <cellStyle name="Normal 3 23 3 2 5 3" xfId="29338" xr:uid="{00000000-0005-0000-0000-000098720000}"/>
    <cellStyle name="Normal 3 23 3 2 5 4" xfId="29339" xr:uid="{00000000-0005-0000-0000-000099720000}"/>
    <cellStyle name="Normal 3 23 3 2 5 5" xfId="29340" xr:uid="{00000000-0005-0000-0000-00009A720000}"/>
    <cellStyle name="Normal 3 23 3 2 5 6" xfId="29341" xr:uid="{00000000-0005-0000-0000-00009B720000}"/>
    <cellStyle name="Normal 3 23 3 2 6" xfId="29342" xr:uid="{00000000-0005-0000-0000-00009C720000}"/>
    <cellStyle name="Normal 3 23 3 2 6 2" xfId="29343" xr:uid="{00000000-0005-0000-0000-00009D720000}"/>
    <cellStyle name="Normal 3 23 3 2 6 3" xfId="29344" xr:uid="{00000000-0005-0000-0000-00009E720000}"/>
    <cellStyle name="Normal 3 23 3 2 6 4" xfId="29345" xr:uid="{00000000-0005-0000-0000-00009F720000}"/>
    <cellStyle name="Normal 3 23 3 2 6 5" xfId="29346" xr:uid="{00000000-0005-0000-0000-0000A0720000}"/>
    <cellStyle name="Normal 3 23 3 2 6 6" xfId="29347" xr:uid="{00000000-0005-0000-0000-0000A1720000}"/>
    <cellStyle name="Normal 3 23 3 2 7" xfId="29348" xr:uid="{00000000-0005-0000-0000-0000A2720000}"/>
    <cellStyle name="Normal 3 23 3 2 8" xfId="29349" xr:uid="{00000000-0005-0000-0000-0000A3720000}"/>
    <cellStyle name="Normal 3 23 3 2 9" xfId="29350" xr:uid="{00000000-0005-0000-0000-0000A4720000}"/>
    <cellStyle name="Normal 3 23 3 3" xfId="29351" xr:uid="{00000000-0005-0000-0000-0000A5720000}"/>
    <cellStyle name="Normal 3 23 3 3 2" xfId="29352" xr:uid="{00000000-0005-0000-0000-0000A6720000}"/>
    <cellStyle name="Normal 3 23 3 3 2 2" xfId="29353" xr:uid="{00000000-0005-0000-0000-0000A7720000}"/>
    <cellStyle name="Normal 3 23 3 3 2 3" xfId="29354" xr:uid="{00000000-0005-0000-0000-0000A8720000}"/>
    <cellStyle name="Normal 3 23 3 3 2 4" xfId="29355" xr:uid="{00000000-0005-0000-0000-0000A9720000}"/>
    <cellStyle name="Normal 3 23 3 3 2 5" xfId="29356" xr:uid="{00000000-0005-0000-0000-0000AA720000}"/>
    <cellStyle name="Normal 3 23 3 3 2 6" xfId="29357" xr:uid="{00000000-0005-0000-0000-0000AB720000}"/>
    <cellStyle name="Normal 3 23 3 3 3" xfId="29358" xr:uid="{00000000-0005-0000-0000-0000AC720000}"/>
    <cellStyle name="Normal 3 23 3 3 3 2" xfId="29359" xr:uid="{00000000-0005-0000-0000-0000AD720000}"/>
    <cellStyle name="Normal 3 23 3 3 3 3" xfId="29360" xr:uid="{00000000-0005-0000-0000-0000AE720000}"/>
    <cellStyle name="Normal 3 23 3 3 3 4" xfId="29361" xr:uid="{00000000-0005-0000-0000-0000AF720000}"/>
    <cellStyle name="Normal 3 23 3 3 3 5" xfId="29362" xr:uid="{00000000-0005-0000-0000-0000B0720000}"/>
    <cellStyle name="Normal 3 23 3 3 3 6" xfId="29363" xr:uid="{00000000-0005-0000-0000-0000B1720000}"/>
    <cellStyle name="Normal 3 23 3 3 4" xfId="29364" xr:uid="{00000000-0005-0000-0000-0000B2720000}"/>
    <cellStyle name="Normal 3 23 3 3 5" xfId="29365" xr:uid="{00000000-0005-0000-0000-0000B3720000}"/>
    <cellStyle name="Normal 3 23 3 3 6" xfId="29366" xr:uid="{00000000-0005-0000-0000-0000B4720000}"/>
    <cellStyle name="Normal 3 23 3 3 7" xfId="29367" xr:uid="{00000000-0005-0000-0000-0000B5720000}"/>
    <cellStyle name="Normal 3 23 3 3 8" xfId="29368" xr:uid="{00000000-0005-0000-0000-0000B6720000}"/>
    <cellStyle name="Normal 3 23 3 4" xfId="29369" xr:uid="{00000000-0005-0000-0000-0000B7720000}"/>
    <cellStyle name="Normal 3 23 3 4 2" xfId="29370" xr:uid="{00000000-0005-0000-0000-0000B8720000}"/>
    <cellStyle name="Normal 3 23 3 4 2 2" xfId="29371" xr:uid="{00000000-0005-0000-0000-0000B9720000}"/>
    <cellStyle name="Normal 3 23 3 4 2 3" xfId="29372" xr:uid="{00000000-0005-0000-0000-0000BA720000}"/>
    <cellStyle name="Normal 3 23 3 4 2 4" xfId="29373" xr:uid="{00000000-0005-0000-0000-0000BB720000}"/>
    <cellStyle name="Normal 3 23 3 4 2 5" xfId="29374" xr:uid="{00000000-0005-0000-0000-0000BC720000}"/>
    <cellStyle name="Normal 3 23 3 4 2 6" xfId="29375" xr:uid="{00000000-0005-0000-0000-0000BD720000}"/>
    <cellStyle name="Normal 3 23 3 4 3" xfId="29376" xr:uid="{00000000-0005-0000-0000-0000BE720000}"/>
    <cellStyle name="Normal 3 23 3 4 3 2" xfId="29377" xr:uid="{00000000-0005-0000-0000-0000BF720000}"/>
    <cellStyle name="Normal 3 23 3 4 3 3" xfId="29378" xr:uid="{00000000-0005-0000-0000-0000C0720000}"/>
    <cellStyle name="Normal 3 23 3 4 3 4" xfId="29379" xr:uid="{00000000-0005-0000-0000-0000C1720000}"/>
    <cellStyle name="Normal 3 23 3 4 3 5" xfId="29380" xr:uid="{00000000-0005-0000-0000-0000C2720000}"/>
    <cellStyle name="Normal 3 23 3 4 3 6" xfId="29381" xr:uid="{00000000-0005-0000-0000-0000C3720000}"/>
    <cellStyle name="Normal 3 23 3 4 4" xfId="29382" xr:uid="{00000000-0005-0000-0000-0000C4720000}"/>
    <cellStyle name="Normal 3 23 3 4 5" xfId="29383" xr:uid="{00000000-0005-0000-0000-0000C5720000}"/>
    <cellStyle name="Normal 3 23 3 4 6" xfId="29384" xr:uid="{00000000-0005-0000-0000-0000C6720000}"/>
    <cellStyle name="Normal 3 23 3 4 7" xfId="29385" xr:uid="{00000000-0005-0000-0000-0000C7720000}"/>
    <cellStyle name="Normal 3 23 3 4 8" xfId="29386" xr:uid="{00000000-0005-0000-0000-0000C8720000}"/>
    <cellStyle name="Normal 3 23 3 5" xfId="29387" xr:uid="{00000000-0005-0000-0000-0000C9720000}"/>
    <cellStyle name="Normal 3 23 3 5 2" xfId="29388" xr:uid="{00000000-0005-0000-0000-0000CA720000}"/>
    <cellStyle name="Normal 3 23 3 5 2 2" xfId="29389" xr:uid="{00000000-0005-0000-0000-0000CB720000}"/>
    <cellStyle name="Normal 3 23 3 5 2 3" xfId="29390" xr:uid="{00000000-0005-0000-0000-0000CC720000}"/>
    <cellStyle name="Normal 3 23 3 5 2 4" xfId="29391" xr:uid="{00000000-0005-0000-0000-0000CD720000}"/>
    <cellStyle name="Normal 3 23 3 5 2 5" xfId="29392" xr:uid="{00000000-0005-0000-0000-0000CE720000}"/>
    <cellStyle name="Normal 3 23 3 5 2 6" xfId="29393" xr:uid="{00000000-0005-0000-0000-0000CF720000}"/>
    <cellStyle name="Normal 3 23 3 5 3" xfId="29394" xr:uid="{00000000-0005-0000-0000-0000D0720000}"/>
    <cellStyle name="Normal 3 23 3 5 3 2" xfId="29395" xr:uid="{00000000-0005-0000-0000-0000D1720000}"/>
    <cellStyle name="Normal 3 23 3 5 3 3" xfId="29396" xr:uid="{00000000-0005-0000-0000-0000D2720000}"/>
    <cellStyle name="Normal 3 23 3 5 3 4" xfId="29397" xr:uid="{00000000-0005-0000-0000-0000D3720000}"/>
    <cellStyle name="Normal 3 23 3 5 3 5" xfId="29398" xr:uid="{00000000-0005-0000-0000-0000D4720000}"/>
    <cellStyle name="Normal 3 23 3 5 3 6" xfId="29399" xr:uid="{00000000-0005-0000-0000-0000D5720000}"/>
    <cellStyle name="Normal 3 23 3 5 4" xfId="29400" xr:uid="{00000000-0005-0000-0000-0000D6720000}"/>
    <cellStyle name="Normal 3 23 3 5 5" xfId="29401" xr:uid="{00000000-0005-0000-0000-0000D7720000}"/>
    <cellStyle name="Normal 3 23 3 5 6" xfId="29402" xr:uid="{00000000-0005-0000-0000-0000D8720000}"/>
    <cellStyle name="Normal 3 23 3 5 7" xfId="29403" xr:uid="{00000000-0005-0000-0000-0000D9720000}"/>
    <cellStyle name="Normal 3 23 3 5 8" xfId="29404" xr:uid="{00000000-0005-0000-0000-0000DA720000}"/>
    <cellStyle name="Normal 3 23 3 6" xfId="29405" xr:uid="{00000000-0005-0000-0000-0000DB720000}"/>
    <cellStyle name="Normal 3 23 3 6 2" xfId="29406" xr:uid="{00000000-0005-0000-0000-0000DC720000}"/>
    <cellStyle name="Normal 3 23 3 6 3" xfId="29407" xr:uid="{00000000-0005-0000-0000-0000DD720000}"/>
    <cellStyle name="Normal 3 23 3 6 4" xfId="29408" xr:uid="{00000000-0005-0000-0000-0000DE720000}"/>
    <cellStyle name="Normal 3 23 3 6 5" xfId="29409" xr:uid="{00000000-0005-0000-0000-0000DF720000}"/>
    <cellStyle name="Normal 3 23 3 6 6" xfId="29410" xr:uid="{00000000-0005-0000-0000-0000E0720000}"/>
    <cellStyle name="Normal 3 23 3 7" xfId="29411" xr:uid="{00000000-0005-0000-0000-0000E1720000}"/>
    <cellStyle name="Normal 3 23 3 7 2" xfId="29412" xr:uid="{00000000-0005-0000-0000-0000E2720000}"/>
    <cellStyle name="Normal 3 23 3 7 3" xfId="29413" xr:uid="{00000000-0005-0000-0000-0000E3720000}"/>
    <cellStyle name="Normal 3 23 3 7 4" xfId="29414" xr:uid="{00000000-0005-0000-0000-0000E4720000}"/>
    <cellStyle name="Normal 3 23 3 7 5" xfId="29415" xr:uid="{00000000-0005-0000-0000-0000E5720000}"/>
    <cellStyle name="Normal 3 23 3 7 6" xfId="29416" xr:uid="{00000000-0005-0000-0000-0000E6720000}"/>
    <cellStyle name="Normal 3 23 3 8" xfId="29417" xr:uid="{00000000-0005-0000-0000-0000E7720000}"/>
    <cellStyle name="Normal 3 23 3 9" xfId="29418" xr:uid="{00000000-0005-0000-0000-0000E8720000}"/>
    <cellStyle name="Normal 3 23 4" xfId="29419" xr:uid="{00000000-0005-0000-0000-0000E9720000}"/>
    <cellStyle name="Normal 3 23 4 10" xfId="29420" xr:uid="{00000000-0005-0000-0000-0000EA720000}"/>
    <cellStyle name="Normal 3 23 4 11" xfId="29421" xr:uid="{00000000-0005-0000-0000-0000EB720000}"/>
    <cellStyle name="Normal 3 23 4 12" xfId="29422" xr:uid="{00000000-0005-0000-0000-0000EC720000}"/>
    <cellStyle name="Normal 3 23 4 2" xfId="29423" xr:uid="{00000000-0005-0000-0000-0000ED720000}"/>
    <cellStyle name="Normal 3 23 4 2 10" xfId="29424" xr:uid="{00000000-0005-0000-0000-0000EE720000}"/>
    <cellStyle name="Normal 3 23 4 2 11" xfId="29425" xr:uid="{00000000-0005-0000-0000-0000EF720000}"/>
    <cellStyle name="Normal 3 23 4 2 2" xfId="29426" xr:uid="{00000000-0005-0000-0000-0000F0720000}"/>
    <cellStyle name="Normal 3 23 4 2 2 2" xfId="29427" xr:uid="{00000000-0005-0000-0000-0000F1720000}"/>
    <cellStyle name="Normal 3 23 4 2 2 2 2" xfId="29428" xr:uid="{00000000-0005-0000-0000-0000F2720000}"/>
    <cellStyle name="Normal 3 23 4 2 2 2 3" xfId="29429" xr:uid="{00000000-0005-0000-0000-0000F3720000}"/>
    <cellStyle name="Normal 3 23 4 2 2 2 4" xfId="29430" xr:uid="{00000000-0005-0000-0000-0000F4720000}"/>
    <cellStyle name="Normal 3 23 4 2 2 2 5" xfId="29431" xr:uid="{00000000-0005-0000-0000-0000F5720000}"/>
    <cellStyle name="Normal 3 23 4 2 2 2 6" xfId="29432" xr:uid="{00000000-0005-0000-0000-0000F6720000}"/>
    <cellStyle name="Normal 3 23 4 2 2 3" xfId="29433" xr:uid="{00000000-0005-0000-0000-0000F7720000}"/>
    <cellStyle name="Normal 3 23 4 2 2 3 2" xfId="29434" xr:uid="{00000000-0005-0000-0000-0000F8720000}"/>
    <cellStyle name="Normal 3 23 4 2 2 3 3" xfId="29435" xr:uid="{00000000-0005-0000-0000-0000F9720000}"/>
    <cellStyle name="Normal 3 23 4 2 2 3 4" xfId="29436" xr:uid="{00000000-0005-0000-0000-0000FA720000}"/>
    <cellStyle name="Normal 3 23 4 2 2 3 5" xfId="29437" xr:uid="{00000000-0005-0000-0000-0000FB720000}"/>
    <cellStyle name="Normal 3 23 4 2 2 3 6" xfId="29438" xr:uid="{00000000-0005-0000-0000-0000FC720000}"/>
    <cellStyle name="Normal 3 23 4 2 2 4" xfId="29439" xr:uid="{00000000-0005-0000-0000-0000FD720000}"/>
    <cellStyle name="Normal 3 23 4 2 2 5" xfId="29440" xr:uid="{00000000-0005-0000-0000-0000FE720000}"/>
    <cellStyle name="Normal 3 23 4 2 2 6" xfId="29441" xr:uid="{00000000-0005-0000-0000-0000FF720000}"/>
    <cellStyle name="Normal 3 23 4 2 2 7" xfId="29442" xr:uid="{00000000-0005-0000-0000-000000730000}"/>
    <cellStyle name="Normal 3 23 4 2 2 8" xfId="29443" xr:uid="{00000000-0005-0000-0000-000001730000}"/>
    <cellStyle name="Normal 3 23 4 2 3" xfId="29444" xr:uid="{00000000-0005-0000-0000-000002730000}"/>
    <cellStyle name="Normal 3 23 4 2 3 2" xfId="29445" xr:uid="{00000000-0005-0000-0000-000003730000}"/>
    <cellStyle name="Normal 3 23 4 2 3 2 2" xfId="29446" xr:uid="{00000000-0005-0000-0000-000004730000}"/>
    <cellStyle name="Normal 3 23 4 2 3 2 3" xfId="29447" xr:uid="{00000000-0005-0000-0000-000005730000}"/>
    <cellStyle name="Normal 3 23 4 2 3 2 4" xfId="29448" xr:uid="{00000000-0005-0000-0000-000006730000}"/>
    <cellStyle name="Normal 3 23 4 2 3 2 5" xfId="29449" xr:uid="{00000000-0005-0000-0000-000007730000}"/>
    <cellStyle name="Normal 3 23 4 2 3 2 6" xfId="29450" xr:uid="{00000000-0005-0000-0000-000008730000}"/>
    <cellStyle name="Normal 3 23 4 2 3 3" xfId="29451" xr:uid="{00000000-0005-0000-0000-000009730000}"/>
    <cellStyle name="Normal 3 23 4 2 3 3 2" xfId="29452" xr:uid="{00000000-0005-0000-0000-00000A730000}"/>
    <cellStyle name="Normal 3 23 4 2 3 3 3" xfId="29453" xr:uid="{00000000-0005-0000-0000-00000B730000}"/>
    <cellStyle name="Normal 3 23 4 2 3 3 4" xfId="29454" xr:uid="{00000000-0005-0000-0000-00000C730000}"/>
    <cellStyle name="Normal 3 23 4 2 3 3 5" xfId="29455" xr:uid="{00000000-0005-0000-0000-00000D730000}"/>
    <cellStyle name="Normal 3 23 4 2 3 3 6" xfId="29456" xr:uid="{00000000-0005-0000-0000-00000E730000}"/>
    <cellStyle name="Normal 3 23 4 2 3 4" xfId="29457" xr:uid="{00000000-0005-0000-0000-00000F730000}"/>
    <cellStyle name="Normal 3 23 4 2 3 5" xfId="29458" xr:uid="{00000000-0005-0000-0000-000010730000}"/>
    <cellStyle name="Normal 3 23 4 2 3 6" xfId="29459" xr:uid="{00000000-0005-0000-0000-000011730000}"/>
    <cellStyle name="Normal 3 23 4 2 3 7" xfId="29460" xr:uid="{00000000-0005-0000-0000-000012730000}"/>
    <cellStyle name="Normal 3 23 4 2 3 8" xfId="29461" xr:uid="{00000000-0005-0000-0000-000013730000}"/>
    <cellStyle name="Normal 3 23 4 2 4" xfId="29462" xr:uid="{00000000-0005-0000-0000-000014730000}"/>
    <cellStyle name="Normal 3 23 4 2 4 2" xfId="29463" xr:uid="{00000000-0005-0000-0000-000015730000}"/>
    <cellStyle name="Normal 3 23 4 2 4 2 2" xfId="29464" xr:uid="{00000000-0005-0000-0000-000016730000}"/>
    <cellStyle name="Normal 3 23 4 2 4 2 3" xfId="29465" xr:uid="{00000000-0005-0000-0000-000017730000}"/>
    <cellStyle name="Normal 3 23 4 2 4 2 4" xfId="29466" xr:uid="{00000000-0005-0000-0000-000018730000}"/>
    <cellStyle name="Normal 3 23 4 2 4 2 5" xfId="29467" xr:uid="{00000000-0005-0000-0000-000019730000}"/>
    <cellStyle name="Normal 3 23 4 2 4 2 6" xfId="29468" xr:uid="{00000000-0005-0000-0000-00001A730000}"/>
    <cellStyle name="Normal 3 23 4 2 4 3" xfId="29469" xr:uid="{00000000-0005-0000-0000-00001B730000}"/>
    <cellStyle name="Normal 3 23 4 2 4 3 2" xfId="29470" xr:uid="{00000000-0005-0000-0000-00001C730000}"/>
    <cellStyle name="Normal 3 23 4 2 4 3 3" xfId="29471" xr:uid="{00000000-0005-0000-0000-00001D730000}"/>
    <cellStyle name="Normal 3 23 4 2 4 3 4" xfId="29472" xr:uid="{00000000-0005-0000-0000-00001E730000}"/>
    <cellStyle name="Normal 3 23 4 2 4 3 5" xfId="29473" xr:uid="{00000000-0005-0000-0000-00001F730000}"/>
    <cellStyle name="Normal 3 23 4 2 4 3 6" xfId="29474" xr:uid="{00000000-0005-0000-0000-000020730000}"/>
    <cellStyle name="Normal 3 23 4 2 4 4" xfId="29475" xr:uid="{00000000-0005-0000-0000-000021730000}"/>
    <cellStyle name="Normal 3 23 4 2 4 5" xfId="29476" xr:uid="{00000000-0005-0000-0000-000022730000}"/>
    <cellStyle name="Normal 3 23 4 2 4 6" xfId="29477" xr:uid="{00000000-0005-0000-0000-000023730000}"/>
    <cellStyle name="Normal 3 23 4 2 4 7" xfId="29478" xr:uid="{00000000-0005-0000-0000-000024730000}"/>
    <cellStyle name="Normal 3 23 4 2 4 8" xfId="29479" xr:uid="{00000000-0005-0000-0000-000025730000}"/>
    <cellStyle name="Normal 3 23 4 2 5" xfId="29480" xr:uid="{00000000-0005-0000-0000-000026730000}"/>
    <cellStyle name="Normal 3 23 4 2 5 2" xfId="29481" xr:uid="{00000000-0005-0000-0000-000027730000}"/>
    <cellStyle name="Normal 3 23 4 2 5 3" xfId="29482" xr:uid="{00000000-0005-0000-0000-000028730000}"/>
    <cellStyle name="Normal 3 23 4 2 5 4" xfId="29483" xr:uid="{00000000-0005-0000-0000-000029730000}"/>
    <cellStyle name="Normal 3 23 4 2 5 5" xfId="29484" xr:uid="{00000000-0005-0000-0000-00002A730000}"/>
    <cellStyle name="Normal 3 23 4 2 5 6" xfId="29485" xr:uid="{00000000-0005-0000-0000-00002B730000}"/>
    <cellStyle name="Normal 3 23 4 2 6" xfId="29486" xr:uid="{00000000-0005-0000-0000-00002C730000}"/>
    <cellStyle name="Normal 3 23 4 2 6 2" xfId="29487" xr:uid="{00000000-0005-0000-0000-00002D730000}"/>
    <cellStyle name="Normal 3 23 4 2 6 3" xfId="29488" xr:uid="{00000000-0005-0000-0000-00002E730000}"/>
    <cellStyle name="Normal 3 23 4 2 6 4" xfId="29489" xr:uid="{00000000-0005-0000-0000-00002F730000}"/>
    <cellStyle name="Normal 3 23 4 2 6 5" xfId="29490" xr:uid="{00000000-0005-0000-0000-000030730000}"/>
    <cellStyle name="Normal 3 23 4 2 6 6" xfId="29491" xr:uid="{00000000-0005-0000-0000-000031730000}"/>
    <cellStyle name="Normal 3 23 4 2 7" xfId="29492" xr:uid="{00000000-0005-0000-0000-000032730000}"/>
    <cellStyle name="Normal 3 23 4 2 8" xfId="29493" xr:uid="{00000000-0005-0000-0000-000033730000}"/>
    <cellStyle name="Normal 3 23 4 2 9" xfId="29494" xr:uid="{00000000-0005-0000-0000-000034730000}"/>
    <cellStyle name="Normal 3 23 4 3" xfId="29495" xr:uid="{00000000-0005-0000-0000-000035730000}"/>
    <cellStyle name="Normal 3 23 4 3 2" xfId="29496" xr:uid="{00000000-0005-0000-0000-000036730000}"/>
    <cellStyle name="Normal 3 23 4 3 2 2" xfId="29497" xr:uid="{00000000-0005-0000-0000-000037730000}"/>
    <cellStyle name="Normal 3 23 4 3 2 3" xfId="29498" xr:uid="{00000000-0005-0000-0000-000038730000}"/>
    <cellStyle name="Normal 3 23 4 3 2 4" xfId="29499" xr:uid="{00000000-0005-0000-0000-000039730000}"/>
    <cellStyle name="Normal 3 23 4 3 2 5" xfId="29500" xr:uid="{00000000-0005-0000-0000-00003A730000}"/>
    <cellStyle name="Normal 3 23 4 3 2 6" xfId="29501" xr:uid="{00000000-0005-0000-0000-00003B730000}"/>
    <cellStyle name="Normal 3 23 4 3 3" xfId="29502" xr:uid="{00000000-0005-0000-0000-00003C730000}"/>
    <cellStyle name="Normal 3 23 4 3 3 2" xfId="29503" xr:uid="{00000000-0005-0000-0000-00003D730000}"/>
    <cellStyle name="Normal 3 23 4 3 3 3" xfId="29504" xr:uid="{00000000-0005-0000-0000-00003E730000}"/>
    <cellStyle name="Normal 3 23 4 3 3 4" xfId="29505" xr:uid="{00000000-0005-0000-0000-00003F730000}"/>
    <cellStyle name="Normal 3 23 4 3 3 5" xfId="29506" xr:uid="{00000000-0005-0000-0000-000040730000}"/>
    <cellStyle name="Normal 3 23 4 3 3 6" xfId="29507" xr:uid="{00000000-0005-0000-0000-000041730000}"/>
    <cellStyle name="Normal 3 23 4 3 4" xfId="29508" xr:uid="{00000000-0005-0000-0000-000042730000}"/>
    <cellStyle name="Normal 3 23 4 3 5" xfId="29509" xr:uid="{00000000-0005-0000-0000-000043730000}"/>
    <cellStyle name="Normal 3 23 4 3 6" xfId="29510" xr:uid="{00000000-0005-0000-0000-000044730000}"/>
    <cellStyle name="Normal 3 23 4 3 7" xfId="29511" xr:uid="{00000000-0005-0000-0000-000045730000}"/>
    <cellStyle name="Normal 3 23 4 3 8" xfId="29512" xr:uid="{00000000-0005-0000-0000-000046730000}"/>
    <cellStyle name="Normal 3 23 4 4" xfId="29513" xr:uid="{00000000-0005-0000-0000-000047730000}"/>
    <cellStyle name="Normal 3 23 4 4 2" xfId="29514" xr:uid="{00000000-0005-0000-0000-000048730000}"/>
    <cellStyle name="Normal 3 23 4 4 2 2" xfId="29515" xr:uid="{00000000-0005-0000-0000-000049730000}"/>
    <cellStyle name="Normal 3 23 4 4 2 3" xfId="29516" xr:uid="{00000000-0005-0000-0000-00004A730000}"/>
    <cellStyle name="Normal 3 23 4 4 2 4" xfId="29517" xr:uid="{00000000-0005-0000-0000-00004B730000}"/>
    <cellStyle name="Normal 3 23 4 4 2 5" xfId="29518" xr:uid="{00000000-0005-0000-0000-00004C730000}"/>
    <cellStyle name="Normal 3 23 4 4 2 6" xfId="29519" xr:uid="{00000000-0005-0000-0000-00004D730000}"/>
    <cellStyle name="Normal 3 23 4 4 3" xfId="29520" xr:uid="{00000000-0005-0000-0000-00004E730000}"/>
    <cellStyle name="Normal 3 23 4 4 3 2" xfId="29521" xr:uid="{00000000-0005-0000-0000-00004F730000}"/>
    <cellStyle name="Normal 3 23 4 4 3 3" xfId="29522" xr:uid="{00000000-0005-0000-0000-000050730000}"/>
    <cellStyle name="Normal 3 23 4 4 3 4" xfId="29523" xr:uid="{00000000-0005-0000-0000-000051730000}"/>
    <cellStyle name="Normal 3 23 4 4 3 5" xfId="29524" xr:uid="{00000000-0005-0000-0000-000052730000}"/>
    <cellStyle name="Normal 3 23 4 4 3 6" xfId="29525" xr:uid="{00000000-0005-0000-0000-000053730000}"/>
    <cellStyle name="Normal 3 23 4 4 4" xfId="29526" xr:uid="{00000000-0005-0000-0000-000054730000}"/>
    <cellStyle name="Normal 3 23 4 4 5" xfId="29527" xr:uid="{00000000-0005-0000-0000-000055730000}"/>
    <cellStyle name="Normal 3 23 4 4 6" xfId="29528" xr:uid="{00000000-0005-0000-0000-000056730000}"/>
    <cellStyle name="Normal 3 23 4 4 7" xfId="29529" xr:uid="{00000000-0005-0000-0000-000057730000}"/>
    <cellStyle name="Normal 3 23 4 4 8" xfId="29530" xr:uid="{00000000-0005-0000-0000-000058730000}"/>
    <cellStyle name="Normal 3 23 4 5" xfId="29531" xr:uid="{00000000-0005-0000-0000-000059730000}"/>
    <cellStyle name="Normal 3 23 4 5 2" xfId="29532" xr:uid="{00000000-0005-0000-0000-00005A730000}"/>
    <cellStyle name="Normal 3 23 4 5 2 2" xfId="29533" xr:uid="{00000000-0005-0000-0000-00005B730000}"/>
    <cellStyle name="Normal 3 23 4 5 2 3" xfId="29534" xr:uid="{00000000-0005-0000-0000-00005C730000}"/>
    <cellStyle name="Normal 3 23 4 5 2 4" xfId="29535" xr:uid="{00000000-0005-0000-0000-00005D730000}"/>
    <cellStyle name="Normal 3 23 4 5 2 5" xfId="29536" xr:uid="{00000000-0005-0000-0000-00005E730000}"/>
    <cellStyle name="Normal 3 23 4 5 2 6" xfId="29537" xr:uid="{00000000-0005-0000-0000-00005F730000}"/>
    <cellStyle name="Normal 3 23 4 5 3" xfId="29538" xr:uid="{00000000-0005-0000-0000-000060730000}"/>
    <cellStyle name="Normal 3 23 4 5 3 2" xfId="29539" xr:uid="{00000000-0005-0000-0000-000061730000}"/>
    <cellStyle name="Normal 3 23 4 5 3 3" xfId="29540" xr:uid="{00000000-0005-0000-0000-000062730000}"/>
    <cellStyle name="Normal 3 23 4 5 3 4" xfId="29541" xr:uid="{00000000-0005-0000-0000-000063730000}"/>
    <cellStyle name="Normal 3 23 4 5 3 5" xfId="29542" xr:uid="{00000000-0005-0000-0000-000064730000}"/>
    <cellStyle name="Normal 3 23 4 5 3 6" xfId="29543" xr:uid="{00000000-0005-0000-0000-000065730000}"/>
    <cellStyle name="Normal 3 23 4 5 4" xfId="29544" xr:uid="{00000000-0005-0000-0000-000066730000}"/>
    <cellStyle name="Normal 3 23 4 5 5" xfId="29545" xr:uid="{00000000-0005-0000-0000-000067730000}"/>
    <cellStyle name="Normal 3 23 4 5 6" xfId="29546" xr:uid="{00000000-0005-0000-0000-000068730000}"/>
    <cellStyle name="Normal 3 23 4 5 7" xfId="29547" xr:uid="{00000000-0005-0000-0000-000069730000}"/>
    <cellStyle name="Normal 3 23 4 5 8" xfId="29548" xr:uid="{00000000-0005-0000-0000-00006A730000}"/>
    <cellStyle name="Normal 3 23 4 6" xfId="29549" xr:uid="{00000000-0005-0000-0000-00006B730000}"/>
    <cellStyle name="Normal 3 23 4 6 2" xfId="29550" xr:uid="{00000000-0005-0000-0000-00006C730000}"/>
    <cellStyle name="Normal 3 23 4 6 3" xfId="29551" xr:uid="{00000000-0005-0000-0000-00006D730000}"/>
    <cellStyle name="Normal 3 23 4 6 4" xfId="29552" xr:uid="{00000000-0005-0000-0000-00006E730000}"/>
    <cellStyle name="Normal 3 23 4 6 5" xfId="29553" xr:uid="{00000000-0005-0000-0000-00006F730000}"/>
    <cellStyle name="Normal 3 23 4 6 6" xfId="29554" xr:uid="{00000000-0005-0000-0000-000070730000}"/>
    <cellStyle name="Normal 3 23 4 7" xfId="29555" xr:uid="{00000000-0005-0000-0000-000071730000}"/>
    <cellStyle name="Normal 3 23 4 7 2" xfId="29556" xr:uid="{00000000-0005-0000-0000-000072730000}"/>
    <cellStyle name="Normal 3 23 4 7 3" xfId="29557" xr:uid="{00000000-0005-0000-0000-000073730000}"/>
    <cellStyle name="Normal 3 23 4 7 4" xfId="29558" xr:uid="{00000000-0005-0000-0000-000074730000}"/>
    <cellStyle name="Normal 3 23 4 7 5" xfId="29559" xr:uid="{00000000-0005-0000-0000-000075730000}"/>
    <cellStyle name="Normal 3 23 4 7 6" xfId="29560" xr:uid="{00000000-0005-0000-0000-000076730000}"/>
    <cellStyle name="Normal 3 23 4 8" xfId="29561" xr:uid="{00000000-0005-0000-0000-000077730000}"/>
    <cellStyle name="Normal 3 23 4 9" xfId="29562" xr:uid="{00000000-0005-0000-0000-000078730000}"/>
    <cellStyle name="Normal 3 23 5" xfId="29563" xr:uid="{00000000-0005-0000-0000-000079730000}"/>
    <cellStyle name="Normal 3 23 5 10" xfId="29564" xr:uid="{00000000-0005-0000-0000-00007A730000}"/>
    <cellStyle name="Normal 3 23 5 11" xfId="29565" xr:uid="{00000000-0005-0000-0000-00007B730000}"/>
    <cellStyle name="Normal 3 23 5 2" xfId="29566" xr:uid="{00000000-0005-0000-0000-00007C730000}"/>
    <cellStyle name="Normal 3 23 5 2 2" xfId="29567" xr:uid="{00000000-0005-0000-0000-00007D730000}"/>
    <cellStyle name="Normal 3 23 5 2 2 2" xfId="29568" xr:uid="{00000000-0005-0000-0000-00007E730000}"/>
    <cellStyle name="Normal 3 23 5 2 2 3" xfId="29569" xr:uid="{00000000-0005-0000-0000-00007F730000}"/>
    <cellStyle name="Normal 3 23 5 2 2 4" xfId="29570" xr:uid="{00000000-0005-0000-0000-000080730000}"/>
    <cellStyle name="Normal 3 23 5 2 2 5" xfId="29571" xr:uid="{00000000-0005-0000-0000-000081730000}"/>
    <cellStyle name="Normal 3 23 5 2 2 6" xfId="29572" xr:uid="{00000000-0005-0000-0000-000082730000}"/>
    <cellStyle name="Normal 3 23 5 2 3" xfId="29573" xr:uid="{00000000-0005-0000-0000-000083730000}"/>
    <cellStyle name="Normal 3 23 5 2 3 2" xfId="29574" xr:uid="{00000000-0005-0000-0000-000084730000}"/>
    <cellStyle name="Normal 3 23 5 2 3 3" xfId="29575" xr:uid="{00000000-0005-0000-0000-000085730000}"/>
    <cellStyle name="Normal 3 23 5 2 3 4" xfId="29576" xr:uid="{00000000-0005-0000-0000-000086730000}"/>
    <cellStyle name="Normal 3 23 5 2 3 5" xfId="29577" xr:uid="{00000000-0005-0000-0000-000087730000}"/>
    <cellStyle name="Normal 3 23 5 2 3 6" xfId="29578" xr:uid="{00000000-0005-0000-0000-000088730000}"/>
    <cellStyle name="Normal 3 23 5 2 4" xfId="29579" xr:uid="{00000000-0005-0000-0000-000089730000}"/>
    <cellStyle name="Normal 3 23 5 2 5" xfId="29580" xr:uid="{00000000-0005-0000-0000-00008A730000}"/>
    <cellStyle name="Normal 3 23 5 2 6" xfId="29581" xr:uid="{00000000-0005-0000-0000-00008B730000}"/>
    <cellStyle name="Normal 3 23 5 2 7" xfId="29582" xr:uid="{00000000-0005-0000-0000-00008C730000}"/>
    <cellStyle name="Normal 3 23 5 2 8" xfId="29583" xr:uid="{00000000-0005-0000-0000-00008D730000}"/>
    <cellStyle name="Normal 3 23 5 3" xfId="29584" xr:uid="{00000000-0005-0000-0000-00008E730000}"/>
    <cellStyle name="Normal 3 23 5 3 2" xfId="29585" xr:uid="{00000000-0005-0000-0000-00008F730000}"/>
    <cellStyle name="Normal 3 23 5 3 2 2" xfId="29586" xr:uid="{00000000-0005-0000-0000-000090730000}"/>
    <cellStyle name="Normal 3 23 5 3 2 3" xfId="29587" xr:uid="{00000000-0005-0000-0000-000091730000}"/>
    <cellStyle name="Normal 3 23 5 3 2 4" xfId="29588" xr:uid="{00000000-0005-0000-0000-000092730000}"/>
    <cellStyle name="Normal 3 23 5 3 2 5" xfId="29589" xr:uid="{00000000-0005-0000-0000-000093730000}"/>
    <cellStyle name="Normal 3 23 5 3 2 6" xfId="29590" xr:uid="{00000000-0005-0000-0000-000094730000}"/>
    <cellStyle name="Normal 3 23 5 3 3" xfId="29591" xr:uid="{00000000-0005-0000-0000-000095730000}"/>
    <cellStyle name="Normal 3 23 5 3 3 2" xfId="29592" xr:uid="{00000000-0005-0000-0000-000096730000}"/>
    <cellStyle name="Normal 3 23 5 3 3 3" xfId="29593" xr:uid="{00000000-0005-0000-0000-000097730000}"/>
    <cellStyle name="Normal 3 23 5 3 3 4" xfId="29594" xr:uid="{00000000-0005-0000-0000-000098730000}"/>
    <cellStyle name="Normal 3 23 5 3 3 5" xfId="29595" xr:uid="{00000000-0005-0000-0000-000099730000}"/>
    <cellStyle name="Normal 3 23 5 3 3 6" xfId="29596" xr:uid="{00000000-0005-0000-0000-00009A730000}"/>
    <cellStyle name="Normal 3 23 5 3 4" xfId="29597" xr:uid="{00000000-0005-0000-0000-00009B730000}"/>
    <cellStyle name="Normal 3 23 5 3 5" xfId="29598" xr:uid="{00000000-0005-0000-0000-00009C730000}"/>
    <cellStyle name="Normal 3 23 5 3 6" xfId="29599" xr:uid="{00000000-0005-0000-0000-00009D730000}"/>
    <cellStyle name="Normal 3 23 5 3 7" xfId="29600" xr:uid="{00000000-0005-0000-0000-00009E730000}"/>
    <cellStyle name="Normal 3 23 5 3 8" xfId="29601" xr:uid="{00000000-0005-0000-0000-00009F730000}"/>
    <cellStyle name="Normal 3 23 5 4" xfId="29602" xr:uid="{00000000-0005-0000-0000-0000A0730000}"/>
    <cellStyle name="Normal 3 23 5 4 2" xfId="29603" xr:uid="{00000000-0005-0000-0000-0000A1730000}"/>
    <cellStyle name="Normal 3 23 5 4 2 2" xfId="29604" xr:uid="{00000000-0005-0000-0000-0000A2730000}"/>
    <cellStyle name="Normal 3 23 5 4 2 3" xfId="29605" xr:uid="{00000000-0005-0000-0000-0000A3730000}"/>
    <cellStyle name="Normal 3 23 5 4 2 4" xfId="29606" xr:uid="{00000000-0005-0000-0000-0000A4730000}"/>
    <cellStyle name="Normal 3 23 5 4 2 5" xfId="29607" xr:uid="{00000000-0005-0000-0000-0000A5730000}"/>
    <cellStyle name="Normal 3 23 5 4 2 6" xfId="29608" xr:uid="{00000000-0005-0000-0000-0000A6730000}"/>
    <cellStyle name="Normal 3 23 5 4 3" xfId="29609" xr:uid="{00000000-0005-0000-0000-0000A7730000}"/>
    <cellStyle name="Normal 3 23 5 4 3 2" xfId="29610" xr:uid="{00000000-0005-0000-0000-0000A8730000}"/>
    <cellStyle name="Normal 3 23 5 4 3 3" xfId="29611" xr:uid="{00000000-0005-0000-0000-0000A9730000}"/>
    <cellStyle name="Normal 3 23 5 4 3 4" xfId="29612" xr:uid="{00000000-0005-0000-0000-0000AA730000}"/>
    <cellStyle name="Normal 3 23 5 4 3 5" xfId="29613" xr:uid="{00000000-0005-0000-0000-0000AB730000}"/>
    <cellStyle name="Normal 3 23 5 4 3 6" xfId="29614" xr:uid="{00000000-0005-0000-0000-0000AC730000}"/>
    <cellStyle name="Normal 3 23 5 4 4" xfId="29615" xr:uid="{00000000-0005-0000-0000-0000AD730000}"/>
    <cellStyle name="Normal 3 23 5 4 5" xfId="29616" xr:uid="{00000000-0005-0000-0000-0000AE730000}"/>
    <cellStyle name="Normal 3 23 5 4 6" xfId="29617" xr:uid="{00000000-0005-0000-0000-0000AF730000}"/>
    <cellStyle name="Normal 3 23 5 4 7" xfId="29618" xr:uid="{00000000-0005-0000-0000-0000B0730000}"/>
    <cellStyle name="Normal 3 23 5 4 8" xfId="29619" xr:uid="{00000000-0005-0000-0000-0000B1730000}"/>
    <cellStyle name="Normal 3 23 5 5" xfId="29620" xr:uid="{00000000-0005-0000-0000-0000B2730000}"/>
    <cellStyle name="Normal 3 23 5 5 2" xfId="29621" xr:uid="{00000000-0005-0000-0000-0000B3730000}"/>
    <cellStyle name="Normal 3 23 5 5 3" xfId="29622" xr:uid="{00000000-0005-0000-0000-0000B4730000}"/>
    <cellStyle name="Normal 3 23 5 5 4" xfId="29623" xr:uid="{00000000-0005-0000-0000-0000B5730000}"/>
    <cellStyle name="Normal 3 23 5 5 5" xfId="29624" xr:uid="{00000000-0005-0000-0000-0000B6730000}"/>
    <cellStyle name="Normal 3 23 5 5 6" xfId="29625" xr:uid="{00000000-0005-0000-0000-0000B7730000}"/>
    <cellStyle name="Normal 3 23 5 6" xfId="29626" xr:uid="{00000000-0005-0000-0000-0000B8730000}"/>
    <cellStyle name="Normal 3 23 5 6 2" xfId="29627" xr:uid="{00000000-0005-0000-0000-0000B9730000}"/>
    <cellStyle name="Normal 3 23 5 6 3" xfId="29628" xr:uid="{00000000-0005-0000-0000-0000BA730000}"/>
    <cellStyle name="Normal 3 23 5 6 4" xfId="29629" xr:uid="{00000000-0005-0000-0000-0000BB730000}"/>
    <cellStyle name="Normal 3 23 5 6 5" xfId="29630" xr:uid="{00000000-0005-0000-0000-0000BC730000}"/>
    <cellStyle name="Normal 3 23 5 6 6" xfId="29631" xr:uid="{00000000-0005-0000-0000-0000BD730000}"/>
    <cellStyle name="Normal 3 23 5 7" xfId="29632" xr:uid="{00000000-0005-0000-0000-0000BE730000}"/>
    <cellStyle name="Normal 3 23 5 8" xfId="29633" xr:uid="{00000000-0005-0000-0000-0000BF730000}"/>
    <cellStyle name="Normal 3 23 5 9" xfId="29634" xr:uid="{00000000-0005-0000-0000-0000C0730000}"/>
    <cellStyle name="Normal 3 23 6" xfId="29635" xr:uid="{00000000-0005-0000-0000-0000C1730000}"/>
    <cellStyle name="Normal 3 23 6 2" xfId="29636" xr:uid="{00000000-0005-0000-0000-0000C2730000}"/>
    <cellStyle name="Normal 3 23 6 2 2" xfId="29637" xr:uid="{00000000-0005-0000-0000-0000C3730000}"/>
    <cellStyle name="Normal 3 23 6 2 3" xfId="29638" xr:uid="{00000000-0005-0000-0000-0000C4730000}"/>
    <cellStyle name="Normal 3 23 6 2 4" xfId="29639" xr:uid="{00000000-0005-0000-0000-0000C5730000}"/>
    <cellStyle name="Normal 3 23 6 2 5" xfId="29640" xr:uid="{00000000-0005-0000-0000-0000C6730000}"/>
    <cellStyle name="Normal 3 23 6 2 6" xfId="29641" xr:uid="{00000000-0005-0000-0000-0000C7730000}"/>
    <cellStyle name="Normal 3 23 6 3" xfId="29642" xr:uid="{00000000-0005-0000-0000-0000C8730000}"/>
    <cellStyle name="Normal 3 23 6 3 2" xfId="29643" xr:uid="{00000000-0005-0000-0000-0000C9730000}"/>
    <cellStyle name="Normal 3 23 6 3 3" xfId="29644" xr:uid="{00000000-0005-0000-0000-0000CA730000}"/>
    <cellStyle name="Normal 3 23 6 3 4" xfId="29645" xr:uid="{00000000-0005-0000-0000-0000CB730000}"/>
    <cellStyle name="Normal 3 23 6 3 5" xfId="29646" xr:uid="{00000000-0005-0000-0000-0000CC730000}"/>
    <cellStyle name="Normal 3 23 6 3 6" xfId="29647" xr:uid="{00000000-0005-0000-0000-0000CD730000}"/>
    <cellStyle name="Normal 3 23 6 4" xfId="29648" xr:uid="{00000000-0005-0000-0000-0000CE730000}"/>
    <cellStyle name="Normal 3 23 6 5" xfId="29649" xr:uid="{00000000-0005-0000-0000-0000CF730000}"/>
    <cellStyle name="Normal 3 23 6 6" xfId="29650" xr:uid="{00000000-0005-0000-0000-0000D0730000}"/>
    <cellStyle name="Normal 3 23 6 7" xfId="29651" xr:uid="{00000000-0005-0000-0000-0000D1730000}"/>
    <cellStyle name="Normal 3 23 6 8" xfId="29652" xr:uid="{00000000-0005-0000-0000-0000D2730000}"/>
    <cellStyle name="Normal 3 23 7" xfId="29653" xr:uid="{00000000-0005-0000-0000-0000D3730000}"/>
    <cellStyle name="Normal 3 23 7 2" xfId="29654" xr:uid="{00000000-0005-0000-0000-0000D4730000}"/>
    <cellStyle name="Normal 3 23 7 2 2" xfId="29655" xr:uid="{00000000-0005-0000-0000-0000D5730000}"/>
    <cellStyle name="Normal 3 23 7 2 3" xfId="29656" xr:uid="{00000000-0005-0000-0000-0000D6730000}"/>
    <cellStyle name="Normal 3 23 7 2 4" xfId="29657" xr:uid="{00000000-0005-0000-0000-0000D7730000}"/>
    <cellStyle name="Normal 3 23 7 2 5" xfId="29658" xr:uid="{00000000-0005-0000-0000-0000D8730000}"/>
    <cellStyle name="Normal 3 23 7 2 6" xfId="29659" xr:uid="{00000000-0005-0000-0000-0000D9730000}"/>
    <cellStyle name="Normal 3 23 7 3" xfId="29660" xr:uid="{00000000-0005-0000-0000-0000DA730000}"/>
    <cellStyle name="Normal 3 23 7 3 2" xfId="29661" xr:uid="{00000000-0005-0000-0000-0000DB730000}"/>
    <cellStyle name="Normal 3 23 7 3 3" xfId="29662" xr:uid="{00000000-0005-0000-0000-0000DC730000}"/>
    <cellStyle name="Normal 3 23 7 3 4" xfId="29663" xr:uid="{00000000-0005-0000-0000-0000DD730000}"/>
    <cellStyle name="Normal 3 23 7 3 5" xfId="29664" xr:uid="{00000000-0005-0000-0000-0000DE730000}"/>
    <cellStyle name="Normal 3 23 7 3 6" xfId="29665" xr:uid="{00000000-0005-0000-0000-0000DF730000}"/>
    <cellStyle name="Normal 3 23 7 4" xfId="29666" xr:uid="{00000000-0005-0000-0000-0000E0730000}"/>
    <cellStyle name="Normal 3 23 7 5" xfId="29667" xr:uid="{00000000-0005-0000-0000-0000E1730000}"/>
    <cellStyle name="Normal 3 23 7 6" xfId="29668" xr:uid="{00000000-0005-0000-0000-0000E2730000}"/>
    <cellStyle name="Normal 3 23 7 7" xfId="29669" xr:uid="{00000000-0005-0000-0000-0000E3730000}"/>
    <cellStyle name="Normal 3 23 7 8" xfId="29670" xr:uid="{00000000-0005-0000-0000-0000E4730000}"/>
    <cellStyle name="Normal 3 23 8" xfId="29671" xr:uid="{00000000-0005-0000-0000-0000E5730000}"/>
    <cellStyle name="Normal 3 23 8 2" xfId="29672" xr:uid="{00000000-0005-0000-0000-0000E6730000}"/>
    <cellStyle name="Normal 3 23 8 2 2" xfId="29673" xr:uid="{00000000-0005-0000-0000-0000E7730000}"/>
    <cellStyle name="Normal 3 23 8 2 3" xfId="29674" xr:uid="{00000000-0005-0000-0000-0000E8730000}"/>
    <cellStyle name="Normal 3 23 8 2 4" xfId="29675" xr:uid="{00000000-0005-0000-0000-0000E9730000}"/>
    <cellStyle name="Normal 3 23 8 2 5" xfId="29676" xr:uid="{00000000-0005-0000-0000-0000EA730000}"/>
    <cellStyle name="Normal 3 23 8 2 6" xfId="29677" xr:uid="{00000000-0005-0000-0000-0000EB730000}"/>
    <cellStyle name="Normal 3 23 8 3" xfId="29678" xr:uid="{00000000-0005-0000-0000-0000EC730000}"/>
    <cellStyle name="Normal 3 23 8 3 2" xfId="29679" xr:uid="{00000000-0005-0000-0000-0000ED730000}"/>
    <cellStyle name="Normal 3 23 8 3 3" xfId="29680" xr:uid="{00000000-0005-0000-0000-0000EE730000}"/>
    <cellStyle name="Normal 3 23 8 3 4" xfId="29681" xr:uid="{00000000-0005-0000-0000-0000EF730000}"/>
    <cellStyle name="Normal 3 23 8 3 5" xfId="29682" xr:uid="{00000000-0005-0000-0000-0000F0730000}"/>
    <cellStyle name="Normal 3 23 8 3 6" xfId="29683" xr:uid="{00000000-0005-0000-0000-0000F1730000}"/>
    <cellStyle name="Normal 3 23 8 4" xfId="29684" xr:uid="{00000000-0005-0000-0000-0000F2730000}"/>
    <cellStyle name="Normal 3 23 8 5" xfId="29685" xr:uid="{00000000-0005-0000-0000-0000F3730000}"/>
    <cellStyle name="Normal 3 23 8 6" xfId="29686" xr:uid="{00000000-0005-0000-0000-0000F4730000}"/>
    <cellStyle name="Normal 3 23 8 7" xfId="29687" xr:uid="{00000000-0005-0000-0000-0000F5730000}"/>
    <cellStyle name="Normal 3 23 8 8" xfId="29688" xr:uid="{00000000-0005-0000-0000-0000F6730000}"/>
    <cellStyle name="Normal 3 23 9" xfId="29689" xr:uid="{00000000-0005-0000-0000-0000F7730000}"/>
    <cellStyle name="Normal 3 23 9 2" xfId="29690" xr:uid="{00000000-0005-0000-0000-0000F8730000}"/>
    <cellStyle name="Normal 3 23 9 3" xfId="29691" xr:uid="{00000000-0005-0000-0000-0000F9730000}"/>
    <cellStyle name="Normal 3 23 9 4" xfId="29692" xr:uid="{00000000-0005-0000-0000-0000FA730000}"/>
    <cellStyle name="Normal 3 23 9 5" xfId="29693" xr:uid="{00000000-0005-0000-0000-0000FB730000}"/>
    <cellStyle name="Normal 3 23 9 6" xfId="29694" xr:uid="{00000000-0005-0000-0000-0000FC730000}"/>
    <cellStyle name="Normal 3 24" xfId="29695" xr:uid="{00000000-0005-0000-0000-0000FD730000}"/>
    <cellStyle name="Normal 3 24 10" xfId="29696" xr:uid="{00000000-0005-0000-0000-0000FE730000}"/>
    <cellStyle name="Normal 3 24 11" xfId="29697" xr:uid="{00000000-0005-0000-0000-0000FF730000}"/>
    <cellStyle name="Normal 3 24 12" xfId="29698" xr:uid="{00000000-0005-0000-0000-000000740000}"/>
    <cellStyle name="Normal 3 24 13" xfId="29699" xr:uid="{00000000-0005-0000-0000-000001740000}"/>
    <cellStyle name="Normal 3 24 14" xfId="29700" xr:uid="{00000000-0005-0000-0000-000002740000}"/>
    <cellStyle name="Normal 3 24 2" xfId="29701" xr:uid="{00000000-0005-0000-0000-000003740000}"/>
    <cellStyle name="Normal 3 24 2 10" xfId="29702" xr:uid="{00000000-0005-0000-0000-000004740000}"/>
    <cellStyle name="Normal 3 24 2 11" xfId="29703" xr:uid="{00000000-0005-0000-0000-000005740000}"/>
    <cellStyle name="Normal 3 24 2 12" xfId="29704" xr:uid="{00000000-0005-0000-0000-000006740000}"/>
    <cellStyle name="Normal 3 24 2 2" xfId="29705" xr:uid="{00000000-0005-0000-0000-000007740000}"/>
    <cellStyle name="Normal 3 24 2 2 10" xfId="29706" xr:uid="{00000000-0005-0000-0000-000008740000}"/>
    <cellStyle name="Normal 3 24 2 2 11" xfId="29707" xr:uid="{00000000-0005-0000-0000-000009740000}"/>
    <cellStyle name="Normal 3 24 2 2 2" xfId="29708" xr:uid="{00000000-0005-0000-0000-00000A740000}"/>
    <cellStyle name="Normal 3 24 2 2 2 2" xfId="29709" xr:uid="{00000000-0005-0000-0000-00000B740000}"/>
    <cellStyle name="Normal 3 24 2 2 2 2 2" xfId="29710" xr:uid="{00000000-0005-0000-0000-00000C740000}"/>
    <cellStyle name="Normal 3 24 2 2 2 2 3" xfId="29711" xr:uid="{00000000-0005-0000-0000-00000D740000}"/>
    <cellStyle name="Normal 3 24 2 2 2 2 4" xfId="29712" xr:uid="{00000000-0005-0000-0000-00000E740000}"/>
    <cellStyle name="Normal 3 24 2 2 2 2 5" xfId="29713" xr:uid="{00000000-0005-0000-0000-00000F740000}"/>
    <cellStyle name="Normal 3 24 2 2 2 2 6" xfId="29714" xr:uid="{00000000-0005-0000-0000-000010740000}"/>
    <cellStyle name="Normal 3 24 2 2 2 3" xfId="29715" xr:uid="{00000000-0005-0000-0000-000011740000}"/>
    <cellStyle name="Normal 3 24 2 2 2 3 2" xfId="29716" xr:uid="{00000000-0005-0000-0000-000012740000}"/>
    <cellStyle name="Normal 3 24 2 2 2 3 3" xfId="29717" xr:uid="{00000000-0005-0000-0000-000013740000}"/>
    <cellStyle name="Normal 3 24 2 2 2 3 4" xfId="29718" xr:uid="{00000000-0005-0000-0000-000014740000}"/>
    <cellStyle name="Normal 3 24 2 2 2 3 5" xfId="29719" xr:uid="{00000000-0005-0000-0000-000015740000}"/>
    <cellStyle name="Normal 3 24 2 2 2 3 6" xfId="29720" xr:uid="{00000000-0005-0000-0000-000016740000}"/>
    <cellStyle name="Normal 3 24 2 2 2 4" xfId="29721" xr:uid="{00000000-0005-0000-0000-000017740000}"/>
    <cellStyle name="Normal 3 24 2 2 2 5" xfId="29722" xr:uid="{00000000-0005-0000-0000-000018740000}"/>
    <cellStyle name="Normal 3 24 2 2 2 6" xfId="29723" xr:uid="{00000000-0005-0000-0000-000019740000}"/>
    <cellStyle name="Normal 3 24 2 2 2 7" xfId="29724" xr:uid="{00000000-0005-0000-0000-00001A740000}"/>
    <cellStyle name="Normal 3 24 2 2 2 8" xfId="29725" xr:uid="{00000000-0005-0000-0000-00001B740000}"/>
    <cellStyle name="Normal 3 24 2 2 3" xfId="29726" xr:uid="{00000000-0005-0000-0000-00001C740000}"/>
    <cellStyle name="Normal 3 24 2 2 3 2" xfId="29727" xr:uid="{00000000-0005-0000-0000-00001D740000}"/>
    <cellStyle name="Normal 3 24 2 2 3 2 2" xfId="29728" xr:uid="{00000000-0005-0000-0000-00001E740000}"/>
    <cellStyle name="Normal 3 24 2 2 3 2 3" xfId="29729" xr:uid="{00000000-0005-0000-0000-00001F740000}"/>
    <cellStyle name="Normal 3 24 2 2 3 2 4" xfId="29730" xr:uid="{00000000-0005-0000-0000-000020740000}"/>
    <cellStyle name="Normal 3 24 2 2 3 2 5" xfId="29731" xr:uid="{00000000-0005-0000-0000-000021740000}"/>
    <cellStyle name="Normal 3 24 2 2 3 2 6" xfId="29732" xr:uid="{00000000-0005-0000-0000-000022740000}"/>
    <cellStyle name="Normal 3 24 2 2 3 3" xfId="29733" xr:uid="{00000000-0005-0000-0000-000023740000}"/>
    <cellStyle name="Normal 3 24 2 2 3 3 2" xfId="29734" xr:uid="{00000000-0005-0000-0000-000024740000}"/>
    <cellStyle name="Normal 3 24 2 2 3 3 3" xfId="29735" xr:uid="{00000000-0005-0000-0000-000025740000}"/>
    <cellStyle name="Normal 3 24 2 2 3 3 4" xfId="29736" xr:uid="{00000000-0005-0000-0000-000026740000}"/>
    <cellStyle name="Normal 3 24 2 2 3 3 5" xfId="29737" xr:uid="{00000000-0005-0000-0000-000027740000}"/>
    <cellStyle name="Normal 3 24 2 2 3 3 6" xfId="29738" xr:uid="{00000000-0005-0000-0000-000028740000}"/>
    <cellStyle name="Normal 3 24 2 2 3 4" xfId="29739" xr:uid="{00000000-0005-0000-0000-000029740000}"/>
    <cellStyle name="Normal 3 24 2 2 3 5" xfId="29740" xr:uid="{00000000-0005-0000-0000-00002A740000}"/>
    <cellStyle name="Normal 3 24 2 2 3 6" xfId="29741" xr:uid="{00000000-0005-0000-0000-00002B740000}"/>
    <cellStyle name="Normal 3 24 2 2 3 7" xfId="29742" xr:uid="{00000000-0005-0000-0000-00002C740000}"/>
    <cellStyle name="Normal 3 24 2 2 3 8" xfId="29743" xr:uid="{00000000-0005-0000-0000-00002D740000}"/>
    <cellStyle name="Normal 3 24 2 2 4" xfId="29744" xr:uid="{00000000-0005-0000-0000-00002E740000}"/>
    <cellStyle name="Normal 3 24 2 2 4 2" xfId="29745" xr:uid="{00000000-0005-0000-0000-00002F740000}"/>
    <cellStyle name="Normal 3 24 2 2 4 2 2" xfId="29746" xr:uid="{00000000-0005-0000-0000-000030740000}"/>
    <cellStyle name="Normal 3 24 2 2 4 2 3" xfId="29747" xr:uid="{00000000-0005-0000-0000-000031740000}"/>
    <cellStyle name="Normal 3 24 2 2 4 2 4" xfId="29748" xr:uid="{00000000-0005-0000-0000-000032740000}"/>
    <cellStyle name="Normal 3 24 2 2 4 2 5" xfId="29749" xr:uid="{00000000-0005-0000-0000-000033740000}"/>
    <cellStyle name="Normal 3 24 2 2 4 2 6" xfId="29750" xr:uid="{00000000-0005-0000-0000-000034740000}"/>
    <cellStyle name="Normal 3 24 2 2 4 3" xfId="29751" xr:uid="{00000000-0005-0000-0000-000035740000}"/>
    <cellStyle name="Normal 3 24 2 2 4 3 2" xfId="29752" xr:uid="{00000000-0005-0000-0000-000036740000}"/>
    <cellStyle name="Normal 3 24 2 2 4 3 3" xfId="29753" xr:uid="{00000000-0005-0000-0000-000037740000}"/>
    <cellStyle name="Normal 3 24 2 2 4 3 4" xfId="29754" xr:uid="{00000000-0005-0000-0000-000038740000}"/>
    <cellStyle name="Normal 3 24 2 2 4 3 5" xfId="29755" xr:uid="{00000000-0005-0000-0000-000039740000}"/>
    <cellStyle name="Normal 3 24 2 2 4 3 6" xfId="29756" xr:uid="{00000000-0005-0000-0000-00003A740000}"/>
    <cellStyle name="Normal 3 24 2 2 4 4" xfId="29757" xr:uid="{00000000-0005-0000-0000-00003B740000}"/>
    <cellStyle name="Normal 3 24 2 2 4 5" xfId="29758" xr:uid="{00000000-0005-0000-0000-00003C740000}"/>
    <cellStyle name="Normal 3 24 2 2 4 6" xfId="29759" xr:uid="{00000000-0005-0000-0000-00003D740000}"/>
    <cellStyle name="Normal 3 24 2 2 4 7" xfId="29760" xr:uid="{00000000-0005-0000-0000-00003E740000}"/>
    <cellStyle name="Normal 3 24 2 2 4 8" xfId="29761" xr:uid="{00000000-0005-0000-0000-00003F740000}"/>
    <cellStyle name="Normal 3 24 2 2 5" xfId="29762" xr:uid="{00000000-0005-0000-0000-000040740000}"/>
    <cellStyle name="Normal 3 24 2 2 5 2" xfId="29763" xr:uid="{00000000-0005-0000-0000-000041740000}"/>
    <cellStyle name="Normal 3 24 2 2 5 3" xfId="29764" xr:uid="{00000000-0005-0000-0000-000042740000}"/>
    <cellStyle name="Normal 3 24 2 2 5 4" xfId="29765" xr:uid="{00000000-0005-0000-0000-000043740000}"/>
    <cellStyle name="Normal 3 24 2 2 5 5" xfId="29766" xr:uid="{00000000-0005-0000-0000-000044740000}"/>
    <cellStyle name="Normal 3 24 2 2 5 6" xfId="29767" xr:uid="{00000000-0005-0000-0000-000045740000}"/>
    <cellStyle name="Normal 3 24 2 2 6" xfId="29768" xr:uid="{00000000-0005-0000-0000-000046740000}"/>
    <cellStyle name="Normal 3 24 2 2 6 2" xfId="29769" xr:uid="{00000000-0005-0000-0000-000047740000}"/>
    <cellStyle name="Normal 3 24 2 2 6 3" xfId="29770" xr:uid="{00000000-0005-0000-0000-000048740000}"/>
    <cellStyle name="Normal 3 24 2 2 6 4" xfId="29771" xr:uid="{00000000-0005-0000-0000-000049740000}"/>
    <cellStyle name="Normal 3 24 2 2 6 5" xfId="29772" xr:uid="{00000000-0005-0000-0000-00004A740000}"/>
    <cellStyle name="Normal 3 24 2 2 6 6" xfId="29773" xr:uid="{00000000-0005-0000-0000-00004B740000}"/>
    <cellStyle name="Normal 3 24 2 2 7" xfId="29774" xr:uid="{00000000-0005-0000-0000-00004C740000}"/>
    <cellStyle name="Normal 3 24 2 2 8" xfId="29775" xr:uid="{00000000-0005-0000-0000-00004D740000}"/>
    <cellStyle name="Normal 3 24 2 2 9" xfId="29776" xr:uid="{00000000-0005-0000-0000-00004E740000}"/>
    <cellStyle name="Normal 3 24 2 3" xfId="29777" xr:uid="{00000000-0005-0000-0000-00004F740000}"/>
    <cellStyle name="Normal 3 24 2 3 2" xfId="29778" xr:uid="{00000000-0005-0000-0000-000050740000}"/>
    <cellStyle name="Normal 3 24 2 3 2 2" xfId="29779" xr:uid="{00000000-0005-0000-0000-000051740000}"/>
    <cellStyle name="Normal 3 24 2 3 2 3" xfId="29780" xr:uid="{00000000-0005-0000-0000-000052740000}"/>
    <cellStyle name="Normal 3 24 2 3 2 4" xfId="29781" xr:uid="{00000000-0005-0000-0000-000053740000}"/>
    <cellStyle name="Normal 3 24 2 3 2 5" xfId="29782" xr:uid="{00000000-0005-0000-0000-000054740000}"/>
    <cellStyle name="Normal 3 24 2 3 2 6" xfId="29783" xr:uid="{00000000-0005-0000-0000-000055740000}"/>
    <cellStyle name="Normal 3 24 2 3 3" xfId="29784" xr:uid="{00000000-0005-0000-0000-000056740000}"/>
    <cellStyle name="Normal 3 24 2 3 3 2" xfId="29785" xr:uid="{00000000-0005-0000-0000-000057740000}"/>
    <cellStyle name="Normal 3 24 2 3 3 3" xfId="29786" xr:uid="{00000000-0005-0000-0000-000058740000}"/>
    <cellStyle name="Normal 3 24 2 3 3 4" xfId="29787" xr:uid="{00000000-0005-0000-0000-000059740000}"/>
    <cellStyle name="Normal 3 24 2 3 3 5" xfId="29788" xr:uid="{00000000-0005-0000-0000-00005A740000}"/>
    <cellStyle name="Normal 3 24 2 3 3 6" xfId="29789" xr:uid="{00000000-0005-0000-0000-00005B740000}"/>
    <cellStyle name="Normal 3 24 2 3 4" xfId="29790" xr:uid="{00000000-0005-0000-0000-00005C740000}"/>
    <cellStyle name="Normal 3 24 2 3 5" xfId="29791" xr:uid="{00000000-0005-0000-0000-00005D740000}"/>
    <cellStyle name="Normal 3 24 2 3 6" xfId="29792" xr:uid="{00000000-0005-0000-0000-00005E740000}"/>
    <cellStyle name="Normal 3 24 2 3 7" xfId="29793" xr:uid="{00000000-0005-0000-0000-00005F740000}"/>
    <cellStyle name="Normal 3 24 2 3 8" xfId="29794" xr:uid="{00000000-0005-0000-0000-000060740000}"/>
    <cellStyle name="Normal 3 24 2 4" xfId="29795" xr:uid="{00000000-0005-0000-0000-000061740000}"/>
    <cellStyle name="Normal 3 24 2 4 2" xfId="29796" xr:uid="{00000000-0005-0000-0000-000062740000}"/>
    <cellStyle name="Normal 3 24 2 4 2 2" xfId="29797" xr:uid="{00000000-0005-0000-0000-000063740000}"/>
    <cellStyle name="Normal 3 24 2 4 2 3" xfId="29798" xr:uid="{00000000-0005-0000-0000-000064740000}"/>
    <cellStyle name="Normal 3 24 2 4 2 4" xfId="29799" xr:uid="{00000000-0005-0000-0000-000065740000}"/>
    <cellStyle name="Normal 3 24 2 4 2 5" xfId="29800" xr:uid="{00000000-0005-0000-0000-000066740000}"/>
    <cellStyle name="Normal 3 24 2 4 2 6" xfId="29801" xr:uid="{00000000-0005-0000-0000-000067740000}"/>
    <cellStyle name="Normal 3 24 2 4 3" xfId="29802" xr:uid="{00000000-0005-0000-0000-000068740000}"/>
    <cellStyle name="Normal 3 24 2 4 3 2" xfId="29803" xr:uid="{00000000-0005-0000-0000-000069740000}"/>
    <cellStyle name="Normal 3 24 2 4 3 3" xfId="29804" xr:uid="{00000000-0005-0000-0000-00006A740000}"/>
    <cellStyle name="Normal 3 24 2 4 3 4" xfId="29805" xr:uid="{00000000-0005-0000-0000-00006B740000}"/>
    <cellStyle name="Normal 3 24 2 4 3 5" xfId="29806" xr:uid="{00000000-0005-0000-0000-00006C740000}"/>
    <cellStyle name="Normal 3 24 2 4 3 6" xfId="29807" xr:uid="{00000000-0005-0000-0000-00006D740000}"/>
    <cellStyle name="Normal 3 24 2 4 4" xfId="29808" xr:uid="{00000000-0005-0000-0000-00006E740000}"/>
    <cellStyle name="Normal 3 24 2 4 5" xfId="29809" xr:uid="{00000000-0005-0000-0000-00006F740000}"/>
    <cellStyle name="Normal 3 24 2 4 6" xfId="29810" xr:uid="{00000000-0005-0000-0000-000070740000}"/>
    <cellStyle name="Normal 3 24 2 4 7" xfId="29811" xr:uid="{00000000-0005-0000-0000-000071740000}"/>
    <cellStyle name="Normal 3 24 2 4 8" xfId="29812" xr:uid="{00000000-0005-0000-0000-000072740000}"/>
    <cellStyle name="Normal 3 24 2 5" xfId="29813" xr:uid="{00000000-0005-0000-0000-000073740000}"/>
    <cellStyle name="Normal 3 24 2 5 2" xfId="29814" xr:uid="{00000000-0005-0000-0000-000074740000}"/>
    <cellStyle name="Normal 3 24 2 5 2 2" xfId="29815" xr:uid="{00000000-0005-0000-0000-000075740000}"/>
    <cellStyle name="Normal 3 24 2 5 2 3" xfId="29816" xr:uid="{00000000-0005-0000-0000-000076740000}"/>
    <cellStyle name="Normal 3 24 2 5 2 4" xfId="29817" xr:uid="{00000000-0005-0000-0000-000077740000}"/>
    <cellStyle name="Normal 3 24 2 5 2 5" xfId="29818" xr:uid="{00000000-0005-0000-0000-000078740000}"/>
    <cellStyle name="Normal 3 24 2 5 2 6" xfId="29819" xr:uid="{00000000-0005-0000-0000-000079740000}"/>
    <cellStyle name="Normal 3 24 2 5 3" xfId="29820" xr:uid="{00000000-0005-0000-0000-00007A740000}"/>
    <cellStyle name="Normal 3 24 2 5 3 2" xfId="29821" xr:uid="{00000000-0005-0000-0000-00007B740000}"/>
    <cellStyle name="Normal 3 24 2 5 3 3" xfId="29822" xr:uid="{00000000-0005-0000-0000-00007C740000}"/>
    <cellStyle name="Normal 3 24 2 5 3 4" xfId="29823" xr:uid="{00000000-0005-0000-0000-00007D740000}"/>
    <cellStyle name="Normal 3 24 2 5 3 5" xfId="29824" xr:uid="{00000000-0005-0000-0000-00007E740000}"/>
    <cellStyle name="Normal 3 24 2 5 3 6" xfId="29825" xr:uid="{00000000-0005-0000-0000-00007F740000}"/>
    <cellStyle name="Normal 3 24 2 5 4" xfId="29826" xr:uid="{00000000-0005-0000-0000-000080740000}"/>
    <cellStyle name="Normal 3 24 2 5 5" xfId="29827" xr:uid="{00000000-0005-0000-0000-000081740000}"/>
    <cellStyle name="Normal 3 24 2 5 6" xfId="29828" xr:uid="{00000000-0005-0000-0000-000082740000}"/>
    <cellStyle name="Normal 3 24 2 5 7" xfId="29829" xr:uid="{00000000-0005-0000-0000-000083740000}"/>
    <cellStyle name="Normal 3 24 2 5 8" xfId="29830" xr:uid="{00000000-0005-0000-0000-000084740000}"/>
    <cellStyle name="Normal 3 24 2 6" xfId="29831" xr:uid="{00000000-0005-0000-0000-000085740000}"/>
    <cellStyle name="Normal 3 24 2 6 2" xfId="29832" xr:uid="{00000000-0005-0000-0000-000086740000}"/>
    <cellStyle name="Normal 3 24 2 6 3" xfId="29833" xr:uid="{00000000-0005-0000-0000-000087740000}"/>
    <cellStyle name="Normal 3 24 2 6 4" xfId="29834" xr:uid="{00000000-0005-0000-0000-000088740000}"/>
    <cellStyle name="Normal 3 24 2 6 5" xfId="29835" xr:uid="{00000000-0005-0000-0000-000089740000}"/>
    <cellStyle name="Normal 3 24 2 6 6" xfId="29836" xr:uid="{00000000-0005-0000-0000-00008A740000}"/>
    <cellStyle name="Normal 3 24 2 7" xfId="29837" xr:uid="{00000000-0005-0000-0000-00008B740000}"/>
    <cellStyle name="Normal 3 24 2 7 2" xfId="29838" xr:uid="{00000000-0005-0000-0000-00008C740000}"/>
    <cellStyle name="Normal 3 24 2 7 3" xfId="29839" xr:uid="{00000000-0005-0000-0000-00008D740000}"/>
    <cellStyle name="Normal 3 24 2 7 4" xfId="29840" xr:uid="{00000000-0005-0000-0000-00008E740000}"/>
    <cellStyle name="Normal 3 24 2 7 5" xfId="29841" xr:uid="{00000000-0005-0000-0000-00008F740000}"/>
    <cellStyle name="Normal 3 24 2 7 6" xfId="29842" xr:uid="{00000000-0005-0000-0000-000090740000}"/>
    <cellStyle name="Normal 3 24 2 8" xfId="29843" xr:uid="{00000000-0005-0000-0000-000091740000}"/>
    <cellStyle name="Normal 3 24 2 9" xfId="29844" xr:uid="{00000000-0005-0000-0000-000092740000}"/>
    <cellStyle name="Normal 3 24 3" xfId="29845" xr:uid="{00000000-0005-0000-0000-000093740000}"/>
    <cellStyle name="Normal 3 24 3 10" xfId="29846" xr:uid="{00000000-0005-0000-0000-000094740000}"/>
    <cellStyle name="Normal 3 24 3 11" xfId="29847" xr:uid="{00000000-0005-0000-0000-000095740000}"/>
    <cellStyle name="Normal 3 24 3 12" xfId="29848" xr:uid="{00000000-0005-0000-0000-000096740000}"/>
    <cellStyle name="Normal 3 24 3 2" xfId="29849" xr:uid="{00000000-0005-0000-0000-000097740000}"/>
    <cellStyle name="Normal 3 24 3 2 10" xfId="29850" xr:uid="{00000000-0005-0000-0000-000098740000}"/>
    <cellStyle name="Normal 3 24 3 2 11" xfId="29851" xr:uid="{00000000-0005-0000-0000-000099740000}"/>
    <cellStyle name="Normal 3 24 3 2 2" xfId="29852" xr:uid="{00000000-0005-0000-0000-00009A740000}"/>
    <cellStyle name="Normal 3 24 3 2 2 2" xfId="29853" xr:uid="{00000000-0005-0000-0000-00009B740000}"/>
    <cellStyle name="Normal 3 24 3 2 2 2 2" xfId="29854" xr:uid="{00000000-0005-0000-0000-00009C740000}"/>
    <cellStyle name="Normal 3 24 3 2 2 2 3" xfId="29855" xr:uid="{00000000-0005-0000-0000-00009D740000}"/>
    <cellStyle name="Normal 3 24 3 2 2 2 4" xfId="29856" xr:uid="{00000000-0005-0000-0000-00009E740000}"/>
    <cellStyle name="Normal 3 24 3 2 2 2 5" xfId="29857" xr:uid="{00000000-0005-0000-0000-00009F740000}"/>
    <cellStyle name="Normal 3 24 3 2 2 2 6" xfId="29858" xr:uid="{00000000-0005-0000-0000-0000A0740000}"/>
    <cellStyle name="Normal 3 24 3 2 2 3" xfId="29859" xr:uid="{00000000-0005-0000-0000-0000A1740000}"/>
    <cellStyle name="Normal 3 24 3 2 2 3 2" xfId="29860" xr:uid="{00000000-0005-0000-0000-0000A2740000}"/>
    <cellStyle name="Normal 3 24 3 2 2 3 3" xfId="29861" xr:uid="{00000000-0005-0000-0000-0000A3740000}"/>
    <cellStyle name="Normal 3 24 3 2 2 3 4" xfId="29862" xr:uid="{00000000-0005-0000-0000-0000A4740000}"/>
    <cellStyle name="Normal 3 24 3 2 2 3 5" xfId="29863" xr:uid="{00000000-0005-0000-0000-0000A5740000}"/>
    <cellStyle name="Normal 3 24 3 2 2 3 6" xfId="29864" xr:uid="{00000000-0005-0000-0000-0000A6740000}"/>
    <cellStyle name="Normal 3 24 3 2 2 4" xfId="29865" xr:uid="{00000000-0005-0000-0000-0000A7740000}"/>
    <cellStyle name="Normal 3 24 3 2 2 5" xfId="29866" xr:uid="{00000000-0005-0000-0000-0000A8740000}"/>
    <cellStyle name="Normal 3 24 3 2 2 6" xfId="29867" xr:uid="{00000000-0005-0000-0000-0000A9740000}"/>
    <cellStyle name="Normal 3 24 3 2 2 7" xfId="29868" xr:uid="{00000000-0005-0000-0000-0000AA740000}"/>
    <cellStyle name="Normal 3 24 3 2 2 8" xfId="29869" xr:uid="{00000000-0005-0000-0000-0000AB740000}"/>
    <cellStyle name="Normal 3 24 3 2 3" xfId="29870" xr:uid="{00000000-0005-0000-0000-0000AC740000}"/>
    <cellStyle name="Normal 3 24 3 2 3 2" xfId="29871" xr:uid="{00000000-0005-0000-0000-0000AD740000}"/>
    <cellStyle name="Normal 3 24 3 2 3 2 2" xfId="29872" xr:uid="{00000000-0005-0000-0000-0000AE740000}"/>
    <cellStyle name="Normal 3 24 3 2 3 2 3" xfId="29873" xr:uid="{00000000-0005-0000-0000-0000AF740000}"/>
    <cellStyle name="Normal 3 24 3 2 3 2 4" xfId="29874" xr:uid="{00000000-0005-0000-0000-0000B0740000}"/>
    <cellStyle name="Normal 3 24 3 2 3 2 5" xfId="29875" xr:uid="{00000000-0005-0000-0000-0000B1740000}"/>
    <cellStyle name="Normal 3 24 3 2 3 2 6" xfId="29876" xr:uid="{00000000-0005-0000-0000-0000B2740000}"/>
    <cellStyle name="Normal 3 24 3 2 3 3" xfId="29877" xr:uid="{00000000-0005-0000-0000-0000B3740000}"/>
    <cellStyle name="Normal 3 24 3 2 3 3 2" xfId="29878" xr:uid="{00000000-0005-0000-0000-0000B4740000}"/>
    <cellStyle name="Normal 3 24 3 2 3 3 3" xfId="29879" xr:uid="{00000000-0005-0000-0000-0000B5740000}"/>
    <cellStyle name="Normal 3 24 3 2 3 3 4" xfId="29880" xr:uid="{00000000-0005-0000-0000-0000B6740000}"/>
    <cellStyle name="Normal 3 24 3 2 3 3 5" xfId="29881" xr:uid="{00000000-0005-0000-0000-0000B7740000}"/>
    <cellStyle name="Normal 3 24 3 2 3 3 6" xfId="29882" xr:uid="{00000000-0005-0000-0000-0000B8740000}"/>
    <cellStyle name="Normal 3 24 3 2 3 4" xfId="29883" xr:uid="{00000000-0005-0000-0000-0000B9740000}"/>
    <cellStyle name="Normal 3 24 3 2 3 5" xfId="29884" xr:uid="{00000000-0005-0000-0000-0000BA740000}"/>
    <cellStyle name="Normal 3 24 3 2 3 6" xfId="29885" xr:uid="{00000000-0005-0000-0000-0000BB740000}"/>
    <cellStyle name="Normal 3 24 3 2 3 7" xfId="29886" xr:uid="{00000000-0005-0000-0000-0000BC740000}"/>
    <cellStyle name="Normal 3 24 3 2 3 8" xfId="29887" xr:uid="{00000000-0005-0000-0000-0000BD740000}"/>
    <cellStyle name="Normal 3 24 3 2 4" xfId="29888" xr:uid="{00000000-0005-0000-0000-0000BE740000}"/>
    <cellStyle name="Normal 3 24 3 2 4 2" xfId="29889" xr:uid="{00000000-0005-0000-0000-0000BF740000}"/>
    <cellStyle name="Normal 3 24 3 2 4 2 2" xfId="29890" xr:uid="{00000000-0005-0000-0000-0000C0740000}"/>
    <cellStyle name="Normal 3 24 3 2 4 2 3" xfId="29891" xr:uid="{00000000-0005-0000-0000-0000C1740000}"/>
    <cellStyle name="Normal 3 24 3 2 4 2 4" xfId="29892" xr:uid="{00000000-0005-0000-0000-0000C2740000}"/>
    <cellStyle name="Normal 3 24 3 2 4 2 5" xfId="29893" xr:uid="{00000000-0005-0000-0000-0000C3740000}"/>
    <cellStyle name="Normal 3 24 3 2 4 2 6" xfId="29894" xr:uid="{00000000-0005-0000-0000-0000C4740000}"/>
    <cellStyle name="Normal 3 24 3 2 4 3" xfId="29895" xr:uid="{00000000-0005-0000-0000-0000C5740000}"/>
    <cellStyle name="Normal 3 24 3 2 4 3 2" xfId="29896" xr:uid="{00000000-0005-0000-0000-0000C6740000}"/>
    <cellStyle name="Normal 3 24 3 2 4 3 3" xfId="29897" xr:uid="{00000000-0005-0000-0000-0000C7740000}"/>
    <cellStyle name="Normal 3 24 3 2 4 3 4" xfId="29898" xr:uid="{00000000-0005-0000-0000-0000C8740000}"/>
    <cellStyle name="Normal 3 24 3 2 4 3 5" xfId="29899" xr:uid="{00000000-0005-0000-0000-0000C9740000}"/>
    <cellStyle name="Normal 3 24 3 2 4 3 6" xfId="29900" xr:uid="{00000000-0005-0000-0000-0000CA740000}"/>
    <cellStyle name="Normal 3 24 3 2 4 4" xfId="29901" xr:uid="{00000000-0005-0000-0000-0000CB740000}"/>
    <cellStyle name="Normal 3 24 3 2 4 5" xfId="29902" xr:uid="{00000000-0005-0000-0000-0000CC740000}"/>
    <cellStyle name="Normal 3 24 3 2 4 6" xfId="29903" xr:uid="{00000000-0005-0000-0000-0000CD740000}"/>
    <cellStyle name="Normal 3 24 3 2 4 7" xfId="29904" xr:uid="{00000000-0005-0000-0000-0000CE740000}"/>
    <cellStyle name="Normal 3 24 3 2 4 8" xfId="29905" xr:uid="{00000000-0005-0000-0000-0000CF740000}"/>
    <cellStyle name="Normal 3 24 3 2 5" xfId="29906" xr:uid="{00000000-0005-0000-0000-0000D0740000}"/>
    <cellStyle name="Normal 3 24 3 2 5 2" xfId="29907" xr:uid="{00000000-0005-0000-0000-0000D1740000}"/>
    <cellStyle name="Normal 3 24 3 2 5 3" xfId="29908" xr:uid="{00000000-0005-0000-0000-0000D2740000}"/>
    <cellStyle name="Normal 3 24 3 2 5 4" xfId="29909" xr:uid="{00000000-0005-0000-0000-0000D3740000}"/>
    <cellStyle name="Normal 3 24 3 2 5 5" xfId="29910" xr:uid="{00000000-0005-0000-0000-0000D4740000}"/>
    <cellStyle name="Normal 3 24 3 2 5 6" xfId="29911" xr:uid="{00000000-0005-0000-0000-0000D5740000}"/>
    <cellStyle name="Normal 3 24 3 2 6" xfId="29912" xr:uid="{00000000-0005-0000-0000-0000D6740000}"/>
    <cellStyle name="Normal 3 24 3 2 6 2" xfId="29913" xr:uid="{00000000-0005-0000-0000-0000D7740000}"/>
    <cellStyle name="Normal 3 24 3 2 6 3" xfId="29914" xr:uid="{00000000-0005-0000-0000-0000D8740000}"/>
    <cellStyle name="Normal 3 24 3 2 6 4" xfId="29915" xr:uid="{00000000-0005-0000-0000-0000D9740000}"/>
    <cellStyle name="Normal 3 24 3 2 6 5" xfId="29916" xr:uid="{00000000-0005-0000-0000-0000DA740000}"/>
    <cellStyle name="Normal 3 24 3 2 6 6" xfId="29917" xr:uid="{00000000-0005-0000-0000-0000DB740000}"/>
    <cellStyle name="Normal 3 24 3 2 7" xfId="29918" xr:uid="{00000000-0005-0000-0000-0000DC740000}"/>
    <cellStyle name="Normal 3 24 3 2 8" xfId="29919" xr:uid="{00000000-0005-0000-0000-0000DD740000}"/>
    <cellStyle name="Normal 3 24 3 2 9" xfId="29920" xr:uid="{00000000-0005-0000-0000-0000DE740000}"/>
    <cellStyle name="Normal 3 24 3 3" xfId="29921" xr:uid="{00000000-0005-0000-0000-0000DF740000}"/>
    <cellStyle name="Normal 3 24 3 3 2" xfId="29922" xr:uid="{00000000-0005-0000-0000-0000E0740000}"/>
    <cellStyle name="Normal 3 24 3 3 2 2" xfId="29923" xr:uid="{00000000-0005-0000-0000-0000E1740000}"/>
    <cellStyle name="Normal 3 24 3 3 2 3" xfId="29924" xr:uid="{00000000-0005-0000-0000-0000E2740000}"/>
    <cellStyle name="Normal 3 24 3 3 2 4" xfId="29925" xr:uid="{00000000-0005-0000-0000-0000E3740000}"/>
    <cellStyle name="Normal 3 24 3 3 2 5" xfId="29926" xr:uid="{00000000-0005-0000-0000-0000E4740000}"/>
    <cellStyle name="Normal 3 24 3 3 2 6" xfId="29927" xr:uid="{00000000-0005-0000-0000-0000E5740000}"/>
    <cellStyle name="Normal 3 24 3 3 3" xfId="29928" xr:uid="{00000000-0005-0000-0000-0000E6740000}"/>
    <cellStyle name="Normal 3 24 3 3 3 2" xfId="29929" xr:uid="{00000000-0005-0000-0000-0000E7740000}"/>
    <cellStyle name="Normal 3 24 3 3 3 3" xfId="29930" xr:uid="{00000000-0005-0000-0000-0000E8740000}"/>
    <cellStyle name="Normal 3 24 3 3 3 4" xfId="29931" xr:uid="{00000000-0005-0000-0000-0000E9740000}"/>
    <cellStyle name="Normal 3 24 3 3 3 5" xfId="29932" xr:uid="{00000000-0005-0000-0000-0000EA740000}"/>
    <cellStyle name="Normal 3 24 3 3 3 6" xfId="29933" xr:uid="{00000000-0005-0000-0000-0000EB740000}"/>
    <cellStyle name="Normal 3 24 3 3 4" xfId="29934" xr:uid="{00000000-0005-0000-0000-0000EC740000}"/>
    <cellStyle name="Normal 3 24 3 3 5" xfId="29935" xr:uid="{00000000-0005-0000-0000-0000ED740000}"/>
    <cellStyle name="Normal 3 24 3 3 6" xfId="29936" xr:uid="{00000000-0005-0000-0000-0000EE740000}"/>
    <cellStyle name="Normal 3 24 3 3 7" xfId="29937" xr:uid="{00000000-0005-0000-0000-0000EF740000}"/>
    <cellStyle name="Normal 3 24 3 3 8" xfId="29938" xr:uid="{00000000-0005-0000-0000-0000F0740000}"/>
    <cellStyle name="Normal 3 24 3 4" xfId="29939" xr:uid="{00000000-0005-0000-0000-0000F1740000}"/>
    <cellStyle name="Normal 3 24 3 4 2" xfId="29940" xr:uid="{00000000-0005-0000-0000-0000F2740000}"/>
    <cellStyle name="Normal 3 24 3 4 2 2" xfId="29941" xr:uid="{00000000-0005-0000-0000-0000F3740000}"/>
    <cellStyle name="Normal 3 24 3 4 2 3" xfId="29942" xr:uid="{00000000-0005-0000-0000-0000F4740000}"/>
    <cellStyle name="Normal 3 24 3 4 2 4" xfId="29943" xr:uid="{00000000-0005-0000-0000-0000F5740000}"/>
    <cellStyle name="Normal 3 24 3 4 2 5" xfId="29944" xr:uid="{00000000-0005-0000-0000-0000F6740000}"/>
    <cellStyle name="Normal 3 24 3 4 2 6" xfId="29945" xr:uid="{00000000-0005-0000-0000-0000F7740000}"/>
    <cellStyle name="Normal 3 24 3 4 3" xfId="29946" xr:uid="{00000000-0005-0000-0000-0000F8740000}"/>
    <cellStyle name="Normal 3 24 3 4 3 2" xfId="29947" xr:uid="{00000000-0005-0000-0000-0000F9740000}"/>
    <cellStyle name="Normal 3 24 3 4 3 3" xfId="29948" xr:uid="{00000000-0005-0000-0000-0000FA740000}"/>
    <cellStyle name="Normal 3 24 3 4 3 4" xfId="29949" xr:uid="{00000000-0005-0000-0000-0000FB740000}"/>
    <cellStyle name="Normal 3 24 3 4 3 5" xfId="29950" xr:uid="{00000000-0005-0000-0000-0000FC740000}"/>
    <cellStyle name="Normal 3 24 3 4 3 6" xfId="29951" xr:uid="{00000000-0005-0000-0000-0000FD740000}"/>
    <cellStyle name="Normal 3 24 3 4 4" xfId="29952" xr:uid="{00000000-0005-0000-0000-0000FE740000}"/>
    <cellStyle name="Normal 3 24 3 4 5" xfId="29953" xr:uid="{00000000-0005-0000-0000-0000FF740000}"/>
    <cellStyle name="Normal 3 24 3 4 6" xfId="29954" xr:uid="{00000000-0005-0000-0000-000000750000}"/>
    <cellStyle name="Normal 3 24 3 4 7" xfId="29955" xr:uid="{00000000-0005-0000-0000-000001750000}"/>
    <cellStyle name="Normal 3 24 3 4 8" xfId="29956" xr:uid="{00000000-0005-0000-0000-000002750000}"/>
    <cellStyle name="Normal 3 24 3 5" xfId="29957" xr:uid="{00000000-0005-0000-0000-000003750000}"/>
    <cellStyle name="Normal 3 24 3 5 2" xfId="29958" xr:uid="{00000000-0005-0000-0000-000004750000}"/>
    <cellStyle name="Normal 3 24 3 5 2 2" xfId="29959" xr:uid="{00000000-0005-0000-0000-000005750000}"/>
    <cellStyle name="Normal 3 24 3 5 2 3" xfId="29960" xr:uid="{00000000-0005-0000-0000-000006750000}"/>
    <cellStyle name="Normal 3 24 3 5 2 4" xfId="29961" xr:uid="{00000000-0005-0000-0000-000007750000}"/>
    <cellStyle name="Normal 3 24 3 5 2 5" xfId="29962" xr:uid="{00000000-0005-0000-0000-000008750000}"/>
    <cellStyle name="Normal 3 24 3 5 2 6" xfId="29963" xr:uid="{00000000-0005-0000-0000-000009750000}"/>
    <cellStyle name="Normal 3 24 3 5 3" xfId="29964" xr:uid="{00000000-0005-0000-0000-00000A750000}"/>
    <cellStyle name="Normal 3 24 3 5 3 2" xfId="29965" xr:uid="{00000000-0005-0000-0000-00000B750000}"/>
    <cellStyle name="Normal 3 24 3 5 3 3" xfId="29966" xr:uid="{00000000-0005-0000-0000-00000C750000}"/>
    <cellStyle name="Normal 3 24 3 5 3 4" xfId="29967" xr:uid="{00000000-0005-0000-0000-00000D750000}"/>
    <cellStyle name="Normal 3 24 3 5 3 5" xfId="29968" xr:uid="{00000000-0005-0000-0000-00000E750000}"/>
    <cellStyle name="Normal 3 24 3 5 3 6" xfId="29969" xr:uid="{00000000-0005-0000-0000-00000F750000}"/>
    <cellStyle name="Normal 3 24 3 5 4" xfId="29970" xr:uid="{00000000-0005-0000-0000-000010750000}"/>
    <cellStyle name="Normal 3 24 3 5 5" xfId="29971" xr:uid="{00000000-0005-0000-0000-000011750000}"/>
    <cellStyle name="Normal 3 24 3 5 6" xfId="29972" xr:uid="{00000000-0005-0000-0000-000012750000}"/>
    <cellStyle name="Normal 3 24 3 5 7" xfId="29973" xr:uid="{00000000-0005-0000-0000-000013750000}"/>
    <cellStyle name="Normal 3 24 3 5 8" xfId="29974" xr:uid="{00000000-0005-0000-0000-000014750000}"/>
    <cellStyle name="Normal 3 24 3 6" xfId="29975" xr:uid="{00000000-0005-0000-0000-000015750000}"/>
    <cellStyle name="Normal 3 24 3 6 2" xfId="29976" xr:uid="{00000000-0005-0000-0000-000016750000}"/>
    <cellStyle name="Normal 3 24 3 6 3" xfId="29977" xr:uid="{00000000-0005-0000-0000-000017750000}"/>
    <cellStyle name="Normal 3 24 3 6 4" xfId="29978" xr:uid="{00000000-0005-0000-0000-000018750000}"/>
    <cellStyle name="Normal 3 24 3 6 5" xfId="29979" xr:uid="{00000000-0005-0000-0000-000019750000}"/>
    <cellStyle name="Normal 3 24 3 6 6" xfId="29980" xr:uid="{00000000-0005-0000-0000-00001A750000}"/>
    <cellStyle name="Normal 3 24 3 7" xfId="29981" xr:uid="{00000000-0005-0000-0000-00001B750000}"/>
    <cellStyle name="Normal 3 24 3 7 2" xfId="29982" xr:uid="{00000000-0005-0000-0000-00001C750000}"/>
    <cellStyle name="Normal 3 24 3 7 3" xfId="29983" xr:uid="{00000000-0005-0000-0000-00001D750000}"/>
    <cellStyle name="Normal 3 24 3 7 4" xfId="29984" xr:uid="{00000000-0005-0000-0000-00001E750000}"/>
    <cellStyle name="Normal 3 24 3 7 5" xfId="29985" xr:uid="{00000000-0005-0000-0000-00001F750000}"/>
    <cellStyle name="Normal 3 24 3 7 6" xfId="29986" xr:uid="{00000000-0005-0000-0000-000020750000}"/>
    <cellStyle name="Normal 3 24 3 8" xfId="29987" xr:uid="{00000000-0005-0000-0000-000021750000}"/>
    <cellStyle name="Normal 3 24 3 9" xfId="29988" xr:uid="{00000000-0005-0000-0000-000022750000}"/>
    <cellStyle name="Normal 3 24 4" xfId="29989" xr:uid="{00000000-0005-0000-0000-000023750000}"/>
    <cellStyle name="Normal 3 24 4 10" xfId="29990" xr:uid="{00000000-0005-0000-0000-000024750000}"/>
    <cellStyle name="Normal 3 24 4 11" xfId="29991" xr:uid="{00000000-0005-0000-0000-000025750000}"/>
    <cellStyle name="Normal 3 24 4 2" xfId="29992" xr:uid="{00000000-0005-0000-0000-000026750000}"/>
    <cellStyle name="Normal 3 24 4 2 2" xfId="29993" xr:uid="{00000000-0005-0000-0000-000027750000}"/>
    <cellStyle name="Normal 3 24 4 2 2 2" xfId="29994" xr:uid="{00000000-0005-0000-0000-000028750000}"/>
    <cellStyle name="Normal 3 24 4 2 2 3" xfId="29995" xr:uid="{00000000-0005-0000-0000-000029750000}"/>
    <cellStyle name="Normal 3 24 4 2 2 4" xfId="29996" xr:uid="{00000000-0005-0000-0000-00002A750000}"/>
    <cellStyle name="Normal 3 24 4 2 2 5" xfId="29997" xr:uid="{00000000-0005-0000-0000-00002B750000}"/>
    <cellStyle name="Normal 3 24 4 2 2 6" xfId="29998" xr:uid="{00000000-0005-0000-0000-00002C750000}"/>
    <cellStyle name="Normal 3 24 4 2 3" xfId="29999" xr:uid="{00000000-0005-0000-0000-00002D750000}"/>
    <cellStyle name="Normal 3 24 4 2 3 2" xfId="30000" xr:uid="{00000000-0005-0000-0000-00002E750000}"/>
    <cellStyle name="Normal 3 24 4 2 3 3" xfId="30001" xr:uid="{00000000-0005-0000-0000-00002F750000}"/>
    <cellStyle name="Normal 3 24 4 2 3 4" xfId="30002" xr:uid="{00000000-0005-0000-0000-000030750000}"/>
    <cellStyle name="Normal 3 24 4 2 3 5" xfId="30003" xr:uid="{00000000-0005-0000-0000-000031750000}"/>
    <cellStyle name="Normal 3 24 4 2 3 6" xfId="30004" xr:uid="{00000000-0005-0000-0000-000032750000}"/>
    <cellStyle name="Normal 3 24 4 2 4" xfId="30005" xr:uid="{00000000-0005-0000-0000-000033750000}"/>
    <cellStyle name="Normal 3 24 4 2 5" xfId="30006" xr:uid="{00000000-0005-0000-0000-000034750000}"/>
    <cellStyle name="Normal 3 24 4 2 6" xfId="30007" xr:uid="{00000000-0005-0000-0000-000035750000}"/>
    <cellStyle name="Normal 3 24 4 2 7" xfId="30008" xr:uid="{00000000-0005-0000-0000-000036750000}"/>
    <cellStyle name="Normal 3 24 4 2 8" xfId="30009" xr:uid="{00000000-0005-0000-0000-000037750000}"/>
    <cellStyle name="Normal 3 24 4 3" xfId="30010" xr:uid="{00000000-0005-0000-0000-000038750000}"/>
    <cellStyle name="Normal 3 24 4 3 2" xfId="30011" xr:uid="{00000000-0005-0000-0000-000039750000}"/>
    <cellStyle name="Normal 3 24 4 3 2 2" xfId="30012" xr:uid="{00000000-0005-0000-0000-00003A750000}"/>
    <cellStyle name="Normal 3 24 4 3 2 3" xfId="30013" xr:uid="{00000000-0005-0000-0000-00003B750000}"/>
    <cellStyle name="Normal 3 24 4 3 2 4" xfId="30014" xr:uid="{00000000-0005-0000-0000-00003C750000}"/>
    <cellStyle name="Normal 3 24 4 3 2 5" xfId="30015" xr:uid="{00000000-0005-0000-0000-00003D750000}"/>
    <cellStyle name="Normal 3 24 4 3 2 6" xfId="30016" xr:uid="{00000000-0005-0000-0000-00003E750000}"/>
    <cellStyle name="Normal 3 24 4 3 3" xfId="30017" xr:uid="{00000000-0005-0000-0000-00003F750000}"/>
    <cellStyle name="Normal 3 24 4 3 3 2" xfId="30018" xr:uid="{00000000-0005-0000-0000-000040750000}"/>
    <cellStyle name="Normal 3 24 4 3 3 3" xfId="30019" xr:uid="{00000000-0005-0000-0000-000041750000}"/>
    <cellStyle name="Normal 3 24 4 3 3 4" xfId="30020" xr:uid="{00000000-0005-0000-0000-000042750000}"/>
    <cellStyle name="Normal 3 24 4 3 3 5" xfId="30021" xr:uid="{00000000-0005-0000-0000-000043750000}"/>
    <cellStyle name="Normal 3 24 4 3 3 6" xfId="30022" xr:uid="{00000000-0005-0000-0000-000044750000}"/>
    <cellStyle name="Normal 3 24 4 3 4" xfId="30023" xr:uid="{00000000-0005-0000-0000-000045750000}"/>
    <cellStyle name="Normal 3 24 4 3 5" xfId="30024" xr:uid="{00000000-0005-0000-0000-000046750000}"/>
    <cellStyle name="Normal 3 24 4 3 6" xfId="30025" xr:uid="{00000000-0005-0000-0000-000047750000}"/>
    <cellStyle name="Normal 3 24 4 3 7" xfId="30026" xr:uid="{00000000-0005-0000-0000-000048750000}"/>
    <cellStyle name="Normal 3 24 4 3 8" xfId="30027" xr:uid="{00000000-0005-0000-0000-000049750000}"/>
    <cellStyle name="Normal 3 24 4 4" xfId="30028" xr:uid="{00000000-0005-0000-0000-00004A750000}"/>
    <cellStyle name="Normal 3 24 4 4 2" xfId="30029" xr:uid="{00000000-0005-0000-0000-00004B750000}"/>
    <cellStyle name="Normal 3 24 4 4 2 2" xfId="30030" xr:uid="{00000000-0005-0000-0000-00004C750000}"/>
    <cellStyle name="Normal 3 24 4 4 2 3" xfId="30031" xr:uid="{00000000-0005-0000-0000-00004D750000}"/>
    <cellStyle name="Normal 3 24 4 4 2 4" xfId="30032" xr:uid="{00000000-0005-0000-0000-00004E750000}"/>
    <cellStyle name="Normal 3 24 4 4 2 5" xfId="30033" xr:uid="{00000000-0005-0000-0000-00004F750000}"/>
    <cellStyle name="Normal 3 24 4 4 2 6" xfId="30034" xr:uid="{00000000-0005-0000-0000-000050750000}"/>
    <cellStyle name="Normal 3 24 4 4 3" xfId="30035" xr:uid="{00000000-0005-0000-0000-000051750000}"/>
    <cellStyle name="Normal 3 24 4 4 3 2" xfId="30036" xr:uid="{00000000-0005-0000-0000-000052750000}"/>
    <cellStyle name="Normal 3 24 4 4 3 3" xfId="30037" xr:uid="{00000000-0005-0000-0000-000053750000}"/>
    <cellStyle name="Normal 3 24 4 4 3 4" xfId="30038" xr:uid="{00000000-0005-0000-0000-000054750000}"/>
    <cellStyle name="Normal 3 24 4 4 3 5" xfId="30039" xr:uid="{00000000-0005-0000-0000-000055750000}"/>
    <cellStyle name="Normal 3 24 4 4 3 6" xfId="30040" xr:uid="{00000000-0005-0000-0000-000056750000}"/>
    <cellStyle name="Normal 3 24 4 4 4" xfId="30041" xr:uid="{00000000-0005-0000-0000-000057750000}"/>
    <cellStyle name="Normal 3 24 4 4 5" xfId="30042" xr:uid="{00000000-0005-0000-0000-000058750000}"/>
    <cellStyle name="Normal 3 24 4 4 6" xfId="30043" xr:uid="{00000000-0005-0000-0000-000059750000}"/>
    <cellStyle name="Normal 3 24 4 4 7" xfId="30044" xr:uid="{00000000-0005-0000-0000-00005A750000}"/>
    <cellStyle name="Normal 3 24 4 4 8" xfId="30045" xr:uid="{00000000-0005-0000-0000-00005B750000}"/>
    <cellStyle name="Normal 3 24 4 5" xfId="30046" xr:uid="{00000000-0005-0000-0000-00005C750000}"/>
    <cellStyle name="Normal 3 24 4 5 2" xfId="30047" xr:uid="{00000000-0005-0000-0000-00005D750000}"/>
    <cellStyle name="Normal 3 24 4 5 3" xfId="30048" xr:uid="{00000000-0005-0000-0000-00005E750000}"/>
    <cellStyle name="Normal 3 24 4 5 4" xfId="30049" xr:uid="{00000000-0005-0000-0000-00005F750000}"/>
    <cellStyle name="Normal 3 24 4 5 5" xfId="30050" xr:uid="{00000000-0005-0000-0000-000060750000}"/>
    <cellStyle name="Normal 3 24 4 5 6" xfId="30051" xr:uid="{00000000-0005-0000-0000-000061750000}"/>
    <cellStyle name="Normal 3 24 4 6" xfId="30052" xr:uid="{00000000-0005-0000-0000-000062750000}"/>
    <cellStyle name="Normal 3 24 4 6 2" xfId="30053" xr:uid="{00000000-0005-0000-0000-000063750000}"/>
    <cellStyle name="Normal 3 24 4 6 3" xfId="30054" xr:uid="{00000000-0005-0000-0000-000064750000}"/>
    <cellStyle name="Normal 3 24 4 6 4" xfId="30055" xr:uid="{00000000-0005-0000-0000-000065750000}"/>
    <cellStyle name="Normal 3 24 4 6 5" xfId="30056" xr:uid="{00000000-0005-0000-0000-000066750000}"/>
    <cellStyle name="Normal 3 24 4 6 6" xfId="30057" xr:uid="{00000000-0005-0000-0000-000067750000}"/>
    <cellStyle name="Normal 3 24 4 7" xfId="30058" xr:uid="{00000000-0005-0000-0000-000068750000}"/>
    <cellStyle name="Normal 3 24 4 8" xfId="30059" xr:uid="{00000000-0005-0000-0000-000069750000}"/>
    <cellStyle name="Normal 3 24 4 9" xfId="30060" xr:uid="{00000000-0005-0000-0000-00006A750000}"/>
    <cellStyle name="Normal 3 24 5" xfId="30061" xr:uid="{00000000-0005-0000-0000-00006B750000}"/>
    <cellStyle name="Normal 3 24 5 2" xfId="30062" xr:uid="{00000000-0005-0000-0000-00006C750000}"/>
    <cellStyle name="Normal 3 24 5 2 2" xfId="30063" xr:uid="{00000000-0005-0000-0000-00006D750000}"/>
    <cellStyle name="Normal 3 24 5 2 3" xfId="30064" xr:uid="{00000000-0005-0000-0000-00006E750000}"/>
    <cellStyle name="Normal 3 24 5 2 4" xfId="30065" xr:uid="{00000000-0005-0000-0000-00006F750000}"/>
    <cellStyle name="Normal 3 24 5 2 5" xfId="30066" xr:uid="{00000000-0005-0000-0000-000070750000}"/>
    <cellStyle name="Normal 3 24 5 2 6" xfId="30067" xr:uid="{00000000-0005-0000-0000-000071750000}"/>
    <cellStyle name="Normal 3 24 5 3" xfId="30068" xr:uid="{00000000-0005-0000-0000-000072750000}"/>
    <cellStyle name="Normal 3 24 5 3 2" xfId="30069" xr:uid="{00000000-0005-0000-0000-000073750000}"/>
    <cellStyle name="Normal 3 24 5 3 3" xfId="30070" xr:uid="{00000000-0005-0000-0000-000074750000}"/>
    <cellStyle name="Normal 3 24 5 3 4" xfId="30071" xr:uid="{00000000-0005-0000-0000-000075750000}"/>
    <cellStyle name="Normal 3 24 5 3 5" xfId="30072" xr:uid="{00000000-0005-0000-0000-000076750000}"/>
    <cellStyle name="Normal 3 24 5 3 6" xfId="30073" xr:uid="{00000000-0005-0000-0000-000077750000}"/>
    <cellStyle name="Normal 3 24 5 4" xfId="30074" xr:uid="{00000000-0005-0000-0000-000078750000}"/>
    <cellStyle name="Normal 3 24 5 5" xfId="30075" xr:uid="{00000000-0005-0000-0000-000079750000}"/>
    <cellStyle name="Normal 3 24 5 6" xfId="30076" xr:uid="{00000000-0005-0000-0000-00007A750000}"/>
    <cellStyle name="Normal 3 24 5 7" xfId="30077" xr:uid="{00000000-0005-0000-0000-00007B750000}"/>
    <cellStyle name="Normal 3 24 5 8" xfId="30078" xr:uid="{00000000-0005-0000-0000-00007C750000}"/>
    <cellStyle name="Normal 3 24 6" xfId="30079" xr:uid="{00000000-0005-0000-0000-00007D750000}"/>
    <cellStyle name="Normal 3 24 6 2" xfId="30080" xr:uid="{00000000-0005-0000-0000-00007E750000}"/>
    <cellStyle name="Normal 3 24 6 2 2" xfId="30081" xr:uid="{00000000-0005-0000-0000-00007F750000}"/>
    <cellStyle name="Normal 3 24 6 2 3" xfId="30082" xr:uid="{00000000-0005-0000-0000-000080750000}"/>
    <cellStyle name="Normal 3 24 6 2 4" xfId="30083" xr:uid="{00000000-0005-0000-0000-000081750000}"/>
    <cellStyle name="Normal 3 24 6 2 5" xfId="30084" xr:uid="{00000000-0005-0000-0000-000082750000}"/>
    <cellStyle name="Normal 3 24 6 2 6" xfId="30085" xr:uid="{00000000-0005-0000-0000-000083750000}"/>
    <cellStyle name="Normal 3 24 6 3" xfId="30086" xr:uid="{00000000-0005-0000-0000-000084750000}"/>
    <cellStyle name="Normal 3 24 6 3 2" xfId="30087" xr:uid="{00000000-0005-0000-0000-000085750000}"/>
    <cellStyle name="Normal 3 24 6 3 3" xfId="30088" xr:uid="{00000000-0005-0000-0000-000086750000}"/>
    <cellStyle name="Normal 3 24 6 3 4" xfId="30089" xr:uid="{00000000-0005-0000-0000-000087750000}"/>
    <cellStyle name="Normal 3 24 6 3 5" xfId="30090" xr:uid="{00000000-0005-0000-0000-000088750000}"/>
    <cellStyle name="Normal 3 24 6 3 6" xfId="30091" xr:uid="{00000000-0005-0000-0000-000089750000}"/>
    <cellStyle name="Normal 3 24 6 4" xfId="30092" xr:uid="{00000000-0005-0000-0000-00008A750000}"/>
    <cellStyle name="Normal 3 24 6 5" xfId="30093" xr:uid="{00000000-0005-0000-0000-00008B750000}"/>
    <cellStyle name="Normal 3 24 6 6" xfId="30094" xr:uid="{00000000-0005-0000-0000-00008C750000}"/>
    <cellStyle name="Normal 3 24 6 7" xfId="30095" xr:uid="{00000000-0005-0000-0000-00008D750000}"/>
    <cellStyle name="Normal 3 24 6 8" xfId="30096" xr:uid="{00000000-0005-0000-0000-00008E750000}"/>
    <cellStyle name="Normal 3 24 7" xfId="30097" xr:uid="{00000000-0005-0000-0000-00008F750000}"/>
    <cellStyle name="Normal 3 24 7 2" xfId="30098" xr:uid="{00000000-0005-0000-0000-000090750000}"/>
    <cellStyle name="Normal 3 24 7 2 2" xfId="30099" xr:uid="{00000000-0005-0000-0000-000091750000}"/>
    <cellStyle name="Normal 3 24 7 2 3" xfId="30100" xr:uid="{00000000-0005-0000-0000-000092750000}"/>
    <cellStyle name="Normal 3 24 7 2 4" xfId="30101" xr:uid="{00000000-0005-0000-0000-000093750000}"/>
    <cellStyle name="Normal 3 24 7 2 5" xfId="30102" xr:uid="{00000000-0005-0000-0000-000094750000}"/>
    <cellStyle name="Normal 3 24 7 2 6" xfId="30103" xr:uid="{00000000-0005-0000-0000-000095750000}"/>
    <cellStyle name="Normal 3 24 7 3" xfId="30104" xr:uid="{00000000-0005-0000-0000-000096750000}"/>
    <cellStyle name="Normal 3 24 7 3 2" xfId="30105" xr:uid="{00000000-0005-0000-0000-000097750000}"/>
    <cellStyle name="Normal 3 24 7 3 3" xfId="30106" xr:uid="{00000000-0005-0000-0000-000098750000}"/>
    <cellStyle name="Normal 3 24 7 3 4" xfId="30107" xr:uid="{00000000-0005-0000-0000-000099750000}"/>
    <cellStyle name="Normal 3 24 7 3 5" xfId="30108" xr:uid="{00000000-0005-0000-0000-00009A750000}"/>
    <cellStyle name="Normal 3 24 7 3 6" xfId="30109" xr:uid="{00000000-0005-0000-0000-00009B750000}"/>
    <cellStyle name="Normal 3 24 7 4" xfId="30110" xr:uid="{00000000-0005-0000-0000-00009C750000}"/>
    <cellStyle name="Normal 3 24 7 5" xfId="30111" xr:uid="{00000000-0005-0000-0000-00009D750000}"/>
    <cellStyle name="Normal 3 24 7 6" xfId="30112" xr:uid="{00000000-0005-0000-0000-00009E750000}"/>
    <cellStyle name="Normal 3 24 7 7" xfId="30113" xr:uid="{00000000-0005-0000-0000-00009F750000}"/>
    <cellStyle name="Normal 3 24 7 8" xfId="30114" xr:uid="{00000000-0005-0000-0000-0000A0750000}"/>
    <cellStyle name="Normal 3 24 8" xfId="30115" xr:uid="{00000000-0005-0000-0000-0000A1750000}"/>
    <cellStyle name="Normal 3 24 8 2" xfId="30116" xr:uid="{00000000-0005-0000-0000-0000A2750000}"/>
    <cellStyle name="Normal 3 24 8 3" xfId="30117" xr:uid="{00000000-0005-0000-0000-0000A3750000}"/>
    <cellStyle name="Normal 3 24 8 4" xfId="30118" xr:uid="{00000000-0005-0000-0000-0000A4750000}"/>
    <cellStyle name="Normal 3 24 8 5" xfId="30119" xr:uid="{00000000-0005-0000-0000-0000A5750000}"/>
    <cellStyle name="Normal 3 24 8 6" xfId="30120" xr:uid="{00000000-0005-0000-0000-0000A6750000}"/>
    <cellStyle name="Normal 3 24 9" xfId="30121" xr:uid="{00000000-0005-0000-0000-0000A7750000}"/>
    <cellStyle name="Normal 3 24 9 2" xfId="30122" xr:uid="{00000000-0005-0000-0000-0000A8750000}"/>
    <cellStyle name="Normal 3 24 9 3" xfId="30123" xr:uid="{00000000-0005-0000-0000-0000A9750000}"/>
    <cellStyle name="Normal 3 24 9 4" xfId="30124" xr:uid="{00000000-0005-0000-0000-0000AA750000}"/>
    <cellStyle name="Normal 3 24 9 5" xfId="30125" xr:uid="{00000000-0005-0000-0000-0000AB750000}"/>
    <cellStyle name="Normal 3 24 9 6" xfId="30126" xr:uid="{00000000-0005-0000-0000-0000AC750000}"/>
    <cellStyle name="Normal 3 25" xfId="30127" xr:uid="{00000000-0005-0000-0000-0000AD750000}"/>
    <cellStyle name="Normal 3 25 10" xfId="30128" xr:uid="{00000000-0005-0000-0000-0000AE750000}"/>
    <cellStyle name="Normal 3 25 11" xfId="30129" xr:uid="{00000000-0005-0000-0000-0000AF750000}"/>
    <cellStyle name="Normal 3 25 12" xfId="30130" xr:uid="{00000000-0005-0000-0000-0000B0750000}"/>
    <cellStyle name="Normal 3 25 13" xfId="30131" xr:uid="{00000000-0005-0000-0000-0000B1750000}"/>
    <cellStyle name="Normal 3 25 14" xfId="30132" xr:uid="{00000000-0005-0000-0000-0000B2750000}"/>
    <cellStyle name="Normal 3 25 2" xfId="30133" xr:uid="{00000000-0005-0000-0000-0000B3750000}"/>
    <cellStyle name="Normal 3 25 2 10" xfId="30134" xr:uid="{00000000-0005-0000-0000-0000B4750000}"/>
    <cellStyle name="Normal 3 25 2 11" xfId="30135" xr:uid="{00000000-0005-0000-0000-0000B5750000}"/>
    <cellStyle name="Normal 3 25 2 2" xfId="30136" xr:uid="{00000000-0005-0000-0000-0000B6750000}"/>
    <cellStyle name="Normal 3 25 2 2 2" xfId="30137" xr:uid="{00000000-0005-0000-0000-0000B7750000}"/>
    <cellStyle name="Normal 3 25 2 2 2 2" xfId="30138" xr:uid="{00000000-0005-0000-0000-0000B8750000}"/>
    <cellStyle name="Normal 3 25 2 2 2 3" xfId="30139" xr:uid="{00000000-0005-0000-0000-0000B9750000}"/>
    <cellStyle name="Normal 3 25 2 2 2 4" xfId="30140" xr:uid="{00000000-0005-0000-0000-0000BA750000}"/>
    <cellStyle name="Normal 3 25 2 2 2 5" xfId="30141" xr:uid="{00000000-0005-0000-0000-0000BB750000}"/>
    <cellStyle name="Normal 3 25 2 2 2 6" xfId="30142" xr:uid="{00000000-0005-0000-0000-0000BC750000}"/>
    <cellStyle name="Normal 3 25 2 2 3" xfId="30143" xr:uid="{00000000-0005-0000-0000-0000BD750000}"/>
    <cellStyle name="Normal 3 25 2 2 3 2" xfId="30144" xr:uid="{00000000-0005-0000-0000-0000BE750000}"/>
    <cellStyle name="Normal 3 25 2 2 3 3" xfId="30145" xr:uid="{00000000-0005-0000-0000-0000BF750000}"/>
    <cellStyle name="Normal 3 25 2 2 3 4" xfId="30146" xr:uid="{00000000-0005-0000-0000-0000C0750000}"/>
    <cellStyle name="Normal 3 25 2 2 3 5" xfId="30147" xr:uid="{00000000-0005-0000-0000-0000C1750000}"/>
    <cellStyle name="Normal 3 25 2 2 3 6" xfId="30148" xr:uid="{00000000-0005-0000-0000-0000C2750000}"/>
    <cellStyle name="Normal 3 25 2 2 4" xfId="30149" xr:uid="{00000000-0005-0000-0000-0000C3750000}"/>
    <cellStyle name="Normal 3 25 2 2 5" xfId="30150" xr:uid="{00000000-0005-0000-0000-0000C4750000}"/>
    <cellStyle name="Normal 3 25 2 2 6" xfId="30151" xr:uid="{00000000-0005-0000-0000-0000C5750000}"/>
    <cellStyle name="Normal 3 25 2 2 7" xfId="30152" xr:uid="{00000000-0005-0000-0000-0000C6750000}"/>
    <cellStyle name="Normal 3 25 2 2 8" xfId="30153" xr:uid="{00000000-0005-0000-0000-0000C7750000}"/>
    <cellStyle name="Normal 3 25 2 3" xfId="30154" xr:uid="{00000000-0005-0000-0000-0000C8750000}"/>
    <cellStyle name="Normal 3 25 2 3 2" xfId="30155" xr:uid="{00000000-0005-0000-0000-0000C9750000}"/>
    <cellStyle name="Normal 3 25 2 3 2 2" xfId="30156" xr:uid="{00000000-0005-0000-0000-0000CA750000}"/>
    <cellStyle name="Normal 3 25 2 3 2 3" xfId="30157" xr:uid="{00000000-0005-0000-0000-0000CB750000}"/>
    <cellStyle name="Normal 3 25 2 3 2 4" xfId="30158" xr:uid="{00000000-0005-0000-0000-0000CC750000}"/>
    <cellStyle name="Normal 3 25 2 3 2 5" xfId="30159" xr:uid="{00000000-0005-0000-0000-0000CD750000}"/>
    <cellStyle name="Normal 3 25 2 3 2 6" xfId="30160" xr:uid="{00000000-0005-0000-0000-0000CE750000}"/>
    <cellStyle name="Normal 3 25 2 3 3" xfId="30161" xr:uid="{00000000-0005-0000-0000-0000CF750000}"/>
    <cellStyle name="Normal 3 25 2 3 3 2" xfId="30162" xr:uid="{00000000-0005-0000-0000-0000D0750000}"/>
    <cellStyle name="Normal 3 25 2 3 3 3" xfId="30163" xr:uid="{00000000-0005-0000-0000-0000D1750000}"/>
    <cellStyle name="Normal 3 25 2 3 3 4" xfId="30164" xr:uid="{00000000-0005-0000-0000-0000D2750000}"/>
    <cellStyle name="Normal 3 25 2 3 3 5" xfId="30165" xr:uid="{00000000-0005-0000-0000-0000D3750000}"/>
    <cellStyle name="Normal 3 25 2 3 3 6" xfId="30166" xr:uid="{00000000-0005-0000-0000-0000D4750000}"/>
    <cellStyle name="Normal 3 25 2 3 4" xfId="30167" xr:uid="{00000000-0005-0000-0000-0000D5750000}"/>
    <cellStyle name="Normal 3 25 2 3 5" xfId="30168" xr:uid="{00000000-0005-0000-0000-0000D6750000}"/>
    <cellStyle name="Normal 3 25 2 3 6" xfId="30169" xr:uid="{00000000-0005-0000-0000-0000D7750000}"/>
    <cellStyle name="Normal 3 25 2 3 7" xfId="30170" xr:uid="{00000000-0005-0000-0000-0000D8750000}"/>
    <cellStyle name="Normal 3 25 2 3 8" xfId="30171" xr:uid="{00000000-0005-0000-0000-0000D9750000}"/>
    <cellStyle name="Normal 3 25 2 4" xfId="30172" xr:uid="{00000000-0005-0000-0000-0000DA750000}"/>
    <cellStyle name="Normal 3 25 2 4 2" xfId="30173" xr:uid="{00000000-0005-0000-0000-0000DB750000}"/>
    <cellStyle name="Normal 3 25 2 4 2 2" xfId="30174" xr:uid="{00000000-0005-0000-0000-0000DC750000}"/>
    <cellStyle name="Normal 3 25 2 4 2 3" xfId="30175" xr:uid="{00000000-0005-0000-0000-0000DD750000}"/>
    <cellStyle name="Normal 3 25 2 4 2 4" xfId="30176" xr:uid="{00000000-0005-0000-0000-0000DE750000}"/>
    <cellStyle name="Normal 3 25 2 4 2 5" xfId="30177" xr:uid="{00000000-0005-0000-0000-0000DF750000}"/>
    <cellStyle name="Normal 3 25 2 4 2 6" xfId="30178" xr:uid="{00000000-0005-0000-0000-0000E0750000}"/>
    <cellStyle name="Normal 3 25 2 4 3" xfId="30179" xr:uid="{00000000-0005-0000-0000-0000E1750000}"/>
    <cellStyle name="Normal 3 25 2 4 3 2" xfId="30180" xr:uid="{00000000-0005-0000-0000-0000E2750000}"/>
    <cellStyle name="Normal 3 25 2 4 3 3" xfId="30181" xr:uid="{00000000-0005-0000-0000-0000E3750000}"/>
    <cellStyle name="Normal 3 25 2 4 3 4" xfId="30182" xr:uid="{00000000-0005-0000-0000-0000E4750000}"/>
    <cellStyle name="Normal 3 25 2 4 3 5" xfId="30183" xr:uid="{00000000-0005-0000-0000-0000E5750000}"/>
    <cellStyle name="Normal 3 25 2 4 3 6" xfId="30184" xr:uid="{00000000-0005-0000-0000-0000E6750000}"/>
    <cellStyle name="Normal 3 25 2 4 4" xfId="30185" xr:uid="{00000000-0005-0000-0000-0000E7750000}"/>
    <cellStyle name="Normal 3 25 2 4 5" xfId="30186" xr:uid="{00000000-0005-0000-0000-0000E8750000}"/>
    <cellStyle name="Normal 3 25 2 4 6" xfId="30187" xr:uid="{00000000-0005-0000-0000-0000E9750000}"/>
    <cellStyle name="Normal 3 25 2 4 7" xfId="30188" xr:uid="{00000000-0005-0000-0000-0000EA750000}"/>
    <cellStyle name="Normal 3 25 2 4 8" xfId="30189" xr:uid="{00000000-0005-0000-0000-0000EB750000}"/>
    <cellStyle name="Normal 3 25 2 5" xfId="30190" xr:uid="{00000000-0005-0000-0000-0000EC750000}"/>
    <cellStyle name="Normal 3 25 2 5 2" xfId="30191" xr:uid="{00000000-0005-0000-0000-0000ED750000}"/>
    <cellStyle name="Normal 3 25 2 5 3" xfId="30192" xr:uid="{00000000-0005-0000-0000-0000EE750000}"/>
    <cellStyle name="Normal 3 25 2 5 4" xfId="30193" xr:uid="{00000000-0005-0000-0000-0000EF750000}"/>
    <cellStyle name="Normal 3 25 2 5 5" xfId="30194" xr:uid="{00000000-0005-0000-0000-0000F0750000}"/>
    <cellStyle name="Normal 3 25 2 5 6" xfId="30195" xr:uid="{00000000-0005-0000-0000-0000F1750000}"/>
    <cellStyle name="Normal 3 25 2 6" xfId="30196" xr:uid="{00000000-0005-0000-0000-0000F2750000}"/>
    <cellStyle name="Normal 3 25 2 6 2" xfId="30197" xr:uid="{00000000-0005-0000-0000-0000F3750000}"/>
    <cellStyle name="Normal 3 25 2 6 3" xfId="30198" xr:uid="{00000000-0005-0000-0000-0000F4750000}"/>
    <cellStyle name="Normal 3 25 2 6 4" xfId="30199" xr:uid="{00000000-0005-0000-0000-0000F5750000}"/>
    <cellStyle name="Normal 3 25 2 6 5" xfId="30200" xr:uid="{00000000-0005-0000-0000-0000F6750000}"/>
    <cellStyle name="Normal 3 25 2 6 6" xfId="30201" xr:uid="{00000000-0005-0000-0000-0000F7750000}"/>
    <cellStyle name="Normal 3 25 2 7" xfId="30202" xr:uid="{00000000-0005-0000-0000-0000F8750000}"/>
    <cellStyle name="Normal 3 25 2 8" xfId="30203" xr:uid="{00000000-0005-0000-0000-0000F9750000}"/>
    <cellStyle name="Normal 3 25 2 9" xfId="30204" xr:uid="{00000000-0005-0000-0000-0000FA750000}"/>
    <cellStyle name="Normal 3 25 3" xfId="30205" xr:uid="{00000000-0005-0000-0000-0000FB750000}"/>
    <cellStyle name="Normal 3 25 3 10" xfId="30206" xr:uid="{00000000-0005-0000-0000-0000FC750000}"/>
    <cellStyle name="Normal 3 25 3 11" xfId="30207" xr:uid="{00000000-0005-0000-0000-0000FD750000}"/>
    <cellStyle name="Normal 3 25 3 2" xfId="30208" xr:uid="{00000000-0005-0000-0000-0000FE750000}"/>
    <cellStyle name="Normal 3 25 3 2 2" xfId="30209" xr:uid="{00000000-0005-0000-0000-0000FF750000}"/>
    <cellStyle name="Normal 3 25 3 2 2 2" xfId="30210" xr:uid="{00000000-0005-0000-0000-000000760000}"/>
    <cellStyle name="Normal 3 25 3 2 2 3" xfId="30211" xr:uid="{00000000-0005-0000-0000-000001760000}"/>
    <cellStyle name="Normal 3 25 3 2 2 4" xfId="30212" xr:uid="{00000000-0005-0000-0000-000002760000}"/>
    <cellStyle name="Normal 3 25 3 2 2 5" xfId="30213" xr:uid="{00000000-0005-0000-0000-000003760000}"/>
    <cellStyle name="Normal 3 25 3 2 2 6" xfId="30214" xr:uid="{00000000-0005-0000-0000-000004760000}"/>
    <cellStyle name="Normal 3 25 3 2 3" xfId="30215" xr:uid="{00000000-0005-0000-0000-000005760000}"/>
    <cellStyle name="Normal 3 25 3 2 3 2" xfId="30216" xr:uid="{00000000-0005-0000-0000-000006760000}"/>
    <cellStyle name="Normal 3 25 3 2 3 3" xfId="30217" xr:uid="{00000000-0005-0000-0000-000007760000}"/>
    <cellStyle name="Normal 3 25 3 2 3 4" xfId="30218" xr:uid="{00000000-0005-0000-0000-000008760000}"/>
    <cellStyle name="Normal 3 25 3 2 3 5" xfId="30219" xr:uid="{00000000-0005-0000-0000-000009760000}"/>
    <cellStyle name="Normal 3 25 3 2 3 6" xfId="30220" xr:uid="{00000000-0005-0000-0000-00000A760000}"/>
    <cellStyle name="Normal 3 25 3 2 4" xfId="30221" xr:uid="{00000000-0005-0000-0000-00000B760000}"/>
    <cellStyle name="Normal 3 25 3 2 5" xfId="30222" xr:uid="{00000000-0005-0000-0000-00000C760000}"/>
    <cellStyle name="Normal 3 25 3 2 6" xfId="30223" xr:uid="{00000000-0005-0000-0000-00000D760000}"/>
    <cellStyle name="Normal 3 25 3 2 7" xfId="30224" xr:uid="{00000000-0005-0000-0000-00000E760000}"/>
    <cellStyle name="Normal 3 25 3 2 8" xfId="30225" xr:uid="{00000000-0005-0000-0000-00000F760000}"/>
    <cellStyle name="Normal 3 25 3 3" xfId="30226" xr:uid="{00000000-0005-0000-0000-000010760000}"/>
    <cellStyle name="Normal 3 25 3 3 2" xfId="30227" xr:uid="{00000000-0005-0000-0000-000011760000}"/>
    <cellStyle name="Normal 3 25 3 3 2 2" xfId="30228" xr:uid="{00000000-0005-0000-0000-000012760000}"/>
    <cellStyle name="Normal 3 25 3 3 2 3" xfId="30229" xr:uid="{00000000-0005-0000-0000-000013760000}"/>
    <cellStyle name="Normal 3 25 3 3 2 4" xfId="30230" xr:uid="{00000000-0005-0000-0000-000014760000}"/>
    <cellStyle name="Normal 3 25 3 3 2 5" xfId="30231" xr:uid="{00000000-0005-0000-0000-000015760000}"/>
    <cellStyle name="Normal 3 25 3 3 2 6" xfId="30232" xr:uid="{00000000-0005-0000-0000-000016760000}"/>
    <cellStyle name="Normal 3 25 3 3 3" xfId="30233" xr:uid="{00000000-0005-0000-0000-000017760000}"/>
    <cellStyle name="Normal 3 25 3 3 3 2" xfId="30234" xr:uid="{00000000-0005-0000-0000-000018760000}"/>
    <cellStyle name="Normal 3 25 3 3 3 3" xfId="30235" xr:uid="{00000000-0005-0000-0000-000019760000}"/>
    <cellStyle name="Normal 3 25 3 3 3 4" xfId="30236" xr:uid="{00000000-0005-0000-0000-00001A760000}"/>
    <cellStyle name="Normal 3 25 3 3 3 5" xfId="30237" xr:uid="{00000000-0005-0000-0000-00001B760000}"/>
    <cellStyle name="Normal 3 25 3 3 3 6" xfId="30238" xr:uid="{00000000-0005-0000-0000-00001C760000}"/>
    <cellStyle name="Normal 3 25 3 3 4" xfId="30239" xr:uid="{00000000-0005-0000-0000-00001D760000}"/>
    <cellStyle name="Normal 3 25 3 3 5" xfId="30240" xr:uid="{00000000-0005-0000-0000-00001E760000}"/>
    <cellStyle name="Normal 3 25 3 3 6" xfId="30241" xr:uid="{00000000-0005-0000-0000-00001F760000}"/>
    <cellStyle name="Normal 3 25 3 3 7" xfId="30242" xr:uid="{00000000-0005-0000-0000-000020760000}"/>
    <cellStyle name="Normal 3 25 3 3 8" xfId="30243" xr:uid="{00000000-0005-0000-0000-000021760000}"/>
    <cellStyle name="Normal 3 25 3 4" xfId="30244" xr:uid="{00000000-0005-0000-0000-000022760000}"/>
    <cellStyle name="Normal 3 25 3 4 2" xfId="30245" xr:uid="{00000000-0005-0000-0000-000023760000}"/>
    <cellStyle name="Normal 3 25 3 4 2 2" xfId="30246" xr:uid="{00000000-0005-0000-0000-000024760000}"/>
    <cellStyle name="Normal 3 25 3 4 2 3" xfId="30247" xr:uid="{00000000-0005-0000-0000-000025760000}"/>
    <cellStyle name="Normal 3 25 3 4 2 4" xfId="30248" xr:uid="{00000000-0005-0000-0000-000026760000}"/>
    <cellStyle name="Normal 3 25 3 4 2 5" xfId="30249" xr:uid="{00000000-0005-0000-0000-000027760000}"/>
    <cellStyle name="Normal 3 25 3 4 2 6" xfId="30250" xr:uid="{00000000-0005-0000-0000-000028760000}"/>
    <cellStyle name="Normal 3 25 3 4 3" xfId="30251" xr:uid="{00000000-0005-0000-0000-000029760000}"/>
    <cellStyle name="Normal 3 25 3 4 3 2" xfId="30252" xr:uid="{00000000-0005-0000-0000-00002A760000}"/>
    <cellStyle name="Normal 3 25 3 4 3 3" xfId="30253" xr:uid="{00000000-0005-0000-0000-00002B760000}"/>
    <cellStyle name="Normal 3 25 3 4 3 4" xfId="30254" xr:uid="{00000000-0005-0000-0000-00002C760000}"/>
    <cellStyle name="Normal 3 25 3 4 3 5" xfId="30255" xr:uid="{00000000-0005-0000-0000-00002D760000}"/>
    <cellStyle name="Normal 3 25 3 4 3 6" xfId="30256" xr:uid="{00000000-0005-0000-0000-00002E760000}"/>
    <cellStyle name="Normal 3 25 3 4 4" xfId="30257" xr:uid="{00000000-0005-0000-0000-00002F760000}"/>
    <cellStyle name="Normal 3 25 3 4 5" xfId="30258" xr:uid="{00000000-0005-0000-0000-000030760000}"/>
    <cellStyle name="Normal 3 25 3 4 6" xfId="30259" xr:uid="{00000000-0005-0000-0000-000031760000}"/>
    <cellStyle name="Normal 3 25 3 4 7" xfId="30260" xr:uid="{00000000-0005-0000-0000-000032760000}"/>
    <cellStyle name="Normal 3 25 3 4 8" xfId="30261" xr:uid="{00000000-0005-0000-0000-000033760000}"/>
    <cellStyle name="Normal 3 25 3 5" xfId="30262" xr:uid="{00000000-0005-0000-0000-000034760000}"/>
    <cellStyle name="Normal 3 25 3 5 2" xfId="30263" xr:uid="{00000000-0005-0000-0000-000035760000}"/>
    <cellStyle name="Normal 3 25 3 5 3" xfId="30264" xr:uid="{00000000-0005-0000-0000-000036760000}"/>
    <cellStyle name="Normal 3 25 3 5 4" xfId="30265" xr:uid="{00000000-0005-0000-0000-000037760000}"/>
    <cellStyle name="Normal 3 25 3 5 5" xfId="30266" xr:uid="{00000000-0005-0000-0000-000038760000}"/>
    <cellStyle name="Normal 3 25 3 5 6" xfId="30267" xr:uid="{00000000-0005-0000-0000-000039760000}"/>
    <cellStyle name="Normal 3 25 3 6" xfId="30268" xr:uid="{00000000-0005-0000-0000-00003A760000}"/>
    <cellStyle name="Normal 3 25 3 6 2" xfId="30269" xr:uid="{00000000-0005-0000-0000-00003B760000}"/>
    <cellStyle name="Normal 3 25 3 6 3" xfId="30270" xr:uid="{00000000-0005-0000-0000-00003C760000}"/>
    <cellStyle name="Normal 3 25 3 6 4" xfId="30271" xr:uid="{00000000-0005-0000-0000-00003D760000}"/>
    <cellStyle name="Normal 3 25 3 6 5" xfId="30272" xr:uid="{00000000-0005-0000-0000-00003E760000}"/>
    <cellStyle name="Normal 3 25 3 6 6" xfId="30273" xr:uid="{00000000-0005-0000-0000-00003F760000}"/>
    <cellStyle name="Normal 3 25 3 7" xfId="30274" xr:uid="{00000000-0005-0000-0000-000040760000}"/>
    <cellStyle name="Normal 3 25 3 8" xfId="30275" xr:uid="{00000000-0005-0000-0000-000041760000}"/>
    <cellStyle name="Normal 3 25 3 9" xfId="30276" xr:uid="{00000000-0005-0000-0000-000042760000}"/>
    <cellStyle name="Normal 3 25 4" xfId="30277" xr:uid="{00000000-0005-0000-0000-000043760000}"/>
    <cellStyle name="Normal 3 25 4 10" xfId="30278" xr:uid="{00000000-0005-0000-0000-000044760000}"/>
    <cellStyle name="Normal 3 25 4 11" xfId="30279" xr:uid="{00000000-0005-0000-0000-000045760000}"/>
    <cellStyle name="Normal 3 25 4 2" xfId="30280" xr:uid="{00000000-0005-0000-0000-000046760000}"/>
    <cellStyle name="Normal 3 25 4 2 2" xfId="30281" xr:uid="{00000000-0005-0000-0000-000047760000}"/>
    <cellStyle name="Normal 3 25 4 2 2 2" xfId="30282" xr:uid="{00000000-0005-0000-0000-000048760000}"/>
    <cellStyle name="Normal 3 25 4 2 2 3" xfId="30283" xr:uid="{00000000-0005-0000-0000-000049760000}"/>
    <cellStyle name="Normal 3 25 4 2 2 4" xfId="30284" xr:uid="{00000000-0005-0000-0000-00004A760000}"/>
    <cellStyle name="Normal 3 25 4 2 2 5" xfId="30285" xr:uid="{00000000-0005-0000-0000-00004B760000}"/>
    <cellStyle name="Normal 3 25 4 2 2 6" xfId="30286" xr:uid="{00000000-0005-0000-0000-00004C760000}"/>
    <cellStyle name="Normal 3 25 4 2 3" xfId="30287" xr:uid="{00000000-0005-0000-0000-00004D760000}"/>
    <cellStyle name="Normal 3 25 4 2 3 2" xfId="30288" xr:uid="{00000000-0005-0000-0000-00004E760000}"/>
    <cellStyle name="Normal 3 25 4 2 3 3" xfId="30289" xr:uid="{00000000-0005-0000-0000-00004F760000}"/>
    <cellStyle name="Normal 3 25 4 2 3 4" xfId="30290" xr:uid="{00000000-0005-0000-0000-000050760000}"/>
    <cellStyle name="Normal 3 25 4 2 3 5" xfId="30291" xr:uid="{00000000-0005-0000-0000-000051760000}"/>
    <cellStyle name="Normal 3 25 4 2 3 6" xfId="30292" xr:uid="{00000000-0005-0000-0000-000052760000}"/>
    <cellStyle name="Normal 3 25 4 2 4" xfId="30293" xr:uid="{00000000-0005-0000-0000-000053760000}"/>
    <cellStyle name="Normal 3 25 4 2 5" xfId="30294" xr:uid="{00000000-0005-0000-0000-000054760000}"/>
    <cellStyle name="Normal 3 25 4 2 6" xfId="30295" xr:uid="{00000000-0005-0000-0000-000055760000}"/>
    <cellStyle name="Normal 3 25 4 2 7" xfId="30296" xr:uid="{00000000-0005-0000-0000-000056760000}"/>
    <cellStyle name="Normal 3 25 4 2 8" xfId="30297" xr:uid="{00000000-0005-0000-0000-000057760000}"/>
    <cellStyle name="Normal 3 25 4 3" xfId="30298" xr:uid="{00000000-0005-0000-0000-000058760000}"/>
    <cellStyle name="Normal 3 25 4 3 2" xfId="30299" xr:uid="{00000000-0005-0000-0000-000059760000}"/>
    <cellStyle name="Normal 3 25 4 3 2 2" xfId="30300" xr:uid="{00000000-0005-0000-0000-00005A760000}"/>
    <cellStyle name="Normal 3 25 4 3 2 3" xfId="30301" xr:uid="{00000000-0005-0000-0000-00005B760000}"/>
    <cellStyle name="Normal 3 25 4 3 2 4" xfId="30302" xr:uid="{00000000-0005-0000-0000-00005C760000}"/>
    <cellStyle name="Normal 3 25 4 3 2 5" xfId="30303" xr:uid="{00000000-0005-0000-0000-00005D760000}"/>
    <cellStyle name="Normal 3 25 4 3 2 6" xfId="30304" xr:uid="{00000000-0005-0000-0000-00005E760000}"/>
    <cellStyle name="Normal 3 25 4 3 3" xfId="30305" xr:uid="{00000000-0005-0000-0000-00005F760000}"/>
    <cellStyle name="Normal 3 25 4 3 3 2" xfId="30306" xr:uid="{00000000-0005-0000-0000-000060760000}"/>
    <cellStyle name="Normal 3 25 4 3 3 3" xfId="30307" xr:uid="{00000000-0005-0000-0000-000061760000}"/>
    <cellStyle name="Normal 3 25 4 3 3 4" xfId="30308" xr:uid="{00000000-0005-0000-0000-000062760000}"/>
    <cellStyle name="Normal 3 25 4 3 3 5" xfId="30309" xr:uid="{00000000-0005-0000-0000-000063760000}"/>
    <cellStyle name="Normal 3 25 4 3 3 6" xfId="30310" xr:uid="{00000000-0005-0000-0000-000064760000}"/>
    <cellStyle name="Normal 3 25 4 3 4" xfId="30311" xr:uid="{00000000-0005-0000-0000-000065760000}"/>
    <cellStyle name="Normal 3 25 4 3 5" xfId="30312" xr:uid="{00000000-0005-0000-0000-000066760000}"/>
    <cellStyle name="Normal 3 25 4 3 6" xfId="30313" xr:uid="{00000000-0005-0000-0000-000067760000}"/>
    <cellStyle name="Normal 3 25 4 3 7" xfId="30314" xr:uid="{00000000-0005-0000-0000-000068760000}"/>
    <cellStyle name="Normal 3 25 4 3 8" xfId="30315" xr:uid="{00000000-0005-0000-0000-000069760000}"/>
    <cellStyle name="Normal 3 25 4 4" xfId="30316" xr:uid="{00000000-0005-0000-0000-00006A760000}"/>
    <cellStyle name="Normal 3 25 4 4 2" xfId="30317" xr:uid="{00000000-0005-0000-0000-00006B760000}"/>
    <cellStyle name="Normal 3 25 4 4 2 2" xfId="30318" xr:uid="{00000000-0005-0000-0000-00006C760000}"/>
    <cellStyle name="Normal 3 25 4 4 2 3" xfId="30319" xr:uid="{00000000-0005-0000-0000-00006D760000}"/>
    <cellStyle name="Normal 3 25 4 4 2 4" xfId="30320" xr:uid="{00000000-0005-0000-0000-00006E760000}"/>
    <cellStyle name="Normal 3 25 4 4 2 5" xfId="30321" xr:uid="{00000000-0005-0000-0000-00006F760000}"/>
    <cellStyle name="Normal 3 25 4 4 2 6" xfId="30322" xr:uid="{00000000-0005-0000-0000-000070760000}"/>
    <cellStyle name="Normal 3 25 4 4 3" xfId="30323" xr:uid="{00000000-0005-0000-0000-000071760000}"/>
    <cellStyle name="Normal 3 25 4 4 3 2" xfId="30324" xr:uid="{00000000-0005-0000-0000-000072760000}"/>
    <cellStyle name="Normal 3 25 4 4 3 3" xfId="30325" xr:uid="{00000000-0005-0000-0000-000073760000}"/>
    <cellStyle name="Normal 3 25 4 4 3 4" xfId="30326" xr:uid="{00000000-0005-0000-0000-000074760000}"/>
    <cellStyle name="Normal 3 25 4 4 3 5" xfId="30327" xr:uid="{00000000-0005-0000-0000-000075760000}"/>
    <cellStyle name="Normal 3 25 4 4 3 6" xfId="30328" xr:uid="{00000000-0005-0000-0000-000076760000}"/>
    <cellStyle name="Normal 3 25 4 4 4" xfId="30329" xr:uid="{00000000-0005-0000-0000-000077760000}"/>
    <cellStyle name="Normal 3 25 4 4 5" xfId="30330" xr:uid="{00000000-0005-0000-0000-000078760000}"/>
    <cellStyle name="Normal 3 25 4 4 6" xfId="30331" xr:uid="{00000000-0005-0000-0000-000079760000}"/>
    <cellStyle name="Normal 3 25 4 4 7" xfId="30332" xr:uid="{00000000-0005-0000-0000-00007A760000}"/>
    <cellStyle name="Normal 3 25 4 4 8" xfId="30333" xr:uid="{00000000-0005-0000-0000-00007B760000}"/>
    <cellStyle name="Normal 3 25 4 5" xfId="30334" xr:uid="{00000000-0005-0000-0000-00007C760000}"/>
    <cellStyle name="Normal 3 25 4 5 2" xfId="30335" xr:uid="{00000000-0005-0000-0000-00007D760000}"/>
    <cellStyle name="Normal 3 25 4 5 3" xfId="30336" xr:uid="{00000000-0005-0000-0000-00007E760000}"/>
    <cellStyle name="Normal 3 25 4 5 4" xfId="30337" xr:uid="{00000000-0005-0000-0000-00007F760000}"/>
    <cellStyle name="Normal 3 25 4 5 5" xfId="30338" xr:uid="{00000000-0005-0000-0000-000080760000}"/>
    <cellStyle name="Normal 3 25 4 5 6" xfId="30339" xr:uid="{00000000-0005-0000-0000-000081760000}"/>
    <cellStyle name="Normal 3 25 4 6" xfId="30340" xr:uid="{00000000-0005-0000-0000-000082760000}"/>
    <cellStyle name="Normal 3 25 4 6 2" xfId="30341" xr:uid="{00000000-0005-0000-0000-000083760000}"/>
    <cellStyle name="Normal 3 25 4 6 3" xfId="30342" xr:uid="{00000000-0005-0000-0000-000084760000}"/>
    <cellStyle name="Normal 3 25 4 6 4" xfId="30343" xr:uid="{00000000-0005-0000-0000-000085760000}"/>
    <cellStyle name="Normal 3 25 4 6 5" xfId="30344" xr:uid="{00000000-0005-0000-0000-000086760000}"/>
    <cellStyle name="Normal 3 25 4 6 6" xfId="30345" xr:uid="{00000000-0005-0000-0000-000087760000}"/>
    <cellStyle name="Normal 3 25 4 7" xfId="30346" xr:uid="{00000000-0005-0000-0000-000088760000}"/>
    <cellStyle name="Normal 3 25 4 8" xfId="30347" xr:uid="{00000000-0005-0000-0000-000089760000}"/>
    <cellStyle name="Normal 3 25 4 9" xfId="30348" xr:uid="{00000000-0005-0000-0000-00008A760000}"/>
    <cellStyle name="Normal 3 25 5" xfId="30349" xr:uid="{00000000-0005-0000-0000-00008B760000}"/>
    <cellStyle name="Normal 3 25 5 2" xfId="30350" xr:uid="{00000000-0005-0000-0000-00008C760000}"/>
    <cellStyle name="Normal 3 25 5 2 2" xfId="30351" xr:uid="{00000000-0005-0000-0000-00008D760000}"/>
    <cellStyle name="Normal 3 25 5 2 3" xfId="30352" xr:uid="{00000000-0005-0000-0000-00008E760000}"/>
    <cellStyle name="Normal 3 25 5 2 4" xfId="30353" xr:uid="{00000000-0005-0000-0000-00008F760000}"/>
    <cellStyle name="Normal 3 25 5 2 5" xfId="30354" xr:uid="{00000000-0005-0000-0000-000090760000}"/>
    <cellStyle name="Normal 3 25 5 2 6" xfId="30355" xr:uid="{00000000-0005-0000-0000-000091760000}"/>
    <cellStyle name="Normal 3 25 5 3" xfId="30356" xr:uid="{00000000-0005-0000-0000-000092760000}"/>
    <cellStyle name="Normal 3 25 5 3 2" xfId="30357" xr:uid="{00000000-0005-0000-0000-000093760000}"/>
    <cellStyle name="Normal 3 25 5 3 3" xfId="30358" xr:uid="{00000000-0005-0000-0000-000094760000}"/>
    <cellStyle name="Normal 3 25 5 3 4" xfId="30359" xr:uid="{00000000-0005-0000-0000-000095760000}"/>
    <cellStyle name="Normal 3 25 5 3 5" xfId="30360" xr:uid="{00000000-0005-0000-0000-000096760000}"/>
    <cellStyle name="Normal 3 25 5 3 6" xfId="30361" xr:uid="{00000000-0005-0000-0000-000097760000}"/>
    <cellStyle name="Normal 3 25 5 4" xfId="30362" xr:uid="{00000000-0005-0000-0000-000098760000}"/>
    <cellStyle name="Normal 3 25 5 5" xfId="30363" xr:uid="{00000000-0005-0000-0000-000099760000}"/>
    <cellStyle name="Normal 3 25 5 6" xfId="30364" xr:uid="{00000000-0005-0000-0000-00009A760000}"/>
    <cellStyle name="Normal 3 25 5 7" xfId="30365" xr:uid="{00000000-0005-0000-0000-00009B760000}"/>
    <cellStyle name="Normal 3 25 5 8" xfId="30366" xr:uid="{00000000-0005-0000-0000-00009C760000}"/>
    <cellStyle name="Normal 3 25 6" xfId="30367" xr:uid="{00000000-0005-0000-0000-00009D760000}"/>
    <cellStyle name="Normal 3 25 6 2" xfId="30368" xr:uid="{00000000-0005-0000-0000-00009E760000}"/>
    <cellStyle name="Normal 3 25 6 2 2" xfId="30369" xr:uid="{00000000-0005-0000-0000-00009F760000}"/>
    <cellStyle name="Normal 3 25 6 2 3" xfId="30370" xr:uid="{00000000-0005-0000-0000-0000A0760000}"/>
    <cellStyle name="Normal 3 25 6 2 4" xfId="30371" xr:uid="{00000000-0005-0000-0000-0000A1760000}"/>
    <cellStyle name="Normal 3 25 6 2 5" xfId="30372" xr:uid="{00000000-0005-0000-0000-0000A2760000}"/>
    <cellStyle name="Normal 3 25 6 2 6" xfId="30373" xr:uid="{00000000-0005-0000-0000-0000A3760000}"/>
    <cellStyle name="Normal 3 25 6 3" xfId="30374" xr:uid="{00000000-0005-0000-0000-0000A4760000}"/>
    <cellStyle name="Normal 3 25 6 3 2" xfId="30375" xr:uid="{00000000-0005-0000-0000-0000A5760000}"/>
    <cellStyle name="Normal 3 25 6 3 3" xfId="30376" xr:uid="{00000000-0005-0000-0000-0000A6760000}"/>
    <cellStyle name="Normal 3 25 6 3 4" xfId="30377" xr:uid="{00000000-0005-0000-0000-0000A7760000}"/>
    <cellStyle name="Normal 3 25 6 3 5" xfId="30378" xr:uid="{00000000-0005-0000-0000-0000A8760000}"/>
    <cellStyle name="Normal 3 25 6 3 6" xfId="30379" xr:uid="{00000000-0005-0000-0000-0000A9760000}"/>
    <cellStyle name="Normal 3 25 6 4" xfId="30380" xr:uid="{00000000-0005-0000-0000-0000AA760000}"/>
    <cellStyle name="Normal 3 25 6 5" xfId="30381" xr:uid="{00000000-0005-0000-0000-0000AB760000}"/>
    <cellStyle name="Normal 3 25 6 6" xfId="30382" xr:uid="{00000000-0005-0000-0000-0000AC760000}"/>
    <cellStyle name="Normal 3 25 6 7" xfId="30383" xr:uid="{00000000-0005-0000-0000-0000AD760000}"/>
    <cellStyle name="Normal 3 25 6 8" xfId="30384" xr:uid="{00000000-0005-0000-0000-0000AE760000}"/>
    <cellStyle name="Normal 3 25 7" xfId="30385" xr:uid="{00000000-0005-0000-0000-0000AF760000}"/>
    <cellStyle name="Normal 3 25 7 2" xfId="30386" xr:uid="{00000000-0005-0000-0000-0000B0760000}"/>
    <cellStyle name="Normal 3 25 7 2 2" xfId="30387" xr:uid="{00000000-0005-0000-0000-0000B1760000}"/>
    <cellStyle name="Normal 3 25 7 2 3" xfId="30388" xr:uid="{00000000-0005-0000-0000-0000B2760000}"/>
    <cellStyle name="Normal 3 25 7 2 4" xfId="30389" xr:uid="{00000000-0005-0000-0000-0000B3760000}"/>
    <cellStyle name="Normal 3 25 7 2 5" xfId="30390" xr:uid="{00000000-0005-0000-0000-0000B4760000}"/>
    <cellStyle name="Normal 3 25 7 2 6" xfId="30391" xr:uid="{00000000-0005-0000-0000-0000B5760000}"/>
    <cellStyle name="Normal 3 25 7 3" xfId="30392" xr:uid="{00000000-0005-0000-0000-0000B6760000}"/>
    <cellStyle name="Normal 3 25 7 3 2" xfId="30393" xr:uid="{00000000-0005-0000-0000-0000B7760000}"/>
    <cellStyle name="Normal 3 25 7 3 3" xfId="30394" xr:uid="{00000000-0005-0000-0000-0000B8760000}"/>
    <cellStyle name="Normal 3 25 7 3 4" xfId="30395" xr:uid="{00000000-0005-0000-0000-0000B9760000}"/>
    <cellStyle name="Normal 3 25 7 3 5" xfId="30396" xr:uid="{00000000-0005-0000-0000-0000BA760000}"/>
    <cellStyle name="Normal 3 25 7 3 6" xfId="30397" xr:uid="{00000000-0005-0000-0000-0000BB760000}"/>
    <cellStyle name="Normal 3 25 7 4" xfId="30398" xr:uid="{00000000-0005-0000-0000-0000BC760000}"/>
    <cellStyle name="Normal 3 25 7 5" xfId="30399" xr:uid="{00000000-0005-0000-0000-0000BD760000}"/>
    <cellStyle name="Normal 3 25 7 6" xfId="30400" xr:uid="{00000000-0005-0000-0000-0000BE760000}"/>
    <cellStyle name="Normal 3 25 7 7" xfId="30401" xr:uid="{00000000-0005-0000-0000-0000BF760000}"/>
    <cellStyle name="Normal 3 25 7 8" xfId="30402" xr:uid="{00000000-0005-0000-0000-0000C0760000}"/>
    <cellStyle name="Normal 3 25 8" xfId="30403" xr:uid="{00000000-0005-0000-0000-0000C1760000}"/>
    <cellStyle name="Normal 3 25 8 2" xfId="30404" xr:uid="{00000000-0005-0000-0000-0000C2760000}"/>
    <cellStyle name="Normal 3 25 8 3" xfId="30405" xr:uid="{00000000-0005-0000-0000-0000C3760000}"/>
    <cellStyle name="Normal 3 25 8 4" xfId="30406" xr:uid="{00000000-0005-0000-0000-0000C4760000}"/>
    <cellStyle name="Normal 3 25 8 5" xfId="30407" xr:uid="{00000000-0005-0000-0000-0000C5760000}"/>
    <cellStyle name="Normal 3 25 8 6" xfId="30408" xr:uid="{00000000-0005-0000-0000-0000C6760000}"/>
    <cellStyle name="Normal 3 25 9" xfId="30409" xr:uid="{00000000-0005-0000-0000-0000C7760000}"/>
    <cellStyle name="Normal 3 25 9 2" xfId="30410" xr:uid="{00000000-0005-0000-0000-0000C8760000}"/>
    <cellStyle name="Normal 3 25 9 3" xfId="30411" xr:uid="{00000000-0005-0000-0000-0000C9760000}"/>
    <cellStyle name="Normal 3 25 9 4" xfId="30412" xr:uid="{00000000-0005-0000-0000-0000CA760000}"/>
    <cellStyle name="Normal 3 25 9 5" xfId="30413" xr:uid="{00000000-0005-0000-0000-0000CB760000}"/>
    <cellStyle name="Normal 3 25 9 6" xfId="30414" xr:uid="{00000000-0005-0000-0000-0000CC760000}"/>
    <cellStyle name="Normal 3 26" xfId="30415" xr:uid="{00000000-0005-0000-0000-0000CD760000}"/>
    <cellStyle name="Normal 3 26 10" xfId="30416" xr:uid="{00000000-0005-0000-0000-0000CE760000}"/>
    <cellStyle name="Normal 3 26 11" xfId="30417" xr:uid="{00000000-0005-0000-0000-0000CF760000}"/>
    <cellStyle name="Normal 3 26 12" xfId="30418" xr:uid="{00000000-0005-0000-0000-0000D0760000}"/>
    <cellStyle name="Normal 3 26 2" xfId="30419" xr:uid="{00000000-0005-0000-0000-0000D1760000}"/>
    <cellStyle name="Normal 3 26 2 10" xfId="30420" xr:uid="{00000000-0005-0000-0000-0000D2760000}"/>
    <cellStyle name="Normal 3 26 2 11" xfId="30421" xr:uid="{00000000-0005-0000-0000-0000D3760000}"/>
    <cellStyle name="Normal 3 26 2 2" xfId="30422" xr:uid="{00000000-0005-0000-0000-0000D4760000}"/>
    <cellStyle name="Normal 3 26 2 2 2" xfId="30423" xr:uid="{00000000-0005-0000-0000-0000D5760000}"/>
    <cellStyle name="Normal 3 26 2 2 2 2" xfId="30424" xr:uid="{00000000-0005-0000-0000-0000D6760000}"/>
    <cellStyle name="Normal 3 26 2 2 2 3" xfId="30425" xr:uid="{00000000-0005-0000-0000-0000D7760000}"/>
    <cellStyle name="Normal 3 26 2 2 2 4" xfId="30426" xr:uid="{00000000-0005-0000-0000-0000D8760000}"/>
    <cellStyle name="Normal 3 26 2 2 2 5" xfId="30427" xr:uid="{00000000-0005-0000-0000-0000D9760000}"/>
    <cellStyle name="Normal 3 26 2 2 2 6" xfId="30428" xr:uid="{00000000-0005-0000-0000-0000DA760000}"/>
    <cellStyle name="Normal 3 26 2 2 3" xfId="30429" xr:uid="{00000000-0005-0000-0000-0000DB760000}"/>
    <cellStyle name="Normal 3 26 2 2 3 2" xfId="30430" xr:uid="{00000000-0005-0000-0000-0000DC760000}"/>
    <cellStyle name="Normal 3 26 2 2 3 3" xfId="30431" xr:uid="{00000000-0005-0000-0000-0000DD760000}"/>
    <cellStyle name="Normal 3 26 2 2 3 4" xfId="30432" xr:uid="{00000000-0005-0000-0000-0000DE760000}"/>
    <cellStyle name="Normal 3 26 2 2 3 5" xfId="30433" xr:uid="{00000000-0005-0000-0000-0000DF760000}"/>
    <cellStyle name="Normal 3 26 2 2 3 6" xfId="30434" xr:uid="{00000000-0005-0000-0000-0000E0760000}"/>
    <cellStyle name="Normal 3 26 2 2 4" xfId="30435" xr:uid="{00000000-0005-0000-0000-0000E1760000}"/>
    <cellStyle name="Normal 3 26 2 2 5" xfId="30436" xr:uid="{00000000-0005-0000-0000-0000E2760000}"/>
    <cellStyle name="Normal 3 26 2 2 6" xfId="30437" xr:uid="{00000000-0005-0000-0000-0000E3760000}"/>
    <cellStyle name="Normal 3 26 2 2 7" xfId="30438" xr:uid="{00000000-0005-0000-0000-0000E4760000}"/>
    <cellStyle name="Normal 3 26 2 2 8" xfId="30439" xr:uid="{00000000-0005-0000-0000-0000E5760000}"/>
    <cellStyle name="Normal 3 26 2 3" xfId="30440" xr:uid="{00000000-0005-0000-0000-0000E6760000}"/>
    <cellStyle name="Normal 3 26 2 3 2" xfId="30441" xr:uid="{00000000-0005-0000-0000-0000E7760000}"/>
    <cellStyle name="Normal 3 26 2 3 2 2" xfId="30442" xr:uid="{00000000-0005-0000-0000-0000E8760000}"/>
    <cellStyle name="Normal 3 26 2 3 2 3" xfId="30443" xr:uid="{00000000-0005-0000-0000-0000E9760000}"/>
    <cellStyle name="Normal 3 26 2 3 2 4" xfId="30444" xr:uid="{00000000-0005-0000-0000-0000EA760000}"/>
    <cellStyle name="Normal 3 26 2 3 2 5" xfId="30445" xr:uid="{00000000-0005-0000-0000-0000EB760000}"/>
    <cellStyle name="Normal 3 26 2 3 2 6" xfId="30446" xr:uid="{00000000-0005-0000-0000-0000EC760000}"/>
    <cellStyle name="Normal 3 26 2 3 3" xfId="30447" xr:uid="{00000000-0005-0000-0000-0000ED760000}"/>
    <cellStyle name="Normal 3 26 2 3 3 2" xfId="30448" xr:uid="{00000000-0005-0000-0000-0000EE760000}"/>
    <cellStyle name="Normal 3 26 2 3 3 3" xfId="30449" xr:uid="{00000000-0005-0000-0000-0000EF760000}"/>
    <cellStyle name="Normal 3 26 2 3 3 4" xfId="30450" xr:uid="{00000000-0005-0000-0000-0000F0760000}"/>
    <cellStyle name="Normal 3 26 2 3 3 5" xfId="30451" xr:uid="{00000000-0005-0000-0000-0000F1760000}"/>
    <cellStyle name="Normal 3 26 2 3 3 6" xfId="30452" xr:uid="{00000000-0005-0000-0000-0000F2760000}"/>
    <cellStyle name="Normal 3 26 2 3 4" xfId="30453" xr:uid="{00000000-0005-0000-0000-0000F3760000}"/>
    <cellStyle name="Normal 3 26 2 3 5" xfId="30454" xr:uid="{00000000-0005-0000-0000-0000F4760000}"/>
    <cellStyle name="Normal 3 26 2 3 6" xfId="30455" xr:uid="{00000000-0005-0000-0000-0000F5760000}"/>
    <cellStyle name="Normal 3 26 2 3 7" xfId="30456" xr:uid="{00000000-0005-0000-0000-0000F6760000}"/>
    <cellStyle name="Normal 3 26 2 3 8" xfId="30457" xr:uid="{00000000-0005-0000-0000-0000F7760000}"/>
    <cellStyle name="Normal 3 26 2 4" xfId="30458" xr:uid="{00000000-0005-0000-0000-0000F8760000}"/>
    <cellStyle name="Normal 3 26 2 4 2" xfId="30459" xr:uid="{00000000-0005-0000-0000-0000F9760000}"/>
    <cellStyle name="Normal 3 26 2 4 2 2" xfId="30460" xr:uid="{00000000-0005-0000-0000-0000FA760000}"/>
    <cellStyle name="Normal 3 26 2 4 2 3" xfId="30461" xr:uid="{00000000-0005-0000-0000-0000FB760000}"/>
    <cellStyle name="Normal 3 26 2 4 2 4" xfId="30462" xr:uid="{00000000-0005-0000-0000-0000FC760000}"/>
    <cellStyle name="Normal 3 26 2 4 2 5" xfId="30463" xr:uid="{00000000-0005-0000-0000-0000FD760000}"/>
    <cellStyle name="Normal 3 26 2 4 2 6" xfId="30464" xr:uid="{00000000-0005-0000-0000-0000FE760000}"/>
    <cellStyle name="Normal 3 26 2 4 3" xfId="30465" xr:uid="{00000000-0005-0000-0000-0000FF760000}"/>
    <cellStyle name="Normal 3 26 2 4 3 2" xfId="30466" xr:uid="{00000000-0005-0000-0000-000000770000}"/>
    <cellStyle name="Normal 3 26 2 4 3 3" xfId="30467" xr:uid="{00000000-0005-0000-0000-000001770000}"/>
    <cellStyle name="Normal 3 26 2 4 3 4" xfId="30468" xr:uid="{00000000-0005-0000-0000-000002770000}"/>
    <cellStyle name="Normal 3 26 2 4 3 5" xfId="30469" xr:uid="{00000000-0005-0000-0000-000003770000}"/>
    <cellStyle name="Normal 3 26 2 4 3 6" xfId="30470" xr:uid="{00000000-0005-0000-0000-000004770000}"/>
    <cellStyle name="Normal 3 26 2 4 4" xfId="30471" xr:uid="{00000000-0005-0000-0000-000005770000}"/>
    <cellStyle name="Normal 3 26 2 4 5" xfId="30472" xr:uid="{00000000-0005-0000-0000-000006770000}"/>
    <cellStyle name="Normal 3 26 2 4 6" xfId="30473" xr:uid="{00000000-0005-0000-0000-000007770000}"/>
    <cellStyle name="Normal 3 26 2 4 7" xfId="30474" xr:uid="{00000000-0005-0000-0000-000008770000}"/>
    <cellStyle name="Normal 3 26 2 4 8" xfId="30475" xr:uid="{00000000-0005-0000-0000-000009770000}"/>
    <cellStyle name="Normal 3 26 2 5" xfId="30476" xr:uid="{00000000-0005-0000-0000-00000A770000}"/>
    <cellStyle name="Normal 3 26 2 5 2" xfId="30477" xr:uid="{00000000-0005-0000-0000-00000B770000}"/>
    <cellStyle name="Normal 3 26 2 5 3" xfId="30478" xr:uid="{00000000-0005-0000-0000-00000C770000}"/>
    <cellStyle name="Normal 3 26 2 5 4" xfId="30479" xr:uid="{00000000-0005-0000-0000-00000D770000}"/>
    <cellStyle name="Normal 3 26 2 5 5" xfId="30480" xr:uid="{00000000-0005-0000-0000-00000E770000}"/>
    <cellStyle name="Normal 3 26 2 5 6" xfId="30481" xr:uid="{00000000-0005-0000-0000-00000F770000}"/>
    <cellStyle name="Normal 3 26 2 6" xfId="30482" xr:uid="{00000000-0005-0000-0000-000010770000}"/>
    <cellStyle name="Normal 3 26 2 6 2" xfId="30483" xr:uid="{00000000-0005-0000-0000-000011770000}"/>
    <cellStyle name="Normal 3 26 2 6 3" xfId="30484" xr:uid="{00000000-0005-0000-0000-000012770000}"/>
    <cellStyle name="Normal 3 26 2 6 4" xfId="30485" xr:uid="{00000000-0005-0000-0000-000013770000}"/>
    <cellStyle name="Normal 3 26 2 6 5" xfId="30486" xr:uid="{00000000-0005-0000-0000-000014770000}"/>
    <cellStyle name="Normal 3 26 2 6 6" xfId="30487" xr:uid="{00000000-0005-0000-0000-000015770000}"/>
    <cellStyle name="Normal 3 26 2 7" xfId="30488" xr:uid="{00000000-0005-0000-0000-000016770000}"/>
    <cellStyle name="Normal 3 26 2 8" xfId="30489" xr:uid="{00000000-0005-0000-0000-000017770000}"/>
    <cellStyle name="Normal 3 26 2 9" xfId="30490" xr:uid="{00000000-0005-0000-0000-000018770000}"/>
    <cellStyle name="Normal 3 26 3" xfId="30491" xr:uid="{00000000-0005-0000-0000-000019770000}"/>
    <cellStyle name="Normal 3 26 3 2" xfId="30492" xr:uid="{00000000-0005-0000-0000-00001A770000}"/>
    <cellStyle name="Normal 3 26 3 2 2" xfId="30493" xr:uid="{00000000-0005-0000-0000-00001B770000}"/>
    <cellStyle name="Normal 3 26 3 2 3" xfId="30494" xr:uid="{00000000-0005-0000-0000-00001C770000}"/>
    <cellStyle name="Normal 3 26 3 2 4" xfId="30495" xr:uid="{00000000-0005-0000-0000-00001D770000}"/>
    <cellStyle name="Normal 3 26 3 2 5" xfId="30496" xr:uid="{00000000-0005-0000-0000-00001E770000}"/>
    <cellStyle name="Normal 3 26 3 2 6" xfId="30497" xr:uid="{00000000-0005-0000-0000-00001F770000}"/>
    <cellStyle name="Normal 3 26 3 3" xfId="30498" xr:uid="{00000000-0005-0000-0000-000020770000}"/>
    <cellStyle name="Normal 3 26 3 3 2" xfId="30499" xr:uid="{00000000-0005-0000-0000-000021770000}"/>
    <cellStyle name="Normal 3 26 3 3 3" xfId="30500" xr:uid="{00000000-0005-0000-0000-000022770000}"/>
    <cellStyle name="Normal 3 26 3 3 4" xfId="30501" xr:uid="{00000000-0005-0000-0000-000023770000}"/>
    <cellStyle name="Normal 3 26 3 3 5" xfId="30502" xr:uid="{00000000-0005-0000-0000-000024770000}"/>
    <cellStyle name="Normal 3 26 3 3 6" xfId="30503" xr:uid="{00000000-0005-0000-0000-000025770000}"/>
    <cellStyle name="Normal 3 26 3 4" xfId="30504" xr:uid="{00000000-0005-0000-0000-000026770000}"/>
    <cellStyle name="Normal 3 26 3 5" xfId="30505" xr:uid="{00000000-0005-0000-0000-000027770000}"/>
    <cellStyle name="Normal 3 26 3 6" xfId="30506" xr:uid="{00000000-0005-0000-0000-000028770000}"/>
    <cellStyle name="Normal 3 26 3 7" xfId="30507" xr:uid="{00000000-0005-0000-0000-000029770000}"/>
    <cellStyle name="Normal 3 26 3 8" xfId="30508" xr:uid="{00000000-0005-0000-0000-00002A770000}"/>
    <cellStyle name="Normal 3 26 4" xfId="30509" xr:uid="{00000000-0005-0000-0000-00002B770000}"/>
    <cellStyle name="Normal 3 26 4 2" xfId="30510" xr:uid="{00000000-0005-0000-0000-00002C770000}"/>
    <cellStyle name="Normal 3 26 4 2 2" xfId="30511" xr:uid="{00000000-0005-0000-0000-00002D770000}"/>
    <cellStyle name="Normal 3 26 4 2 3" xfId="30512" xr:uid="{00000000-0005-0000-0000-00002E770000}"/>
    <cellStyle name="Normal 3 26 4 2 4" xfId="30513" xr:uid="{00000000-0005-0000-0000-00002F770000}"/>
    <cellStyle name="Normal 3 26 4 2 5" xfId="30514" xr:uid="{00000000-0005-0000-0000-000030770000}"/>
    <cellStyle name="Normal 3 26 4 2 6" xfId="30515" xr:uid="{00000000-0005-0000-0000-000031770000}"/>
    <cellStyle name="Normal 3 26 4 3" xfId="30516" xr:uid="{00000000-0005-0000-0000-000032770000}"/>
    <cellStyle name="Normal 3 26 4 3 2" xfId="30517" xr:uid="{00000000-0005-0000-0000-000033770000}"/>
    <cellStyle name="Normal 3 26 4 3 3" xfId="30518" xr:uid="{00000000-0005-0000-0000-000034770000}"/>
    <cellStyle name="Normal 3 26 4 3 4" xfId="30519" xr:uid="{00000000-0005-0000-0000-000035770000}"/>
    <cellStyle name="Normal 3 26 4 3 5" xfId="30520" xr:uid="{00000000-0005-0000-0000-000036770000}"/>
    <cellStyle name="Normal 3 26 4 3 6" xfId="30521" xr:uid="{00000000-0005-0000-0000-000037770000}"/>
    <cellStyle name="Normal 3 26 4 4" xfId="30522" xr:uid="{00000000-0005-0000-0000-000038770000}"/>
    <cellStyle name="Normal 3 26 4 5" xfId="30523" xr:uid="{00000000-0005-0000-0000-000039770000}"/>
    <cellStyle name="Normal 3 26 4 6" xfId="30524" xr:uid="{00000000-0005-0000-0000-00003A770000}"/>
    <cellStyle name="Normal 3 26 4 7" xfId="30525" xr:uid="{00000000-0005-0000-0000-00003B770000}"/>
    <cellStyle name="Normal 3 26 4 8" xfId="30526" xr:uid="{00000000-0005-0000-0000-00003C770000}"/>
    <cellStyle name="Normal 3 26 5" xfId="30527" xr:uid="{00000000-0005-0000-0000-00003D770000}"/>
    <cellStyle name="Normal 3 26 5 2" xfId="30528" xr:uid="{00000000-0005-0000-0000-00003E770000}"/>
    <cellStyle name="Normal 3 26 5 2 2" xfId="30529" xr:uid="{00000000-0005-0000-0000-00003F770000}"/>
    <cellStyle name="Normal 3 26 5 2 3" xfId="30530" xr:uid="{00000000-0005-0000-0000-000040770000}"/>
    <cellStyle name="Normal 3 26 5 2 4" xfId="30531" xr:uid="{00000000-0005-0000-0000-000041770000}"/>
    <cellStyle name="Normal 3 26 5 2 5" xfId="30532" xr:uid="{00000000-0005-0000-0000-000042770000}"/>
    <cellStyle name="Normal 3 26 5 2 6" xfId="30533" xr:uid="{00000000-0005-0000-0000-000043770000}"/>
    <cellStyle name="Normal 3 26 5 3" xfId="30534" xr:uid="{00000000-0005-0000-0000-000044770000}"/>
    <cellStyle name="Normal 3 26 5 3 2" xfId="30535" xr:uid="{00000000-0005-0000-0000-000045770000}"/>
    <cellStyle name="Normal 3 26 5 3 3" xfId="30536" xr:uid="{00000000-0005-0000-0000-000046770000}"/>
    <cellStyle name="Normal 3 26 5 3 4" xfId="30537" xr:uid="{00000000-0005-0000-0000-000047770000}"/>
    <cellStyle name="Normal 3 26 5 3 5" xfId="30538" xr:uid="{00000000-0005-0000-0000-000048770000}"/>
    <cellStyle name="Normal 3 26 5 3 6" xfId="30539" xr:uid="{00000000-0005-0000-0000-000049770000}"/>
    <cellStyle name="Normal 3 26 5 4" xfId="30540" xr:uid="{00000000-0005-0000-0000-00004A770000}"/>
    <cellStyle name="Normal 3 26 5 5" xfId="30541" xr:uid="{00000000-0005-0000-0000-00004B770000}"/>
    <cellStyle name="Normal 3 26 5 6" xfId="30542" xr:uid="{00000000-0005-0000-0000-00004C770000}"/>
    <cellStyle name="Normal 3 26 5 7" xfId="30543" xr:uid="{00000000-0005-0000-0000-00004D770000}"/>
    <cellStyle name="Normal 3 26 5 8" xfId="30544" xr:uid="{00000000-0005-0000-0000-00004E770000}"/>
    <cellStyle name="Normal 3 26 6" xfId="30545" xr:uid="{00000000-0005-0000-0000-00004F770000}"/>
    <cellStyle name="Normal 3 26 6 2" xfId="30546" xr:uid="{00000000-0005-0000-0000-000050770000}"/>
    <cellStyle name="Normal 3 26 6 3" xfId="30547" xr:uid="{00000000-0005-0000-0000-000051770000}"/>
    <cellStyle name="Normal 3 26 6 4" xfId="30548" xr:uid="{00000000-0005-0000-0000-000052770000}"/>
    <cellStyle name="Normal 3 26 6 5" xfId="30549" xr:uid="{00000000-0005-0000-0000-000053770000}"/>
    <cellStyle name="Normal 3 26 6 6" xfId="30550" xr:uid="{00000000-0005-0000-0000-000054770000}"/>
    <cellStyle name="Normal 3 26 7" xfId="30551" xr:uid="{00000000-0005-0000-0000-000055770000}"/>
    <cellStyle name="Normal 3 26 7 2" xfId="30552" xr:uid="{00000000-0005-0000-0000-000056770000}"/>
    <cellStyle name="Normal 3 26 7 3" xfId="30553" xr:uid="{00000000-0005-0000-0000-000057770000}"/>
    <cellStyle name="Normal 3 26 7 4" xfId="30554" xr:uid="{00000000-0005-0000-0000-000058770000}"/>
    <cellStyle name="Normal 3 26 7 5" xfId="30555" xr:uid="{00000000-0005-0000-0000-000059770000}"/>
    <cellStyle name="Normal 3 26 7 6" xfId="30556" xr:uid="{00000000-0005-0000-0000-00005A770000}"/>
    <cellStyle name="Normal 3 26 8" xfId="30557" xr:uid="{00000000-0005-0000-0000-00005B770000}"/>
    <cellStyle name="Normal 3 26 9" xfId="30558" xr:uid="{00000000-0005-0000-0000-00005C770000}"/>
    <cellStyle name="Normal 3 27" xfId="30559" xr:uid="{00000000-0005-0000-0000-00005D770000}"/>
    <cellStyle name="Normal 3 27 10" xfId="30560" xr:uid="{00000000-0005-0000-0000-00005E770000}"/>
    <cellStyle name="Normal 3 27 11" xfId="30561" xr:uid="{00000000-0005-0000-0000-00005F770000}"/>
    <cellStyle name="Normal 3 27 12" xfId="30562" xr:uid="{00000000-0005-0000-0000-000060770000}"/>
    <cellStyle name="Normal 3 27 2" xfId="30563" xr:uid="{00000000-0005-0000-0000-000061770000}"/>
    <cellStyle name="Normal 3 27 2 10" xfId="30564" xr:uid="{00000000-0005-0000-0000-000062770000}"/>
    <cellStyle name="Normal 3 27 2 11" xfId="30565" xr:uid="{00000000-0005-0000-0000-000063770000}"/>
    <cellStyle name="Normal 3 27 2 2" xfId="30566" xr:uid="{00000000-0005-0000-0000-000064770000}"/>
    <cellStyle name="Normal 3 27 2 2 2" xfId="30567" xr:uid="{00000000-0005-0000-0000-000065770000}"/>
    <cellStyle name="Normal 3 27 2 2 2 2" xfId="30568" xr:uid="{00000000-0005-0000-0000-000066770000}"/>
    <cellStyle name="Normal 3 27 2 2 2 3" xfId="30569" xr:uid="{00000000-0005-0000-0000-000067770000}"/>
    <cellStyle name="Normal 3 27 2 2 2 4" xfId="30570" xr:uid="{00000000-0005-0000-0000-000068770000}"/>
    <cellStyle name="Normal 3 27 2 2 2 5" xfId="30571" xr:uid="{00000000-0005-0000-0000-000069770000}"/>
    <cellStyle name="Normal 3 27 2 2 2 6" xfId="30572" xr:uid="{00000000-0005-0000-0000-00006A770000}"/>
    <cellStyle name="Normal 3 27 2 2 3" xfId="30573" xr:uid="{00000000-0005-0000-0000-00006B770000}"/>
    <cellStyle name="Normal 3 27 2 2 3 2" xfId="30574" xr:uid="{00000000-0005-0000-0000-00006C770000}"/>
    <cellStyle name="Normal 3 27 2 2 3 3" xfId="30575" xr:uid="{00000000-0005-0000-0000-00006D770000}"/>
    <cellStyle name="Normal 3 27 2 2 3 4" xfId="30576" xr:uid="{00000000-0005-0000-0000-00006E770000}"/>
    <cellStyle name="Normal 3 27 2 2 3 5" xfId="30577" xr:uid="{00000000-0005-0000-0000-00006F770000}"/>
    <cellStyle name="Normal 3 27 2 2 3 6" xfId="30578" xr:uid="{00000000-0005-0000-0000-000070770000}"/>
    <cellStyle name="Normal 3 27 2 2 4" xfId="30579" xr:uid="{00000000-0005-0000-0000-000071770000}"/>
    <cellStyle name="Normal 3 27 2 2 5" xfId="30580" xr:uid="{00000000-0005-0000-0000-000072770000}"/>
    <cellStyle name="Normal 3 27 2 2 6" xfId="30581" xr:uid="{00000000-0005-0000-0000-000073770000}"/>
    <cellStyle name="Normal 3 27 2 2 7" xfId="30582" xr:uid="{00000000-0005-0000-0000-000074770000}"/>
    <cellStyle name="Normal 3 27 2 2 8" xfId="30583" xr:uid="{00000000-0005-0000-0000-000075770000}"/>
    <cellStyle name="Normal 3 27 2 3" xfId="30584" xr:uid="{00000000-0005-0000-0000-000076770000}"/>
    <cellStyle name="Normal 3 27 2 3 2" xfId="30585" xr:uid="{00000000-0005-0000-0000-000077770000}"/>
    <cellStyle name="Normal 3 27 2 3 2 2" xfId="30586" xr:uid="{00000000-0005-0000-0000-000078770000}"/>
    <cellStyle name="Normal 3 27 2 3 2 3" xfId="30587" xr:uid="{00000000-0005-0000-0000-000079770000}"/>
    <cellStyle name="Normal 3 27 2 3 2 4" xfId="30588" xr:uid="{00000000-0005-0000-0000-00007A770000}"/>
    <cellStyle name="Normal 3 27 2 3 2 5" xfId="30589" xr:uid="{00000000-0005-0000-0000-00007B770000}"/>
    <cellStyle name="Normal 3 27 2 3 2 6" xfId="30590" xr:uid="{00000000-0005-0000-0000-00007C770000}"/>
    <cellStyle name="Normal 3 27 2 3 3" xfId="30591" xr:uid="{00000000-0005-0000-0000-00007D770000}"/>
    <cellStyle name="Normal 3 27 2 3 3 2" xfId="30592" xr:uid="{00000000-0005-0000-0000-00007E770000}"/>
    <cellStyle name="Normal 3 27 2 3 3 3" xfId="30593" xr:uid="{00000000-0005-0000-0000-00007F770000}"/>
    <cellStyle name="Normal 3 27 2 3 3 4" xfId="30594" xr:uid="{00000000-0005-0000-0000-000080770000}"/>
    <cellStyle name="Normal 3 27 2 3 3 5" xfId="30595" xr:uid="{00000000-0005-0000-0000-000081770000}"/>
    <cellStyle name="Normal 3 27 2 3 3 6" xfId="30596" xr:uid="{00000000-0005-0000-0000-000082770000}"/>
    <cellStyle name="Normal 3 27 2 3 4" xfId="30597" xr:uid="{00000000-0005-0000-0000-000083770000}"/>
    <cellStyle name="Normal 3 27 2 3 5" xfId="30598" xr:uid="{00000000-0005-0000-0000-000084770000}"/>
    <cellStyle name="Normal 3 27 2 3 6" xfId="30599" xr:uid="{00000000-0005-0000-0000-000085770000}"/>
    <cellStyle name="Normal 3 27 2 3 7" xfId="30600" xr:uid="{00000000-0005-0000-0000-000086770000}"/>
    <cellStyle name="Normal 3 27 2 3 8" xfId="30601" xr:uid="{00000000-0005-0000-0000-000087770000}"/>
    <cellStyle name="Normal 3 27 2 4" xfId="30602" xr:uid="{00000000-0005-0000-0000-000088770000}"/>
    <cellStyle name="Normal 3 27 2 4 2" xfId="30603" xr:uid="{00000000-0005-0000-0000-000089770000}"/>
    <cellStyle name="Normal 3 27 2 4 2 2" xfId="30604" xr:uid="{00000000-0005-0000-0000-00008A770000}"/>
    <cellStyle name="Normal 3 27 2 4 2 3" xfId="30605" xr:uid="{00000000-0005-0000-0000-00008B770000}"/>
    <cellStyle name="Normal 3 27 2 4 2 4" xfId="30606" xr:uid="{00000000-0005-0000-0000-00008C770000}"/>
    <cellStyle name="Normal 3 27 2 4 2 5" xfId="30607" xr:uid="{00000000-0005-0000-0000-00008D770000}"/>
    <cellStyle name="Normal 3 27 2 4 2 6" xfId="30608" xr:uid="{00000000-0005-0000-0000-00008E770000}"/>
    <cellStyle name="Normal 3 27 2 4 3" xfId="30609" xr:uid="{00000000-0005-0000-0000-00008F770000}"/>
    <cellStyle name="Normal 3 27 2 4 3 2" xfId="30610" xr:uid="{00000000-0005-0000-0000-000090770000}"/>
    <cellStyle name="Normal 3 27 2 4 3 3" xfId="30611" xr:uid="{00000000-0005-0000-0000-000091770000}"/>
    <cellStyle name="Normal 3 27 2 4 3 4" xfId="30612" xr:uid="{00000000-0005-0000-0000-000092770000}"/>
    <cellStyle name="Normal 3 27 2 4 3 5" xfId="30613" xr:uid="{00000000-0005-0000-0000-000093770000}"/>
    <cellStyle name="Normal 3 27 2 4 3 6" xfId="30614" xr:uid="{00000000-0005-0000-0000-000094770000}"/>
    <cellStyle name="Normal 3 27 2 4 4" xfId="30615" xr:uid="{00000000-0005-0000-0000-000095770000}"/>
    <cellStyle name="Normal 3 27 2 4 5" xfId="30616" xr:uid="{00000000-0005-0000-0000-000096770000}"/>
    <cellStyle name="Normal 3 27 2 4 6" xfId="30617" xr:uid="{00000000-0005-0000-0000-000097770000}"/>
    <cellStyle name="Normal 3 27 2 4 7" xfId="30618" xr:uid="{00000000-0005-0000-0000-000098770000}"/>
    <cellStyle name="Normal 3 27 2 4 8" xfId="30619" xr:uid="{00000000-0005-0000-0000-000099770000}"/>
    <cellStyle name="Normal 3 27 2 5" xfId="30620" xr:uid="{00000000-0005-0000-0000-00009A770000}"/>
    <cellStyle name="Normal 3 27 2 5 2" xfId="30621" xr:uid="{00000000-0005-0000-0000-00009B770000}"/>
    <cellStyle name="Normal 3 27 2 5 3" xfId="30622" xr:uid="{00000000-0005-0000-0000-00009C770000}"/>
    <cellStyle name="Normal 3 27 2 5 4" xfId="30623" xr:uid="{00000000-0005-0000-0000-00009D770000}"/>
    <cellStyle name="Normal 3 27 2 5 5" xfId="30624" xr:uid="{00000000-0005-0000-0000-00009E770000}"/>
    <cellStyle name="Normal 3 27 2 5 6" xfId="30625" xr:uid="{00000000-0005-0000-0000-00009F770000}"/>
    <cellStyle name="Normal 3 27 2 6" xfId="30626" xr:uid="{00000000-0005-0000-0000-0000A0770000}"/>
    <cellStyle name="Normal 3 27 2 6 2" xfId="30627" xr:uid="{00000000-0005-0000-0000-0000A1770000}"/>
    <cellStyle name="Normal 3 27 2 6 3" xfId="30628" xr:uid="{00000000-0005-0000-0000-0000A2770000}"/>
    <cellStyle name="Normal 3 27 2 6 4" xfId="30629" xr:uid="{00000000-0005-0000-0000-0000A3770000}"/>
    <cellStyle name="Normal 3 27 2 6 5" xfId="30630" xr:uid="{00000000-0005-0000-0000-0000A4770000}"/>
    <cellStyle name="Normal 3 27 2 6 6" xfId="30631" xr:uid="{00000000-0005-0000-0000-0000A5770000}"/>
    <cellStyle name="Normal 3 27 2 7" xfId="30632" xr:uid="{00000000-0005-0000-0000-0000A6770000}"/>
    <cellStyle name="Normal 3 27 2 8" xfId="30633" xr:uid="{00000000-0005-0000-0000-0000A7770000}"/>
    <cellStyle name="Normal 3 27 2 9" xfId="30634" xr:uid="{00000000-0005-0000-0000-0000A8770000}"/>
    <cellStyle name="Normal 3 27 3" xfId="30635" xr:uid="{00000000-0005-0000-0000-0000A9770000}"/>
    <cellStyle name="Normal 3 27 3 2" xfId="30636" xr:uid="{00000000-0005-0000-0000-0000AA770000}"/>
    <cellStyle name="Normal 3 27 3 2 2" xfId="30637" xr:uid="{00000000-0005-0000-0000-0000AB770000}"/>
    <cellStyle name="Normal 3 27 3 2 3" xfId="30638" xr:uid="{00000000-0005-0000-0000-0000AC770000}"/>
    <cellStyle name="Normal 3 27 3 2 4" xfId="30639" xr:uid="{00000000-0005-0000-0000-0000AD770000}"/>
    <cellStyle name="Normal 3 27 3 2 5" xfId="30640" xr:uid="{00000000-0005-0000-0000-0000AE770000}"/>
    <cellStyle name="Normal 3 27 3 2 6" xfId="30641" xr:uid="{00000000-0005-0000-0000-0000AF770000}"/>
    <cellStyle name="Normal 3 27 3 3" xfId="30642" xr:uid="{00000000-0005-0000-0000-0000B0770000}"/>
    <cellStyle name="Normal 3 27 3 3 2" xfId="30643" xr:uid="{00000000-0005-0000-0000-0000B1770000}"/>
    <cellStyle name="Normal 3 27 3 3 3" xfId="30644" xr:uid="{00000000-0005-0000-0000-0000B2770000}"/>
    <cellStyle name="Normal 3 27 3 3 4" xfId="30645" xr:uid="{00000000-0005-0000-0000-0000B3770000}"/>
    <cellStyle name="Normal 3 27 3 3 5" xfId="30646" xr:uid="{00000000-0005-0000-0000-0000B4770000}"/>
    <cellStyle name="Normal 3 27 3 3 6" xfId="30647" xr:uid="{00000000-0005-0000-0000-0000B5770000}"/>
    <cellStyle name="Normal 3 27 3 4" xfId="30648" xr:uid="{00000000-0005-0000-0000-0000B6770000}"/>
    <cellStyle name="Normal 3 27 3 5" xfId="30649" xr:uid="{00000000-0005-0000-0000-0000B7770000}"/>
    <cellStyle name="Normal 3 27 3 6" xfId="30650" xr:uid="{00000000-0005-0000-0000-0000B8770000}"/>
    <cellStyle name="Normal 3 27 3 7" xfId="30651" xr:uid="{00000000-0005-0000-0000-0000B9770000}"/>
    <cellStyle name="Normal 3 27 3 8" xfId="30652" xr:uid="{00000000-0005-0000-0000-0000BA770000}"/>
    <cellStyle name="Normal 3 27 4" xfId="30653" xr:uid="{00000000-0005-0000-0000-0000BB770000}"/>
    <cellStyle name="Normal 3 27 4 2" xfId="30654" xr:uid="{00000000-0005-0000-0000-0000BC770000}"/>
    <cellStyle name="Normal 3 27 4 2 2" xfId="30655" xr:uid="{00000000-0005-0000-0000-0000BD770000}"/>
    <cellStyle name="Normal 3 27 4 2 3" xfId="30656" xr:uid="{00000000-0005-0000-0000-0000BE770000}"/>
    <cellStyle name="Normal 3 27 4 2 4" xfId="30657" xr:uid="{00000000-0005-0000-0000-0000BF770000}"/>
    <cellStyle name="Normal 3 27 4 2 5" xfId="30658" xr:uid="{00000000-0005-0000-0000-0000C0770000}"/>
    <cellStyle name="Normal 3 27 4 2 6" xfId="30659" xr:uid="{00000000-0005-0000-0000-0000C1770000}"/>
    <cellStyle name="Normal 3 27 4 3" xfId="30660" xr:uid="{00000000-0005-0000-0000-0000C2770000}"/>
    <cellStyle name="Normal 3 27 4 3 2" xfId="30661" xr:uid="{00000000-0005-0000-0000-0000C3770000}"/>
    <cellStyle name="Normal 3 27 4 3 3" xfId="30662" xr:uid="{00000000-0005-0000-0000-0000C4770000}"/>
    <cellStyle name="Normal 3 27 4 3 4" xfId="30663" xr:uid="{00000000-0005-0000-0000-0000C5770000}"/>
    <cellStyle name="Normal 3 27 4 3 5" xfId="30664" xr:uid="{00000000-0005-0000-0000-0000C6770000}"/>
    <cellStyle name="Normal 3 27 4 3 6" xfId="30665" xr:uid="{00000000-0005-0000-0000-0000C7770000}"/>
    <cellStyle name="Normal 3 27 4 4" xfId="30666" xr:uid="{00000000-0005-0000-0000-0000C8770000}"/>
    <cellStyle name="Normal 3 27 4 5" xfId="30667" xr:uid="{00000000-0005-0000-0000-0000C9770000}"/>
    <cellStyle name="Normal 3 27 4 6" xfId="30668" xr:uid="{00000000-0005-0000-0000-0000CA770000}"/>
    <cellStyle name="Normal 3 27 4 7" xfId="30669" xr:uid="{00000000-0005-0000-0000-0000CB770000}"/>
    <cellStyle name="Normal 3 27 4 8" xfId="30670" xr:uid="{00000000-0005-0000-0000-0000CC770000}"/>
    <cellStyle name="Normal 3 27 5" xfId="30671" xr:uid="{00000000-0005-0000-0000-0000CD770000}"/>
    <cellStyle name="Normal 3 27 5 2" xfId="30672" xr:uid="{00000000-0005-0000-0000-0000CE770000}"/>
    <cellStyle name="Normal 3 27 5 2 2" xfId="30673" xr:uid="{00000000-0005-0000-0000-0000CF770000}"/>
    <cellStyle name="Normal 3 27 5 2 3" xfId="30674" xr:uid="{00000000-0005-0000-0000-0000D0770000}"/>
    <cellStyle name="Normal 3 27 5 2 4" xfId="30675" xr:uid="{00000000-0005-0000-0000-0000D1770000}"/>
    <cellStyle name="Normal 3 27 5 2 5" xfId="30676" xr:uid="{00000000-0005-0000-0000-0000D2770000}"/>
    <cellStyle name="Normal 3 27 5 2 6" xfId="30677" xr:uid="{00000000-0005-0000-0000-0000D3770000}"/>
    <cellStyle name="Normal 3 27 5 3" xfId="30678" xr:uid="{00000000-0005-0000-0000-0000D4770000}"/>
    <cellStyle name="Normal 3 27 5 3 2" xfId="30679" xr:uid="{00000000-0005-0000-0000-0000D5770000}"/>
    <cellStyle name="Normal 3 27 5 3 3" xfId="30680" xr:uid="{00000000-0005-0000-0000-0000D6770000}"/>
    <cellStyle name="Normal 3 27 5 3 4" xfId="30681" xr:uid="{00000000-0005-0000-0000-0000D7770000}"/>
    <cellStyle name="Normal 3 27 5 3 5" xfId="30682" xr:uid="{00000000-0005-0000-0000-0000D8770000}"/>
    <cellStyle name="Normal 3 27 5 3 6" xfId="30683" xr:uid="{00000000-0005-0000-0000-0000D9770000}"/>
    <cellStyle name="Normal 3 27 5 4" xfId="30684" xr:uid="{00000000-0005-0000-0000-0000DA770000}"/>
    <cellStyle name="Normal 3 27 5 5" xfId="30685" xr:uid="{00000000-0005-0000-0000-0000DB770000}"/>
    <cellStyle name="Normal 3 27 5 6" xfId="30686" xr:uid="{00000000-0005-0000-0000-0000DC770000}"/>
    <cellStyle name="Normal 3 27 5 7" xfId="30687" xr:uid="{00000000-0005-0000-0000-0000DD770000}"/>
    <cellStyle name="Normal 3 27 5 8" xfId="30688" xr:uid="{00000000-0005-0000-0000-0000DE770000}"/>
    <cellStyle name="Normal 3 27 6" xfId="30689" xr:uid="{00000000-0005-0000-0000-0000DF770000}"/>
    <cellStyle name="Normal 3 27 6 2" xfId="30690" xr:uid="{00000000-0005-0000-0000-0000E0770000}"/>
    <cellStyle name="Normal 3 27 6 3" xfId="30691" xr:uid="{00000000-0005-0000-0000-0000E1770000}"/>
    <cellStyle name="Normal 3 27 6 4" xfId="30692" xr:uid="{00000000-0005-0000-0000-0000E2770000}"/>
    <cellStyle name="Normal 3 27 6 5" xfId="30693" xr:uid="{00000000-0005-0000-0000-0000E3770000}"/>
    <cellStyle name="Normal 3 27 6 6" xfId="30694" xr:uid="{00000000-0005-0000-0000-0000E4770000}"/>
    <cellStyle name="Normal 3 27 7" xfId="30695" xr:uid="{00000000-0005-0000-0000-0000E5770000}"/>
    <cellStyle name="Normal 3 27 7 2" xfId="30696" xr:uid="{00000000-0005-0000-0000-0000E6770000}"/>
    <cellStyle name="Normal 3 27 7 3" xfId="30697" xr:uid="{00000000-0005-0000-0000-0000E7770000}"/>
    <cellStyle name="Normal 3 27 7 4" xfId="30698" xr:uid="{00000000-0005-0000-0000-0000E8770000}"/>
    <cellStyle name="Normal 3 27 7 5" xfId="30699" xr:uid="{00000000-0005-0000-0000-0000E9770000}"/>
    <cellStyle name="Normal 3 27 7 6" xfId="30700" xr:uid="{00000000-0005-0000-0000-0000EA770000}"/>
    <cellStyle name="Normal 3 27 8" xfId="30701" xr:uid="{00000000-0005-0000-0000-0000EB770000}"/>
    <cellStyle name="Normal 3 27 9" xfId="30702" xr:uid="{00000000-0005-0000-0000-0000EC770000}"/>
    <cellStyle name="Normal 3 28" xfId="30703" xr:uid="{00000000-0005-0000-0000-0000ED770000}"/>
    <cellStyle name="Normal 3 28 10" xfId="30704" xr:uid="{00000000-0005-0000-0000-0000EE770000}"/>
    <cellStyle name="Normal 3 28 11" xfId="30705" xr:uid="{00000000-0005-0000-0000-0000EF770000}"/>
    <cellStyle name="Normal 3 28 2" xfId="30706" xr:uid="{00000000-0005-0000-0000-0000F0770000}"/>
    <cellStyle name="Normal 3 28 2 2" xfId="30707" xr:uid="{00000000-0005-0000-0000-0000F1770000}"/>
    <cellStyle name="Normal 3 28 2 2 2" xfId="30708" xr:uid="{00000000-0005-0000-0000-0000F2770000}"/>
    <cellStyle name="Normal 3 28 2 2 3" xfId="30709" xr:uid="{00000000-0005-0000-0000-0000F3770000}"/>
    <cellStyle name="Normal 3 28 2 2 4" xfId="30710" xr:uid="{00000000-0005-0000-0000-0000F4770000}"/>
    <cellStyle name="Normal 3 28 2 2 5" xfId="30711" xr:uid="{00000000-0005-0000-0000-0000F5770000}"/>
    <cellStyle name="Normal 3 28 2 2 6" xfId="30712" xr:uid="{00000000-0005-0000-0000-0000F6770000}"/>
    <cellStyle name="Normal 3 28 2 3" xfId="30713" xr:uid="{00000000-0005-0000-0000-0000F7770000}"/>
    <cellStyle name="Normal 3 28 2 3 2" xfId="30714" xr:uid="{00000000-0005-0000-0000-0000F8770000}"/>
    <cellStyle name="Normal 3 28 2 3 3" xfId="30715" xr:uid="{00000000-0005-0000-0000-0000F9770000}"/>
    <cellStyle name="Normal 3 28 2 3 4" xfId="30716" xr:uid="{00000000-0005-0000-0000-0000FA770000}"/>
    <cellStyle name="Normal 3 28 2 3 5" xfId="30717" xr:uid="{00000000-0005-0000-0000-0000FB770000}"/>
    <cellStyle name="Normal 3 28 2 3 6" xfId="30718" xr:uid="{00000000-0005-0000-0000-0000FC770000}"/>
    <cellStyle name="Normal 3 28 2 4" xfId="30719" xr:uid="{00000000-0005-0000-0000-0000FD770000}"/>
    <cellStyle name="Normal 3 28 2 5" xfId="30720" xr:uid="{00000000-0005-0000-0000-0000FE770000}"/>
    <cellStyle name="Normal 3 28 2 6" xfId="30721" xr:uid="{00000000-0005-0000-0000-0000FF770000}"/>
    <cellStyle name="Normal 3 28 2 7" xfId="30722" xr:uid="{00000000-0005-0000-0000-000000780000}"/>
    <cellStyle name="Normal 3 28 2 8" xfId="30723" xr:uid="{00000000-0005-0000-0000-000001780000}"/>
    <cellStyle name="Normal 3 28 3" xfId="30724" xr:uid="{00000000-0005-0000-0000-000002780000}"/>
    <cellStyle name="Normal 3 28 3 2" xfId="30725" xr:uid="{00000000-0005-0000-0000-000003780000}"/>
    <cellStyle name="Normal 3 28 3 2 2" xfId="30726" xr:uid="{00000000-0005-0000-0000-000004780000}"/>
    <cellStyle name="Normal 3 28 3 2 3" xfId="30727" xr:uid="{00000000-0005-0000-0000-000005780000}"/>
    <cellStyle name="Normal 3 28 3 2 4" xfId="30728" xr:uid="{00000000-0005-0000-0000-000006780000}"/>
    <cellStyle name="Normal 3 28 3 2 5" xfId="30729" xr:uid="{00000000-0005-0000-0000-000007780000}"/>
    <cellStyle name="Normal 3 28 3 2 6" xfId="30730" xr:uid="{00000000-0005-0000-0000-000008780000}"/>
    <cellStyle name="Normal 3 28 3 3" xfId="30731" xr:uid="{00000000-0005-0000-0000-000009780000}"/>
    <cellStyle name="Normal 3 28 3 3 2" xfId="30732" xr:uid="{00000000-0005-0000-0000-00000A780000}"/>
    <cellStyle name="Normal 3 28 3 3 3" xfId="30733" xr:uid="{00000000-0005-0000-0000-00000B780000}"/>
    <cellStyle name="Normal 3 28 3 3 4" xfId="30734" xr:uid="{00000000-0005-0000-0000-00000C780000}"/>
    <cellStyle name="Normal 3 28 3 3 5" xfId="30735" xr:uid="{00000000-0005-0000-0000-00000D780000}"/>
    <cellStyle name="Normal 3 28 3 3 6" xfId="30736" xr:uid="{00000000-0005-0000-0000-00000E780000}"/>
    <cellStyle name="Normal 3 28 3 4" xfId="30737" xr:uid="{00000000-0005-0000-0000-00000F780000}"/>
    <cellStyle name="Normal 3 28 3 5" xfId="30738" xr:uid="{00000000-0005-0000-0000-000010780000}"/>
    <cellStyle name="Normal 3 28 3 6" xfId="30739" xr:uid="{00000000-0005-0000-0000-000011780000}"/>
    <cellStyle name="Normal 3 28 3 7" xfId="30740" xr:uid="{00000000-0005-0000-0000-000012780000}"/>
    <cellStyle name="Normal 3 28 3 8" xfId="30741" xr:uid="{00000000-0005-0000-0000-000013780000}"/>
    <cellStyle name="Normal 3 28 4" xfId="30742" xr:uid="{00000000-0005-0000-0000-000014780000}"/>
    <cellStyle name="Normal 3 28 4 2" xfId="30743" xr:uid="{00000000-0005-0000-0000-000015780000}"/>
    <cellStyle name="Normal 3 28 4 2 2" xfId="30744" xr:uid="{00000000-0005-0000-0000-000016780000}"/>
    <cellStyle name="Normal 3 28 4 2 3" xfId="30745" xr:uid="{00000000-0005-0000-0000-000017780000}"/>
    <cellStyle name="Normal 3 28 4 2 4" xfId="30746" xr:uid="{00000000-0005-0000-0000-000018780000}"/>
    <cellStyle name="Normal 3 28 4 2 5" xfId="30747" xr:uid="{00000000-0005-0000-0000-000019780000}"/>
    <cellStyle name="Normal 3 28 4 2 6" xfId="30748" xr:uid="{00000000-0005-0000-0000-00001A780000}"/>
    <cellStyle name="Normal 3 28 4 3" xfId="30749" xr:uid="{00000000-0005-0000-0000-00001B780000}"/>
    <cellStyle name="Normal 3 28 4 3 2" xfId="30750" xr:uid="{00000000-0005-0000-0000-00001C780000}"/>
    <cellStyle name="Normal 3 28 4 3 3" xfId="30751" xr:uid="{00000000-0005-0000-0000-00001D780000}"/>
    <cellStyle name="Normal 3 28 4 3 4" xfId="30752" xr:uid="{00000000-0005-0000-0000-00001E780000}"/>
    <cellStyle name="Normal 3 28 4 3 5" xfId="30753" xr:uid="{00000000-0005-0000-0000-00001F780000}"/>
    <cellStyle name="Normal 3 28 4 3 6" xfId="30754" xr:uid="{00000000-0005-0000-0000-000020780000}"/>
    <cellStyle name="Normal 3 28 4 4" xfId="30755" xr:uid="{00000000-0005-0000-0000-000021780000}"/>
    <cellStyle name="Normal 3 28 4 5" xfId="30756" xr:uid="{00000000-0005-0000-0000-000022780000}"/>
    <cellStyle name="Normal 3 28 4 6" xfId="30757" xr:uid="{00000000-0005-0000-0000-000023780000}"/>
    <cellStyle name="Normal 3 28 4 7" xfId="30758" xr:uid="{00000000-0005-0000-0000-000024780000}"/>
    <cellStyle name="Normal 3 28 4 8" xfId="30759" xr:uid="{00000000-0005-0000-0000-000025780000}"/>
    <cellStyle name="Normal 3 28 5" xfId="30760" xr:uid="{00000000-0005-0000-0000-000026780000}"/>
    <cellStyle name="Normal 3 28 5 2" xfId="30761" xr:uid="{00000000-0005-0000-0000-000027780000}"/>
    <cellStyle name="Normal 3 28 5 3" xfId="30762" xr:uid="{00000000-0005-0000-0000-000028780000}"/>
    <cellStyle name="Normal 3 28 5 4" xfId="30763" xr:uid="{00000000-0005-0000-0000-000029780000}"/>
    <cellStyle name="Normal 3 28 5 5" xfId="30764" xr:uid="{00000000-0005-0000-0000-00002A780000}"/>
    <cellStyle name="Normal 3 28 5 6" xfId="30765" xr:uid="{00000000-0005-0000-0000-00002B780000}"/>
    <cellStyle name="Normal 3 28 6" xfId="30766" xr:uid="{00000000-0005-0000-0000-00002C780000}"/>
    <cellStyle name="Normal 3 28 6 2" xfId="30767" xr:uid="{00000000-0005-0000-0000-00002D780000}"/>
    <cellStyle name="Normal 3 28 6 3" xfId="30768" xr:uid="{00000000-0005-0000-0000-00002E780000}"/>
    <cellStyle name="Normal 3 28 6 4" xfId="30769" xr:uid="{00000000-0005-0000-0000-00002F780000}"/>
    <cellStyle name="Normal 3 28 6 5" xfId="30770" xr:uid="{00000000-0005-0000-0000-000030780000}"/>
    <cellStyle name="Normal 3 28 6 6" xfId="30771" xr:uid="{00000000-0005-0000-0000-000031780000}"/>
    <cellStyle name="Normal 3 28 7" xfId="30772" xr:uid="{00000000-0005-0000-0000-000032780000}"/>
    <cellStyle name="Normal 3 28 8" xfId="30773" xr:uid="{00000000-0005-0000-0000-000033780000}"/>
    <cellStyle name="Normal 3 28 9" xfId="30774" xr:uid="{00000000-0005-0000-0000-000034780000}"/>
    <cellStyle name="Normal 3 29" xfId="30775" xr:uid="{00000000-0005-0000-0000-000035780000}"/>
    <cellStyle name="Normal 3 29 2" xfId="30776" xr:uid="{00000000-0005-0000-0000-000036780000}"/>
    <cellStyle name="Normal 3 29 2 2" xfId="30777" xr:uid="{00000000-0005-0000-0000-000037780000}"/>
    <cellStyle name="Normal 3 29 2 3" xfId="30778" xr:uid="{00000000-0005-0000-0000-000038780000}"/>
    <cellStyle name="Normal 3 29 2 4" xfId="30779" xr:uid="{00000000-0005-0000-0000-000039780000}"/>
    <cellStyle name="Normal 3 29 2 5" xfId="30780" xr:uid="{00000000-0005-0000-0000-00003A780000}"/>
    <cellStyle name="Normal 3 29 2 6" xfId="30781" xr:uid="{00000000-0005-0000-0000-00003B780000}"/>
    <cellStyle name="Normal 3 29 3" xfId="30782" xr:uid="{00000000-0005-0000-0000-00003C780000}"/>
    <cellStyle name="Normal 3 29 3 2" xfId="30783" xr:uid="{00000000-0005-0000-0000-00003D780000}"/>
    <cellStyle name="Normal 3 29 3 3" xfId="30784" xr:uid="{00000000-0005-0000-0000-00003E780000}"/>
    <cellStyle name="Normal 3 29 3 4" xfId="30785" xr:uid="{00000000-0005-0000-0000-00003F780000}"/>
    <cellStyle name="Normal 3 29 3 5" xfId="30786" xr:uid="{00000000-0005-0000-0000-000040780000}"/>
    <cellStyle name="Normal 3 29 3 6" xfId="30787" xr:uid="{00000000-0005-0000-0000-000041780000}"/>
    <cellStyle name="Normal 3 29 4" xfId="30788" xr:uid="{00000000-0005-0000-0000-000042780000}"/>
    <cellStyle name="Normal 3 29 5" xfId="30789" xr:uid="{00000000-0005-0000-0000-000043780000}"/>
    <cellStyle name="Normal 3 29 6" xfId="30790" xr:uid="{00000000-0005-0000-0000-000044780000}"/>
    <cellStyle name="Normal 3 29 7" xfId="30791" xr:uid="{00000000-0005-0000-0000-000045780000}"/>
    <cellStyle name="Normal 3 29 8" xfId="30792" xr:uid="{00000000-0005-0000-0000-000046780000}"/>
    <cellStyle name="Normal 3 3" xfId="30793" xr:uid="{00000000-0005-0000-0000-000047780000}"/>
    <cellStyle name="Normal 3 3 2" xfId="30794" xr:uid="{00000000-0005-0000-0000-000048780000}"/>
    <cellStyle name="Normal 3 3 2 2" xfId="30795" xr:uid="{00000000-0005-0000-0000-000049780000}"/>
    <cellStyle name="Normal 3 3 3" xfId="30796" xr:uid="{00000000-0005-0000-0000-00004A780000}"/>
    <cellStyle name="Normal 3 30" xfId="30797" xr:uid="{00000000-0005-0000-0000-00004B780000}"/>
    <cellStyle name="Normal 3 30 2" xfId="30798" xr:uid="{00000000-0005-0000-0000-00004C780000}"/>
    <cellStyle name="Normal 3 30 2 2" xfId="30799" xr:uid="{00000000-0005-0000-0000-00004D780000}"/>
    <cellStyle name="Normal 3 30 2 3" xfId="30800" xr:uid="{00000000-0005-0000-0000-00004E780000}"/>
    <cellStyle name="Normal 3 30 2 4" xfId="30801" xr:uid="{00000000-0005-0000-0000-00004F780000}"/>
    <cellStyle name="Normal 3 30 2 5" xfId="30802" xr:uid="{00000000-0005-0000-0000-000050780000}"/>
    <cellStyle name="Normal 3 30 2 6" xfId="30803" xr:uid="{00000000-0005-0000-0000-000051780000}"/>
    <cellStyle name="Normal 3 30 3" xfId="30804" xr:uid="{00000000-0005-0000-0000-000052780000}"/>
    <cellStyle name="Normal 3 30 3 2" xfId="30805" xr:uid="{00000000-0005-0000-0000-000053780000}"/>
    <cellStyle name="Normal 3 30 3 3" xfId="30806" xr:uid="{00000000-0005-0000-0000-000054780000}"/>
    <cellStyle name="Normal 3 30 3 4" xfId="30807" xr:uid="{00000000-0005-0000-0000-000055780000}"/>
    <cellStyle name="Normal 3 30 3 5" xfId="30808" xr:uid="{00000000-0005-0000-0000-000056780000}"/>
    <cellStyle name="Normal 3 30 3 6" xfId="30809" xr:uid="{00000000-0005-0000-0000-000057780000}"/>
    <cellStyle name="Normal 3 30 4" xfId="30810" xr:uid="{00000000-0005-0000-0000-000058780000}"/>
    <cellStyle name="Normal 3 30 5" xfId="30811" xr:uid="{00000000-0005-0000-0000-000059780000}"/>
    <cellStyle name="Normal 3 30 6" xfId="30812" xr:uid="{00000000-0005-0000-0000-00005A780000}"/>
    <cellStyle name="Normal 3 30 7" xfId="30813" xr:uid="{00000000-0005-0000-0000-00005B780000}"/>
    <cellStyle name="Normal 3 30 8" xfId="30814" xr:uid="{00000000-0005-0000-0000-00005C780000}"/>
    <cellStyle name="Normal 3 31" xfId="30815" xr:uid="{00000000-0005-0000-0000-00005D780000}"/>
    <cellStyle name="Normal 3 31 2" xfId="30816" xr:uid="{00000000-0005-0000-0000-00005E780000}"/>
    <cellStyle name="Normal 3 31 2 2" xfId="30817" xr:uid="{00000000-0005-0000-0000-00005F780000}"/>
    <cellStyle name="Normal 3 31 2 3" xfId="30818" xr:uid="{00000000-0005-0000-0000-000060780000}"/>
    <cellStyle name="Normal 3 31 2 4" xfId="30819" xr:uid="{00000000-0005-0000-0000-000061780000}"/>
    <cellStyle name="Normal 3 31 2 5" xfId="30820" xr:uid="{00000000-0005-0000-0000-000062780000}"/>
    <cellStyle name="Normal 3 31 2 6" xfId="30821" xr:uid="{00000000-0005-0000-0000-000063780000}"/>
    <cellStyle name="Normal 3 31 3" xfId="30822" xr:uid="{00000000-0005-0000-0000-000064780000}"/>
    <cellStyle name="Normal 3 31 3 2" xfId="30823" xr:uid="{00000000-0005-0000-0000-000065780000}"/>
    <cellStyle name="Normal 3 31 3 3" xfId="30824" xr:uid="{00000000-0005-0000-0000-000066780000}"/>
    <cellStyle name="Normal 3 31 3 4" xfId="30825" xr:uid="{00000000-0005-0000-0000-000067780000}"/>
    <cellStyle name="Normal 3 31 3 5" xfId="30826" xr:uid="{00000000-0005-0000-0000-000068780000}"/>
    <cellStyle name="Normal 3 31 3 6" xfId="30827" xr:uid="{00000000-0005-0000-0000-000069780000}"/>
    <cellStyle name="Normal 3 31 4" xfId="30828" xr:uid="{00000000-0005-0000-0000-00006A780000}"/>
    <cellStyle name="Normal 3 31 5" xfId="30829" xr:uid="{00000000-0005-0000-0000-00006B780000}"/>
    <cellStyle name="Normal 3 31 6" xfId="30830" xr:uid="{00000000-0005-0000-0000-00006C780000}"/>
    <cellStyle name="Normal 3 31 7" xfId="30831" xr:uid="{00000000-0005-0000-0000-00006D780000}"/>
    <cellStyle name="Normal 3 31 8" xfId="30832" xr:uid="{00000000-0005-0000-0000-00006E780000}"/>
    <cellStyle name="Normal 3 32" xfId="30833" xr:uid="{00000000-0005-0000-0000-00006F780000}"/>
    <cellStyle name="Normal 3 32 2" xfId="30834" xr:uid="{00000000-0005-0000-0000-000070780000}"/>
    <cellStyle name="Normal 3 32 3" xfId="30835" xr:uid="{00000000-0005-0000-0000-000071780000}"/>
    <cellStyle name="Normal 3 32 4" xfId="30836" xr:uid="{00000000-0005-0000-0000-000072780000}"/>
    <cellStyle name="Normal 3 32 5" xfId="30837" xr:uid="{00000000-0005-0000-0000-000073780000}"/>
    <cellStyle name="Normal 3 32 6" xfId="30838" xr:uid="{00000000-0005-0000-0000-000074780000}"/>
    <cellStyle name="Normal 3 33" xfId="30839" xr:uid="{00000000-0005-0000-0000-000075780000}"/>
    <cellStyle name="Normal 3 33 2" xfId="30840" xr:uid="{00000000-0005-0000-0000-000076780000}"/>
    <cellStyle name="Normal 3 33 3" xfId="30841" xr:uid="{00000000-0005-0000-0000-000077780000}"/>
    <cellStyle name="Normal 3 33 4" xfId="30842" xr:uid="{00000000-0005-0000-0000-000078780000}"/>
    <cellStyle name="Normal 3 33 5" xfId="30843" xr:uid="{00000000-0005-0000-0000-000079780000}"/>
    <cellStyle name="Normal 3 33 6" xfId="30844" xr:uid="{00000000-0005-0000-0000-00007A780000}"/>
    <cellStyle name="Normal 3 34" xfId="30845" xr:uid="{00000000-0005-0000-0000-00007B780000}"/>
    <cellStyle name="Normal 3 35" xfId="30846" xr:uid="{00000000-0005-0000-0000-00007C780000}"/>
    <cellStyle name="Normal 3 36" xfId="30847" xr:uid="{00000000-0005-0000-0000-00007D780000}"/>
    <cellStyle name="Normal 3 37" xfId="30848" xr:uid="{00000000-0005-0000-0000-00007E780000}"/>
    <cellStyle name="Normal 3 38" xfId="30849" xr:uid="{00000000-0005-0000-0000-00007F780000}"/>
    <cellStyle name="Normal 3 4" xfId="30850" xr:uid="{00000000-0005-0000-0000-000080780000}"/>
    <cellStyle name="Normal 3 4 2" xfId="30851" xr:uid="{00000000-0005-0000-0000-000081780000}"/>
    <cellStyle name="Normal 3 5" xfId="30852" xr:uid="{00000000-0005-0000-0000-000082780000}"/>
    <cellStyle name="Normal 3 5 2" xfId="30853" xr:uid="{00000000-0005-0000-0000-000083780000}"/>
    <cellStyle name="Normal 3 6" xfId="30854" xr:uid="{00000000-0005-0000-0000-000084780000}"/>
    <cellStyle name="Normal 3 6 2" xfId="30855" xr:uid="{00000000-0005-0000-0000-000085780000}"/>
    <cellStyle name="Normal 3 7" xfId="30856" xr:uid="{00000000-0005-0000-0000-000086780000}"/>
    <cellStyle name="Normal 3 7 2" xfId="30857" xr:uid="{00000000-0005-0000-0000-000087780000}"/>
    <cellStyle name="Normal 3 8" xfId="30858" xr:uid="{00000000-0005-0000-0000-000088780000}"/>
    <cellStyle name="Normal 3 8 2" xfId="30859" xr:uid="{00000000-0005-0000-0000-000089780000}"/>
    <cellStyle name="Normal 3 9" xfId="30860" xr:uid="{00000000-0005-0000-0000-00008A780000}"/>
    <cellStyle name="Normal 3 9 2" xfId="30861" xr:uid="{00000000-0005-0000-0000-00008B780000}"/>
    <cellStyle name="Normal 30" xfId="30862" xr:uid="{00000000-0005-0000-0000-00008C780000}"/>
    <cellStyle name="Normal 30 10" xfId="30863" xr:uid="{00000000-0005-0000-0000-00008D780000}"/>
    <cellStyle name="Normal 30 10 2" xfId="30864" xr:uid="{00000000-0005-0000-0000-00008E780000}"/>
    <cellStyle name="Normal 30 11" xfId="30865" xr:uid="{00000000-0005-0000-0000-00008F780000}"/>
    <cellStyle name="Normal 30 11 2" xfId="30866" xr:uid="{00000000-0005-0000-0000-000090780000}"/>
    <cellStyle name="Normal 30 12" xfId="30867" xr:uid="{00000000-0005-0000-0000-000091780000}"/>
    <cellStyle name="Normal 30 12 2" xfId="30868" xr:uid="{00000000-0005-0000-0000-000092780000}"/>
    <cellStyle name="Normal 30 13" xfId="30869" xr:uid="{00000000-0005-0000-0000-000093780000}"/>
    <cellStyle name="Normal 30 13 2" xfId="30870" xr:uid="{00000000-0005-0000-0000-000094780000}"/>
    <cellStyle name="Normal 30 14" xfId="30871" xr:uid="{00000000-0005-0000-0000-000095780000}"/>
    <cellStyle name="Normal 30 14 2" xfId="30872" xr:uid="{00000000-0005-0000-0000-000096780000}"/>
    <cellStyle name="Normal 30 15" xfId="30873" xr:uid="{00000000-0005-0000-0000-000097780000}"/>
    <cellStyle name="Normal 30 15 2" xfId="30874" xr:uid="{00000000-0005-0000-0000-000098780000}"/>
    <cellStyle name="Normal 30 16" xfId="30875" xr:uid="{00000000-0005-0000-0000-000099780000}"/>
    <cellStyle name="Normal 30 16 2" xfId="30876" xr:uid="{00000000-0005-0000-0000-00009A780000}"/>
    <cellStyle name="Normal 30 17" xfId="30877" xr:uid="{00000000-0005-0000-0000-00009B780000}"/>
    <cellStyle name="Normal 30 2" xfId="30878" xr:uid="{00000000-0005-0000-0000-00009C780000}"/>
    <cellStyle name="Normal 30 2 2" xfId="30879" xr:uid="{00000000-0005-0000-0000-00009D780000}"/>
    <cellStyle name="Normal 30 3" xfId="30880" xr:uid="{00000000-0005-0000-0000-00009E780000}"/>
    <cellStyle name="Normal 30 3 2" xfId="30881" xr:uid="{00000000-0005-0000-0000-00009F780000}"/>
    <cellStyle name="Normal 30 4" xfId="30882" xr:uid="{00000000-0005-0000-0000-0000A0780000}"/>
    <cellStyle name="Normal 30 4 2" xfId="30883" xr:uid="{00000000-0005-0000-0000-0000A1780000}"/>
    <cellStyle name="Normal 30 5" xfId="30884" xr:uid="{00000000-0005-0000-0000-0000A2780000}"/>
    <cellStyle name="Normal 30 5 2" xfId="30885" xr:uid="{00000000-0005-0000-0000-0000A3780000}"/>
    <cellStyle name="Normal 30 6" xfId="30886" xr:uid="{00000000-0005-0000-0000-0000A4780000}"/>
    <cellStyle name="Normal 30 6 2" xfId="30887" xr:uid="{00000000-0005-0000-0000-0000A5780000}"/>
    <cellStyle name="Normal 30 7" xfId="30888" xr:uid="{00000000-0005-0000-0000-0000A6780000}"/>
    <cellStyle name="Normal 30 7 2" xfId="30889" xr:uid="{00000000-0005-0000-0000-0000A7780000}"/>
    <cellStyle name="Normal 30 8" xfId="30890" xr:uid="{00000000-0005-0000-0000-0000A8780000}"/>
    <cellStyle name="Normal 30 8 2" xfId="30891" xr:uid="{00000000-0005-0000-0000-0000A9780000}"/>
    <cellStyle name="Normal 30 9" xfId="30892" xr:uid="{00000000-0005-0000-0000-0000AA780000}"/>
    <cellStyle name="Normal 30 9 2" xfId="30893" xr:uid="{00000000-0005-0000-0000-0000AB780000}"/>
    <cellStyle name="Normal 31" xfId="30894" xr:uid="{00000000-0005-0000-0000-0000AC780000}"/>
    <cellStyle name="Normal 31 10" xfId="30895" xr:uid="{00000000-0005-0000-0000-0000AD780000}"/>
    <cellStyle name="Normal 31 10 2" xfId="30896" xr:uid="{00000000-0005-0000-0000-0000AE780000}"/>
    <cellStyle name="Normal 31 11" xfId="30897" xr:uid="{00000000-0005-0000-0000-0000AF780000}"/>
    <cellStyle name="Normal 31 11 2" xfId="30898" xr:uid="{00000000-0005-0000-0000-0000B0780000}"/>
    <cellStyle name="Normal 31 12" xfId="30899" xr:uid="{00000000-0005-0000-0000-0000B1780000}"/>
    <cellStyle name="Normal 31 12 2" xfId="30900" xr:uid="{00000000-0005-0000-0000-0000B2780000}"/>
    <cellStyle name="Normal 31 13" xfId="30901" xr:uid="{00000000-0005-0000-0000-0000B3780000}"/>
    <cellStyle name="Normal 31 13 2" xfId="30902" xr:uid="{00000000-0005-0000-0000-0000B4780000}"/>
    <cellStyle name="Normal 31 14" xfId="30903" xr:uid="{00000000-0005-0000-0000-0000B5780000}"/>
    <cellStyle name="Normal 31 14 2" xfId="30904" xr:uid="{00000000-0005-0000-0000-0000B6780000}"/>
    <cellStyle name="Normal 31 15" xfId="30905" xr:uid="{00000000-0005-0000-0000-0000B7780000}"/>
    <cellStyle name="Normal 31 15 2" xfId="30906" xr:uid="{00000000-0005-0000-0000-0000B8780000}"/>
    <cellStyle name="Normal 31 16" xfId="30907" xr:uid="{00000000-0005-0000-0000-0000B9780000}"/>
    <cellStyle name="Normal 31 16 2" xfId="30908" xr:uid="{00000000-0005-0000-0000-0000BA780000}"/>
    <cellStyle name="Normal 31 17" xfId="30909" xr:uid="{00000000-0005-0000-0000-0000BB780000}"/>
    <cellStyle name="Normal 31 2" xfId="30910" xr:uid="{00000000-0005-0000-0000-0000BC780000}"/>
    <cellStyle name="Normal 31 2 2" xfId="30911" xr:uid="{00000000-0005-0000-0000-0000BD780000}"/>
    <cellStyle name="Normal 31 3" xfId="30912" xr:uid="{00000000-0005-0000-0000-0000BE780000}"/>
    <cellStyle name="Normal 31 3 2" xfId="30913" xr:uid="{00000000-0005-0000-0000-0000BF780000}"/>
    <cellStyle name="Normal 31 4" xfId="30914" xr:uid="{00000000-0005-0000-0000-0000C0780000}"/>
    <cellStyle name="Normal 31 4 2" xfId="30915" xr:uid="{00000000-0005-0000-0000-0000C1780000}"/>
    <cellStyle name="Normal 31 5" xfId="30916" xr:uid="{00000000-0005-0000-0000-0000C2780000}"/>
    <cellStyle name="Normal 31 5 2" xfId="30917" xr:uid="{00000000-0005-0000-0000-0000C3780000}"/>
    <cellStyle name="Normal 31 6" xfId="30918" xr:uid="{00000000-0005-0000-0000-0000C4780000}"/>
    <cellStyle name="Normal 31 6 2" xfId="30919" xr:uid="{00000000-0005-0000-0000-0000C5780000}"/>
    <cellStyle name="Normal 31 7" xfId="30920" xr:uid="{00000000-0005-0000-0000-0000C6780000}"/>
    <cellStyle name="Normal 31 7 2" xfId="30921" xr:uid="{00000000-0005-0000-0000-0000C7780000}"/>
    <cellStyle name="Normal 31 8" xfId="30922" xr:uid="{00000000-0005-0000-0000-0000C8780000}"/>
    <cellStyle name="Normal 31 8 2" xfId="30923" xr:uid="{00000000-0005-0000-0000-0000C9780000}"/>
    <cellStyle name="Normal 31 9" xfId="30924" xr:uid="{00000000-0005-0000-0000-0000CA780000}"/>
    <cellStyle name="Normal 31 9 2" xfId="30925" xr:uid="{00000000-0005-0000-0000-0000CB780000}"/>
    <cellStyle name="Normal 32" xfId="30926" xr:uid="{00000000-0005-0000-0000-0000CC780000}"/>
    <cellStyle name="Normal 32 10" xfId="30927" xr:uid="{00000000-0005-0000-0000-0000CD780000}"/>
    <cellStyle name="Normal 32 10 2" xfId="30928" xr:uid="{00000000-0005-0000-0000-0000CE780000}"/>
    <cellStyle name="Normal 32 11" xfId="30929" xr:uid="{00000000-0005-0000-0000-0000CF780000}"/>
    <cellStyle name="Normal 32 11 2" xfId="30930" xr:uid="{00000000-0005-0000-0000-0000D0780000}"/>
    <cellStyle name="Normal 32 12" xfId="30931" xr:uid="{00000000-0005-0000-0000-0000D1780000}"/>
    <cellStyle name="Normal 32 12 2" xfId="30932" xr:uid="{00000000-0005-0000-0000-0000D2780000}"/>
    <cellStyle name="Normal 32 13" xfId="30933" xr:uid="{00000000-0005-0000-0000-0000D3780000}"/>
    <cellStyle name="Normal 32 13 2" xfId="30934" xr:uid="{00000000-0005-0000-0000-0000D4780000}"/>
    <cellStyle name="Normal 32 14" xfId="30935" xr:uid="{00000000-0005-0000-0000-0000D5780000}"/>
    <cellStyle name="Normal 32 14 2" xfId="30936" xr:uid="{00000000-0005-0000-0000-0000D6780000}"/>
    <cellStyle name="Normal 32 15" xfId="30937" xr:uid="{00000000-0005-0000-0000-0000D7780000}"/>
    <cellStyle name="Normal 32 15 2" xfId="30938" xr:uid="{00000000-0005-0000-0000-0000D8780000}"/>
    <cellStyle name="Normal 32 16" xfId="30939" xr:uid="{00000000-0005-0000-0000-0000D9780000}"/>
    <cellStyle name="Normal 32 16 2" xfId="30940" xr:uid="{00000000-0005-0000-0000-0000DA780000}"/>
    <cellStyle name="Normal 32 17" xfId="30941" xr:uid="{00000000-0005-0000-0000-0000DB780000}"/>
    <cellStyle name="Normal 32 2" xfId="30942" xr:uid="{00000000-0005-0000-0000-0000DC780000}"/>
    <cellStyle name="Normal 32 2 2" xfId="30943" xr:uid="{00000000-0005-0000-0000-0000DD780000}"/>
    <cellStyle name="Normal 32 3" xfId="30944" xr:uid="{00000000-0005-0000-0000-0000DE780000}"/>
    <cellStyle name="Normal 32 3 2" xfId="30945" xr:uid="{00000000-0005-0000-0000-0000DF780000}"/>
    <cellStyle name="Normal 32 4" xfId="30946" xr:uid="{00000000-0005-0000-0000-0000E0780000}"/>
    <cellStyle name="Normal 32 4 2" xfId="30947" xr:uid="{00000000-0005-0000-0000-0000E1780000}"/>
    <cellStyle name="Normal 32 5" xfId="30948" xr:uid="{00000000-0005-0000-0000-0000E2780000}"/>
    <cellStyle name="Normal 32 5 2" xfId="30949" xr:uid="{00000000-0005-0000-0000-0000E3780000}"/>
    <cellStyle name="Normal 32 6" xfId="30950" xr:uid="{00000000-0005-0000-0000-0000E4780000}"/>
    <cellStyle name="Normal 32 6 2" xfId="30951" xr:uid="{00000000-0005-0000-0000-0000E5780000}"/>
    <cellStyle name="Normal 32 7" xfId="30952" xr:uid="{00000000-0005-0000-0000-0000E6780000}"/>
    <cellStyle name="Normal 32 7 2" xfId="30953" xr:uid="{00000000-0005-0000-0000-0000E7780000}"/>
    <cellStyle name="Normal 32 8" xfId="30954" xr:uid="{00000000-0005-0000-0000-0000E8780000}"/>
    <cellStyle name="Normal 32 8 2" xfId="30955" xr:uid="{00000000-0005-0000-0000-0000E9780000}"/>
    <cellStyle name="Normal 32 9" xfId="30956" xr:uid="{00000000-0005-0000-0000-0000EA780000}"/>
    <cellStyle name="Normal 32 9 2" xfId="30957" xr:uid="{00000000-0005-0000-0000-0000EB780000}"/>
    <cellStyle name="Normal 33" xfId="30958" xr:uid="{00000000-0005-0000-0000-0000EC780000}"/>
    <cellStyle name="Normal 33 10" xfId="30959" xr:uid="{00000000-0005-0000-0000-0000ED780000}"/>
    <cellStyle name="Normal 33 10 2" xfId="30960" xr:uid="{00000000-0005-0000-0000-0000EE780000}"/>
    <cellStyle name="Normal 33 11" xfId="30961" xr:uid="{00000000-0005-0000-0000-0000EF780000}"/>
    <cellStyle name="Normal 33 11 2" xfId="30962" xr:uid="{00000000-0005-0000-0000-0000F0780000}"/>
    <cellStyle name="Normal 33 12" xfId="30963" xr:uid="{00000000-0005-0000-0000-0000F1780000}"/>
    <cellStyle name="Normal 33 12 2" xfId="30964" xr:uid="{00000000-0005-0000-0000-0000F2780000}"/>
    <cellStyle name="Normal 33 13" xfId="30965" xr:uid="{00000000-0005-0000-0000-0000F3780000}"/>
    <cellStyle name="Normal 33 13 2" xfId="30966" xr:uid="{00000000-0005-0000-0000-0000F4780000}"/>
    <cellStyle name="Normal 33 14" xfId="30967" xr:uid="{00000000-0005-0000-0000-0000F5780000}"/>
    <cellStyle name="Normal 33 14 2" xfId="30968" xr:uid="{00000000-0005-0000-0000-0000F6780000}"/>
    <cellStyle name="Normal 33 15" xfId="30969" xr:uid="{00000000-0005-0000-0000-0000F7780000}"/>
    <cellStyle name="Normal 33 15 2" xfId="30970" xr:uid="{00000000-0005-0000-0000-0000F8780000}"/>
    <cellStyle name="Normal 33 16" xfId="30971" xr:uid="{00000000-0005-0000-0000-0000F9780000}"/>
    <cellStyle name="Normal 33 16 2" xfId="30972" xr:uid="{00000000-0005-0000-0000-0000FA780000}"/>
    <cellStyle name="Normal 33 17" xfId="30973" xr:uid="{00000000-0005-0000-0000-0000FB780000}"/>
    <cellStyle name="Normal 33 2" xfId="30974" xr:uid="{00000000-0005-0000-0000-0000FC780000}"/>
    <cellStyle name="Normal 33 2 2" xfId="30975" xr:uid="{00000000-0005-0000-0000-0000FD780000}"/>
    <cellStyle name="Normal 33 3" xfId="30976" xr:uid="{00000000-0005-0000-0000-0000FE780000}"/>
    <cellStyle name="Normal 33 3 2" xfId="30977" xr:uid="{00000000-0005-0000-0000-0000FF780000}"/>
    <cellStyle name="Normal 33 4" xfId="30978" xr:uid="{00000000-0005-0000-0000-000000790000}"/>
    <cellStyle name="Normal 33 4 2" xfId="30979" xr:uid="{00000000-0005-0000-0000-000001790000}"/>
    <cellStyle name="Normal 33 5" xfId="30980" xr:uid="{00000000-0005-0000-0000-000002790000}"/>
    <cellStyle name="Normal 33 5 2" xfId="30981" xr:uid="{00000000-0005-0000-0000-000003790000}"/>
    <cellStyle name="Normal 33 6" xfId="30982" xr:uid="{00000000-0005-0000-0000-000004790000}"/>
    <cellStyle name="Normal 33 6 2" xfId="30983" xr:uid="{00000000-0005-0000-0000-000005790000}"/>
    <cellStyle name="Normal 33 7" xfId="30984" xr:uid="{00000000-0005-0000-0000-000006790000}"/>
    <cellStyle name="Normal 33 7 2" xfId="30985" xr:uid="{00000000-0005-0000-0000-000007790000}"/>
    <cellStyle name="Normal 33 8" xfId="30986" xr:uid="{00000000-0005-0000-0000-000008790000}"/>
    <cellStyle name="Normal 33 8 2" xfId="30987" xr:uid="{00000000-0005-0000-0000-000009790000}"/>
    <cellStyle name="Normal 33 9" xfId="30988" xr:uid="{00000000-0005-0000-0000-00000A790000}"/>
    <cellStyle name="Normal 33 9 2" xfId="30989" xr:uid="{00000000-0005-0000-0000-00000B790000}"/>
    <cellStyle name="Normal 34" xfId="30990" xr:uid="{00000000-0005-0000-0000-00000C790000}"/>
    <cellStyle name="Normal 34 10" xfId="30991" xr:uid="{00000000-0005-0000-0000-00000D790000}"/>
    <cellStyle name="Normal 34 10 2" xfId="30992" xr:uid="{00000000-0005-0000-0000-00000E790000}"/>
    <cellStyle name="Normal 34 11" xfId="30993" xr:uid="{00000000-0005-0000-0000-00000F790000}"/>
    <cellStyle name="Normal 34 11 2" xfId="30994" xr:uid="{00000000-0005-0000-0000-000010790000}"/>
    <cellStyle name="Normal 34 12" xfId="30995" xr:uid="{00000000-0005-0000-0000-000011790000}"/>
    <cellStyle name="Normal 34 12 2" xfId="30996" xr:uid="{00000000-0005-0000-0000-000012790000}"/>
    <cellStyle name="Normal 34 13" xfId="30997" xr:uid="{00000000-0005-0000-0000-000013790000}"/>
    <cellStyle name="Normal 34 13 2" xfId="30998" xr:uid="{00000000-0005-0000-0000-000014790000}"/>
    <cellStyle name="Normal 34 14" xfId="30999" xr:uid="{00000000-0005-0000-0000-000015790000}"/>
    <cellStyle name="Normal 34 14 2" xfId="31000" xr:uid="{00000000-0005-0000-0000-000016790000}"/>
    <cellStyle name="Normal 34 15" xfId="31001" xr:uid="{00000000-0005-0000-0000-000017790000}"/>
    <cellStyle name="Normal 34 15 2" xfId="31002" xr:uid="{00000000-0005-0000-0000-000018790000}"/>
    <cellStyle name="Normal 34 16" xfId="31003" xr:uid="{00000000-0005-0000-0000-000019790000}"/>
    <cellStyle name="Normal 34 16 2" xfId="31004" xr:uid="{00000000-0005-0000-0000-00001A790000}"/>
    <cellStyle name="Normal 34 17" xfId="31005" xr:uid="{00000000-0005-0000-0000-00001B790000}"/>
    <cellStyle name="Normal 34 2" xfId="31006" xr:uid="{00000000-0005-0000-0000-00001C790000}"/>
    <cellStyle name="Normal 34 2 2" xfId="31007" xr:uid="{00000000-0005-0000-0000-00001D790000}"/>
    <cellStyle name="Normal 34 3" xfId="31008" xr:uid="{00000000-0005-0000-0000-00001E790000}"/>
    <cellStyle name="Normal 34 3 2" xfId="31009" xr:uid="{00000000-0005-0000-0000-00001F790000}"/>
    <cellStyle name="Normal 34 4" xfId="31010" xr:uid="{00000000-0005-0000-0000-000020790000}"/>
    <cellStyle name="Normal 34 4 2" xfId="31011" xr:uid="{00000000-0005-0000-0000-000021790000}"/>
    <cellStyle name="Normal 34 5" xfId="31012" xr:uid="{00000000-0005-0000-0000-000022790000}"/>
    <cellStyle name="Normal 34 5 2" xfId="31013" xr:uid="{00000000-0005-0000-0000-000023790000}"/>
    <cellStyle name="Normal 34 6" xfId="31014" xr:uid="{00000000-0005-0000-0000-000024790000}"/>
    <cellStyle name="Normal 34 6 2" xfId="31015" xr:uid="{00000000-0005-0000-0000-000025790000}"/>
    <cellStyle name="Normal 34 7" xfId="31016" xr:uid="{00000000-0005-0000-0000-000026790000}"/>
    <cellStyle name="Normal 34 7 2" xfId="31017" xr:uid="{00000000-0005-0000-0000-000027790000}"/>
    <cellStyle name="Normal 34 8" xfId="31018" xr:uid="{00000000-0005-0000-0000-000028790000}"/>
    <cellStyle name="Normal 34 8 2" xfId="31019" xr:uid="{00000000-0005-0000-0000-000029790000}"/>
    <cellStyle name="Normal 34 9" xfId="31020" xr:uid="{00000000-0005-0000-0000-00002A790000}"/>
    <cellStyle name="Normal 34 9 2" xfId="31021" xr:uid="{00000000-0005-0000-0000-00002B790000}"/>
    <cellStyle name="Normal 35" xfId="31022" xr:uid="{00000000-0005-0000-0000-00002C790000}"/>
    <cellStyle name="Normal 35 10" xfId="31023" xr:uid="{00000000-0005-0000-0000-00002D790000}"/>
    <cellStyle name="Normal 35 10 2" xfId="31024" xr:uid="{00000000-0005-0000-0000-00002E790000}"/>
    <cellStyle name="Normal 35 11" xfId="31025" xr:uid="{00000000-0005-0000-0000-00002F790000}"/>
    <cellStyle name="Normal 35 11 2" xfId="31026" xr:uid="{00000000-0005-0000-0000-000030790000}"/>
    <cellStyle name="Normal 35 12" xfId="31027" xr:uid="{00000000-0005-0000-0000-000031790000}"/>
    <cellStyle name="Normal 35 12 2" xfId="31028" xr:uid="{00000000-0005-0000-0000-000032790000}"/>
    <cellStyle name="Normal 35 13" xfId="31029" xr:uid="{00000000-0005-0000-0000-000033790000}"/>
    <cellStyle name="Normal 35 13 2" xfId="31030" xr:uid="{00000000-0005-0000-0000-000034790000}"/>
    <cellStyle name="Normal 35 14" xfId="31031" xr:uid="{00000000-0005-0000-0000-000035790000}"/>
    <cellStyle name="Normal 35 14 2" xfId="31032" xr:uid="{00000000-0005-0000-0000-000036790000}"/>
    <cellStyle name="Normal 35 15" xfId="31033" xr:uid="{00000000-0005-0000-0000-000037790000}"/>
    <cellStyle name="Normal 35 15 2" xfId="31034" xr:uid="{00000000-0005-0000-0000-000038790000}"/>
    <cellStyle name="Normal 35 16" xfId="31035" xr:uid="{00000000-0005-0000-0000-000039790000}"/>
    <cellStyle name="Normal 35 16 2" xfId="31036" xr:uid="{00000000-0005-0000-0000-00003A790000}"/>
    <cellStyle name="Normal 35 17" xfId="31037" xr:uid="{00000000-0005-0000-0000-00003B790000}"/>
    <cellStyle name="Normal 35 2" xfId="31038" xr:uid="{00000000-0005-0000-0000-00003C790000}"/>
    <cellStyle name="Normal 35 2 2" xfId="31039" xr:uid="{00000000-0005-0000-0000-00003D790000}"/>
    <cellStyle name="Normal 35 3" xfId="31040" xr:uid="{00000000-0005-0000-0000-00003E790000}"/>
    <cellStyle name="Normal 35 3 2" xfId="31041" xr:uid="{00000000-0005-0000-0000-00003F790000}"/>
    <cellStyle name="Normal 35 4" xfId="31042" xr:uid="{00000000-0005-0000-0000-000040790000}"/>
    <cellStyle name="Normal 35 4 2" xfId="31043" xr:uid="{00000000-0005-0000-0000-000041790000}"/>
    <cellStyle name="Normal 35 5" xfId="31044" xr:uid="{00000000-0005-0000-0000-000042790000}"/>
    <cellStyle name="Normal 35 5 2" xfId="31045" xr:uid="{00000000-0005-0000-0000-000043790000}"/>
    <cellStyle name="Normal 35 6" xfId="31046" xr:uid="{00000000-0005-0000-0000-000044790000}"/>
    <cellStyle name="Normal 35 6 2" xfId="31047" xr:uid="{00000000-0005-0000-0000-000045790000}"/>
    <cellStyle name="Normal 35 7" xfId="31048" xr:uid="{00000000-0005-0000-0000-000046790000}"/>
    <cellStyle name="Normal 35 7 2" xfId="31049" xr:uid="{00000000-0005-0000-0000-000047790000}"/>
    <cellStyle name="Normal 35 8" xfId="31050" xr:uid="{00000000-0005-0000-0000-000048790000}"/>
    <cellStyle name="Normal 35 8 2" xfId="31051" xr:uid="{00000000-0005-0000-0000-000049790000}"/>
    <cellStyle name="Normal 35 9" xfId="31052" xr:uid="{00000000-0005-0000-0000-00004A790000}"/>
    <cellStyle name="Normal 35 9 2" xfId="31053" xr:uid="{00000000-0005-0000-0000-00004B790000}"/>
    <cellStyle name="Normal 353 2" xfId="33" xr:uid="{00000000-0005-0000-0000-00004C790000}"/>
    <cellStyle name="Normal 36" xfId="31054" xr:uid="{00000000-0005-0000-0000-00004D790000}"/>
    <cellStyle name="Normal 36 10" xfId="31055" xr:uid="{00000000-0005-0000-0000-00004E790000}"/>
    <cellStyle name="Normal 36 10 2" xfId="31056" xr:uid="{00000000-0005-0000-0000-00004F790000}"/>
    <cellStyle name="Normal 36 11" xfId="31057" xr:uid="{00000000-0005-0000-0000-000050790000}"/>
    <cellStyle name="Normal 36 11 2" xfId="31058" xr:uid="{00000000-0005-0000-0000-000051790000}"/>
    <cellStyle name="Normal 36 12" xfId="31059" xr:uid="{00000000-0005-0000-0000-000052790000}"/>
    <cellStyle name="Normal 36 12 2" xfId="31060" xr:uid="{00000000-0005-0000-0000-000053790000}"/>
    <cellStyle name="Normal 36 13" xfId="31061" xr:uid="{00000000-0005-0000-0000-000054790000}"/>
    <cellStyle name="Normal 36 13 2" xfId="31062" xr:uid="{00000000-0005-0000-0000-000055790000}"/>
    <cellStyle name="Normal 36 14" xfId="31063" xr:uid="{00000000-0005-0000-0000-000056790000}"/>
    <cellStyle name="Normal 36 14 2" xfId="31064" xr:uid="{00000000-0005-0000-0000-000057790000}"/>
    <cellStyle name="Normal 36 15" xfId="31065" xr:uid="{00000000-0005-0000-0000-000058790000}"/>
    <cellStyle name="Normal 36 15 2" xfId="31066" xr:uid="{00000000-0005-0000-0000-000059790000}"/>
    <cellStyle name="Normal 36 16" xfId="31067" xr:uid="{00000000-0005-0000-0000-00005A790000}"/>
    <cellStyle name="Normal 36 16 2" xfId="31068" xr:uid="{00000000-0005-0000-0000-00005B790000}"/>
    <cellStyle name="Normal 36 17" xfId="31069" xr:uid="{00000000-0005-0000-0000-00005C790000}"/>
    <cellStyle name="Normal 36 2" xfId="31070" xr:uid="{00000000-0005-0000-0000-00005D790000}"/>
    <cellStyle name="Normal 36 2 2" xfId="31071" xr:uid="{00000000-0005-0000-0000-00005E790000}"/>
    <cellStyle name="Normal 36 3" xfId="31072" xr:uid="{00000000-0005-0000-0000-00005F790000}"/>
    <cellStyle name="Normal 36 3 2" xfId="31073" xr:uid="{00000000-0005-0000-0000-000060790000}"/>
    <cellStyle name="Normal 36 4" xfId="31074" xr:uid="{00000000-0005-0000-0000-000061790000}"/>
    <cellStyle name="Normal 36 4 2" xfId="31075" xr:uid="{00000000-0005-0000-0000-000062790000}"/>
    <cellStyle name="Normal 36 5" xfId="31076" xr:uid="{00000000-0005-0000-0000-000063790000}"/>
    <cellStyle name="Normal 36 5 2" xfId="31077" xr:uid="{00000000-0005-0000-0000-000064790000}"/>
    <cellStyle name="Normal 36 6" xfId="31078" xr:uid="{00000000-0005-0000-0000-000065790000}"/>
    <cellStyle name="Normal 36 6 2" xfId="31079" xr:uid="{00000000-0005-0000-0000-000066790000}"/>
    <cellStyle name="Normal 36 7" xfId="31080" xr:uid="{00000000-0005-0000-0000-000067790000}"/>
    <cellStyle name="Normal 36 7 2" xfId="31081" xr:uid="{00000000-0005-0000-0000-000068790000}"/>
    <cellStyle name="Normal 36 8" xfId="31082" xr:uid="{00000000-0005-0000-0000-000069790000}"/>
    <cellStyle name="Normal 36 8 2" xfId="31083" xr:uid="{00000000-0005-0000-0000-00006A790000}"/>
    <cellStyle name="Normal 36 9" xfId="31084" xr:uid="{00000000-0005-0000-0000-00006B790000}"/>
    <cellStyle name="Normal 36 9 2" xfId="31085" xr:uid="{00000000-0005-0000-0000-00006C790000}"/>
    <cellStyle name="Normal 37" xfId="31086" xr:uid="{00000000-0005-0000-0000-00006D790000}"/>
    <cellStyle name="Normal 37 10" xfId="31087" xr:uid="{00000000-0005-0000-0000-00006E790000}"/>
    <cellStyle name="Normal 37 10 2" xfId="31088" xr:uid="{00000000-0005-0000-0000-00006F790000}"/>
    <cellStyle name="Normal 37 11" xfId="31089" xr:uid="{00000000-0005-0000-0000-000070790000}"/>
    <cellStyle name="Normal 37 11 2" xfId="31090" xr:uid="{00000000-0005-0000-0000-000071790000}"/>
    <cellStyle name="Normal 37 12" xfId="31091" xr:uid="{00000000-0005-0000-0000-000072790000}"/>
    <cellStyle name="Normal 37 12 2" xfId="31092" xr:uid="{00000000-0005-0000-0000-000073790000}"/>
    <cellStyle name="Normal 37 13" xfId="31093" xr:uid="{00000000-0005-0000-0000-000074790000}"/>
    <cellStyle name="Normal 37 13 2" xfId="31094" xr:uid="{00000000-0005-0000-0000-000075790000}"/>
    <cellStyle name="Normal 37 14" xfId="31095" xr:uid="{00000000-0005-0000-0000-000076790000}"/>
    <cellStyle name="Normal 37 14 2" xfId="31096" xr:uid="{00000000-0005-0000-0000-000077790000}"/>
    <cellStyle name="Normal 37 15" xfId="31097" xr:uid="{00000000-0005-0000-0000-000078790000}"/>
    <cellStyle name="Normal 37 15 2" xfId="31098" xr:uid="{00000000-0005-0000-0000-000079790000}"/>
    <cellStyle name="Normal 37 16" xfId="31099" xr:uid="{00000000-0005-0000-0000-00007A790000}"/>
    <cellStyle name="Normal 37 16 2" xfId="31100" xr:uid="{00000000-0005-0000-0000-00007B790000}"/>
    <cellStyle name="Normal 37 17" xfId="31101" xr:uid="{00000000-0005-0000-0000-00007C790000}"/>
    <cellStyle name="Normal 37 2" xfId="31102" xr:uid="{00000000-0005-0000-0000-00007D790000}"/>
    <cellStyle name="Normal 37 2 2" xfId="31103" xr:uid="{00000000-0005-0000-0000-00007E790000}"/>
    <cellStyle name="Normal 37 3" xfId="31104" xr:uid="{00000000-0005-0000-0000-00007F790000}"/>
    <cellStyle name="Normal 37 3 2" xfId="31105" xr:uid="{00000000-0005-0000-0000-000080790000}"/>
    <cellStyle name="Normal 37 4" xfId="31106" xr:uid="{00000000-0005-0000-0000-000081790000}"/>
    <cellStyle name="Normal 37 4 2" xfId="31107" xr:uid="{00000000-0005-0000-0000-000082790000}"/>
    <cellStyle name="Normal 37 5" xfId="31108" xr:uid="{00000000-0005-0000-0000-000083790000}"/>
    <cellStyle name="Normal 37 5 2" xfId="31109" xr:uid="{00000000-0005-0000-0000-000084790000}"/>
    <cellStyle name="Normal 37 6" xfId="31110" xr:uid="{00000000-0005-0000-0000-000085790000}"/>
    <cellStyle name="Normal 37 6 2" xfId="31111" xr:uid="{00000000-0005-0000-0000-000086790000}"/>
    <cellStyle name="Normal 37 7" xfId="31112" xr:uid="{00000000-0005-0000-0000-000087790000}"/>
    <cellStyle name="Normal 37 7 2" xfId="31113" xr:uid="{00000000-0005-0000-0000-000088790000}"/>
    <cellStyle name="Normal 37 8" xfId="31114" xr:uid="{00000000-0005-0000-0000-000089790000}"/>
    <cellStyle name="Normal 37 8 2" xfId="31115" xr:uid="{00000000-0005-0000-0000-00008A790000}"/>
    <cellStyle name="Normal 37 9" xfId="31116" xr:uid="{00000000-0005-0000-0000-00008B790000}"/>
    <cellStyle name="Normal 37 9 2" xfId="31117" xr:uid="{00000000-0005-0000-0000-00008C790000}"/>
    <cellStyle name="Normal 38" xfId="31118" xr:uid="{00000000-0005-0000-0000-00008D790000}"/>
    <cellStyle name="Normal 38 10" xfId="31119" xr:uid="{00000000-0005-0000-0000-00008E790000}"/>
    <cellStyle name="Normal 38 10 2" xfId="31120" xr:uid="{00000000-0005-0000-0000-00008F790000}"/>
    <cellStyle name="Normal 38 11" xfId="31121" xr:uid="{00000000-0005-0000-0000-000090790000}"/>
    <cellStyle name="Normal 38 11 2" xfId="31122" xr:uid="{00000000-0005-0000-0000-000091790000}"/>
    <cellStyle name="Normal 38 12" xfId="31123" xr:uid="{00000000-0005-0000-0000-000092790000}"/>
    <cellStyle name="Normal 38 12 2" xfId="31124" xr:uid="{00000000-0005-0000-0000-000093790000}"/>
    <cellStyle name="Normal 38 13" xfId="31125" xr:uid="{00000000-0005-0000-0000-000094790000}"/>
    <cellStyle name="Normal 38 13 2" xfId="31126" xr:uid="{00000000-0005-0000-0000-000095790000}"/>
    <cellStyle name="Normal 38 14" xfId="31127" xr:uid="{00000000-0005-0000-0000-000096790000}"/>
    <cellStyle name="Normal 38 14 2" xfId="31128" xr:uid="{00000000-0005-0000-0000-000097790000}"/>
    <cellStyle name="Normal 38 15" xfId="31129" xr:uid="{00000000-0005-0000-0000-000098790000}"/>
    <cellStyle name="Normal 38 15 2" xfId="31130" xr:uid="{00000000-0005-0000-0000-000099790000}"/>
    <cellStyle name="Normal 38 16" xfId="31131" xr:uid="{00000000-0005-0000-0000-00009A790000}"/>
    <cellStyle name="Normal 38 16 2" xfId="31132" xr:uid="{00000000-0005-0000-0000-00009B790000}"/>
    <cellStyle name="Normal 38 17" xfId="31133" xr:uid="{00000000-0005-0000-0000-00009C790000}"/>
    <cellStyle name="Normal 38 2" xfId="31134" xr:uid="{00000000-0005-0000-0000-00009D790000}"/>
    <cellStyle name="Normal 38 2 2" xfId="31135" xr:uid="{00000000-0005-0000-0000-00009E790000}"/>
    <cellStyle name="Normal 38 3" xfId="31136" xr:uid="{00000000-0005-0000-0000-00009F790000}"/>
    <cellStyle name="Normal 38 3 2" xfId="31137" xr:uid="{00000000-0005-0000-0000-0000A0790000}"/>
    <cellStyle name="Normal 38 4" xfId="31138" xr:uid="{00000000-0005-0000-0000-0000A1790000}"/>
    <cellStyle name="Normal 38 4 2" xfId="31139" xr:uid="{00000000-0005-0000-0000-0000A2790000}"/>
    <cellStyle name="Normal 38 5" xfId="31140" xr:uid="{00000000-0005-0000-0000-0000A3790000}"/>
    <cellStyle name="Normal 38 5 2" xfId="31141" xr:uid="{00000000-0005-0000-0000-0000A4790000}"/>
    <cellStyle name="Normal 38 6" xfId="31142" xr:uid="{00000000-0005-0000-0000-0000A5790000}"/>
    <cellStyle name="Normal 38 6 2" xfId="31143" xr:uid="{00000000-0005-0000-0000-0000A6790000}"/>
    <cellStyle name="Normal 38 7" xfId="31144" xr:uid="{00000000-0005-0000-0000-0000A7790000}"/>
    <cellStyle name="Normal 38 7 2" xfId="31145" xr:uid="{00000000-0005-0000-0000-0000A8790000}"/>
    <cellStyle name="Normal 38 8" xfId="31146" xr:uid="{00000000-0005-0000-0000-0000A9790000}"/>
    <cellStyle name="Normal 38 8 2" xfId="31147" xr:uid="{00000000-0005-0000-0000-0000AA790000}"/>
    <cellStyle name="Normal 38 9" xfId="31148" xr:uid="{00000000-0005-0000-0000-0000AB790000}"/>
    <cellStyle name="Normal 38 9 2" xfId="31149" xr:uid="{00000000-0005-0000-0000-0000AC790000}"/>
    <cellStyle name="Normal 39" xfId="31150" xr:uid="{00000000-0005-0000-0000-0000AD790000}"/>
    <cellStyle name="Normal 39 10" xfId="31151" xr:uid="{00000000-0005-0000-0000-0000AE790000}"/>
    <cellStyle name="Normal 39 10 2" xfId="31152" xr:uid="{00000000-0005-0000-0000-0000AF790000}"/>
    <cellStyle name="Normal 39 11" xfId="31153" xr:uid="{00000000-0005-0000-0000-0000B0790000}"/>
    <cellStyle name="Normal 39 11 2" xfId="31154" xr:uid="{00000000-0005-0000-0000-0000B1790000}"/>
    <cellStyle name="Normal 39 12" xfId="31155" xr:uid="{00000000-0005-0000-0000-0000B2790000}"/>
    <cellStyle name="Normal 39 12 2" xfId="31156" xr:uid="{00000000-0005-0000-0000-0000B3790000}"/>
    <cellStyle name="Normal 39 13" xfId="31157" xr:uid="{00000000-0005-0000-0000-0000B4790000}"/>
    <cellStyle name="Normal 39 13 2" xfId="31158" xr:uid="{00000000-0005-0000-0000-0000B5790000}"/>
    <cellStyle name="Normal 39 14" xfId="31159" xr:uid="{00000000-0005-0000-0000-0000B6790000}"/>
    <cellStyle name="Normal 39 14 2" xfId="31160" xr:uid="{00000000-0005-0000-0000-0000B7790000}"/>
    <cellStyle name="Normal 39 15" xfId="31161" xr:uid="{00000000-0005-0000-0000-0000B8790000}"/>
    <cellStyle name="Normal 39 15 2" xfId="31162" xr:uid="{00000000-0005-0000-0000-0000B9790000}"/>
    <cellStyle name="Normal 39 16" xfId="31163" xr:uid="{00000000-0005-0000-0000-0000BA790000}"/>
    <cellStyle name="Normal 39 16 2" xfId="31164" xr:uid="{00000000-0005-0000-0000-0000BB790000}"/>
    <cellStyle name="Normal 39 17" xfId="31165" xr:uid="{00000000-0005-0000-0000-0000BC790000}"/>
    <cellStyle name="Normal 39 2" xfId="31166" xr:uid="{00000000-0005-0000-0000-0000BD790000}"/>
    <cellStyle name="Normal 39 2 2" xfId="31167" xr:uid="{00000000-0005-0000-0000-0000BE790000}"/>
    <cellStyle name="Normal 39 3" xfId="31168" xr:uid="{00000000-0005-0000-0000-0000BF790000}"/>
    <cellStyle name="Normal 39 3 2" xfId="31169" xr:uid="{00000000-0005-0000-0000-0000C0790000}"/>
    <cellStyle name="Normal 39 4" xfId="31170" xr:uid="{00000000-0005-0000-0000-0000C1790000}"/>
    <cellStyle name="Normal 39 4 2" xfId="31171" xr:uid="{00000000-0005-0000-0000-0000C2790000}"/>
    <cellStyle name="Normal 39 5" xfId="31172" xr:uid="{00000000-0005-0000-0000-0000C3790000}"/>
    <cellStyle name="Normal 39 5 2" xfId="31173" xr:uid="{00000000-0005-0000-0000-0000C4790000}"/>
    <cellStyle name="Normal 39 6" xfId="31174" xr:uid="{00000000-0005-0000-0000-0000C5790000}"/>
    <cellStyle name="Normal 39 6 2" xfId="31175" xr:uid="{00000000-0005-0000-0000-0000C6790000}"/>
    <cellStyle name="Normal 39 7" xfId="31176" xr:uid="{00000000-0005-0000-0000-0000C7790000}"/>
    <cellStyle name="Normal 39 7 2" xfId="31177" xr:uid="{00000000-0005-0000-0000-0000C8790000}"/>
    <cellStyle name="Normal 39 8" xfId="31178" xr:uid="{00000000-0005-0000-0000-0000C9790000}"/>
    <cellStyle name="Normal 39 8 2" xfId="31179" xr:uid="{00000000-0005-0000-0000-0000CA790000}"/>
    <cellStyle name="Normal 39 9" xfId="31180" xr:uid="{00000000-0005-0000-0000-0000CB790000}"/>
    <cellStyle name="Normal 39 9 2" xfId="31181" xr:uid="{00000000-0005-0000-0000-0000CC790000}"/>
    <cellStyle name="Normal 4" xfId="31182" xr:uid="{00000000-0005-0000-0000-0000CD790000}"/>
    <cellStyle name="Normal 4 10" xfId="31183" xr:uid="{00000000-0005-0000-0000-0000CE790000}"/>
    <cellStyle name="Normal 4 10 2" xfId="31184" xr:uid="{00000000-0005-0000-0000-0000CF790000}"/>
    <cellStyle name="Normal 4 11" xfId="31185" xr:uid="{00000000-0005-0000-0000-0000D0790000}"/>
    <cellStyle name="Normal 4 11 2" xfId="31186" xr:uid="{00000000-0005-0000-0000-0000D1790000}"/>
    <cellStyle name="Normal 4 12" xfId="31187" xr:uid="{00000000-0005-0000-0000-0000D2790000}"/>
    <cellStyle name="Normal 4 12 2" xfId="31188" xr:uid="{00000000-0005-0000-0000-0000D3790000}"/>
    <cellStyle name="Normal 4 13" xfId="31189" xr:uid="{00000000-0005-0000-0000-0000D4790000}"/>
    <cellStyle name="Normal 4 13 2" xfId="31190" xr:uid="{00000000-0005-0000-0000-0000D5790000}"/>
    <cellStyle name="Normal 4 14" xfId="31191" xr:uid="{00000000-0005-0000-0000-0000D6790000}"/>
    <cellStyle name="Normal 4 14 2" xfId="31192" xr:uid="{00000000-0005-0000-0000-0000D7790000}"/>
    <cellStyle name="Normal 4 15" xfId="31193" xr:uid="{00000000-0005-0000-0000-0000D8790000}"/>
    <cellStyle name="Normal 4 15 2" xfId="31194" xr:uid="{00000000-0005-0000-0000-0000D9790000}"/>
    <cellStyle name="Normal 4 16" xfId="31195" xr:uid="{00000000-0005-0000-0000-0000DA790000}"/>
    <cellStyle name="Normal 4 16 2" xfId="31196" xr:uid="{00000000-0005-0000-0000-0000DB790000}"/>
    <cellStyle name="Normal 4 17" xfId="31197" xr:uid="{00000000-0005-0000-0000-0000DC790000}"/>
    <cellStyle name="Normal 4 17 10" xfId="31198" xr:uid="{00000000-0005-0000-0000-0000DD790000}"/>
    <cellStyle name="Normal 4 17 10 2" xfId="31199" xr:uid="{00000000-0005-0000-0000-0000DE790000}"/>
    <cellStyle name="Normal 4 17 10 3" xfId="31200" xr:uid="{00000000-0005-0000-0000-0000DF790000}"/>
    <cellStyle name="Normal 4 17 10 4" xfId="31201" xr:uid="{00000000-0005-0000-0000-0000E0790000}"/>
    <cellStyle name="Normal 4 17 10 5" xfId="31202" xr:uid="{00000000-0005-0000-0000-0000E1790000}"/>
    <cellStyle name="Normal 4 17 10 6" xfId="31203" xr:uid="{00000000-0005-0000-0000-0000E2790000}"/>
    <cellStyle name="Normal 4 17 11" xfId="31204" xr:uid="{00000000-0005-0000-0000-0000E3790000}"/>
    <cellStyle name="Normal 4 17 12" xfId="31205" xr:uid="{00000000-0005-0000-0000-0000E4790000}"/>
    <cellStyle name="Normal 4 17 13" xfId="31206" xr:uid="{00000000-0005-0000-0000-0000E5790000}"/>
    <cellStyle name="Normal 4 17 14" xfId="31207" xr:uid="{00000000-0005-0000-0000-0000E6790000}"/>
    <cellStyle name="Normal 4 17 15" xfId="31208" xr:uid="{00000000-0005-0000-0000-0000E7790000}"/>
    <cellStyle name="Normal 4 17 2" xfId="31209" xr:uid="{00000000-0005-0000-0000-0000E8790000}"/>
    <cellStyle name="Normal 4 17 2 10" xfId="31210" xr:uid="{00000000-0005-0000-0000-0000E9790000}"/>
    <cellStyle name="Normal 4 17 2 11" xfId="31211" xr:uid="{00000000-0005-0000-0000-0000EA790000}"/>
    <cellStyle name="Normal 4 17 2 12" xfId="31212" xr:uid="{00000000-0005-0000-0000-0000EB790000}"/>
    <cellStyle name="Normal 4 17 2 13" xfId="31213" xr:uid="{00000000-0005-0000-0000-0000EC790000}"/>
    <cellStyle name="Normal 4 17 2 14" xfId="31214" xr:uid="{00000000-0005-0000-0000-0000ED790000}"/>
    <cellStyle name="Normal 4 17 2 2" xfId="31215" xr:uid="{00000000-0005-0000-0000-0000EE790000}"/>
    <cellStyle name="Normal 4 17 2 2 10" xfId="31216" xr:uid="{00000000-0005-0000-0000-0000EF790000}"/>
    <cellStyle name="Normal 4 17 2 2 11" xfId="31217" xr:uid="{00000000-0005-0000-0000-0000F0790000}"/>
    <cellStyle name="Normal 4 17 2 2 12" xfId="31218" xr:uid="{00000000-0005-0000-0000-0000F1790000}"/>
    <cellStyle name="Normal 4 17 2 2 2" xfId="31219" xr:uid="{00000000-0005-0000-0000-0000F2790000}"/>
    <cellStyle name="Normal 4 17 2 2 2 10" xfId="31220" xr:uid="{00000000-0005-0000-0000-0000F3790000}"/>
    <cellStyle name="Normal 4 17 2 2 2 11" xfId="31221" xr:uid="{00000000-0005-0000-0000-0000F4790000}"/>
    <cellStyle name="Normal 4 17 2 2 2 2" xfId="31222" xr:uid="{00000000-0005-0000-0000-0000F5790000}"/>
    <cellStyle name="Normal 4 17 2 2 2 2 2" xfId="31223" xr:uid="{00000000-0005-0000-0000-0000F6790000}"/>
    <cellStyle name="Normal 4 17 2 2 2 2 2 2" xfId="31224" xr:uid="{00000000-0005-0000-0000-0000F7790000}"/>
    <cellStyle name="Normal 4 17 2 2 2 2 2 3" xfId="31225" xr:uid="{00000000-0005-0000-0000-0000F8790000}"/>
    <cellStyle name="Normal 4 17 2 2 2 2 2 4" xfId="31226" xr:uid="{00000000-0005-0000-0000-0000F9790000}"/>
    <cellStyle name="Normal 4 17 2 2 2 2 2 5" xfId="31227" xr:uid="{00000000-0005-0000-0000-0000FA790000}"/>
    <cellStyle name="Normal 4 17 2 2 2 2 2 6" xfId="31228" xr:uid="{00000000-0005-0000-0000-0000FB790000}"/>
    <cellStyle name="Normal 4 17 2 2 2 2 3" xfId="31229" xr:uid="{00000000-0005-0000-0000-0000FC790000}"/>
    <cellStyle name="Normal 4 17 2 2 2 2 3 2" xfId="31230" xr:uid="{00000000-0005-0000-0000-0000FD790000}"/>
    <cellStyle name="Normal 4 17 2 2 2 2 3 3" xfId="31231" xr:uid="{00000000-0005-0000-0000-0000FE790000}"/>
    <cellStyle name="Normal 4 17 2 2 2 2 3 4" xfId="31232" xr:uid="{00000000-0005-0000-0000-0000FF790000}"/>
    <cellStyle name="Normal 4 17 2 2 2 2 3 5" xfId="31233" xr:uid="{00000000-0005-0000-0000-0000007A0000}"/>
    <cellStyle name="Normal 4 17 2 2 2 2 3 6" xfId="31234" xr:uid="{00000000-0005-0000-0000-0000017A0000}"/>
    <cellStyle name="Normal 4 17 2 2 2 2 4" xfId="31235" xr:uid="{00000000-0005-0000-0000-0000027A0000}"/>
    <cellStyle name="Normal 4 17 2 2 2 2 5" xfId="31236" xr:uid="{00000000-0005-0000-0000-0000037A0000}"/>
    <cellStyle name="Normal 4 17 2 2 2 2 6" xfId="31237" xr:uid="{00000000-0005-0000-0000-0000047A0000}"/>
    <cellStyle name="Normal 4 17 2 2 2 2 7" xfId="31238" xr:uid="{00000000-0005-0000-0000-0000057A0000}"/>
    <cellStyle name="Normal 4 17 2 2 2 2 8" xfId="31239" xr:uid="{00000000-0005-0000-0000-0000067A0000}"/>
    <cellStyle name="Normal 4 17 2 2 2 3" xfId="31240" xr:uid="{00000000-0005-0000-0000-0000077A0000}"/>
    <cellStyle name="Normal 4 17 2 2 2 3 2" xfId="31241" xr:uid="{00000000-0005-0000-0000-0000087A0000}"/>
    <cellStyle name="Normal 4 17 2 2 2 3 2 2" xfId="31242" xr:uid="{00000000-0005-0000-0000-0000097A0000}"/>
    <cellStyle name="Normal 4 17 2 2 2 3 2 3" xfId="31243" xr:uid="{00000000-0005-0000-0000-00000A7A0000}"/>
    <cellStyle name="Normal 4 17 2 2 2 3 2 4" xfId="31244" xr:uid="{00000000-0005-0000-0000-00000B7A0000}"/>
    <cellStyle name="Normal 4 17 2 2 2 3 2 5" xfId="31245" xr:uid="{00000000-0005-0000-0000-00000C7A0000}"/>
    <cellStyle name="Normal 4 17 2 2 2 3 2 6" xfId="31246" xr:uid="{00000000-0005-0000-0000-00000D7A0000}"/>
    <cellStyle name="Normal 4 17 2 2 2 3 3" xfId="31247" xr:uid="{00000000-0005-0000-0000-00000E7A0000}"/>
    <cellStyle name="Normal 4 17 2 2 2 3 3 2" xfId="31248" xr:uid="{00000000-0005-0000-0000-00000F7A0000}"/>
    <cellStyle name="Normal 4 17 2 2 2 3 3 3" xfId="31249" xr:uid="{00000000-0005-0000-0000-0000107A0000}"/>
    <cellStyle name="Normal 4 17 2 2 2 3 3 4" xfId="31250" xr:uid="{00000000-0005-0000-0000-0000117A0000}"/>
    <cellStyle name="Normal 4 17 2 2 2 3 3 5" xfId="31251" xr:uid="{00000000-0005-0000-0000-0000127A0000}"/>
    <cellStyle name="Normal 4 17 2 2 2 3 3 6" xfId="31252" xr:uid="{00000000-0005-0000-0000-0000137A0000}"/>
    <cellStyle name="Normal 4 17 2 2 2 3 4" xfId="31253" xr:uid="{00000000-0005-0000-0000-0000147A0000}"/>
    <cellStyle name="Normal 4 17 2 2 2 3 5" xfId="31254" xr:uid="{00000000-0005-0000-0000-0000157A0000}"/>
    <cellStyle name="Normal 4 17 2 2 2 3 6" xfId="31255" xr:uid="{00000000-0005-0000-0000-0000167A0000}"/>
    <cellStyle name="Normal 4 17 2 2 2 3 7" xfId="31256" xr:uid="{00000000-0005-0000-0000-0000177A0000}"/>
    <cellStyle name="Normal 4 17 2 2 2 3 8" xfId="31257" xr:uid="{00000000-0005-0000-0000-0000187A0000}"/>
    <cellStyle name="Normal 4 17 2 2 2 4" xfId="31258" xr:uid="{00000000-0005-0000-0000-0000197A0000}"/>
    <cellStyle name="Normal 4 17 2 2 2 4 2" xfId="31259" xr:uid="{00000000-0005-0000-0000-00001A7A0000}"/>
    <cellStyle name="Normal 4 17 2 2 2 4 2 2" xfId="31260" xr:uid="{00000000-0005-0000-0000-00001B7A0000}"/>
    <cellStyle name="Normal 4 17 2 2 2 4 2 3" xfId="31261" xr:uid="{00000000-0005-0000-0000-00001C7A0000}"/>
    <cellStyle name="Normal 4 17 2 2 2 4 2 4" xfId="31262" xr:uid="{00000000-0005-0000-0000-00001D7A0000}"/>
    <cellStyle name="Normal 4 17 2 2 2 4 2 5" xfId="31263" xr:uid="{00000000-0005-0000-0000-00001E7A0000}"/>
    <cellStyle name="Normal 4 17 2 2 2 4 2 6" xfId="31264" xr:uid="{00000000-0005-0000-0000-00001F7A0000}"/>
    <cellStyle name="Normal 4 17 2 2 2 4 3" xfId="31265" xr:uid="{00000000-0005-0000-0000-0000207A0000}"/>
    <cellStyle name="Normal 4 17 2 2 2 4 3 2" xfId="31266" xr:uid="{00000000-0005-0000-0000-0000217A0000}"/>
    <cellStyle name="Normal 4 17 2 2 2 4 3 3" xfId="31267" xr:uid="{00000000-0005-0000-0000-0000227A0000}"/>
    <cellStyle name="Normal 4 17 2 2 2 4 3 4" xfId="31268" xr:uid="{00000000-0005-0000-0000-0000237A0000}"/>
    <cellStyle name="Normal 4 17 2 2 2 4 3 5" xfId="31269" xr:uid="{00000000-0005-0000-0000-0000247A0000}"/>
    <cellStyle name="Normal 4 17 2 2 2 4 3 6" xfId="31270" xr:uid="{00000000-0005-0000-0000-0000257A0000}"/>
    <cellStyle name="Normal 4 17 2 2 2 4 4" xfId="31271" xr:uid="{00000000-0005-0000-0000-0000267A0000}"/>
    <cellStyle name="Normal 4 17 2 2 2 4 5" xfId="31272" xr:uid="{00000000-0005-0000-0000-0000277A0000}"/>
    <cellStyle name="Normal 4 17 2 2 2 4 6" xfId="31273" xr:uid="{00000000-0005-0000-0000-0000287A0000}"/>
    <cellStyle name="Normal 4 17 2 2 2 4 7" xfId="31274" xr:uid="{00000000-0005-0000-0000-0000297A0000}"/>
    <cellStyle name="Normal 4 17 2 2 2 4 8" xfId="31275" xr:uid="{00000000-0005-0000-0000-00002A7A0000}"/>
    <cellStyle name="Normal 4 17 2 2 2 5" xfId="31276" xr:uid="{00000000-0005-0000-0000-00002B7A0000}"/>
    <cellStyle name="Normal 4 17 2 2 2 5 2" xfId="31277" xr:uid="{00000000-0005-0000-0000-00002C7A0000}"/>
    <cellStyle name="Normal 4 17 2 2 2 5 3" xfId="31278" xr:uid="{00000000-0005-0000-0000-00002D7A0000}"/>
    <cellStyle name="Normal 4 17 2 2 2 5 4" xfId="31279" xr:uid="{00000000-0005-0000-0000-00002E7A0000}"/>
    <cellStyle name="Normal 4 17 2 2 2 5 5" xfId="31280" xr:uid="{00000000-0005-0000-0000-00002F7A0000}"/>
    <cellStyle name="Normal 4 17 2 2 2 5 6" xfId="31281" xr:uid="{00000000-0005-0000-0000-0000307A0000}"/>
    <cellStyle name="Normal 4 17 2 2 2 6" xfId="31282" xr:uid="{00000000-0005-0000-0000-0000317A0000}"/>
    <cellStyle name="Normal 4 17 2 2 2 6 2" xfId="31283" xr:uid="{00000000-0005-0000-0000-0000327A0000}"/>
    <cellStyle name="Normal 4 17 2 2 2 6 3" xfId="31284" xr:uid="{00000000-0005-0000-0000-0000337A0000}"/>
    <cellStyle name="Normal 4 17 2 2 2 6 4" xfId="31285" xr:uid="{00000000-0005-0000-0000-0000347A0000}"/>
    <cellStyle name="Normal 4 17 2 2 2 6 5" xfId="31286" xr:uid="{00000000-0005-0000-0000-0000357A0000}"/>
    <cellStyle name="Normal 4 17 2 2 2 6 6" xfId="31287" xr:uid="{00000000-0005-0000-0000-0000367A0000}"/>
    <cellStyle name="Normal 4 17 2 2 2 7" xfId="31288" xr:uid="{00000000-0005-0000-0000-0000377A0000}"/>
    <cellStyle name="Normal 4 17 2 2 2 8" xfId="31289" xr:uid="{00000000-0005-0000-0000-0000387A0000}"/>
    <cellStyle name="Normal 4 17 2 2 2 9" xfId="31290" xr:uid="{00000000-0005-0000-0000-0000397A0000}"/>
    <cellStyle name="Normal 4 17 2 2 3" xfId="31291" xr:uid="{00000000-0005-0000-0000-00003A7A0000}"/>
    <cellStyle name="Normal 4 17 2 2 3 2" xfId="31292" xr:uid="{00000000-0005-0000-0000-00003B7A0000}"/>
    <cellStyle name="Normal 4 17 2 2 3 2 2" xfId="31293" xr:uid="{00000000-0005-0000-0000-00003C7A0000}"/>
    <cellStyle name="Normal 4 17 2 2 3 2 3" xfId="31294" xr:uid="{00000000-0005-0000-0000-00003D7A0000}"/>
    <cellStyle name="Normal 4 17 2 2 3 2 4" xfId="31295" xr:uid="{00000000-0005-0000-0000-00003E7A0000}"/>
    <cellStyle name="Normal 4 17 2 2 3 2 5" xfId="31296" xr:uid="{00000000-0005-0000-0000-00003F7A0000}"/>
    <cellStyle name="Normal 4 17 2 2 3 2 6" xfId="31297" xr:uid="{00000000-0005-0000-0000-0000407A0000}"/>
    <cellStyle name="Normal 4 17 2 2 3 3" xfId="31298" xr:uid="{00000000-0005-0000-0000-0000417A0000}"/>
    <cellStyle name="Normal 4 17 2 2 3 3 2" xfId="31299" xr:uid="{00000000-0005-0000-0000-0000427A0000}"/>
    <cellStyle name="Normal 4 17 2 2 3 3 3" xfId="31300" xr:uid="{00000000-0005-0000-0000-0000437A0000}"/>
    <cellStyle name="Normal 4 17 2 2 3 3 4" xfId="31301" xr:uid="{00000000-0005-0000-0000-0000447A0000}"/>
    <cellStyle name="Normal 4 17 2 2 3 3 5" xfId="31302" xr:uid="{00000000-0005-0000-0000-0000457A0000}"/>
    <cellStyle name="Normal 4 17 2 2 3 3 6" xfId="31303" xr:uid="{00000000-0005-0000-0000-0000467A0000}"/>
    <cellStyle name="Normal 4 17 2 2 3 4" xfId="31304" xr:uid="{00000000-0005-0000-0000-0000477A0000}"/>
    <cellStyle name="Normal 4 17 2 2 3 5" xfId="31305" xr:uid="{00000000-0005-0000-0000-0000487A0000}"/>
    <cellStyle name="Normal 4 17 2 2 3 6" xfId="31306" xr:uid="{00000000-0005-0000-0000-0000497A0000}"/>
    <cellStyle name="Normal 4 17 2 2 3 7" xfId="31307" xr:uid="{00000000-0005-0000-0000-00004A7A0000}"/>
    <cellStyle name="Normal 4 17 2 2 3 8" xfId="31308" xr:uid="{00000000-0005-0000-0000-00004B7A0000}"/>
    <cellStyle name="Normal 4 17 2 2 4" xfId="31309" xr:uid="{00000000-0005-0000-0000-00004C7A0000}"/>
    <cellStyle name="Normal 4 17 2 2 4 2" xfId="31310" xr:uid="{00000000-0005-0000-0000-00004D7A0000}"/>
    <cellStyle name="Normal 4 17 2 2 4 2 2" xfId="31311" xr:uid="{00000000-0005-0000-0000-00004E7A0000}"/>
    <cellStyle name="Normal 4 17 2 2 4 2 3" xfId="31312" xr:uid="{00000000-0005-0000-0000-00004F7A0000}"/>
    <cellStyle name="Normal 4 17 2 2 4 2 4" xfId="31313" xr:uid="{00000000-0005-0000-0000-0000507A0000}"/>
    <cellStyle name="Normal 4 17 2 2 4 2 5" xfId="31314" xr:uid="{00000000-0005-0000-0000-0000517A0000}"/>
    <cellStyle name="Normal 4 17 2 2 4 2 6" xfId="31315" xr:uid="{00000000-0005-0000-0000-0000527A0000}"/>
    <cellStyle name="Normal 4 17 2 2 4 3" xfId="31316" xr:uid="{00000000-0005-0000-0000-0000537A0000}"/>
    <cellStyle name="Normal 4 17 2 2 4 3 2" xfId="31317" xr:uid="{00000000-0005-0000-0000-0000547A0000}"/>
    <cellStyle name="Normal 4 17 2 2 4 3 3" xfId="31318" xr:uid="{00000000-0005-0000-0000-0000557A0000}"/>
    <cellStyle name="Normal 4 17 2 2 4 3 4" xfId="31319" xr:uid="{00000000-0005-0000-0000-0000567A0000}"/>
    <cellStyle name="Normal 4 17 2 2 4 3 5" xfId="31320" xr:uid="{00000000-0005-0000-0000-0000577A0000}"/>
    <cellStyle name="Normal 4 17 2 2 4 3 6" xfId="31321" xr:uid="{00000000-0005-0000-0000-0000587A0000}"/>
    <cellStyle name="Normal 4 17 2 2 4 4" xfId="31322" xr:uid="{00000000-0005-0000-0000-0000597A0000}"/>
    <cellStyle name="Normal 4 17 2 2 4 5" xfId="31323" xr:uid="{00000000-0005-0000-0000-00005A7A0000}"/>
    <cellStyle name="Normal 4 17 2 2 4 6" xfId="31324" xr:uid="{00000000-0005-0000-0000-00005B7A0000}"/>
    <cellStyle name="Normal 4 17 2 2 4 7" xfId="31325" xr:uid="{00000000-0005-0000-0000-00005C7A0000}"/>
    <cellStyle name="Normal 4 17 2 2 4 8" xfId="31326" xr:uid="{00000000-0005-0000-0000-00005D7A0000}"/>
    <cellStyle name="Normal 4 17 2 2 5" xfId="31327" xr:uid="{00000000-0005-0000-0000-00005E7A0000}"/>
    <cellStyle name="Normal 4 17 2 2 5 2" xfId="31328" xr:uid="{00000000-0005-0000-0000-00005F7A0000}"/>
    <cellStyle name="Normal 4 17 2 2 5 2 2" xfId="31329" xr:uid="{00000000-0005-0000-0000-0000607A0000}"/>
    <cellStyle name="Normal 4 17 2 2 5 2 3" xfId="31330" xr:uid="{00000000-0005-0000-0000-0000617A0000}"/>
    <cellStyle name="Normal 4 17 2 2 5 2 4" xfId="31331" xr:uid="{00000000-0005-0000-0000-0000627A0000}"/>
    <cellStyle name="Normal 4 17 2 2 5 2 5" xfId="31332" xr:uid="{00000000-0005-0000-0000-0000637A0000}"/>
    <cellStyle name="Normal 4 17 2 2 5 2 6" xfId="31333" xr:uid="{00000000-0005-0000-0000-0000647A0000}"/>
    <cellStyle name="Normal 4 17 2 2 5 3" xfId="31334" xr:uid="{00000000-0005-0000-0000-0000657A0000}"/>
    <cellStyle name="Normal 4 17 2 2 5 3 2" xfId="31335" xr:uid="{00000000-0005-0000-0000-0000667A0000}"/>
    <cellStyle name="Normal 4 17 2 2 5 3 3" xfId="31336" xr:uid="{00000000-0005-0000-0000-0000677A0000}"/>
    <cellStyle name="Normal 4 17 2 2 5 3 4" xfId="31337" xr:uid="{00000000-0005-0000-0000-0000687A0000}"/>
    <cellStyle name="Normal 4 17 2 2 5 3 5" xfId="31338" xr:uid="{00000000-0005-0000-0000-0000697A0000}"/>
    <cellStyle name="Normal 4 17 2 2 5 3 6" xfId="31339" xr:uid="{00000000-0005-0000-0000-00006A7A0000}"/>
    <cellStyle name="Normal 4 17 2 2 5 4" xfId="31340" xr:uid="{00000000-0005-0000-0000-00006B7A0000}"/>
    <cellStyle name="Normal 4 17 2 2 5 5" xfId="31341" xr:uid="{00000000-0005-0000-0000-00006C7A0000}"/>
    <cellStyle name="Normal 4 17 2 2 5 6" xfId="31342" xr:uid="{00000000-0005-0000-0000-00006D7A0000}"/>
    <cellStyle name="Normal 4 17 2 2 5 7" xfId="31343" xr:uid="{00000000-0005-0000-0000-00006E7A0000}"/>
    <cellStyle name="Normal 4 17 2 2 5 8" xfId="31344" xr:uid="{00000000-0005-0000-0000-00006F7A0000}"/>
    <cellStyle name="Normal 4 17 2 2 6" xfId="31345" xr:uid="{00000000-0005-0000-0000-0000707A0000}"/>
    <cellStyle name="Normal 4 17 2 2 6 2" xfId="31346" xr:uid="{00000000-0005-0000-0000-0000717A0000}"/>
    <cellStyle name="Normal 4 17 2 2 6 3" xfId="31347" xr:uid="{00000000-0005-0000-0000-0000727A0000}"/>
    <cellStyle name="Normal 4 17 2 2 6 4" xfId="31348" xr:uid="{00000000-0005-0000-0000-0000737A0000}"/>
    <cellStyle name="Normal 4 17 2 2 6 5" xfId="31349" xr:uid="{00000000-0005-0000-0000-0000747A0000}"/>
    <cellStyle name="Normal 4 17 2 2 6 6" xfId="31350" xr:uid="{00000000-0005-0000-0000-0000757A0000}"/>
    <cellStyle name="Normal 4 17 2 2 7" xfId="31351" xr:uid="{00000000-0005-0000-0000-0000767A0000}"/>
    <cellStyle name="Normal 4 17 2 2 7 2" xfId="31352" xr:uid="{00000000-0005-0000-0000-0000777A0000}"/>
    <cellStyle name="Normal 4 17 2 2 7 3" xfId="31353" xr:uid="{00000000-0005-0000-0000-0000787A0000}"/>
    <cellStyle name="Normal 4 17 2 2 7 4" xfId="31354" xr:uid="{00000000-0005-0000-0000-0000797A0000}"/>
    <cellStyle name="Normal 4 17 2 2 7 5" xfId="31355" xr:uid="{00000000-0005-0000-0000-00007A7A0000}"/>
    <cellStyle name="Normal 4 17 2 2 7 6" xfId="31356" xr:uid="{00000000-0005-0000-0000-00007B7A0000}"/>
    <cellStyle name="Normal 4 17 2 2 8" xfId="31357" xr:uid="{00000000-0005-0000-0000-00007C7A0000}"/>
    <cellStyle name="Normal 4 17 2 2 9" xfId="31358" xr:uid="{00000000-0005-0000-0000-00007D7A0000}"/>
    <cellStyle name="Normal 4 17 2 3" xfId="31359" xr:uid="{00000000-0005-0000-0000-00007E7A0000}"/>
    <cellStyle name="Normal 4 17 2 3 10" xfId="31360" xr:uid="{00000000-0005-0000-0000-00007F7A0000}"/>
    <cellStyle name="Normal 4 17 2 3 11" xfId="31361" xr:uid="{00000000-0005-0000-0000-0000807A0000}"/>
    <cellStyle name="Normal 4 17 2 3 12" xfId="31362" xr:uid="{00000000-0005-0000-0000-0000817A0000}"/>
    <cellStyle name="Normal 4 17 2 3 2" xfId="31363" xr:uid="{00000000-0005-0000-0000-0000827A0000}"/>
    <cellStyle name="Normal 4 17 2 3 2 10" xfId="31364" xr:uid="{00000000-0005-0000-0000-0000837A0000}"/>
    <cellStyle name="Normal 4 17 2 3 2 11" xfId="31365" xr:uid="{00000000-0005-0000-0000-0000847A0000}"/>
    <cellStyle name="Normal 4 17 2 3 2 2" xfId="31366" xr:uid="{00000000-0005-0000-0000-0000857A0000}"/>
    <cellStyle name="Normal 4 17 2 3 2 2 2" xfId="31367" xr:uid="{00000000-0005-0000-0000-0000867A0000}"/>
    <cellStyle name="Normal 4 17 2 3 2 2 2 2" xfId="31368" xr:uid="{00000000-0005-0000-0000-0000877A0000}"/>
    <cellStyle name="Normal 4 17 2 3 2 2 2 3" xfId="31369" xr:uid="{00000000-0005-0000-0000-0000887A0000}"/>
    <cellStyle name="Normal 4 17 2 3 2 2 2 4" xfId="31370" xr:uid="{00000000-0005-0000-0000-0000897A0000}"/>
    <cellStyle name="Normal 4 17 2 3 2 2 2 5" xfId="31371" xr:uid="{00000000-0005-0000-0000-00008A7A0000}"/>
    <cellStyle name="Normal 4 17 2 3 2 2 2 6" xfId="31372" xr:uid="{00000000-0005-0000-0000-00008B7A0000}"/>
    <cellStyle name="Normal 4 17 2 3 2 2 3" xfId="31373" xr:uid="{00000000-0005-0000-0000-00008C7A0000}"/>
    <cellStyle name="Normal 4 17 2 3 2 2 3 2" xfId="31374" xr:uid="{00000000-0005-0000-0000-00008D7A0000}"/>
    <cellStyle name="Normal 4 17 2 3 2 2 3 3" xfId="31375" xr:uid="{00000000-0005-0000-0000-00008E7A0000}"/>
    <cellStyle name="Normal 4 17 2 3 2 2 3 4" xfId="31376" xr:uid="{00000000-0005-0000-0000-00008F7A0000}"/>
    <cellStyle name="Normal 4 17 2 3 2 2 3 5" xfId="31377" xr:uid="{00000000-0005-0000-0000-0000907A0000}"/>
    <cellStyle name="Normal 4 17 2 3 2 2 3 6" xfId="31378" xr:uid="{00000000-0005-0000-0000-0000917A0000}"/>
    <cellStyle name="Normal 4 17 2 3 2 2 4" xfId="31379" xr:uid="{00000000-0005-0000-0000-0000927A0000}"/>
    <cellStyle name="Normal 4 17 2 3 2 2 5" xfId="31380" xr:uid="{00000000-0005-0000-0000-0000937A0000}"/>
    <cellStyle name="Normal 4 17 2 3 2 2 6" xfId="31381" xr:uid="{00000000-0005-0000-0000-0000947A0000}"/>
    <cellStyle name="Normal 4 17 2 3 2 2 7" xfId="31382" xr:uid="{00000000-0005-0000-0000-0000957A0000}"/>
    <cellStyle name="Normal 4 17 2 3 2 2 8" xfId="31383" xr:uid="{00000000-0005-0000-0000-0000967A0000}"/>
    <cellStyle name="Normal 4 17 2 3 2 3" xfId="31384" xr:uid="{00000000-0005-0000-0000-0000977A0000}"/>
    <cellStyle name="Normal 4 17 2 3 2 3 2" xfId="31385" xr:uid="{00000000-0005-0000-0000-0000987A0000}"/>
    <cellStyle name="Normal 4 17 2 3 2 3 2 2" xfId="31386" xr:uid="{00000000-0005-0000-0000-0000997A0000}"/>
    <cellStyle name="Normal 4 17 2 3 2 3 2 3" xfId="31387" xr:uid="{00000000-0005-0000-0000-00009A7A0000}"/>
    <cellStyle name="Normal 4 17 2 3 2 3 2 4" xfId="31388" xr:uid="{00000000-0005-0000-0000-00009B7A0000}"/>
    <cellStyle name="Normal 4 17 2 3 2 3 2 5" xfId="31389" xr:uid="{00000000-0005-0000-0000-00009C7A0000}"/>
    <cellStyle name="Normal 4 17 2 3 2 3 2 6" xfId="31390" xr:uid="{00000000-0005-0000-0000-00009D7A0000}"/>
    <cellStyle name="Normal 4 17 2 3 2 3 3" xfId="31391" xr:uid="{00000000-0005-0000-0000-00009E7A0000}"/>
    <cellStyle name="Normal 4 17 2 3 2 3 3 2" xfId="31392" xr:uid="{00000000-0005-0000-0000-00009F7A0000}"/>
    <cellStyle name="Normal 4 17 2 3 2 3 3 3" xfId="31393" xr:uid="{00000000-0005-0000-0000-0000A07A0000}"/>
    <cellStyle name="Normal 4 17 2 3 2 3 3 4" xfId="31394" xr:uid="{00000000-0005-0000-0000-0000A17A0000}"/>
    <cellStyle name="Normal 4 17 2 3 2 3 3 5" xfId="31395" xr:uid="{00000000-0005-0000-0000-0000A27A0000}"/>
    <cellStyle name="Normal 4 17 2 3 2 3 3 6" xfId="31396" xr:uid="{00000000-0005-0000-0000-0000A37A0000}"/>
    <cellStyle name="Normal 4 17 2 3 2 3 4" xfId="31397" xr:uid="{00000000-0005-0000-0000-0000A47A0000}"/>
    <cellStyle name="Normal 4 17 2 3 2 3 5" xfId="31398" xr:uid="{00000000-0005-0000-0000-0000A57A0000}"/>
    <cellStyle name="Normal 4 17 2 3 2 3 6" xfId="31399" xr:uid="{00000000-0005-0000-0000-0000A67A0000}"/>
    <cellStyle name="Normal 4 17 2 3 2 3 7" xfId="31400" xr:uid="{00000000-0005-0000-0000-0000A77A0000}"/>
    <cellStyle name="Normal 4 17 2 3 2 3 8" xfId="31401" xr:uid="{00000000-0005-0000-0000-0000A87A0000}"/>
    <cellStyle name="Normal 4 17 2 3 2 4" xfId="31402" xr:uid="{00000000-0005-0000-0000-0000A97A0000}"/>
    <cellStyle name="Normal 4 17 2 3 2 4 2" xfId="31403" xr:uid="{00000000-0005-0000-0000-0000AA7A0000}"/>
    <cellStyle name="Normal 4 17 2 3 2 4 2 2" xfId="31404" xr:uid="{00000000-0005-0000-0000-0000AB7A0000}"/>
    <cellStyle name="Normal 4 17 2 3 2 4 2 3" xfId="31405" xr:uid="{00000000-0005-0000-0000-0000AC7A0000}"/>
    <cellStyle name="Normal 4 17 2 3 2 4 2 4" xfId="31406" xr:uid="{00000000-0005-0000-0000-0000AD7A0000}"/>
    <cellStyle name="Normal 4 17 2 3 2 4 2 5" xfId="31407" xr:uid="{00000000-0005-0000-0000-0000AE7A0000}"/>
    <cellStyle name="Normal 4 17 2 3 2 4 2 6" xfId="31408" xr:uid="{00000000-0005-0000-0000-0000AF7A0000}"/>
    <cellStyle name="Normal 4 17 2 3 2 4 3" xfId="31409" xr:uid="{00000000-0005-0000-0000-0000B07A0000}"/>
    <cellStyle name="Normal 4 17 2 3 2 4 3 2" xfId="31410" xr:uid="{00000000-0005-0000-0000-0000B17A0000}"/>
    <cellStyle name="Normal 4 17 2 3 2 4 3 3" xfId="31411" xr:uid="{00000000-0005-0000-0000-0000B27A0000}"/>
    <cellStyle name="Normal 4 17 2 3 2 4 3 4" xfId="31412" xr:uid="{00000000-0005-0000-0000-0000B37A0000}"/>
    <cellStyle name="Normal 4 17 2 3 2 4 3 5" xfId="31413" xr:uid="{00000000-0005-0000-0000-0000B47A0000}"/>
    <cellStyle name="Normal 4 17 2 3 2 4 3 6" xfId="31414" xr:uid="{00000000-0005-0000-0000-0000B57A0000}"/>
    <cellStyle name="Normal 4 17 2 3 2 4 4" xfId="31415" xr:uid="{00000000-0005-0000-0000-0000B67A0000}"/>
    <cellStyle name="Normal 4 17 2 3 2 4 5" xfId="31416" xr:uid="{00000000-0005-0000-0000-0000B77A0000}"/>
    <cellStyle name="Normal 4 17 2 3 2 4 6" xfId="31417" xr:uid="{00000000-0005-0000-0000-0000B87A0000}"/>
    <cellStyle name="Normal 4 17 2 3 2 4 7" xfId="31418" xr:uid="{00000000-0005-0000-0000-0000B97A0000}"/>
    <cellStyle name="Normal 4 17 2 3 2 4 8" xfId="31419" xr:uid="{00000000-0005-0000-0000-0000BA7A0000}"/>
    <cellStyle name="Normal 4 17 2 3 2 5" xfId="31420" xr:uid="{00000000-0005-0000-0000-0000BB7A0000}"/>
    <cellStyle name="Normal 4 17 2 3 2 5 2" xfId="31421" xr:uid="{00000000-0005-0000-0000-0000BC7A0000}"/>
    <cellStyle name="Normal 4 17 2 3 2 5 3" xfId="31422" xr:uid="{00000000-0005-0000-0000-0000BD7A0000}"/>
    <cellStyle name="Normal 4 17 2 3 2 5 4" xfId="31423" xr:uid="{00000000-0005-0000-0000-0000BE7A0000}"/>
    <cellStyle name="Normal 4 17 2 3 2 5 5" xfId="31424" xr:uid="{00000000-0005-0000-0000-0000BF7A0000}"/>
    <cellStyle name="Normal 4 17 2 3 2 5 6" xfId="31425" xr:uid="{00000000-0005-0000-0000-0000C07A0000}"/>
    <cellStyle name="Normal 4 17 2 3 2 6" xfId="31426" xr:uid="{00000000-0005-0000-0000-0000C17A0000}"/>
    <cellStyle name="Normal 4 17 2 3 2 6 2" xfId="31427" xr:uid="{00000000-0005-0000-0000-0000C27A0000}"/>
    <cellStyle name="Normal 4 17 2 3 2 6 3" xfId="31428" xr:uid="{00000000-0005-0000-0000-0000C37A0000}"/>
    <cellStyle name="Normal 4 17 2 3 2 6 4" xfId="31429" xr:uid="{00000000-0005-0000-0000-0000C47A0000}"/>
    <cellStyle name="Normal 4 17 2 3 2 6 5" xfId="31430" xr:uid="{00000000-0005-0000-0000-0000C57A0000}"/>
    <cellStyle name="Normal 4 17 2 3 2 6 6" xfId="31431" xr:uid="{00000000-0005-0000-0000-0000C67A0000}"/>
    <cellStyle name="Normal 4 17 2 3 2 7" xfId="31432" xr:uid="{00000000-0005-0000-0000-0000C77A0000}"/>
    <cellStyle name="Normal 4 17 2 3 2 8" xfId="31433" xr:uid="{00000000-0005-0000-0000-0000C87A0000}"/>
    <cellStyle name="Normal 4 17 2 3 2 9" xfId="31434" xr:uid="{00000000-0005-0000-0000-0000C97A0000}"/>
    <cellStyle name="Normal 4 17 2 3 3" xfId="31435" xr:uid="{00000000-0005-0000-0000-0000CA7A0000}"/>
    <cellStyle name="Normal 4 17 2 3 3 2" xfId="31436" xr:uid="{00000000-0005-0000-0000-0000CB7A0000}"/>
    <cellStyle name="Normal 4 17 2 3 3 2 2" xfId="31437" xr:uid="{00000000-0005-0000-0000-0000CC7A0000}"/>
    <cellStyle name="Normal 4 17 2 3 3 2 3" xfId="31438" xr:uid="{00000000-0005-0000-0000-0000CD7A0000}"/>
    <cellStyle name="Normal 4 17 2 3 3 2 4" xfId="31439" xr:uid="{00000000-0005-0000-0000-0000CE7A0000}"/>
    <cellStyle name="Normal 4 17 2 3 3 2 5" xfId="31440" xr:uid="{00000000-0005-0000-0000-0000CF7A0000}"/>
    <cellStyle name="Normal 4 17 2 3 3 2 6" xfId="31441" xr:uid="{00000000-0005-0000-0000-0000D07A0000}"/>
    <cellStyle name="Normal 4 17 2 3 3 3" xfId="31442" xr:uid="{00000000-0005-0000-0000-0000D17A0000}"/>
    <cellStyle name="Normal 4 17 2 3 3 3 2" xfId="31443" xr:uid="{00000000-0005-0000-0000-0000D27A0000}"/>
    <cellStyle name="Normal 4 17 2 3 3 3 3" xfId="31444" xr:uid="{00000000-0005-0000-0000-0000D37A0000}"/>
    <cellStyle name="Normal 4 17 2 3 3 3 4" xfId="31445" xr:uid="{00000000-0005-0000-0000-0000D47A0000}"/>
    <cellStyle name="Normal 4 17 2 3 3 3 5" xfId="31446" xr:uid="{00000000-0005-0000-0000-0000D57A0000}"/>
    <cellStyle name="Normal 4 17 2 3 3 3 6" xfId="31447" xr:uid="{00000000-0005-0000-0000-0000D67A0000}"/>
    <cellStyle name="Normal 4 17 2 3 3 4" xfId="31448" xr:uid="{00000000-0005-0000-0000-0000D77A0000}"/>
    <cellStyle name="Normal 4 17 2 3 3 5" xfId="31449" xr:uid="{00000000-0005-0000-0000-0000D87A0000}"/>
    <cellStyle name="Normal 4 17 2 3 3 6" xfId="31450" xr:uid="{00000000-0005-0000-0000-0000D97A0000}"/>
    <cellStyle name="Normal 4 17 2 3 3 7" xfId="31451" xr:uid="{00000000-0005-0000-0000-0000DA7A0000}"/>
    <cellStyle name="Normal 4 17 2 3 3 8" xfId="31452" xr:uid="{00000000-0005-0000-0000-0000DB7A0000}"/>
    <cellStyle name="Normal 4 17 2 3 4" xfId="31453" xr:uid="{00000000-0005-0000-0000-0000DC7A0000}"/>
    <cellStyle name="Normal 4 17 2 3 4 2" xfId="31454" xr:uid="{00000000-0005-0000-0000-0000DD7A0000}"/>
    <cellStyle name="Normal 4 17 2 3 4 2 2" xfId="31455" xr:uid="{00000000-0005-0000-0000-0000DE7A0000}"/>
    <cellStyle name="Normal 4 17 2 3 4 2 3" xfId="31456" xr:uid="{00000000-0005-0000-0000-0000DF7A0000}"/>
    <cellStyle name="Normal 4 17 2 3 4 2 4" xfId="31457" xr:uid="{00000000-0005-0000-0000-0000E07A0000}"/>
    <cellStyle name="Normal 4 17 2 3 4 2 5" xfId="31458" xr:uid="{00000000-0005-0000-0000-0000E17A0000}"/>
    <cellStyle name="Normal 4 17 2 3 4 2 6" xfId="31459" xr:uid="{00000000-0005-0000-0000-0000E27A0000}"/>
    <cellStyle name="Normal 4 17 2 3 4 3" xfId="31460" xr:uid="{00000000-0005-0000-0000-0000E37A0000}"/>
    <cellStyle name="Normal 4 17 2 3 4 3 2" xfId="31461" xr:uid="{00000000-0005-0000-0000-0000E47A0000}"/>
    <cellStyle name="Normal 4 17 2 3 4 3 3" xfId="31462" xr:uid="{00000000-0005-0000-0000-0000E57A0000}"/>
    <cellStyle name="Normal 4 17 2 3 4 3 4" xfId="31463" xr:uid="{00000000-0005-0000-0000-0000E67A0000}"/>
    <cellStyle name="Normal 4 17 2 3 4 3 5" xfId="31464" xr:uid="{00000000-0005-0000-0000-0000E77A0000}"/>
    <cellStyle name="Normal 4 17 2 3 4 3 6" xfId="31465" xr:uid="{00000000-0005-0000-0000-0000E87A0000}"/>
    <cellStyle name="Normal 4 17 2 3 4 4" xfId="31466" xr:uid="{00000000-0005-0000-0000-0000E97A0000}"/>
    <cellStyle name="Normal 4 17 2 3 4 5" xfId="31467" xr:uid="{00000000-0005-0000-0000-0000EA7A0000}"/>
    <cellStyle name="Normal 4 17 2 3 4 6" xfId="31468" xr:uid="{00000000-0005-0000-0000-0000EB7A0000}"/>
    <cellStyle name="Normal 4 17 2 3 4 7" xfId="31469" xr:uid="{00000000-0005-0000-0000-0000EC7A0000}"/>
    <cellStyle name="Normal 4 17 2 3 4 8" xfId="31470" xr:uid="{00000000-0005-0000-0000-0000ED7A0000}"/>
    <cellStyle name="Normal 4 17 2 3 5" xfId="31471" xr:uid="{00000000-0005-0000-0000-0000EE7A0000}"/>
    <cellStyle name="Normal 4 17 2 3 5 2" xfId="31472" xr:uid="{00000000-0005-0000-0000-0000EF7A0000}"/>
    <cellStyle name="Normal 4 17 2 3 5 2 2" xfId="31473" xr:uid="{00000000-0005-0000-0000-0000F07A0000}"/>
    <cellStyle name="Normal 4 17 2 3 5 2 3" xfId="31474" xr:uid="{00000000-0005-0000-0000-0000F17A0000}"/>
    <cellStyle name="Normal 4 17 2 3 5 2 4" xfId="31475" xr:uid="{00000000-0005-0000-0000-0000F27A0000}"/>
    <cellStyle name="Normal 4 17 2 3 5 2 5" xfId="31476" xr:uid="{00000000-0005-0000-0000-0000F37A0000}"/>
    <cellStyle name="Normal 4 17 2 3 5 2 6" xfId="31477" xr:uid="{00000000-0005-0000-0000-0000F47A0000}"/>
    <cellStyle name="Normal 4 17 2 3 5 3" xfId="31478" xr:uid="{00000000-0005-0000-0000-0000F57A0000}"/>
    <cellStyle name="Normal 4 17 2 3 5 3 2" xfId="31479" xr:uid="{00000000-0005-0000-0000-0000F67A0000}"/>
    <cellStyle name="Normal 4 17 2 3 5 3 3" xfId="31480" xr:uid="{00000000-0005-0000-0000-0000F77A0000}"/>
    <cellStyle name="Normal 4 17 2 3 5 3 4" xfId="31481" xr:uid="{00000000-0005-0000-0000-0000F87A0000}"/>
    <cellStyle name="Normal 4 17 2 3 5 3 5" xfId="31482" xr:uid="{00000000-0005-0000-0000-0000F97A0000}"/>
    <cellStyle name="Normal 4 17 2 3 5 3 6" xfId="31483" xr:uid="{00000000-0005-0000-0000-0000FA7A0000}"/>
    <cellStyle name="Normal 4 17 2 3 5 4" xfId="31484" xr:uid="{00000000-0005-0000-0000-0000FB7A0000}"/>
    <cellStyle name="Normal 4 17 2 3 5 5" xfId="31485" xr:uid="{00000000-0005-0000-0000-0000FC7A0000}"/>
    <cellStyle name="Normal 4 17 2 3 5 6" xfId="31486" xr:uid="{00000000-0005-0000-0000-0000FD7A0000}"/>
    <cellStyle name="Normal 4 17 2 3 5 7" xfId="31487" xr:uid="{00000000-0005-0000-0000-0000FE7A0000}"/>
    <cellStyle name="Normal 4 17 2 3 5 8" xfId="31488" xr:uid="{00000000-0005-0000-0000-0000FF7A0000}"/>
    <cellStyle name="Normal 4 17 2 3 6" xfId="31489" xr:uid="{00000000-0005-0000-0000-0000007B0000}"/>
    <cellStyle name="Normal 4 17 2 3 6 2" xfId="31490" xr:uid="{00000000-0005-0000-0000-0000017B0000}"/>
    <cellStyle name="Normal 4 17 2 3 6 3" xfId="31491" xr:uid="{00000000-0005-0000-0000-0000027B0000}"/>
    <cellStyle name="Normal 4 17 2 3 6 4" xfId="31492" xr:uid="{00000000-0005-0000-0000-0000037B0000}"/>
    <cellStyle name="Normal 4 17 2 3 6 5" xfId="31493" xr:uid="{00000000-0005-0000-0000-0000047B0000}"/>
    <cellStyle name="Normal 4 17 2 3 6 6" xfId="31494" xr:uid="{00000000-0005-0000-0000-0000057B0000}"/>
    <cellStyle name="Normal 4 17 2 3 7" xfId="31495" xr:uid="{00000000-0005-0000-0000-0000067B0000}"/>
    <cellStyle name="Normal 4 17 2 3 7 2" xfId="31496" xr:uid="{00000000-0005-0000-0000-0000077B0000}"/>
    <cellStyle name="Normal 4 17 2 3 7 3" xfId="31497" xr:uid="{00000000-0005-0000-0000-0000087B0000}"/>
    <cellStyle name="Normal 4 17 2 3 7 4" xfId="31498" xr:uid="{00000000-0005-0000-0000-0000097B0000}"/>
    <cellStyle name="Normal 4 17 2 3 7 5" xfId="31499" xr:uid="{00000000-0005-0000-0000-00000A7B0000}"/>
    <cellStyle name="Normal 4 17 2 3 7 6" xfId="31500" xr:uid="{00000000-0005-0000-0000-00000B7B0000}"/>
    <cellStyle name="Normal 4 17 2 3 8" xfId="31501" xr:uid="{00000000-0005-0000-0000-00000C7B0000}"/>
    <cellStyle name="Normal 4 17 2 3 9" xfId="31502" xr:uid="{00000000-0005-0000-0000-00000D7B0000}"/>
    <cellStyle name="Normal 4 17 2 4" xfId="31503" xr:uid="{00000000-0005-0000-0000-00000E7B0000}"/>
    <cellStyle name="Normal 4 17 2 4 10" xfId="31504" xr:uid="{00000000-0005-0000-0000-00000F7B0000}"/>
    <cellStyle name="Normal 4 17 2 4 11" xfId="31505" xr:uid="{00000000-0005-0000-0000-0000107B0000}"/>
    <cellStyle name="Normal 4 17 2 4 2" xfId="31506" xr:uid="{00000000-0005-0000-0000-0000117B0000}"/>
    <cellStyle name="Normal 4 17 2 4 2 2" xfId="31507" xr:uid="{00000000-0005-0000-0000-0000127B0000}"/>
    <cellStyle name="Normal 4 17 2 4 2 2 2" xfId="31508" xr:uid="{00000000-0005-0000-0000-0000137B0000}"/>
    <cellStyle name="Normal 4 17 2 4 2 2 3" xfId="31509" xr:uid="{00000000-0005-0000-0000-0000147B0000}"/>
    <cellStyle name="Normal 4 17 2 4 2 2 4" xfId="31510" xr:uid="{00000000-0005-0000-0000-0000157B0000}"/>
    <cellStyle name="Normal 4 17 2 4 2 2 5" xfId="31511" xr:uid="{00000000-0005-0000-0000-0000167B0000}"/>
    <cellStyle name="Normal 4 17 2 4 2 2 6" xfId="31512" xr:uid="{00000000-0005-0000-0000-0000177B0000}"/>
    <cellStyle name="Normal 4 17 2 4 2 3" xfId="31513" xr:uid="{00000000-0005-0000-0000-0000187B0000}"/>
    <cellStyle name="Normal 4 17 2 4 2 3 2" xfId="31514" xr:uid="{00000000-0005-0000-0000-0000197B0000}"/>
    <cellStyle name="Normal 4 17 2 4 2 3 3" xfId="31515" xr:uid="{00000000-0005-0000-0000-00001A7B0000}"/>
    <cellStyle name="Normal 4 17 2 4 2 3 4" xfId="31516" xr:uid="{00000000-0005-0000-0000-00001B7B0000}"/>
    <cellStyle name="Normal 4 17 2 4 2 3 5" xfId="31517" xr:uid="{00000000-0005-0000-0000-00001C7B0000}"/>
    <cellStyle name="Normal 4 17 2 4 2 3 6" xfId="31518" xr:uid="{00000000-0005-0000-0000-00001D7B0000}"/>
    <cellStyle name="Normal 4 17 2 4 2 4" xfId="31519" xr:uid="{00000000-0005-0000-0000-00001E7B0000}"/>
    <cellStyle name="Normal 4 17 2 4 2 5" xfId="31520" xr:uid="{00000000-0005-0000-0000-00001F7B0000}"/>
    <cellStyle name="Normal 4 17 2 4 2 6" xfId="31521" xr:uid="{00000000-0005-0000-0000-0000207B0000}"/>
    <cellStyle name="Normal 4 17 2 4 2 7" xfId="31522" xr:uid="{00000000-0005-0000-0000-0000217B0000}"/>
    <cellStyle name="Normal 4 17 2 4 2 8" xfId="31523" xr:uid="{00000000-0005-0000-0000-0000227B0000}"/>
    <cellStyle name="Normal 4 17 2 4 3" xfId="31524" xr:uid="{00000000-0005-0000-0000-0000237B0000}"/>
    <cellStyle name="Normal 4 17 2 4 3 2" xfId="31525" xr:uid="{00000000-0005-0000-0000-0000247B0000}"/>
    <cellStyle name="Normal 4 17 2 4 3 2 2" xfId="31526" xr:uid="{00000000-0005-0000-0000-0000257B0000}"/>
    <cellStyle name="Normal 4 17 2 4 3 2 3" xfId="31527" xr:uid="{00000000-0005-0000-0000-0000267B0000}"/>
    <cellStyle name="Normal 4 17 2 4 3 2 4" xfId="31528" xr:uid="{00000000-0005-0000-0000-0000277B0000}"/>
    <cellStyle name="Normal 4 17 2 4 3 2 5" xfId="31529" xr:uid="{00000000-0005-0000-0000-0000287B0000}"/>
    <cellStyle name="Normal 4 17 2 4 3 2 6" xfId="31530" xr:uid="{00000000-0005-0000-0000-0000297B0000}"/>
    <cellStyle name="Normal 4 17 2 4 3 3" xfId="31531" xr:uid="{00000000-0005-0000-0000-00002A7B0000}"/>
    <cellStyle name="Normal 4 17 2 4 3 3 2" xfId="31532" xr:uid="{00000000-0005-0000-0000-00002B7B0000}"/>
    <cellStyle name="Normal 4 17 2 4 3 3 3" xfId="31533" xr:uid="{00000000-0005-0000-0000-00002C7B0000}"/>
    <cellStyle name="Normal 4 17 2 4 3 3 4" xfId="31534" xr:uid="{00000000-0005-0000-0000-00002D7B0000}"/>
    <cellStyle name="Normal 4 17 2 4 3 3 5" xfId="31535" xr:uid="{00000000-0005-0000-0000-00002E7B0000}"/>
    <cellStyle name="Normal 4 17 2 4 3 3 6" xfId="31536" xr:uid="{00000000-0005-0000-0000-00002F7B0000}"/>
    <cellStyle name="Normal 4 17 2 4 3 4" xfId="31537" xr:uid="{00000000-0005-0000-0000-0000307B0000}"/>
    <cellStyle name="Normal 4 17 2 4 3 5" xfId="31538" xr:uid="{00000000-0005-0000-0000-0000317B0000}"/>
    <cellStyle name="Normal 4 17 2 4 3 6" xfId="31539" xr:uid="{00000000-0005-0000-0000-0000327B0000}"/>
    <cellStyle name="Normal 4 17 2 4 3 7" xfId="31540" xr:uid="{00000000-0005-0000-0000-0000337B0000}"/>
    <cellStyle name="Normal 4 17 2 4 3 8" xfId="31541" xr:uid="{00000000-0005-0000-0000-0000347B0000}"/>
    <cellStyle name="Normal 4 17 2 4 4" xfId="31542" xr:uid="{00000000-0005-0000-0000-0000357B0000}"/>
    <cellStyle name="Normal 4 17 2 4 4 2" xfId="31543" xr:uid="{00000000-0005-0000-0000-0000367B0000}"/>
    <cellStyle name="Normal 4 17 2 4 4 2 2" xfId="31544" xr:uid="{00000000-0005-0000-0000-0000377B0000}"/>
    <cellStyle name="Normal 4 17 2 4 4 2 3" xfId="31545" xr:uid="{00000000-0005-0000-0000-0000387B0000}"/>
    <cellStyle name="Normal 4 17 2 4 4 2 4" xfId="31546" xr:uid="{00000000-0005-0000-0000-0000397B0000}"/>
    <cellStyle name="Normal 4 17 2 4 4 2 5" xfId="31547" xr:uid="{00000000-0005-0000-0000-00003A7B0000}"/>
    <cellStyle name="Normal 4 17 2 4 4 2 6" xfId="31548" xr:uid="{00000000-0005-0000-0000-00003B7B0000}"/>
    <cellStyle name="Normal 4 17 2 4 4 3" xfId="31549" xr:uid="{00000000-0005-0000-0000-00003C7B0000}"/>
    <cellStyle name="Normal 4 17 2 4 4 3 2" xfId="31550" xr:uid="{00000000-0005-0000-0000-00003D7B0000}"/>
    <cellStyle name="Normal 4 17 2 4 4 3 3" xfId="31551" xr:uid="{00000000-0005-0000-0000-00003E7B0000}"/>
    <cellStyle name="Normal 4 17 2 4 4 3 4" xfId="31552" xr:uid="{00000000-0005-0000-0000-00003F7B0000}"/>
    <cellStyle name="Normal 4 17 2 4 4 3 5" xfId="31553" xr:uid="{00000000-0005-0000-0000-0000407B0000}"/>
    <cellStyle name="Normal 4 17 2 4 4 3 6" xfId="31554" xr:uid="{00000000-0005-0000-0000-0000417B0000}"/>
    <cellStyle name="Normal 4 17 2 4 4 4" xfId="31555" xr:uid="{00000000-0005-0000-0000-0000427B0000}"/>
    <cellStyle name="Normal 4 17 2 4 4 5" xfId="31556" xr:uid="{00000000-0005-0000-0000-0000437B0000}"/>
    <cellStyle name="Normal 4 17 2 4 4 6" xfId="31557" xr:uid="{00000000-0005-0000-0000-0000447B0000}"/>
    <cellStyle name="Normal 4 17 2 4 4 7" xfId="31558" xr:uid="{00000000-0005-0000-0000-0000457B0000}"/>
    <cellStyle name="Normal 4 17 2 4 4 8" xfId="31559" xr:uid="{00000000-0005-0000-0000-0000467B0000}"/>
    <cellStyle name="Normal 4 17 2 4 5" xfId="31560" xr:uid="{00000000-0005-0000-0000-0000477B0000}"/>
    <cellStyle name="Normal 4 17 2 4 5 2" xfId="31561" xr:uid="{00000000-0005-0000-0000-0000487B0000}"/>
    <cellStyle name="Normal 4 17 2 4 5 3" xfId="31562" xr:uid="{00000000-0005-0000-0000-0000497B0000}"/>
    <cellStyle name="Normal 4 17 2 4 5 4" xfId="31563" xr:uid="{00000000-0005-0000-0000-00004A7B0000}"/>
    <cellStyle name="Normal 4 17 2 4 5 5" xfId="31564" xr:uid="{00000000-0005-0000-0000-00004B7B0000}"/>
    <cellStyle name="Normal 4 17 2 4 5 6" xfId="31565" xr:uid="{00000000-0005-0000-0000-00004C7B0000}"/>
    <cellStyle name="Normal 4 17 2 4 6" xfId="31566" xr:uid="{00000000-0005-0000-0000-00004D7B0000}"/>
    <cellStyle name="Normal 4 17 2 4 6 2" xfId="31567" xr:uid="{00000000-0005-0000-0000-00004E7B0000}"/>
    <cellStyle name="Normal 4 17 2 4 6 3" xfId="31568" xr:uid="{00000000-0005-0000-0000-00004F7B0000}"/>
    <cellStyle name="Normal 4 17 2 4 6 4" xfId="31569" xr:uid="{00000000-0005-0000-0000-0000507B0000}"/>
    <cellStyle name="Normal 4 17 2 4 6 5" xfId="31570" xr:uid="{00000000-0005-0000-0000-0000517B0000}"/>
    <cellStyle name="Normal 4 17 2 4 6 6" xfId="31571" xr:uid="{00000000-0005-0000-0000-0000527B0000}"/>
    <cellStyle name="Normal 4 17 2 4 7" xfId="31572" xr:uid="{00000000-0005-0000-0000-0000537B0000}"/>
    <cellStyle name="Normal 4 17 2 4 8" xfId="31573" xr:uid="{00000000-0005-0000-0000-0000547B0000}"/>
    <cellStyle name="Normal 4 17 2 4 9" xfId="31574" xr:uid="{00000000-0005-0000-0000-0000557B0000}"/>
    <cellStyle name="Normal 4 17 2 5" xfId="31575" xr:uid="{00000000-0005-0000-0000-0000567B0000}"/>
    <cellStyle name="Normal 4 17 2 5 2" xfId="31576" xr:uid="{00000000-0005-0000-0000-0000577B0000}"/>
    <cellStyle name="Normal 4 17 2 5 2 2" xfId="31577" xr:uid="{00000000-0005-0000-0000-0000587B0000}"/>
    <cellStyle name="Normal 4 17 2 5 2 3" xfId="31578" xr:uid="{00000000-0005-0000-0000-0000597B0000}"/>
    <cellStyle name="Normal 4 17 2 5 2 4" xfId="31579" xr:uid="{00000000-0005-0000-0000-00005A7B0000}"/>
    <cellStyle name="Normal 4 17 2 5 2 5" xfId="31580" xr:uid="{00000000-0005-0000-0000-00005B7B0000}"/>
    <cellStyle name="Normal 4 17 2 5 2 6" xfId="31581" xr:uid="{00000000-0005-0000-0000-00005C7B0000}"/>
    <cellStyle name="Normal 4 17 2 5 3" xfId="31582" xr:uid="{00000000-0005-0000-0000-00005D7B0000}"/>
    <cellStyle name="Normal 4 17 2 5 3 2" xfId="31583" xr:uid="{00000000-0005-0000-0000-00005E7B0000}"/>
    <cellStyle name="Normal 4 17 2 5 3 3" xfId="31584" xr:uid="{00000000-0005-0000-0000-00005F7B0000}"/>
    <cellStyle name="Normal 4 17 2 5 3 4" xfId="31585" xr:uid="{00000000-0005-0000-0000-0000607B0000}"/>
    <cellStyle name="Normal 4 17 2 5 3 5" xfId="31586" xr:uid="{00000000-0005-0000-0000-0000617B0000}"/>
    <cellStyle name="Normal 4 17 2 5 3 6" xfId="31587" xr:uid="{00000000-0005-0000-0000-0000627B0000}"/>
    <cellStyle name="Normal 4 17 2 5 4" xfId="31588" xr:uid="{00000000-0005-0000-0000-0000637B0000}"/>
    <cellStyle name="Normal 4 17 2 5 5" xfId="31589" xr:uid="{00000000-0005-0000-0000-0000647B0000}"/>
    <cellStyle name="Normal 4 17 2 5 6" xfId="31590" xr:uid="{00000000-0005-0000-0000-0000657B0000}"/>
    <cellStyle name="Normal 4 17 2 5 7" xfId="31591" xr:uid="{00000000-0005-0000-0000-0000667B0000}"/>
    <cellStyle name="Normal 4 17 2 5 8" xfId="31592" xr:uid="{00000000-0005-0000-0000-0000677B0000}"/>
    <cellStyle name="Normal 4 17 2 6" xfId="31593" xr:uid="{00000000-0005-0000-0000-0000687B0000}"/>
    <cellStyle name="Normal 4 17 2 6 2" xfId="31594" xr:uid="{00000000-0005-0000-0000-0000697B0000}"/>
    <cellStyle name="Normal 4 17 2 6 2 2" xfId="31595" xr:uid="{00000000-0005-0000-0000-00006A7B0000}"/>
    <cellStyle name="Normal 4 17 2 6 2 3" xfId="31596" xr:uid="{00000000-0005-0000-0000-00006B7B0000}"/>
    <cellStyle name="Normal 4 17 2 6 2 4" xfId="31597" xr:uid="{00000000-0005-0000-0000-00006C7B0000}"/>
    <cellStyle name="Normal 4 17 2 6 2 5" xfId="31598" xr:uid="{00000000-0005-0000-0000-00006D7B0000}"/>
    <cellStyle name="Normal 4 17 2 6 2 6" xfId="31599" xr:uid="{00000000-0005-0000-0000-00006E7B0000}"/>
    <cellStyle name="Normal 4 17 2 6 3" xfId="31600" xr:uid="{00000000-0005-0000-0000-00006F7B0000}"/>
    <cellStyle name="Normal 4 17 2 6 3 2" xfId="31601" xr:uid="{00000000-0005-0000-0000-0000707B0000}"/>
    <cellStyle name="Normal 4 17 2 6 3 3" xfId="31602" xr:uid="{00000000-0005-0000-0000-0000717B0000}"/>
    <cellStyle name="Normal 4 17 2 6 3 4" xfId="31603" xr:uid="{00000000-0005-0000-0000-0000727B0000}"/>
    <cellStyle name="Normal 4 17 2 6 3 5" xfId="31604" xr:uid="{00000000-0005-0000-0000-0000737B0000}"/>
    <cellStyle name="Normal 4 17 2 6 3 6" xfId="31605" xr:uid="{00000000-0005-0000-0000-0000747B0000}"/>
    <cellStyle name="Normal 4 17 2 6 4" xfId="31606" xr:uid="{00000000-0005-0000-0000-0000757B0000}"/>
    <cellStyle name="Normal 4 17 2 6 5" xfId="31607" xr:uid="{00000000-0005-0000-0000-0000767B0000}"/>
    <cellStyle name="Normal 4 17 2 6 6" xfId="31608" xr:uid="{00000000-0005-0000-0000-0000777B0000}"/>
    <cellStyle name="Normal 4 17 2 6 7" xfId="31609" xr:uid="{00000000-0005-0000-0000-0000787B0000}"/>
    <cellStyle name="Normal 4 17 2 6 8" xfId="31610" xr:uid="{00000000-0005-0000-0000-0000797B0000}"/>
    <cellStyle name="Normal 4 17 2 7" xfId="31611" xr:uid="{00000000-0005-0000-0000-00007A7B0000}"/>
    <cellStyle name="Normal 4 17 2 7 2" xfId="31612" xr:uid="{00000000-0005-0000-0000-00007B7B0000}"/>
    <cellStyle name="Normal 4 17 2 7 2 2" xfId="31613" xr:uid="{00000000-0005-0000-0000-00007C7B0000}"/>
    <cellStyle name="Normal 4 17 2 7 2 3" xfId="31614" xr:uid="{00000000-0005-0000-0000-00007D7B0000}"/>
    <cellStyle name="Normal 4 17 2 7 2 4" xfId="31615" xr:uid="{00000000-0005-0000-0000-00007E7B0000}"/>
    <cellStyle name="Normal 4 17 2 7 2 5" xfId="31616" xr:uid="{00000000-0005-0000-0000-00007F7B0000}"/>
    <cellStyle name="Normal 4 17 2 7 2 6" xfId="31617" xr:uid="{00000000-0005-0000-0000-0000807B0000}"/>
    <cellStyle name="Normal 4 17 2 7 3" xfId="31618" xr:uid="{00000000-0005-0000-0000-0000817B0000}"/>
    <cellStyle name="Normal 4 17 2 7 3 2" xfId="31619" xr:uid="{00000000-0005-0000-0000-0000827B0000}"/>
    <cellStyle name="Normal 4 17 2 7 3 3" xfId="31620" xr:uid="{00000000-0005-0000-0000-0000837B0000}"/>
    <cellStyle name="Normal 4 17 2 7 3 4" xfId="31621" xr:uid="{00000000-0005-0000-0000-0000847B0000}"/>
    <cellStyle name="Normal 4 17 2 7 3 5" xfId="31622" xr:uid="{00000000-0005-0000-0000-0000857B0000}"/>
    <cellStyle name="Normal 4 17 2 7 3 6" xfId="31623" xr:uid="{00000000-0005-0000-0000-0000867B0000}"/>
    <cellStyle name="Normal 4 17 2 7 4" xfId="31624" xr:uid="{00000000-0005-0000-0000-0000877B0000}"/>
    <cellStyle name="Normal 4 17 2 7 5" xfId="31625" xr:uid="{00000000-0005-0000-0000-0000887B0000}"/>
    <cellStyle name="Normal 4 17 2 7 6" xfId="31626" xr:uid="{00000000-0005-0000-0000-0000897B0000}"/>
    <cellStyle name="Normal 4 17 2 7 7" xfId="31627" xr:uid="{00000000-0005-0000-0000-00008A7B0000}"/>
    <cellStyle name="Normal 4 17 2 7 8" xfId="31628" xr:uid="{00000000-0005-0000-0000-00008B7B0000}"/>
    <cellStyle name="Normal 4 17 2 8" xfId="31629" xr:uid="{00000000-0005-0000-0000-00008C7B0000}"/>
    <cellStyle name="Normal 4 17 2 8 2" xfId="31630" xr:uid="{00000000-0005-0000-0000-00008D7B0000}"/>
    <cellStyle name="Normal 4 17 2 8 3" xfId="31631" xr:uid="{00000000-0005-0000-0000-00008E7B0000}"/>
    <cellStyle name="Normal 4 17 2 8 4" xfId="31632" xr:uid="{00000000-0005-0000-0000-00008F7B0000}"/>
    <cellStyle name="Normal 4 17 2 8 5" xfId="31633" xr:uid="{00000000-0005-0000-0000-0000907B0000}"/>
    <cellStyle name="Normal 4 17 2 8 6" xfId="31634" xr:uid="{00000000-0005-0000-0000-0000917B0000}"/>
    <cellStyle name="Normal 4 17 2 9" xfId="31635" xr:uid="{00000000-0005-0000-0000-0000927B0000}"/>
    <cellStyle name="Normal 4 17 2 9 2" xfId="31636" xr:uid="{00000000-0005-0000-0000-0000937B0000}"/>
    <cellStyle name="Normal 4 17 2 9 3" xfId="31637" xr:uid="{00000000-0005-0000-0000-0000947B0000}"/>
    <cellStyle name="Normal 4 17 2 9 4" xfId="31638" xr:uid="{00000000-0005-0000-0000-0000957B0000}"/>
    <cellStyle name="Normal 4 17 2 9 5" xfId="31639" xr:uid="{00000000-0005-0000-0000-0000967B0000}"/>
    <cellStyle name="Normal 4 17 2 9 6" xfId="31640" xr:uid="{00000000-0005-0000-0000-0000977B0000}"/>
    <cellStyle name="Normal 4 17 3" xfId="31641" xr:uid="{00000000-0005-0000-0000-0000987B0000}"/>
    <cellStyle name="Normal 4 17 3 10" xfId="31642" xr:uid="{00000000-0005-0000-0000-0000997B0000}"/>
    <cellStyle name="Normal 4 17 3 11" xfId="31643" xr:uid="{00000000-0005-0000-0000-00009A7B0000}"/>
    <cellStyle name="Normal 4 17 3 12" xfId="31644" xr:uid="{00000000-0005-0000-0000-00009B7B0000}"/>
    <cellStyle name="Normal 4 17 3 2" xfId="31645" xr:uid="{00000000-0005-0000-0000-00009C7B0000}"/>
    <cellStyle name="Normal 4 17 3 2 10" xfId="31646" xr:uid="{00000000-0005-0000-0000-00009D7B0000}"/>
    <cellStyle name="Normal 4 17 3 2 11" xfId="31647" xr:uid="{00000000-0005-0000-0000-00009E7B0000}"/>
    <cellStyle name="Normal 4 17 3 2 2" xfId="31648" xr:uid="{00000000-0005-0000-0000-00009F7B0000}"/>
    <cellStyle name="Normal 4 17 3 2 2 2" xfId="31649" xr:uid="{00000000-0005-0000-0000-0000A07B0000}"/>
    <cellStyle name="Normal 4 17 3 2 2 2 2" xfId="31650" xr:uid="{00000000-0005-0000-0000-0000A17B0000}"/>
    <cellStyle name="Normal 4 17 3 2 2 2 3" xfId="31651" xr:uid="{00000000-0005-0000-0000-0000A27B0000}"/>
    <cellStyle name="Normal 4 17 3 2 2 2 4" xfId="31652" xr:uid="{00000000-0005-0000-0000-0000A37B0000}"/>
    <cellStyle name="Normal 4 17 3 2 2 2 5" xfId="31653" xr:uid="{00000000-0005-0000-0000-0000A47B0000}"/>
    <cellStyle name="Normal 4 17 3 2 2 2 6" xfId="31654" xr:uid="{00000000-0005-0000-0000-0000A57B0000}"/>
    <cellStyle name="Normal 4 17 3 2 2 3" xfId="31655" xr:uid="{00000000-0005-0000-0000-0000A67B0000}"/>
    <cellStyle name="Normal 4 17 3 2 2 3 2" xfId="31656" xr:uid="{00000000-0005-0000-0000-0000A77B0000}"/>
    <cellStyle name="Normal 4 17 3 2 2 3 3" xfId="31657" xr:uid="{00000000-0005-0000-0000-0000A87B0000}"/>
    <cellStyle name="Normal 4 17 3 2 2 3 4" xfId="31658" xr:uid="{00000000-0005-0000-0000-0000A97B0000}"/>
    <cellStyle name="Normal 4 17 3 2 2 3 5" xfId="31659" xr:uid="{00000000-0005-0000-0000-0000AA7B0000}"/>
    <cellStyle name="Normal 4 17 3 2 2 3 6" xfId="31660" xr:uid="{00000000-0005-0000-0000-0000AB7B0000}"/>
    <cellStyle name="Normal 4 17 3 2 2 4" xfId="31661" xr:uid="{00000000-0005-0000-0000-0000AC7B0000}"/>
    <cellStyle name="Normal 4 17 3 2 2 5" xfId="31662" xr:uid="{00000000-0005-0000-0000-0000AD7B0000}"/>
    <cellStyle name="Normal 4 17 3 2 2 6" xfId="31663" xr:uid="{00000000-0005-0000-0000-0000AE7B0000}"/>
    <cellStyle name="Normal 4 17 3 2 2 7" xfId="31664" xr:uid="{00000000-0005-0000-0000-0000AF7B0000}"/>
    <cellStyle name="Normal 4 17 3 2 2 8" xfId="31665" xr:uid="{00000000-0005-0000-0000-0000B07B0000}"/>
    <cellStyle name="Normal 4 17 3 2 3" xfId="31666" xr:uid="{00000000-0005-0000-0000-0000B17B0000}"/>
    <cellStyle name="Normal 4 17 3 2 3 2" xfId="31667" xr:uid="{00000000-0005-0000-0000-0000B27B0000}"/>
    <cellStyle name="Normal 4 17 3 2 3 2 2" xfId="31668" xr:uid="{00000000-0005-0000-0000-0000B37B0000}"/>
    <cellStyle name="Normal 4 17 3 2 3 2 3" xfId="31669" xr:uid="{00000000-0005-0000-0000-0000B47B0000}"/>
    <cellStyle name="Normal 4 17 3 2 3 2 4" xfId="31670" xr:uid="{00000000-0005-0000-0000-0000B57B0000}"/>
    <cellStyle name="Normal 4 17 3 2 3 2 5" xfId="31671" xr:uid="{00000000-0005-0000-0000-0000B67B0000}"/>
    <cellStyle name="Normal 4 17 3 2 3 2 6" xfId="31672" xr:uid="{00000000-0005-0000-0000-0000B77B0000}"/>
    <cellStyle name="Normal 4 17 3 2 3 3" xfId="31673" xr:uid="{00000000-0005-0000-0000-0000B87B0000}"/>
    <cellStyle name="Normal 4 17 3 2 3 3 2" xfId="31674" xr:uid="{00000000-0005-0000-0000-0000B97B0000}"/>
    <cellStyle name="Normal 4 17 3 2 3 3 3" xfId="31675" xr:uid="{00000000-0005-0000-0000-0000BA7B0000}"/>
    <cellStyle name="Normal 4 17 3 2 3 3 4" xfId="31676" xr:uid="{00000000-0005-0000-0000-0000BB7B0000}"/>
    <cellStyle name="Normal 4 17 3 2 3 3 5" xfId="31677" xr:uid="{00000000-0005-0000-0000-0000BC7B0000}"/>
    <cellStyle name="Normal 4 17 3 2 3 3 6" xfId="31678" xr:uid="{00000000-0005-0000-0000-0000BD7B0000}"/>
    <cellStyle name="Normal 4 17 3 2 3 4" xfId="31679" xr:uid="{00000000-0005-0000-0000-0000BE7B0000}"/>
    <cellStyle name="Normal 4 17 3 2 3 5" xfId="31680" xr:uid="{00000000-0005-0000-0000-0000BF7B0000}"/>
    <cellStyle name="Normal 4 17 3 2 3 6" xfId="31681" xr:uid="{00000000-0005-0000-0000-0000C07B0000}"/>
    <cellStyle name="Normal 4 17 3 2 3 7" xfId="31682" xr:uid="{00000000-0005-0000-0000-0000C17B0000}"/>
    <cellStyle name="Normal 4 17 3 2 3 8" xfId="31683" xr:uid="{00000000-0005-0000-0000-0000C27B0000}"/>
    <cellStyle name="Normal 4 17 3 2 4" xfId="31684" xr:uid="{00000000-0005-0000-0000-0000C37B0000}"/>
    <cellStyle name="Normal 4 17 3 2 4 2" xfId="31685" xr:uid="{00000000-0005-0000-0000-0000C47B0000}"/>
    <cellStyle name="Normal 4 17 3 2 4 2 2" xfId="31686" xr:uid="{00000000-0005-0000-0000-0000C57B0000}"/>
    <cellStyle name="Normal 4 17 3 2 4 2 3" xfId="31687" xr:uid="{00000000-0005-0000-0000-0000C67B0000}"/>
    <cellStyle name="Normal 4 17 3 2 4 2 4" xfId="31688" xr:uid="{00000000-0005-0000-0000-0000C77B0000}"/>
    <cellStyle name="Normal 4 17 3 2 4 2 5" xfId="31689" xr:uid="{00000000-0005-0000-0000-0000C87B0000}"/>
    <cellStyle name="Normal 4 17 3 2 4 2 6" xfId="31690" xr:uid="{00000000-0005-0000-0000-0000C97B0000}"/>
    <cellStyle name="Normal 4 17 3 2 4 3" xfId="31691" xr:uid="{00000000-0005-0000-0000-0000CA7B0000}"/>
    <cellStyle name="Normal 4 17 3 2 4 3 2" xfId="31692" xr:uid="{00000000-0005-0000-0000-0000CB7B0000}"/>
    <cellStyle name="Normal 4 17 3 2 4 3 3" xfId="31693" xr:uid="{00000000-0005-0000-0000-0000CC7B0000}"/>
    <cellStyle name="Normal 4 17 3 2 4 3 4" xfId="31694" xr:uid="{00000000-0005-0000-0000-0000CD7B0000}"/>
    <cellStyle name="Normal 4 17 3 2 4 3 5" xfId="31695" xr:uid="{00000000-0005-0000-0000-0000CE7B0000}"/>
    <cellStyle name="Normal 4 17 3 2 4 3 6" xfId="31696" xr:uid="{00000000-0005-0000-0000-0000CF7B0000}"/>
    <cellStyle name="Normal 4 17 3 2 4 4" xfId="31697" xr:uid="{00000000-0005-0000-0000-0000D07B0000}"/>
    <cellStyle name="Normal 4 17 3 2 4 5" xfId="31698" xr:uid="{00000000-0005-0000-0000-0000D17B0000}"/>
    <cellStyle name="Normal 4 17 3 2 4 6" xfId="31699" xr:uid="{00000000-0005-0000-0000-0000D27B0000}"/>
    <cellStyle name="Normal 4 17 3 2 4 7" xfId="31700" xr:uid="{00000000-0005-0000-0000-0000D37B0000}"/>
    <cellStyle name="Normal 4 17 3 2 4 8" xfId="31701" xr:uid="{00000000-0005-0000-0000-0000D47B0000}"/>
    <cellStyle name="Normal 4 17 3 2 5" xfId="31702" xr:uid="{00000000-0005-0000-0000-0000D57B0000}"/>
    <cellStyle name="Normal 4 17 3 2 5 2" xfId="31703" xr:uid="{00000000-0005-0000-0000-0000D67B0000}"/>
    <cellStyle name="Normal 4 17 3 2 5 3" xfId="31704" xr:uid="{00000000-0005-0000-0000-0000D77B0000}"/>
    <cellStyle name="Normal 4 17 3 2 5 4" xfId="31705" xr:uid="{00000000-0005-0000-0000-0000D87B0000}"/>
    <cellStyle name="Normal 4 17 3 2 5 5" xfId="31706" xr:uid="{00000000-0005-0000-0000-0000D97B0000}"/>
    <cellStyle name="Normal 4 17 3 2 5 6" xfId="31707" xr:uid="{00000000-0005-0000-0000-0000DA7B0000}"/>
    <cellStyle name="Normal 4 17 3 2 6" xfId="31708" xr:uid="{00000000-0005-0000-0000-0000DB7B0000}"/>
    <cellStyle name="Normal 4 17 3 2 6 2" xfId="31709" xr:uid="{00000000-0005-0000-0000-0000DC7B0000}"/>
    <cellStyle name="Normal 4 17 3 2 6 3" xfId="31710" xr:uid="{00000000-0005-0000-0000-0000DD7B0000}"/>
    <cellStyle name="Normal 4 17 3 2 6 4" xfId="31711" xr:uid="{00000000-0005-0000-0000-0000DE7B0000}"/>
    <cellStyle name="Normal 4 17 3 2 6 5" xfId="31712" xr:uid="{00000000-0005-0000-0000-0000DF7B0000}"/>
    <cellStyle name="Normal 4 17 3 2 6 6" xfId="31713" xr:uid="{00000000-0005-0000-0000-0000E07B0000}"/>
    <cellStyle name="Normal 4 17 3 2 7" xfId="31714" xr:uid="{00000000-0005-0000-0000-0000E17B0000}"/>
    <cellStyle name="Normal 4 17 3 2 8" xfId="31715" xr:uid="{00000000-0005-0000-0000-0000E27B0000}"/>
    <cellStyle name="Normal 4 17 3 2 9" xfId="31716" xr:uid="{00000000-0005-0000-0000-0000E37B0000}"/>
    <cellStyle name="Normal 4 17 3 3" xfId="31717" xr:uid="{00000000-0005-0000-0000-0000E47B0000}"/>
    <cellStyle name="Normal 4 17 3 3 2" xfId="31718" xr:uid="{00000000-0005-0000-0000-0000E57B0000}"/>
    <cellStyle name="Normal 4 17 3 3 2 2" xfId="31719" xr:uid="{00000000-0005-0000-0000-0000E67B0000}"/>
    <cellStyle name="Normal 4 17 3 3 2 3" xfId="31720" xr:uid="{00000000-0005-0000-0000-0000E77B0000}"/>
    <cellStyle name="Normal 4 17 3 3 2 4" xfId="31721" xr:uid="{00000000-0005-0000-0000-0000E87B0000}"/>
    <cellStyle name="Normal 4 17 3 3 2 5" xfId="31722" xr:uid="{00000000-0005-0000-0000-0000E97B0000}"/>
    <cellStyle name="Normal 4 17 3 3 2 6" xfId="31723" xr:uid="{00000000-0005-0000-0000-0000EA7B0000}"/>
    <cellStyle name="Normal 4 17 3 3 3" xfId="31724" xr:uid="{00000000-0005-0000-0000-0000EB7B0000}"/>
    <cellStyle name="Normal 4 17 3 3 3 2" xfId="31725" xr:uid="{00000000-0005-0000-0000-0000EC7B0000}"/>
    <cellStyle name="Normal 4 17 3 3 3 3" xfId="31726" xr:uid="{00000000-0005-0000-0000-0000ED7B0000}"/>
    <cellStyle name="Normal 4 17 3 3 3 4" xfId="31727" xr:uid="{00000000-0005-0000-0000-0000EE7B0000}"/>
    <cellStyle name="Normal 4 17 3 3 3 5" xfId="31728" xr:uid="{00000000-0005-0000-0000-0000EF7B0000}"/>
    <cellStyle name="Normal 4 17 3 3 3 6" xfId="31729" xr:uid="{00000000-0005-0000-0000-0000F07B0000}"/>
    <cellStyle name="Normal 4 17 3 3 4" xfId="31730" xr:uid="{00000000-0005-0000-0000-0000F17B0000}"/>
    <cellStyle name="Normal 4 17 3 3 5" xfId="31731" xr:uid="{00000000-0005-0000-0000-0000F27B0000}"/>
    <cellStyle name="Normal 4 17 3 3 6" xfId="31732" xr:uid="{00000000-0005-0000-0000-0000F37B0000}"/>
    <cellStyle name="Normal 4 17 3 3 7" xfId="31733" xr:uid="{00000000-0005-0000-0000-0000F47B0000}"/>
    <cellStyle name="Normal 4 17 3 3 8" xfId="31734" xr:uid="{00000000-0005-0000-0000-0000F57B0000}"/>
    <cellStyle name="Normal 4 17 3 4" xfId="31735" xr:uid="{00000000-0005-0000-0000-0000F67B0000}"/>
    <cellStyle name="Normal 4 17 3 4 2" xfId="31736" xr:uid="{00000000-0005-0000-0000-0000F77B0000}"/>
    <cellStyle name="Normal 4 17 3 4 2 2" xfId="31737" xr:uid="{00000000-0005-0000-0000-0000F87B0000}"/>
    <cellStyle name="Normal 4 17 3 4 2 3" xfId="31738" xr:uid="{00000000-0005-0000-0000-0000F97B0000}"/>
    <cellStyle name="Normal 4 17 3 4 2 4" xfId="31739" xr:uid="{00000000-0005-0000-0000-0000FA7B0000}"/>
    <cellStyle name="Normal 4 17 3 4 2 5" xfId="31740" xr:uid="{00000000-0005-0000-0000-0000FB7B0000}"/>
    <cellStyle name="Normal 4 17 3 4 2 6" xfId="31741" xr:uid="{00000000-0005-0000-0000-0000FC7B0000}"/>
    <cellStyle name="Normal 4 17 3 4 3" xfId="31742" xr:uid="{00000000-0005-0000-0000-0000FD7B0000}"/>
    <cellStyle name="Normal 4 17 3 4 3 2" xfId="31743" xr:uid="{00000000-0005-0000-0000-0000FE7B0000}"/>
    <cellStyle name="Normal 4 17 3 4 3 3" xfId="31744" xr:uid="{00000000-0005-0000-0000-0000FF7B0000}"/>
    <cellStyle name="Normal 4 17 3 4 3 4" xfId="31745" xr:uid="{00000000-0005-0000-0000-0000007C0000}"/>
    <cellStyle name="Normal 4 17 3 4 3 5" xfId="31746" xr:uid="{00000000-0005-0000-0000-0000017C0000}"/>
    <cellStyle name="Normal 4 17 3 4 3 6" xfId="31747" xr:uid="{00000000-0005-0000-0000-0000027C0000}"/>
    <cellStyle name="Normal 4 17 3 4 4" xfId="31748" xr:uid="{00000000-0005-0000-0000-0000037C0000}"/>
    <cellStyle name="Normal 4 17 3 4 5" xfId="31749" xr:uid="{00000000-0005-0000-0000-0000047C0000}"/>
    <cellStyle name="Normal 4 17 3 4 6" xfId="31750" xr:uid="{00000000-0005-0000-0000-0000057C0000}"/>
    <cellStyle name="Normal 4 17 3 4 7" xfId="31751" xr:uid="{00000000-0005-0000-0000-0000067C0000}"/>
    <cellStyle name="Normal 4 17 3 4 8" xfId="31752" xr:uid="{00000000-0005-0000-0000-0000077C0000}"/>
    <cellStyle name="Normal 4 17 3 5" xfId="31753" xr:uid="{00000000-0005-0000-0000-0000087C0000}"/>
    <cellStyle name="Normal 4 17 3 5 2" xfId="31754" xr:uid="{00000000-0005-0000-0000-0000097C0000}"/>
    <cellStyle name="Normal 4 17 3 5 2 2" xfId="31755" xr:uid="{00000000-0005-0000-0000-00000A7C0000}"/>
    <cellStyle name="Normal 4 17 3 5 2 3" xfId="31756" xr:uid="{00000000-0005-0000-0000-00000B7C0000}"/>
    <cellStyle name="Normal 4 17 3 5 2 4" xfId="31757" xr:uid="{00000000-0005-0000-0000-00000C7C0000}"/>
    <cellStyle name="Normal 4 17 3 5 2 5" xfId="31758" xr:uid="{00000000-0005-0000-0000-00000D7C0000}"/>
    <cellStyle name="Normal 4 17 3 5 2 6" xfId="31759" xr:uid="{00000000-0005-0000-0000-00000E7C0000}"/>
    <cellStyle name="Normal 4 17 3 5 3" xfId="31760" xr:uid="{00000000-0005-0000-0000-00000F7C0000}"/>
    <cellStyle name="Normal 4 17 3 5 3 2" xfId="31761" xr:uid="{00000000-0005-0000-0000-0000107C0000}"/>
    <cellStyle name="Normal 4 17 3 5 3 3" xfId="31762" xr:uid="{00000000-0005-0000-0000-0000117C0000}"/>
    <cellStyle name="Normal 4 17 3 5 3 4" xfId="31763" xr:uid="{00000000-0005-0000-0000-0000127C0000}"/>
    <cellStyle name="Normal 4 17 3 5 3 5" xfId="31764" xr:uid="{00000000-0005-0000-0000-0000137C0000}"/>
    <cellStyle name="Normal 4 17 3 5 3 6" xfId="31765" xr:uid="{00000000-0005-0000-0000-0000147C0000}"/>
    <cellStyle name="Normal 4 17 3 5 4" xfId="31766" xr:uid="{00000000-0005-0000-0000-0000157C0000}"/>
    <cellStyle name="Normal 4 17 3 5 5" xfId="31767" xr:uid="{00000000-0005-0000-0000-0000167C0000}"/>
    <cellStyle name="Normal 4 17 3 5 6" xfId="31768" xr:uid="{00000000-0005-0000-0000-0000177C0000}"/>
    <cellStyle name="Normal 4 17 3 5 7" xfId="31769" xr:uid="{00000000-0005-0000-0000-0000187C0000}"/>
    <cellStyle name="Normal 4 17 3 5 8" xfId="31770" xr:uid="{00000000-0005-0000-0000-0000197C0000}"/>
    <cellStyle name="Normal 4 17 3 6" xfId="31771" xr:uid="{00000000-0005-0000-0000-00001A7C0000}"/>
    <cellStyle name="Normal 4 17 3 6 2" xfId="31772" xr:uid="{00000000-0005-0000-0000-00001B7C0000}"/>
    <cellStyle name="Normal 4 17 3 6 3" xfId="31773" xr:uid="{00000000-0005-0000-0000-00001C7C0000}"/>
    <cellStyle name="Normal 4 17 3 6 4" xfId="31774" xr:uid="{00000000-0005-0000-0000-00001D7C0000}"/>
    <cellStyle name="Normal 4 17 3 6 5" xfId="31775" xr:uid="{00000000-0005-0000-0000-00001E7C0000}"/>
    <cellStyle name="Normal 4 17 3 6 6" xfId="31776" xr:uid="{00000000-0005-0000-0000-00001F7C0000}"/>
    <cellStyle name="Normal 4 17 3 7" xfId="31777" xr:uid="{00000000-0005-0000-0000-0000207C0000}"/>
    <cellStyle name="Normal 4 17 3 7 2" xfId="31778" xr:uid="{00000000-0005-0000-0000-0000217C0000}"/>
    <cellStyle name="Normal 4 17 3 7 3" xfId="31779" xr:uid="{00000000-0005-0000-0000-0000227C0000}"/>
    <cellStyle name="Normal 4 17 3 7 4" xfId="31780" xr:uid="{00000000-0005-0000-0000-0000237C0000}"/>
    <cellStyle name="Normal 4 17 3 7 5" xfId="31781" xr:uid="{00000000-0005-0000-0000-0000247C0000}"/>
    <cellStyle name="Normal 4 17 3 7 6" xfId="31782" xr:uid="{00000000-0005-0000-0000-0000257C0000}"/>
    <cellStyle name="Normal 4 17 3 8" xfId="31783" xr:uid="{00000000-0005-0000-0000-0000267C0000}"/>
    <cellStyle name="Normal 4 17 3 9" xfId="31784" xr:uid="{00000000-0005-0000-0000-0000277C0000}"/>
    <cellStyle name="Normal 4 17 4" xfId="31785" xr:uid="{00000000-0005-0000-0000-0000287C0000}"/>
    <cellStyle name="Normal 4 17 4 10" xfId="31786" xr:uid="{00000000-0005-0000-0000-0000297C0000}"/>
    <cellStyle name="Normal 4 17 4 11" xfId="31787" xr:uid="{00000000-0005-0000-0000-00002A7C0000}"/>
    <cellStyle name="Normal 4 17 4 12" xfId="31788" xr:uid="{00000000-0005-0000-0000-00002B7C0000}"/>
    <cellStyle name="Normal 4 17 4 2" xfId="31789" xr:uid="{00000000-0005-0000-0000-00002C7C0000}"/>
    <cellStyle name="Normal 4 17 4 2 10" xfId="31790" xr:uid="{00000000-0005-0000-0000-00002D7C0000}"/>
    <cellStyle name="Normal 4 17 4 2 11" xfId="31791" xr:uid="{00000000-0005-0000-0000-00002E7C0000}"/>
    <cellStyle name="Normal 4 17 4 2 2" xfId="31792" xr:uid="{00000000-0005-0000-0000-00002F7C0000}"/>
    <cellStyle name="Normal 4 17 4 2 2 2" xfId="31793" xr:uid="{00000000-0005-0000-0000-0000307C0000}"/>
    <cellStyle name="Normal 4 17 4 2 2 2 2" xfId="31794" xr:uid="{00000000-0005-0000-0000-0000317C0000}"/>
    <cellStyle name="Normal 4 17 4 2 2 2 3" xfId="31795" xr:uid="{00000000-0005-0000-0000-0000327C0000}"/>
    <cellStyle name="Normal 4 17 4 2 2 2 4" xfId="31796" xr:uid="{00000000-0005-0000-0000-0000337C0000}"/>
    <cellStyle name="Normal 4 17 4 2 2 2 5" xfId="31797" xr:uid="{00000000-0005-0000-0000-0000347C0000}"/>
    <cellStyle name="Normal 4 17 4 2 2 2 6" xfId="31798" xr:uid="{00000000-0005-0000-0000-0000357C0000}"/>
    <cellStyle name="Normal 4 17 4 2 2 3" xfId="31799" xr:uid="{00000000-0005-0000-0000-0000367C0000}"/>
    <cellStyle name="Normal 4 17 4 2 2 3 2" xfId="31800" xr:uid="{00000000-0005-0000-0000-0000377C0000}"/>
    <cellStyle name="Normal 4 17 4 2 2 3 3" xfId="31801" xr:uid="{00000000-0005-0000-0000-0000387C0000}"/>
    <cellStyle name="Normal 4 17 4 2 2 3 4" xfId="31802" xr:uid="{00000000-0005-0000-0000-0000397C0000}"/>
    <cellStyle name="Normal 4 17 4 2 2 3 5" xfId="31803" xr:uid="{00000000-0005-0000-0000-00003A7C0000}"/>
    <cellStyle name="Normal 4 17 4 2 2 3 6" xfId="31804" xr:uid="{00000000-0005-0000-0000-00003B7C0000}"/>
    <cellStyle name="Normal 4 17 4 2 2 4" xfId="31805" xr:uid="{00000000-0005-0000-0000-00003C7C0000}"/>
    <cellStyle name="Normal 4 17 4 2 2 5" xfId="31806" xr:uid="{00000000-0005-0000-0000-00003D7C0000}"/>
    <cellStyle name="Normal 4 17 4 2 2 6" xfId="31807" xr:uid="{00000000-0005-0000-0000-00003E7C0000}"/>
    <cellStyle name="Normal 4 17 4 2 2 7" xfId="31808" xr:uid="{00000000-0005-0000-0000-00003F7C0000}"/>
    <cellStyle name="Normal 4 17 4 2 2 8" xfId="31809" xr:uid="{00000000-0005-0000-0000-0000407C0000}"/>
    <cellStyle name="Normal 4 17 4 2 3" xfId="31810" xr:uid="{00000000-0005-0000-0000-0000417C0000}"/>
    <cellStyle name="Normal 4 17 4 2 3 2" xfId="31811" xr:uid="{00000000-0005-0000-0000-0000427C0000}"/>
    <cellStyle name="Normal 4 17 4 2 3 2 2" xfId="31812" xr:uid="{00000000-0005-0000-0000-0000437C0000}"/>
    <cellStyle name="Normal 4 17 4 2 3 2 3" xfId="31813" xr:uid="{00000000-0005-0000-0000-0000447C0000}"/>
    <cellStyle name="Normal 4 17 4 2 3 2 4" xfId="31814" xr:uid="{00000000-0005-0000-0000-0000457C0000}"/>
    <cellStyle name="Normal 4 17 4 2 3 2 5" xfId="31815" xr:uid="{00000000-0005-0000-0000-0000467C0000}"/>
    <cellStyle name="Normal 4 17 4 2 3 2 6" xfId="31816" xr:uid="{00000000-0005-0000-0000-0000477C0000}"/>
    <cellStyle name="Normal 4 17 4 2 3 3" xfId="31817" xr:uid="{00000000-0005-0000-0000-0000487C0000}"/>
    <cellStyle name="Normal 4 17 4 2 3 3 2" xfId="31818" xr:uid="{00000000-0005-0000-0000-0000497C0000}"/>
    <cellStyle name="Normal 4 17 4 2 3 3 3" xfId="31819" xr:uid="{00000000-0005-0000-0000-00004A7C0000}"/>
    <cellStyle name="Normal 4 17 4 2 3 3 4" xfId="31820" xr:uid="{00000000-0005-0000-0000-00004B7C0000}"/>
    <cellStyle name="Normal 4 17 4 2 3 3 5" xfId="31821" xr:uid="{00000000-0005-0000-0000-00004C7C0000}"/>
    <cellStyle name="Normal 4 17 4 2 3 3 6" xfId="31822" xr:uid="{00000000-0005-0000-0000-00004D7C0000}"/>
    <cellStyle name="Normal 4 17 4 2 3 4" xfId="31823" xr:uid="{00000000-0005-0000-0000-00004E7C0000}"/>
    <cellStyle name="Normal 4 17 4 2 3 5" xfId="31824" xr:uid="{00000000-0005-0000-0000-00004F7C0000}"/>
    <cellStyle name="Normal 4 17 4 2 3 6" xfId="31825" xr:uid="{00000000-0005-0000-0000-0000507C0000}"/>
    <cellStyle name="Normal 4 17 4 2 3 7" xfId="31826" xr:uid="{00000000-0005-0000-0000-0000517C0000}"/>
    <cellStyle name="Normal 4 17 4 2 3 8" xfId="31827" xr:uid="{00000000-0005-0000-0000-0000527C0000}"/>
    <cellStyle name="Normal 4 17 4 2 4" xfId="31828" xr:uid="{00000000-0005-0000-0000-0000537C0000}"/>
    <cellStyle name="Normal 4 17 4 2 4 2" xfId="31829" xr:uid="{00000000-0005-0000-0000-0000547C0000}"/>
    <cellStyle name="Normal 4 17 4 2 4 2 2" xfId="31830" xr:uid="{00000000-0005-0000-0000-0000557C0000}"/>
    <cellStyle name="Normal 4 17 4 2 4 2 3" xfId="31831" xr:uid="{00000000-0005-0000-0000-0000567C0000}"/>
    <cellStyle name="Normal 4 17 4 2 4 2 4" xfId="31832" xr:uid="{00000000-0005-0000-0000-0000577C0000}"/>
    <cellStyle name="Normal 4 17 4 2 4 2 5" xfId="31833" xr:uid="{00000000-0005-0000-0000-0000587C0000}"/>
    <cellStyle name="Normal 4 17 4 2 4 2 6" xfId="31834" xr:uid="{00000000-0005-0000-0000-0000597C0000}"/>
    <cellStyle name="Normal 4 17 4 2 4 3" xfId="31835" xr:uid="{00000000-0005-0000-0000-00005A7C0000}"/>
    <cellStyle name="Normal 4 17 4 2 4 3 2" xfId="31836" xr:uid="{00000000-0005-0000-0000-00005B7C0000}"/>
    <cellStyle name="Normal 4 17 4 2 4 3 3" xfId="31837" xr:uid="{00000000-0005-0000-0000-00005C7C0000}"/>
    <cellStyle name="Normal 4 17 4 2 4 3 4" xfId="31838" xr:uid="{00000000-0005-0000-0000-00005D7C0000}"/>
    <cellStyle name="Normal 4 17 4 2 4 3 5" xfId="31839" xr:uid="{00000000-0005-0000-0000-00005E7C0000}"/>
    <cellStyle name="Normal 4 17 4 2 4 3 6" xfId="31840" xr:uid="{00000000-0005-0000-0000-00005F7C0000}"/>
    <cellStyle name="Normal 4 17 4 2 4 4" xfId="31841" xr:uid="{00000000-0005-0000-0000-0000607C0000}"/>
    <cellStyle name="Normal 4 17 4 2 4 5" xfId="31842" xr:uid="{00000000-0005-0000-0000-0000617C0000}"/>
    <cellStyle name="Normal 4 17 4 2 4 6" xfId="31843" xr:uid="{00000000-0005-0000-0000-0000627C0000}"/>
    <cellStyle name="Normal 4 17 4 2 4 7" xfId="31844" xr:uid="{00000000-0005-0000-0000-0000637C0000}"/>
    <cellStyle name="Normal 4 17 4 2 4 8" xfId="31845" xr:uid="{00000000-0005-0000-0000-0000647C0000}"/>
    <cellStyle name="Normal 4 17 4 2 5" xfId="31846" xr:uid="{00000000-0005-0000-0000-0000657C0000}"/>
    <cellStyle name="Normal 4 17 4 2 5 2" xfId="31847" xr:uid="{00000000-0005-0000-0000-0000667C0000}"/>
    <cellStyle name="Normal 4 17 4 2 5 3" xfId="31848" xr:uid="{00000000-0005-0000-0000-0000677C0000}"/>
    <cellStyle name="Normal 4 17 4 2 5 4" xfId="31849" xr:uid="{00000000-0005-0000-0000-0000687C0000}"/>
    <cellStyle name="Normal 4 17 4 2 5 5" xfId="31850" xr:uid="{00000000-0005-0000-0000-0000697C0000}"/>
    <cellStyle name="Normal 4 17 4 2 5 6" xfId="31851" xr:uid="{00000000-0005-0000-0000-00006A7C0000}"/>
    <cellStyle name="Normal 4 17 4 2 6" xfId="31852" xr:uid="{00000000-0005-0000-0000-00006B7C0000}"/>
    <cellStyle name="Normal 4 17 4 2 6 2" xfId="31853" xr:uid="{00000000-0005-0000-0000-00006C7C0000}"/>
    <cellStyle name="Normal 4 17 4 2 6 3" xfId="31854" xr:uid="{00000000-0005-0000-0000-00006D7C0000}"/>
    <cellStyle name="Normal 4 17 4 2 6 4" xfId="31855" xr:uid="{00000000-0005-0000-0000-00006E7C0000}"/>
    <cellStyle name="Normal 4 17 4 2 6 5" xfId="31856" xr:uid="{00000000-0005-0000-0000-00006F7C0000}"/>
    <cellStyle name="Normal 4 17 4 2 6 6" xfId="31857" xr:uid="{00000000-0005-0000-0000-0000707C0000}"/>
    <cellStyle name="Normal 4 17 4 2 7" xfId="31858" xr:uid="{00000000-0005-0000-0000-0000717C0000}"/>
    <cellStyle name="Normal 4 17 4 2 8" xfId="31859" xr:uid="{00000000-0005-0000-0000-0000727C0000}"/>
    <cellStyle name="Normal 4 17 4 2 9" xfId="31860" xr:uid="{00000000-0005-0000-0000-0000737C0000}"/>
    <cellStyle name="Normal 4 17 4 3" xfId="31861" xr:uid="{00000000-0005-0000-0000-0000747C0000}"/>
    <cellStyle name="Normal 4 17 4 3 2" xfId="31862" xr:uid="{00000000-0005-0000-0000-0000757C0000}"/>
    <cellStyle name="Normal 4 17 4 3 2 2" xfId="31863" xr:uid="{00000000-0005-0000-0000-0000767C0000}"/>
    <cellStyle name="Normal 4 17 4 3 2 3" xfId="31864" xr:uid="{00000000-0005-0000-0000-0000777C0000}"/>
    <cellStyle name="Normal 4 17 4 3 2 4" xfId="31865" xr:uid="{00000000-0005-0000-0000-0000787C0000}"/>
    <cellStyle name="Normal 4 17 4 3 2 5" xfId="31866" xr:uid="{00000000-0005-0000-0000-0000797C0000}"/>
    <cellStyle name="Normal 4 17 4 3 2 6" xfId="31867" xr:uid="{00000000-0005-0000-0000-00007A7C0000}"/>
    <cellStyle name="Normal 4 17 4 3 3" xfId="31868" xr:uid="{00000000-0005-0000-0000-00007B7C0000}"/>
    <cellStyle name="Normal 4 17 4 3 3 2" xfId="31869" xr:uid="{00000000-0005-0000-0000-00007C7C0000}"/>
    <cellStyle name="Normal 4 17 4 3 3 3" xfId="31870" xr:uid="{00000000-0005-0000-0000-00007D7C0000}"/>
    <cellStyle name="Normal 4 17 4 3 3 4" xfId="31871" xr:uid="{00000000-0005-0000-0000-00007E7C0000}"/>
    <cellStyle name="Normal 4 17 4 3 3 5" xfId="31872" xr:uid="{00000000-0005-0000-0000-00007F7C0000}"/>
    <cellStyle name="Normal 4 17 4 3 3 6" xfId="31873" xr:uid="{00000000-0005-0000-0000-0000807C0000}"/>
    <cellStyle name="Normal 4 17 4 3 4" xfId="31874" xr:uid="{00000000-0005-0000-0000-0000817C0000}"/>
    <cellStyle name="Normal 4 17 4 3 5" xfId="31875" xr:uid="{00000000-0005-0000-0000-0000827C0000}"/>
    <cellStyle name="Normal 4 17 4 3 6" xfId="31876" xr:uid="{00000000-0005-0000-0000-0000837C0000}"/>
    <cellStyle name="Normal 4 17 4 3 7" xfId="31877" xr:uid="{00000000-0005-0000-0000-0000847C0000}"/>
    <cellStyle name="Normal 4 17 4 3 8" xfId="31878" xr:uid="{00000000-0005-0000-0000-0000857C0000}"/>
    <cellStyle name="Normal 4 17 4 4" xfId="31879" xr:uid="{00000000-0005-0000-0000-0000867C0000}"/>
    <cellStyle name="Normal 4 17 4 4 2" xfId="31880" xr:uid="{00000000-0005-0000-0000-0000877C0000}"/>
    <cellStyle name="Normal 4 17 4 4 2 2" xfId="31881" xr:uid="{00000000-0005-0000-0000-0000887C0000}"/>
    <cellStyle name="Normal 4 17 4 4 2 3" xfId="31882" xr:uid="{00000000-0005-0000-0000-0000897C0000}"/>
    <cellStyle name="Normal 4 17 4 4 2 4" xfId="31883" xr:uid="{00000000-0005-0000-0000-00008A7C0000}"/>
    <cellStyle name="Normal 4 17 4 4 2 5" xfId="31884" xr:uid="{00000000-0005-0000-0000-00008B7C0000}"/>
    <cellStyle name="Normal 4 17 4 4 2 6" xfId="31885" xr:uid="{00000000-0005-0000-0000-00008C7C0000}"/>
    <cellStyle name="Normal 4 17 4 4 3" xfId="31886" xr:uid="{00000000-0005-0000-0000-00008D7C0000}"/>
    <cellStyle name="Normal 4 17 4 4 3 2" xfId="31887" xr:uid="{00000000-0005-0000-0000-00008E7C0000}"/>
    <cellStyle name="Normal 4 17 4 4 3 3" xfId="31888" xr:uid="{00000000-0005-0000-0000-00008F7C0000}"/>
    <cellStyle name="Normal 4 17 4 4 3 4" xfId="31889" xr:uid="{00000000-0005-0000-0000-0000907C0000}"/>
    <cellStyle name="Normal 4 17 4 4 3 5" xfId="31890" xr:uid="{00000000-0005-0000-0000-0000917C0000}"/>
    <cellStyle name="Normal 4 17 4 4 3 6" xfId="31891" xr:uid="{00000000-0005-0000-0000-0000927C0000}"/>
    <cellStyle name="Normal 4 17 4 4 4" xfId="31892" xr:uid="{00000000-0005-0000-0000-0000937C0000}"/>
    <cellStyle name="Normal 4 17 4 4 5" xfId="31893" xr:uid="{00000000-0005-0000-0000-0000947C0000}"/>
    <cellStyle name="Normal 4 17 4 4 6" xfId="31894" xr:uid="{00000000-0005-0000-0000-0000957C0000}"/>
    <cellStyle name="Normal 4 17 4 4 7" xfId="31895" xr:uid="{00000000-0005-0000-0000-0000967C0000}"/>
    <cellStyle name="Normal 4 17 4 4 8" xfId="31896" xr:uid="{00000000-0005-0000-0000-0000977C0000}"/>
    <cellStyle name="Normal 4 17 4 5" xfId="31897" xr:uid="{00000000-0005-0000-0000-0000987C0000}"/>
    <cellStyle name="Normal 4 17 4 5 2" xfId="31898" xr:uid="{00000000-0005-0000-0000-0000997C0000}"/>
    <cellStyle name="Normal 4 17 4 5 2 2" xfId="31899" xr:uid="{00000000-0005-0000-0000-00009A7C0000}"/>
    <cellStyle name="Normal 4 17 4 5 2 3" xfId="31900" xr:uid="{00000000-0005-0000-0000-00009B7C0000}"/>
    <cellStyle name="Normal 4 17 4 5 2 4" xfId="31901" xr:uid="{00000000-0005-0000-0000-00009C7C0000}"/>
    <cellStyle name="Normal 4 17 4 5 2 5" xfId="31902" xr:uid="{00000000-0005-0000-0000-00009D7C0000}"/>
    <cellStyle name="Normal 4 17 4 5 2 6" xfId="31903" xr:uid="{00000000-0005-0000-0000-00009E7C0000}"/>
    <cellStyle name="Normal 4 17 4 5 3" xfId="31904" xr:uid="{00000000-0005-0000-0000-00009F7C0000}"/>
    <cellStyle name="Normal 4 17 4 5 3 2" xfId="31905" xr:uid="{00000000-0005-0000-0000-0000A07C0000}"/>
    <cellStyle name="Normal 4 17 4 5 3 3" xfId="31906" xr:uid="{00000000-0005-0000-0000-0000A17C0000}"/>
    <cellStyle name="Normal 4 17 4 5 3 4" xfId="31907" xr:uid="{00000000-0005-0000-0000-0000A27C0000}"/>
    <cellStyle name="Normal 4 17 4 5 3 5" xfId="31908" xr:uid="{00000000-0005-0000-0000-0000A37C0000}"/>
    <cellStyle name="Normal 4 17 4 5 3 6" xfId="31909" xr:uid="{00000000-0005-0000-0000-0000A47C0000}"/>
    <cellStyle name="Normal 4 17 4 5 4" xfId="31910" xr:uid="{00000000-0005-0000-0000-0000A57C0000}"/>
    <cellStyle name="Normal 4 17 4 5 5" xfId="31911" xr:uid="{00000000-0005-0000-0000-0000A67C0000}"/>
    <cellStyle name="Normal 4 17 4 5 6" xfId="31912" xr:uid="{00000000-0005-0000-0000-0000A77C0000}"/>
    <cellStyle name="Normal 4 17 4 5 7" xfId="31913" xr:uid="{00000000-0005-0000-0000-0000A87C0000}"/>
    <cellStyle name="Normal 4 17 4 5 8" xfId="31914" xr:uid="{00000000-0005-0000-0000-0000A97C0000}"/>
    <cellStyle name="Normal 4 17 4 6" xfId="31915" xr:uid="{00000000-0005-0000-0000-0000AA7C0000}"/>
    <cellStyle name="Normal 4 17 4 6 2" xfId="31916" xr:uid="{00000000-0005-0000-0000-0000AB7C0000}"/>
    <cellStyle name="Normal 4 17 4 6 3" xfId="31917" xr:uid="{00000000-0005-0000-0000-0000AC7C0000}"/>
    <cellStyle name="Normal 4 17 4 6 4" xfId="31918" xr:uid="{00000000-0005-0000-0000-0000AD7C0000}"/>
    <cellStyle name="Normal 4 17 4 6 5" xfId="31919" xr:uid="{00000000-0005-0000-0000-0000AE7C0000}"/>
    <cellStyle name="Normal 4 17 4 6 6" xfId="31920" xr:uid="{00000000-0005-0000-0000-0000AF7C0000}"/>
    <cellStyle name="Normal 4 17 4 7" xfId="31921" xr:uid="{00000000-0005-0000-0000-0000B07C0000}"/>
    <cellStyle name="Normal 4 17 4 7 2" xfId="31922" xr:uid="{00000000-0005-0000-0000-0000B17C0000}"/>
    <cellStyle name="Normal 4 17 4 7 3" xfId="31923" xr:uid="{00000000-0005-0000-0000-0000B27C0000}"/>
    <cellStyle name="Normal 4 17 4 7 4" xfId="31924" xr:uid="{00000000-0005-0000-0000-0000B37C0000}"/>
    <cellStyle name="Normal 4 17 4 7 5" xfId="31925" xr:uid="{00000000-0005-0000-0000-0000B47C0000}"/>
    <cellStyle name="Normal 4 17 4 7 6" xfId="31926" xr:uid="{00000000-0005-0000-0000-0000B57C0000}"/>
    <cellStyle name="Normal 4 17 4 8" xfId="31927" xr:uid="{00000000-0005-0000-0000-0000B67C0000}"/>
    <cellStyle name="Normal 4 17 4 9" xfId="31928" xr:uid="{00000000-0005-0000-0000-0000B77C0000}"/>
    <cellStyle name="Normal 4 17 5" xfId="31929" xr:uid="{00000000-0005-0000-0000-0000B87C0000}"/>
    <cellStyle name="Normal 4 17 5 10" xfId="31930" xr:uid="{00000000-0005-0000-0000-0000B97C0000}"/>
    <cellStyle name="Normal 4 17 5 11" xfId="31931" xr:uid="{00000000-0005-0000-0000-0000BA7C0000}"/>
    <cellStyle name="Normal 4 17 5 2" xfId="31932" xr:uid="{00000000-0005-0000-0000-0000BB7C0000}"/>
    <cellStyle name="Normal 4 17 5 2 2" xfId="31933" xr:uid="{00000000-0005-0000-0000-0000BC7C0000}"/>
    <cellStyle name="Normal 4 17 5 2 2 2" xfId="31934" xr:uid="{00000000-0005-0000-0000-0000BD7C0000}"/>
    <cellStyle name="Normal 4 17 5 2 2 3" xfId="31935" xr:uid="{00000000-0005-0000-0000-0000BE7C0000}"/>
    <cellStyle name="Normal 4 17 5 2 2 4" xfId="31936" xr:uid="{00000000-0005-0000-0000-0000BF7C0000}"/>
    <cellStyle name="Normal 4 17 5 2 2 5" xfId="31937" xr:uid="{00000000-0005-0000-0000-0000C07C0000}"/>
    <cellStyle name="Normal 4 17 5 2 2 6" xfId="31938" xr:uid="{00000000-0005-0000-0000-0000C17C0000}"/>
    <cellStyle name="Normal 4 17 5 2 3" xfId="31939" xr:uid="{00000000-0005-0000-0000-0000C27C0000}"/>
    <cellStyle name="Normal 4 17 5 2 3 2" xfId="31940" xr:uid="{00000000-0005-0000-0000-0000C37C0000}"/>
    <cellStyle name="Normal 4 17 5 2 3 3" xfId="31941" xr:uid="{00000000-0005-0000-0000-0000C47C0000}"/>
    <cellStyle name="Normal 4 17 5 2 3 4" xfId="31942" xr:uid="{00000000-0005-0000-0000-0000C57C0000}"/>
    <cellStyle name="Normal 4 17 5 2 3 5" xfId="31943" xr:uid="{00000000-0005-0000-0000-0000C67C0000}"/>
    <cellStyle name="Normal 4 17 5 2 3 6" xfId="31944" xr:uid="{00000000-0005-0000-0000-0000C77C0000}"/>
    <cellStyle name="Normal 4 17 5 2 4" xfId="31945" xr:uid="{00000000-0005-0000-0000-0000C87C0000}"/>
    <cellStyle name="Normal 4 17 5 2 5" xfId="31946" xr:uid="{00000000-0005-0000-0000-0000C97C0000}"/>
    <cellStyle name="Normal 4 17 5 2 6" xfId="31947" xr:uid="{00000000-0005-0000-0000-0000CA7C0000}"/>
    <cellStyle name="Normal 4 17 5 2 7" xfId="31948" xr:uid="{00000000-0005-0000-0000-0000CB7C0000}"/>
    <cellStyle name="Normal 4 17 5 2 8" xfId="31949" xr:uid="{00000000-0005-0000-0000-0000CC7C0000}"/>
    <cellStyle name="Normal 4 17 5 3" xfId="31950" xr:uid="{00000000-0005-0000-0000-0000CD7C0000}"/>
    <cellStyle name="Normal 4 17 5 3 2" xfId="31951" xr:uid="{00000000-0005-0000-0000-0000CE7C0000}"/>
    <cellStyle name="Normal 4 17 5 3 2 2" xfId="31952" xr:uid="{00000000-0005-0000-0000-0000CF7C0000}"/>
    <cellStyle name="Normal 4 17 5 3 2 3" xfId="31953" xr:uid="{00000000-0005-0000-0000-0000D07C0000}"/>
    <cellStyle name="Normal 4 17 5 3 2 4" xfId="31954" xr:uid="{00000000-0005-0000-0000-0000D17C0000}"/>
    <cellStyle name="Normal 4 17 5 3 2 5" xfId="31955" xr:uid="{00000000-0005-0000-0000-0000D27C0000}"/>
    <cellStyle name="Normal 4 17 5 3 2 6" xfId="31956" xr:uid="{00000000-0005-0000-0000-0000D37C0000}"/>
    <cellStyle name="Normal 4 17 5 3 3" xfId="31957" xr:uid="{00000000-0005-0000-0000-0000D47C0000}"/>
    <cellStyle name="Normal 4 17 5 3 3 2" xfId="31958" xr:uid="{00000000-0005-0000-0000-0000D57C0000}"/>
    <cellStyle name="Normal 4 17 5 3 3 3" xfId="31959" xr:uid="{00000000-0005-0000-0000-0000D67C0000}"/>
    <cellStyle name="Normal 4 17 5 3 3 4" xfId="31960" xr:uid="{00000000-0005-0000-0000-0000D77C0000}"/>
    <cellStyle name="Normal 4 17 5 3 3 5" xfId="31961" xr:uid="{00000000-0005-0000-0000-0000D87C0000}"/>
    <cellStyle name="Normal 4 17 5 3 3 6" xfId="31962" xr:uid="{00000000-0005-0000-0000-0000D97C0000}"/>
    <cellStyle name="Normal 4 17 5 3 4" xfId="31963" xr:uid="{00000000-0005-0000-0000-0000DA7C0000}"/>
    <cellStyle name="Normal 4 17 5 3 5" xfId="31964" xr:uid="{00000000-0005-0000-0000-0000DB7C0000}"/>
    <cellStyle name="Normal 4 17 5 3 6" xfId="31965" xr:uid="{00000000-0005-0000-0000-0000DC7C0000}"/>
    <cellStyle name="Normal 4 17 5 3 7" xfId="31966" xr:uid="{00000000-0005-0000-0000-0000DD7C0000}"/>
    <cellStyle name="Normal 4 17 5 3 8" xfId="31967" xr:uid="{00000000-0005-0000-0000-0000DE7C0000}"/>
    <cellStyle name="Normal 4 17 5 4" xfId="31968" xr:uid="{00000000-0005-0000-0000-0000DF7C0000}"/>
    <cellStyle name="Normal 4 17 5 4 2" xfId="31969" xr:uid="{00000000-0005-0000-0000-0000E07C0000}"/>
    <cellStyle name="Normal 4 17 5 4 2 2" xfId="31970" xr:uid="{00000000-0005-0000-0000-0000E17C0000}"/>
    <cellStyle name="Normal 4 17 5 4 2 3" xfId="31971" xr:uid="{00000000-0005-0000-0000-0000E27C0000}"/>
    <cellStyle name="Normal 4 17 5 4 2 4" xfId="31972" xr:uid="{00000000-0005-0000-0000-0000E37C0000}"/>
    <cellStyle name="Normal 4 17 5 4 2 5" xfId="31973" xr:uid="{00000000-0005-0000-0000-0000E47C0000}"/>
    <cellStyle name="Normal 4 17 5 4 2 6" xfId="31974" xr:uid="{00000000-0005-0000-0000-0000E57C0000}"/>
    <cellStyle name="Normal 4 17 5 4 3" xfId="31975" xr:uid="{00000000-0005-0000-0000-0000E67C0000}"/>
    <cellStyle name="Normal 4 17 5 4 3 2" xfId="31976" xr:uid="{00000000-0005-0000-0000-0000E77C0000}"/>
    <cellStyle name="Normal 4 17 5 4 3 3" xfId="31977" xr:uid="{00000000-0005-0000-0000-0000E87C0000}"/>
    <cellStyle name="Normal 4 17 5 4 3 4" xfId="31978" xr:uid="{00000000-0005-0000-0000-0000E97C0000}"/>
    <cellStyle name="Normal 4 17 5 4 3 5" xfId="31979" xr:uid="{00000000-0005-0000-0000-0000EA7C0000}"/>
    <cellStyle name="Normal 4 17 5 4 3 6" xfId="31980" xr:uid="{00000000-0005-0000-0000-0000EB7C0000}"/>
    <cellStyle name="Normal 4 17 5 4 4" xfId="31981" xr:uid="{00000000-0005-0000-0000-0000EC7C0000}"/>
    <cellStyle name="Normal 4 17 5 4 5" xfId="31982" xr:uid="{00000000-0005-0000-0000-0000ED7C0000}"/>
    <cellStyle name="Normal 4 17 5 4 6" xfId="31983" xr:uid="{00000000-0005-0000-0000-0000EE7C0000}"/>
    <cellStyle name="Normal 4 17 5 4 7" xfId="31984" xr:uid="{00000000-0005-0000-0000-0000EF7C0000}"/>
    <cellStyle name="Normal 4 17 5 4 8" xfId="31985" xr:uid="{00000000-0005-0000-0000-0000F07C0000}"/>
    <cellStyle name="Normal 4 17 5 5" xfId="31986" xr:uid="{00000000-0005-0000-0000-0000F17C0000}"/>
    <cellStyle name="Normal 4 17 5 5 2" xfId="31987" xr:uid="{00000000-0005-0000-0000-0000F27C0000}"/>
    <cellStyle name="Normal 4 17 5 5 3" xfId="31988" xr:uid="{00000000-0005-0000-0000-0000F37C0000}"/>
    <cellStyle name="Normal 4 17 5 5 4" xfId="31989" xr:uid="{00000000-0005-0000-0000-0000F47C0000}"/>
    <cellStyle name="Normal 4 17 5 5 5" xfId="31990" xr:uid="{00000000-0005-0000-0000-0000F57C0000}"/>
    <cellStyle name="Normal 4 17 5 5 6" xfId="31991" xr:uid="{00000000-0005-0000-0000-0000F67C0000}"/>
    <cellStyle name="Normal 4 17 5 6" xfId="31992" xr:uid="{00000000-0005-0000-0000-0000F77C0000}"/>
    <cellStyle name="Normal 4 17 5 6 2" xfId="31993" xr:uid="{00000000-0005-0000-0000-0000F87C0000}"/>
    <cellStyle name="Normal 4 17 5 6 3" xfId="31994" xr:uid="{00000000-0005-0000-0000-0000F97C0000}"/>
    <cellStyle name="Normal 4 17 5 6 4" xfId="31995" xr:uid="{00000000-0005-0000-0000-0000FA7C0000}"/>
    <cellStyle name="Normal 4 17 5 6 5" xfId="31996" xr:uid="{00000000-0005-0000-0000-0000FB7C0000}"/>
    <cellStyle name="Normal 4 17 5 6 6" xfId="31997" xr:uid="{00000000-0005-0000-0000-0000FC7C0000}"/>
    <cellStyle name="Normal 4 17 5 7" xfId="31998" xr:uid="{00000000-0005-0000-0000-0000FD7C0000}"/>
    <cellStyle name="Normal 4 17 5 8" xfId="31999" xr:uid="{00000000-0005-0000-0000-0000FE7C0000}"/>
    <cellStyle name="Normal 4 17 5 9" xfId="32000" xr:uid="{00000000-0005-0000-0000-0000FF7C0000}"/>
    <cellStyle name="Normal 4 17 6" xfId="32001" xr:uid="{00000000-0005-0000-0000-0000007D0000}"/>
    <cellStyle name="Normal 4 17 6 2" xfId="32002" xr:uid="{00000000-0005-0000-0000-0000017D0000}"/>
    <cellStyle name="Normal 4 17 6 2 2" xfId="32003" xr:uid="{00000000-0005-0000-0000-0000027D0000}"/>
    <cellStyle name="Normal 4 17 6 2 3" xfId="32004" xr:uid="{00000000-0005-0000-0000-0000037D0000}"/>
    <cellStyle name="Normal 4 17 6 2 4" xfId="32005" xr:uid="{00000000-0005-0000-0000-0000047D0000}"/>
    <cellStyle name="Normal 4 17 6 2 5" xfId="32006" xr:uid="{00000000-0005-0000-0000-0000057D0000}"/>
    <cellStyle name="Normal 4 17 6 2 6" xfId="32007" xr:uid="{00000000-0005-0000-0000-0000067D0000}"/>
    <cellStyle name="Normal 4 17 6 3" xfId="32008" xr:uid="{00000000-0005-0000-0000-0000077D0000}"/>
    <cellStyle name="Normal 4 17 6 3 2" xfId="32009" xr:uid="{00000000-0005-0000-0000-0000087D0000}"/>
    <cellStyle name="Normal 4 17 6 3 3" xfId="32010" xr:uid="{00000000-0005-0000-0000-0000097D0000}"/>
    <cellStyle name="Normal 4 17 6 3 4" xfId="32011" xr:uid="{00000000-0005-0000-0000-00000A7D0000}"/>
    <cellStyle name="Normal 4 17 6 3 5" xfId="32012" xr:uid="{00000000-0005-0000-0000-00000B7D0000}"/>
    <cellStyle name="Normal 4 17 6 3 6" xfId="32013" xr:uid="{00000000-0005-0000-0000-00000C7D0000}"/>
    <cellStyle name="Normal 4 17 6 4" xfId="32014" xr:uid="{00000000-0005-0000-0000-00000D7D0000}"/>
    <cellStyle name="Normal 4 17 6 5" xfId="32015" xr:uid="{00000000-0005-0000-0000-00000E7D0000}"/>
    <cellStyle name="Normal 4 17 6 6" xfId="32016" xr:uid="{00000000-0005-0000-0000-00000F7D0000}"/>
    <cellStyle name="Normal 4 17 6 7" xfId="32017" xr:uid="{00000000-0005-0000-0000-0000107D0000}"/>
    <cellStyle name="Normal 4 17 6 8" xfId="32018" xr:uid="{00000000-0005-0000-0000-0000117D0000}"/>
    <cellStyle name="Normal 4 17 7" xfId="32019" xr:uid="{00000000-0005-0000-0000-0000127D0000}"/>
    <cellStyle name="Normal 4 17 7 2" xfId="32020" xr:uid="{00000000-0005-0000-0000-0000137D0000}"/>
    <cellStyle name="Normal 4 17 7 2 2" xfId="32021" xr:uid="{00000000-0005-0000-0000-0000147D0000}"/>
    <cellStyle name="Normal 4 17 7 2 3" xfId="32022" xr:uid="{00000000-0005-0000-0000-0000157D0000}"/>
    <cellStyle name="Normal 4 17 7 2 4" xfId="32023" xr:uid="{00000000-0005-0000-0000-0000167D0000}"/>
    <cellStyle name="Normal 4 17 7 2 5" xfId="32024" xr:uid="{00000000-0005-0000-0000-0000177D0000}"/>
    <cellStyle name="Normal 4 17 7 2 6" xfId="32025" xr:uid="{00000000-0005-0000-0000-0000187D0000}"/>
    <cellStyle name="Normal 4 17 7 3" xfId="32026" xr:uid="{00000000-0005-0000-0000-0000197D0000}"/>
    <cellStyle name="Normal 4 17 7 3 2" xfId="32027" xr:uid="{00000000-0005-0000-0000-00001A7D0000}"/>
    <cellStyle name="Normal 4 17 7 3 3" xfId="32028" xr:uid="{00000000-0005-0000-0000-00001B7D0000}"/>
    <cellStyle name="Normal 4 17 7 3 4" xfId="32029" xr:uid="{00000000-0005-0000-0000-00001C7D0000}"/>
    <cellStyle name="Normal 4 17 7 3 5" xfId="32030" xr:uid="{00000000-0005-0000-0000-00001D7D0000}"/>
    <cellStyle name="Normal 4 17 7 3 6" xfId="32031" xr:uid="{00000000-0005-0000-0000-00001E7D0000}"/>
    <cellStyle name="Normal 4 17 7 4" xfId="32032" xr:uid="{00000000-0005-0000-0000-00001F7D0000}"/>
    <cellStyle name="Normal 4 17 7 5" xfId="32033" xr:uid="{00000000-0005-0000-0000-0000207D0000}"/>
    <cellStyle name="Normal 4 17 7 6" xfId="32034" xr:uid="{00000000-0005-0000-0000-0000217D0000}"/>
    <cellStyle name="Normal 4 17 7 7" xfId="32035" xr:uid="{00000000-0005-0000-0000-0000227D0000}"/>
    <cellStyle name="Normal 4 17 7 8" xfId="32036" xr:uid="{00000000-0005-0000-0000-0000237D0000}"/>
    <cellStyle name="Normal 4 17 8" xfId="32037" xr:uid="{00000000-0005-0000-0000-0000247D0000}"/>
    <cellStyle name="Normal 4 17 8 2" xfId="32038" xr:uid="{00000000-0005-0000-0000-0000257D0000}"/>
    <cellStyle name="Normal 4 17 8 2 2" xfId="32039" xr:uid="{00000000-0005-0000-0000-0000267D0000}"/>
    <cellStyle name="Normal 4 17 8 2 3" xfId="32040" xr:uid="{00000000-0005-0000-0000-0000277D0000}"/>
    <cellStyle name="Normal 4 17 8 2 4" xfId="32041" xr:uid="{00000000-0005-0000-0000-0000287D0000}"/>
    <cellStyle name="Normal 4 17 8 2 5" xfId="32042" xr:uid="{00000000-0005-0000-0000-0000297D0000}"/>
    <cellStyle name="Normal 4 17 8 2 6" xfId="32043" xr:uid="{00000000-0005-0000-0000-00002A7D0000}"/>
    <cellStyle name="Normal 4 17 8 3" xfId="32044" xr:uid="{00000000-0005-0000-0000-00002B7D0000}"/>
    <cellStyle name="Normal 4 17 8 3 2" xfId="32045" xr:uid="{00000000-0005-0000-0000-00002C7D0000}"/>
    <cellStyle name="Normal 4 17 8 3 3" xfId="32046" xr:uid="{00000000-0005-0000-0000-00002D7D0000}"/>
    <cellStyle name="Normal 4 17 8 3 4" xfId="32047" xr:uid="{00000000-0005-0000-0000-00002E7D0000}"/>
    <cellStyle name="Normal 4 17 8 3 5" xfId="32048" xr:uid="{00000000-0005-0000-0000-00002F7D0000}"/>
    <cellStyle name="Normal 4 17 8 3 6" xfId="32049" xr:uid="{00000000-0005-0000-0000-0000307D0000}"/>
    <cellStyle name="Normal 4 17 8 4" xfId="32050" xr:uid="{00000000-0005-0000-0000-0000317D0000}"/>
    <cellStyle name="Normal 4 17 8 5" xfId="32051" xr:uid="{00000000-0005-0000-0000-0000327D0000}"/>
    <cellStyle name="Normal 4 17 8 6" xfId="32052" xr:uid="{00000000-0005-0000-0000-0000337D0000}"/>
    <cellStyle name="Normal 4 17 8 7" xfId="32053" xr:uid="{00000000-0005-0000-0000-0000347D0000}"/>
    <cellStyle name="Normal 4 17 8 8" xfId="32054" xr:uid="{00000000-0005-0000-0000-0000357D0000}"/>
    <cellStyle name="Normal 4 17 9" xfId="32055" xr:uid="{00000000-0005-0000-0000-0000367D0000}"/>
    <cellStyle name="Normal 4 17 9 2" xfId="32056" xr:uid="{00000000-0005-0000-0000-0000377D0000}"/>
    <cellStyle name="Normal 4 17 9 3" xfId="32057" xr:uid="{00000000-0005-0000-0000-0000387D0000}"/>
    <cellStyle name="Normal 4 17 9 4" xfId="32058" xr:uid="{00000000-0005-0000-0000-0000397D0000}"/>
    <cellStyle name="Normal 4 17 9 5" xfId="32059" xr:uid="{00000000-0005-0000-0000-00003A7D0000}"/>
    <cellStyle name="Normal 4 17 9 6" xfId="32060" xr:uid="{00000000-0005-0000-0000-00003B7D0000}"/>
    <cellStyle name="Normal 4 18" xfId="32061" xr:uid="{00000000-0005-0000-0000-00003C7D0000}"/>
    <cellStyle name="Normal 4 18 10" xfId="32062" xr:uid="{00000000-0005-0000-0000-00003D7D0000}"/>
    <cellStyle name="Normal 4 18 11" xfId="32063" xr:uid="{00000000-0005-0000-0000-00003E7D0000}"/>
    <cellStyle name="Normal 4 18 12" xfId="32064" xr:uid="{00000000-0005-0000-0000-00003F7D0000}"/>
    <cellStyle name="Normal 4 18 13" xfId="32065" xr:uid="{00000000-0005-0000-0000-0000407D0000}"/>
    <cellStyle name="Normal 4 18 2" xfId="32066" xr:uid="{00000000-0005-0000-0000-0000417D0000}"/>
    <cellStyle name="Normal 4 18 2 10" xfId="32067" xr:uid="{00000000-0005-0000-0000-0000427D0000}"/>
    <cellStyle name="Normal 4 18 2 11" xfId="32068" xr:uid="{00000000-0005-0000-0000-0000437D0000}"/>
    <cellStyle name="Normal 4 18 2 2" xfId="32069" xr:uid="{00000000-0005-0000-0000-0000447D0000}"/>
    <cellStyle name="Normal 4 18 2 2 2" xfId="32070" xr:uid="{00000000-0005-0000-0000-0000457D0000}"/>
    <cellStyle name="Normal 4 18 2 2 2 2" xfId="32071" xr:uid="{00000000-0005-0000-0000-0000467D0000}"/>
    <cellStyle name="Normal 4 18 2 2 2 3" xfId="32072" xr:uid="{00000000-0005-0000-0000-0000477D0000}"/>
    <cellStyle name="Normal 4 18 2 2 2 4" xfId="32073" xr:uid="{00000000-0005-0000-0000-0000487D0000}"/>
    <cellStyle name="Normal 4 18 2 2 2 5" xfId="32074" xr:uid="{00000000-0005-0000-0000-0000497D0000}"/>
    <cellStyle name="Normal 4 18 2 2 2 6" xfId="32075" xr:uid="{00000000-0005-0000-0000-00004A7D0000}"/>
    <cellStyle name="Normal 4 18 2 2 3" xfId="32076" xr:uid="{00000000-0005-0000-0000-00004B7D0000}"/>
    <cellStyle name="Normal 4 18 2 2 3 2" xfId="32077" xr:uid="{00000000-0005-0000-0000-00004C7D0000}"/>
    <cellStyle name="Normal 4 18 2 2 3 3" xfId="32078" xr:uid="{00000000-0005-0000-0000-00004D7D0000}"/>
    <cellStyle name="Normal 4 18 2 2 3 4" xfId="32079" xr:uid="{00000000-0005-0000-0000-00004E7D0000}"/>
    <cellStyle name="Normal 4 18 2 2 3 5" xfId="32080" xr:uid="{00000000-0005-0000-0000-00004F7D0000}"/>
    <cellStyle name="Normal 4 18 2 2 3 6" xfId="32081" xr:uid="{00000000-0005-0000-0000-0000507D0000}"/>
    <cellStyle name="Normal 4 18 2 2 4" xfId="32082" xr:uid="{00000000-0005-0000-0000-0000517D0000}"/>
    <cellStyle name="Normal 4 18 2 2 5" xfId="32083" xr:uid="{00000000-0005-0000-0000-0000527D0000}"/>
    <cellStyle name="Normal 4 18 2 2 6" xfId="32084" xr:uid="{00000000-0005-0000-0000-0000537D0000}"/>
    <cellStyle name="Normal 4 18 2 2 7" xfId="32085" xr:uid="{00000000-0005-0000-0000-0000547D0000}"/>
    <cellStyle name="Normal 4 18 2 2 8" xfId="32086" xr:uid="{00000000-0005-0000-0000-0000557D0000}"/>
    <cellStyle name="Normal 4 18 2 3" xfId="32087" xr:uid="{00000000-0005-0000-0000-0000567D0000}"/>
    <cellStyle name="Normal 4 18 2 3 2" xfId="32088" xr:uid="{00000000-0005-0000-0000-0000577D0000}"/>
    <cellStyle name="Normal 4 18 2 3 2 2" xfId="32089" xr:uid="{00000000-0005-0000-0000-0000587D0000}"/>
    <cellStyle name="Normal 4 18 2 3 2 3" xfId="32090" xr:uid="{00000000-0005-0000-0000-0000597D0000}"/>
    <cellStyle name="Normal 4 18 2 3 2 4" xfId="32091" xr:uid="{00000000-0005-0000-0000-00005A7D0000}"/>
    <cellStyle name="Normal 4 18 2 3 2 5" xfId="32092" xr:uid="{00000000-0005-0000-0000-00005B7D0000}"/>
    <cellStyle name="Normal 4 18 2 3 2 6" xfId="32093" xr:uid="{00000000-0005-0000-0000-00005C7D0000}"/>
    <cellStyle name="Normal 4 18 2 3 3" xfId="32094" xr:uid="{00000000-0005-0000-0000-00005D7D0000}"/>
    <cellStyle name="Normal 4 18 2 3 3 2" xfId="32095" xr:uid="{00000000-0005-0000-0000-00005E7D0000}"/>
    <cellStyle name="Normal 4 18 2 3 3 3" xfId="32096" xr:uid="{00000000-0005-0000-0000-00005F7D0000}"/>
    <cellStyle name="Normal 4 18 2 3 3 4" xfId="32097" xr:uid="{00000000-0005-0000-0000-0000607D0000}"/>
    <cellStyle name="Normal 4 18 2 3 3 5" xfId="32098" xr:uid="{00000000-0005-0000-0000-0000617D0000}"/>
    <cellStyle name="Normal 4 18 2 3 3 6" xfId="32099" xr:uid="{00000000-0005-0000-0000-0000627D0000}"/>
    <cellStyle name="Normal 4 18 2 3 4" xfId="32100" xr:uid="{00000000-0005-0000-0000-0000637D0000}"/>
    <cellStyle name="Normal 4 18 2 3 5" xfId="32101" xr:uid="{00000000-0005-0000-0000-0000647D0000}"/>
    <cellStyle name="Normal 4 18 2 3 6" xfId="32102" xr:uid="{00000000-0005-0000-0000-0000657D0000}"/>
    <cellStyle name="Normal 4 18 2 3 7" xfId="32103" xr:uid="{00000000-0005-0000-0000-0000667D0000}"/>
    <cellStyle name="Normal 4 18 2 3 8" xfId="32104" xr:uid="{00000000-0005-0000-0000-0000677D0000}"/>
    <cellStyle name="Normal 4 18 2 4" xfId="32105" xr:uid="{00000000-0005-0000-0000-0000687D0000}"/>
    <cellStyle name="Normal 4 18 2 4 2" xfId="32106" xr:uid="{00000000-0005-0000-0000-0000697D0000}"/>
    <cellStyle name="Normal 4 18 2 4 2 2" xfId="32107" xr:uid="{00000000-0005-0000-0000-00006A7D0000}"/>
    <cellStyle name="Normal 4 18 2 4 2 3" xfId="32108" xr:uid="{00000000-0005-0000-0000-00006B7D0000}"/>
    <cellStyle name="Normal 4 18 2 4 2 4" xfId="32109" xr:uid="{00000000-0005-0000-0000-00006C7D0000}"/>
    <cellStyle name="Normal 4 18 2 4 2 5" xfId="32110" xr:uid="{00000000-0005-0000-0000-00006D7D0000}"/>
    <cellStyle name="Normal 4 18 2 4 2 6" xfId="32111" xr:uid="{00000000-0005-0000-0000-00006E7D0000}"/>
    <cellStyle name="Normal 4 18 2 4 3" xfId="32112" xr:uid="{00000000-0005-0000-0000-00006F7D0000}"/>
    <cellStyle name="Normal 4 18 2 4 3 2" xfId="32113" xr:uid="{00000000-0005-0000-0000-0000707D0000}"/>
    <cellStyle name="Normal 4 18 2 4 3 3" xfId="32114" xr:uid="{00000000-0005-0000-0000-0000717D0000}"/>
    <cellStyle name="Normal 4 18 2 4 3 4" xfId="32115" xr:uid="{00000000-0005-0000-0000-0000727D0000}"/>
    <cellStyle name="Normal 4 18 2 4 3 5" xfId="32116" xr:uid="{00000000-0005-0000-0000-0000737D0000}"/>
    <cellStyle name="Normal 4 18 2 4 3 6" xfId="32117" xr:uid="{00000000-0005-0000-0000-0000747D0000}"/>
    <cellStyle name="Normal 4 18 2 4 4" xfId="32118" xr:uid="{00000000-0005-0000-0000-0000757D0000}"/>
    <cellStyle name="Normal 4 18 2 4 5" xfId="32119" xr:uid="{00000000-0005-0000-0000-0000767D0000}"/>
    <cellStyle name="Normal 4 18 2 4 6" xfId="32120" xr:uid="{00000000-0005-0000-0000-0000777D0000}"/>
    <cellStyle name="Normal 4 18 2 4 7" xfId="32121" xr:uid="{00000000-0005-0000-0000-0000787D0000}"/>
    <cellStyle name="Normal 4 18 2 4 8" xfId="32122" xr:uid="{00000000-0005-0000-0000-0000797D0000}"/>
    <cellStyle name="Normal 4 18 2 5" xfId="32123" xr:uid="{00000000-0005-0000-0000-00007A7D0000}"/>
    <cellStyle name="Normal 4 18 2 5 2" xfId="32124" xr:uid="{00000000-0005-0000-0000-00007B7D0000}"/>
    <cellStyle name="Normal 4 18 2 5 3" xfId="32125" xr:uid="{00000000-0005-0000-0000-00007C7D0000}"/>
    <cellStyle name="Normal 4 18 2 5 4" xfId="32126" xr:uid="{00000000-0005-0000-0000-00007D7D0000}"/>
    <cellStyle name="Normal 4 18 2 5 5" xfId="32127" xr:uid="{00000000-0005-0000-0000-00007E7D0000}"/>
    <cellStyle name="Normal 4 18 2 5 6" xfId="32128" xr:uid="{00000000-0005-0000-0000-00007F7D0000}"/>
    <cellStyle name="Normal 4 18 2 6" xfId="32129" xr:uid="{00000000-0005-0000-0000-0000807D0000}"/>
    <cellStyle name="Normal 4 18 2 6 2" xfId="32130" xr:uid="{00000000-0005-0000-0000-0000817D0000}"/>
    <cellStyle name="Normal 4 18 2 6 3" xfId="32131" xr:uid="{00000000-0005-0000-0000-0000827D0000}"/>
    <cellStyle name="Normal 4 18 2 6 4" xfId="32132" xr:uid="{00000000-0005-0000-0000-0000837D0000}"/>
    <cellStyle name="Normal 4 18 2 6 5" xfId="32133" xr:uid="{00000000-0005-0000-0000-0000847D0000}"/>
    <cellStyle name="Normal 4 18 2 6 6" xfId="32134" xr:uid="{00000000-0005-0000-0000-0000857D0000}"/>
    <cellStyle name="Normal 4 18 2 7" xfId="32135" xr:uid="{00000000-0005-0000-0000-0000867D0000}"/>
    <cellStyle name="Normal 4 18 2 8" xfId="32136" xr:uid="{00000000-0005-0000-0000-0000877D0000}"/>
    <cellStyle name="Normal 4 18 2 9" xfId="32137" xr:uid="{00000000-0005-0000-0000-0000887D0000}"/>
    <cellStyle name="Normal 4 18 3" xfId="32138" xr:uid="{00000000-0005-0000-0000-0000897D0000}"/>
    <cellStyle name="Normal 4 18 4" xfId="32139" xr:uid="{00000000-0005-0000-0000-00008A7D0000}"/>
    <cellStyle name="Normal 4 18 4 2" xfId="32140" xr:uid="{00000000-0005-0000-0000-00008B7D0000}"/>
    <cellStyle name="Normal 4 18 4 2 2" xfId="32141" xr:uid="{00000000-0005-0000-0000-00008C7D0000}"/>
    <cellStyle name="Normal 4 18 4 2 3" xfId="32142" xr:uid="{00000000-0005-0000-0000-00008D7D0000}"/>
    <cellStyle name="Normal 4 18 4 2 4" xfId="32143" xr:uid="{00000000-0005-0000-0000-00008E7D0000}"/>
    <cellStyle name="Normal 4 18 4 2 5" xfId="32144" xr:uid="{00000000-0005-0000-0000-00008F7D0000}"/>
    <cellStyle name="Normal 4 18 4 2 6" xfId="32145" xr:uid="{00000000-0005-0000-0000-0000907D0000}"/>
    <cellStyle name="Normal 4 18 4 3" xfId="32146" xr:uid="{00000000-0005-0000-0000-0000917D0000}"/>
    <cellStyle name="Normal 4 18 4 3 2" xfId="32147" xr:uid="{00000000-0005-0000-0000-0000927D0000}"/>
    <cellStyle name="Normal 4 18 4 3 3" xfId="32148" xr:uid="{00000000-0005-0000-0000-0000937D0000}"/>
    <cellStyle name="Normal 4 18 4 3 4" xfId="32149" xr:uid="{00000000-0005-0000-0000-0000947D0000}"/>
    <cellStyle name="Normal 4 18 4 3 5" xfId="32150" xr:uid="{00000000-0005-0000-0000-0000957D0000}"/>
    <cellStyle name="Normal 4 18 4 3 6" xfId="32151" xr:uid="{00000000-0005-0000-0000-0000967D0000}"/>
    <cellStyle name="Normal 4 18 4 4" xfId="32152" xr:uid="{00000000-0005-0000-0000-0000977D0000}"/>
    <cellStyle name="Normal 4 18 4 5" xfId="32153" xr:uid="{00000000-0005-0000-0000-0000987D0000}"/>
    <cellStyle name="Normal 4 18 4 6" xfId="32154" xr:uid="{00000000-0005-0000-0000-0000997D0000}"/>
    <cellStyle name="Normal 4 18 4 7" xfId="32155" xr:uid="{00000000-0005-0000-0000-00009A7D0000}"/>
    <cellStyle name="Normal 4 18 4 8" xfId="32156" xr:uid="{00000000-0005-0000-0000-00009B7D0000}"/>
    <cellStyle name="Normal 4 18 5" xfId="32157" xr:uid="{00000000-0005-0000-0000-00009C7D0000}"/>
    <cellStyle name="Normal 4 18 5 2" xfId="32158" xr:uid="{00000000-0005-0000-0000-00009D7D0000}"/>
    <cellStyle name="Normal 4 18 5 2 2" xfId="32159" xr:uid="{00000000-0005-0000-0000-00009E7D0000}"/>
    <cellStyle name="Normal 4 18 5 2 3" xfId="32160" xr:uid="{00000000-0005-0000-0000-00009F7D0000}"/>
    <cellStyle name="Normal 4 18 5 2 4" xfId="32161" xr:uid="{00000000-0005-0000-0000-0000A07D0000}"/>
    <cellStyle name="Normal 4 18 5 2 5" xfId="32162" xr:uid="{00000000-0005-0000-0000-0000A17D0000}"/>
    <cellStyle name="Normal 4 18 5 2 6" xfId="32163" xr:uid="{00000000-0005-0000-0000-0000A27D0000}"/>
    <cellStyle name="Normal 4 18 5 3" xfId="32164" xr:uid="{00000000-0005-0000-0000-0000A37D0000}"/>
    <cellStyle name="Normal 4 18 5 3 2" xfId="32165" xr:uid="{00000000-0005-0000-0000-0000A47D0000}"/>
    <cellStyle name="Normal 4 18 5 3 3" xfId="32166" xr:uid="{00000000-0005-0000-0000-0000A57D0000}"/>
    <cellStyle name="Normal 4 18 5 3 4" xfId="32167" xr:uid="{00000000-0005-0000-0000-0000A67D0000}"/>
    <cellStyle name="Normal 4 18 5 3 5" xfId="32168" xr:uid="{00000000-0005-0000-0000-0000A77D0000}"/>
    <cellStyle name="Normal 4 18 5 3 6" xfId="32169" xr:uid="{00000000-0005-0000-0000-0000A87D0000}"/>
    <cellStyle name="Normal 4 18 5 4" xfId="32170" xr:uid="{00000000-0005-0000-0000-0000A97D0000}"/>
    <cellStyle name="Normal 4 18 5 5" xfId="32171" xr:uid="{00000000-0005-0000-0000-0000AA7D0000}"/>
    <cellStyle name="Normal 4 18 5 6" xfId="32172" xr:uid="{00000000-0005-0000-0000-0000AB7D0000}"/>
    <cellStyle name="Normal 4 18 5 7" xfId="32173" xr:uid="{00000000-0005-0000-0000-0000AC7D0000}"/>
    <cellStyle name="Normal 4 18 5 8" xfId="32174" xr:uid="{00000000-0005-0000-0000-0000AD7D0000}"/>
    <cellStyle name="Normal 4 18 6" xfId="32175" xr:uid="{00000000-0005-0000-0000-0000AE7D0000}"/>
    <cellStyle name="Normal 4 18 6 2" xfId="32176" xr:uid="{00000000-0005-0000-0000-0000AF7D0000}"/>
    <cellStyle name="Normal 4 18 6 2 2" xfId="32177" xr:uid="{00000000-0005-0000-0000-0000B07D0000}"/>
    <cellStyle name="Normal 4 18 6 2 3" xfId="32178" xr:uid="{00000000-0005-0000-0000-0000B17D0000}"/>
    <cellStyle name="Normal 4 18 6 2 4" xfId="32179" xr:uid="{00000000-0005-0000-0000-0000B27D0000}"/>
    <cellStyle name="Normal 4 18 6 2 5" xfId="32180" xr:uid="{00000000-0005-0000-0000-0000B37D0000}"/>
    <cellStyle name="Normal 4 18 6 2 6" xfId="32181" xr:uid="{00000000-0005-0000-0000-0000B47D0000}"/>
    <cellStyle name="Normal 4 18 6 3" xfId="32182" xr:uid="{00000000-0005-0000-0000-0000B57D0000}"/>
    <cellStyle name="Normal 4 18 6 3 2" xfId="32183" xr:uid="{00000000-0005-0000-0000-0000B67D0000}"/>
    <cellStyle name="Normal 4 18 6 3 3" xfId="32184" xr:uid="{00000000-0005-0000-0000-0000B77D0000}"/>
    <cellStyle name="Normal 4 18 6 3 4" xfId="32185" xr:uid="{00000000-0005-0000-0000-0000B87D0000}"/>
    <cellStyle name="Normal 4 18 6 3 5" xfId="32186" xr:uid="{00000000-0005-0000-0000-0000B97D0000}"/>
    <cellStyle name="Normal 4 18 6 3 6" xfId="32187" xr:uid="{00000000-0005-0000-0000-0000BA7D0000}"/>
    <cellStyle name="Normal 4 18 6 4" xfId="32188" xr:uid="{00000000-0005-0000-0000-0000BB7D0000}"/>
    <cellStyle name="Normal 4 18 6 5" xfId="32189" xr:uid="{00000000-0005-0000-0000-0000BC7D0000}"/>
    <cellStyle name="Normal 4 18 6 6" xfId="32190" xr:uid="{00000000-0005-0000-0000-0000BD7D0000}"/>
    <cellStyle name="Normal 4 18 6 7" xfId="32191" xr:uid="{00000000-0005-0000-0000-0000BE7D0000}"/>
    <cellStyle name="Normal 4 18 6 8" xfId="32192" xr:uid="{00000000-0005-0000-0000-0000BF7D0000}"/>
    <cellStyle name="Normal 4 18 7" xfId="32193" xr:uid="{00000000-0005-0000-0000-0000C07D0000}"/>
    <cellStyle name="Normal 4 18 7 2" xfId="32194" xr:uid="{00000000-0005-0000-0000-0000C17D0000}"/>
    <cellStyle name="Normal 4 18 7 3" xfId="32195" xr:uid="{00000000-0005-0000-0000-0000C27D0000}"/>
    <cellStyle name="Normal 4 18 7 4" xfId="32196" xr:uid="{00000000-0005-0000-0000-0000C37D0000}"/>
    <cellStyle name="Normal 4 18 7 5" xfId="32197" xr:uid="{00000000-0005-0000-0000-0000C47D0000}"/>
    <cellStyle name="Normal 4 18 7 6" xfId="32198" xr:uid="{00000000-0005-0000-0000-0000C57D0000}"/>
    <cellStyle name="Normal 4 18 8" xfId="32199" xr:uid="{00000000-0005-0000-0000-0000C67D0000}"/>
    <cellStyle name="Normal 4 18 8 2" xfId="32200" xr:uid="{00000000-0005-0000-0000-0000C77D0000}"/>
    <cellStyle name="Normal 4 18 8 3" xfId="32201" xr:uid="{00000000-0005-0000-0000-0000C87D0000}"/>
    <cellStyle name="Normal 4 18 8 4" xfId="32202" xr:uid="{00000000-0005-0000-0000-0000C97D0000}"/>
    <cellStyle name="Normal 4 18 8 5" xfId="32203" xr:uid="{00000000-0005-0000-0000-0000CA7D0000}"/>
    <cellStyle name="Normal 4 18 8 6" xfId="32204" xr:uid="{00000000-0005-0000-0000-0000CB7D0000}"/>
    <cellStyle name="Normal 4 18 9" xfId="32205" xr:uid="{00000000-0005-0000-0000-0000CC7D0000}"/>
    <cellStyle name="Normal 4 19" xfId="32206" xr:uid="{00000000-0005-0000-0000-0000CD7D0000}"/>
    <cellStyle name="Normal 4 19 10" xfId="32207" xr:uid="{00000000-0005-0000-0000-0000CE7D0000}"/>
    <cellStyle name="Normal 4 19 11" xfId="32208" xr:uid="{00000000-0005-0000-0000-0000CF7D0000}"/>
    <cellStyle name="Normal 4 19 2" xfId="32209" xr:uid="{00000000-0005-0000-0000-0000D07D0000}"/>
    <cellStyle name="Normal 4 19 2 2" xfId="32210" xr:uid="{00000000-0005-0000-0000-0000D17D0000}"/>
    <cellStyle name="Normal 4 19 2 2 2" xfId="32211" xr:uid="{00000000-0005-0000-0000-0000D27D0000}"/>
    <cellStyle name="Normal 4 19 2 2 3" xfId="32212" xr:uid="{00000000-0005-0000-0000-0000D37D0000}"/>
    <cellStyle name="Normal 4 19 2 2 4" xfId="32213" xr:uid="{00000000-0005-0000-0000-0000D47D0000}"/>
    <cellStyle name="Normal 4 19 2 2 5" xfId="32214" xr:uid="{00000000-0005-0000-0000-0000D57D0000}"/>
    <cellStyle name="Normal 4 19 2 2 6" xfId="32215" xr:uid="{00000000-0005-0000-0000-0000D67D0000}"/>
    <cellStyle name="Normal 4 19 2 3" xfId="32216" xr:uid="{00000000-0005-0000-0000-0000D77D0000}"/>
    <cellStyle name="Normal 4 19 2 3 2" xfId="32217" xr:uid="{00000000-0005-0000-0000-0000D87D0000}"/>
    <cellStyle name="Normal 4 19 2 3 3" xfId="32218" xr:uid="{00000000-0005-0000-0000-0000D97D0000}"/>
    <cellStyle name="Normal 4 19 2 3 4" xfId="32219" xr:uid="{00000000-0005-0000-0000-0000DA7D0000}"/>
    <cellStyle name="Normal 4 19 2 3 5" xfId="32220" xr:uid="{00000000-0005-0000-0000-0000DB7D0000}"/>
    <cellStyle name="Normal 4 19 2 3 6" xfId="32221" xr:uid="{00000000-0005-0000-0000-0000DC7D0000}"/>
    <cellStyle name="Normal 4 19 2 4" xfId="32222" xr:uid="{00000000-0005-0000-0000-0000DD7D0000}"/>
    <cellStyle name="Normal 4 19 2 5" xfId="32223" xr:uid="{00000000-0005-0000-0000-0000DE7D0000}"/>
    <cellStyle name="Normal 4 19 2 6" xfId="32224" xr:uid="{00000000-0005-0000-0000-0000DF7D0000}"/>
    <cellStyle name="Normal 4 19 2 7" xfId="32225" xr:uid="{00000000-0005-0000-0000-0000E07D0000}"/>
    <cellStyle name="Normal 4 19 2 8" xfId="32226" xr:uid="{00000000-0005-0000-0000-0000E17D0000}"/>
    <cellStyle name="Normal 4 19 3" xfId="32227" xr:uid="{00000000-0005-0000-0000-0000E27D0000}"/>
    <cellStyle name="Normal 4 19 3 2" xfId="32228" xr:uid="{00000000-0005-0000-0000-0000E37D0000}"/>
    <cellStyle name="Normal 4 19 3 2 2" xfId="32229" xr:uid="{00000000-0005-0000-0000-0000E47D0000}"/>
    <cellStyle name="Normal 4 19 3 2 3" xfId="32230" xr:uid="{00000000-0005-0000-0000-0000E57D0000}"/>
    <cellStyle name="Normal 4 19 3 2 4" xfId="32231" xr:uid="{00000000-0005-0000-0000-0000E67D0000}"/>
    <cellStyle name="Normal 4 19 3 2 5" xfId="32232" xr:uid="{00000000-0005-0000-0000-0000E77D0000}"/>
    <cellStyle name="Normal 4 19 3 2 6" xfId="32233" xr:uid="{00000000-0005-0000-0000-0000E87D0000}"/>
    <cellStyle name="Normal 4 19 3 3" xfId="32234" xr:uid="{00000000-0005-0000-0000-0000E97D0000}"/>
    <cellStyle name="Normal 4 19 3 3 2" xfId="32235" xr:uid="{00000000-0005-0000-0000-0000EA7D0000}"/>
    <cellStyle name="Normal 4 19 3 3 3" xfId="32236" xr:uid="{00000000-0005-0000-0000-0000EB7D0000}"/>
    <cellStyle name="Normal 4 19 3 3 4" xfId="32237" xr:uid="{00000000-0005-0000-0000-0000EC7D0000}"/>
    <cellStyle name="Normal 4 19 3 3 5" xfId="32238" xr:uid="{00000000-0005-0000-0000-0000ED7D0000}"/>
    <cellStyle name="Normal 4 19 3 3 6" xfId="32239" xr:uid="{00000000-0005-0000-0000-0000EE7D0000}"/>
    <cellStyle name="Normal 4 19 3 4" xfId="32240" xr:uid="{00000000-0005-0000-0000-0000EF7D0000}"/>
    <cellStyle name="Normal 4 19 3 5" xfId="32241" xr:uid="{00000000-0005-0000-0000-0000F07D0000}"/>
    <cellStyle name="Normal 4 19 3 6" xfId="32242" xr:uid="{00000000-0005-0000-0000-0000F17D0000}"/>
    <cellStyle name="Normal 4 19 3 7" xfId="32243" xr:uid="{00000000-0005-0000-0000-0000F27D0000}"/>
    <cellStyle name="Normal 4 19 3 8" xfId="32244" xr:uid="{00000000-0005-0000-0000-0000F37D0000}"/>
    <cellStyle name="Normal 4 19 4" xfId="32245" xr:uid="{00000000-0005-0000-0000-0000F47D0000}"/>
    <cellStyle name="Normal 4 19 4 2" xfId="32246" xr:uid="{00000000-0005-0000-0000-0000F57D0000}"/>
    <cellStyle name="Normal 4 19 4 2 2" xfId="32247" xr:uid="{00000000-0005-0000-0000-0000F67D0000}"/>
    <cellStyle name="Normal 4 19 4 2 3" xfId="32248" xr:uid="{00000000-0005-0000-0000-0000F77D0000}"/>
    <cellStyle name="Normal 4 19 4 2 4" xfId="32249" xr:uid="{00000000-0005-0000-0000-0000F87D0000}"/>
    <cellStyle name="Normal 4 19 4 2 5" xfId="32250" xr:uid="{00000000-0005-0000-0000-0000F97D0000}"/>
    <cellStyle name="Normal 4 19 4 2 6" xfId="32251" xr:uid="{00000000-0005-0000-0000-0000FA7D0000}"/>
    <cellStyle name="Normal 4 19 4 3" xfId="32252" xr:uid="{00000000-0005-0000-0000-0000FB7D0000}"/>
    <cellStyle name="Normal 4 19 4 3 2" xfId="32253" xr:uid="{00000000-0005-0000-0000-0000FC7D0000}"/>
    <cellStyle name="Normal 4 19 4 3 3" xfId="32254" xr:uid="{00000000-0005-0000-0000-0000FD7D0000}"/>
    <cellStyle name="Normal 4 19 4 3 4" xfId="32255" xr:uid="{00000000-0005-0000-0000-0000FE7D0000}"/>
    <cellStyle name="Normal 4 19 4 3 5" xfId="32256" xr:uid="{00000000-0005-0000-0000-0000FF7D0000}"/>
    <cellStyle name="Normal 4 19 4 3 6" xfId="32257" xr:uid="{00000000-0005-0000-0000-0000007E0000}"/>
    <cellStyle name="Normal 4 19 4 4" xfId="32258" xr:uid="{00000000-0005-0000-0000-0000017E0000}"/>
    <cellStyle name="Normal 4 19 4 5" xfId="32259" xr:uid="{00000000-0005-0000-0000-0000027E0000}"/>
    <cellStyle name="Normal 4 19 4 6" xfId="32260" xr:uid="{00000000-0005-0000-0000-0000037E0000}"/>
    <cellStyle name="Normal 4 19 4 7" xfId="32261" xr:uid="{00000000-0005-0000-0000-0000047E0000}"/>
    <cellStyle name="Normal 4 19 4 8" xfId="32262" xr:uid="{00000000-0005-0000-0000-0000057E0000}"/>
    <cellStyle name="Normal 4 19 5" xfId="32263" xr:uid="{00000000-0005-0000-0000-0000067E0000}"/>
    <cellStyle name="Normal 4 19 5 2" xfId="32264" xr:uid="{00000000-0005-0000-0000-0000077E0000}"/>
    <cellStyle name="Normal 4 19 5 3" xfId="32265" xr:uid="{00000000-0005-0000-0000-0000087E0000}"/>
    <cellStyle name="Normal 4 19 5 4" xfId="32266" xr:uid="{00000000-0005-0000-0000-0000097E0000}"/>
    <cellStyle name="Normal 4 19 5 5" xfId="32267" xr:uid="{00000000-0005-0000-0000-00000A7E0000}"/>
    <cellStyle name="Normal 4 19 5 6" xfId="32268" xr:uid="{00000000-0005-0000-0000-00000B7E0000}"/>
    <cellStyle name="Normal 4 19 6" xfId="32269" xr:uid="{00000000-0005-0000-0000-00000C7E0000}"/>
    <cellStyle name="Normal 4 19 6 2" xfId="32270" xr:uid="{00000000-0005-0000-0000-00000D7E0000}"/>
    <cellStyle name="Normal 4 19 6 3" xfId="32271" xr:uid="{00000000-0005-0000-0000-00000E7E0000}"/>
    <cellStyle name="Normal 4 19 6 4" xfId="32272" xr:uid="{00000000-0005-0000-0000-00000F7E0000}"/>
    <cellStyle name="Normal 4 19 6 5" xfId="32273" xr:uid="{00000000-0005-0000-0000-0000107E0000}"/>
    <cellStyle name="Normal 4 19 6 6" xfId="32274" xr:uid="{00000000-0005-0000-0000-0000117E0000}"/>
    <cellStyle name="Normal 4 19 7" xfId="32275" xr:uid="{00000000-0005-0000-0000-0000127E0000}"/>
    <cellStyle name="Normal 4 19 8" xfId="32276" xr:uid="{00000000-0005-0000-0000-0000137E0000}"/>
    <cellStyle name="Normal 4 19 9" xfId="32277" xr:uid="{00000000-0005-0000-0000-0000147E0000}"/>
    <cellStyle name="Normal 4 2" xfId="32278" xr:uid="{00000000-0005-0000-0000-0000157E0000}"/>
    <cellStyle name="Normal 4 2 2" xfId="32279" xr:uid="{00000000-0005-0000-0000-0000167E0000}"/>
    <cellStyle name="Normal 4 2 2 2" xfId="32280" xr:uid="{00000000-0005-0000-0000-0000177E0000}"/>
    <cellStyle name="Normal 4 2 3" xfId="32281" xr:uid="{00000000-0005-0000-0000-0000187E0000}"/>
    <cellStyle name="Normal 4 20" xfId="32282" xr:uid="{00000000-0005-0000-0000-0000197E0000}"/>
    <cellStyle name="Normal 4 20 2" xfId="32283" xr:uid="{00000000-0005-0000-0000-00001A7E0000}"/>
    <cellStyle name="Normal 4 20 2 2" xfId="32284" xr:uid="{00000000-0005-0000-0000-00001B7E0000}"/>
    <cellStyle name="Normal 4 20 2 3" xfId="32285" xr:uid="{00000000-0005-0000-0000-00001C7E0000}"/>
    <cellStyle name="Normal 4 20 2 4" xfId="32286" xr:uid="{00000000-0005-0000-0000-00001D7E0000}"/>
    <cellStyle name="Normal 4 20 2 5" xfId="32287" xr:uid="{00000000-0005-0000-0000-00001E7E0000}"/>
    <cellStyle name="Normal 4 20 2 6" xfId="32288" xr:uid="{00000000-0005-0000-0000-00001F7E0000}"/>
    <cellStyle name="Normal 4 20 3" xfId="32289" xr:uid="{00000000-0005-0000-0000-0000207E0000}"/>
    <cellStyle name="Normal 4 20 3 2" xfId="32290" xr:uid="{00000000-0005-0000-0000-0000217E0000}"/>
    <cellStyle name="Normal 4 20 3 3" xfId="32291" xr:uid="{00000000-0005-0000-0000-0000227E0000}"/>
    <cellStyle name="Normal 4 20 3 4" xfId="32292" xr:uid="{00000000-0005-0000-0000-0000237E0000}"/>
    <cellStyle name="Normal 4 20 3 5" xfId="32293" xr:uid="{00000000-0005-0000-0000-0000247E0000}"/>
    <cellStyle name="Normal 4 20 3 6" xfId="32294" xr:uid="{00000000-0005-0000-0000-0000257E0000}"/>
    <cellStyle name="Normal 4 20 4" xfId="32295" xr:uid="{00000000-0005-0000-0000-0000267E0000}"/>
    <cellStyle name="Normal 4 20 5" xfId="32296" xr:uid="{00000000-0005-0000-0000-0000277E0000}"/>
    <cellStyle name="Normal 4 20 6" xfId="32297" xr:uid="{00000000-0005-0000-0000-0000287E0000}"/>
    <cellStyle name="Normal 4 20 7" xfId="32298" xr:uid="{00000000-0005-0000-0000-0000297E0000}"/>
    <cellStyle name="Normal 4 20 8" xfId="32299" xr:uid="{00000000-0005-0000-0000-00002A7E0000}"/>
    <cellStyle name="Normal 4 21" xfId="32300" xr:uid="{00000000-0005-0000-0000-00002B7E0000}"/>
    <cellStyle name="Normal 4 21 2" xfId="32301" xr:uid="{00000000-0005-0000-0000-00002C7E0000}"/>
    <cellStyle name="Normal 4 21 2 2" xfId="32302" xr:uid="{00000000-0005-0000-0000-00002D7E0000}"/>
    <cellStyle name="Normal 4 21 2 3" xfId="32303" xr:uid="{00000000-0005-0000-0000-00002E7E0000}"/>
    <cellStyle name="Normal 4 21 2 4" xfId="32304" xr:uid="{00000000-0005-0000-0000-00002F7E0000}"/>
    <cellStyle name="Normal 4 21 2 5" xfId="32305" xr:uid="{00000000-0005-0000-0000-0000307E0000}"/>
    <cellStyle name="Normal 4 21 2 6" xfId="32306" xr:uid="{00000000-0005-0000-0000-0000317E0000}"/>
    <cellStyle name="Normal 4 21 3" xfId="32307" xr:uid="{00000000-0005-0000-0000-0000327E0000}"/>
    <cellStyle name="Normal 4 21 3 2" xfId="32308" xr:uid="{00000000-0005-0000-0000-0000337E0000}"/>
    <cellStyle name="Normal 4 21 3 3" xfId="32309" xr:uid="{00000000-0005-0000-0000-0000347E0000}"/>
    <cellStyle name="Normal 4 21 3 4" xfId="32310" xr:uid="{00000000-0005-0000-0000-0000357E0000}"/>
    <cellStyle name="Normal 4 21 3 5" xfId="32311" xr:uid="{00000000-0005-0000-0000-0000367E0000}"/>
    <cellStyle name="Normal 4 21 3 6" xfId="32312" xr:uid="{00000000-0005-0000-0000-0000377E0000}"/>
    <cellStyle name="Normal 4 21 4" xfId="32313" xr:uid="{00000000-0005-0000-0000-0000387E0000}"/>
    <cellStyle name="Normal 4 21 5" xfId="32314" xr:uid="{00000000-0005-0000-0000-0000397E0000}"/>
    <cellStyle name="Normal 4 21 6" xfId="32315" xr:uid="{00000000-0005-0000-0000-00003A7E0000}"/>
    <cellStyle name="Normal 4 21 7" xfId="32316" xr:uid="{00000000-0005-0000-0000-00003B7E0000}"/>
    <cellStyle name="Normal 4 21 8" xfId="32317" xr:uid="{00000000-0005-0000-0000-00003C7E0000}"/>
    <cellStyle name="Normal 4 22" xfId="32318" xr:uid="{00000000-0005-0000-0000-00003D7E0000}"/>
    <cellStyle name="Normal 4 22 2" xfId="32319" xr:uid="{00000000-0005-0000-0000-00003E7E0000}"/>
    <cellStyle name="Normal 4 22 2 2" xfId="32320" xr:uid="{00000000-0005-0000-0000-00003F7E0000}"/>
    <cellStyle name="Normal 4 22 2 3" xfId="32321" xr:uid="{00000000-0005-0000-0000-0000407E0000}"/>
    <cellStyle name="Normal 4 22 2 4" xfId="32322" xr:uid="{00000000-0005-0000-0000-0000417E0000}"/>
    <cellStyle name="Normal 4 22 2 5" xfId="32323" xr:uid="{00000000-0005-0000-0000-0000427E0000}"/>
    <cellStyle name="Normal 4 22 2 6" xfId="32324" xr:uid="{00000000-0005-0000-0000-0000437E0000}"/>
    <cellStyle name="Normal 4 22 3" xfId="32325" xr:uid="{00000000-0005-0000-0000-0000447E0000}"/>
    <cellStyle name="Normal 4 22 3 2" xfId="32326" xr:uid="{00000000-0005-0000-0000-0000457E0000}"/>
    <cellStyle name="Normal 4 22 3 3" xfId="32327" xr:uid="{00000000-0005-0000-0000-0000467E0000}"/>
    <cellStyle name="Normal 4 22 3 4" xfId="32328" xr:uid="{00000000-0005-0000-0000-0000477E0000}"/>
    <cellStyle name="Normal 4 22 3 5" xfId="32329" xr:uid="{00000000-0005-0000-0000-0000487E0000}"/>
    <cellStyle name="Normal 4 22 3 6" xfId="32330" xr:uid="{00000000-0005-0000-0000-0000497E0000}"/>
    <cellStyle name="Normal 4 22 4" xfId="32331" xr:uid="{00000000-0005-0000-0000-00004A7E0000}"/>
    <cellStyle name="Normal 4 22 5" xfId="32332" xr:uid="{00000000-0005-0000-0000-00004B7E0000}"/>
    <cellStyle name="Normal 4 22 6" xfId="32333" xr:uid="{00000000-0005-0000-0000-00004C7E0000}"/>
    <cellStyle name="Normal 4 22 7" xfId="32334" xr:uid="{00000000-0005-0000-0000-00004D7E0000}"/>
    <cellStyle name="Normal 4 22 8" xfId="32335" xr:uid="{00000000-0005-0000-0000-00004E7E0000}"/>
    <cellStyle name="Normal 4 23" xfId="32336" xr:uid="{00000000-0005-0000-0000-00004F7E0000}"/>
    <cellStyle name="Normal 4 23 2" xfId="32337" xr:uid="{00000000-0005-0000-0000-0000507E0000}"/>
    <cellStyle name="Normal 4 23 3" xfId="32338" xr:uid="{00000000-0005-0000-0000-0000517E0000}"/>
    <cellStyle name="Normal 4 23 4" xfId="32339" xr:uid="{00000000-0005-0000-0000-0000527E0000}"/>
    <cellStyle name="Normal 4 23 5" xfId="32340" xr:uid="{00000000-0005-0000-0000-0000537E0000}"/>
    <cellStyle name="Normal 4 23 6" xfId="32341" xr:uid="{00000000-0005-0000-0000-0000547E0000}"/>
    <cellStyle name="Normal 4 24" xfId="32342" xr:uid="{00000000-0005-0000-0000-0000557E0000}"/>
    <cellStyle name="Normal 4 24 2" xfId="32343" xr:uid="{00000000-0005-0000-0000-0000567E0000}"/>
    <cellStyle name="Normal 4 24 3" xfId="32344" xr:uid="{00000000-0005-0000-0000-0000577E0000}"/>
    <cellStyle name="Normal 4 24 4" xfId="32345" xr:uid="{00000000-0005-0000-0000-0000587E0000}"/>
    <cellStyle name="Normal 4 24 5" xfId="32346" xr:uid="{00000000-0005-0000-0000-0000597E0000}"/>
    <cellStyle name="Normal 4 24 6" xfId="32347" xr:uid="{00000000-0005-0000-0000-00005A7E0000}"/>
    <cellStyle name="Normal 4 25" xfId="32348" xr:uid="{00000000-0005-0000-0000-00005B7E0000}"/>
    <cellStyle name="Normal 4 26" xfId="32349" xr:uid="{00000000-0005-0000-0000-00005C7E0000}"/>
    <cellStyle name="Normal 4 27" xfId="32350" xr:uid="{00000000-0005-0000-0000-00005D7E0000}"/>
    <cellStyle name="Normal 4 28" xfId="32351" xr:uid="{00000000-0005-0000-0000-00005E7E0000}"/>
    <cellStyle name="Normal 4 29" xfId="32352" xr:uid="{00000000-0005-0000-0000-00005F7E0000}"/>
    <cellStyle name="Normal 4 3" xfId="32353" xr:uid="{00000000-0005-0000-0000-0000607E0000}"/>
    <cellStyle name="Normal 4 3 2" xfId="32354" xr:uid="{00000000-0005-0000-0000-0000617E0000}"/>
    <cellStyle name="Normal 4 4" xfId="32355" xr:uid="{00000000-0005-0000-0000-0000627E0000}"/>
    <cellStyle name="Normal 4 4 2" xfId="32356" xr:uid="{00000000-0005-0000-0000-0000637E0000}"/>
    <cellStyle name="Normal 4 5" xfId="32357" xr:uid="{00000000-0005-0000-0000-0000647E0000}"/>
    <cellStyle name="Normal 4 5 2" xfId="32358" xr:uid="{00000000-0005-0000-0000-0000657E0000}"/>
    <cellStyle name="Normal 4 6" xfId="32359" xr:uid="{00000000-0005-0000-0000-0000667E0000}"/>
    <cellStyle name="Normal 4 6 2" xfId="32360" xr:uid="{00000000-0005-0000-0000-0000677E0000}"/>
    <cellStyle name="Normal 4 7" xfId="32361" xr:uid="{00000000-0005-0000-0000-0000687E0000}"/>
    <cellStyle name="Normal 4 7 2" xfId="32362" xr:uid="{00000000-0005-0000-0000-0000697E0000}"/>
    <cellStyle name="Normal 4 8" xfId="32363" xr:uid="{00000000-0005-0000-0000-00006A7E0000}"/>
    <cellStyle name="Normal 4 8 2" xfId="32364" xr:uid="{00000000-0005-0000-0000-00006B7E0000}"/>
    <cellStyle name="Normal 4 9" xfId="32365" xr:uid="{00000000-0005-0000-0000-00006C7E0000}"/>
    <cellStyle name="Normal 4 9 2" xfId="32366" xr:uid="{00000000-0005-0000-0000-00006D7E0000}"/>
    <cellStyle name="Normal 40" xfId="32367" xr:uid="{00000000-0005-0000-0000-00006E7E0000}"/>
    <cellStyle name="Normal 40 10" xfId="32368" xr:uid="{00000000-0005-0000-0000-00006F7E0000}"/>
    <cellStyle name="Normal 40 10 2" xfId="32369" xr:uid="{00000000-0005-0000-0000-0000707E0000}"/>
    <cellStyle name="Normal 40 11" xfId="32370" xr:uid="{00000000-0005-0000-0000-0000717E0000}"/>
    <cellStyle name="Normal 40 11 2" xfId="32371" xr:uid="{00000000-0005-0000-0000-0000727E0000}"/>
    <cellStyle name="Normal 40 12" xfId="32372" xr:uid="{00000000-0005-0000-0000-0000737E0000}"/>
    <cellStyle name="Normal 40 12 2" xfId="32373" xr:uid="{00000000-0005-0000-0000-0000747E0000}"/>
    <cellStyle name="Normal 40 13" xfId="32374" xr:uid="{00000000-0005-0000-0000-0000757E0000}"/>
    <cellStyle name="Normal 40 13 2" xfId="32375" xr:uid="{00000000-0005-0000-0000-0000767E0000}"/>
    <cellStyle name="Normal 40 14" xfId="32376" xr:uid="{00000000-0005-0000-0000-0000777E0000}"/>
    <cellStyle name="Normal 40 14 2" xfId="32377" xr:uid="{00000000-0005-0000-0000-0000787E0000}"/>
    <cellStyle name="Normal 40 15" xfId="32378" xr:uid="{00000000-0005-0000-0000-0000797E0000}"/>
    <cellStyle name="Normal 40 15 2" xfId="32379" xr:uid="{00000000-0005-0000-0000-00007A7E0000}"/>
    <cellStyle name="Normal 40 16" xfId="32380" xr:uid="{00000000-0005-0000-0000-00007B7E0000}"/>
    <cellStyle name="Normal 40 16 2" xfId="32381" xr:uid="{00000000-0005-0000-0000-00007C7E0000}"/>
    <cellStyle name="Normal 40 17" xfId="32382" xr:uid="{00000000-0005-0000-0000-00007D7E0000}"/>
    <cellStyle name="Normal 40 2" xfId="32383" xr:uid="{00000000-0005-0000-0000-00007E7E0000}"/>
    <cellStyle name="Normal 40 2 2" xfId="32384" xr:uid="{00000000-0005-0000-0000-00007F7E0000}"/>
    <cellStyle name="Normal 40 3" xfId="32385" xr:uid="{00000000-0005-0000-0000-0000807E0000}"/>
    <cellStyle name="Normal 40 3 2" xfId="32386" xr:uid="{00000000-0005-0000-0000-0000817E0000}"/>
    <cellStyle name="Normal 40 4" xfId="32387" xr:uid="{00000000-0005-0000-0000-0000827E0000}"/>
    <cellStyle name="Normal 40 4 2" xfId="32388" xr:uid="{00000000-0005-0000-0000-0000837E0000}"/>
    <cellStyle name="Normal 40 5" xfId="32389" xr:uid="{00000000-0005-0000-0000-0000847E0000}"/>
    <cellStyle name="Normal 40 5 2" xfId="32390" xr:uid="{00000000-0005-0000-0000-0000857E0000}"/>
    <cellStyle name="Normal 40 6" xfId="32391" xr:uid="{00000000-0005-0000-0000-0000867E0000}"/>
    <cellStyle name="Normal 40 6 2" xfId="32392" xr:uid="{00000000-0005-0000-0000-0000877E0000}"/>
    <cellStyle name="Normal 40 7" xfId="32393" xr:uid="{00000000-0005-0000-0000-0000887E0000}"/>
    <cellStyle name="Normal 40 7 2" xfId="32394" xr:uid="{00000000-0005-0000-0000-0000897E0000}"/>
    <cellStyle name="Normal 40 8" xfId="32395" xr:uid="{00000000-0005-0000-0000-00008A7E0000}"/>
    <cellStyle name="Normal 40 8 2" xfId="32396" xr:uid="{00000000-0005-0000-0000-00008B7E0000}"/>
    <cellStyle name="Normal 40 9" xfId="32397" xr:uid="{00000000-0005-0000-0000-00008C7E0000}"/>
    <cellStyle name="Normal 40 9 2" xfId="32398" xr:uid="{00000000-0005-0000-0000-00008D7E0000}"/>
    <cellStyle name="Normal 41" xfId="32399" xr:uid="{00000000-0005-0000-0000-00008E7E0000}"/>
    <cellStyle name="Normal 41 10" xfId="32400" xr:uid="{00000000-0005-0000-0000-00008F7E0000}"/>
    <cellStyle name="Normal 41 11" xfId="32401" xr:uid="{00000000-0005-0000-0000-0000907E0000}"/>
    <cellStyle name="Normal 41 12" xfId="32402" xr:uid="{00000000-0005-0000-0000-0000917E0000}"/>
    <cellStyle name="Normal 41 13" xfId="32403" xr:uid="{00000000-0005-0000-0000-0000927E0000}"/>
    <cellStyle name="Normal 41 14" xfId="32404" xr:uid="{00000000-0005-0000-0000-0000937E0000}"/>
    <cellStyle name="Normal 41 2" xfId="32405" xr:uid="{00000000-0005-0000-0000-0000947E0000}"/>
    <cellStyle name="Normal 41 2 10" xfId="32406" xr:uid="{00000000-0005-0000-0000-0000957E0000}"/>
    <cellStyle name="Normal 41 2 11" xfId="32407" xr:uid="{00000000-0005-0000-0000-0000967E0000}"/>
    <cellStyle name="Normal 41 2 2" xfId="32408" xr:uid="{00000000-0005-0000-0000-0000977E0000}"/>
    <cellStyle name="Normal 41 2 2 2" xfId="32409" xr:uid="{00000000-0005-0000-0000-0000987E0000}"/>
    <cellStyle name="Normal 41 2 2 2 2" xfId="32410" xr:uid="{00000000-0005-0000-0000-0000997E0000}"/>
    <cellStyle name="Normal 41 2 2 2 3" xfId="32411" xr:uid="{00000000-0005-0000-0000-00009A7E0000}"/>
    <cellStyle name="Normal 41 2 2 2 4" xfId="32412" xr:uid="{00000000-0005-0000-0000-00009B7E0000}"/>
    <cellStyle name="Normal 41 2 2 2 5" xfId="32413" xr:uid="{00000000-0005-0000-0000-00009C7E0000}"/>
    <cellStyle name="Normal 41 2 2 2 6" xfId="32414" xr:uid="{00000000-0005-0000-0000-00009D7E0000}"/>
    <cellStyle name="Normal 41 2 2 3" xfId="32415" xr:uid="{00000000-0005-0000-0000-00009E7E0000}"/>
    <cellStyle name="Normal 41 2 2 3 2" xfId="32416" xr:uid="{00000000-0005-0000-0000-00009F7E0000}"/>
    <cellStyle name="Normal 41 2 2 3 3" xfId="32417" xr:uid="{00000000-0005-0000-0000-0000A07E0000}"/>
    <cellStyle name="Normal 41 2 2 3 4" xfId="32418" xr:uid="{00000000-0005-0000-0000-0000A17E0000}"/>
    <cellStyle name="Normal 41 2 2 3 5" xfId="32419" xr:uid="{00000000-0005-0000-0000-0000A27E0000}"/>
    <cellStyle name="Normal 41 2 2 3 6" xfId="32420" xr:uid="{00000000-0005-0000-0000-0000A37E0000}"/>
    <cellStyle name="Normal 41 2 2 4" xfId="32421" xr:uid="{00000000-0005-0000-0000-0000A47E0000}"/>
    <cellStyle name="Normal 41 2 2 5" xfId="32422" xr:uid="{00000000-0005-0000-0000-0000A57E0000}"/>
    <cellStyle name="Normal 41 2 2 6" xfId="32423" xr:uid="{00000000-0005-0000-0000-0000A67E0000}"/>
    <cellStyle name="Normal 41 2 2 7" xfId="32424" xr:uid="{00000000-0005-0000-0000-0000A77E0000}"/>
    <cellStyle name="Normal 41 2 2 8" xfId="32425" xr:uid="{00000000-0005-0000-0000-0000A87E0000}"/>
    <cellStyle name="Normal 41 2 3" xfId="32426" xr:uid="{00000000-0005-0000-0000-0000A97E0000}"/>
    <cellStyle name="Normal 41 2 3 2" xfId="32427" xr:uid="{00000000-0005-0000-0000-0000AA7E0000}"/>
    <cellStyle name="Normal 41 2 3 2 2" xfId="32428" xr:uid="{00000000-0005-0000-0000-0000AB7E0000}"/>
    <cellStyle name="Normal 41 2 3 2 3" xfId="32429" xr:uid="{00000000-0005-0000-0000-0000AC7E0000}"/>
    <cellStyle name="Normal 41 2 3 2 4" xfId="32430" xr:uid="{00000000-0005-0000-0000-0000AD7E0000}"/>
    <cellStyle name="Normal 41 2 3 2 5" xfId="32431" xr:uid="{00000000-0005-0000-0000-0000AE7E0000}"/>
    <cellStyle name="Normal 41 2 3 2 6" xfId="32432" xr:uid="{00000000-0005-0000-0000-0000AF7E0000}"/>
    <cellStyle name="Normal 41 2 3 3" xfId="32433" xr:uid="{00000000-0005-0000-0000-0000B07E0000}"/>
    <cellStyle name="Normal 41 2 3 3 2" xfId="32434" xr:uid="{00000000-0005-0000-0000-0000B17E0000}"/>
    <cellStyle name="Normal 41 2 3 3 3" xfId="32435" xr:uid="{00000000-0005-0000-0000-0000B27E0000}"/>
    <cellStyle name="Normal 41 2 3 3 4" xfId="32436" xr:uid="{00000000-0005-0000-0000-0000B37E0000}"/>
    <cellStyle name="Normal 41 2 3 3 5" xfId="32437" xr:uid="{00000000-0005-0000-0000-0000B47E0000}"/>
    <cellStyle name="Normal 41 2 3 3 6" xfId="32438" xr:uid="{00000000-0005-0000-0000-0000B57E0000}"/>
    <cellStyle name="Normal 41 2 3 4" xfId="32439" xr:uid="{00000000-0005-0000-0000-0000B67E0000}"/>
    <cellStyle name="Normal 41 2 3 5" xfId="32440" xr:uid="{00000000-0005-0000-0000-0000B77E0000}"/>
    <cellStyle name="Normal 41 2 3 6" xfId="32441" xr:uid="{00000000-0005-0000-0000-0000B87E0000}"/>
    <cellStyle name="Normal 41 2 3 7" xfId="32442" xr:uid="{00000000-0005-0000-0000-0000B97E0000}"/>
    <cellStyle name="Normal 41 2 3 8" xfId="32443" xr:uid="{00000000-0005-0000-0000-0000BA7E0000}"/>
    <cellStyle name="Normal 41 2 4" xfId="32444" xr:uid="{00000000-0005-0000-0000-0000BB7E0000}"/>
    <cellStyle name="Normal 41 2 4 2" xfId="32445" xr:uid="{00000000-0005-0000-0000-0000BC7E0000}"/>
    <cellStyle name="Normal 41 2 4 2 2" xfId="32446" xr:uid="{00000000-0005-0000-0000-0000BD7E0000}"/>
    <cellStyle name="Normal 41 2 4 2 3" xfId="32447" xr:uid="{00000000-0005-0000-0000-0000BE7E0000}"/>
    <cellStyle name="Normal 41 2 4 2 4" xfId="32448" xr:uid="{00000000-0005-0000-0000-0000BF7E0000}"/>
    <cellStyle name="Normal 41 2 4 2 5" xfId="32449" xr:uid="{00000000-0005-0000-0000-0000C07E0000}"/>
    <cellStyle name="Normal 41 2 4 2 6" xfId="32450" xr:uid="{00000000-0005-0000-0000-0000C17E0000}"/>
    <cellStyle name="Normal 41 2 4 3" xfId="32451" xr:uid="{00000000-0005-0000-0000-0000C27E0000}"/>
    <cellStyle name="Normal 41 2 4 3 2" xfId="32452" xr:uid="{00000000-0005-0000-0000-0000C37E0000}"/>
    <cellStyle name="Normal 41 2 4 3 3" xfId="32453" xr:uid="{00000000-0005-0000-0000-0000C47E0000}"/>
    <cellStyle name="Normal 41 2 4 3 4" xfId="32454" xr:uid="{00000000-0005-0000-0000-0000C57E0000}"/>
    <cellStyle name="Normal 41 2 4 3 5" xfId="32455" xr:uid="{00000000-0005-0000-0000-0000C67E0000}"/>
    <cellStyle name="Normal 41 2 4 3 6" xfId="32456" xr:uid="{00000000-0005-0000-0000-0000C77E0000}"/>
    <cellStyle name="Normal 41 2 4 4" xfId="32457" xr:uid="{00000000-0005-0000-0000-0000C87E0000}"/>
    <cellStyle name="Normal 41 2 4 5" xfId="32458" xr:uid="{00000000-0005-0000-0000-0000C97E0000}"/>
    <cellStyle name="Normal 41 2 4 6" xfId="32459" xr:uid="{00000000-0005-0000-0000-0000CA7E0000}"/>
    <cellStyle name="Normal 41 2 4 7" xfId="32460" xr:uid="{00000000-0005-0000-0000-0000CB7E0000}"/>
    <cellStyle name="Normal 41 2 4 8" xfId="32461" xr:uid="{00000000-0005-0000-0000-0000CC7E0000}"/>
    <cellStyle name="Normal 41 2 5" xfId="32462" xr:uid="{00000000-0005-0000-0000-0000CD7E0000}"/>
    <cellStyle name="Normal 41 2 5 2" xfId="32463" xr:uid="{00000000-0005-0000-0000-0000CE7E0000}"/>
    <cellStyle name="Normal 41 2 5 3" xfId="32464" xr:uid="{00000000-0005-0000-0000-0000CF7E0000}"/>
    <cellStyle name="Normal 41 2 5 4" xfId="32465" xr:uid="{00000000-0005-0000-0000-0000D07E0000}"/>
    <cellStyle name="Normal 41 2 5 5" xfId="32466" xr:uid="{00000000-0005-0000-0000-0000D17E0000}"/>
    <cellStyle name="Normal 41 2 5 6" xfId="32467" xr:uid="{00000000-0005-0000-0000-0000D27E0000}"/>
    <cellStyle name="Normal 41 2 6" xfId="32468" xr:uid="{00000000-0005-0000-0000-0000D37E0000}"/>
    <cellStyle name="Normal 41 2 6 2" xfId="32469" xr:uid="{00000000-0005-0000-0000-0000D47E0000}"/>
    <cellStyle name="Normal 41 2 6 3" xfId="32470" xr:uid="{00000000-0005-0000-0000-0000D57E0000}"/>
    <cellStyle name="Normal 41 2 6 4" xfId="32471" xr:uid="{00000000-0005-0000-0000-0000D67E0000}"/>
    <cellStyle name="Normal 41 2 6 5" xfId="32472" xr:uid="{00000000-0005-0000-0000-0000D77E0000}"/>
    <cellStyle name="Normal 41 2 6 6" xfId="32473" xr:uid="{00000000-0005-0000-0000-0000D87E0000}"/>
    <cellStyle name="Normal 41 2 7" xfId="32474" xr:uid="{00000000-0005-0000-0000-0000D97E0000}"/>
    <cellStyle name="Normal 41 2 8" xfId="32475" xr:uid="{00000000-0005-0000-0000-0000DA7E0000}"/>
    <cellStyle name="Normal 41 2 9" xfId="32476" xr:uid="{00000000-0005-0000-0000-0000DB7E0000}"/>
    <cellStyle name="Normal 41 3" xfId="32477" xr:uid="{00000000-0005-0000-0000-0000DC7E0000}"/>
    <cellStyle name="Normal 41 3 10" xfId="32478" xr:uid="{00000000-0005-0000-0000-0000DD7E0000}"/>
    <cellStyle name="Normal 41 3 11" xfId="32479" xr:uid="{00000000-0005-0000-0000-0000DE7E0000}"/>
    <cellStyle name="Normal 41 3 2" xfId="32480" xr:uid="{00000000-0005-0000-0000-0000DF7E0000}"/>
    <cellStyle name="Normal 41 3 2 2" xfId="32481" xr:uid="{00000000-0005-0000-0000-0000E07E0000}"/>
    <cellStyle name="Normal 41 3 2 2 2" xfId="32482" xr:uid="{00000000-0005-0000-0000-0000E17E0000}"/>
    <cellStyle name="Normal 41 3 2 2 3" xfId="32483" xr:uid="{00000000-0005-0000-0000-0000E27E0000}"/>
    <cellStyle name="Normal 41 3 2 2 4" xfId="32484" xr:uid="{00000000-0005-0000-0000-0000E37E0000}"/>
    <cellStyle name="Normal 41 3 2 2 5" xfId="32485" xr:uid="{00000000-0005-0000-0000-0000E47E0000}"/>
    <cellStyle name="Normal 41 3 2 2 6" xfId="32486" xr:uid="{00000000-0005-0000-0000-0000E57E0000}"/>
    <cellStyle name="Normal 41 3 2 3" xfId="32487" xr:uid="{00000000-0005-0000-0000-0000E67E0000}"/>
    <cellStyle name="Normal 41 3 2 3 2" xfId="32488" xr:uid="{00000000-0005-0000-0000-0000E77E0000}"/>
    <cellStyle name="Normal 41 3 2 3 3" xfId="32489" xr:uid="{00000000-0005-0000-0000-0000E87E0000}"/>
    <cellStyle name="Normal 41 3 2 3 4" xfId="32490" xr:uid="{00000000-0005-0000-0000-0000E97E0000}"/>
    <cellStyle name="Normal 41 3 2 3 5" xfId="32491" xr:uid="{00000000-0005-0000-0000-0000EA7E0000}"/>
    <cellStyle name="Normal 41 3 2 3 6" xfId="32492" xr:uid="{00000000-0005-0000-0000-0000EB7E0000}"/>
    <cellStyle name="Normal 41 3 2 4" xfId="32493" xr:uid="{00000000-0005-0000-0000-0000EC7E0000}"/>
    <cellStyle name="Normal 41 3 2 5" xfId="32494" xr:uid="{00000000-0005-0000-0000-0000ED7E0000}"/>
    <cellStyle name="Normal 41 3 2 6" xfId="32495" xr:uid="{00000000-0005-0000-0000-0000EE7E0000}"/>
    <cellStyle name="Normal 41 3 2 7" xfId="32496" xr:uid="{00000000-0005-0000-0000-0000EF7E0000}"/>
    <cellStyle name="Normal 41 3 2 8" xfId="32497" xr:uid="{00000000-0005-0000-0000-0000F07E0000}"/>
    <cellStyle name="Normal 41 3 3" xfId="32498" xr:uid="{00000000-0005-0000-0000-0000F17E0000}"/>
    <cellStyle name="Normal 41 3 3 2" xfId="32499" xr:uid="{00000000-0005-0000-0000-0000F27E0000}"/>
    <cellStyle name="Normal 41 3 3 2 2" xfId="32500" xr:uid="{00000000-0005-0000-0000-0000F37E0000}"/>
    <cellStyle name="Normal 41 3 3 2 3" xfId="32501" xr:uid="{00000000-0005-0000-0000-0000F47E0000}"/>
    <cellStyle name="Normal 41 3 3 2 4" xfId="32502" xr:uid="{00000000-0005-0000-0000-0000F57E0000}"/>
    <cellStyle name="Normal 41 3 3 2 5" xfId="32503" xr:uid="{00000000-0005-0000-0000-0000F67E0000}"/>
    <cellStyle name="Normal 41 3 3 2 6" xfId="32504" xr:uid="{00000000-0005-0000-0000-0000F77E0000}"/>
    <cellStyle name="Normal 41 3 3 3" xfId="32505" xr:uid="{00000000-0005-0000-0000-0000F87E0000}"/>
    <cellStyle name="Normal 41 3 3 3 2" xfId="32506" xr:uid="{00000000-0005-0000-0000-0000F97E0000}"/>
    <cellStyle name="Normal 41 3 3 3 3" xfId="32507" xr:uid="{00000000-0005-0000-0000-0000FA7E0000}"/>
    <cellStyle name="Normal 41 3 3 3 4" xfId="32508" xr:uid="{00000000-0005-0000-0000-0000FB7E0000}"/>
    <cellStyle name="Normal 41 3 3 3 5" xfId="32509" xr:uid="{00000000-0005-0000-0000-0000FC7E0000}"/>
    <cellStyle name="Normal 41 3 3 3 6" xfId="32510" xr:uid="{00000000-0005-0000-0000-0000FD7E0000}"/>
    <cellStyle name="Normal 41 3 3 4" xfId="32511" xr:uid="{00000000-0005-0000-0000-0000FE7E0000}"/>
    <cellStyle name="Normal 41 3 3 5" xfId="32512" xr:uid="{00000000-0005-0000-0000-0000FF7E0000}"/>
    <cellStyle name="Normal 41 3 3 6" xfId="32513" xr:uid="{00000000-0005-0000-0000-0000007F0000}"/>
    <cellStyle name="Normal 41 3 3 7" xfId="32514" xr:uid="{00000000-0005-0000-0000-0000017F0000}"/>
    <cellStyle name="Normal 41 3 3 8" xfId="32515" xr:uid="{00000000-0005-0000-0000-0000027F0000}"/>
    <cellStyle name="Normal 41 3 4" xfId="32516" xr:uid="{00000000-0005-0000-0000-0000037F0000}"/>
    <cellStyle name="Normal 41 3 4 2" xfId="32517" xr:uid="{00000000-0005-0000-0000-0000047F0000}"/>
    <cellStyle name="Normal 41 3 4 2 2" xfId="32518" xr:uid="{00000000-0005-0000-0000-0000057F0000}"/>
    <cellStyle name="Normal 41 3 4 2 3" xfId="32519" xr:uid="{00000000-0005-0000-0000-0000067F0000}"/>
    <cellStyle name="Normal 41 3 4 2 4" xfId="32520" xr:uid="{00000000-0005-0000-0000-0000077F0000}"/>
    <cellStyle name="Normal 41 3 4 2 5" xfId="32521" xr:uid="{00000000-0005-0000-0000-0000087F0000}"/>
    <cellStyle name="Normal 41 3 4 2 6" xfId="32522" xr:uid="{00000000-0005-0000-0000-0000097F0000}"/>
    <cellStyle name="Normal 41 3 4 3" xfId="32523" xr:uid="{00000000-0005-0000-0000-00000A7F0000}"/>
    <cellStyle name="Normal 41 3 4 3 2" xfId="32524" xr:uid="{00000000-0005-0000-0000-00000B7F0000}"/>
    <cellStyle name="Normal 41 3 4 3 3" xfId="32525" xr:uid="{00000000-0005-0000-0000-00000C7F0000}"/>
    <cellStyle name="Normal 41 3 4 3 4" xfId="32526" xr:uid="{00000000-0005-0000-0000-00000D7F0000}"/>
    <cellStyle name="Normal 41 3 4 3 5" xfId="32527" xr:uid="{00000000-0005-0000-0000-00000E7F0000}"/>
    <cellStyle name="Normal 41 3 4 3 6" xfId="32528" xr:uid="{00000000-0005-0000-0000-00000F7F0000}"/>
    <cellStyle name="Normal 41 3 4 4" xfId="32529" xr:uid="{00000000-0005-0000-0000-0000107F0000}"/>
    <cellStyle name="Normal 41 3 4 5" xfId="32530" xr:uid="{00000000-0005-0000-0000-0000117F0000}"/>
    <cellStyle name="Normal 41 3 4 6" xfId="32531" xr:uid="{00000000-0005-0000-0000-0000127F0000}"/>
    <cellStyle name="Normal 41 3 4 7" xfId="32532" xr:uid="{00000000-0005-0000-0000-0000137F0000}"/>
    <cellStyle name="Normal 41 3 4 8" xfId="32533" xr:uid="{00000000-0005-0000-0000-0000147F0000}"/>
    <cellStyle name="Normal 41 3 5" xfId="32534" xr:uid="{00000000-0005-0000-0000-0000157F0000}"/>
    <cellStyle name="Normal 41 3 5 2" xfId="32535" xr:uid="{00000000-0005-0000-0000-0000167F0000}"/>
    <cellStyle name="Normal 41 3 5 3" xfId="32536" xr:uid="{00000000-0005-0000-0000-0000177F0000}"/>
    <cellStyle name="Normal 41 3 5 4" xfId="32537" xr:uid="{00000000-0005-0000-0000-0000187F0000}"/>
    <cellStyle name="Normal 41 3 5 5" xfId="32538" xr:uid="{00000000-0005-0000-0000-0000197F0000}"/>
    <cellStyle name="Normal 41 3 5 6" xfId="32539" xr:uid="{00000000-0005-0000-0000-00001A7F0000}"/>
    <cellStyle name="Normal 41 3 6" xfId="32540" xr:uid="{00000000-0005-0000-0000-00001B7F0000}"/>
    <cellStyle name="Normal 41 3 6 2" xfId="32541" xr:uid="{00000000-0005-0000-0000-00001C7F0000}"/>
    <cellStyle name="Normal 41 3 6 3" xfId="32542" xr:uid="{00000000-0005-0000-0000-00001D7F0000}"/>
    <cellStyle name="Normal 41 3 6 4" xfId="32543" xr:uid="{00000000-0005-0000-0000-00001E7F0000}"/>
    <cellStyle name="Normal 41 3 6 5" xfId="32544" xr:uid="{00000000-0005-0000-0000-00001F7F0000}"/>
    <cellStyle name="Normal 41 3 6 6" xfId="32545" xr:uid="{00000000-0005-0000-0000-0000207F0000}"/>
    <cellStyle name="Normal 41 3 7" xfId="32546" xr:uid="{00000000-0005-0000-0000-0000217F0000}"/>
    <cellStyle name="Normal 41 3 8" xfId="32547" xr:uid="{00000000-0005-0000-0000-0000227F0000}"/>
    <cellStyle name="Normal 41 3 9" xfId="32548" xr:uid="{00000000-0005-0000-0000-0000237F0000}"/>
    <cellStyle name="Normal 41 4" xfId="32549" xr:uid="{00000000-0005-0000-0000-0000247F0000}"/>
    <cellStyle name="Normal 41 5" xfId="32550" xr:uid="{00000000-0005-0000-0000-0000257F0000}"/>
    <cellStyle name="Normal 41 5 2" xfId="32551" xr:uid="{00000000-0005-0000-0000-0000267F0000}"/>
    <cellStyle name="Normal 41 5 2 2" xfId="32552" xr:uid="{00000000-0005-0000-0000-0000277F0000}"/>
    <cellStyle name="Normal 41 5 2 3" xfId="32553" xr:uid="{00000000-0005-0000-0000-0000287F0000}"/>
    <cellStyle name="Normal 41 5 2 4" xfId="32554" xr:uid="{00000000-0005-0000-0000-0000297F0000}"/>
    <cellStyle name="Normal 41 5 2 5" xfId="32555" xr:uid="{00000000-0005-0000-0000-00002A7F0000}"/>
    <cellStyle name="Normal 41 5 2 6" xfId="32556" xr:uid="{00000000-0005-0000-0000-00002B7F0000}"/>
    <cellStyle name="Normal 41 5 3" xfId="32557" xr:uid="{00000000-0005-0000-0000-00002C7F0000}"/>
    <cellStyle name="Normal 41 5 3 2" xfId="32558" xr:uid="{00000000-0005-0000-0000-00002D7F0000}"/>
    <cellStyle name="Normal 41 5 3 3" xfId="32559" xr:uid="{00000000-0005-0000-0000-00002E7F0000}"/>
    <cellStyle name="Normal 41 5 3 4" xfId="32560" xr:uid="{00000000-0005-0000-0000-00002F7F0000}"/>
    <cellStyle name="Normal 41 5 3 5" xfId="32561" xr:uid="{00000000-0005-0000-0000-0000307F0000}"/>
    <cellStyle name="Normal 41 5 3 6" xfId="32562" xr:uid="{00000000-0005-0000-0000-0000317F0000}"/>
    <cellStyle name="Normal 41 5 4" xfId="32563" xr:uid="{00000000-0005-0000-0000-0000327F0000}"/>
    <cellStyle name="Normal 41 5 5" xfId="32564" xr:uid="{00000000-0005-0000-0000-0000337F0000}"/>
    <cellStyle name="Normal 41 5 6" xfId="32565" xr:uid="{00000000-0005-0000-0000-0000347F0000}"/>
    <cellStyle name="Normal 41 5 7" xfId="32566" xr:uid="{00000000-0005-0000-0000-0000357F0000}"/>
    <cellStyle name="Normal 41 5 8" xfId="32567" xr:uid="{00000000-0005-0000-0000-0000367F0000}"/>
    <cellStyle name="Normal 41 6" xfId="32568" xr:uid="{00000000-0005-0000-0000-0000377F0000}"/>
    <cellStyle name="Normal 41 6 2" xfId="32569" xr:uid="{00000000-0005-0000-0000-0000387F0000}"/>
    <cellStyle name="Normal 41 6 2 2" xfId="32570" xr:uid="{00000000-0005-0000-0000-0000397F0000}"/>
    <cellStyle name="Normal 41 6 2 3" xfId="32571" xr:uid="{00000000-0005-0000-0000-00003A7F0000}"/>
    <cellStyle name="Normal 41 6 2 4" xfId="32572" xr:uid="{00000000-0005-0000-0000-00003B7F0000}"/>
    <cellStyle name="Normal 41 6 2 5" xfId="32573" xr:uid="{00000000-0005-0000-0000-00003C7F0000}"/>
    <cellStyle name="Normal 41 6 2 6" xfId="32574" xr:uid="{00000000-0005-0000-0000-00003D7F0000}"/>
    <cellStyle name="Normal 41 6 3" xfId="32575" xr:uid="{00000000-0005-0000-0000-00003E7F0000}"/>
    <cellStyle name="Normal 41 6 3 2" xfId="32576" xr:uid="{00000000-0005-0000-0000-00003F7F0000}"/>
    <cellStyle name="Normal 41 6 3 3" xfId="32577" xr:uid="{00000000-0005-0000-0000-0000407F0000}"/>
    <cellStyle name="Normal 41 6 3 4" xfId="32578" xr:uid="{00000000-0005-0000-0000-0000417F0000}"/>
    <cellStyle name="Normal 41 6 3 5" xfId="32579" xr:uid="{00000000-0005-0000-0000-0000427F0000}"/>
    <cellStyle name="Normal 41 6 3 6" xfId="32580" xr:uid="{00000000-0005-0000-0000-0000437F0000}"/>
    <cellStyle name="Normal 41 6 4" xfId="32581" xr:uid="{00000000-0005-0000-0000-0000447F0000}"/>
    <cellStyle name="Normal 41 6 5" xfId="32582" xr:uid="{00000000-0005-0000-0000-0000457F0000}"/>
    <cellStyle name="Normal 41 6 6" xfId="32583" xr:uid="{00000000-0005-0000-0000-0000467F0000}"/>
    <cellStyle name="Normal 41 6 7" xfId="32584" xr:uid="{00000000-0005-0000-0000-0000477F0000}"/>
    <cellStyle name="Normal 41 6 8" xfId="32585" xr:uid="{00000000-0005-0000-0000-0000487F0000}"/>
    <cellStyle name="Normal 41 7" xfId="32586" xr:uid="{00000000-0005-0000-0000-0000497F0000}"/>
    <cellStyle name="Normal 41 7 2" xfId="32587" xr:uid="{00000000-0005-0000-0000-00004A7F0000}"/>
    <cellStyle name="Normal 41 7 2 2" xfId="32588" xr:uid="{00000000-0005-0000-0000-00004B7F0000}"/>
    <cellStyle name="Normal 41 7 2 3" xfId="32589" xr:uid="{00000000-0005-0000-0000-00004C7F0000}"/>
    <cellStyle name="Normal 41 7 2 4" xfId="32590" xr:uid="{00000000-0005-0000-0000-00004D7F0000}"/>
    <cellStyle name="Normal 41 7 2 5" xfId="32591" xr:uid="{00000000-0005-0000-0000-00004E7F0000}"/>
    <cellStyle name="Normal 41 7 2 6" xfId="32592" xr:uid="{00000000-0005-0000-0000-00004F7F0000}"/>
    <cellStyle name="Normal 41 7 3" xfId="32593" xr:uid="{00000000-0005-0000-0000-0000507F0000}"/>
    <cellStyle name="Normal 41 7 3 2" xfId="32594" xr:uid="{00000000-0005-0000-0000-0000517F0000}"/>
    <cellStyle name="Normal 41 7 3 3" xfId="32595" xr:uid="{00000000-0005-0000-0000-0000527F0000}"/>
    <cellStyle name="Normal 41 7 3 4" xfId="32596" xr:uid="{00000000-0005-0000-0000-0000537F0000}"/>
    <cellStyle name="Normal 41 7 3 5" xfId="32597" xr:uid="{00000000-0005-0000-0000-0000547F0000}"/>
    <cellStyle name="Normal 41 7 3 6" xfId="32598" xr:uid="{00000000-0005-0000-0000-0000557F0000}"/>
    <cellStyle name="Normal 41 7 4" xfId="32599" xr:uid="{00000000-0005-0000-0000-0000567F0000}"/>
    <cellStyle name="Normal 41 7 5" xfId="32600" xr:uid="{00000000-0005-0000-0000-0000577F0000}"/>
    <cellStyle name="Normal 41 7 6" xfId="32601" xr:uid="{00000000-0005-0000-0000-0000587F0000}"/>
    <cellStyle name="Normal 41 7 7" xfId="32602" xr:uid="{00000000-0005-0000-0000-0000597F0000}"/>
    <cellStyle name="Normal 41 7 8" xfId="32603" xr:uid="{00000000-0005-0000-0000-00005A7F0000}"/>
    <cellStyle name="Normal 41 8" xfId="32604" xr:uid="{00000000-0005-0000-0000-00005B7F0000}"/>
    <cellStyle name="Normal 41 8 2" xfId="32605" xr:uid="{00000000-0005-0000-0000-00005C7F0000}"/>
    <cellStyle name="Normal 41 8 3" xfId="32606" xr:uid="{00000000-0005-0000-0000-00005D7F0000}"/>
    <cellStyle name="Normal 41 8 4" xfId="32607" xr:uid="{00000000-0005-0000-0000-00005E7F0000}"/>
    <cellStyle name="Normal 41 8 5" xfId="32608" xr:uid="{00000000-0005-0000-0000-00005F7F0000}"/>
    <cellStyle name="Normal 41 8 6" xfId="32609" xr:uid="{00000000-0005-0000-0000-0000607F0000}"/>
    <cellStyle name="Normal 41 9" xfId="32610" xr:uid="{00000000-0005-0000-0000-0000617F0000}"/>
    <cellStyle name="Normal 41 9 2" xfId="32611" xr:uid="{00000000-0005-0000-0000-0000627F0000}"/>
    <cellStyle name="Normal 41 9 3" xfId="32612" xr:uid="{00000000-0005-0000-0000-0000637F0000}"/>
    <cellStyle name="Normal 41 9 4" xfId="32613" xr:uid="{00000000-0005-0000-0000-0000647F0000}"/>
    <cellStyle name="Normal 41 9 5" xfId="32614" xr:uid="{00000000-0005-0000-0000-0000657F0000}"/>
    <cellStyle name="Normal 41 9 6" xfId="32615" xr:uid="{00000000-0005-0000-0000-0000667F0000}"/>
    <cellStyle name="Normal 42" xfId="32616" xr:uid="{00000000-0005-0000-0000-0000677F0000}"/>
    <cellStyle name="Normal 42 2" xfId="32617" xr:uid="{00000000-0005-0000-0000-0000687F0000}"/>
    <cellStyle name="Normal 42 2 2" xfId="32618" xr:uid="{00000000-0005-0000-0000-0000697F0000}"/>
    <cellStyle name="Normal 42 3" xfId="32619" xr:uid="{00000000-0005-0000-0000-00006A7F0000}"/>
    <cellStyle name="Normal 42 3 2" xfId="32620" xr:uid="{00000000-0005-0000-0000-00006B7F0000}"/>
    <cellStyle name="Normal 42 4" xfId="32621" xr:uid="{00000000-0005-0000-0000-00006C7F0000}"/>
    <cellStyle name="Normal 42 4 2" xfId="32622" xr:uid="{00000000-0005-0000-0000-00006D7F0000}"/>
    <cellStyle name="Normal 42 5" xfId="32623" xr:uid="{00000000-0005-0000-0000-00006E7F0000}"/>
    <cellStyle name="Normal 42 5 2" xfId="32624" xr:uid="{00000000-0005-0000-0000-00006F7F0000}"/>
    <cellStyle name="Normal 42 6" xfId="32625" xr:uid="{00000000-0005-0000-0000-0000707F0000}"/>
    <cellStyle name="Normal 43" xfId="32626" xr:uid="{00000000-0005-0000-0000-0000717F0000}"/>
    <cellStyle name="Normal 43 2" xfId="32627" xr:uid="{00000000-0005-0000-0000-0000727F0000}"/>
    <cellStyle name="Normal 43 2 2" xfId="32628" xr:uid="{00000000-0005-0000-0000-0000737F0000}"/>
    <cellStyle name="Normal 43 3" xfId="32629" xr:uid="{00000000-0005-0000-0000-0000747F0000}"/>
    <cellStyle name="Normal 43 3 2" xfId="32630" xr:uid="{00000000-0005-0000-0000-0000757F0000}"/>
    <cellStyle name="Normal 43 4" xfId="32631" xr:uid="{00000000-0005-0000-0000-0000767F0000}"/>
    <cellStyle name="Normal 43 4 2" xfId="32632" xr:uid="{00000000-0005-0000-0000-0000777F0000}"/>
    <cellStyle name="Normal 43 5" xfId="32633" xr:uid="{00000000-0005-0000-0000-0000787F0000}"/>
    <cellStyle name="Normal 43 5 2" xfId="32634" xr:uid="{00000000-0005-0000-0000-0000797F0000}"/>
    <cellStyle name="Normal 43 6" xfId="32635" xr:uid="{00000000-0005-0000-0000-00007A7F0000}"/>
    <cellStyle name="Normal 44" xfId="32636" xr:uid="{00000000-0005-0000-0000-00007B7F0000}"/>
    <cellStyle name="Normal 44 2" xfId="32637" xr:uid="{00000000-0005-0000-0000-00007C7F0000}"/>
    <cellStyle name="Normal 44 2 2" xfId="32638" xr:uid="{00000000-0005-0000-0000-00007D7F0000}"/>
    <cellStyle name="Normal 44 3" xfId="32639" xr:uid="{00000000-0005-0000-0000-00007E7F0000}"/>
    <cellStyle name="Normal 44 3 2" xfId="32640" xr:uid="{00000000-0005-0000-0000-00007F7F0000}"/>
    <cellStyle name="Normal 44 4" xfId="32641" xr:uid="{00000000-0005-0000-0000-0000807F0000}"/>
    <cellStyle name="Normal 44 4 2" xfId="32642" xr:uid="{00000000-0005-0000-0000-0000817F0000}"/>
    <cellStyle name="Normal 44 5" xfId="32643" xr:uid="{00000000-0005-0000-0000-0000827F0000}"/>
    <cellStyle name="Normal 44 5 2" xfId="32644" xr:uid="{00000000-0005-0000-0000-0000837F0000}"/>
    <cellStyle name="Normal 44 6" xfId="32645" xr:uid="{00000000-0005-0000-0000-0000847F0000}"/>
    <cellStyle name="Normal 45" xfId="32646" xr:uid="{00000000-0005-0000-0000-0000857F0000}"/>
    <cellStyle name="Normal 45 2" xfId="32647" xr:uid="{00000000-0005-0000-0000-0000867F0000}"/>
    <cellStyle name="Normal 45 2 2" xfId="32648" xr:uid="{00000000-0005-0000-0000-0000877F0000}"/>
    <cellStyle name="Normal 45 3" xfId="32649" xr:uid="{00000000-0005-0000-0000-0000887F0000}"/>
    <cellStyle name="Normal 45 3 2" xfId="32650" xr:uid="{00000000-0005-0000-0000-0000897F0000}"/>
    <cellStyle name="Normal 45 4" xfId="32651" xr:uid="{00000000-0005-0000-0000-00008A7F0000}"/>
    <cellStyle name="Normal 45 4 2" xfId="32652" xr:uid="{00000000-0005-0000-0000-00008B7F0000}"/>
    <cellStyle name="Normal 45 5" xfId="32653" xr:uid="{00000000-0005-0000-0000-00008C7F0000}"/>
    <cellStyle name="Normal 45 5 2" xfId="32654" xr:uid="{00000000-0005-0000-0000-00008D7F0000}"/>
    <cellStyle name="Normal 45 6" xfId="32655" xr:uid="{00000000-0005-0000-0000-00008E7F0000}"/>
    <cellStyle name="Normal 46" xfId="32656" xr:uid="{00000000-0005-0000-0000-00008F7F0000}"/>
    <cellStyle name="Normal 46 2" xfId="32657" xr:uid="{00000000-0005-0000-0000-0000907F0000}"/>
    <cellStyle name="Normal 46 2 2" xfId="32658" xr:uid="{00000000-0005-0000-0000-0000917F0000}"/>
    <cellStyle name="Normal 46 3" xfId="32659" xr:uid="{00000000-0005-0000-0000-0000927F0000}"/>
    <cellStyle name="Normal 46 3 2" xfId="32660" xr:uid="{00000000-0005-0000-0000-0000937F0000}"/>
    <cellStyle name="Normal 46 4" xfId="32661" xr:uid="{00000000-0005-0000-0000-0000947F0000}"/>
    <cellStyle name="Normal 46 4 2" xfId="32662" xr:uid="{00000000-0005-0000-0000-0000957F0000}"/>
    <cellStyle name="Normal 46 5" xfId="32663" xr:uid="{00000000-0005-0000-0000-0000967F0000}"/>
    <cellStyle name="Normal 46 5 2" xfId="32664" xr:uid="{00000000-0005-0000-0000-0000977F0000}"/>
    <cellStyle name="Normal 46 6" xfId="32665" xr:uid="{00000000-0005-0000-0000-0000987F0000}"/>
    <cellStyle name="Normal 47" xfId="32666" xr:uid="{00000000-0005-0000-0000-0000997F0000}"/>
    <cellStyle name="Normal 47 2" xfId="32667" xr:uid="{00000000-0005-0000-0000-00009A7F0000}"/>
    <cellStyle name="Normal 47 2 2" xfId="32668" xr:uid="{00000000-0005-0000-0000-00009B7F0000}"/>
    <cellStyle name="Normal 47 3" xfId="32669" xr:uid="{00000000-0005-0000-0000-00009C7F0000}"/>
    <cellStyle name="Normal 47 3 2" xfId="32670" xr:uid="{00000000-0005-0000-0000-00009D7F0000}"/>
    <cellStyle name="Normal 47 4" xfId="32671" xr:uid="{00000000-0005-0000-0000-00009E7F0000}"/>
    <cellStyle name="Normal 47 4 2" xfId="32672" xr:uid="{00000000-0005-0000-0000-00009F7F0000}"/>
    <cellStyle name="Normal 47 5" xfId="32673" xr:uid="{00000000-0005-0000-0000-0000A07F0000}"/>
    <cellStyle name="Normal 47 5 2" xfId="32674" xr:uid="{00000000-0005-0000-0000-0000A17F0000}"/>
    <cellStyle name="Normal 47 6" xfId="32675" xr:uid="{00000000-0005-0000-0000-0000A27F0000}"/>
    <cellStyle name="Normal 48" xfId="32676" xr:uid="{00000000-0005-0000-0000-0000A37F0000}"/>
    <cellStyle name="Normal 48 2" xfId="32677" xr:uid="{00000000-0005-0000-0000-0000A47F0000}"/>
    <cellStyle name="Normal 48 2 2" xfId="32678" xr:uid="{00000000-0005-0000-0000-0000A57F0000}"/>
    <cellStyle name="Normal 48 3" xfId="32679" xr:uid="{00000000-0005-0000-0000-0000A67F0000}"/>
    <cellStyle name="Normal 48 3 2" xfId="32680" xr:uid="{00000000-0005-0000-0000-0000A77F0000}"/>
    <cellStyle name="Normal 48 4" xfId="32681" xr:uid="{00000000-0005-0000-0000-0000A87F0000}"/>
    <cellStyle name="Normal 48 4 2" xfId="32682" xr:uid="{00000000-0005-0000-0000-0000A97F0000}"/>
    <cellStyle name="Normal 48 5" xfId="32683" xr:uid="{00000000-0005-0000-0000-0000AA7F0000}"/>
    <cellStyle name="Normal 48 5 2" xfId="32684" xr:uid="{00000000-0005-0000-0000-0000AB7F0000}"/>
    <cellStyle name="Normal 48 6" xfId="32685" xr:uid="{00000000-0005-0000-0000-0000AC7F0000}"/>
    <cellStyle name="Normal 49" xfId="32686" xr:uid="{00000000-0005-0000-0000-0000AD7F0000}"/>
    <cellStyle name="Normal 49 2" xfId="32687" xr:uid="{00000000-0005-0000-0000-0000AE7F0000}"/>
    <cellStyle name="Normal 49 2 2" xfId="32688" xr:uid="{00000000-0005-0000-0000-0000AF7F0000}"/>
    <cellStyle name="Normal 49 3" xfId="32689" xr:uid="{00000000-0005-0000-0000-0000B07F0000}"/>
    <cellStyle name="Normal 49 3 2" xfId="32690" xr:uid="{00000000-0005-0000-0000-0000B17F0000}"/>
    <cellStyle name="Normal 49 4" xfId="32691" xr:uid="{00000000-0005-0000-0000-0000B27F0000}"/>
    <cellStyle name="Normal 49 4 2" xfId="32692" xr:uid="{00000000-0005-0000-0000-0000B37F0000}"/>
    <cellStyle name="Normal 49 5" xfId="32693" xr:uid="{00000000-0005-0000-0000-0000B47F0000}"/>
    <cellStyle name="Normal 49 5 2" xfId="32694" xr:uid="{00000000-0005-0000-0000-0000B57F0000}"/>
    <cellStyle name="Normal 49 6" xfId="32695" xr:uid="{00000000-0005-0000-0000-0000B67F0000}"/>
    <cellStyle name="Normal 5" xfId="34" xr:uid="{00000000-0005-0000-0000-0000B77F0000}"/>
    <cellStyle name="Normal 5 10" xfId="32696" xr:uid="{00000000-0005-0000-0000-0000B87F0000}"/>
    <cellStyle name="Normal 5 10 2" xfId="32697" xr:uid="{00000000-0005-0000-0000-0000B97F0000}"/>
    <cellStyle name="Normal 5 11" xfId="32698" xr:uid="{00000000-0005-0000-0000-0000BA7F0000}"/>
    <cellStyle name="Normal 5 11 2" xfId="32699" xr:uid="{00000000-0005-0000-0000-0000BB7F0000}"/>
    <cellStyle name="Normal 5 12" xfId="32700" xr:uid="{00000000-0005-0000-0000-0000BC7F0000}"/>
    <cellStyle name="Normal 5 12 2" xfId="32701" xr:uid="{00000000-0005-0000-0000-0000BD7F0000}"/>
    <cellStyle name="Normal 5 13" xfId="32702" xr:uid="{00000000-0005-0000-0000-0000BE7F0000}"/>
    <cellStyle name="Normal 5 13 2" xfId="32703" xr:uid="{00000000-0005-0000-0000-0000BF7F0000}"/>
    <cellStyle name="Normal 5 14" xfId="32704" xr:uid="{00000000-0005-0000-0000-0000C07F0000}"/>
    <cellStyle name="Normal 5 14 2" xfId="32705" xr:uid="{00000000-0005-0000-0000-0000C17F0000}"/>
    <cellStyle name="Normal 5 15" xfId="32706" xr:uid="{00000000-0005-0000-0000-0000C27F0000}"/>
    <cellStyle name="Normal 5 15 2" xfId="32707" xr:uid="{00000000-0005-0000-0000-0000C37F0000}"/>
    <cellStyle name="Normal 5 16" xfId="32708" xr:uid="{00000000-0005-0000-0000-0000C47F0000}"/>
    <cellStyle name="Normal 5 16 2" xfId="32709" xr:uid="{00000000-0005-0000-0000-0000C57F0000}"/>
    <cellStyle name="Normal 5 17" xfId="32710" xr:uid="{00000000-0005-0000-0000-0000C67F0000}"/>
    <cellStyle name="Normal 5 17 10" xfId="32711" xr:uid="{00000000-0005-0000-0000-0000C77F0000}"/>
    <cellStyle name="Normal 5 17 11" xfId="32712" xr:uid="{00000000-0005-0000-0000-0000C87F0000}"/>
    <cellStyle name="Normal 5 17 12" xfId="32713" xr:uid="{00000000-0005-0000-0000-0000C97F0000}"/>
    <cellStyle name="Normal 5 17 2" xfId="32714" xr:uid="{00000000-0005-0000-0000-0000CA7F0000}"/>
    <cellStyle name="Normal 5 17 3" xfId="32715" xr:uid="{00000000-0005-0000-0000-0000CB7F0000}"/>
    <cellStyle name="Normal 5 17 3 2" xfId="32716" xr:uid="{00000000-0005-0000-0000-0000CC7F0000}"/>
    <cellStyle name="Normal 5 17 3 2 2" xfId="32717" xr:uid="{00000000-0005-0000-0000-0000CD7F0000}"/>
    <cellStyle name="Normal 5 17 3 2 3" xfId="32718" xr:uid="{00000000-0005-0000-0000-0000CE7F0000}"/>
    <cellStyle name="Normal 5 17 3 2 4" xfId="32719" xr:uid="{00000000-0005-0000-0000-0000CF7F0000}"/>
    <cellStyle name="Normal 5 17 3 2 5" xfId="32720" xr:uid="{00000000-0005-0000-0000-0000D07F0000}"/>
    <cellStyle name="Normal 5 17 3 2 6" xfId="32721" xr:uid="{00000000-0005-0000-0000-0000D17F0000}"/>
    <cellStyle name="Normal 5 17 3 3" xfId="32722" xr:uid="{00000000-0005-0000-0000-0000D27F0000}"/>
    <cellStyle name="Normal 5 17 3 3 2" xfId="32723" xr:uid="{00000000-0005-0000-0000-0000D37F0000}"/>
    <cellStyle name="Normal 5 17 3 3 3" xfId="32724" xr:uid="{00000000-0005-0000-0000-0000D47F0000}"/>
    <cellStyle name="Normal 5 17 3 3 4" xfId="32725" xr:uid="{00000000-0005-0000-0000-0000D57F0000}"/>
    <cellStyle name="Normal 5 17 3 3 5" xfId="32726" xr:uid="{00000000-0005-0000-0000-0000D67F0000}"/>
    <cellStyle name="Normal 5 17 3 3 6" xfId="32727" xr:uid="{00000000-0005-0000-0000-0000D77F0000}"/>
    <cellStyle name="Normal 5 17 3 4" xfId="32728" xr:uid="{00000000-0005-0000-0000-0000D87F0000}"/>
    <cellStyle name="Normal 5 17 3 5" xfId="32729" xr:uid="{00000000-0005-0000-0000-0000D97F0000}"/>
    <cellStyle name="Normal 5 17 3 6" xfId="32730" xr:uid="{00000000-0005-0000-0000-0000DA7F0000}"/>
    <cellStyle name="Normal 5 17 3 7" xfId="32731" xr:uid="{00000000-0005-0000-0000-0000DB7F0000}"/>
    <cellStyle name="Normal 5 17 3 8" xfId="32732" xr:uid="{00000000-0005-0000-0000-0000DC7F0000}"/>
    <cellStyle name="Normal 5 17 4" xfId="32733" xr:uid="{00000000-0005-0000-0000-0000DD7F0000}"/>
    <cellStyle name="Normal 5 17 4 2" xfId="32734" xr:uid="{00000000-0005-0000-0000-0000DE7F0000}"/>
    <cellStyle name="Normal 5 17 4 2 2" xfId="32735" xr:uid="{00000000-0005-0000-0000-0000DF7F0000}"/>
    <cellStyle name="Normal 5 17 4 2 3" xfId="32736" xr:uid="{00000000-0005-0000-0000-0000E07F0000}"/>
    <cellStyle name="Normal 5 17 4 2 4" xfId="32737" xr:uid="{00000000-0005-0000-0000-0000E17F0000}"/>
    <cellStyle name="Normal 5 17 4 2 5" xfId="32738" xr:uid="{00000000-0005-0000-0000-0000E27F0000}"/>
    <cellStyle name="Normal 5 17 4 2 6" xfId="32739" xr:uid="{00000000-0005-0000-0000-0000E37F0000}"/>
    <cellStyle name="Normal 5 17 4 3" xfId="32740" xr:uid="{00000000-0005-0000-0000-0000E47F0000}"/>
    <cellStyle name="Normal 5 17 4 3 2" xfId="32741" xr:uid="{00000000-0005-0000-0000-0000E57F0000}"/>
    <cellStyle name="Normal 5 17 4 3 3" xfId="32742" xr:uid="{00000000-0005-0000-0000-0000E67F0000}"/>
    <cellStyle name="Normal 5 17 4 3 4" xfId="32743" xr:uid="{00000000-0005-0000-0000-0000E77F0000}"/>
    <cellStyle name="Normal 5 17 4 3 5" xfId="32744" xr:uid="{00000000-0005-0000-0000-0000E87F0000}"/>
    <cellStyle name="Normal 5 17 4 3 6" xfId="32745" xr:uid="{00000000-0005-0000-0000-0000E97F0000}"/>
    <cellStyle name="Normal 5 17 4 4" xfId="32746" xr:uid="{00000000-0005-0000-0000-0000EA7F0000}"/>
    <cellStyle name="Normal 5 17 4 5" xfId="32747" xr:uid="{00000000-0005-0000-0000-0000EB7F0000}"/>
    <cellStyle name="Normal 5 17 4 6" xfId="32748" xr:uid="{00000000-0005-0000-0000-0000EC7F0000}"/>
    <cellStyle name="Normal 5 17 4 7" xfId="32749" xr:uid="{00000000-0005-0000-0000-0000ED7F0000}"/>
    <cellStyle name="Normal 5 17 4 8" xfId="32750" xr:uid="{00000000-0005-0000-0000-0000EE7F0000}"/>
    <cellStyle name="Normal 5 17 5" xfId="32751" xr:uid="{00000000-0005-0000-0000-0000EF7F0000}"/>
    <cellStyle name="Normal 5 17 5 2" xfId="32752" xr:uid="{00000000-0005-0000-0000-0000F07F0000}"/>
    <cellStyle name="Normal 5 17 5 2 2" xfId="32753" xr:uid="{00000000-0005-0000-0000-0000F17F0000}"/>
    <cellStyle name="Normal 5 17 5 2 3" xfId="32754" xr:uid="{00000000-0005-0000-0000-0000F27F0000}"/>
    <cellStyle name="Normal 5 17 5 2 4" xfId="32755" xr:uid="{00000000-0005-0000-0000-0000F37F0000}"/>
    <cellStyle name="Normal 5 17 5 2 5" xfId="32756" xr:uid="{00000000-0005-0000-0000-0000F47F0000}"/>
    <cellStyle name="Normal 5 17 5 2 6" xfId="32757" xr:uid="{00000000-0005-0000-0000-0000F57F0000}"/>
    <cellStyle name="Normal 5 17 5 3" xfId="32758" xr:uid="{00000000-0005-0000-0000-0000F67F0000}"/>
    <cellStyle name="Normal 5 17 5 3 2" xfId="32759" xr:uid="{00000000-0005-0000-0000-0000F77F0000}"/>
    <cellStyle name="Normal 5 17 5 3 3" xfId="32760" xr:uid="{00000000-0005-0000-0000-0000F87F0000}"/>
    <cellStyle name="Normal 5 17 5 3 4" xfId="32761" xr:uid="{00000000-0005-0000-0000-0000F97F0000}"/>
    <cellStyle name="Normal 5 17 5 3 5" xfId="32762" xr:uid="{00000000-0005-0000-0000-0000FA7F0000}"/>
    <cellStyle name="Normal 5 17 5 3 6" xfId="32763" xr:uid="{00000000-0005-0000-0000-0000FB7F0000}"/>
    <cellStyle name="Normal 5 17 5 4" xfId="32764" xr:uid="{00000000-0005-0000-0000-0000FC7F0000}"/>
    <cellStyle name="Normal 5 17 5 5" xfId="32765" xr:uid="{00000000-0005-0000-0000-0000FD7F0000}"/>
    <cellStyle name="Normal 5 17 5 6" xfId="32766" xr:uid="{00000000-0005-0000-0000-0000FE7F0000}"/>
    <cellStyle name="Normal 5 17 5 7" xfId="32767" xr:uid="{00000000-0005-0000-0000-0000FF7F0000}"/>
    <cellStyle name="Normal 5 17 5 8" xfId="32768" xr:uid="{00000000-0005-0000-0000-000000800000}"/>
    <cellStyle name="Normal 5 17 6" xfId="32769" xr:uid="{00000000-0005-0000-0000-000001800000}"/>
    <cellStyle name="Normal 5 17 6 2" xfId="32770" xr:uid="{00000000-0005-0000-0000-000002800000}"/>
    <cellStyle name="Normal 5 17 6 3" xfId="32771" xr:uid="{00000000-0005-0000-0000-000003800000}"/>
    <cellStyle name="Normal 5 17 6 4" xfId="32772" xr:uid="{00000000-0005-0000-0000-000004800000}"/>
    <cellStyle name="Normal 5 17 6 5" xfId="32773" xr:uid="{00000000-0005-0000-0000-000005800000}"/>
    <cellStyle name="Normal 5 17 6 6" xfId="32774" xr:uid="{00000000-0005-0000-0000-000006800000}"/>
    <cellStyle name="Normal 5 17 7" xfId="32775" xr:uid="{00000000-0005-0000-0000-000007800000}"/>
    <cellStyle name="Normal 5 17 7 2" xfId="32776" xr:uid="{00000000-0005-0000-0000-000008800000}"/>
    <cellStyle name="Normal 5 17 7 3" xfId="32777" xr:uid="{00000000-0005-0000-0000-000009800000}"/>
    <cellStyle name="Normal 5 17 7 4" xfId="32778" xr:uid="{00000000-0005-0000-0000-00000A800000}"/>
    <cellStyle name="Normal 5 17 7 5" xfId="32779" xr:uid="{00000000-0005-0000-0000-00000B800000}"/>
    <cellStyle name="Normal 5 17 7 6" xfId="32780" xr:uid="{00000000-0005-0000-0000-00000C800000}"/>
    <cellStyle name="Normal 5 17 8" xfId="32781" xr:uid="{00000000-0005-0000-0000-00000D800000}"/>
    <cellStyle name="Normal 5 17 9" xfId="32782" xr:uid="{00000000-0005-0000-0000-00000E800000}"/>
    <cellStyle name="Normal 5 18" xfId="32783" xr:uid="{00000000-0005-0000-0000-00000F800000}"/>
    <cellStyle name="Normal 5 18 10" xfId="32784" xr:uid="{00000000-0005-0000-0000-000010800000}"/>
    <cellStyle name="Normal 5 18 11" xfId="32785" xr:uid="{00000000-0005-0000-0000-000011800000}"/>
    <cellStyle name="Normal 5 18 2" xfId="32786" xr:uid="{00000000-0005-0000-0000-000012800000}"/>
    <cellStyle name="Normal 5 18 2 2" xfId="32787" xr:uid="{00000000-0005-0000-0000-000013800000}"/>
    <cellStyle name="Normal 5 18 2 2 2" xfId="32788" xr:uid="{00000000-0005-0000-0000-000014800000}"/>
    <cellStyle name="Normal 5 18 2 2 3" xfId="32789" xr:uid="{00000000-0005-0000-0000-000015800000}"/>
    <cellStyle name="Normal 5 18 2 2 4" xfId="32790" xr:uid="{00000000-0005-0000-0000-000016800000}"/>
    <cellStyle name="Normal 5 18 2 2 5" xfId="32791" xr:uid="{00000000-0005-0000-0000-000017800000}"/>
    <cellStyle name="Normal 5 18 2 2 6" xfId="32792" xr:uid="{00000000-0005-0000-0000-000018800000}"/>
    <cellStyle name="Normal 5 18 2 3" xfId="32793" xr:uid="{00000000-0005-0000-0000-000019800000}"/>
    <cellStyle name="Normal 5 18 2 3 2" xfId="32794" xr:uid="{00000000-0005-0000-0000-00001A800000}"/>
    <cellStyle name="Normal 5 18 2 3 3" xfId="32795" xr:uid="{00000000-0005-0000-0000-00001B800000}"/>
    <cellStyle name="Normal 5 18 2 3 4" xfId="32796" xr:uid="{00000000-0005-0000-0000-00001C800000}"/>
    <cellStyle name="Normal 5 18 2 3 5" xfId="32797" xr:uid="{00000000-0005-0000-0000-00001D800000}"/>
    <cellStyle name="Normal 5 18 2 3 6" xfId="32798" xr:uid="{00000000-0005-0000-0000-00001E800000}"/>
    <cellStyle name="Normal 5 18 2 4" xfId="32799" xr:uid="{00000000-0005-0000-0000-00001F800000}"/>
    <cellStyle name="Normal 5 18 2 5" xfId="32800" xr:uid="{00000000-0005-0000-0000-000020800000}"/>
    <cellStyle name="Normal 5 18 2 6" xfId="32801" xr:uid="{00000000-0005-0000-0000-000021800000}"/>
    <cellStyle name="Normal 5 18 2 7" xfId="32802" xr:uid="{00000000-0005-0000-0000-000022800000}"/>
    <cellStyle name="Normal 5 18 2 8" xfId="32803" xr:uid="{00000000-0005-0000-0000-000023800000}"/>
    <cellStyle name="Normal 5 18 3" xfId="32804" xr:uid="{00000000-0005-0000-0000-000024800000}"/>
    <cellStyle name="Normal 5 18 3 2" xfId="32805" xr:uid="{00000000-0005-0000-0000-000025800000}"/>
    <cellStyle name="Normal 5 18 3 2 2" xfId="32806" xr:uid="{00000000-0005-0000-0000-000026800000}"/>
    <cellStyle name="Normal 5 18 3 2 3" xfId="32807" xr:uid="{00000000-0005-0000-0000-000027800000}"/>
    <cellStyle name="Normal 5 18 3 2 4" xfId="32808" xr:uid="{00000000-0005-0000-0000-000028800000}"/>
    <cellStyle name="Normal 5 18 3 2 5" xfId="32809" xr:uid="{00000000-0005-0000-0000-000029800000}"/>
    <cellStyle name="Normal 5 18 3 2 6" xfId="32810" xr:uid="{00000000-0005-0000-0000-00002A800000}"/>
    <cellStyle name="Normal 5 18 3 3" xfId="32811" xr:uid="{00000000-0005-0000-0000-00002B800000}"/>
    <cellStyle name="Normal 5 18 3 3 2" xfId="32812" xr:uid="{00000000-0005-0000-0000-00002C800000}"/>
    <cellStyle name="Normal 5 18 3 3 3" xfId="32813" xr:uid="{00000000-0005-0000-0000-00002D800000}"/>
    <cellStyle name="Normal 5 18 3 3 4" xfId="32814" xr:uid="{00000000-0005-0000-0000-00002E800000}"/>
    <cellStyle name="Normal 5 18 3 3 5" xfId="32815" xr:uid="{00000000-0005-0000-0000-00002F800000}"/>
    <cellStyle name="Normal 5 18 3 3 6" xfId="32816" xr:uid="{00000000-0005-0000-0000-000030800000}"/>
    <cellStyle name="Normal 5 18 3 4" xfId="32817" xr:uid="{00000000-0005-0000-0000-000031800000}"/>
    <cellStyle name="Normal 5 18 3 5" xfId="32818" xr:uid="{00000000-0005-0000-0000-000032800000}"/>
    <cellStyle name="Normal 5 18 3 6" xfId="32819" xr:uid="{00000000-0005-0000-0000-000033800000}"/>
    <cellStyle name="Normal 5 18 3 7" xfId="32820" xr:uid="{00000000-0005-0000-0000-000034800000}"/>
    <cellStyle name="Normal 5 18 3 8" xfId="32821" xr:uid="{00000000-0005-0000-0000-000035800000}"/>
    <cellStyle name="Normal 5 18 4" xfId="32822" xr:uid="{00000000-0005-0000-0000-000036800000}"/>
    <cellStyle name="Normal 5 18 4 2" xfId="32823" xr:uid="{00000000-0005-0000-0000-000037800000}"/>
    <cellStyle name="Normal 5 18 4 2 2" xfId="32824" xr:uid="{00000000-0005-0000-0000-000038800000}"/>
    <cellStyle name="Normal 5 18 4 2 3" xfId="32825" xr:uid="{00000000-0005-0000-0000-000039800000}"/>
    <cellStyle name="Normal 5 18 4 2 4" xfId="32826" xr:uid="{00000000-0005-0000-0000-00003A800000}"/>
    <cellStyle name="Normal 5 18 4 2 5" xfId="32827" xr:uid="{00000000-0005-0000-0000-00003B800000}"/>
    <cellStyle name="Normal 5 18 4 2 6" xfId="32828" xr:uid="{00000000-0005-0000-0000-00003C800000}"/>
    <cellStyle name="Normal 5 18 4 3" xfId="32829" xr:uid="{00000000-0005-0000-0000-00003D800000}"/>
    <cellStyle name="Normal 5 18 4 3 2" xfId="32830" xr:uid="{00000000-0005-0000-0000-00003E800000}"/>
    <cellStyle name="Normal 5 18 4 3 3" xfId="32831" xr:uid="{00000000-0005-0000-0000-00003F800000}"/>
    <cellStyle name="Normal 5 18 4 3 4" xfId="32832" xr:uid="{00000000-0005-0000-0000-000040800000}"/>
    <cellStyle name="Normal 5 18 4 3 5" xfId="32833" xr:uid="{00000000-0005-0000-0000-000041800000}"/>
    <cellStyle name="Normal 5 18 4 3 6" xfId="32834" xr:uid="{00000000-0005-0000-0000-000042800000}"/>
    <cellStyle name="Normal 5 18 4 4" xfId="32835" xr:uid="{00000000-0005-0000-0000-000043800000}"/>
    <cellStyle name="Normal 5 18 4 5" xfId="32836" xr:uid="{00000000-0005-0000-0000-000044800000}"/>
    <cellStyle name="Normal 5 18 4 6" xfId="32837" xr:uid="{00000000-0005-0000-0000-000045800000}"/>
    <cellStyle name="Normal 5 18 4 7" xfId="32838" xr:uid="{00000000-0005-0000-0000-000046800000}"/>
    <cellStyle name="Normal 5 18 4 8" xfId="32839" xr:uid="{00000000-0005-0000-0000-000047800000}"/>
    <cellStyle name="Normal 5 18 5" xfId="32840" xr:uid="{00000000-0005-0000-0000-000048800000}"/>
    <cellStyle name="Normal 5 18 5 2" xfId="32841" xr:uid="{00000000-0005-0000-0000-000049800000}"/>
    <cellStyle name="Normal 5 18 5 3" xfId="32842" xr:uid="{00000000-0005-0000-0000-00004A800000}"/>
    <cellStyle name="Normal 5 18 5 4" xfId="32843" xr:uid="{00000000-0005-0000-0000-00004B800000}"/>
    <cellStyle name="Normal 5 18 5 5" xfId="32844" xr:uid="{00000000-0005-0000-0000-00004C800000}"/>
    <cellStyle name="Normal 5 18 5 6" xfId="32845" xr:uid="{00000000-0005-0000-0000-00004D800000}"/>
    <cellStyle name="Normal 5 18 6" xfId="32846" xr:uid="{00000000-0005-0000-0000-00004E800000}"/>
    <cellStyle name="Normal 5 18 6 2" xfId="32847" xr:uid="{00000000-0005-0000-0000-00004F800000}"/>
    <cellStyle name="Normal 5 18 6 3" xfId="32848" xr:uid="{00000000-0005-0000-0000-000050800000}"/>
    <cellStyle name="Normal 5 18 6 4" xfId="32849" xr:uid="{00000000-0005-0000-0000-000051800000}"/>
    <cellStyle name="Normal 5 18 6 5" xfId="32850" xr:uid="{00000000-0005-0000-0000-000052800000}"/>
    <cellStyle name="Normal 5 18 6 6" xfId="32851" xr:uid="{00000000-0005-0000-0000-000053800000}"/>
    <cellStyle name="Normal 5 18 7" xfId="32852" xr:uid="{00000000-0005-0000-0000-000054800000}"/>
    <cellStyle name="Normal 5 18 8" xfId="32853" xr:uid="{00000000-0005-0000-0000-000055800000}"/>
    <cellStyle name="Normal 5 18 9" xfId="32854" xr:uid="{00000000-0005-0000-0000-000056800000}"/>
    <cellStyle name="Normal 5 19" xfId="32855" xr:uid="{00000000-0005-0000-0000-000057800000}"/>
    <cellStyle name="Normal 5 19 2" xfId="32856" xr:uid="{00000000-0005-0000-0000-000058800000}"/>
    <cellStyle name="Normal 5 19 2 2" xfId="32857" xr:uid="{00000000-0005-0000-0000-000059800000}"/>
    <cellStyle name="Normal 5 19 2 3" xfId="32858" xr:uid="{00000000-0005-0000-0000-00005A800000}"/>
    <cellStyle name="Normal 5 19 2 4" xfId="32859" xr:uid="{00000000-0005-0000-0000-00005B800000}"/>
    <cellStyle name="Normal 5 19 2 5" xfId="32860" xr:uid="{00000000-0005-0000-0000-00005C800000}"/>
    <cellStyle name="Normal 5 19 2 6" xfId="32861" xr:uid="{00000000-0005-0000-0000-00005D800000}"/>
    <cellStyle name="Normal 5 19 3" xfId="32862" xr:uid="{00000000-0005-0000-0000-00005E800000}"/>
    <cellStyle name="Normal 5 19 3 2" xfId="32863" xr:uid="{00000000-0005-0000-0000-00005F800000}"/>
    <cellStyle name="Normal 5 19 3 3" xfId="32864" xr:uid="{00000000-0005-0000-0000-000060800000}"/>
    <cellStyle name="Normal 5 19 3 4" xfId="32865" xr:uid="{00000000-0005-0000-0000-000061800000}"/>
    <cellStyle name="Normal 5 19 3 5" xfId="32866" xr:uid="{00000000-0005-0000-0000-000062800000}"/>
    <cellStyle name="Normal 5 19 3 6" xfId="32867" xr:uid="{00000000-0005-0000-0000-000063800000}"/>
    <cellStyle name="Normal 5 19 4" xfId="32868" xr:uid="{00000000-0005-0000-0000-000064800000}"/>
    <cellStyle name="Normal 5 19 5" xfId="32869" xr:uid="{00000000-0005-0000-0000-000065800000}"/>
    <cellStyle name="Normal 5 19 6" xfId="32870" xr:uid="{00000000-0005-0000-0000-000066800000}"/>
    <cellStyle name="Normal 5 19 7" xfId="32871" xr:uid="{00000000-0005-0000-0000-000067800000}"/>
    <cellStyle name="Normal 5 19 8" xfId="32872" xr:uid="{00000000-0005-0000-0000-000068800000}"/>
    <cellStyle name="Normal 5 2" xfId="32873" xr:uid="{00000000-0005-0000-0000-000069800000}"/>
    <cellStyle name="Normal 5 2 2" xfId="32874" xr:uid="{00000000-0005-0000-0000-00006A800000}"/>
    <cellStyle name="Normal 5 20" xfId="32875" xr:uid="{00000000-0005-0000-0000-00006B800000}"/>
    <cellStyle name="Normal 5 20 2" xfId="32876" xr:uid="{00000000-0005-0000-0000-00006C800000}"/>
    <cellStyle name="Normal 5 20 2 2" xfId="32877" xr:uid="{00000000-0005-0000-0000-00006D800000}"/>
    <cellStyle name="Normal 5 20 2 3" xfId="32878" xr:uid="{00000000-0005-0000-0000-00006E800000}"/>
    <cellStyle name="Normal 5 20 2 4" xfId="32879" xr:uid="{00000000-0005-0000-0000-00006F800000}"/>
    <cellStyle name="Normal 5 20 2 5" xfId="32880" xr:uid="{00000000-0005-0000-0000-000070800000}"/>
    <cellStyle name="Normal 5 20 2 6" xfId="32881" xr:uid="{00000000-0005-0000-0000-000071800000}"/>
    <cellStyle name="Normal 5 20 3" xfId="32882" xr:uid="{00000000-0005-0000-0000-000072800000}"/>
    <cellStyle name="Normal 5 20 3 2" xfId="32883" xr:uid="{00000000-0005-0000-0000-000073800000}"/>
    <cellStyle name="Normal 5 20 3 3" xfId="32884" xr:uid="{00000000-0005-0000-0000-000074800000}"/>
    <cellStyle name="Normal 5 20 3 4" xfId="32885" xr:uid="{00000000-0005-0000-0000-000075800000}"/>
    <cellStyle name="Normal 5 20 3 5" xfId="32886" xr:uid="{00000000-0005-0000-0000-000076800000}"/>
    <cellStyle name="Normal 5 20 3 6" xfId="32887" xr:uid="{00000000-0005-0000-0000-000077800000}"/>
    <cellStyle name="Normal 5 20 4" xfId="32888" xr:uid="{00000000-0005-0000-0000-000078800000}"/>
    <cellStyle name="Normal 5 20 5" xfId="32889" xr:uid="{00000000-0005-0000-0000-000079800000}"/>
    <cellStyle name="Normal 5 20 6" xfId="32890" xr:uid="{00000000-0005-0000-0000-00007A800000}"/>
    <cellStyle name="Normal 5 20 7" xfId="32891" xr:uid="{00000000-0005-0000-0000-00007B800000}"/>
    <cellStyle name="Normal 5 20 8" xfId="32892" xr:uid="{00000000-0005-0000-0000-00007C800000}"/>
    <cellStyle name="Normal 5 21" xfId="32893" xr:uid="{00000000-0005-0000-0000-00007D800000}"/>
    <cellStyle name="Normal 5 21 2" xfId="32894" xr:uid="{00000000-0005-0000-0000-00007E800000}"/>
    <cellStyle name="Normal 5 21 2 2" xfId="32895" xr:uid="{00000000-0005-0000-0000-00007F800000}"/>
    <cellStyle name="Normal 5 21 2 3" xfId="32896" xr:uid="{00000000-0005-0000-0000-000080800000}"/>
    <cellStyle name="Normal 5 21 2 4" xfId="32897" xr:uid="{00000000-0005-0000-0000-000081800000}"/>
    <cellStyle name="Normal 5 21 2 5" xfId="32898" xr:uid="{00000000-0005-0000-0000-000082800000}"/>
    <cellStyle name="Normal 5 21 2 6" xfId="32899" xr:uid="{00000000-0005-0000-0000-000083800000}"/>
    <cellStyle name="Normal 5 21 3" xfId="32900" xr:uid="{00000000-0005-0000-0000-000084800000}"/>
    <cellStyle name="Normal 5 21 3 2" xfId="32901" xr:uid="{00000000-0005-0000-0000-000085800000}"/>
    <cellStyle name="Normal 5 21 3 3" xfId="32902" xr:uid="{00000000-0005-0000-0000-000086800000}"/>
    <cellStyle name="Normal 5 21 3 4" xfId="32903" xr:uid="{00000000-0005-0000-0000-000087800000}"/>
    <cellStyle name="Normal 5 21 3 5" xfId="32904" xr:uid="{00000000-0005-0000-0000-000088800000}"/>
    <cellStyle name="Normal 5 21 3 6" xfId="32905" xr:uid="{00000000-0005-0000-0000-000089800000}"/>
    <cellStyle name="Normal 5 21 4" xfId="32906" xr:uid="{00000000-0005-0000-0000-00008A800000}"/>
    <cellStyle name="Normal 5 21 5" xfId="32907" xr:uid="{00000000-0005-0000-0000-00008B800000}"/>
    <cellStyle name="Normal 5 21 6" xfId="32908" xr:uid="{00000000-0005-0000-0000-00008C800000}"/>
    <cellStyle name="Normal 5 21 7" xfId="32909" xr:uid="{00000000-0005-0000-0000-00008D800000}"/>
    <cellStyle name="Normal 5 21 8" xfId="32910" xr:uid="{00000000-0005-0000-0000-00008E800000}"/>
    <cellStyle name="Normal 5 22" xfId="32911" xr:uid="{00000000-0005-0000-0000-00008F800000}"/>
    <cellStyle name="Normal 5 22 2" xfId="32912" xr:uid="{00000000-0005-0000-0000-000090800000}"/>
    <cellStyle name="Normal 5 22 3" xfId="32913" xr:uid="{00000000-0005-0000-0000-000091800000}"/>
    <cellStyle name="Normal 5 22 4" xfId="32914" xr:uid="{00000000-0005-0000-0000-000092800000}"/>
    <cellStyle name="Normal 5 22 5" xfId="32915" xr:uid="{00000000-0005-0000-0000-000093800000}"/>
    <cellStyle name="Normal 5 22 6" xfId="32916" xr:uid="{00000000-0005-0000-0000-000094800000}"/>
    <cellStyle name="Normal 5 23" xfId="32917" xr:uid="{00000000-0005-0000-0000-000095800000}"/>
    <cellStyle name="Normal 5 23 2" xfId="32918" xr:uid="{00000000-0005-0000-0000-000096800000}"/>
    <cellStyle name="Normal 5 23 3" xfId="32919" xr:uid="{00000000-0005-0000-0000-000097800000}"/>
    <cellStyle name="Normal 5 23 4" xfId="32920" xr:uid="{00000000-0005-0000-0000-000098800000}"/>
    <cellStyle name="Normal 5 23 5" xfId="32921" xr:uid="{00000000-0005-0000-0000-000099800000}"/>
    <cellStyle name="Normal 5 23 6" xfId="32922" xr:uid="{00000000-0005-0000-0000-00009A800000}"/>
    <cellStyle name="Normal 5 24" xfId="32923" xr:uid="{00000000-0005-0000-0000-00009B800000}"/>
    <cellStyle name="Normal 5 25" xfId="32924" xr:uid="{00000000-0005-0000-0000-00009C800000}"/>
    <cellStyle name="Normal 5 26" xfId="32925" xr:uid="{00000000-0005-0000-0000-00009D800000}"/>
    <cellStyle name="Normal 5 27" xfId="32926" xr:uid="{00000000-0005-0000-0000-00009E800000}"/>
    <cellStyle name="Normal 5 28" xfId="32927" xr:uid="{00000000-0005-0000-0000-00009F800000}"/>
    <cellStyle name="Normal 5 3" xfId="32928" xr:uid="{00000000-0005-0000-0000-0000A0800000}"/>
    <cellStyle name="Normal 5 3 2" xfId="32929" xr:uid="{00000000-0005-0000-0000-0000A1800000}"/>
    <cellStyle name="Normal 5 4" xfId="32930" xr:uid="{00000000-0005-0000-0000-0000A2800000}"/>
    <cellStyle name="Normal 5 4 2" xfId="32931" xr:uid="{00000000-0005-0000-0000-0000A3800000}"/>
    <cellStyle name="Normal 5 5" xfId="32932" xr:uid="{00000000-0005-0000-0000-0000A4800000}"/>
    <cellStyle name="Normal 5 5 2" xfId="32933" xr:uid="{00000000-0005-0000-0000-0000A5800000}"/>
    <cellStyle name="Normal 5 6" xfId="32934" xr:uid="{00000000-0005-0000-0000-0000A6800000}"/>
    <cellStyle name="Normal 5 6 2" xfId="32935" xr:uid="{00000000-0005-0000-0000-0000A7800000}"/>
    <cellStyle name="Normal 5 7" xfId="32936" xr:uid="{00000000-0005-0000-0000-0000A8800000}"/>
    <cellStyle name="Normal 5 7 2" xfId="32937" xr:uid="{00000000-0005-0000-0000-0000A9800000}"/>
    <cellStyle name="Normal 5 8" xfId="32938" xr:uid="{00000000-0005-0000-0000-0000AA800000}"/>
    <cellStyle name="Normal 5 8 2" xfId="32939" xr:uid="{00000000-0005-0000-0000-0000AB800000}"/>
    <cellStyle name="Normal 5 9" xfId="32940" xr:uid="{00000000-0005-0000-0000-0000AC800000}"/>
    <cellStyle name="Normal 5 9 2" xfId="32941" xr:uid="{00000000-0005-0000-0000-0000AD800000}"/>
    <cellStyle name="Normal 50" xfId="32942" xr:uid="{00000000-0005-0000-0000-0000AE800000}"/>
    <cellStyle name="Normal 50 2" xfId="32943" xr:uid="{00000000-0005-0000-0000-0000AF800000}"/>
    <cellStyle name="Normal 50 2 2" xfId="32944" xr:uid="{00000000-0005-0000-0000-0000B0800000}"/>
    <cellStyle name="Normal 50 3" xfId="32945" xr:uid="{00000000-0005-0000-0000-0000B1800000}"/>
    <cellStyle name="Normal 50 3 2" xfId="32946" xr:uid="{00000000-0005-0000-0000-0000B2800000}"/>
    <cellStyle name="Normal 50 4" xfId="32947" xr:uid="{00000000-0005-0000-0000-0000B3800000}"/>
    <cellStyle name="Normal 50 4 2" xfId="32948" xr:uid="{00000000-0005-0000-0000-0000B4800000}"/>
    <cellStyle name="Normal 50 5" xfId="32949" xr:uid="{00000000-0005-0000-0000-0000B5800000}"/>
    <cellStyle name="Normal 50 5 2" xfId="32950" xr:uid="{00000000-0005-0000-0000-0000B6800000}"/>
    <cellStyle name="Normal 50 6" xfId="32951" xr:uid="{00000000-0005-0000-0000-0000B7800000}"/>
    <cellStyle name="Normal 51" xfId="32952" xr:uid="{00000000-0005-0000-0000-0000B8800000}"/>
    <cellStyle name="Normal 51 2" xfId="32953" xr:uid="{00000000-0005-0000-0000-0000B9800000}"/>
    <cellStyle name="Normal 51 2 2" xfId="32954" xr:uid="{00000000-0005-0000-0000-0000BA800000}"/>
    <cellStyle name="Normal 51 3" xfId="32955" xr:uid="{00000000-0005-0000-0000-0000BB800000}"/>
    <cellStyle name="Normal 51 3 2" xfId="32956" xr:uid="{00000000-0005-0000-0000-0000BC800000}"/>
    <cellStyle name="Normal 51 4" xfId="32957" xr:uid="{00000000-0005-0000-0000-0000BD800000}"/>
    <cellStyle name="Normal 51 4 2" xfId="32958" xr:uid="{00000000-0005-0000-0000-0000BE800000}"/>
    <cellStyle name="Normal 51 5" xfId="32959" xr:uid="{00000000-0005-0000-0000-0000BF800000}"/>
    <cellStyle name="Normal 51 5 2" xfId="32960" xr:uid="{00000000-0005-0000-0000-0000C0800000}"/>
    <cellStyle name="Normal 51 6" xfId="32961" xr:uid="{00000000-0005-0000-0000-0000C1800000}"/>
    <cellStyle name="Normal 52" xfId="32962" xr:uid="{00000000-0005-0000-0000-0000C2800000}"/>
    <cellStyle name="Normal 52 2" xfId="32963" xr:uid="{00000000-0005-0000-0000-0000C3800000}"/>
    <cellStyle name="Normal 52 2 2" xfId="32964" xr:uid="{00000000-0005-0000-0000-0000C4800000}"/>
    <cellStyle name="Normal 52 3" xfId="32965" xr:uid="{00000000-0005-0000-0000-0000C5800000}"/>
    <cellStyle name="Normal 52 3 2" xfId="32966" xr:uid="{00000000-0005-0000-0000-0000C6800000}"/>
    <cellStyle name="Normal 52 4" xfId="32967" xr:uid="{00000000-0005-0000-0000-0000C7800000}"/>
    <cellStyle name="Normal 52 4 2" xfId="32968" xr:uid="{00000000-0005-0000-0000-0000C8800000}"/>
    <cellStyle name="Normal 52 5" xfId="32969" xr:uid="{00000000-0005-0000-0000-0000C9800000}"/>
    <cellStyle name="Normal 52 5 2" xfId="32970" xr:uid="{00000000-0005-0000-0000-0000CA800000}"/>
    <cellStyle name="Normal 52 6" xfId="32971" xr:uid="{00000000-0005-0000-0000-0000CB800000}"/>
    <cellStyle name="Normal 53" xfId="32972" xr:uid="{00000000-0005-0000-0000-0000CC800000}"/>
    <cellStyle name="Normal 53 2" xfId="32973" xr:uid="{00000000-0005-0000-0000-0000CD800000}"/>
    <cellStyle name="Normal 53 2 2" xfId="32974" xr:uid="{00000000-0005-0000-0000-0000CE800000}"/>
    <cellStyle name="Normal 53 3" xfId="32975" xr:uid="{00000000-0005-0000-0000-0000CF800000}"/>
    <cellStyle name="Normal 53 3 2" xfId="32976" xr:uid="{00000000-0005-0000-0000-0000D0800000}"/>
    <cellStyle name="Normal 53 4" xfId="32977" xr:uid="{00000000-0005-0000-0000-0000D1800000}"/>
    <cellStyle name="Normal 54" xfId="32978" xr:uid="{00000000-0005-0000-0000-0000D2800000}"/>
    <cellStyle name="Normal 54 2" xfId="32979" xr:uid="{00000000-0005-0000-0000-0000D3800000}"/>
    <cellStyle name="Normal 54 2 2" xfId="32980" xr:uid="{00000000-0005-0000-0000-0000D4800000}"/>
    <cellStyle name="Normal 54 3" xfId="32981" xr:uid="{00000000-0005-0000-0000-0000D5800000}"/>
    <cellStyle name="Normal 54 3 2" xfId="32982" xr:uid="{00000000-0005-0000-0000-0000D6800000}"/>
    <cellStyle name="Normal 54 4" xfId="32983" xr:uid="{00000000-0005-0000-0000-0000D7800000}"/>
    <cellStyle name="Normal 55" xfId="32984" xr:uid="{00000000-0005-0000-0000-0000D8800000}"/>
    <cellStyle name="Normal 55 10" xfId="32985" xr:uid="{00000000-0005-0000-0000-0000D9800000}"/>
    <cellStyle name="Normal 55 10 2" xfId="32986" xr:uid="{00000000-0005-0000-0000-0000DA800000}"/>
    <cellStyle name="Normal 55 10 2 2" xfId="32987" xr:uid="{00000000-0005-0000-0000-0000DB800000}"/>
    <cellStyle name="Normal 55 10 2 3" xfId="32988" xr:uid="{00000000-0005-0000-0000-0000DC800000}"/>
    <cellStyle name="Normal 55 10 2 4" xfId="32989" xr:uid="{00000000-0005-0000-0000-0000DD800000}"/>
    <cellStyle name="Normal 55 10 2 5" xfId="32990" xr:uid="{00000000-0005-0000-0000-0000DE800000}"/>
    <cellStyle name="Normal 55 10 2 6" xfId="32991" xr:uid="{00000000-0005-0000-0000-0000DF800000}"/>
    <cellStyle name="Normal 55 10 3" xfId="32992" xr:uid="{00000000-0005-0000-0000-0000E0800000}"/>
    <cellStyle name="Normal 55 10 3 2" xfId="32993" xr:uid="{00000000-0005-0000-0000-0000E1800000}"/>
    <cellStyle name="Normal 55 10 3 3" xfId="32994" xr:uid="{00000000-0005-0000-0000-0000E2800000}"/>
    <cellStyle name="Normal 55 10 3 4" xfId="32995" xr:uid="{00000000-0005-0000-0000-0000E3800000}"/>
    <cellStyle name="Normal 55 10 3 5" xfId="32996" xr:uid="{00000000-0005-0000-0000-0000E4800000}"/>
    <cellStyle name="Normal 55 10 3 6" xfId="32997" xr:uid="{00000000-0005-0000-0000-0000E5800000}"/>
    <cellStyle name="Normal 55 10 4" xfId="32998" xr:uid="{00000000-0005-0000-0000-0000E6800000}"/>
    <cellStyle name="Normal 55 10 5" xfId="32999" xr:uid="{00000000-0005-0000-0000-0000E7800000}"/>
    <cellStyle name="Normal 55 10 6" xfId="33000" xr:uid="{00000000-0005-0000-0000-0000E8800000}"/>
    <cellStyle name="Normal 55 10 7" xfId="33001" xr:uid="{00000000-0005-0000-0000-0000E9800000}"/>
    <cellStyle name="Normal 55 10 8" xfId="33002" xr:uid="{00000000-0005-0000-0000-0000EA800000}"/>
    <cellStyle name="Normal 55 11" xfId="33003" xr:uid="{00000000-0005-0000-0000-0000EB800000}"/>
    <cellStyle name="Normal 55 11 2" xfId="33004" xr:uid="{00000000-0005-0000-0000-0000EC800000}"/>
    <cellStyle name="Normal 55 11 3" xfId="33005" xr:uid="{00000000-0005-0000-0000-0000ED800000}"/>
    <cellStyle name="Normal 55 11 4" xfId="33006" xr:uid="{00000000-0005-0000-0000-0000EE800000}"/>
    <cellStyle name="Normal 55 11 5" xfId="33007" xr:uid="{00000000-0005-0000-0000-0000EF800000}"/>
    <cellStyle name="Normal 55 11 6" xfId="33008" xr:uid="{00000000-0005-0000-0000-0000F0800000}"/>
    <cellStyle name="Normal 55 12" xfId="33009" xr:uid="{00000000-0005-0000-0000-0000F1800000}"/>
    <cellStyle name="Normal 55 12 2" xfId="33010" xr:uid="{00000000-0005-0000-0000-0000F2800000}"/>
    <cellStyle name="Normal 55 12 3" xfId="33011" xr:uid="{00000000-0005-0000-0000-0000F3800000}"/>
    <cellStyle name="Normal 55 12 4" xfId="33012" xr:uid="{00000000-0005-0000-0000-0000F4800000}"/>
    <cellStyle name="Normal 55 12 5" xfId="33013" xr:uid="{00000000-0005-0000-0000-0000F5800000}"/>
    <cellStyle name="Normal 55 12 6" xfId="33014" xr:uid="{00000000-0005-0000-0000-0000F6800000}"/>
    <cellStyle name="Normal 55 13" xfId="33015" xr:uid="{00000000-0005-0000-0000-0000F7800000}"/>
    <cellStyle name="Normal 55 14" xfId="33016" xr:uid="{00000000-0005-0000-0000-0000F8800000}"/>
    <cellStyle name="Normal 55 15" xfId="33017" xr:uid="{00000000-0005-0000-0000-0000F9800000}"/>
    <cellStyle name="Normal 55 16" xfId="33018" xr:uid="{00000000-0005-0000-0000-0000FA800000}"/>
    <cellStyle name="Normal 55 17" xfId="33019" xr:uid="{00000000-0005-0000-0000-0000FB800000}"/>
    <cellStyle name="Normal 55 2" xfId="33020" xr:uid="{00000000-0005-0000-0000-0000FC800000}"/>
    <cellStyle name="Normal 55 2 10" xfId="33021" xr:uid="{00000000-0005-0000-0000-0000FD800000}"/>
    <cellStyle name="Normal 55 2 10 2" xfId="33022" xr:uid="{00000000-0005-0000-0000-0000FE800000}"/>
    <cellStyle name="Normal 55 2 10 3" xfId="33023" xr:uid="{00000000-0005-0000-0000-0000FF800000}"/>
    <cellStyle name="Normal 55 2 10 4" xfId="33024" xr:uid="{00000000-0005-0000-0000-000000810000}"/>
    <cellStyle name="Normal 55 2 10 5" xfId="33025" xr:uid="{00000000-0005-0000-0000-000001810000}"/>
    <cellStyle name="Normal 55 2 10 6" xfId="33026" xr:uid="{00000000-0005-0000-0000-000002810000}"/>
    <cellStyle name="Normal 55 2 11" xfId="33027" xr:uid="{00000000-0005-0000-0000-000003810000}"/>
    <cellStyle name="Normal 55 2 12" xfId="33028" xr:uid="{00000000-0005-0000-0000-000004810000}"/>
    <cellStyle name="Normal 55 2 13" xfId="33029" xr:uid="{00000000-0005-0000-0000-000005810000}"/>
    <cellStyle name="Normal 55 2 14" xfId="33030" xr:uid="{00000000-0005-0000-0000-000006810000}"/>
    <cellStyle name="Normal 55 2 15" xfId="33031" xr:uid="{00000000-0005-0000-0000-000007810000}"/>
    <cellStyle name="Normal 55 2 2" xfId="33032" xr:uid="{00000000-0005-0000-0000-000008810000}"/>
    <cellStyle name="Normal 55 2 2 10" xfId="33033" xr:uid="{00000000-0005-0000-0000-000009810000}"/>
    <cellStyle name="Normal 55 2 2 11" xfId="33034" xr:uid="{00000000-0005-0000-0000-00000A810000}"/>
    <cellStyle name="Normal 55 2 2 12" xfId="33035" xr:uid="{00000000-0005-0000-0000-00000B810000}"/>
    <cellStyle name="Normal 55 2 2 13" xfId="33036" xr:uid="{00000000-0005-0000-0000-00000C810000}"/>
    <cellStyle name="Normal 55 2 2 14" xfId="33037" xr:uid="{00000000-0005-0000-0000-00000D810000}"/>
    <cellStyle name="Normal 55 2 2 2" xfId="33038" xr:uid="{00000000-0005-0000-0000-00000E810000}"/>
    <cellStyle name="Normal 55 2 2 2 10" xfId="33039" xr:uid="{00000000-0005-0000-0000-00000F810000}"/>
    <cellStyle name="Normal 55 2 2 2 11" xfId="33040" xr:uid="{00000000-0005-0000-0000-000010810000}"/>
    <cellStyle name="Normal 55 2 2 2 12" xfId="33041" xr:uid="{00000000-0005-0000-0000-000011810000}"/>
    <cellStyle name="Normal 55 2 2 2 2" xfId="33042" xr:uid="{00000000-0005-0000-0000-000012810000}"/>
    <cellStyle name="Normal 55 2 2 2 2 10" xfId="33043" xr:uid="{00000000-0005-0000-0000-000013810000}"/>
    <cellStyle name="Normal 55 2 2 2 2 11" xfId="33044" xr:uid="{00000000-0005-0000-0000-000014810000}"/>
    <cellStyle name="Normal 55 2 2 2 2 2" xfId="33045" xr:uid="{00000000-0005-0000-0000-000015810000}"/>
    <cellStyle name="Normal 55 2 2 2 2 2 2" xfId="33046" xr:uid="{00000000-0005-0000-0000-000016810000}"/>
    <cellStyle name="Normal 55 2 2 2 2 2 2 2" xfId="33047" xr:uid="{00000000-0005-0000-0000-000017810000}"/>
    <cellStyle name="Normal 55 2 2 2 2 2 2 3" xfId="33048" xr:uid="{00000000-0005-0000-0000-000018810000}"/>
    <cellStyle name="Normal 55 2 2 2 2 2 2 4" xfId="33049" xr:uid="{00000000-0005-0000-0000-000019810000}"/>
    <cellStyle name="Normal 55 2 2 2 2 2 2 5" xfId="33050" xr:uid="{00000000-0005-0000-0000-00001A810000}"/>
    <cellStyle name="Normal 55 2 2 2 2 2 2 6" xfId="33051" xr:uid="{00000000-0005-0000-0000-00001B810000}"/>
    <cellStyle name="Normal 55 2 2 2 2 2 3" xfId="33052" xr:uid="{00000000-0005-0000-0000-00001C810000}"/>
    <cellStyle name="Normal 55 2 2 2 2 2 3 2" xfId="33053" xr:uid="{00000000-0005-0000-0000-00001D810000}"/>
    <cellStyle name="Normal 55 2 2 2 2 2 3 3" xfId="33054" xr:uid="{00000000-0005-0000-0000-00001E810000}"/>
    <cellStyle name="Normal 55 2 2 2 2 2 3 4" xfId="33055" xr:uid="{00000000-0005-0000-0000-00001F810000}"/>
    <cellStyle name="Normal 55 2 2 2 2 2 3 5" xfId="33056" xr:uid="{00000000-0005-0000-0000-000020810000}"/>
    <cellStyle name="Normal 55 2 2 2 2 2 3 6" xfId="33057" xr:uid="{00000000-0005-0000-0000-000021810000}"/>
    <cellStyle name="Normal 55 2 2 2 2 2 4" xfId="33058" xr:uid="{00000000-0005-0000-0000-000022810000}"/>
    <cellStyle name="Normal 55 2 2 2 2 2 5" xfId="33059" xr:uid="{00000000-0005-0000-0000-000023810000}"/>
    <cellStyle name="Normal 55 2 2 2 2 2 6" xfId="33060" xr:uid="{00000000-0005-0000-0000-000024810000}"/>
    <cellStyle name="Normal 55 2 2 2 2 2 7" xfId="33061" xr:uid="{00000000-0005-0000-0000-000025810000}"/>
    <cellStyle name="Normal 55 2 2 2 2 2 8" xfId="33062" xr:uid="{00000000-0005-0000-0000-000026810000}"/>
    <cellStyle name="Normal 55 2 2 2 2 3" xfId="33063" xr:uid="{00000000-0005-0000-0000-000027810000}"/>
    <cellStyle name="Normal 55 2 2 2 2 3 2" xfId="33064" xr:uid="{00000000-0005-0000-0000-000028810000}"/>
    <cellStyle name="Normal 55 2 2 2 2 3 2 2" xfId="33065" xr:uid="{00000000-0005-0000-0000-000029810000}"/>
    <cellStyle name="Normal 55 2 2 2 2 3 2 3" xfId="33066" xr:uid="{00000000-0005-0000-0000-00002A810000}"/>
    <cellStyle name="Normal 55 2 2 2 2 3 2 4" xfId="33067" xr:uid="{00000000-0005-0000-0000-00002B810000}"/>
    <cellStyle name="Normal 55 2 2 2 2 3 2 5" xfId="33068" xr:uid="{00000000-0005-0000-0000-00002C810000}"/>
    <cellStyle name="Normal 55 2 2 2 2 3 2 6" xfId="33069" xr:uid="{00000000-0005-0000-0000-00002D810000}"/>
    <cellStyle name="Normal 55 2 2 2 2 3 3" xfId="33070" xr:uid="{00000000-0005-0000-0000-00002E810000}"/>
    <cellStyle name="Normal 55 2 2 2 2 3 3 2" xfId="33071" xr:uid="{00000000-0005-0000-0000-00002F810000}"/>
    <cellStyle name="Normal 55 2 2 2 2 3 3 3" xfId="33072" xr:uid="{00000000-0005-0000-0000-000030810000}"/>
    <cellStyle name="Normal 55 2 2 2 2 3 3 4" xfId="33073" xr:uid="{00000000-0005-0000-0000-000031810000}"/>
    <cellStyle name="Normal 55 2 2 2 2 3 3 5" xfId="33074" xr:uid="{00000000-0005-0000-0000-000032810000}"/>
    <cellStyle name="Normal 55 2 2 2 2 3 3 6" xfId="33075" xr:uid="{00000000-0005-0000-0000-000033810000}"/>
    <cellStyle name="Normal 55 2 2 2 2 3 4" xfId="33076" xr:uid="{00000000-0005-0000-0000-000034810000}"/>
    <cellStyle name="Normal 55 2 2 2 2 3 5" xfId="33077" xr:uid="{00000000-0005-0000-0000-000035810000}"/>
    <cellStyle name="Normal 55 2 2 2 2 3 6" xfId="33078" xr:uid="{00000000-0005-0000-0000-000036810000}"/>
    <cellStyle name="Normal 55 2 2 2 2 3 7" xfId="33079" xr:uid="{00000000-0005-0000-0000-000037810000}"/>
    <cellStyle name="Normal 55 2 2 2 2 3 8" xfId="33080" xr:uid="{00000000-0005-0000-0000-000038810000}"/>
    <cellStyle name="Normal 55 2 2 2 2 4" xfId="33081" xr:uid="{00000000-0005-0000-0000-000039810000}"/>
    <cellStyle name="Normal 55 2 2 2 2 4 2" xfId="33082" xr:uid="{00000000-0005-0000-0000-00003A810000}"/>
    <cellStyle name="Normal 55 2 2 2 2 4 2 2" xfId="33083" xr:uid="{00000000-0005-0000-0000-00003B810000}"/>
    <cellStyle name="Normal 55 2 2 2 2 4 2 3" xfId="33084" xr:uid="{00000000-0005-0000-0000-00003C810000}"/>
    <cellStyle name="Normal 55 2 2 2 2 4 2 4" xfId="33085" xr:uid="{00000000-0005-0000-0000-00003D810000}"/>
    <cellStyle name="Normal 55 2 2 2 2 4 2 5" xfId="33086" xr:uid="{00000000-0005-0000-0000-00003E810000}"/>
    <cellStyle name="Normal 55 2 2 2 2 4 2 6" xfId="33087" xr:uid="{00000000-0005-0000-0000-00003F810000}"/>
    <cellStyle name="Normal 55 2 2 2 2 4 3" xfId="33088" xr:uid="{00000000-0005-0000-0000-000040810000}"/>
    <cellStyle name="Normal 55 2 2 2 2 4 3 2" xfId="33089" xr:uid="{00000000-0005-0000-0000-000041810000}"/>
    <cellStyle name="Normal 55 2 2 2 2 4 3 3" xfId="33090" xr:uid="{00000000-0005-0000-0000-000042810000}"/>
    <cellStyle name="Normal 55 2 2 2 2 4 3 4" xfId="33091" xr:uid="{00000000-0005-0000-0000-000043810000}"/>
    <cellStyle name="Normal 55 2 2 2 2 4 3 5" xfId="33092" xr:uid="{00000000-0005-0000-0000-000044810000}"/>
    <cellStyle name="Normal 55 2 2 2 2 4 3 6" xfId="33093" xr:uid="{00000000-0005-0000-0000-000045810000}"/>
    <cellStyle name="Normal 55 2 2 2 2 4 4" xfId="33094" xr:uid="{00000000-0005-0000-0000-000046810000}"/>
    <cellStyle name="Normal 55 2 2 2 2 4 5" xfId="33095" xr:uid="{00000000-0005-0000-0000-000047810000}"/>
    <cellStyle name="Normal 55 2 2 2 2 4 6" xfId="33096" xr:uid="{00000000-0005-0000-0000-000048810000}"/>
    <cellStyle name="Normal 55 2 2 2 2 4 7" xfId="33097" xr:uid="{00000000-0005-0000-0000-000049810000}"/>
    <cellStyle name="Normal 55 2 2 2 2 4 8" xfId="33098" xr:uid="{00000000-0005-0000-0000-00004A810000}"/>
    <cellStyle name="Normal 55 2 2 2 2 5" xfId="33099" xr:uid="{00000000-0005-0000-0000-00004B810000}"/>
    <cellStyle name="Normal 55 2 2 2 2 5 2" xfId="33100" xr:uid="{00000000-0005-0000-0000-00004C810000}"/>
    <cellStyle name="Normal 55 2 2 2 2 5 3" xfId="33101" xr:uid="{00000000-0005-0000-0000-00004D810000}"/>
    <cellStyle name="Normal 55 2 2 2 2 5 4" xfId="33102" xr:uid="{00000000-0005-0000-0000-00004E810000}"/>
    <cellStyle name="Normal 55 2 2 2 2 5 5" xfId="33103" xr:uid="{00000000-0005-0000-0000-00004F810000}"/>
    <cellStyle name="Normal 55 2 2 2 2 5 6" xfId="33104" xr:uid="{00000000-0005-0000-0000-000050810000}"/>
    <cellStyle name="Normal 55 2 2 2 2 6" xfId="33105" xr:uid="{00000000-0005-0000-0000-000051810000}"/>
    <cellStyle name="Normal 55 2 2 2 2 6 2" xfId="33106" xr:uid="{00000000-0005-0000-0000-000052810000}"/>
    <cellStyle name="Normal 55 2 2 2 2 6 3" xfId="33107" xr:uid="{00000000-0005-0000-0000-000053810000}"/>
    <cellStyle name="Normal 55 2 2 2 2 6 4" xfId="33108" xr:uid="{00000000-0005-0000-0000-000054810000}"/>
    <cellStyle name="Normal 55 2 2 2 2 6 5" xfId="33109" xr:uid="{00000000-0005-0000-0000-000055810000}"/>
    <cellStyle name="Normal 55 2 2 2 2 6 6" xfId="33110" xr:uid="{00000000-0005-0000-0000-000056810000}"/>
    <cellStyle name="Normal 55 2 2 2 2 7" xfId="33111" xr:uid="{00000000-0005-0000-0000-000057810000}"/>
    <cellStyle name="Normal 55 2 2 2 2 8" xfId="33112" xr:uid="{00000000-0005-0000-0000-000058810000}"/>
    <cellStyle name="Normal 55 2 2 2 2 9" xfId="33113" xr:uid="{00000000-0005-0000-0000-000059810000}"/>
    <cellStyle name="Normal 55 2 2 2 3" xfId="33114" xr:uid="{00000000-0005-0000-0000-00005A810000}"/>
    <cellStyle name="Normal 55 2 2 2 3 2" xfId="33115" xr:uid="{00000000-0005-0000-0000-00005B810000}"/>
    <cellStyle name="Normal 55 2 2 2 3 2 2" xfId="33116" xr:uid="{00000000-0005-0000-0000-00005C810000}"/>
    <cellStyle name="Normal 55 2 2 2 3 2 3" xfId="33117" xr:uid="{00000000-0005-0000-0000-00005D810000}"/>
    <cellStyle name="Normal 55 2 2 2 3 2 4" xfId="33118" xr:uid="{00000000-0005-0000-0000-00005E810000}"/>
    <cellStyle name="Normal 55 2 2 2 3 2 5" xfId="33119" xr:uid="{00000000-0005-0000-0000-00005F810000}"/>
    <cellStyle name="Normal 55 2 2 2 3 2 6" xfId="33120" xr:uid="{00000000-0005-0000-0000-000060810000}"/>
    <cellStyle name="Normal 55 2 2 2 3 3" xfId="33121" xr:uid="{00000000-0005-0000-0000-000061810000}"/>
    <cellStyle name="Normal 55 2 2 2 3 3 2" xfId="33122" xr:uid="{00000000-0005-0000-0000-000062810000}"/>
    <cellStyle name="Normal 55 2 2 2 3 3 3" xfId="33123" xr:uid="{00000000-0005-0000-0000-000063810000}"/>
    <cellStyle name="Normal 55 2 2 2 3 3 4" xfId="33124" xr:uid="{00000000-0005-0000-0000-000064810000}"/>
    <cellStyle name="Normal 55 2 2 2 3 3 5" xfId="33125" xr:uid="{00000000-0005-0000-0000-000065810000}"/>
    <cellStyle name="Normal 55 2 2 2 3 3 6" xfId="33126" xr:uid="{00000000-0005-0000-0000-000066810000}"/>
    <cellStyle name="Normal 55 2 2 2 3 4" xfId="33127" xr:uid="{00000000-0005-0000-0000-000067810000}"/>
    <cellStyle name="Normal 55 2 2 2 3 5" xfId="33128" xr:uid="{00000000-0005-0000-0000-000068810000}"/>
    <cellStyle name="Normal 55 2 2 2 3 6" xfId="33129" xr:uid="{00000000-0005-0000-0000-000069810000}"/>
    <cellStyle name="Normal 55 2 2 2 3 7" xfId="33130" xr:uid="{00000000-0005-0000-0000-00006A810000}"/>
    <cellStyle name="Normal 55 2 2 2 3 8" xfId="33131" xr:uid="{00000000-0005-0000-0000-00006B810000}"/>
    <cellStyle name="Normal 55 2 2 2 4" xfId="33132" xr:uid="{00000000-0005-0000-0000-00006C810000}"/>
    <cellStyle name="Normal 55 2 2 2 4 2" xfId="33133" xr:uid="{00000000-0005-0000-0000-00006D810000}"/>
    <cellStyle name="Normal 55 2 2 2 4 2 2" xfId="33134" xr:uid="{00000000-0005-0000-0000-00006E810000}"/>
    <cellStyle name="Normal 55 2 2 2 4 2 3" xfId="33135" xr:uid="{00000000-0005-0000-0000-00006F810000}"/>
    <cellStyle name="Normal 55 2 2 2 4 2 4" xfId="33136" xr:uid="{00000000-0005-0000-0000-000070810000}"/>
    <cellStyle name="Normal 55 2 2 2 4 2 5" xfId="33137" xr:uid="{00000000-0005-0000-0000-000071810000}"/>
    <cellStyle name="Normal 55 2 2 2 4 2 6" xfId="33138" xr:uid="{00000000-0005-0000-0000-000072810000}"/>
    <cellStyle name="Normal 55 2 2 2 4 3" xfId="33139" xr:uid="{00000000-0005-0000-0000-000073810000}"/>
    <cellStyle name="Normal 55 2 2 2 4 3 2" xfId="33140" xr:uid="{00000000-0005-0000-0000-000074810000}"/>
    <cellStyle name="Normal 55 2 2 2 4 3 3" xfId="33141" xr:uid="{00000000-0005-0000-0000-000075810000}"/>
    <cellStyle name="Normal 55 2 2 2 4 3 4" xfId="33142" xr:uid="{00000000-0005-0000-0000-000076810000}"/>
    <cellStyle name="Normal 55 2 2 2 4 3 5" xfId="33143" xr:uid="{00000000-0005-0000-0000-000077810000}"/>
    <cellStyle name="Normal 55 2 2 2 4 3 6" xfId="33144" xr:uid="{00000000-0005-0000-0000-000078810000}"/>
    <cellStyle name="Normal 55 2 2 2 4 4" xfId="33145" xr:uid="{00000000-0005-0000-0000-000079810000}"/>
    <cellStyle name="Normal 55 2 2 2 4 5" xfId="33146" xr:uid="{00000000-0005-0000-0000-00007A810000}"/>
    <cellStyle name="Normal 55 2 2 2 4 6" xfId="33147" xr:uid="{00000000-0005-0000-0000-00007B810000}"/>
    <cellStyle name="Normal 55 2 2 2 4 7" xfId="33148" xr:uid="{00000000-0005-0000-0000-00007C810000}"/>
    <cellStyle name="Normal 55 2 2 2 4 8" xfId="33149" xr:uid="{00000000-0005-0000-0000-00007D810000}"/>
    <cellStyle name="Normal 55 2 2 2 5" xfId="33150" xr:uid="{00000000-0005-0000-0000-00007E810000}"/>
    <cellStyle name="Normal 55 2 2 2 5 2" xfId="33151" xr:uid="{00000000-0005-0000-0000-00007F810000}"/>
    <cellStyle name="Normal 55 2 2 2 5 2 2" xfId="33152" xr:uid="{00000000-0005-0000-0000-000080810000}"/>
    <cellStyle name="Normal 55 2 2 2 5 2 3" xfId="33153" xr:uid="{00000000-0005-0000-0000-000081810000}"/>
    <cellStyle name="Normal 55 2 2 2 5 2 4" xfId="33154" xr:uid="{00000000-0005-0000-0000-000082810000}"/>
    <cellStyle name="Normal 55 2 2 2 5 2 5" xfId="33155" xr:uid="{00000000-0005-0000-0000-000083810000}"/>
    <cellStyle name="Normal 55 2 2 2 5 2 6" xfId="33156" xr:uid="{00000000-0005-0000-0000-000084810000}"/>
    <cellStyle name="Normal 55 2 2 2 5 3" xfId="33157" xr:uid="{00000000-0005-0000-0000-000085810000}"/>
    <cellStyle name="Normal 55 2 2 2 5 3 2" xfId="33158" xr:uid="{00000000-0005-0000-0000-000086810000}"/>
    <cellStyle name="Normal 55 2 2 2 5 3 3" xfId="33159" xr:uid="{00000000-0005-0000-0000-000087810000}"/>
    <cellStyle name="Normal 55 2 2 2 5 3 4" xfId="33160" xr:uid="{00000000-0005-0000-0000-000088810000}"/>
    <cellStyle name="Normal 55 2 2 2 5 3 5" xfId="33161" xr:uid="{00000000-0005-0000-0000-000089810000}"/>
    <cellStyle name="Normal 55 2 2 2 5 3 6" xfId="33162" xr:uid="{00000000-0005-0000-0000-00008A810000}"/>
    <cellStyle name="Normal 55 2 2 2 5 4" xfId="33163" xr:uid="{00000000-0005-0000-0000-00008B810000}"/>
    <cellStyle name="Normal 55 2 2 2 5 5" xfId="33164" xr:uid="{00000000-0005-0000-0000-00008C810000}"/>
    <cellStyle name="Normal 55 2 2 2 5 6" xfId="33165" xr:uid="{00000000-0005-0000-0000-00008D810000}"/>
    <cellStyle name="Normal 55 2 2 2 5 7" xfId="33166" xr:uid="{00000000-0005-0000-0000-00008E810000}"/>
    <cellStyle name="Normal 55 2 2 2 5 8" xfId="33167" xr:uid="{00000000-0005-0000-0000-00008F810000}"/>
    <cellStyle name="Normal 55 2 2 2 6" xfId="33168" xr:uid="{00000000-0005-0000-0000-000090810000}"/>
    <cellStyle name="Normal 55 2 2 2 6 2" xfId="33169" xr:uid="{00000000-0005-0000-0000-000091810000}"/>
    <cellStyle name="Normal 55 2 2 2 6 3" xfId="33170" xr:uid="{00000000-0005-0000-0000-000092810000}"/>
    <cellStyle name="Normal 55 2 2 2 6 4" xfId="33171" xr:uid="{00000000-0005-0000-0000-000093810000}"/>
    <cellStyle name="Normal 55 2 2 2 6 5" xfId="33172" xr:uid="{00000000-0005-0000-0000-000094810000}"/>
    <cellStyle name="Normal 55 2 2 2 6 6" xfId="33173" xr:uid="{00000000-0005-0000-0000-000095810000}"/>
    <cellStyle name="Normal 55 2 2 2 7" xfId="33174" xr:uid="{00000000-0005-0000-0000-000096810000}"/>
    <cellStyle name="Normal 55 2 2 2 7 2" xfId="33175" xr:uid="{00000000-0005-0000-0000-000097810000}"/>
    <cellStyle name="Normal 55 2 2 2 7 3" xfId="33176" xr:uid="{00000000-0005-0000-0000-000098810000}"/>
    <cellStyle name="Normal 55 2 2 2 7 4" xfId="33177" xr:uid="{00000000-0005-0000-0000-000099810000}"/>
    <cellStyle name="Normal 55 2 2 2 7 5" xfId="33178" xr:uid="{00000000-0005-0000-0000-00009A810000}"/>
    <cellStyle name="Normal 55 2 2 2 7 6" xfId="33179" xr:uid="{00000000-0005-0000-0000-00009B810000}"/>
    <cellStyle name="Normal 55 2 2 2 8" xfId="33180" xr:uid="{00000000-0005-0000-0000-00009C810000}"/>
    <cellStyle name="Normal 55 2 2 2 9" xfId="33181" xr:uid="{00000000-0005-0000-0000-00009D810000}"/>
    <cellStyle name="Normal 55 2 2 3" xfId="33182" xr:uid="{00000000-0005-0000-0000-00009E810000}"/>
    <cellStyle name="Normal 55 2 2 3 10" xfId="33183" xr:uid="{00000000-0005-0000-0000-00009F810000}"/>
    <cellStyle name="Normal 55 2 2 3 11" xfId="33184" xr:uid="{00000000-0005-0000-0000-0000A0810000}"/>
    <cellStyle name="Normal 55 2 2 3 12" xfId="33185" xr:uid="{00000000-0005-0000-0000-0000A1810000}"/>
    <cellStyle name="Normal 55 2 2 3 2" xfId="33186" xr:uid="{00000000-0005-0000-0000-0000A2810000}"/>
    <cellStyle name="Normal 55 2 2 3 2 10" xfId="33187" xr:uid="{00000000-0005-0000-0000-0000A3810000}"/>
    <cellStyle name="Normal 55 2 2 3 2 11" xfId="33188" xr:uid="{00000000-0005-0000-0000-0000A4810000}"/>
    <cellStyle name="Normal 55 2 2 3 2 2" xfId="33189" xr:uid="{00000000-0005-0000-0000-0000A5810000}"/>
    <cellStyle name="Normal 55 2 2 3 2 2 2" xfId="33190" xr:uid="{00000000-0005-0000-0000-0000A6810000}"/>
    <cellStyle name="Normal 55 2 2 3 2 2 2 2" xfId="33191" xr:uid="{00000000-0005-0000-0000-0000A7810000}"/>
    <cellStyle name="Normal 55 2 2 3 2 2 2 3" xfId="33192" xr:uid="{00000000-0005-0000-0000-0000A8810000}"/>
    <cellStyle name="Normal 55 2 2 3 2 2 2 4" xfId="33193" xr:uid="{00000000-0005-0000-0000-0000A9810000}"/>
    <cellStyle name="Normal 55 2 2 3 2 2 2 5" xfId="33194" xr:uid="{00000000-0005-0000-0000-0000AA810000}"/>
    <cellStyle name="Normal 55 2 2 3 2 2 2 6" xfId="33195" xr:uid="{00000000-0005-0000-0000-0000AB810000}"/>
    <cellStyle name="Normal 55 2 2 3 2 2 3" xfId="33196" xr:uid="{00000000-0005-0000-0000-0000AC810000}"/>
    <cellStyle name="Normal 55 2 2 3 2 2 3 2" xfId="33197" xr:uid="{00000000-0005-0000-0000-0000AD810000}"/>
    <cellStyle name="Normal 55 2 2 3 2 2 3 3" xfId="33198" xr:uid="{00000000-0005-0000-0000-0000AE810000}"/>
    <cellStyle name="Normal 55 2 2 3 2 2 3 4" xfId="33199" xr:uid="{00000000-0005-0000-0000-0000AF810000}"/>
    <cellStyle name="Normal 55 2 2 3 2 2 3 5" xfId="33200" xr:uid="{00000000-0005-0000-0000-0000B0810000}"/>
    <cellStyle name="Normal 55 2 2 3 2 2 3 6" xfId="33201" xr:uid="{00000000-0005-0000-0000-0000B1810000}"/>
    <cellStyle name="Normal 55 2 2 3 2 2 4" xfId="33202" xr:uid="{00000000-0005-0000-0000-0000B2810000}"/>
    <cellStyle name="Normal 55 2 2 3 2 2 5" xfId="33203" xr:uid="{00000000-0005-0000-0000-0000B3810000}"/>
    <cellStyle name="Normal 55 2 2 3 2 2 6" xfId="33204" xr:uid="{00000000-0005-0000-0000-0000B4810000}"/>
    <cellStyle name="Normal 55 2 2 3 2 2 7" xfId="33205" xr:uid="{00000000-0005-0000-0000-0000B5810000}"/>
    <cellStyle name="Normal 55 2 2 3 2 2 8" xfId="33206" xr:uid="{00000000-0005-0000-0000-0000B6810000}"/>
    <cellStyle name="Normal 55 2 2 3 2 3" xfId="33207" xr:uid="{00000000-0005-0000-0000-0000B7810000}"/>
    <cellStyle name="Normal 55 2 2 3 2 3 2" xfId="33208" xr:uid="{00000000-0005-0000-0000-0000B8810000}"/>
    <cellStyle name="Normal 55 2 2 3 2 3 2 2" xfId="33209" xr:uid="{00000000-0005-0000-0000-0000B9810000}"/>
    <cellStyle name="Normal 55 2 2 3 2 3 2 3" xfId="33210" xr:uid="{00000000-0005-0000-0000-0000BA810000}"/>
    <cellStyle name="Normal 55 2 2 3 2 3 2 4" xfId="33211" xr:uid="{00000000-0005-0000-0000-0000BB810000}"/>
    <cellStyle name="Normal 55 2 2 3 2 3 2 5" xfId="33212" xr:uid="{00000000-0005-0000-0000-0000BC810000}"/>
    <cellStyle name="Normal 55 2 2 3 2 3 2 6" xfId="33213" xr:uid="{00000000-0005-0000-0000-0000BD810000}"/>
    <cellStyle name="Normal 55 2 2 3 2 3 3" xfId="33214" xr:uid="{00000000-0005-0000-0000-0000BE810000}"/>
    <cellStyle name="Normal 55 2 2 3 2 3 3 2" xfId="33215" xr:uid="{00000000-0005-0000-0000-0000BF810000}"/>
    <cellStyle name="Normal 55 2 2 3 2 3 3 3" xfId="33216" xr:uid="{00000000-0005-0000-0000-0000C0810000}"/>
    <cellStyle name="Normal 55 2 2 3 2 3 3 4" xfId="33217" xr:uid="{00000000-0005-0000-0000-0000C1810000}"/>
    <cellStyle name="Normal 55 2 2 3 2 3 3 5" xfId="33218" xr:uid="{00000000-0005-0000-0000-0000C2810000}"/>
    <cellStyle name="Normal 55 2 2 3 2 3 3 6" xfId="33219" xr:uid="{00000000-0005-0000-0000-0000C3810000}"/>
    <cellStyle name="Normal 55 2 2 3 2 3 4" xfId="33220" xr:uid="{00000000-0005-0000-0000-0000C4810000}"/>
    <cellStyle name="Normal 55 2 2 3 2 3 5" xfId="33221" xr:uid="{00000000-0005-0000-0000-0000C5810000}"/>
    <cellStyle name="Normal 55 2 2 3 2 3 6" xfId="33222" xr:uid="{00000000-0005-0000-0000-0000C6810000}"/>
    <cellStyle name="Normal 55 2 2 3 2 3 7" xfId="33223" xr:uid="{00000000-0005-0000-0000-0000C7810000}"/>
    <cellStyle name="Normal 55 2 2 3 2 3 8" xfId="33224" xr:uid="{00000000-0005-0000-0000-0000C8810000}"/>
    <cellStyle name="Normal 55 2 2 3 2 4" xfId="33225" xr:uid="{00000000-0005-0000-0000-0000C9810000}"/>
    <cellStyle name="Normal 55 2 2 3 2 4 2" xfId="33226" xr:uid="{00000000-0005-0000-0000-0000CA810000}"/>
    <cellStyle name="Normal 55 2 2 3 2 4 2 2" xfId="33227" xr:uid="{00000000-0005-0000-0000-0000CB810000}"/>
    <cellStyle name="Normal 55 2 2 3 2 4 2 3" xfId="33228" xr:uid="{00000000-0005-0000-0000-0000CC810000}"/>
    <cellStyle name="Normal 55 2 2 3 2 4 2 4" xfId="33229" xr:uid="{00000000-0005-0000-0000-0000CD810000}"/>
    <cellStyle name="Normal 55 2 2 3 2 4 2 5" xfId="33230" xr:uid="{00000000-0005-0000-0000-0000CE810000}"/>
    <cellStyle name="Normal 55 2 2 3 2 4 2 6" xfId="33231" xr:uid="{00000000-0005-0000-0000-0000CF810000}"/>
    <cellStyle name="Normal 55 2 2 3 2 4 3" xfId="33232" xr:uid="{00000000-0005-0000-0000-0000D0810000}"/>
    <cellStyle name="Normal 55 2 2 3 2 4 3 2" xfId="33233" xr:uid="{00000000-0005-0000-0000-0000D1810000}"/>
    <cellStyle name="Normal 55 2 2 3 2 4 3 3" xfId="33234" xr:uid="{00000000-0005-0000-0000-0000D2810000}"/>
    <cellStyle name="Normal 55 2 2 3 2 4 3 4" xfId="33235" xr:uid="{00000000-0005-0000-0000-0000D3810000}"/>
    <cellStyle name="Normal 55 2 2 3 2 4 3 5" xfId="33236" xr:uid="{00000000-0005-0000-0000-0000D4810000}"/>
    <cellStyle name="Normal 55 2 2 3 2 4 3 6" xfId="33237" xr:uid="{00000000-0005-0000-0000-0000D5810000}"/>
    <cellStyle name="Normal 55 2 2 3 2 4 4" xfId="33238" xr:uid="{00000000-0005-0000-0000-0000D6810000}"/>
    <cellStyle name="Normal 55 2 2 3 2 4 5" xfId="33239" xr:uid="{00000000-0005-0000-0000-0000D7810000}"/>
    <cellStyle name="Normal 55 2 2 3 2 4 6" xfId="33240" xr:uid="{00000000-0005-0000-0000-0000D8810000}"/>
    <cellStyle name="Normal 55 2 2 3 2 4 7" xfId="33241" xr:uid="{00000000-0005-0000-0000-0000D9810000}"/>
    <cellStyle name="Normal 55 2 2 3 2 4 8" xfId="33242" xr:uid="{00000000-0005-0000-0000-0000DA810000}"/>
    <cellStyle name="Normal 55 2 2 3 2 5" xfId="33243" xr:uid="{00000000-0005-0000-0000-0000DB810000}"/>
    <cellStyle name="Normal 55 2 2 3 2 5 2" xfId="33244" xr:uid="{00000000-0005-0000-0000-0000DC810000}"/>
    <cellStyle name="Normal 55 2 2 3 2 5 3" xfId="33245" xr:uid="{00000000-0005-0000-0000-0000DD810000}"/>
    <cellStyle name="Normal 55 2 2 3 2 5 4" xfId="33246" xr:uid="{00000000-0005-0000-0000-0000DE810000}"/>
    <cellStyle name="Normal 55 2 2 3 2 5 5" xfId="33247" xr:uid="{00000000-0005-0000-0000-0000DF810000}"/>
    <cellStyle name="Normal 55 2 2 3 2 5 6" xfId="33248" xr:uid="{00000000-0005-0000-0000-0000E0810000}"/>
    <cellStyle name="Normal 55 2 2 3 2 6" xfId="33249" xr:uid="{00000000-0005-0000-0000-0000E1810000}"/>
    <cellStyle name="Normal 55 2 2 3 2 6 2" xfId="33250" xr:uid="{00000000-0005-0000-0000-0000E2810000}"/>
    <cellStyle name="Normal 55 2 2 3 2 6 3" xfId="33251" xr:uid="{00000000-0005-0000-0000-0000E3810000}"/>
    <cellStyle name="Normal 55 2 2 3 2 6 4" xfId="33252" xr:uid="{00000000-0005-0000-0000-0000E4810000}"/>
    <cellStyle name="Normal 55 2 2 3 2 6 5" xfId="33253" xr:uid="{00000000-0005-0000-0000-0000E5810000}"/>
    <cellStyle name="Normal 55 2 2 3 2 6 6" xfId="33254" xr:uid="{00000000-0005-0000-0000-0000E6810000}"/>
    <cellStyle name="Normal 55 2 2 3 2 7" xfId="33255" xr:uid="{00000000-0005-0000-0000-0000E7810000}"/>
    <cellStyle name="Normal 55 2 2 3 2 8" xfId="33256" xr:uid="{00000000-0005-0000-0000-0000E8810000}"/>
    <cellStyle name="Normal 55 2 2 3 2 9" xfId="33257" xr:uid="{00000000-0005-0000-0000-0000E9810000}"/>
    <cellStyle name="Normal 55 2 2 3 3" xfId="33258" xr:uid="{00000000-0005-0000-0000-0000EA810000}"/>
    <cellStyle name="Normal 55 2 2 3 3 2" xfId="33259" xr:uid="{00000000-0005-0000-0000-0000EB810000}"/>
    <cellStyle name="Normal 55 2 2 3 3 2 2" xfId="33260" xr:uid="{00000000-0005-0000-0000-0000EC810000}"/>
    <cellStyle name="Normal 55 2 2 3 3 2 3" xfId="33261" xr:uid="{00000000-0005-0000-0000-0000ED810000}"/>
    <cellStyle name="Normal 55 2 2 3 3 2 4" xfId="33262" xr:uid="{00000000-0005-0000-0000-0000EE810000}"/>
    <cellStyle name="Normal 55 2 2 3 3 2 5" xfId="33263" xr:uid="{00000000-0005-0000-0000-0000EF810000}"/>
    <cellStyle name="Normal 55 2 2 3 3 2 6" xfId="33264" xr:uid="{00000000-0005-0000-0000-0000F0810000}"/>
    <cellStyle name="Normal 55 2 2 3 3 3" xfId="33265" xr:uid="{00000000-0005-0000-0000-0000F1810000}"/>
    <cellStyle name="Normal 55 2 2 3 3 3 2" xfId="33266" xr:uid="{00000000-0005-0000-0000-0000F2810000}"/>
    <cellStyle name="Normal 55 2 2 3 3 3 3" xfId="33267" xr:uid="{00000000-0005-0000-0000-0000F3810000}"/>
    <cellStyle name="Normal 55 2 2 3 3 3 4" xfId="33268" xr:uid="{00000000-0005-0000-0000-0000F4810000}"/>
    <cellStyle name="Normal 55 2 2 3 3 3 5" xfId="33269" xr:uid="{00000000-0005-0000-0000-0000F5810000}"/>
    <cellStyle name="Normal 55 2 2 3 3 3 6" xfId="33270" xr:uid="{00000000-0005-0000-0000-0000F6810000}"/>
    <cellStyle name="Normal 55 2 2 3 3 4" xfId="33271" xr:uid="{00000000-0005-0000-0000-0000F7810000}"/>
    <cellStyle name="Normal 55 2 2 3 3 5" xfId="33272" xr:uid="{00000000-0005-0000-0000-0000F8810000}"/>
    <cellStyle name="Normal 55 2 2 3 3 6" xfId="33273" xr:uid="{00000000-0005-0000-0000-0000F9810000}"/>
    <cellStyle name="Normal 55 2 2 3 3 7" xfId="33274" xr:uid="{00000000-0005-0000-0000-0000FA810000}"/>
    <cellStyle name="Normal 55 2 2 3 3 8" xfId="33275" xr:uid="{00000000-0005-0000-0000-0000FB810000}"/>
    <cellStyle name="Normal 55 2 2 3 4" xfId="33276" xr:uid="{00000000-0005-0000-0000-0000FC810000}"/>
    <cellStyle name="Normal 55 2 2 3 4 2" xfId="33277" xr:uid="{00000000-0005-0000-0000-0000FD810000}"/>
    <cellStyle name="Normal 55 2 2 3 4 2 2" xfId="33278" xr:uid="{00000000-0005-0000-0000-0000FE810000}"/>
    <cellStyle name="Normal 55 2 2 3 4 2 3" xfId="33279" xr:uid="{00000000-0005-0000-0000-0000FF810000}"/>
    <cellStyle name="Normal 55 2 2 3 4 2 4" xfId="33280" xr:uid="{00000000-0005-0000-0000-000000820000}"/>
    <cellStyle name="Normal 55 2 2 3 4 2 5" xfId="33281" xr:uid="{00000000-0005-0000-0000-000001820000}"/>
    <cellStyle name="Normal 55 2 2 3 4 2 6" xfId="33282" xr:uid="{00000000-0005-0000-0000-000002820000}"/>
    <cellStyle name="Normal 55 2 2 3 4 3" xfId="33283" xr:uid="{00000000-0005-0000-0000-000003820000}"/>
    <cellStyle name="Normal 55 2 2 3 4 3 2" xfId="33284" xr:uid="{00000000-0005-0000-0000-000004820000}"/>
    <cellStyle name="Normal 55 2 2 3 4 3 3" xfId="33285" xr:uid="{00000000-0005-0000-0000-000005820000}"/>
    <cellStyle name="Normal 55 2 2 3 4 3 4" xfId="33286" xr:uid="{00000000-0005-0000-0000-000006820000}"/>
    <cellStyle name="Normal 55 2 2 3 4 3 5" xfId="33287" xr:uid="{00000000-0005-0000-0000-000007820000}"/>
    <cellStyle name="Normal 55 2 2 3 4 3 6" xfId="33288" xr:uid="{00000000-0005-0000-0000-000008820000}"/>
    <cellStyle name="Normal 55 2 2 3 4 4" xfId="33289" xr:uid="{00000000-0005-0000-0000-000009820000}"/>
    <cellStyle name="Normal 55 2 2 3 4 5" xfId="33290" xr:uid="{00000000-0005-0000-0000-00000A820000}"/>
    <cellStyle name="Normal 55 2 2 3 4 6" xfId="33291" xr:uid="{00000000-0005-0000-0000-00000B820000}"/>
    <cellStyle name="Normal 55 2 2 3 4 7" xfId="33292" xr:uid="{00000000-0005-0000-0000-00000C820000}"/>
    <cellStyle name="Normal 55 2 2 3 4 8" xfId="33293" xr:uid="{00000000-0005-0000-0000-00000D820000}"/>
    <cellStyle name="Normal 55 2 2 3 5" xfId="33294" xr:uid="{00000000-0005-0000-0000-00000E820000}"/>
    <cellStyle name="Normal 55 2 2 3 5 2" xfId="33295" xr:uid="{00000000-0005-0000-0000-00000F820000}"/>
    <cellStyle name="Normal 55 2 2 3 5 2 2" xfId="33296" xr:uid="{00000000-0005-0000-0000-000010820000}"/>
    <cellStyle name="Normal 55 2 2 3 5 2 3" xfId="33297" xr:uid="{00000000-0005-0000-0000-000011820000}"/>
    <cellStyle name="Normal 55 2 2 3 5 2 4" xfId="33298" xr:uid="{00000000-0005-0000-0000-000012820000}"/>
    <cellStyle name="Normal 55 2 2 3 5 2 5" xfId="33299" xr:uid="{00000000-0005-0000-0000-000013820000}"/>
    <cellStyle name="Normal 55 2 2 3 5 2 6" xfId="33300" xr:uid="{00000000-0005-0000-0000-000014820000}"/>
    <cellStyle name="Normal 55 2 2 3 5 3" xfId="33301" xr:uid="{00000000-0005-0000-0000-000015820000}"/>
    <cellStyle name="Normal 55 2 2 3 5 3 2" xfId="33302" xr:uid="{00000000-0005-0000-0000-000016820000}"/>
    <cellStyle name="Normal 55 2 2 3 5 3 3" xfId="33303" xr:uid="{00000000-0005-0000-0000-000017820000}"/>
    <cellStyle name="Normal 55 2 2 3 5 3 4" xfId="33304" xr:uid="{00000000-0005-0000-0000-000018820000}"/>
    <cellStyle name="Normal 55 2 2 3 5 3 5" xfId="33305" xr:uid="{00000000-0005-0000-0000-000019820000}"/>
    <cellStyle name="Normal 55 2 2 3 5 3 6" xfId="33306" xr:uid="{00000000-0005-0000-0000-00001A820000}"/>
    <cellStyle name="Normal 55 2 2 3 5 4" xfId="33307" xr:uid="{00000000-0005-0000-0000-00001B820000}"/>
    <cellStyle name="Normal 55 2 2 3 5 5" xfId="33308" xr:uid="{00000000-0005-0000-0000-00001C820000}"/>
    <cellStyle name="Normal 55 2 2 3 5 6" xfId="33309" xr:uid="{00000000-0005-0000-0000-00001D820000}"/>
    <cellStyle name="Normal 55 2 2 3 5 7" xfId="33310" xr:uid="{00000000-0005-0000-0000-00001E820000}"/>
    <cellStyle name="Normal 55 2 2 3 5 8" xfId="33311" xr:uid="{00000000-0005-0000-0000-00001F820000}"/>
    <cellStyle name="Normal 55 2 2 3 6" xfId="33312" xr:uid="{00000000-0005-0000-0000-000020820000}"/>
    <cellStyle name="Normal 55 2 2 3 6 2" xfId="33313" xr:uid="{00000000-0005-0000-0000-000021820000}"/>
    <cellStyle name="Normal 55 2 2 3 6 3" xfId="33314" xr:uid="{00000000-0005-0000-0000-000022820000}"/>
    <cellStyle name="Normal 55 2 2 3 6 4" xfId="33315" xr:uid="{00000000-0005-0000-0000-000023820000}"/>
    <cellStyle name="Normal 55 2 2 3 6 5" xfId="33316" xr:uid="{00000000-0005-0000-0000-000024820000}"/>
    <cellStyle name="Normal 55 2 2 3 6 6" xfId="33317" xr:uid="{00000000-0005-0000-0000-000025820000}"/>
    <cellStyle name="Normal 55 2 2 3 7" xfId="33318" xr:uid="{00000000-0005-0000-0000-000026820000}"/>
    <cellStyle name="Normal 55 2 2 3 7 2" xfId="33319" xr:uid="{00000000-0005-0000-0000-000027820000}"/>
    <cellStyle name="Normal 55 2 2 3 7 3" xfId="33320" xr:uid="{00000000-0005-0000-0000-000028820000}"/>
    <cellStyle name="Normal 55 2 2 3 7 4" xfId="33321" xr:uid="{00000000-0005-0000-0000-000029820000}"/>
    <cellStyle name="Normal 55 2 2 3 7 5" xfId="33322" xr:uid="{00000000-0005-0000-0000-00002A820000}"/>
    <cellStyle name="Normal 55 2 2 3 7 6" xfId="33323" xr:uid="{00000000-0005-0000-0000-00002B820000}"/>
    <cellStyle name="Normal 55 2 2 3 8" xfId="33324" xr:uid="{00000000-0005-0000-0000-00002C820000}"/>
    <cellStyle name="Normal 55 2 2 3 9" xfId="33325" xr:uid="{00000000-0005-0000-0000-00002D820000}"/>
    <cellStyle name="Normal 55 2 2 4" xfId="33326" xr:uid="{00000000-0005-0000-0000-00002E820000}"/>
    <cellStyle name="Normal 55 2 2 4 10" xfId="33327" xr:uid="{00000000-0005-0000-0000-00002F820000}"/>
    <cellStyle name="Normal 55 2 2 4 11" xfId="33328" xr:uid="{00000000-0005-0000-0000-000030820000}"/>
    <cellStyle name="Normal 55 2 2 4 2" xfId="33329" xr:uid="{00000000-0005-0000-0000-000031820000}"/>
    <cellStyle name="Normal 55 2 2 4 2 2" xfId="33330" xr:uid="{00000000-0005-0000-0000-000032820000}"/>
    <cellStyle name="Normal 55 2 2 4 2 2 2" xfId="33331" xr:uid="{00000000-0005-0000-0000-000033820000}"/>
    <cellStyle name="Normal 55 2 2 4 2 2 3" xfId="33332" xr:uid="{00000000-0005-0000-0000-000034820000}"/>
    <cellStyle name="Normal 55 2 2 4 2 2 4" xfId="33333" xr:uid="{00000000-0005-0000-0000-000035820000}"/>
    <cellStyle name="Normal 55 2 2 4 2 2 5" xfId="33334" xr:uid="{00000000-0005-0000-0000-000036820000}"/>
    <cellStyle name="Normal 55 2 2 4 2 2 6" xfId="33335" xr:uid="{00000000-0005-0000-0000-000037820000}"/>
    <cellStyle name="Normal 55 2 2 4 2 3" xfId="33336" xr:uid="{00000000-0005-0000-0000-000038820000}"/>
    <cellStyle name="Normal 55 2 2 4 2 3 2" xfId="33337" xr:uid="{00000000-0005-0000-0000-000039820000}"/>
    <cellStyle name="Normal 55 2 2 4 2 3 3" xfId="33338" xr:uid="{00000000-0005-0000-0000-00003A820000}"/>
    <cellStyle name="Normal 55 2 2 4 2 3 4" xfId="33339" xr:uid="{00000000-0005-0000-0000-00003B820000}"/>
    <cellStyle name="Normal 55 2 2 4 2 3 5" xfId="33340" xr:uid="{00000000-0005-0000-0000-00003C820000}"/>
    <cellStyle name="Normal 55 2 2 4 2 3 6" xfId="33341" xr:uid="{00000000-0005-0000-0000-00003D820000}"/>
    <cellStyle name="Normal 55 2 2 4 2 4" xfId="33342" xr:uid="{00000000-0005-0000-0000-00003E820000}"/>
    <cellStyle name="Normal 55 2 2 4 2 5" xfId="33343" xr:uid="{00000000-0005-0000-0000-00003F820000}"/>
    <cellStyle name="Normal 55 2 2 4 2 6" xfId="33344" xr:uid="{00000000-0005-0000-0000-000040820000}"/>
    <cellStyle name="Normal 55 2 2 4 2 7" xfId="33345" xr:uid="{00000000-0005-0000-0000-000041820000}"/>
    <cellStyle name="Normal 55 2 2 4 2 8" xfId="33346" xr:uid="{00000000-0005-0000-0000-000042820000}"/>
    <cellStyle name="Normal 55 2 2 4 3" xfId="33347" xr:uid="{00000000-0005-0000-0000-000043820000}"/>
    <cellStyle name="Normal 55 2 2 4 3 2" xfId="33348" xr:uid="{00000000-0005-0000-0000-000044820000}"/>
    <cellStyle name="Normal 55 2 2 4 3 2 2" xfId="33349" xr:uid="{00000000-0005-0000-0000-000045820000}"/>
    <cellStyle name="Normal 55 2 2 4 3 2 3" xfId="33350" xr:uid="{00000000-0005-0000-0000-000046820000}"/>
    <cellStyle name="Normal 55 2 2 4 3 2 4" xfId="33351" xr:uid="{00000000-0005-0000-0000-000047820000}"/>
    <cellStyle name="Normal 55 2 2 4 3 2 5" xfId="33352" xr:uid="{00000000-0005-0000-0000-000048820000}"/>
    <cellStyle name="Normal 55 2 2 4 3 2 6" xfId="33353" xr:uid="{00000000-0005-0000-0000-000049820000}"/>
    <cellStyle name="Normal 55 2 2 4 3 3" xfId="33354" xr:uid="{00000000-0005-0000-0000-00004A820000}"/>
    <cellStyle name="Normal 55 2 2 4 3 3 2" xfId="33355" xr:uid="{00000000-0005-0000-0000-00004B820000}"/>
    <cellStyle name="Normal 55 2 2 4 3 3 3" xfId="33356" xr:uid="{00000000-0005-0000-0000-00004C820000}"/>
    <cellStyle name="Normal 55 2 2 4 3 3 4" xfId="33357" xr:uid="{00000000-0005-0000-0000-00004D820000}"/>
    <cellStyle name="Normal 55 2 2 4 3 3 5" xfId="33358" xr:uid="{00000000-0005-0000-0000-00004E820000}"/>
    <cellStyle name="Normal 55 2 2 4 3 3 6" xfId="33359" xr:uid="{00000000-0005-0000-0000-00004F820000}"/>
    <cellStyle name="Normal 55 2 2 4 3 4" xfId="33360" xr:uid="{00000000-0005-0000-0000-000050820000}"/>
    <cellStyle name="Normal 55 2 2 4 3 5" xfId="33361" xr:uid="{00000000-0005-0000-0000-000051820000}"/>
    <cellStyle name="Normal 55 2 2 4 3 6" xfId="33362" xr:uid="{00000000-0005-0000-0000-000052820000}"/>
    <cellStyle name="Normal 55 2 2 4 3 7" xfId="33363" xr:uid="{00000000-0005-0000-0000-000053820000}"/>
    <cellStyle name="Normal 55 2 2 4 3 8" xfId="33364" xr:uid="{00000000-0005-0000-0000-000054820000}"/>
    <cellStyle name="Normal 55 2 2 4 4" xfId="33365" xr:uid="{00000000-0005-0000-0000-000055820000}"/>
    <cellStyle name="Normal 55 2 2 4 4 2" xfId="33366" xr:uid="{00000000-0005-0000-0000-000056820000}"/>
    <cellStyle name="Normal 55 2 2 4 4 2 2" xfId="33367" xr:uid="{00000000-0005-0000-0000-000057820000}"/>
    <cellStyle name="Normal 55 2 2 4 4 2 3" xfId="33368" xr:uid="{00000000-0005-0000-0000-000058820000}"/>
    <cellStyle name="Normal 55 2 2 4 4 2 4" xfId="33369" xr:uid="{00000000-0005-0000-0000-000059820000}"/>
    <cellStyle name="Normal 55 2 2 4 4 2 5" xfId="33370" xr:uid="{00000000-0005-0000-0000-00005A820000}"/>
    <cellStyle name="Normal 55 2 2 4 4 2 6" xfId="33371" xr:uid="{00000000-0005-0000-0000-00005B820000}"/>
    <cellStyle name="Normal 55 2 2 4 4 3" xfId="33372" xr:uid="{00000000-0005-0000-0000-00005C820000}"/>
    <cellStyle name="Normal 55 2 2 4 4 3 2" xfId="33373" xr:uid="{00000000-0005-0000-0000-00005D820000}"/>
    <cellStyle name="Normal 55 2 2 4 4 3 3" xfId="33374" xr:uid="{00000000-0005-0000-0000-00005E820000}"/>
    <cellStyle name="Normal 55 2 2 4 4 3 4" xfId="33375" xr:uid="{00000000-0005-0000-0000-00005F820000}"/>
    <cellStyle name="Normal 55 2 2 4 4 3 5" xfId="33376" xr:uid="{00000000-0005-0000-0000-000060820000}"/>
    <cellStyle name="Normal 55 2 2 4 4 3 6" xfId="33377" xr:uid="{00000000-0005-0000-0000-000061820000}"/>
    <cellStyle name="Normal 55 2 2 4 4 4" xfId="33378" xr:uid="{00000000-0005-0000-0000-000062820000}"/>
    <cellStyle name="Normal 55 2 2 4 4 5" xfId="33379" xr:uid="{00000000-0005-0000-0000-000063820000}"/>
    <cellStyle name="Normal 55 2 2 4 4 6" xfId="33380" xr:uid="{00000000-0005-0000-0000-000064820000}"/>
    <cellStyle name="Normal 55 2 2 4 4 7" xfId="33381" xr:uid="{00000000-0005-0000-0000-000065820000}"/>
    <cellStyle name="Normal 55 2 2 4 4 8" xfId="33382" xr:uid="{00000000-0005-0000-0000-000066820000}"/>
    <cellStyle name="Normal 55 2 2 4 5" xfId="33383" xr:uid="{00000000-0005-0000-0000-000067820000}"/>
    <cellStyle name="Normal 55 2 2 4 5 2" xfId="33384" xr:uid="{00000000-0005-0000-0000-000068820000}"/>
    <cellStyle name="Normal 55 2 2 4 5 3" xfId="33385" xr:uid="{00000000-0005-0000-0000-000069820000}"/>
    <cellStyle name="Normal 55 2 2 4 5 4" xfId="33386" xr:uid="{00000000-0005-0000-0000-00006A820000}"/>
    <cellStyle name="Normal 55 2 2 4 5 5" xfId="33387" xr:uid="{00000000-0005-0000-0000-00006B820000}"/>
    <cellStyle name="Normal 55 2 2 4 5 6" xfId="33388" xr:uid="{00000000-0005-0000-0000-00006C820000}"/>
    <cellStyle name="Normal 55 2 2 4 6" xfId="33389" xr:uid="{00000000-0005-0000-0000-00006D820000}"/>
    <cellStyle name="Normal 55 2 2 4 6 2" xfId="33390" xr:uid="{00000000-0005-0000-0000-00006E820000}"/>
    <cellStyle name="Normal 55 2 2 4 6 3" xfId="33391" xr:uid="{00000000-0005-0000-0000-00006F820000}"/>
    <cellStyle name="Normal 55 2 2 4 6 4" xfId="33392" xr:uid="{00000000-0005-0000-0000-000070820000}"/>
    <cellStyle name="Normal 55 2 2 4 6 5" xfId="33393" xr:uid="{00000000-0005-0000-0000-000071820000}"/>
    <cellStyle name="Normal 55 2 2 4 6 6" xfId="33394" xr:uid="{00000000-0005-0000-0000-000072820000}"/>
    <cellStyle name="Normal 55 2 2 4 7" xfId="33395" xr:uid="{00000000-0005-0000-0000-000073820000}"/>
    <cellStyle name="Normal 55 2 2 4 8" xfId="33396" xr:uid="{00000000-0005-0000-0000-000074820000}"/>
    <cellStyle name="Normal 55 2 2 4 9" xfId="33397" xr:uid="{00000000-0005-0000-0000-000075820000}"/>
    <cellStyle name="Normal 55 2 2 5" xfId="33398" xr:uid="{00000000-0005-0000-0000-000076820000}"/>
    <cellStyle name="Normal 55 2 2 5 2" xfId="33399" xr:uid="{00000000-0005-0000-0000-000077820000}"/>
    <cellStyle name="Normal 55 2 2 5 2 2" xfId="33400" xr:uid="{00000000-0005-0000-0000-000078820000}"/>
    <cellStyle name="Normal 55 2 2 5 2 3" xfId="33401" xr:uid="{00000000-0005-0000-0000-000079820000}"/>
    <cellStyle name="Normal 55 2 2 5 2 4" xfId="33402" xr:uid="{00000000-0005-0000-0000-00007A820000}"/>
    <cellStyle name="Normal 55 2 2 5 2 5" xfId="33403" xr:uid="{00000000-0005-0000-0000-00007B820000}"/>
    <cellStyle name="Normal 55 2 2 5 2 6" xfId="33404" xr:uid="{00000000-0005-0000-0000-00007C820000}"/>
    <cellStyle name="Normal 55 2 2 5 3" xfId="33405" xr:uid="{00000000-0005-0000-0000-00007D820000}"/>
    <cellStyle name="Normal 55 2 2 5 3 2" xfId="33406" xr:uid="{00000000-0005-0000-0000-00007E820000}"/>
    <cellStyle name="Normal 55 2 2 5 3 3" xfId="33407" xr:uid="{00000000-0005-0000-0000-00007F820000}"/>
    <cellStyle name="Normal 55 2 2 5 3 4" xfId="33408" xr:uid="{00000000-0005-0000-0000-000080820000}"/>
    <cellStyle name="Normal 55 2 2 5 3 5" xfId="33409" xr:uid="{00000000-0005-0000-0000-000081820000}"/>
    <cellStyle name="Normal 55 2 2 5 3 6" xfId="33410" xr:uid="{00000000-0005-0000-0000-000082820000}"/>
    <cellStyle name="Normal 55 2 2 5 4" xfId="33411" xr:uid="{00000000-0005-0000-0000-000083820000}"/>
    <cellStyle name="Normal 55 2 2 5 5" xfId="33412" xr:uid="{00000000-0005-0000-0000-000084820000}"/>
    <cellStyle name="Normal 55 2 2 5 6" xfId="33413" xr:uid="{00000000-0005-0000-0000-000085820000}"/>
    <cellStyle name="Normal 55 2 2 5 7" xfId="33414" xr:uid="{00000000-0005-0000-0000-000086820000}"/>
    <cellStyle name="Normal 55 2 2 5 8" xfId="33415" xr:uid="{00000000-0005-0000-0000-000087820000}"/>
    <cellStyle name="Normal 55 2 2 6" xfId="33416" xr:uid="{00000000-0005-0000-0000-000088820000}"/>
    <cellStyle name="Normal 55 2 2 6 2" xfId="33417" xr:uid="{00000000-0005-0000-0000-000089820000}"/>
    <cellStyle name="Normal 55 2 2 6 2 2" xfId="33418" xr:uid="{00000000-0005-0000-0000-00008A820000}"/>
    <cellStyle name="Normal 55 2 2 6 2 3" xfId="33419" xr:uid="{00000000-0005-0000-0000-00008B820000}"/>
    <cellStyle name="Normal 55 2 2 6 2 4" xfId="33420" xr:uid="{00000000-0005-0000-0000-00008C820000}"/>
    <cellStyle name="Normal 55 2 2 6 2 5" xfId="33421" xr:uid="{00000000-0005-0000-0000-00008D820000}"/>
    <cellStyle name="Normal 55 2 2 6 2 6" xfId="33422" xr:uid="{00000000-0005-0000-0000-00008E820000}"/>
    <cellStyle name="Normal 55 2 2 6 3" xfId="33423" xr:uid="{00000000-0005-0000-0000-00008F820000}"/>
    <cellStyle name="Normal 55 2 2 6 3 2" xfId="33424" xr:uid="{00000000-0005-0000-0000-000090820000}"/>
    <cellStyle name="Normal 55 2 2 6 3 3" xfId="33425" xr:uid="{00000000-0005-0000-0000-000091820000}"/>
    <cellStyle name="Normal 55 2 2 6 3 4" xfId="33426" xr:uid="{00000000-0005-0000-0000-000092820000}"/>
    <cellStyle name="Normal 55 2 2 6 3 5" xfId="33427" xr:uid="{00000000-0005-0000-0000-000093820000}"/>
    <cellStyle name="Normal 55 2 2 6 3 6" xfId="33428" xr:uid="{00000000-0005-0000-0000-000094820000}"/>
    <cellStyle name="Normal 55 2 2 6 4" xfId="33429" xr:uid="{00000000-0005-0000-0000-000095820000}"/>
    <cellStyle name="Normal 55 2 2 6 5" xfId="33430" xr:uid="{00000000-0005-0000-0000-000096820000}"/>
    <cellStyle name="Normal 55 2 2 6 6" xfId="33431" xr:uid="{00000000-0005-0000-0000-000097820000}"/>
    <cellStyle name="Normal 55 2 2 6 7" xfId="33432" xr:uid="{00000000-0005-0000-0000-000098820000}"/>
    <cellStyle name="Normal 55 2 2 6 8" xfId="33433" xr:uid="{00000000-0005-0000-0000-000099820000}"/>
    <cellStyle name="Normal 55 2 2 7" xfId="33434" xr:uid="{00000000-0005-0000-0000-00009A820000}"/>
    <cellStyle name="Normal 55 2 2 7 2" xfId="33435" xr:uid="{00000000-0005-0000-0000-00009B820000}"/>
    <cellStyle name="Normal 55 2 2 7 2 2" xfId="33436" xr:uid="{00000000-0005-0000-0000-00009C820000}"/>
    <cellStyle name="Normal 55 2 2 7 2 3" xfId="33437" xr:uid="{00000000-0005-0000-0000-00009D820000}"/>
    <cellStyle name="Normal 55 2 2 7 2 4" xfId="33438" xr:uid="{00000000-0005-0000-0000-00009E820000}"/>
    <cellStyle name="Normal 55 2 2 7 2 5" xfId="33439" xr:uid="{00000000-0005-0000-0000-00009F820000}"/>
    <cellStyle name="Normal 55 2 2 7 2 6" xfId="33440" xr:uid="{00000000-0005-0000-0000-0000A0820000}"/>
    <cellStyle name="Normal 55 2 2 7 3" xfId="33441" xr:uid="{00000000-0005-0000-0000-0000A1820000}"/>
    <cellStyle name="Normal 55 2 2 7 3 2" xfId="33442" xr:uid="{00000000-0005-0000-0000-0000A2820000}"/>
    <cellStyle name="Normal 55 2 2 7 3 3" xfId="33443" xr:uid="{00000000-0005-0000-0000-0000A3820000}"/>
    <cellStyle name="Normal 55 2 2 7 3 4" xfId="33444" xr:uid="{00000000-0005-0000-0000-0000A4820000}"/>
    <cellStyle name="Normal 55 2 2 7 3 5" xfId="33445" xr:uid="{00000000-0005-0000-0000-0000A5820000}"/>
    <cellStyle name="Normal 55 2 2 7 3 6" xfId="33446" xr:uid="{00000000-0005-0000-0000-0000A6820000}"/>
    <cellStyle name="Normal 55 2 2 7 4" xfId="33447" xr:uid="{00000000-0005-0000-0000-0000A7820000}"/>
    <cellStyle name="Normal 55 2 2 7 5" xfId="33448" xr:uid="{00000000-0005-0000-0000-0000A8820000}"/>
    <cellStyle name="Normal 55 2 2 7 6" xfId="33449" xr:uid="{00000000-0005-0000-0000-0000A9820000}"/>
    <cellStyle name="Normal 55 2 2 7 7" xfId="33450" xr:uid="{00000000-0005-0000-0000-0000AA820000}"/>
    <cellStyle name="Normal 55 2 2 7 8" xfId="33451" xr:uid="{00000000-0005-0000-0000-0000AB820000}"/>
    <cellStyle name="Normal 55 2 2 8" xfId="33452" xr:uid="{00000000-0005-0000-0000-0000AC820000}"/>
    <cellStyle name="Normal 55 2 2 8 2" xfId="33453" xr:uid="{00000000-0005-0000-0000-0000AD820000}"/>
    <cellStyle name="Normal 55 2 2 8 3" xfId="33454" xr:uid="{00000000-0005-0000-0000-0000AE820000}"/>
    <cellStyle name="Normal 55 2 2 8 4" xfId="33455" xr:uid="{00000000-0005-0000-0000-0000AF820000}"/>
    <cellStyle name="Normal 55 2 2 8 5" xfId="33456" xr:uid="{00000000-0005-0000-0000-0000B0820000}"/>
    <cellStyle name="Normal 55 2 2 8 6" xfId="33457" xr:uid="{00000000-0005-0000-0000-0000B1820000}"/>
    <cellStyle name="Normal 55 2 2 9" xfId="33458" xr:uid="{00000000-0005-0000-0000-0000B2820000}"/>
    <cellStyle name="Normal 55 2 2 9 2" xfId="33459" xr:uid="{00000000-0005-0000-0000-0000B3820000}"/>
    <cellStyle name="Normal 55 2 2 9 3" xfId="33460" xr:uid="{00000000-0005-0000-0000-0000B4820000}"/>
    <cellStyle name="Normal 55 2 2 9 4" xfId="33461" xr:uid="{00000000-0005-0000-0000-0000B5820000}"/>
    <cellStyle name="Normal 55 2 2 9 5" xfId="33462" xr:uid="{00000000-0005-0000-0000-0000B6820000}"/>
    <cellStyle name="Normal 55 2 2 9 6" xfId="33463" xr:uid="{00000000-0005-0000-0000-0000B7820000}"/>
    <cellStyle name="Normal 55 2 3" xfId="33464" xr:uid="{00000000-0005-0000-0000-0000B8820000}"/>
    <cellStyle name="Normal 55 2 3 10" xfId="33465" xr:uid="{00000000-0005-0000-0000-0000B9820000}"/>
    <cellStyle name="Normal 55 2 3 11" xfId="33466" xr:uid="{00000000-0005-0000-0000-0000BA820000}"/>
    <cellStyle name="Normal 55 2 3 12" xfId="33467" xr:uid="{00000000-0005-0000-0000-0000BB820000}"/>
    <cellStyle name="Normal 55 2 3 2" xfId="33468" xr:uid="{00000000-0005-0000-0000-0000BC820000}"/>
    <cellStyle name="Normal 55 2 3 2 10" xfId="33469" xr:uid="{00000000-0005-0000-0000-0000BD820000}"/>
    <cellStyle name="Normal 55 2 3 2 11" xfId="33470" xr:uid="{00000000-0005-0000-0000-0000BE820000}"/>
    <cellStyle name="Normal 55 2 3 2 2" xfId="33471" xr:uid="{00000000-0005-0000-0000-0000BF820000}"/>
    <cellStyle name="Normal 55 2 3 2 2 2" xfId="33472" xr:uid="{00000000-0005-0000-0000-0000C0820000}"/>
    <cellStyle name="Normal 55 2 3 2 2 2 2" xfId="33473" xr:uid="{00000000-0005-0000-0000-0000C1820000}"/>
    <cellStyle name="Normal 55 2 3 2 2 2 3" xfId="33474" xr:uid="{00000000-0005-0000-0000-0000C2820000}"/>
    <cellStyle name="Normal 55 2 3 2 2 2 4" xfId="33475" xr:uid="{00000000-0005-0000-0000-0000C3820000}"/>
    <cellStyle name="Normal 55 2 3 2 2 2 5" xfId="33476" xr:uid="{00000000-0005-0000-0000-0000C4820000}"/>
    <cellStyle name="Normal 55 2 3 2 2 2 6" xfId="33477" xr:uid="{00000000-0005-0000-0000-0000C5820000}"/>
    <cellStyle name="Normal 55 2 3 2 2 3" xfId="33478" xr:uid="{00000000-0005-0000-0000-0000C6820000}"/>
    <cellStyle name="Normal 55 2 3 2 2 3 2" xfId="33479" xr:uid="{00000000-0005-0000-0000-0000C7820000}"/>
    <cellStyle name="Normal 55 2 3 2 2 3 3" xfId="33480" xr:uid="{00000000-0005-0000-0000-0000C8820000}"/>
    <cellStyle name="Normal 55 2 3 2 2 3 4" xfId="33481" xr:uid="{00000000-0005-0000-0000-0000C9820000}"/>
    <cellStyle name="Normal 55 2 3 2 2 3 5" xfId="33482" xr:uid="{00000000-0005-0000-0000-0000CA820000}"/>
    <cellStyle name="Normal 55 2 3 2 2 3 6" xfId="33483" xr:uid="{00000000-0005-0000-0000-0000CB820000}"/>
    <cellStyle name="Normal 55 2 3 2 2 4" xfId="33484" xr:uid="{00000000-0005-0000-0000-0000CC820000}"/>
    <cellStyle name="Normal 55 2 3 2 2 5" xfId="33485" xr:uid="{00000000-0005-0000-0000-0000CD820000}"/>
    <cellStyle name="Normal 55 2 3 2 2 6" xfId="33486" xr:uid="{00000000-0005-0000-0000-0000CE820000}"/>
    <cellStyle name="Normal 55 2 3 2 2 7" xfId="33487" xr:uid="{00000000-0005-0000-0000-0000CF820000}"/>
    <cellStyle name="Normal 55 2 3 2 2 8" xfId="33488" xr:uid="{00000000-0005-0000-0000-0000D0820000}"/>
    <cellStyle name="Normal 55 2 3 2 3" xfId="33489" xr:uid="{00000000-0005-0000-0000-0000D1820000}"/>
    <cellStyle name="Normal 55 2 3 2 3 2" xfId="33490" xr:uid="{00000000-0005-0000-0000-0000D2820000}"/>
    <cellStyle name="Normal 55 2 3 2 3 2 2" xfId="33491" xr:uid="{00000000-0005-0000-0000-0000D3820000}"/>
    <cellStyle name="Normal 55 2 3 2 3 2 3" xfId="33492" xr:uid="{00000000-0005-0000-0000-0000D4820000}"/>
    <cellStyle name="Normal 55 2 3 2 3 2 4" xfId="33493" xr:uid="{00000000-0005-0000-0000-0000D5820000}"/>
    <cellStyle name="Normal 55 2 3 2 3 2 5" xfId="33494" xr:uid="{00000000-0005-0000-0000-0000D6820000}"/>
    <cellStyle name="Normal 55 2 3 2 3 2 6" xfId="33495" xr:uid="{00000000-0005-0000-0000-0000D7820000}"/>
    <cellStyle name="Normal 55 2 3 2 3 3" xfId="33496" xr:uid="{00000000-0005-0000-0000-0000D8820000}"/>
    <cellStyle name="Normal 55 2 3 2 3 3 2" xfId="33497" xr:uid="{00000000-0005-0000-0000-0000D9820000}"/>
    <cellStyle name="Normal 55 2 3 2 3 3 3" xfId="33498" xr:uid="{00000000-0005-0000-0000-0000DA820000}"/>
    <cellStyle name="Normal 55 2 3 2 3 3 4" xfId="33499" xr:uid="{00000000-0005-0000-0000-0000DB820000}"/>
    <cellStyle name="Normal 55 2 3 2 3 3 5" xfId="33500" xr:uid="{00000000-0005-0000-0000-0000DC820000}"/>
    <cellStyle name="Normal 55 2 3 2 3 3 6" xfId="33501" xr:uid="{00000000-0005-0000-0000-0000DD820000}"/>
    <cellStyle name="Normal 55 2 3 2 3 4" xfId="33502" xr:uid="{00000000-0005-0000-0000-0000DE820000}"/>
    <cellStyle name="Normal 55 2 3 2 3 5" xfId="33503" xr:uid="{00000000-0005-0000-0000-0000DF820000}"/>
    <cellStyle name="Normal 55 2 3 2 3 6" xfId="33504" xr:uid="{00000000-0005-0000-0000-0000E0820000}"/>
    <cellStyle name="Normal 55 2 3 2 3 7" xfId="33505" xr:uid="{00000000-0005-0000-0000-0000E1820000}"/>
    <cellStyle name="Normal 55 2 3 2 3 8" xfId="33506" xr:uid="{00000000-0005-0000-0000-0000E2820000}"/>
    <cellStyle name="Normal 55 2 3 2 4" xfId="33507" xr:uid="{00000000-0005-0000-0000-0000E3820000}"/>
    <cellStyle name="Normal 55 2 3 2 4 2" xfId="33508" xr:uid="{00000000-0005-0000-0000-0000E4820000}"/>
    <cellStyle name="Normal 55 2 3 2 4 2 2" xfId="33509" xr:uid="{00000000-0005-0000-0000-0000E5820000}"/>
    <cellStyle name="Normal 55 2 3 2 4 2 3" xfId="33510" xr:uid="{00000000-0005-0000-0000-0000E6820000}"/>
    <cellStyle name="Normal 55 2 3 2 4 2 4" xfId="33511" xr:uid="{00000000-0005-0000-0000-0000E7820000}"/>
    <cellStyle name="Normal 55 2 3 2 4 2 5" xfId="33512" xr:uid="{00000000-0005-0000-0000-0000E8820000}"/>
    <cellStyle name="Normal 55 2 3 2 4 2 6" xfId="33513" xr:uid="{00000000-0005-0000-0000-0000E9820000}"/>
    <cellStyle name="Normal 55 2 3 2 4 3" xfId="33514" xr:uid="{00000000-0005-0000-0000-0000EA820000}"/>
    <cellStyle name="Normal 55 2 3 2 4 3 2" xfId="33515" xr:uid="{00000000-0005-0000-0000-0000EB820000}"/>
    <cellStyle name="Normal 55 2 3 2 4 3 3" xfId="33516" xr:uid="{00000000-0005-0000-0000-0000EC820000}"/>
    <cellStyle name="Normal 55 2 3 2 4 3 4" xfId="33517" xr:uid="{00000000-0005-0000-0000-0000ED820000}"/>
    <cellStyle name="Normal 55 2 3 2 4 3 5" xfId="33518" xr:uid="{00000000-0005-0000-0000-0000EE820000}"/>
    <cellStyle name="Normal 55 2 3 2 4 3 6" xfId="33519" xr:uid="{00000000-0005-0000-0000-0000EF820000}"/>
    <cellStyle name="Normal 55 2 3 2 4 4" xfId="33520" xr:uid="{00000000-0005-0000-0000-0000F0820000}"/>
    <cellStyle name="Normal 55 2 3 2 4 5" xfId="33521" xr:uid="{00000000-0005-0000-0000-0000F1820000}"/>
    <cellStyle name="Normal 55 2 3 2 4 6" xfId="33522" xr:uid="{00000000-0005-0000-0000-0000F2820000}"/>
    <cellStyle name="Normal 55 2 3 2 4 7" xfId="33523" xr:uid="{00000000-0005-0000-0000-0000F3820000}"/>
    <cellStyle name="Normal 55 2 3 2 4 8" xfId="33524" xr:uid="{00000000-0005-0000-0000-0000F4820000}"/>
    <cellStyle name="Normal 55 2 3 2 5" xfId="33525" xr:uid="{00000000-0005-0000-0000-0000F5820000}"/>
    <cellStyle name="Normal 55 2 3 2 5 2" xfId="33526" xr:uid="{00000000-0005-0000-0000-0000F6820000}"/>
    <cellStyle name="Normal 55 2 3 2 5 3" xfId="33527" xr:uid="{00000000-0005-0000-0000-0000F7820000}"/>
    <cellStyle name="Normal 55 2 3 2 5 4" xfId="33528" xr:uid="{00000000-0005-0000-0000-0000F8820000}"/>
    <cellStyle name="Normal 55 2 3 2 5 5" xfId="33529" xr:uid="{00000000-0005-0000-0000-0000F9820000}"/>
    <cellStyle name="Normal 55 2 3 2 5 6" xfId="33530" xr:uid="{00000000-0005-0000-0000-0000FA820000}"/>
    <cellStyle name="Normal 55 2 3 2 6" xfId="33531" xr:uid="{00000000-0005-0000-0000-0000FB820000}"/>
    <cellStyle name="Normal 55 2 3 2 6 2" xfId="33532" xr:uid="{00000000-0005-0000-0000-0000FC820000}"/>
    <cellStyle name="Normal 55 2 3 2 6 3" xfId="33533" xr:uid="{00000000-0005-0000-0000-0000FD820000}"/>
    <cellStyle name="Normal 55 2 3 2 6 4" xfId="33534" xr:uid="{00000000-0005-0000-0000-0000FE820000}"/>
    <cellStyle name="Normal 55 2 3 2 6 5" xfId="33535" xr:uid="{00000000-0005-0000-0000-0000FF820000}"/>
    <cellStyle name="Normal 55 2 3 2 6 6" xfId="33536" xr:uid="{00000000-0005-0000-0000-000000830000}"/>
    <cellStyle name="Normal 55 2 3 2 7" xfId="33537" xr:uid="{00000000-0005-0000-0000-000001830000}"/>
    <cellStyle name="Normal 55 2 3 2 8" xfId="33538" xr:uid="{00000000-0005-0000-0000-000002830000}"/>
    <cellStyle name="Normal 55 2 3 2 9" xfId="33539" xr:uid="{00000000-0005-0000-0000-000003830000}"/>
    <cellStyle name="Normal 55 2 3 3" xfId="33540" xr:uid="{00000000-0005-0000-0000-000004830000}"/>
    <cellStyle name="Normal 55 2 3 3 2" xfId="33541" xr:uid="{00000000-0005-0000-0000-000005830000}"/>
    <cellStyle name="Normal 55 2 3 3 2 2" xfId="33542" xr:uid="{00000000-0005-0000-0000-000006830000}"/>
    <cellStyle name="Normal 55 2 3 3 2 3" xfId="33543" xr:uid="{00000000-0005-0000-0000-000007830000}"/>
    <cellStyle name="Normal 55 2 3 3 2 4" xfId="33544" xr:uid="{00000000-0005-0000-0000-000008830000}"/>
    <cellStyle name="Normal 55 2 3 3 2 5" xfId="33545" xr:uid="{00000000-0005-0000-0000-000009830000}"/>
    <cellStyle name="Normal 55 2 3 3 2 6" xfId="33546" xr:uid="{00000000-0005-0000-0000-00000A830000}"/>
    <cellStyle name="Normal 55 2 3 3 3" xfId="33547" xr:uid="{00000000-0005-0000-0000-00000B830000}"/>
    <cellStyle name="Normal 55 2 3 3 3 2" xfId="33548" xr:uid="{00000000-0005-0000-0000-00000C830000}"/>
    <cellStyle name="Normal 55 2 3 3 3 3" xfId="33549" xr:uid="{00000000-0005-0000-0000-00000D830000}"/>
    <cellStyle name="Normal 55 2 3 3 3 4" xfId="33550" xr:uid="{00000000-0005-0000-0000-00000E830000}"/>
    <cellStyle name="Normal 55 2 3 3 3 5" xfId="33551" xr:uid="{00000000-0005-0000-0000-00000F830000}"/>
    <cellStyle name="Normal 55 2 3 3 3 6" xfId="33552" xr:uid="{00000000-0005-0000-0000-000010830000}"/>
    <cellStyle name="Normal 55 2 3 3 4" xfId="33553" xr:uid="{00000000-0005-0000-0000-000011830000}"/>
    <cellStyle name="Normal 55 2 3 3 5" xfId="33554" xr:uid="{00000000-0005-0000-0000-000012830000}"/>
    <cellStyle name="Normal 55 2 3 3 6" xfId="33555" xr:uid="{00000000-0005-0000-0000-000013830000}"/>
    <cellStyle name="Normal 55 2 3 3 7" xfId="33556" xr:uid="{00000000-0005-0000-0000-000014830000}"/>
    <cellStyle name="Normal 55 2 3 3 8" xfId="33557" xr:uid="{00000000-0005-0000-0000-000015830000}"/>
    <cellStyle name="Normal 55 2 3 4" xfId="33558" xr:uid="{00000000-0005-0000-0000-000016830000}"/>
    <cellStyle name="Normal 55 2 3 4 2" xfId="33559" xr:uid="{00000000-0005-0000-0000-000017830000}"/>
    <cellStyle name="Normal 55 2 3 4 2 2" xfId="33560" xr:uid="{00000000-0005-0000-0000-000018830000}"/>
    <cellStyle name="Normal 55 2 3 4 2 3" xfId="33561" xr:uid="{00000000-0005-0000-0000-000019830000}"/>
    <cellStyle name="Normal 55 2 3 4 2 4" xfId="33562" xr:uid="{00000000-0005-0000-0000-00001A830000}"/>
    <cellStyle name="Normal 55 2 3 4 2 5" xfId="33563" xr:uid="{00000000-0005-0000-0000-00001B830000}"/>
    <cellStyle name="Normal 55 2 3 4 2 6" xfId="33564" xr:uid="{00000000-0005-0000-0000-00001C830000}"/>
    <cellStyle name="Normal 55 2 3 4 3" xfId="33565" xr:uid="{00000000-0005-0000-0000-00001D830000}"/>
    <cellStyle name="Normal 55 2 3 4 3 2" xfId="33566" xr:uid="{00000000-0005-0000-0000-00001E830000}"/>
    <cellStyle name="Normal 55 2 3 4 3 3" xfId="33567" xr:uid="{00000000-0005-0000-0000-00001F830000}"/>
    <cellStyle name="Normal 55 2 3 4 3 4" xfId="33568" xr:uid="{00000000-0005-0000-0000-000020830000}"/>
    <cellStyle name="Normal 55 2 3 4 3 5" xfId="33569" xr:uid="{00000000-0005-0000-0000-000021830000}"/>
    <cellStyle name="Normal 55 2 3 4 3 6" xfId="33570" xr:uid="{00000000-0005-0000-0000-000022830000}"/>
    <cellStyle name="Normal 55 2 3 4 4" xfId="33571" xr:uid="{00000000-0005-0000-0000-000023830000}"/>
    <cellStyle name="Normal 55 2 3 4 5" xfId="33572" xr:uid="{00000000-0005-0000-0000-000024830000}"/>
    <cellStyle name="Normal 55 2 3 4 6" xfId="33573" xr:uid="{00000000-0005-0000-0000-000025830000}"/>
    <cellStyle name="Normal 55 2 3 4 7" xfId="33574" xr:uid="{00000000-0005-0000-0000-000026830000}"/>
    <cellStyle name="Normal 55 2 3 4 8" xfId="33575" xr:uid="{00000000-0005-0000-0000-000027830000}"/>
    <cellStyle name="Normal 55 2 3 5" xfId="33576" xr:uid="{00000000-0005-0000-0000-000028830000}"/>
    <cellStyle name="Normal 55 2 3 5 2" xfId="33577" xr:uid="{00000000-0005-0000-0000-000029830000}"/>
    <cellStyle name="Normal 55 2 3 5 2 2" xfId="33578" xr:uid="{00000000-0005-0000-0000-00002A830000}"/>
    <cellStyle name="Normal 55 2 3 5 2 3" xfId="33579" xr:uid="{00000000-0005-0000-0000-00002B830000}"/>
    <cellStyle name="Normal 55 2 3 5 2 4" xfId="33580" xr:uid="{00000000-0005-0000-0000-00002C830000}"/>
    <cellStyle name="Normal 55 2 3 5 2 5" xfId="33581" xr:uid="{00000000-0005-0000-0000-00002D830000}"/>
    <cellStyle name="Normal 55 2 3 5 2 6" xfId="33582" xr:uid="{00000000-0005-0000-0000-00002E830000}"/>
    <cellStyle name="Normal 55 2 3 5 3" xfId="33583" xr:uid="{00000000-0005-0000-0000-00002F830000}"/>
    <cellStyle name="Normal 55 2 3 5 3 2" xfId="33584" xr:uid="{00000000-0005-0000-0000-000030830000}"/>
    <cellStyle name="Normal 55 2 3 5 3 3" xfId="33585" xr:uid="{00000000-0005-0000-0000-000031830000}"/>
    <cellStyle name="Normal 55 2 3 5 3 4" xfId="33586" xr:uid="{00000000-0005-0000-0000-000032830000}"/>
    <cellStyle name="Normal 55 2 3 5 3 5" xfId="33587" xr:uid="{00000000-0005-0000-0000-000033830000}"/>
    <cellStyle name="Normal 55 2 3 5 3 6" xfId="33588" xr:uid="{00000000-0005-0000-0000-000034830000}"/>
    <cellStyle name="Normal 55 2 3 5 4" xfId="33589" xr:uid="{00000000-0005-0000-0000-000035830000}"/>
    <cellStyle name="Normal 55 2 3 5 5" xfId="33590" xr:uid="{00000000-0005-0000-0000-000036830000}"/>
    <cellStyle name="Normal 55 2 3 5 6" xfId="33591" xr:uid="{00000000-0005-0000-0000-000037830000}"/>
    <cellStyle name="Normal 55 2 3 5 7" xfId="33592" xr:uid="{00000000-0005-0000-0000-000038830000}"/>
    <cellStyle name="Normal 55 2 3 5 8" xfId="33593" xr:uid="{00000000-0005-0000-0000-000039830000}"/>
    <cellStyle name="Normal 55 2 3 6" xfId="33594" xr:uid="{00000000-0005-0000-0000-00003A830000}"/>
    <cellStyle name="Normal 55 2 3 6 2" xfId="33595" xr:uid="{00000000-0005-0000-0000-00003B830000}"/>
    <cellStyle name="Normal 55 2 3 6 3" xfId="33596" xr:uid="{00000000-0005-0000-0000-00003C830000}"/>
    <cellStyle name="Normal 55 2 3 6 4" xfId="33597" xr:uid="{00000000-0005-0000-0000-00003D830000}"/>
    <cellStyle name="Normal 55 2 3 6 5" xfId="33598" xr:uid="{00000000-0005-0000-0000-00003E830000}"/>
    <cellStyle name="Normal 55 2 3 6 6" xfId="33599" xr:uid="{00000000-0005-0000-0000-00003F830000}"/>
    <cellStyle name="Normal 55 2 3 7" xfId="33600" xr:uid="{00000000-0005-0000-0000-000040830000}"/>
    <cellStyle name="Normal 55 2 3 7 2" xfId="33601" xr:uid="{00000000-0005-0000-0000-000041830000}"/>
    <cellStyle name="Normal 55 2 3 7 3" xfId="33602" xr:uid="{00000000-0005-0000-0000-000042830000}"/>
    <cellStyle name="Normal 55 2 3 7 4" xfId="33603" xr:uid="{00000000-0005-0000-0000-000043830000}"/>
    <cellStyle name="Normal 55 2 3 7 5" xfId="33604" xr:uid="{00000000-0005-0000-0000-000044830000}"/>
    <cellStyle name="Normal 55 2 3 7 6" xfId="33605" xr:uid="{00000000-0005-0000-0000-000045830000}"/>
    <cellStyle name="Normal 55 2 3 8" xfId="33606" xr:uid="{00000000-0005-0000-0000-000046830000}"/>
    <cellStyle name="Normal 55 2 3 9" xfId="33607" xr:uid="{00000000-0005-0000-0000-000047830000}"/>
    <cellStyle name="Normal 55 2 4" xfId="33608" xr:uid="{00000000-0005-0000-0000-000048830000}"/>
    <cellStyle name="Normal 55 2 4 10" xfId="33609" xr:uid="{00000000-0005-0000-0000-000049830000}"/>
    <cellStyle name="Normal 55 2 4 11" xfId="33610" xr:uid="{00000000-0005-0000-0000-00004A830000}"/>
    <cellStyle name="Normal 55 2 4 12" xfId="33611" xr:uid="{00000000-0005-0000-0000-00004B830000}"/>
    <cellStyle name="Normal 55 2 4 2" xfId="33612" xr:uid="{00000000-0005-0000-0000-00004C830000}"/>
    <cellStyle name="Normal 55 2 4 2 10" xfId="33613" xr:uid="{00000000-0005-0000-0000-00004D830000}"/>
    <cellStyle name="Normal 55 2 4 2 11" xfId="33614" xr:uid="{00000000-0005-0000-0000-00004E830000}"/>
    <cellStyle name="Normal 55 2 4 2 2" xfId="33615" xr:uid="{00000000-0005-0000-0000-00004F830000}"/>
    <cellStyle name="Normal 55 2 4 2 2 2" xfId="33616" xr:uid="{00000000-0005-0000-0000-000050830000}"/>
    <cellStyle name="Normal 55 2 4 2 2 2 2" xfId="33617" xr:uid="{00000000-0005-0000-0000-000051830000}"/>
    <cellStyle name="Normal 55 2 4 2 2 2 3" xfId="33618" xr:uid="{00000000-0005-0000-0000-000052830000}"/>
    <cellStyle name="Normal 55 2 4 2 2 2 4" xfId="33619" xr:uid="{00000000-0005-0000-0000-000053830000}"/>
    <cellStyle name="Normal 55 2 4 2 2 2 5" xfId="33620" xr:uid="{00000000-0005-0000-0000-000054830000}"/>
    <cellStyle name="Normal 55 2 4 2 2 2 6" xfId="33621" xr:uid="{00000000-0005-0000-0000-000055830000}"/>
    <cellStyle name="Normal 55 2 4 2 2 3" xfId="33622" xr:uid="{00000000-0005-0000-0000-000056830000}"/>
    <cellStyle name="Normal 55 2 4 2 2 3 2" xfId="33623" xr:uid="{00000000-0005-0000-0000-000057830000}"/>
    <cellStyle name="Normal 55 2 4 2 2 3 3" xfId="33624" xr:uid="{00000000-0005-0000-0000-000058830000}"/>
    <cellStyle name="Normal 55 2 4 2 2 3 4" xfId="33625" xr:uid="{00000000-0005-0000-0000-000059830000}"/>
    <cellStyle name="Normal 55 2 4 2 2 3 5" xfId="33626" xr:uid="{00000000-0005-0000-0000-00005A830000}"/>
    <cellStyle name="Normal 55 2 4 2 2 3 6" xfId="33627" xr:uid="{00000000-0005-0000-0000-00005B830000}"/>
    <cellStyle name="Normal 55 2 4 2 2 4" xfId="33628" xr:uid="{00000000-0005-0000-0000-00005C830000}"/>
    <cellStyle name="Normal 55 2 4 2 2 5" xfId="33629" xr:uid="{00000000-0005-0000-0000-00005D830000}"/>
    <cellStyle name="Normal 55 2 4 2 2 6" xfId="33630" xr:uid="{00000000-0005-0000-0000-00005E830000}"/>
    <cellStyle name="Normal 55 2 4 2 2 7" xfId="33631" xr:uid="{00000000-0005-0000-0000-00005F830000}"/>
    <cellStyle name="Normal 55 2 4 2 2 8" xfId="33632" xr:uid="{00000000-0005-0000-0000-000060830000}"/>
    <cellStyle name="Normal 55 2 4 2 3" xfId="33633" xr:uid="{00000000-0005-0000-0000-000061830000}"/>
    <cellStyle name="Normal 55 2 4 2 3 2" xfId="33634" xr:uid="{00000000-0005-0000-0000-000062830000}"/>
    <cellStyle name="Normal 55 2 4 2 3 2 2" xfId="33635" xr:uid="{00000000-0005-0000-0000-000063830000}"/>
    <cellStyle name="Normal 55 2 4 2 3 2 3" xfId="33636" xr:uid="{00000000-0005-0000-0000-000064830000}"/>
    <cellStyle name="Normal 55 2 4 2 3 2 4" xfId="33637" xr:uid="{00000000-0005-0000-0000-000065830000}"/>
    <cellStyle name="Normal 55 2 4 2 3 2 5" xfId="33638" xr:uid="{00000000-0005-0000-0000-000066830000}"/>
    <cellStyle name="Normal 55 2 4 2 3 2 6" xfId="33639" xr:uid="{00000000-0005-0000-0000-000067830000}"/>
    <cellStyle name="Normal 55 2 4 2 3 3" xfId="33640" xr:uid="{00000000-0005-0000-0000-000068830000}"/>
    <cellStyle name="Normal 55 2 4 2 3 3 2" xfId="33641" xr:uid="{00000000-0005-0000-0000-000069830000}"/>
    <cellStyle name="Normal 55 2 4 2 3 3 3" xfId="33642" xr:uid="{00000000-0005-0000-0000-00006A830000}"/>
    <cellStyle name="Normal 55 2 4 2 3 3 4" xfId="33643" xr:uid="{00000000-0005-0000-0000-00006B830000}"/>
    <cellStyle name="Normal 55 2 4 2 3 3 5" xfId="33644" xr:uid="{00000000-0005-0000-0000-00006C830000}"/>
    <cellStyle name="Normal 55 2 4 2 3 3 6" xfId="33645" xr:uid="{00000000-0005-0000-0000-00006D830000}"/>
    <cellStyle name="Normal 55 2 4 2 3 4" xfId="33646" xr:uid="{00000000-0005-0000-0000-00006E830000}"/>
    <cellStyle name="Normal 55 2 4 2 3 5" xfId="33647" xr:uid="{00000000-0005-0000-0000-00006F830000}"/>
    <cellStyle name="Normal 55 2 4 2 3 6" xfId="33648" xr:uid="{00000000-0005-0000-0000-000070830000}"/>
    <cellStyle name="Normal 55 2 4 2 3 7" xfId="33649" xr:uid="{00000000-0005-0000-0000-000071830000}"/>
    <cellStyle name="Normal 55 2 4 2 3 8" xfId="33650" xr:uid="{00000000-0005-0000-0000-000072830000}"/>
    <cellStyle name="Normal 55 2 4 2 4" xfId="33651" xr:uid="{00000000-0005-0000-0000-000073830000}"/>
    <cellStyle name="Normal 55 2 4 2 4 2" xfId="33652" xr:uid="{00000000-0005-0000-0000-000074830000}"/>
    <cellStyle name="Normal 55 2 4 2 4 2 2" xfId="33653" xr:uid="{00000000-0005-0000-0000-000075830000}"/>
    <cellStyle name="Normal 55 2 4 2 4 2 3" xfId="33654" xr:uid="{00000000-0005-0000-0000-000076830000}"/>
    <cellStyle name="Normal 55 2 4 2 4 2 4" xfId="33655" xr:uid="{00000000-0005-0000-0000-000077830000}"/>
    <cellStyle name="Normal 55 2 4 2 4 2 5" xfId="33656" xr:uid="{00000000-0005-0000-0000-000078830000}"/>
    <cellStyle name="Normal 55 2 4 2 4 2 6" xfId="33657" xr:uid="{00000000-0005-0000-0000-000079830000}"/>
    <cellStyle name="Normal 55 2 4 2 4 3" xfId="33658" xr:uid="{00000000-0005-0000-0000-00007A830000}"/>
    <cellStyle name="Normal 55 2 4 2 4 3 2" xfId="33659" xr:uid="{00000000-0005-0000-0000-00007B830000}"/>
    <cellStyle name="Normal 55 2 4 2 4 3 3" xfId="33660" xr:uid="{00000000-0005-0000-0000-00007C830000}"/>
    <cellStyle name="Normal 55 2 4 2 4 3 4" xfId="33661" xr:uid="{00000000-0005-0000-0000-00007D830000}"/>
    <cellStyle name="Normal 55 2 4 2 4 3 5" xfId="33662" xr:uid="{00000000-0005-0000-0000-00007E830000}"/>
    <cellStyle name="Normal 55 2 4 2 4 3 6" xfId="33663" xr:uid="{00000000-0005-0000-0000-00007F830000}"/>
    <cellStyle name="Normal 55 2 4 2 4 4" xfId="33664" xr:uid="{00000000-0005-0000-0000-000080830000}"/>
    <cellStyle name="Normal 55 2 4 2 4 5" xfId="33665" xr:uid="{00000000-0005-0000-0000-000081830000}"/>
    <cellStyle name="Normal 55 2 4 2 4 6" xfId="33666" xr:uid="{00000000-0005-0000-0000-000082830000}"/>
    <cellStyle name="Normal 55 2 4 2 4 7" xfId="33667" xr:uid="{00000000-0005-0000-0000-000083830000}"/>
    <cellStyle name="Normal 55 2 4 2 4 8" xfId="33668" xr:uid="{00000000-0005-0000-0000-000084830000}"/>
    <cellStyle name="Normal 55 2 4 2 5" xfId="33669" xr:uid="{00000000-0005-0000-0000-000085830000}"/>
    <cellStyle name="Normal 55 2 4 2 5 2" xfId="33670" xr:uid="{00000000-0005-0000-0000-000086830000}"/>
    <cellStyle name="Normal 55 2 4 2 5 3" xfId="33671" xr:uid="{00000000-0005-0000-0000-000087830000}"/>
    <cellStyle name="Normal 55 2 4 2 5 4" xfId="33672" xr:uid="{00000000-0005-0000-0000-000088830000}"/>
    <cellStyle name="Normal 55 2 4 2 5 5" xfId="33673" xr:uid="{00000000-0005-0000-0000-000089830000}"/>
    <cellStyle name="Normal 55 2 4 2 5 6" xfId="33674" xr:uid="{00000000-0005-0000-0000-00008A830000}"/>
    <cellStyle name="Normal 55 2 4 2 6" xfId="33675" xr:uid="{00000000-0005-0000-0000-00008B830000}"/>
    <cellStyle name="Normal 55 2 4 2 6 2" xfId="33676" xr:uid="{00000000-0005-0000-0000-00008C830000}"/>
    <cellStyle name="Normal 55 2 4 2 6 3" xfId="33677" xr:uid="{00000000-0005-0000-0000-00008D830000}"/>
    <cellStyle name="Normal 55 2 4 2 6 4" xfId="33678" xr:uid="{00000000-0005-0000-0000-00008E830000}"/>
    <cellStyle name="Normal 55 2 4 2 6 5" xfId="33679" xr:uid="{00000000-0005-0000-0000-00008F830000}"/>
    <cellStyle name="Normal 55 2 4 2 6 6" xfId="33680" xr:uid="{00000000-0005-0000-0000-000090830000}"/>
    <cellStyle name="Normal 55 2 4 2 7" xfId="33681" xr:uid="{00000000-0005-0000-0000-000091830000}"/>
    <cellStyle name="Normal 55 2 4 2 8" xfId="33682" xr:uid="{00000000-0005-0000-0000-000092830000}"/>
    <cellStyle name="Normal 55 2 4 2 9" xfId="33683" xr:uid="{00000000-0005-0000-0000-000093830000}"/>
    <cellStyle name="Normal 55 2 4 3" xfId="33684" xr:uid="{00000000-0005-0000-0000-000094830000}"/>
    <cellStyle name="Normal 55 2 4 3 2" xfId="33685" xr:uid="{00000000-0005-0000-0000-000095830000}"/>
    <cellStyle name="Normal 55 2 4 3 2 2" xfId="33686" xr:uid="{00000000-0005-0000-0000-000096830000}"/>
    <cellStyle name="Normal 55 2 4 3 2 3" xfId="33687" xr:uid="{00000000-0005-0000-0000-000097830000}"/>
    <cellStyle name="Normal 55 2 4 3 2 4" xfId="33688" xr:uid="{00000000-0005-0000-0000-000098830000}"/>
    <cellStyle name="Normal 55 2 4 3 2 5" xfId="33689" xr:uid="{00000000-0005-0000-0000-000099830000}"/>
    <cellStyle name="Normal 55 2 4 3 2 6" xfId="33690" xr:uid="{00000000-0005-0000-0000-00009A830000}"/>
    <cellStyle name="Normal 55 2 4 3 3" xfId="33691" xr:uid="{00000000-0005-0000-0000-00009B830000}"/>
    <cellStyle name="Normal 55 2 4 3 3 2" xfId="33692" xr:uid="{00000000-0005-0000-0000-00009C830000}"/>
    <cellStyle name="Normal 55 2 4 3 3 3" xfId="33693" xr:uid="{00000000-0005-0000-0000-00009D830000}"/>
    <cellStyle name="Normal 55 2 4 3 3 4" xfId="33694" xr:uid="{00000000-0005-0000-0000-00009E830000}"/>
    <cellStyle name="Normal 55 2 4 3 3 5" xfId="33695" xr:uid="{00000000-0005-0000-0000-00009F830000}"/>
    <cellStyle name="Normal 55 2 4 3 3 6" xfId="33696" xr:uid="{00000000-0005-0000-0000-0000A0830000}"/>
    <cellStyle name="Normal 55 2 4 3 4" xfId="33697" xr:uid="{00000000-0005-0000-0000-0000A1830000}"/>
    <cellStyle name="Normal 55 2 4 3 5" xfId="33698" xr:uid="{00000000-0005-0000-0000-0000A2830000}"/>
    <cellStyle name="Normal 55 2 4 3 6" xfId="33699" xr:uid="{00000000-0005-0000-0000-0000A3830000}"/>
    <cellStyle name="Normal 55 2 4 3 7" xfId="33700" xr:uid="{00000000-0005-0000-0000-0000A4830000}"/>
    <cellStyle name="Normal 55 2 4 3 8" xfId="33701" xr:uid="{00000000-0005-0000-0000-0000A5830000}"/>
    <cellStyle name="Normal 55 2 4 4" xfId="33702" xr:uid="{00000000-0005-0000-0000-0000A6830000}"/>
    <cellStyle name="Normal 55 2 4 4 2" xfId="33703" xr:uid="{00000000-0005-0000-0000-0000A7830000}"/>
    <cellStyle name="Normal 55 2 4 4 2 2" xfId="33704" xr:uid="{00000000-0005-0000-0000-0000A8830000}"/>
    <cellStyle name="Normal 55 2 4 4 2 3" xfId="33705" xr:uid="{00000000-0005-0000-0000-0000A9830000}"/>
    <cellStyle name="Normal 55 2 4 4 2 4" xfId="33706" xr:uid="{00000000-0005-0000-0000-0000AA830000}"/>
    <cellStyle name="Normal 55 2 4 4 2 5" xfId="33707" xr:uid="{00000000-0005-0000-0000-0000AB830000}"/>
    <cellStyle name="Normal 55 2 4 4 2 6" xfId="33708" xr:uid="{00000000-0005-0000-0000-0000AC830000}"/>
    <cellStyle name="Normal 55 2 4 4 3" xfId="33709" xr:uid="{00000000-0005-0000-0000-0000AD830000}"/>
    <cellStyle name="Normal 55 2 4 4 3 2" xfId="33710" xr:uid="{00000000-0005-0000-0000-0000AE830000}"/>
    <cellStyle name="Normal 55 2 4 4 3 3" xfId="33711" xr:uid="{00000000-0005-0000-0000-0000AF830000}"/>
    <cellStyle name="Normal 55 2 4 4 3 4" xfId="33712" xr:uid="{00000000-0005-0000-0000-0000B0830000}"/>
    <cellStyle name="Normal 55 2 4 4 3 5" xfId="33713" xr:uid="{00000000-0005-0000-0000-0000B1830000}"/>
    <cellStyle name="Normal 55 2 4 4 3 6" xfId="33714" xr:uid="{00000000-0005-0000-0000-0000B2830000}"/>
    <cellStyle name="Normal 55 2 4 4 4" xfId="33715" xr:uid="{00000000-0005-0000-0000-0000B3830000}"/>
    <cellStyle name="Normal 55 2 4 4 5" xfId="33716" xr:uid="{00000000-0005-0000-0000-0000B4830000}"/>
    <cellStyle name="Normal 55 2 4 4 6" xfId="33717" xr:uid="{00000000-0005-0000-0000-0000B5830000}"/>
    <cellStyle name="Normal 55 2 4 4 7" xfId="33718" xr:uid="{00000000-0005-0000-0000-0000B6830000}"/>
    <cellStyle name="Normal 55 2 4 4 8" xfId="33719" xr:uid="{00000000-0005-0000-0000-0000B7830000}"/>
    <cellStyle name="Normal 55 2 4 5" xfId="33720" xr:uid="{00000000-0005-0000-0000-0000B8830000}"/>
    <cellStyle name="Normal 55 2 4 5 2" xfId="33721" xr:uid="{00000000-0005-0000-0000-0000B9830000}"/>
    <cellStyle name="Normal 55 2 4 5 2 2" xfId="33722" xr:uid="{00000000-0005-0000-0000-0000BA830000}"/>
    <cellStyle name="Normal 55 2 4 5 2 3" xfId="33723" xr:uid="{00000000-0005-0000-0000-0000BB830000}"/>
    <cellStyle name="Normal 55 2 4 5 2 4" xfId="33724" xr:uid="{00000000-0005-0000-0000-0000BC830000}"/>
    <cellStyle name="Normal 55 2 4 5 2 5" xfId="33725" xr:uid="{00000000-0005-0000-0000-0000BD830000}"/>
    <cellStyle name="Normal 55 2 4 5 2 6" xfId="33726" xr:uid="{00000000-0005-0000-0000-0000BE830000}"/>
    <cellStyle name="Normal 55 2 4 5 3" xfId="33727" xr:uid="{00000000-0005-0000-0000-0000BF830000}"/>
    <cellStyle name="Normal 55 2 4 5 3 2" xfId="33728" xr:uid="{00000000-0005-0000-0000-0000C0830000}"/>
    <cellStyle name="Normal 55 2 4 5 3 3" xfId="33729" xr:uid="{00000000-0005-0000-0000-0000C1830000}"/>
    <cellStyle name="Normal 55 2 4 5 3 4" xfId="33730" xr:uid="{00000000-0005-0000-0000-0000C2830000}"/>
    <cellStyle name="Normal 55 2 4 5 3 5" xfId="33731" xr:uid="{00000000-0005-0000-0000-0000C3830000}"/>
    <cellStyle name="Normal 55 2 4 5 3 6" xfId="33732" xr:uid="{00000000-0005-0000-0000-0000C4830000}"/>
    <cellStyle name="Normal 55 2 4 5 4" xfId="33733" xr:uid="{00000000-0005-0000-0000-0000C5830000}"/>
    <cellStyle name="Normal 55 2 4 5 5" xfId="33734" xr:uid="{00000000-0005-0000-0000-0000C6830000}"/>
    <cellStyle name="Normal 55 2 4 5 6" xfId="33735" xr:uid="{00000000-0005-0000-0000-0000C7830000}"/>
    <cellStyle name="Normal 55 2 4 5 7" xfId="33736" xr:uid="{00000000-0005-0000-0000-0000C8830000}"/>
    <cellStyle name="Normal 55 2 4 5 8" xfId="33737" xr:uid="{00000000-0005-0000-0000-0000C9830000}"/>
    <cellStyle name="Normal 55 2 4 6" xfId="33738" xr:uid="{00000000-0005-0000-0000-0000CA830000}"/>
    <cellStyle name="Normal 55 2 4 6 2" xfId="33739" xr:uid="{00000000-0005-0000-0000-0000CB830000}"/>
    <cellStyle name="Normal 55 2 4 6 3" xfId="33740" xr:uid="{00000000-0005-0000-0000-0000CC830000}"/>
    <cellStyle name="Normal 55 2 4 6 4" xfId="33741" xr:uid="{00000000-0005-0000-0000-0000CD830000}"/>
    <cellStyle name="Normal 55 2 4 6 5" xfId="33742" xr:uid="{00000000-0005-0000-0000-0000CE830000}"/>
    <cellStyle name="Normal 55 2 4 6 6" xfId="33743" xr:uid="{00000000-0005-0000-0000-0000CF830000}"/>
    <cellStyle name="Normal 55 2 4 7" xfId="33744" xr:uid="{00000000-0005-0000-0000-0000D0830000}"/>
    <cellStyle name="Normal 55 2 4 7 2" xfId="33745" xr:uid="{00000000-0005-0000-0000-0000D1830000}"/>
    <cellStyle name="Normal 55 2 4 7 3" xfId="33746" xr:uid="{00000000-0005-0000-0000-0000D2830000}"/>
    <cellStyle name="Normal 55 2 4 7 4" xfId="33747" xr:uid="{00000000-0005-0000-0000-0000D3830000}"/>
    <cellStyle name="Normal 55 2 4 7 5" xfId="33748" xr:uid="{00000000-0005-0000-0000-0000D4830000}"/>
    <cellStyle name="Normal 55 2 4 7 6" xfId="33749" xr:uid="{00000000-0005-0000-0000-0000D5830000}"/>
    <cellStyle name="Normal 55 2 4 8" xfId="33750" xr:uid="{00000000-0005-0000-0000-0000D6830000}"/>
    <cellStyle name="Normal 55 2 4 9" xfId="33751" xr:uid="{00000000-0005-0000-0000-0000D7830000}"/>
    <cellStyle name="Normal 55 2 5" xfId="33752" xr:uid="{00000000-0005-0000-0000-0000D8830000}"/>
    <cellStyle name="Normal 55 2 5 10" xfId="33753" xr:uid="{00000000-0005-0000-0000-0000D9830000}"/>
    <cellStyle name="Normal 55 2 5 11" xfId="33754" xr:uid="{00000000-0005-0000-0000-0000DA830000}"/>
    <cellStyle name="Normal 55 2 5 2" xfId="33755" xr:uid="{00000000-0005-0000-0000-0000DB830000}"/>
    <cellStyle name="Normal 55 2 5 2 2" xfId="33756" xr:uid="{00000000-0005-0000-0000-0000DC830000}"/>
    <cellStyle name="Normal 55 2 5 2 2 2" xfId="33757" xr:uid="{00000000-0005-0000-0000-0000DD830000}"/>
    <cellStyle name="Normal 55 2 5 2 2 3" xfId="33758" xr:uid="{00000000-0005-0000-0000-0000DE830000}"/>
    <cellStyle name="Normal 55 2 5 2 2 4" xfId="33759" xr:uid="{00000000-0005-0000-0000-0000DF830000}"/>
    <cellStyle name="Normal 55 2 5 2 2 5" xfId="33760" xr:uid="{00000000-0005-0000-0000-0000E0830000}"/>
    <cellStyle name="Normal 55 2 5 2 2 6" xfId="33761" xr:uid="{00000000-0005-0000-0000-0000E1830000}"/>
    <cellStyle name="Normal 55 2 5 2 3" xfId="33762" xr:uid="{00000000-0005-0000-0000-0000E2830000}"/>
    <cellStyle name="Normal 55 2 5 2 3 2" xfId="33763" xr:uid="{00000000-0005-0000-0000-0000E3830000}"/>
    <cellStyle name="Normal 55 2 5 2 3 3" xfId="33764" xr:uid="{00000000-0005-0000-0000-0000E4830000}"/>
    <cellStyle name="Normal 55 2 5 2 3 4" xfId="33765" xr:uid="{00000000-0005-0000-0000-0000E5830000}"/>
    <cellStyle name="Normal 55 2 5 2 3 5" xfId="33766" xr:uid="{00000000-0005-0000-0000-0000E6830000}"/>
    <cellStyle name="Normal 55 2 5 2 3 6" xfId="33767" xr:uid="{00000000-0005-0000-0000-0000E7830000}"/>
    <cellStyle name="Normal 55 2 5 2 4" xfId="33768" xr:uid="{00000000-0005-0000-0000-0000E8830000}"/>
    <cellStyle name="Normal 55 2 5 2 5" xfId="33769" xr:uid="{00000000-0005-0000-0000-0000E9830000}"/>
    <cellStyle name="Normal 55 2 5 2 6" xfId="33770" xr:uid="{00000000-0005-0000-0000-0000EA830000}"/>
    <cellStyle name="Normal 55 2 5 2 7" xfId="33771" xr:uid="{00000000-0005-0000-0000-0000EB830000}"/>
    <cellStyle name="Normal 55 2 5 2 8" xfId="33772" xr:uid="{00000000-0005-0000-0000-0000EC830000}"/>
    <cellStyle name="Normal 55 2 5 3" xfId="33773" xr:uid="{00000000-0005-0000-0000-0000ED830000}"/>
    <cellStyle name="Normal 55 2 5 3 2" xfId="33774" xr:uid="{00000000-0005-0000-0000-0000EE830000}"/>
    <cellStyle name="Normal 55 2 5 3 2 2" xfId="33775" xr:uid="{00000000-0005-0000-0000-0000EF830000}"/>
    <cellStyle name="Normal 55 2 5 3 2 3" xfId="33776" xr:uid="{00000000-0005-0000-0000-0000F0830000}"/>
    <cellStyle name="Normal 55 2 5 3 2 4" xfId="33777" xr:uid="{00000000-0005-0000-0000-0000F1830000}"/>
    <cellStyle name="Normal 55 2 5 3 2 5" xfId="33778" xr:uid="{00000000-0005-0000-0000-0000F2830000}"/>
    <cellStyle name="Normal 55 2 5 3 2 6" xfId="33779" xr:uid="{00000000-0005-0000-0000-0000F3830000}"/>
    <cellStyle name="Normal 55 2 5 3 3" xfId="33780" xr:uid="{00000000-0005-0000-0000-0000F4830000}"/>
    <cellStyle name="Normal 55 2 5 3 3 2" xfId="33781" xr:uid="{00000000-0005-0000-0000-0000F5830000}"/>
    <cellStyle name="Normal 55 2 5 3 3 3" xfId="33782" xr:uid="{00000000-0005-0000-0000-0000F6830000}"/>
    <cellStyle name="Normal 55 2 5 3 3 4" xfId="33783" xr:uid="{00000000-0005-0000-0000-0000F7830000}"/>
    <cellStyle name="Normal 55 2 5 3 3 5" xfId="33784" xr:uid="{00000000-0005-0000-0000-0000F8830000}"/>
    <cellStyle name="Normal 55 2 5 3 3 6" xfId="33785" xr:uid="{00000000-0005-0000-0000-0000F9830000}"/>
    <cellStyle name="Normal 55 2 5 3 4" xfId="33786" xr:uid="{00000000-0005-0000-0000-0000FA830000}"/>
    <cellStyle name="Normal 55 2 5 3 5" xfId="33787" xr:uid="{00000000-0005-0000-0000-0000FB830000}"/>
    <cellStyle name="Normal 55 2 5 3 6" xfId="33788" xr:uid="{00000000-0005-0000-0000-0000FC830000}"/>
    <cellStyle name="Normal 55 2 5 3 7" xfId="33789" xr:uid="{00000000-0005-0000-0000-0000FD830000}"/>
    <cellStyle name="Normal 55 2 5 3 8" xfId="33790" xr:uid="{00000000-0005-0000-0000-0000FE830000}"/>
    <cellStyle name="Normal 55 2 5 4" xfId="33791" xr:uid="{00000000-0005-0000-0000-0000FF830000}"/>
    <cellStyle name="Normal 55 2 5 4 2" xfId="33792" xr:uid="{00000000-0005-0000-0000-000000840000}"/>
    <cellStyle name="Normal 55 2 5 4 2 2" xfId="33793" xr:uid="{00000000-0005-0000-0000-000001840000}"/>
    <cellStyle name="Normal 55 2 5 4 2 3" xfId="33794" xr:uid="{00000000-0005-0000-0000-000002840000}"/>
    <cellStyle name="Normal 55 2 5 4 2 4" xfId="33795" xr:uid="{00000000-0005-0000-0000-000003840000}"/>
    <cellStyle name="Normal 55 2 5 4 2 5" xfId="33796" xr:uid="{00000000-0005-0000-0000-000004840000}"/>
    <cellStyle name="Normal 55 2 5 4 2 6" xfId="33797" xr:uid="{00000000-0005-0000-0000-000005840000}"/>
    <cellStyle name="Normal 55 2 5 4 3" xfId="33798" xr:uid="{00000000-0005-0000-0000-000006840000}"/>
    <cellStyle name="Normal 55 2 5 4 3 2" xfId="33799" xr:uid="{00000000-0005-0000-0000-000007840000}"/>
    <cellStyle name="Normal 55 2 5 4 3 3" xfId="33800" xr:uid="{00000000-0005-0000-0000-000008840000}"/>
    <cellStyle name="Normal 55 2 5 4 3 4" xfId="33801" xr:uid="{00000000-0005-0000-0000-000009840000}"/>
    <cellStyle name="Normal 55 2 5 4 3 5" xfId="33802" xr:uid="{00000000-0005-0000-0000-00000A840000}"/>
    <cellStyle name="Normal 55 2 5 4 3 6" xfId="33803" xr:uid="{00000000-0005-0000-0000-00000B840000}"/>
    <cellStyle name="Normal 55 2 5 4 4" xfId="33804" xr:uid="{00000000-0005-0000-0000-00000C840000}"/>
    <cellStyle name="Normal 55 2 5 4 5" xfId="33805" xr:uid="{00000000-0005-0000-0000-00000D840000}"/>
    <cellStyle name="Normal 55 2 5 4 6" xfId="33806" xr:uid="{00000000-0005-0000-0000-00000E840000}"/>
    <cellStyle name="Normal 55 2 5 4 7" xfId="33807" xr:uid="{00000000-0005-0000-0000-00000F840000}"/>
    <cellStyle name="Normal 55 2 5 4 8" xfId="33808" xr:uid="{00000000-0005-0000-0000-000010840000}"/>
    <cellStyle name="Normal 55 2 5 5" xfId="33809" xr:uid="{00000000-0005-0000-0000-000011840000}"/>
    <cellStyle name="Normal 55 2 5 5 2" xfId="33810" xr:uid="{00000000-0005-0000-0000-000012840000}"/>
    <cellStyle name="Normal 55 2 5 5 3" xfId="33811" xr:uid="{00000000-0005-0000-0000-000013840000}"/>
    <cellStyle name="Normal 55 2 5 5 4" xfId="33812" xr:uid="{00000000-0005-0000-0000-000014840000}"/>
    <cellStyle name="Normal 55 2 5 5 5" xfId="33813" xr:uid="{00000000-0005-0000-0000-000015840000}"/>
    <cellStyle name="Normal 55 2 5 5 6" xfId="33814" xr:uid="{00000000-0005-0000-0000-000016840000}"/>
    <cellStyle name="Normal 55 2 5 6" xfId="33815" xr:uid="{00000000-0005-0000-0000-000017840000}"/>
    <cellStyle name="Normal 55 2 5 6 2" xfId="33816" xr:uid="{00000000-0005-0000-0000-000018840000}"/>
    <cellStyle name="Normal 55 2 5 6 3" xfId="33817" xr:uid="{00000000-0005-0000-0000-000019840000}"/>
    <cellStyle name="Normal 55 2 5 6 4" xfId="33818" xr:uid="{00000000-0005-0000-0000-00001A840000}"/>
    <cellStyle name="Normal 55 2 5 6 5" xfId="33819" xr:uid="{00000000-0005-0000-0000-00001B840000}"/>
    <cellStyle name="Normal 55 2 5 6 6" xfId="33820" xr:uid="{00000000-0005-0000-0000-00001C840000}"/>
    <cellStyle name="Normal 55 2 5 7" xfId="33821" xr:uid="{00000000-0005-0000-0000-00001D840000}"/>
    <cellStyle name="Normal 55 2 5 8" xfId="33822" xr:uid="{00000000-0005-0000-0000-00001E840000}"/>
    <cellStyle name="Normal 55 2 5 9" xfId="33823" xr:uid="{00000000-0005-0000-0000-00001F840000}"/>
    <cellStyle name="Normal 55 2 6" xfId="33824" xr:uid="{00000000-0005-0000-0000-000020840000}"/>
    <cellStyle name="Normal 55 2 6 2" xfId="33825" xr:uid="{00000000-0005-0000-0000-000021840000}"/>
    <cellStyle name="Normal 55 2 6 2 2" xfId="33826" xr:uid="{00000000-0005-0000-0000-000022840000}"/>
    <cellStyle name="Normal 55 2 6 2 3" xfId="33827" xr:uid="{00000000-0005-0000-0000-000023840000}"/>
    <cellStyle name="Normal 55 2 6 2 4" xfId="33828" xr:uid="{00000000-0005-0000-0000-000024840000}"/>
    <cellStyle name="Normal 55 2 6 2 5" xfId="33829" xr:uid="{00000000-0005-0000-0000-000025840000}"/>
    <cellStyle name="Normal 55 2 6 2 6" xfId="33830" xr:uid="{00000000-0005-0000-0000-000026840000}"/>
    <cellStyle name="Normal 55 2 6 3" xfId="33831" xr:uid="{00000000-0005-0000-0000-000027840000}"/>
    <cellStyle name="Normal 55 2 6 3 2" xfId="33832" xr:uid="{00000000-0005-0000-0000-000028840000}"/>
    <cellStyle name="Normal 55 2 6 3 3" xfId="33833" xr:uid="{00000000-0005-0000-0000-000029840000}"/>
    <cellStyle name="Normal 55 2 6 3 4" xfId="33834" xr:uid="{00000000-0005-0000-0000-00002A840000}"/>
    <cellStyle name="Normal 55 2 6 3 5" xfId="33835" xr:uid="{00000000-0005-0000-0000-00002B840000}"/>
    <cellStyle name="Normal 55 2 6 3 6" xfId="33836" xr:uid="{00000000-0005-0000-0000-00002C840000}"/>
    <cellStyle name="Normal 55 2 6 4" xfId="33837" xr:uid="{00000000-0005-0000-0000-00002D840000}"/>
    <cellStyle name="Normal 55 2 6 5" xfId="33838" xr:uid="{00000000-0005-0000-0000-00002E840000}"/>
    <cellStyle name="Normal 55 2 6 6" xfId="33839" xr:uid="{00000000-0005-0000-0000-00002F840000}"/>
    <cellStyle name="Normal 55 2 6 7" xfId="33840" xr:uid="{00000000-0005-0000-0000-000030840000}"/>
    <cellStyle name="Normal 55 2 6 8" xfId="33841" xr:uid="{00000000-0005-0000-0000-000031840000}"/>
    <cellStyle name="Normal 55 2 7" xfId="33842" xr:uid="{00000000-0005-0000-0000-000032840000}"/>
    <cellStyle name="Normal 55 2 7 2" xfId="33843" xr:uid="{00000000-0005-0000-0000-000033840000}"/>
    <cellStyle name="Normal 55 2 7 2 2" xfId="33844" xr:uid="{00000000-0005-0000-0000-000034840000}"/>
    <cellStyle name="Normal 55 2 7 2 3" xfId="33845" xr:uid="{00000000-0005-0000-0000-000035840000}"/>
    <cellStyle name="Normal 55 2 7 2 4" xfId="33846" xr:uid="{00000000-0005-0000-0000-000036840000}"/>
    <cellStyle name="Normal 55 2 7 2 5" xfId="33847" xr:uid="{00000000-0005-0000-0000-000037840000}"/>
    <cellStyle name="Normal 55 2 7 2 6" xfId="33848" xr:uid="{00000000-0005-0000-0000-000038840000}"/>
    <cellStyle name="Normal 55 2 7 3" xfId="33849" xr:uid="{00000000-0005-0000-0000-000039840000}"/>
    <cellStyle name="Normal 55 2 7 3 2" xfId="33850" xr:uid="{00000000-0005-0000-0000-00003A840000}"/>
    <cellStyle name="Normal 55 2 7 3 3" xfId="33851" xr:uid="{00000000-0005-0000-0000-00003B840000}"/>
    <cellStyle name="Normal 55 2 7 3 4" xfId="33852" xr:uid="{00000000-0005-0000-0000-00003C840000}"/>
    <cellStyle name="Normal 55 2 7 3 5" xfId="33853" xr:uid="{00000000-0005-0000-0000-00003D840000}"/>
    <cellStyle name="Normal 55 2 7 3 6" xfId="33854" xr:uid="{00000000-0005-0000-0000-00003E840000}"/>
    <cellStyle name="Normal 55 2 7 4" xfId="33855" xr:uid="{00000000-0005-0000-0000-00003F840000}"/>
    <cellStyle name="Normal 55 2 7 5" xfId="33856" xr:uid="{00000000-0005-0000-0000-000040840000}"/>
    <cellStyle name="Normal 55 2 7 6" xfId="33857" xr:uid="{00000000-0005-0000-0000-000041840000}"/>
    <cellStyle name="Normal 55 2 7 7" xfId="33858" xr:uid="{00000000-0005-0000-0000-000042840000}"/>
    <cellStyle name="Normal 55 2 7 8" xfId="33859" xr:uid="{00000000-0005-0000-0000-000043840000}"/>
    <cellStyle name="Normal 55 2 8" xfId="33860" xr:uid="{00000000-0005-0000-0000-000044840000}"/>
    <cellStyle name="Normal 55 2 8 2" xfId="33861" xr:uid="{00000000-0005-0000-0000-000045840000}"/>
    <cellStyle name="Normal 55 2 8 2 2" xfId="33862" xr:uid="{00000000-0005-0000-0000-000046840000}"/>
    <cellStyle name="Normal 55 2 8 2 3" xfId="33863" xr:uid="{00000000-0005-0000-0000-000047840000}"/>
    <cellStyle name="Normal 55 2 8 2 4" xfId="33864" xr:uid="{00000000-0005-0000-0000-000048840000}"/>
    <cellStyle name="Normal 55 2 8 2 5" xfId="33865" xr:uid="{00000000-0005-0000-0000-000049840000}"/>
    <cellStyle name="Normal 55 2 8 2 6" xfId="33866" xr:uid="{00000000-0005-0000-0000-00004A840000}"/>
    <cellStyle name="Normal 55 2 8 3" xfId="33867" xr:uid="{00000000-0005-0000-0000-00004B840000}"/>
    <cellStyle name="Normal 55 2 8 3 2" xfId="33868" xr:uid="{00000000-0005-0000-0000-00004C840000}"/>
    <cellStyle name="Normal 55 2 8 3 3" xfId="33869" xr:uid="{00000000-0005-0000-0000-00004D840000}"/>
    <cellStyle name="Normal 55 2 8 3 4" xfId="33870" xr:uid="{00000000-0005-0000-0000-00004E840000}"/>
    <cellStyle name="Normal 55 2 8 3 5" xfId="33871" xr:uid="{00000000-0005-0000-0000-00004F840000}"/>
    <cellStyle name="Normal 55 2 8 3 6" xfId="33872" xr:uid="{00000000-0005-0000-0000-000050840000}"/>
    <cellStyle name="Normal 55 2 8 4" xfId="33873" xr:uid="{00000000-0005-0000-0000-000051840000}"/>
    <cellStyle name="Normal 55 2 8 5" xfId="33874" xr:uid="{00000000-0005-0000-0000-000052840000}"/>
    <cellStyle name="Normal 55 2 8 6" xfId="33875" xr:uid="{00000000-0005-0000-0000-000053840000}"/>
    <cellStyle name="Normal 55 2 8 7" xfId="33876" xr:uid="{00000000-0005-0000-0000-000054840000}"/>
    <cellStyle name="Normal 55 2 8 8" xfId="33877" xr:uid="{00000000-0005-0000-0000-000055840000}"/>
    <cellStyle name="Normal 55 2 9" xfId="33878" xr:uid="{00000000-0005-0000-0000-000056840000}"/>
    <cellStyle name="Normal 55 2 9 2" xfId="33879" xr:uid="{00000000-0005-0000-0000-000057840000}"/>
    <cellStyle name="Normal 55 2 9 3" xfId="33880" xr:uid="{00000000-0005-0000-0000-000058840000}"/>
    <cellStyle name="Normal 55 2 9 4" xfId="33881" xr:uid="{00000000-0005-0000-0000-000059840000}"/>
    <cellStyle name="Normal 55 2 9 5" xfId="33882" xr:uid="{00000000-0005-0000-0000-00005A840000}"/>
    <cellStyle name="Normal 55 2 9 6" xfId="33883" xr:uid="{00000000-0005-0000-0000-00005B840000}"/>
    <cellStyle name="Normal 55 3" xfId="33884" xr:uid="{00000000-0005-0000-0000-00005C840000}"/>
    <cellStyle name="Normal 55 3 10" xfId="33885" xr:uid="{00000000-0005-0000-0000-00005D840000}"/>
    <cellStyle name="Normal 55 3 10 2" xfId="33886" xr:uid="{00000000-0005-0000-0000-00005E840000}"/>
    <cellStyle name="Normal 55 3 10 3" xfId="33887" xr:uid="{00000000-0005-0000-0000-00005F840000}"/>
    <cellStyle name="Normal 55 3 10 4" xfId="33888" xr:uid="{00000000-0005-0000-0000-000060840000}"/>
    <cellStyle name="Normal 55 3 10 5" xfId="33889" xr:uid="{00000000-0005-0000-0000-000061840000}"/>
    <cellStyle name="Normal 55 3 10 6" xfId="33890" xr:uid="{00000000-0005-0000-0000-000062840000}"/>
    <cellStyle name="Normal 55 3 11" xfId="33891" xr:uid="{00000000-0005-0000-0000-000063840000}"/>
    <cellStyle name="Normal 55 3 12" xfId="33892" xr:uid="{00000000-0005-0000-0000-000064840000}"/>
    <cellStyle name="Normal 55 3 13" xfId="33893" xr:uid="{00000000-0005-0000-0000-000065840000}"/>
    <cellStyle name="Normal 55 3 14" xfId="33894" xr:uid="{00000000-0005-0000-0000-000066840000}"/>
    <cellStyle name="Normal 55 3 15" xfId="33895" xr:uid="{00000000-0005-0000-0000-000067840000}"/>
    <cellStyle name="Normal 55 3 2" xfId="33896" xr:uid="{00000000-0005-0000-0000-000068840000}"/>
    <cellStyle name="Normal 55 3 2 10" xfId="33897" xr:uid="{00000000-0005-0000-0000-000069840000}"/>
    <cellStyle name="Normal 55 3 2 11" xfId="33898" xr:uid="{00000000-0005-0000-0000-00006A840000}"/>
    <cellStyle name="Normal 55 3 2 12" xfId="33899" xr:uid="{00000000-0005-0000-0000-00006B840000}"/>
    <cellStyle name="Normal 55 3 2 13" xfId="33900" xr:uid="{00000000-0005-0000-0000-00006C840000}"/>
    <cellStyle name="Normal 55 3 2 14" xfId="33901" xr:uid="{00000000-0005-0000-0000-00006D840000}"/>
    <cellStyle name="Normal 55 3 2 2" xfId="33902" xr:uid="{00000000-0005-0000-0000-00006E840000}"/>
    <cellStyle name="Normal 55 3 2 2 10" xfId="33903" xr:uid="{00000000-0005-0000-0000-00006F840000}"/>
    <cellStyle name="Normal 55 3 2 2 11" xfId="33904" xr:uid="{00000000-0005-0000-0000-000070840000}"/>
    <cellStyle name="Normal 55 3 2 2 12" xfId="33905" xr:uid="{00000000-0005-0000-0000-000071840000}"/>
    <cellStyle name="Normal 55 3 2 2 2" xfId="33906" xr:uid="{00000000-0005-0000-0000-000072840000}"/>
    <cellStyle name="Normal 55 3 2 2 2 10" xfId="33907" xr:uid="{00000000-0005-0000-0000-000073840000}"/>
    <cellStyle name="Normal 55 3 2 2 2 11" xfId="33908" xr:uid="{00000000-0005-0000-0000-000074840000}"/>
    <cellStyle name="Normal 55 3 2 2 2 2" xfId="33909" xr:uid="{00000000-0005-0000-0000-000075840000}"/>
    <cellStyle name="Normal 55 3 2 2 2 2 2" xfId="33910" xr:uid="{00000000-0005-0000-0000-000076840000}"/>
    <cellStyle name="Normal 55 3 2 2 2 2 2 2" xfId="33911" xr:uid="{00000000-0005-0000-0000-000077840000}"/>
    <cellStyle name="Normal 55 3 2 2 2 2 2 3" xfId="33912" xr:uid="{00000000-0005-0000-0000-000078840000}"/>
    <cellStyle name="Normal 55 3 2 2 2 2 2 4" xfId="33913" xr:uid="{00000000-0005-0000-0000-000079840000}"/>
    <cellStyle name="Normal 55 3 2 2 2 2 2 5" xfId="33914" xr:uid="{00000000-0005-0000-0000-00007A840000}"/>
    <cellStyle name="Normal 55 3 2 2 2 2 2 6" xfId="33915" xr:uid="{00000000-0005-0000-0000-00007B840000}"/>
    <cellStyle name="Normal 55 3 2 2 2 2 3" xfId="33916" xr:uid="{00000000-0005-0000-0000-00007C840000}"/>
    <cellStyle name="Normal 55 3 2 2 2 2 3 2" xfId="33917" xr:uid="{00000000-0005-0000-0000-00007D840000}"/>
    <cellStyle name="Normal 55 3 2 2 2 2 3 3" xfId="33918" xr:uid="{00000000-0005-0000-0000-00007E840000}"/>
    <cellStyle name="Normal 55 3 2 2 2 2 3 4" xfId="33919" xr:uid="{00000000-0005-0000-0000-00007F840000}"/>
    <cellStyle name="Normal 55 3 2 2 2 2 3 5" xfId="33920" xr:uid="{00000000-0005-0000-0000-000080840000}"/>
    <cellStyle name="Normal 55 3 2 2 2 2 3 6" xfId="33921" xr:uid="{00000000-0005-0000-0000-000081840000}"/>
    <cellStyle name="Normal 55 3 2 2 2 2 4" xfId="33922" xr:uid="{00000000-0005-0000-0000-000082840000}"/>
    <cellStyle name="Normal 55 3 2 2 2 2 5" xfId="33923" xr:uid="{00000000-0005-0000-0000-000083840000}"/>
    <cellStyle name="Normal 55 3 2 2 2 2 6" xfId="33924" xr:uid="{00000000-0005-0000-0000-000084840000}"/>
    <cellStyle name="Normal 55 3 2 2 2 2 7" xfId="33925" xr:uid="{00000000-0005-0000-0000-000085840000}"/>
    <cellStyle name="Normal 55 3 2 2 2 2 8" xfId="33926" xr:uid="{00000000-0005-0000-0000-000086840000}"/>
    <cellStyle name="Normal 55 3 2 2 2 3" xfId="33927" xr:uid="{00000000-0005-0000-0000-000087840000}"/>
    <cellStyle name="Normal 55 3 2 2 2 3 2" xfId="33928" xr:uid="{00000000-0005-0000-0000-000088840000}"/>
    <cellStyle name="Normal 55 3 2 2 2 3 2 2" xfId="33929" xr:uid="{00000000-0005-0000-0000-000089840000}"/>
    <cellStyle name="Normal 55 3 2 2 2 3 2 3" xfId="33930" xr:uid="{00000000-0005-0000-0000-00008A840000}"/>
    <cellStyle name="Normal 55 3 2 2 2 3 2 4" xfId="33931" xr:uid="{00000000-0005-0000-0000-00008B840000}"/>
    <cellStyle name="Normal 55 3 2 2 2 3 2 5" xfId="33932" xr:uid="{00000000-0005-0000-0000-00008C840000}"/>
    <cellStyle name="Normal 55 3 2 2 2 3 2 6" xfId="33933" xr:uid="{00000000-0005-0000-0000-00008D840000}"/>
    <cellStyle name="Normal 55 3 2 2 2 3 3" xfId="33934" xr:uid="{00000000-0005-0000-0000-00008E840000}"/>
    <cellStyle name="Normal 55 3 2 2 2 3 3 2" xfId="33935" xr:uid="{00000000-0005-0000-0000-00008F840000}"/>
    <cellStyle name="Normal 55 3 2 2 2 3 3 3" xfId="33936" xr:uid="{00000000-0005-0000-0000-000090840000}"/>
    <cellStyle name="Normal 55 3 2 2 2 3 3 4" xfId="33937" xr:uid="{00000000-0005-0000-0000-000091840000}"/>
    <cellStyle name="Normal 55 3 2 2 2 3 3 5" xfId="33938" xr:uid="{00000000-0005-0000-0000-000092840000}"/>
    <cellStyle name="Normal 55 3 2 2 2 3 3 6" xfId="33939" xr:uid="{00000000-0005-0000-0000-000093840000}"/>
    <cellStyle name="Normal 55 3 2 2 2 3 4" xfId="33940" xr:uid="{00000000-0005-0000-0000-000094840000}"/>
    <cellStyle name="Normal 55 3 2 2 2 3 5" xfId="33941" xr:uid="{00000000-0005-0000-0000-000095840000}"/>
    <cellStyle name="Normal 55 3 2 2 2 3 6" xfId="33942" xr:uid="{00000000-0005-0000-0000-000096840000}"/>
    <cellStyle name="Normal 55 3 2 2 2 3 7" xfId="33943" xr:uid="{00000000-0005-0000-0000-000097840000}"/>
    <cellStyle name="Normal 55 3 2 2 2 3 8" xfId="33944" xr:uid="{00000000-0005-0000-0000-000098840000}"/>
    <cellStyle name="Normal 55 3 2 2 2 4" xfId="33945" xr:uid="{00000000-0005-0000-0000-000099840000}"/>
    <cellStyle name="Normal 55 3 2 2 2 4 2" xfId="33946" xr:uid="{00000000-0005-0000-0000-00009A840000}"/>
    <cellStyle name="Normal 55 3 2 2 2 4 2 2" xfId="33947" xr:uid="{00000000-0005-0000-0000-00009B840000}"/>
    <cellStyle name="Normal 55 3 2 2 2 4 2 3" xfId="33948" xr:uid="{00000000-0005-0000-0000-00009C840000}"/>
    <cellStyle name="Normal 55 3 2 2 2 4 2 4" xfId="33949" xr:uid="{00000000-0005-0000-0000-00009D840000}"/>
    <cellStyle name="Normal 55 3 2 2 2 4 2 5" xfId="33950" xr:uid="{00000000-0005-0000-0000-00009E840000}"/>
    <cellStyle name="Normal 55 3 2 2 2 4 2 6" xfId="33951" xr:uid="{00000000-0005-0000-0000-00009F840000}"/>
    <cellStyle name="Normal 55 3 2 2 2 4 3" xfId="33952" xr:uid="{00000000-0005-0000-0000-0000A0840000}"/>
    <cellStyle name="Normal 55 3 2 2 2 4 3 2" xfId="33953" xr:uid="{00000000-0005-0000-0000-0000A1840000}"/>
    <cellStyle name="Normal 55 3 2 2 2 4 3 3" xfId="33954" xr:uid="{00000000-0005-0000-0000-0000A2840000}"/>
    <cellStyle name="Normal 55 3 2 2 2 4 3 4" xfId="33955" xr:uid="{00000000-0005-0000-0000-0000A3840000}"/>
    <cellStyle name="Normal 55 3 2 2 2 4 3 5" xfId="33956" xr:uid="{00000000-0005-0000-0000-0000A4840000}"/>
    <cellStyle name="Normal 55 3 2 2 2 4 3 6" xfId="33957" xr:uid="{00000000-0005-0000-0000-0000A5840000}"/>
    <cellStyle name="Normal 55 3 2 2 2 4 4" xfId="33958" xr:uid="{00000000-0005-0000-0000-0000A6840000}"/>
    <cellStyle name="Normal 55 3 2 2 2 4 5" xfId="33959" xr:uid="{00000000-0005-0000-0000-0000A7840000}"/>
    <cellStyle name="Normal 55 3 2 2 2 4 6" xfId="33960" xr:uid="{00000000-0005-0000-0000-0000A8840000}"/>
    <cellStyle name="Normal 55 3 2 2 2 4 7" xfId="33961" xr:uid="{00000000-0005-0000-0000-0000A9840000}"/>
    <cellStyle name="Normal 55 3 2 2 2 4 8" xfId="33962" xr:uid="{00000000-0005-0000-0000-0000AA840000}"/>
    <cellStyle name="Normal 55 3 2 2 2 5" xfId="33963" xr:uid="{00000000-0005-0000-0000-0000AB840000}"/>
    <cellStyle name="Normal 55 3 2 2 2 5 2" xfId="33964" xr:uid="{00000000-0005-0000-0000-0000AC840000}"/>
    <cellStyle name="Normal 55 3 2 2 2 5 3" xfId="33965" xr:uid="{00000000-0005-0000-0000-0000AD840000}"/>
    <cellStyle name="Normal 55 3 2 2 2 5 4" xfId="33966" xr:uid="{00000000-0005-0000-0000-0000AE840000}"/>
    <cellStyle name="Normal 55 3 2 2 2 5 5" xfId="33967" xr:uid="{00000000-0005-0000-0000-0000AF840000}"/>
    <cellStyle name="Normal 55 3 2 2 2 5 6" xfId="33968" xr:uid="{00000000-0005-0000-0000-0000B0840000}"/>
    <cellStyle name="Normal 55 3 2 2 2 6" xfId="33969" xr:uid="{00000000-0005-0000-0000-0000B1840000}"/>
    <cellStyle name="Normal 55 3 2 2 2 6 2" xfId="33970" xr:uid="{00000000-0005-0000-0000-0000B2840000}"/>
    <cellStyle name="Normal 55 3 2 2 2 6 3" xfId="33971" xr:uid="{00000000-0005-0000-0000-0000B3840000}"/>
    <cellStyle name="Normal 55 3 2 2 2 6 4" xfId="33972" xr:uid="{00000000-0005-0000-0000-0000B4840000}"/>
    <cellStyle name="Normal 55 3 2 2 2 6 5" xfId="33973" xr:uid="{00000000-0005-0000-0000-0000B5840000}"/>
    <cellStyle name="Normal 55 3 2 2 2 6 6" xfId="33974" xr:uid="{00000000-0005-0000-0000-0000B6840000}"/>
    <cellStyle name="Normal 55 3 2 2 2 7" xfId="33975" xr:uid="{00000000-0005-0000-0000-0000B7840000}"/>
    <cellStyle name="Normal 55 3 2 2 2 8" xfId="33976" xr:uid="{00000000-0005-0000-0000-0000B8840000}"/>
    <cellStyle name="Normal 55 3 2 2 2 9" xfId="33977" xr:uid="{00000000-0005-0000-0000-0000B9840000}"/>
    <cellStyle name="Normal 55 3 2 2 3" xfId="33978" xr:uid="{00000000-0005-0000-0000-0000BA840000}"/>
    <cellStyle name="Normal 55 3 2 2 3 2" xfId="33979" xr:uid="{00000000-0005-0000-0000-0000BB840000}"/>
    <cellStyle name="Normal 55 3 2 2 3 2 2" xfId="33980" xr:uid="{00000000-0005-0000-0000-0000BC840000}"/>
    <cellStyle name="Normal 55 3 2 2 3 2 3" xfId="33981" xr:uid="{00000000-0005-0000-0000-0000BD840000}"/>
    <cellStyle name="Normal 55 3 2 2 3 2 4" xfId="33982" xr:uid="{00000000-0005-0000-0000-0000BE840000}"/>
    <cellStyle name="Normal 55 3 2 2 3 2 5" xfId="33983" xr:uid="{00000000-0005-0000-0000-0000BF840000}"/>
    <cellStyle name="Normal 55 3 2 2 3 2 6" xfId="33984" xr:uid="{00000000-0005-0000-0000-0000C0840000}"/>
    <cellStyle name="Normal 55 3 2 2 3 3" xfId="33985" xr:uid="{00000000-0005-0000-0000-0000C1840000}"/>
    <cellStyle name="Normal 55 3 2 2 3 3 2" xfId="33986" xr:uid="{00000000-0005-0000-0000-0000C2840000}"/>
    <cellStyle name="Normal 55 3 2 2 3 3 3" xfId="33987" xr:uid="{00000000-0005-0000-0000-0000C3840000}"/>
    <cellStyle name="Normal 55 3 2 2 3 3 4" xfId="33988" xr:uid="{00000000-0005-0000-0000-0000C4840000}"/>
    <cellStyle name="Normal 55 3 2 2 3 3 5" xfId="33989" xr:uid="{00000000-0005-0000-0000-0000C5840000}"/>
    <cellStyle name="Normal 55 3 2 2 3 3 6" xfId="33990" xr:uid="{00000000-0005-0000-0000-0000C6840000}"/>
    <cellStyle name="Normal 55 3 2 2 3 4" xfId="33991" xr:uid="{00000000-0005-0000-0000-0000C7840000}"/>
    <cellStyle name="Normal 55 3 2 2 3 5" xfId="33992" xr:uid="{00000000-0005-0000-0000-0000C8840000}"/>
    <cellStyle name="Normal 55 3 2 2 3 6" xfId="33993" xr:uid="{00000000-0005-0000-0000-0000C9840000}"/>
    <cellStyle name="Normal 55 3 2 2 3 7" xfId="33994" xr:uid="{00000000-0005-0000-0000-0000CA840000}"/>
    <cellStyle name="Normal 55 3 2 2 3 8" xfId="33995" xr:uid="{00000000-0005-0000-0000-0000CB840000}"/>
    <cellStyle name="Normal 55 3 2 2 4" xfId="33996" xr:uid="{00000000-0005-0000-0000-0000CC840000}"/>
    <cellStyle name="Normal 55 3 2 2 4 2" xfId="33997" xr:uid="{00000000-0005-0000-0000-0000CD840000}"/>
    <cellStyle name="Normal 55 3 2 2 4 2 2" xfId="33998" xr:uid="{00000000-0005-0000-0000-0000CE840000}"/>
    <cellStyle name="Normal 55 3 2 2 4 2 3" xfId="33999" xr:uid="{00000000-0005-0000-0000-0000CF840000}"/>
    <cellStyle name="Normal 55 3 2 2 4 2 4" xfId="34000" xr:uid="{00000000-0005-0000-0000-0000D0840000}"/>
    <cellStyle name="Normal 55 3 2 2 4 2 5" xfId="34001" xr:uid="{00000000-0005-0000-0000-0000D1840000}"/>
    <cellStyle name="Normal 55 3 2 2 4 2 6" xfId="34002" xr:uid="{00000000-0005-0000-0000-0000D2840000}"/>
    <cellStyle name="Normal 55 3 2 2 4 3" xfId="34003" xr:uid="{00000000-0005-0000-0000-0000D3840000}"/>
    <cellStyle name="Normal 55 3 2 2 4 3 2" xfId="34004" xr:uid="{00000000-0005-0000-0000-0000D4840000}"/>
    <cellStyle name="Normal 55 3 2 2 4 3 3" xfId="34005" xr:uid="{00000000-0005-0000-0000-0000D5840000}"/>
    <cellStyle name="Normal 55 3 2 2 4 3 4" xfId="34006" xr:uid="{00000000-0005-0000-0000-0000D6840000}"/>
    <cellStyle name="Normal 55 3 2 2 4 3 5" xfId="34007" xr:uid="{00000000-0005-0000-0000-0000D7840000}"/>
    <cellStyle name="Normal 55 3 2 2 4 3 6" xfId="34008" xr:uid="{00000000-0005-0000-0000-0000D8840000}"/>
    <cellStyle name="Normal 55 3 2 2 4 4" xfId="34009" xr:uid="{00000000-0005-0000-0000-0000D9840000}"/>
    <cellStyle name="Normal 55 3 2 2 4 5" xfId="34010" xr:uid="{00000000-0005-0000-0000-0000DA840000}"/>
    <cellStyle name="Normal 55 3 2 2 4 6" xfId="34011" xr:uid="{00000000-0005-0000-0000-0000DB840000}"/>
    <cellStyle name="Normal 55 3 2 2 4 7" xfId="34012" xr:uid="{00000000-0005-0000-0000-0000DC840000}"/>
    <cellStyle name="Normal 55 3 2 2 4 8" xfId="34013" xr:uid="{00000000-0005-0000-0000-0000DD840000}"/>
    <cellStyle name="Normal 55 3 2 2 5" xfId="34014" xr:uid="{00000000-0005-0000-0000-0000DE840000}"/>
    <cellStyle name="Normal 55 3 2 2 5 2" xfId="34015" xr:uid="{00000000-0005-0000-0000-0000DF840000}"/>
    <cellStyle name="Normal 55 3 2 2 5 2 2" xfId="34016" xr:uid="{00000000-0005-0000-0000-0000E0840000}"/>
    <cellStyle name="Normal 55 3 2 2 5 2 3" xfId="34017" xr:uid="{00000000-0005-0000-0000-0000E1840000}"/>
    <cellStyle name="Normal 55 3 2 2 5 2 4" xfId="34018" xr:uid="{00000000-0005-0000-0000-0000E2840000}"/>
    <cellStyle name="Normal 55 3 2 2 5 2 5" xfId="34019" xr:uid="{00000000-0005-0000-0000-0000E3840000}"/>
    <cellStyle name="Normal 55 3 2 2 5 2 6" xfId="34020" xr:uid="{00000000-0005-0000-0000-0000E4840000}"/>
    <cellStyle name="Normal 55 3 2 2 5 3" xfId="34021" xr:uid="{00000000-0005-0000-0000-0000E5840000}"/>
    <cellStyle name="Normal 55 3 2 2 5 3 2" xfId="34022" xr:uid="{00000000-0005-0000-0000-0000E6840000}"/>
    <cellStyle name="Normal 55 3 2 2 5 3 3" xfId="34023" xr:uid="{00000000-0005-0000-0000-0000E7840000}"/>
    <cellStyle name="Normal 55 3 2 2 5 3 4" xfId="34024" xr:uid="{00000000-0005-0000-0000-0000E8840000}"/>
    <cellStyle name="Normal 55 3 2 2 5 3 5" xfId="34025" xr:uid="{00000000-0005-0000-0000-0000E9840000}"/>
    <cellStyle name="Normal 55 3 2 2 5 3 6" xfId="34026" xr:uid="{00000000-0005-0000-0000-0000EA840000}"/>
    <cellStyle name="Normal 55 3 2 2 5 4" xfId="34027" xr:uid="{00000000-0005-0000-0000-0000EB840000}"/>
    <cellStyle name="Normal 55 3 2 2 5 5" xfId="34028" xr:uid="{00000000-0005-0000-0000-0000EC840000}"/>
    <cellStyle name="Normal 55 3 2 2 5 6" xfId="34029" xr:uid="{00000000-0005-0000-0000-0000ED840000}"/>
    <cellStyle name="Normal 55 3 2 2 5 7" xfId="34030" xr:uid="{00000000-0005-0000-0000-0000EE840000}"/>
    <cellStyle name="Normal 55 3 2 2 5 8" xfId="34031" xr:uid="{00000000-0005-0000-0000-0000EF840000}"/>
    <cellStyle name="Normal 55 3 2 2 6" xfId="34032" xr:uid="{00000000-0005-0000-0000-0000F0840000}"/>
    <cellStyle name="Normal 55 3 2 2 6 2" xfId="34033" xr:uid="{00000000-0005-0000-0000-0000F1840000}"/>
    <cellStyle name="Normal 55 3 2 2 6 3" xfId="34034" xr:uid="{00000000-0005-0000-0000-0000F2840000}"/>
    <cellStyle name="Normal 55 3 2 2 6 4" xfId="34035" xr:uid="{00000000-0005-0000-0000-0000F3840000}"/>
    <cellStyle name="Normal 55 3 2 2 6 5" xfId="34036" xr:uid="{00000000-0005-0000-0000-0000F4840000}"/>
    <cellStyle name="Normal 55 3 2 2 6 6" xfId="34037" xr:uid="{00000000-0005-0000-0000-0000F5840000}"/>
    <cellStyle name="Normal 55 3 2 2 7" xfId="34038" xr:uid="{00000000-0005-0000-0000-0000F6840000}"/>
    <cellStyle name="Normal 55 3 2 2 7 2" xfId="34039" xr:uid="{00000000-0005-0000-0000-0000F7840000}"/>
    <cellStyle name="Normal 55 3 2 2 7 3" xfId="34040" xr:uid="{00000000-0005-0000-0000-0000F8840000}"/>
    <cellStyle name="Normal 55 3 2 2 7 4" xfId="34041" xr:uid="{00000000-0005-0000-0000-0000F9840000}"/>
    <cellStyle name="Normal 55 3 2 2 7 5" xfId="34042" xr:uid="{00000000-0005-0000-0000-0000FA840000}"/>
    <cellStyle name="Normal 55 3 2 2 7 6" xfId="34043" xr:uid="{00000000-0005-0000-0000-0000FB840000}"/>
    <cellStyle name="Normal 55 3 2 2 8" xfId="34044" xr:uid="{00000000-0005-0000-0000-0000FC840000}"/>
    <cellStyle name="Normal 55 3 2 2 9" xfId="34045" xr:uid="{00000000-0005-0000-0000-0000FD840000}"/>
    <cellStyle name="Normal 55 3 2 3" xfId="34046" xr:uid="{00000000-0005-0000-0000-0000FE840000}"/>
    <cellStyle name="Normal 55 3 2 3 10" xfId="34047" xr:uid="{00000000-0005-0000-0000-0000FF840000}"/>
    <cellStyle name="Normal 55 3 2 3 11" xfId="34048" xr:uid="{00000000-0005-0000-0000-000000850000}"/>
    <cellStyle name="Normal 55 3 2 3 12" xfId="34049" xr:uid="{00000000-0005-0000-0000-000001850000}"/>
    <cellStyle name="Normal 55 3 2 3 2" xfId="34050" xr:uid="{00000000-0005-0000-0000-000002850000}"/>
    <cellStyle name="Normal 55 3 2 3 2 10" xfId="34051" xr:uid="{00000000-0005-0000-0000-000003850000}"/>
    <cellStyle name="Normal 55 3 2 3 2 11" xfId="34052" xr:uid="{00000000-0005-0000-0000-000004850000}"/>
    <cellStyle name="Normal 55 3 2 3 2 2" xfId="34053" xr:uid="{00000000-0005-0000-0000-000005850000}"/>
    <cellStyle name="Normal 55 3 2 3 2 2 2" xfId="34054" xr:uid="{00000000-0005-0000-0000-000006850000}"/>
    <cellStyle name="Normal 55 3 2 3 2 2 2 2" xfId="34055" xr:uid="{00000000-0005-0000-0000-000007850000}"/>
    <cellStyle name="Normal 55 3 2 3 2 2 2 3" xfId="34056" xr:uid="{00000000-0005-0000-0000-000008850000}"/>
    <cellStyle name="Normal 55 3 2 3 2 2 2 4" xfId="34057" xr:uid="{00000000-0005-0000-0000-000009850000}"/>
    <cellStyle name="Normal 55 3 2 3 2 2 2 5" xfId="34058" xr:uid="{00000000-0005-0000-0000-00000A850000}"/>
    <cellStyle name="Normal 55 3 2 3 2 2 2 6" xfId="34059" xr:uid="{00000000-0005-0000-0000-00000B850000}"/>
    <cellStyle name="Normal 55 3 2 3 2 2 3" xfId="34060" xr:uid="{00000000-0005-0000-0000-00000C850000}"/>
    <cellStyle name="Normal 55 3 2 3 2 2 3 2" xfId="34061" xr:uid="{00000000-0005-0000-0000-00000D850000}"/>
    <cellStyle name="Normal 55 3 2 3 2 2 3 3" xfId="34062" xr:uid="{00000000-0005-0000-0000-00000E850000}"/>
    <cellStyle name="Normal 55 3 2 3 2 2 3 4" xfId="34063" xr:uid="{00000000-0005-0000-0000-00000F850000}"/>
    <cellStyle name="Normal 55 3 2 3 2 2 3 5" xfId="34064" xr:uid="{00000000-0005-0000-0000-000010850000}"/>
    <cellStyle name="Normal 55 3 2 3 2 2 3 6" xfId="34065" xr:uid="{00000000-0005-0000-0000-000011850000}"/>
    <cellStyle name="Normal 55 3 2 3 2 2 4" xfId="34066" xr:uid="{00000000-0005-0000-0000-000012850000}"/>
    <cellStyle name="Normal 55 3 2 3 2 2 5" xfId="34067" xr:uid="{00000000-0005-0000-0000-000013850000}"/>
    <cellStyle name="Normal 55 3 2 3 2 2 6" xfId="34068" xr:uid="{00000000-0005-0000-0000-000014850000}"/>
    <cellStyle name="Normal 55 3 2 3 2 2 7" xfId="34069" xr:uid="{00000000-0005-0000-0000-000015850000}"/>
    <cellStyle name="Normal 55 3 2 3 2 2 8" xfId="34070" xr:uid="{00000000-0005-0000-0000-000016850000}"/>
    <cellStyle name="Normal 55 3 2 3 2 3" xfId="34071" xr:uid="{00000000-0005-0000-0000-000017850000}"/>
    <cellStyle name="Normal 55 3 2 3 2 3 2" xfId="34072" xr:uid="{00000000-0005-0000-0000-000018850000}"/>
    <cellStyle name="Normal 55 3 2 3 2 3 2 2" xfId="34073" xr:uid="{00000000-0005-0000-0000-000019850000}"/>
    <cellStyle name="Normal 55 3 2 3 2 3 2 3" xfId="34074" xr:uid="{00000000-0005-0000-0000-00001A850000}"/>
    <cellStyle name="Normal 55 3 2 3 2 3 2 4" xfId="34075" xr:uid="{00000000-0005-0000-0000-00001B850000}"/>
    <cellStyle name="Normal 55 3 2 3 2 3 2 5" xfId="34076" xr:uid="{00000000-0005-0000-0000-00001C850000}"/>
    <cellStyle name="Normal 55 3 2 3 2 3 2 6" xfId="34077" xr:uid="{00000000-0005-0000-0000-00001D850000}"/>
    <cellStyle name="Normal 55 3 2 3 2 3 3" xfId="34078" xr:uid="{00000000-0005-0000-0000-00001E850000}"/>
    <cellStyle name="Normal 55 3 2 3 2 3 3 2" xfId="34079" xr:uid="{00000000-0005-0000-0000-00001F850000}"/>
    <cellStyle name="Normal 55 3 2 3 2 3 3 3" xfId="34080" xr:uid="{00000000-0005-0000-0000-000020850000}"/>
    <cellStyle name="Normal 55 3 2 3 2 3 3 4" xfId="34081" xr:uid="{00000000-0005-0000-0000-000021850000}"/>
    <cellStyle name="Normal 55 3 2 3 2 3 3 5" xfId="34082" xr:uid="{00000000-0005-0000-0000-000022850000}"/>
    <cellStyle name="Normal 55 3 2 3 2 3 3 6" xfId="34083" xr:uid="{00000000-0005-0000-0000-000023850000}"/>
    <cellStyle name="Normal 55 3 2 3 2 3 4" xfId="34084" xr:uid="{00000000-0005-0000-0000-000024850000}"/>
    <cellStyle name="Normal 55 3 2 3 2 3 5" xfId="34085" xr:uid="{00000000-0005-0000-0000-000025850000}"/>
    <cellStyle name="Normal 55 3 2 3 2 3 6" xfId="34086" xr:uid="{00000000-0005-0000-0000-000026850000}"/>
    <cellStyle name="Normal 55 3 2 3 2 3 7" xfId="34087" xr:uid="{00000000-0005-0000-0000-000027850000}"/>
    <cellStyle name="Normal 55 3 2 3 2 3 8" xfId="34088" xr:uid="{00000000-0005-0000-0000-000028850000}"/>
    <cellStyle name="Normal 55 3 2 3 2 4" xfId="34089" xr:uid="{00000000-0005-0000-0000-000029850000}"/>
    <cellStyle name="Normal 55 3 2 3 2 4 2" xfId="34090" xr:uid="{00000000-0005-0000-0000-00002A850000}"/>
    <cellStyle name="Normal 55 3 2 3 2 4 2 2" xfId="34091" xr:uid="{00000000-0005-0000-0000-00002B850000}"/>
    <cellStyle name="Normal 55 3 2 3 2 4 2 3" xfId="34092" xr:uid="{00000000-0005-0000-0000-00002C850000}"/>
    <cellStyle name="Normal 55 3 2 3 2 4 2 4" xfId="34093" xr:uid="{00000000-0005-0000-0000-00002D850000}"/>
    <cellStyle name="Normal 55 3 2 3 2 4 2 5" xfId="34094" xr:uid="{00000000-0005-0000-0000-00002E850000}"/>
    <cellStyle name="Normal 55 3 2 3 2 4 2 6" xfId="34095" xr:uid="{00000000-0005-0000-0000-00002F850000}"/>
    <cellStyle name="Normal 55 3 2 3 2 4 3" xfId="34096" xr:uid="{00000000-0005-0000-0000-000030850000}"/>
    <cellStyle name="Normal 55 3 2 3 2 4 3 2" xfId="34097" xr:uid="{00000000-0005-0000-0000-000031850000}"/>
    <cellStyle name="Normal 55 3 2 3 2 4 3 3" xfId="34098" xr:uid="{00000000-0005-0000-0000-000032850000}"/>
    <cellStyle name="Normal 55 3 2 3 2 4 3 4" xfId="34099" xr:uid="{00000000-0005-0000-0000-000033850000}"/>
    <cellStyle name="Normal 55 3 2 3 2 4 3 5" xfId="34100" xr:uid="{00000000-0005-0000-0000-000034850000}"/>
    <cellStyle name="Normal 55 3 2 3 2 4 3 6" xfId="34101" xr:uid="{00000000-0005-0000-0000-000035850000}"/>
    <cellStyle name="Normal 55 3 2 3 2 4 4" xfId="34102" xr:uid="{00000000-0005-0000-0000-000036850000}"/>
    <cellStyle name="Normal 55 3 2 3 2 4 5" xfId="34103" xr:uid="{00000000-0005-0000-0000-000037850000}"/>
    <cellStyle name="Normal 55 3 2 3 2 4 6" xfId="34104" xr:uid="{00000000-0005-0000-0000-000038850000}"/>
    <cellStyle name="Normal 55 3 2 3 2 4 7" xfId="34105" xr:uid="{00000000-0005-0000-0000-000039850000}"/>
    <cellStyle name="Normal 55 3 2 3 2 4 8" xfId="34106" xr:uid="{00000000-0005-0000-0000-00003A850000}"/>
    <cellStyle name="Normal 55 3 2 3 2 5" xfId="34107" xr:uid="{00000000-0005-0000-0000-00003B850000}"/>
    <cellStyle name="Normal 55 3 2 3 2 5 2" xfId="34108" xr:uid="{00000000-0005-0000-0000-00003C850000}"/>
    <cellStyle name="Normal 55 3 2 3 2 5 3" xfId="34109" xr:uid="{00000000-0005-0000-0000-00003D850000}"/>
    <cellStyle name="Normal 55 3 2 3 2 5 4" xfId="34110" xr:uid="{00000000-0005-0000-0000-00003E850000}"/>
    <cellStyle name="Normal 55 3 2 3 2 5 5" xfId="34111" xr:uid="{00000000-0005-0000-0000-00003F850000}"/>
    <cellStyle name="Normal 55 3 2 3 2 5 6" xfId="34112" xr:uid="{00000000-0005-0000-0000-000040850000}"/>
    <cellStyle name="Normal 55 3 2 3 2 6" xfId="34113" xr:uid="{00000000-0005-0000-0000-000041850000}"/>
    <cellStyle name="Normal 55 3 2 3 2 6 2" xfId="34114" xr:uid="{00000000-0005-0000-0000-000042850000}"/>
    <cellStyle name="Normal 55 3 2 3 2 6 3" xfId="34115" xr:uid="{00000000-0005-0000-0000-000043850000}"/>
    <cellStyle name="Normal 55 3 2 3 2 6 4" xfId="34116" xr:uid="{00000000-0005-0000-0000-000044850000}"/>
    <cellStyle name="Normal 55 3 2 3 2 6 5" xfId="34117" xr:uid="{00000000-0005-0000-0000-000045850000}"/>
    <cellStyle name="Normal 55 3 2 3 2 6 6" xfId="34118" xr:uid="{00000000-0005-0000-0000-000046850000}"/>
    <cellStyle name="Normal 55 3 2 3 2 7" xfId="34119" xr:uid="{00000000-0005-0000-0000-000047850000}"/>
    <cellStyle name="Normal 55 3 2 3 2 8" xfId="34120" xr:uid="{00000000-0005-0000-0000-000048850000}"/>
    <cellStyle name="Normal 55 3 2 3 2 9" xfId="34121" xr:uid="{00000000-0005-0000-0000-000049850000}"/>
    <cellStyle name="Normal 55 3 2 3 3" xfId="34122" xr:uid="{00000000-0005-0000-0000-00004A850000}"/>
    <cellStyle name="Normal 55 3 2 3 3 2" xfId="34123" xr:uid="{00000000-0005-0000-0000-00004B850000}"/>
    <cellStyle name="Normal 55 3 2 3 3 2 2" xfId="34124" xr:uid="{00000000-0005-0000-0000-00004C850000}"/>
    <cellStyle name="Normal 55 3 2 3 3 2 3" xfId="34125" xr:uid="{00000000-0005-0000-0000-00004D850000}"/>
    <cellStyle name="Normal 55 3 2 3 3 2 4" xfId="34126" xr:uid="{00000000-0005-0000-0000-00004E850000}"/>
    <cellStyle name="Normal 55 3 2 3 3 2 5" xfId="34127" xr:uid="{00000000-0005-0000-0000-00004F850000}"/>
    <cellStyle name="Normal 55 3 2 3 3 2 6" xfId="34128" xr:uid="{00000000-0005-0000-0000-000050850000}"/>
    <cellStyle name="Normal 55 3 2 3 3 3" xfId="34129" xr:uid="{00000000-0005-0000-0000-000051850000}"/>
    <cellStyle name="Normal 55 3 2 3 3 3 2" xfId="34130" xr:uid="{00000000-0005-0000-0000-000052850000}"/>
    <cellStyle name="Normal 55 3 2 3 3 3 3" xfId="34131" xr:uid="{00000000-0005-0000-0000-000053850000}"/>
    <cellStyle name="Normal 55 3 2 3 3 3 4" xfId="34132" xr:uid="{00000000-0005-0000-0000-000054850000}"/>
    <cellStyle name="Normal 55 3 2 3 3 3 5" xfId="34133" xr:uid="{00000000-0005-0000-0000-000055850000}"/>
    <cellStyle name="Normal 55 3 2 3 3 3 6" xfId="34134" xr:uid="{00000000-0005-0000-0000-000056850000}"/>
    <cellStyle name="Normal 55 3 2 3 3 4" xfId="34135" xr:uid="{00000000-0005-0000-0000-000057850000}"/>
    <cellStyle name="Normal 55 3 2 3 3 5" xfId="34136" xr:uid="{00000000-0005-0000-0000-000058850000}"/>
    <cellStyle name="Normal 55 3 2 3 3 6" xfId="34137" xr:uid="{00000000-0005-0000-0000-000059850000}"/>
    <cellStyle name="Normal 55 3 2 3 3 7" xfId="34138" xr:uid="{00000000-0005-0000-0000-00005A850000}"/>
    <cellStyle name="Normal 55 3 2 3 3 8" xfId="34139" xr:uid="{00000000-0005-0000-0000-00005B850000}"/>
    <cellStyle name="Normal 55 3 2 3 4" xfId="34140" xr:uid="{00000000-0005-0000-0000-00005C850000}"/>
    <cellStyle name="Normal 55 3 2 3 4 2" xfId="34141" xr:uid="{00000000-0005-0000-0000-00005D850000}"/>
    <cellStyle name="Normal 55 3 2 3 4 2 2" xfId="34142" xr:uid="{00000000-0005-0000-0000-00005E850000}"/>
    <cellStyle name="Normal 55 3 2 3 4 2 3" xfId="34143" xr:uid="{00000000-0005-0000-0000-00005F850000}"/>
    <cellStyle name="Normal 55 3 2 3 4 2 4" xfId="34144" xr:uid="{00000000-0005-0000-0000-000060850000}"/>
    <cellStyle name="Normal 55 3 2 3 4 2 5" xfId="34145" xr:uid="{00000000-0005-0000-0000-000061850000}"/>
    <cellStyle name="Normal 55 3 2 3 4 2 6" xfId="34146" xr:uid="{00000000-0005-0000-0000-000062850000}"/>
    <cellStyle name="Normal 55 3 2 3 4 3" xfId="34147" xr:uid="{00000000-0005-0000-0000-000063850000}"/>
    <cellStyle name="Normal 55 3 2 3 4 3 2" xfId="34148" xr:uid="{00000000-0005-0000-0000-000064850000}"/>
    <cellStyle name="Normal 55 3 2 3 4 3 3" xfId="34149" xr:uid="{00000000-0005-0000-0000-000065850000}"/>
    <cellStyle name="Normal 55 3 2 3 4 3 4" xfId="34150" xr:uid="{00000000-0005-0000-0000-000066850000}"/>
    <cellStyle name="Normal 55 3 2 3 4 3 5" xfId="34151" xr:uid="{00000000-0005-0000-0000-000067850000}"/>
    <cellStyle name="Normal 55 3 2 3 4 3 6" xfId="34152" xr:uid="{00000000-0005-0000-0000-000068850000}"/>
    <cellStyle name="Normal 55 3 2 3 4 4" xfId="34153" xr:uid="{00000000-0005-0000-0000-000069850000}"/>
    <cellStyle name="Normal 55 3 2 3 4 5" xfId="34154" xr:uid="{00000000-0005-0000-0000-00006A850000}"/>
    <cellStyle name="Normal 55 3 2 3 4 6" xfId="34155" xr:uid="{00000000-0005-0000-0000-00006B850000}"/>
    <cellStyle name="Normal 55 3 2 3 4 7" xfId="34156" xr:uid="{00000000-0005-0000-0000-00006C850000}"/>
    <cellStyle name="Normal 55 3 2 3 4 8" xfId="34157" xr:uid="{00000000-0005-0000-0000-00006D850000}"/>
    <cellStyle name="Normal 55 3 2 3 5" xfId="34158" xr:uid="{00000000-0005-0000-0000-00006E850000}"/>
    <cellStyle name="Normal 55 3 2 3 5 2" xfId="34159" xr:uid="{00000000-0005-0000-0000-00006F850000}"/>
    <cellStyle name="Normal 55 3 2 3 5 2 2" xfId="34160" xr:uid="{00000000-0005-0000-0000-000070850000}"/>
    <cellStyle name="Normal 55 3 2 3 5 2 3" xfId="34161" xr:uid="{00000000-0005-0000-0000-000071850000}"/>
    <cellStyle name="Normal 55 3 2 3 5 2 4" xfId="34162" xr:uid="{00000000-0005-0000-0000-000072850000}"/>
    <cellStyle name="Normal 55 3 2 3 5 2 5" xfId="34163" xr:uid="{00000000-0005-0000-0000-000073850000}"/>
    <cellStyle name="Normal 55 3 2 3 5 2 6" xfId="34164" xr:uid="{00000000-0005-0000-0000-000074850000}"/>
    <cellStyle name="Normal 55 3 2 3 5 3" xfId="34165" xr:uid="{00000000-0005-0000-0000-000075850000}"/>
    <cellStyle name="Normal 55 3 2 3 5 3 2" xfId="34166" xr:uid="{00000000-0005-0000-0000-000076850000}"/>
    <cellStyle name="Normal 55 3 2 3 5 3 3" xfId="34167" xr:uid="{00000000-0005-0000-0000-000077850000}"/>
    <cellStyle name="Normal 55 3 2 3 5 3 4" xfId="34168" xr:uid="{00000000-0005-0000-0000-000078850000}"/>
    <cellStyle name="Normal 55 3 2 3 5 3 5" xfId="34169" xr:uid="{00000000-0005-0000-0000-000079850000}"/>
    <cellStyle name="Normal 55 3 2 3 5 3 6" xfId="34170" xr:uid="{00000000-0005-0000-0000-00007A850000}"/>
    <cellStyle name="Normal 55 3 2 3 5 4" xfId="34171" xr:uid="{00000000-0005-0000-0000-00007B850000}"/>
    <cellStyle name="Normal 55 3 2 3 5 5" xfId="34172" xr:uid="{00000000-0005-0000-0000-00007C850000}"/>
    <cellStyle name="Normal 55 3 2 3 5 6" xfId="34173" xr:uid="{00000000-0005-0000-0000-00007D850000}"/>
    <cellStyle name="Normal 55 3 2 3 5 7" xfId="34174" xr:uid="{00000000-0005-0000-0000-00007E850000}"/>
    <cellStyle name="Normal 55 3 2 3 5 8" xfId="34175" xr:uid="{00000000-0005-0000-0000-00007F850000}"/>
    <cellStyle name="Normal 55 3 2 3 6" xfId="34176" xr:uid="{00000000-0005-0000-0000-000080850000}"/>
    <cellStyle name="Normal 55 3 2 3 6 2" xfId="34177" xr:uid="{00000000-0005-0000-0000-000081850000}"/>
    <cellStyle name="Normal 55 3 2 3 6 3" xfId="34178" xr:uid="{00000000-0005-0000-0000-000082850000}"/>
    <cellStyle name="Normal 55 3 2 3 6 4" xfId="34179" xr:uid="{00000000-0005-0000-0000-000083850000}"/>
    <cellStyle name="Normal 55 3 2 3 6 5" xfId="34180" xr:uid="{00000000-0005-0000-0000-000084850000}"/>
    <cellStyle name="Normal 55 3 2 3 6 6" xfId="34181" xr:uid="{00000000-0005-0000-0000-000085850000}"/>
    <cellStyle name="Normal 55 3 2 3 7" xfId="34182" xr:uid="{00000000-0005-0000-0000-000086850000}"/>
    <cellStyle name="Normal 55 3 2 3 7 2" xfId="34183" xr:uid="{00000000-0005-0000-0000-000087850000}"/>
    <cellStyle name="Normal 55 3 2 3 7 3" xfId="34184" xr:uid="{00000000-0005-0000-0000-000088850000}"/>
    <cellStyle name="Normal 55 3 2 3 7 4" xfId="34185" xr:uid="{00000000-0005-0000-0000-000089850000}"/>
    <cellStyle name="Normal 55 3 2 3 7 5" xfId="34186" xr:uid="{00000000-0005-0000-0000-00008A850000}"/>
    <cellStyle name="Normal 55 3 2 3 7 6" xfId="34187" xr:uid="{00000000-0005-0000-0000-00008B850000}"/>
    <cellStyle name="Normal 55 3 2 3 8" xfId="34188" xr:uid="{00000000-0005-0000-0000-00008C850000}"/>
    <cellStyle name="Normal 55 3 2 3 9" xfId="34189" xr:uid="{00000000-0005-0000-0000-00008D850000}"/>
    <cellStyle name="Normal 55 3 2 4" xfId="34190" xr:uid="{00000000-0005-0000-0000-00008E850000}"/>
    <cellStyle name="Normal 55 3 2 4 10" xfId="34191" xr:uid="{00000000-0005-0000-0000-00008F850000}"/>
    <cellStyle name="Normal 55 3 2 4 11" xfId="34192" xr:uid="{00000000-0005-0000-0000-000090850000}"/>
    <cellStyle name="Normal 55 3 2 4 2" xfId="34193" xr:uid="{00000000-0005-0000-0000-000091850000}"/>
    <cellStyle name="Normal 55 3 2 4 2 2" xfId="34194" xr:uid="{00000000-0005-0000-0000-000092850000}"/>
    <cellStyle name="Normal 55 3 2 4 2 2 2" xfId="34195" xr:uid="{00000000-0005-0000-0000-000093850000}"/>
    <cellStyle name="Normal 55 3 2 4 2 2 3" xfId="34196" xr:uid="{00000000-0005-0000-0000-000094850000}"/>
    <cellStyle name="Normal 55 3 2 4 2 2 4" xfId="34197" xr:uid="{00000000-0005-0000-0000-000095850000}"/>
    <cellStyle name="Normal 55 3 2 4 2 2 5" xfId="34198" xr:uid="{00000000-0005-0000-0000-000096850000}"/>
    <cellStyle name="Normal 55 3 2 4 2 2 6" xfId="34199" xr:uid="{00000000-0005-0000-0000-000097850000}"/>
    <cellStyle name="Normal 55 3 2 4 2 3" xfId="34200" xr:uid="{00000000-0005-0000-0000-000098850000}"/>
    <cellStyle name="Normal 55 3 2 4 2 3 2" xfId="34201" xr:uid="{00000000-0005-0000-0000-000099850000}"/>
    <cellStyle name="Normal 55 3 2 4 2 3 3" xfId="34202" xr:uid="{00000000-0005-0000-0000-00009A850000}"/>
    <cellStyle name="Normal 55 3 2 4 2 3 4" xfId="34203" xr:uid="{00000000-0005-0000-0000-00009B850000}"/>
    <cellStyle name="Normal 55 3 2 4 2 3 5" xfId="34204" xr:uid="{00000000-0005-0000-0000-00009C850000}"/>
    <cellStyle name="Normal 55 3 2 4 2 3 6" xfId="34205" xr:uid="{00000000-0005-0000-0000-00009D850000}"/>
    <cellStyle name="Normal 55 3 2 4 2 4" xfId="34206" xr:uid="{00000000-0005-0000-0000-00009E850000}"/>
    <cellStyle name="Normal 55 3 2 4 2 5" xfId="34207" xr:uid="{00000000-0005-0000-0000-00009F850000}"/>
    <cellStyle name="Normal 55 3 2 4 2 6" xfId="34208" xr:uid="{00000000-0005-0000-0000-0000A0850000}"/>
    <cellStyle name="Normal 55 3 2 4 2 7" xfId="34209" xr:uid="{00000000-0005-0000-0000-0000A1850000}"/>
    <cellStyle name="Normal 55 3 2 4 2 8" xfId="34210" xr:uid="{00000000-0005-0000-0000-0000A2850000}"/>
    <cellStyle name="Normal 55 3 2 4 3" xfId="34211" xr:uid="{00000000-0005-0000-0000-0000A3850000}"/>
    <cellStyle name="Normal 55 3 2 4 3 2" xfId="34212" xr:uid="{00000000-0005-0000-0000-0000A4850000}"/>
    <cellStyle name="Normal 55 3 2 4 3 2 2" xfId="34213" xr:uid="{00000000-0005-0000-0000-0000A5850000}"/>
    <cellStyle name="Normal 55 3 2 4 3 2 3" xfId="34214" xr:uid="{00000000-0005-0000-0000-0000A6850000}"/>
    <cellStyle name="Normal 55 3 2 4 3 2 4" xfId="34215" xr:uid="{00000000-0005-0000-0000-0000A7850000}"/>
    <cellStyle name="Normal 55 3 2 4 3 2 5" xfId="34216" xr:uid="{00000000-0005-0000-0000-0000A8850000}"/>
    <cellStyle name="Normal 55 3 2 4 3 2 6" xfId="34217" xr:uid="{00000000-0005-0000-0000-0000A9850000}"/>
    <cellStyle name="Normal 55 3 2 4 3 3" xfId="34218" xr:uid="{00000000-0005-0000-0000-0000AA850000}"/>
    <cellStyle name="Normal 55 3 2 4 3 3 2" xfId="34219" xr:uid="{00000000-0005-0000-0000-0000AB850000}"/>
    <cellStyle name="Normal 55 3 2 4 3 3 3" xfId="34220" xr:uid="{00000000-0005-0000-0000-0000AC850000}"/>
    <cellStyle name="Normal 55 3 2 4 3 3 4" xfId="34221" xr:uid="{00000000-0005-0000-0000-0000AD850000}"/>
    <cellStyle name="Normal 55 3 2 4 3 3 5" xfId="34222" xr:uid="{00000000-0005-0000-0000-0000AE850000}"/>
    <cellStyle name="Normal 55 3 2 4 3 3 6" xfId="34223" xr:uid="{00000000-0005-0000-0000-0000AF850000}"/>
    <cellStyle name="Normal 55 3 2 4 3 4" xfId="34224" xr:uid="{00000000-0005-0000-0000-0000B0850000}"/>
    <cellStyle name="Normal 55 3 2 4 3 5" xfId="34225" xr:uid="{00000000-0005-0000-0000-0000B1850000}"/>
    <cellStyle name="Normal 55 3 2 4 3 6" xfId="34226" xr:uid="{00000000-0005-0000-0000-0000B2850000}"/>
    <cellStyle name="Normal 55 3 2 4 3 7" xfId="34227" xr:uid="{00000000-0005-0000-0000-0000B3850000}"/>
    <cellStyle name="Normal 55 3 2 4 3 8" xfId="34228" xr:uid="{00000000-0005-0000-0000-0000B4850000}"/>
    <cellStyle name="Normal 55 3 2 4 4" xfId="34229" xr:uid="{00000000-0005-0000-0000-0000B5850000}"/>
    <cellStyle name="Normal 55 3 2 4 4 2" xfId="34230" xr:uid="{00000000-0005-0000-0000-0000B6850000}"/>
    <cellStyle name="Normal 55 3 2 4 4 2 2" xfId="34231" xr:uid="{00000000-0005-0000-0000-0000B7850000}"/>
    <cellStyle name="Normal 55 3 2 4 4 2 3" xfId="34232" xr:uid="{00000000-0005-0000-0000-0000B8850000}"/>
    <cellStyle name="Normal 55 3 2 4 4 2 4" xfId="34233" xr:uid="{00000000-0005-0000-0000-0000B9850000}"/>
    <cellStyle name="Normal 55 3 2 4 4 2 5" xfId="34234" xr:uid="{00000000-0005-0000-0000-0000BA850000}"/>
    <cellStyle name="Normal 55 3 2 4 4 2 6" xfId="34235" xr:uid="{00000000-0005-0000-0000-0000BB850000}"/>
    <cellStyle name="Normal 55 3 2 4 4 3" xfId="34236" xr:uid="{00000000-0005-0000-0000-0000BC850000}"/>
    <cellStyle name="Normal 55 3 2 4 4 3 2" xfId="34237" xr:uid="{00000000-0005-0000-0000-0000BD850000}"/>
    <cellStyle name="Normal 55 3 2 4 4 3 3" xfId="34238" xr:uid="{00000000-0005-0000-0000-0000BE850000}"/>
    <cellStyle name="Normal 55 3 2 4 4 3 4" xfId="34239" xr:uid="{00000000-0005-0000-0000-0000BF850000}"/>
    <cellStyle name="Normal 55 3 2 4 4 3 5" xfId="34240" xr:uid="{00000000-0005-0000-0000-0000C0850000}"/>
    <cellStyle name="Normal 55 3 2 4 4 3 6" xfId="34241" xr:uid="{00000000-0005-0000-0000-0000C1850000}"/>
    <cellStyle name="Normal 55 3 2 4 4 4" xfId="34242" xr:uid="{00000000-0005-0000-0000-0000C2850000}"/>
    <cellStyle name="Normal 55 3 2 4 4 5" xfId="34243" xr:uid="{00000000-0005-0000-0000-0000C3850000}"/>
    <cellStyle name="Normal 55 3 2 4 4 6" xfId="34244" xr:uid="{00000000-0005-0000-0000-0000C4850000}"/>
    <cellStyle name="Normal 55 3 2 4 4 7" xfId="34245" xr:uid="{00000000-0005-0000-0000-0000C5850000}"/>
    <cellStyle name="Normal 55 3 2 4 4 8" xfId="34246" xr:uid="{00000000-0005-0000-0000-0000C6850000}"/>
    <cellStyle name="Normal 55 3 2 4 5" xfId="34247" xr:uid="{00000000-0005-0000-0000-0000C7850000}"/>
    <cellStyle name="Normal 55 3 2 4 5 2" xfId="34248" xr:uid="{00000000-0005-0000-0000-0000C8850000}"/>
    <cellStyle name="Normal 55 3 2 4 5 3" xfId="34249" xr:uid="{00000000-0005-0000-0000-0000C9850000}"/>
    <cellStyle name="Normal 55 3 2 4 5 4" xfId="34250" xr:uid="{00000000-0005-0000-0000-0000CA850000}"/>
    <cellStyle name="Normal 55 3 2 4 5 5" xfId="34251" xr:uid="{00000000-0005-0000-0000-0000CB850000}"/>
    <cellStyle name="Normal 55 3 2 4 5 6" xfId="34252" xr:uid="{00000000-0005-0000-0000-0000CC850000}"/>
    <cellStyle name="Normal 55 3 2 4 6" xfId="34253" xr:uid="{00000000-0005-0000-0000-0000CD850000}"/>
    <cellStyle name="Normal 55 3 2 4 6 2" xfId="34254" xr:uid="{00000000-0005-0000-0000-0000CE850000}"/>
    <cellStyle name="Normal 55 3 2 4 6 3" xfId="34255" xr:uid="{00000000-0005-0000-0000-0000CF850000}"/>
    <cellStyle name="Normal 55 3 2 4 6 4" xfId="34256" xr:uid="{00000000-0005-0000-0000-0000D0850000}"/>
    <cellStyle name="Normal 55 3 2 4 6 5" xfId="34257" xr:uid="{00000000-0005-0000-0000-0000D1850000}"/>
    <cellStyle name="Normal 55 3 2 4 6 6" xfId="34258" xr:uid="{00000000-0005-0000-0000-0000D2850000}"/>
    <cellStyle name="Normal 55 3 2 4 7" xfId="34259" xr:uid="{00000000-0005-0000-0000-0000D3850000}"/>
    <cellStyle name="Normal 55 3 2 4 8" xfId="34260" xr:uid="{00000000-0005-0000-0000-0000D4850000}"/>
    <cellStyle name="Normal 55 3 2 4 9" xfId="34261" xr:uid="{00000000-0005-0000-0000-0000D5850000}"/>
    <cellStyle name="Normal 55 3 2 5" xfId="34262" xr:uid="{00000000-0005-0000-0000-0000D6850000}"/>
    <cellStyle name="Normal 55 3 2 5 2" xfId="34263" xr:uid="{00000000-0005-0000-0000-0000D7850000}"/>
    <cellStyle name="Normal 55 3 2 5 2 2" xfId="34264" xr:uid="{00000000-0005-0000-0000-0000D8850000}"/>
    <cellStyle name="Normal 55 3 2 5 2 3" xfId="34265" xr:uid="{00000000-0005-0000-0000-0000D9850000}"/>
    <cellStyle name="Normal 55 3 2 5 2 4" xfId="34266" xr:uid="{00000000-0005-0000-0000-0000DA850000}"/>
    <cellStyle name="Normal 55 3 2 5 2 5" xfId="34267" xr:uid="{00000000-0005-0000-0000-0000DB850000}"/>
    <cellStyle name="Normal 55 3 2 5 2 6" xfId="34268" xr:uid="{00000000-0005-0000-0000-0000DC850000}"/>
    <cellStyle name="Normal 55 3 2 5 3" xfId="34269" xr:uid="{00000000-0005-0000-0000-0000DD850000}"/>
    <cellStyle name="Normal 55 3 2 5 3 2" xfId="34270" xr:uid="{00000000-0005-0000-0000-0000DE850000}"/>
    <cellStyle name="Normal 55 3 2 5 3 3" xfId="34271" xr:uid="{00000000-0005-0000-0000-0000DF850000}"/>
    <cellStyle name="Normal 55 3 2 5 3 4" xfId="34272" xr:uid="{00000000-0005-0000-0000-0000E0850000}"/>
    <cellStyle name="Normal 55 3 2 5 3 5" xfId="34273" xr:uid="{00000000-0005-0000-0000-0000E1850000}"/>
    <cellStyle name="Normal 55 3 2 5 3 6" xfId="34274" xr:uid="{00000000-0005-0000-0000-0000E2850000}"/>
    <cellStyle name="Normal 55 3 2 5 4" xfId="34275" xr:uid="{00000000-0005-0000-0000-0000E3850000}"/>
    <cellStyle name="Normal 55 3 2 5 5" xfId="34276" xr:uid="{00000000-0005-0000-0000-0000E4850000}"/>
    <cellStyle name="Normal 55 3 2 5 6" xfId="34277" xr:uid="{00000000-0005-0000-0000-0000E5850000}"/>
    <cellStyle name="Normal 55 3 2 5 7" xfId="34278" xr:uid="{00000000-0005-0000-0000-0000E6850000}"/>
    <cellStyle name="Normal 55 3 2 5 8" xfId="34279" xr:uid="{00000000-0005-0000-0000-0000E7850000}"/>
    <cellStyle name="Normal 55 3 2 6" xfId="34280" xr:uid="{00000000-0005-0000-0000-0000E8850000}"/>
    <cellStyle name="Normal 55 3 2 6 2" xfId="34281" xr:uid="{00000000-0005-0000-0000-0000E9850000}"/>
    <cellStyle name="Normal 55 3 2 6 2 2" xfId="34282" xr:uid="{00000000-0005-0000-0000-0000EA850000}"/>
    <cellStyle name="Normal 55 3 2 6 2 3" xfId="34283" xr:uid="{00000000-0005-0000-0000-0000EB850000}"/>
    <cellStyle name="Normal 55 3 2 6 2 4" xfId="34284" xr:uid="{00000000-0005-0000-0000-0000EC850000}"/>
    <cellStyle name="Normal 55 3 2 6 2 5" xfId="34285" xr:uid="{00000000-0005-0000-0000-0000ED850000}"/>
    <cellStyle name="Normal 55 3 2 6 2 6" xfId="34286" xr:uid="{00000000-0005-0000-0000-0000EE850000}"/>
    <cellStyle name="Normal 55 3 2 6 3" xfId="34287" xr:uid="{00000000-0005-0000-0000-0000EF850000}"/>
    <cellStyle name="Normal 55 3 2 6 3 2" xfId="34288" xr:uid="{00000000-0005-0000-0000-0000F0850000}"/>
    <cellStyle name="Normal 55 3 2 6 3 3" xfId="34289" xr:uid="{00000000-0005-0000-0000-0000F1850000}"/>
    <cellStyle name="Normal 55 3 2 6 3 4" xfId="34290" xr:uid="{00000000-0005-0000-0000-0000F2850000}"/>
    <cellStyle name="Normal 55 3 2 6 3 5" xfId="34291" xr:uid="{00000000-0005-0000-0000-0000F3850000}"/>
    <cellStyle name="Normal 55 3 2 6 3 6" xfId="34292" xr:uid="{00000000-0005-0000-0000-0000F4850000}"/>
    <cellStyle name="Normal 55 3 2 6 4" xfId="34293" xr:uid="{00000000-0005-0000-0000-0000F5850000}"/>
    <cellStyle name="Normal 55 3 2 6 5" xfId="34294" xr:uid="{00000000-0005-0000-0000-0000F6850000}"/>
    <cellStyle name="Normal 55 3 2 6 6" xfId="34295" xr:uid="{00000000-0005-0000-0000-0000F7850000}"/>
    <cellStyle name="Normal 55 3 2 6 7" xfId="34296" xr:uid="{00000000-0005-0000-0000-0000F8850000}"/>
    <cellStyle name="Normal 55 3 2 6 8" xfId="34297" xr:uid="{00000000-0005-0000-0000-0000F9850000}"/>
    <cellStyle name="Normal 55 3 2 7" xfId="34298" xr:uid="{00000000-0005-0000-0000-0000FA850000}"/>
    <cellStyle name="Normal 55 3 2 7 2" xfId="34299" xr:uid="{00000000-0005-0000-0000-0000FB850000}"/>
    <cellStyle name="Normal 55 3 2 7 2 2" xfId="34300" xr:uid="{00000000-0005-0000-0000-0000FC850000}"/>
    <cellStyle name="Normal 55 3 2 7 2 3" xfId="34301" xr:uid="{00000000-0005-0000-0000-0000FD850000}"/>
    <cellStyle name="Normal 55 3 2 7 2 4" xfId="34302" xr:uid="{00000000-0005-0000-0000-0000FE850000}"/>
    <cellStyle name="Normal 55 3 2 7 2 5" xfId="34303" xr:uid="{00000000-0005-0000-0000-0000FF850000}"/>
    <cellStyle name="Normal 55 3 2 7 2 6" xfId="34304" xr:uid="{00000000-0005-0000-0000-000000860000}"/>
    <cellStyle name="Normal 55 3 2 7 3" xfId="34305" xr:uid="{00000000-0005-0000-0000-000001860000}"/>
    <cellStyle name="Normal 55 3 2 7 3 2" xfId="34306" xr:uid="{00000000-0005-0000-0000-000002860000}"/>
    <cellStyle name="Normal 55 3 2 7 3 3" xfId="34307" xr:uid="{00000000-0005-0000-0000-000003860000}"/>
    <cellStyle name="Normal 55 3 2 7 3 4" xfId="34308" xr:uid="{00000000-0005-0000-0000-000004860000}"/>
    <cellStyle name="Normal 55 3 2 7 3 5" xfId="34309" xr:uid="{00000000-0005-0000-0000-000005860000}"/>
    <cellStyle name="Normal 55 3 2 7 3 6" xfId="34310" xr:uid="{00000000-0005-0000-0000-000006860000}"/>
    <cellStyle name="Normal 55 3 2 7 4" xfId="34311" xr:uid="{00000000-0005-0000-0000-000007860000}"/>
    <cellStyle name="Normal 55 3 2 7 5" xfId="34312" xr:uid="{00000000-0005-0000-0000-000008860000}"/>
    <cellStyle name="Normal 55 3 2 7 6" xfId="34313" xr:uid="{00000000-0005-0000-0000-000009860000}"/>
    <cellStyle name="Normal 55 3 2 7 7" xfId="34314" xr:uid="{00000000-0005-0000-0000-00000A860000}"/>
    <cellStyle name="Normal 55 3 2 7 8" xfId="34315" xr:uid="{00000000-0005-0000-0000-00000B860000}"/>
    <cellStyle name="Normal 55 3 2 8" xfId="34316" xr:uid="{00000000-0005-0000-0000-00000C860000}"/>
    <cellStyle name="Normal 55 3 2 8 2" xfId="34317" xr:uid="{00000000-0005-0000-0000-00000D860000}"/>
    <cellStyle name="Normal 55 3 2 8 3" xfId="34318" xr:uid="{00000000-0005-0000-0000-00000E860000}"/>
    <cellStyle name="Normal 55 3 2 8 4" xfId="34319" xr:uid="{00000000-0005-0000-0000-00000F860000}"/>
    <cellStyle name="Normal 55 3 2 8 5" xfId="34320" xr:uid="{00000000-0005-0000-0000-000010860000}"/>
    <cellStyle name="Normal 55 3 2 8 6" xfId="34321" xr:uid="{00000000-0005-0000-0000-000011860000}"/>
    <cellStyle name="Normal 55 3 2 9" xfId="34322" xr:uid="{00000000-0005-0000-0000-000012860000}"/>
    <cellStyle name="Normal 55 3 2 9 2" xfId="34323" xr:uid="{00000000-0005-0000-0000-000013860000}"/>
    <cellStyle name="Normal 55 3 2 9 3" xfId="34324" xr:uid="{00000000-0005-0000-0000-000014860000}"/>
    <cellStyle name="Normal 55 3 2 9 4" xfId="34325" xr:uid="{00000000-0005-0000-0000-000015860000}"/>
    <cellStyle name="Normal 55 3 2 9 5" xfId="34326" xr:uid="{00000000-0005-0000-0000-000016860000}"/>
    <cellStyle name="Normal 55 3 2 9 6" xfId="34327" xr:uid="{00000000-0005-0000-0000-000017860000}"/>
    <cellStyle name="Normal 55 3 3" xfId="34328" xr:uid="{00000000-0005-0000-0000-000018860000}"/>
    <cellStyle name="Normal 55 3 3 10" xfId="34329" xr:uid="{00000000-0005-0000-0000-000019860000}"/>
    <cellStyle name="Normal 55 3 3 11" xfId="34330" xr:uid="{00000000-0005-0000-0000-00001A860000}"/>
    <cellStyle name="Normal 55 3 3 12" xfId="34331" xr:uid="{00000000-0005-0000-0000-00001B860000}"/>
    <cellStyle name="Normal 55 3 3 2" xfId="34332" xr:uid="{00000000-0005-0000-0000-00001C860000}"/>
    <cellStyle name="Normal 55 3 3 2 10" xfId="34333" xr:uid="{00000000-0005-0000-0000-00001D860000}"/>
    <cellStyle name="Normal 55 3 3 2 11" xfId="34334" xr:uid="{00000000-0005-0000-0000-00001E860000}"/>
    <cellStyle name="Normal 55 3 3 2 2" xfId="34335" xr:uid="{00000000-0005-0000-0000-00001F860000}"/>
    <cellStyle name="Normal 55 3 3 2 2 2" xfId="34336" xr:uid="{00000000-0005-0000-0000-000020860000}"/>
    <cellStyle name="Normal 55 3 3 2 2 2 2" xfId="34337" xr:uid="{00000000-0005-0000-0000-000021860000}"/>
    <cellStyle name="Normal 55 3 3 2 2 2 3" xfId="34338" xr:uid="{00000000-0005-0000-0000-000022860000}"/>
    <cellStyle name="Normal 55 3 3 2 2 2 4" xfId="34339" xr:uid="{00000000-0005-0000-0000-000023860000}"/>
    <cellStyle name="Normal 55 3 3 2 2 2 5" xfId="34340" xr:uid="{00000000-0005-0000-0000-000024860000}"/>
    <cellStyle name="Normal 55 3 3 2 2 2 6" xfId="34341" xr:uid="{00000000-0005-0000-0000-000025860000}"/>
    <cellStyle name="Normal 55 3 3 2 2 3" xfId="34342" xr:uid="{00000000-0005-0000-0000-000026860000}"/>
    <cellStyle name="Normal 55 3 3 2 2 3 2" xfId="34343" xr:uid="{00000000-0005-0000-0000-000027860000}"/>
    <cellStyle name="Normal 55 3 3 2 2 3 3" xfId="34344" xr:uid="{00000000-0005-0000-0000-000028860000}"/>
    <cellStyle name="Normal 55 3 3 2 2 3 4" xfId="34345" xr:uid="{00000000-0005-0000-0000-000029860000}"/>
    <cellStyle name="Normal 55 3 3 2 2 3 5" xfId="34346" xr:uid="{00000000-0005-0000-0000-00002A860000}"/>
    <cellStyle name="Normal 55 3 3 2 2 3 6" xfId="34347" xr:uid="{00000000-0005-0000-0000-00002B860000}"/>
    <cellStyle name="Normal 55 3 3 2 2 4" xfId="34348" xr:uid="{00000000-0005-0000-0000-00002C860000}"/>
    <cellStyle name="Normal 55 3 3 2 2 5" xfId="34349" xr:uid="{00000000-0005-0000-0000-00002D860000}"/>
    <cellStyle name="Normal 55 3 3 2 2 6" xfId="34350" xr:uid="{00000000-0005-0000-0000-00002E860000}"/>
    <cellStyle name="Normal 55 3 3 2 2 7" xfId="34351" xr:uid="{00000000-0005-0000-0000-00002F860000}"/>
    <cellStyle name="Normal 55 3 3 2 2 8" xfId="34352" xr:uid="{00000000-0005-0000-0000-000030860000}"/>
    <cellStyle name="Normal 55 3 3 2 3" xfId="34353" xr:uid="{00000000-0005-0000-0000-000031860000}"/>
    <cellStyle name="Normal 55 3 3 2 3 2" xfId="34354" xr:uid="{00000000-0005-0000-0000-000032860000}"/>
    <cellStyle name="Normal 55 3 3 2 3 2 2" xfId="34355" xr:uid="{00000000-0005-0000-0000-000033860000}"/>
    <cellStyle name="Normal 55 3 3 2 3 2 3" xfId="34356" xr:uid="{00000000-0005-0000-0000-000034860000}"/>
    <cellStyle name="Normal 55 3 3 2 3 2 4" xfId="34357" xr:uid="{00000000-0005-0000-0000-000035860000}"/>
    <cellStyle name="Normal 55 3 3 2 3 2 5" xfId="34358" xr:uid="{00000000-0005-0000-0000-000036860000}"/>
    <cellStyle name="Normal 55 3 3 2 3 2 6" xfId="34359" xr:uid="{00000000-0005-0000-0000-000037860000}"/>
    <cellStyle name="Normal 55 3 3 2 3 3" xfId="34360" xr:uid="{00000000-0005-0000-0000-000038860000}"/>
    <cellStyle name="Normal 55 3 3 2 3 3 2" xfId="34361" xr:uid="{00000000-0005-0000-0000-000039860000}"/>
    <cellStyle name="Normal 55 3 3 2 3 3 3" xfId="34362" xr:uid="{00000000-0005-0000-0000-00003A860000}"/>
    <cellStyle name="Normal 55 3 3 2 3 3 4" xfId="34363" xr:uid="{00000000-0005-0000-0000-00003B860000}"/>
    <cellStyle name="Normal 55 3 3 2 3 3 5" xfId="34364" xr:uid="{00000000-0005-0000-0000-00003C860000}"/>
    <cellStyle name="Normal 55 3 3 2 3 3 6" xfId="34365" xr:uid="{00000000-0005-0000-0000-00003D860000}"/>
    <cellStyle name="Normal 55 3 3 2 3 4" xfId="34366" xr:uid="{00000000-0005-0000-0000-00003E860000}"/>
    <cellStyle name="Normal 55 3 3 2 3 5" xfId="34367" xr:uid="{00000000-0005-0000-0000-00003F860000}"/>
    <cellStyle name="Normal 55 3 3 2 3 6" xfId="34368" xr:uid="{00000000-0005-0000-0000-000040860000}"/>
    <cellStyle name="Normal 55 3 3 2 3 7" xfId="34369" xr:uid="{00000000-0005-0000-0000-000041860000}"/>
    <cellStyle name="Normal 55 3 3 2 3 8" xfId="34370" xr:uid="{00000000-0005-0000-0000-000042860000}"/>
    <cellStyle name="Normal 55 3 3 2 4" xfId="34371" xr:uid="{00000000-0005-0000-0000-000043860000}"/>
    <cellStyle name="Normal 55 3 3 2 4 2" xfId="34372" xr:uid="{00000000-0005-0000-0000-000044860000}"/>
    <cellStyle name="Normal 55 3 3 2 4 2 2" xfId="34373" xr:uid="{00000000-0005-0000-0000-000045860000}"/>
    <cellStyle name="Normal 55 3 3 2 4 2 3" xfId="34374" xr:uid="{00000000-0005-0000-0000-000046860000}"/>
    <cellStyle name="Normal 55 3 3 2 4 2 4" xfId="34375" xr:uid="{00000000-0005-0000-0000-000047860000}"/>
    <cellStyle name="Normal 55 3 3 2 4 2 5" xfId="34376" xr:uid="{00000000-0005-0000-0000-000048860000}"/>
    <cellStyle name="Normal 55 3 3 2 4 2 6" xfId="34377" xr:uid="{00000000-0005-0000-0000-000049860000}"/>
    <cellStyle name="Normal 55 3 3 2 4 3" xfId="34378" xr:uid="{00000000-0005-0000-0000-00004A860000}"/>
    <cellStyle name="Normal 55 3 3 2 4 3 2" xfId="34379" xr:uid="{00000000-0005-0000-0000-00004B860000}"/>
    <cellStyle name="Normal 55 3 3 2 4 3 3" xfId="34380" xr:uid="{00000000-0005-0000-0000-00004C860000}"/>
    <cellStyle name="Normal 55 3 3 2 4 3 4" xfId="34381" xr:uid="{00000000-0005-0000-0000-00004D860000}"/>
    <cellStyle name="Normal 55 3 3 2 4 3 5" xfId="34382" xr:uid="{00000000-0005-0000-0000-00004E860000}"/>
    <cellStyle name="Normal 55 3 3 2 4 3 6" xfId="34383" xr:uid="{00000000-0005-0000-0000-00004F860000}"/>
    <cellStyle name="Normal 55 3 3 2 4 4" xfId="34384" xr:uid="{00000000-0005-0000-0000-000050860000}"/>
    <cellStyle name="Normal 55 3 3 2 4 5" xfId="34385" xr:uid="{00000000-0005-0000-0000-000051860000}"/>
    <cellStyle name="Normal 55 3 3 2 4 6" xfId="34386" xr:uid="{00000000-0005-0000-0000-000052860000}"/>
    <cellStyle name="Normal 55 3 3 2 4 7" xfId="34387" xr:uid="{00000000-0005-0000-0000-000053860000}"/>
    <cellStyle name="Normal 55 3 3 2 4 8" xfId="34388" xr:uid="{00000000-0005-0000-0000-000054860000}"/>
    <cellStyle name="Normal 55 3 3 2 5" xfId="34389" xr:uid="{00000000-0005-0000-0000-000055860000}"/>
    <cellStyle name="Normal 55 3 3 2 5 2" xfId="34390" xr:uid="{00000000-0005-0000-0000-000056860000}"/>
    <cellStyle name="Normal 55 3 3 2 5 3" xfId="34391" xr:uid="{00000000-0005-0000-0000-000057860000}"/>
    <cellStyle name="Normal 55 3 3 2 5 4" xfId="34392" xr:uid="{00000000-0005-0000-0000-000058860000}"/>
    <cellStyle name="Normal 55 3 3 2 5 5" xfId="34393" xr:uid="{00000000-0005-0000-0000-000059860000}"/>
    <cellStyle name="Normal 55 3 3 2 5 6" xfId="34394" xr:uid="{00000000-0005-0000-0000-00005A860000}"/>
    <cellStyle name="Normal 55 3 3 2 6" xfId="34395" xr:uid="{00000000-0005-0000-0000-00005B860000}"/>
    <cellStyle name="Normal 55 3 3 2 6 2" xfId="34396" xr:uid="{00000000-0005-0000-0000-00005C860000}"/>
    <cellStyle name="Normal 55 3 3 2 6 3" xfId="34397" xr:uid="{00000000-0005-0000-0000-00005D860000}"/>
    <cellStyle name="Normal 55 3 3 2 6 4" xfId="34398" xr:uid="{00000000-0005-0000-0000-00005E860000}"/>
    <cellStyle name="Normal 55 3 3 2 6 5" xfId="34399" xr:uid="{00000000-0005-0000-0000-00005F860000}"/>
    <cellStyle name="Normal 55 3 3 2 6 6" xfId="34400" xr:uid="{00000000-0005-0000-0000-000060860000}"/>
    <cellStyle name="Normal 55 3 3 2 7" xfId="34401" xr:uid="{00000000-0005-0000-0000-000061860000}"/>
    <cellStyle name="Normal 55 3 3 2 8" xfId="34402" xr:uid="{00000000-0005-0000-0000-000062860000}"/>
    <cellStyle name="Normal 55 3 3 2 9" xfId="34403" xr:uid="{00000000-0005-0000-0000-000063860000}"/>
    <cellStyle name="Normal 55 3 3 3" xfId="34404" xr:uid="{00000000-0005-0000-0000-000064860000}"/>
    <cellStyle name="Normal 55 3 3 3 2" xfId="34405" xr:uid="{00000000-0005-0000-0000-000065860000}"/>
    <cellStyle name="Normal 55 3 3 3 2 2" xfId="34406" xr:uid="{00000000-0005-0000-0000-000066860000}"/>
    <cellStyle name="Normal 55 3 3 3 2 3" xfId="34407" xr:uid="{00000000-0005-0000-0000-000067860000}"/>
    <cellStyle name="Normal 55 3 3 3 2 4" xfId="34408" xr:uid="{00000000-0005-0000-0000-000068860000}"/>
    <cellStyle name="Normal 55 3 3 3 2 5" xfId="34409" xr:uid="{00000000-0005-0000-0000-000069860000}"/>
    <cellStyle name="Normal 55 3 3 3 2 6" xfId="34410" xr:uid="{00000000-0005-0000-0000-00006A860000}"/>
    <cellStyle name="Normal 55 3 3 3 3" xfId="34411" xr:uid="{00000000-0005-0000-0000-00006B860000}"/>
    <cellStyle name="Normal 55 3 3 3 3 2" xfId="34412" xr:uid="{00000000-0005-0000-0000-00006C860000}"/>
    <cellStyle name="Normal 55 3 3 3 3 3" xfId="34413" xr:uid="{00000000-0005-0000-0000-00006D860000}"/>
    <cellStyle name="Normal 55 3 3 3 3 4" xfId="34414" xr:uid="{00000000-0005-0000-0000-00006E860000}"/>
    <cellStyle name="Normal 55 3 3 3 3 5" xfId="34415" xr:uid="{00000000-0005-0000-0000-00006F860000}"/>
    <cellStyle name="Normal 55 3 3 3 3 6" xfId="34416" xr:uid="{00000000-0005-0000-0000-000070860000}"/>
    <cellStyle name="Normal 55 3 3 3 4" xfId="34417" xr:uid="{00000000-0005-0000-0000-000071860000}"/>
    <cellStyle name="Normal 55 3 3 3 5" xfId="34418" xr:uid="{00000000-0005-0000-0000-000072860000}"/>
    <cellStyle name="Normal 55 3 3 3 6" xfId="34419" xr:uid="{00000000-0005-0000-0000-000073860000}"/>
    <cellStyle name="Normal 55 3 3 3 7" xfId="34420" xr:uid="{00000000-0005-0000-0000-000074860000}"/>
    <cellStyle name="Normal 55 3 3 3 8" xfId="34421" xr:uid="{00000000-0005-0000-0000-000075860000}"/>
    <cellStyle name="Normal 55 3 3 4" xfId="34422" xr:uid="{00000000-0005-0000-0000-000076860000}"/>
    <cellStyle name="Normal 55 3 3 4 2" xfId="34423" xr:uid="{00000000-0005-0000-0000-000077860000}"/>
    <cellStyle name="Normal 55 3 3 4 2 2" xfId="34424" xr:uid="{00000000-0005-0000-0000-000078860000}"/>
    <cellStyle name="Normal 55 3 3 4 2 3" xfId="34425" xr:uid="{00000000-0005-0000-0000-000079860000}"/>
    <cellStyle name="Normal 55 3 3 4 2 4" xfId="34426" xr:uid="{00000000-0005-0000-0000-00007A860000}"/>
    <cellStyle name="Normal 55 3 3 4 2 5" xfId="34427" xr:uid="{00000000-0005-0000-0000-00007B860000}"/>
    <cellStyle name="Normal 55 3 3 4 2 6" xfId="34428" xr:uid="{00000000-0005-0000-0000-00007C860000}"/>
    <cellStyle name="Normal 55 3 3 4 3" xfId="34429" xr:uid="{00000000-0005-0000-0000-00007D860000}"/>
    <cellStyle name="Normal 55 3 3 4 3 2" xfId="34430" xr:uid="{00000000-0005-0000-0000-00007E860000}"/>
    <cellStyle name="Normal 55 3 3 4 3 3" xfId="34431" xr:uid="{00000000-0005-0000-0000-00007F860000}"/>
    <cellStyle name="Normal 55 3 3 4 3 4" xfId="34432" xr:uid="{00000000-0005-0000-0000-000080860000}"/>
    <cellStyle name="Normal 55 3 3 4 3 5" xfId="34433" xr:uid="{00000000-0005-0000-0000-000081860000}"/>
    <cellStyle name="Normal 55 3 3 4 3 6" xfId="34434" xr:uid="{00000000-0005-0000-0000-000082860000}"/>
    <cellStyle name="Normal 55 3 3 4 4" xfId="34435" xr:uid="{00000000-0005-0000-0000-000083860000}"/>
    <cellStyle name="Normal 55 3 3 4 5" xfId="34436" xr:uid="{00000000-0005-0000-0000-000084860000}"/>
    <cellStyle name="Normal 55 3 3 4 6" xfId="34437" xr:uid="{00000000-0005-0000-0000-000085860000}"/>
    <cellStyle name="Normal 55 3 3 4 7" xfId="34438" xr:uid="{00000000-0005-0000-0000-000086860000}"/>
    <cellStyle name="Normal 55 3 3 4 8" xfId="34439" xr:uid="{00000000-0005-0000-0000-000087860000}"/>
    <cellStyle name="Normal 55 3 3 5" xfId="34440" xr:uid="{00000000-0005-0000-0000-000088860000}"/>
    <cellStyle name="Normal 55 3 3 5 2" xfId="34441" xr:uid="{00000000-0005-0000-0000-000089860000}"/>
    <cellStyle name="Normal 55 3 3 5 2 2" xfId="34442" xr:uid="{00000000-0005-0000-0000-00008A860000}"/>
    <cellStyle name="Normal 55 3 3 5 2 3" xfId="34443" xr:uid="{00000000-0005-0000-0000-00008B860000}"/>
    <cellStyle name="Normal 55 3 3 5 2 4" xfId="34444" xr:uid="{00000000-0005-0000-0000-00008C860000}"/>
    <cellStyle name="Normal 55 3 3 5 2 5" xfId="34445" xr:uid="{00000000-0005-0000-0000-00008D860000}"/>
    <cellStyle name="Normal 55 3 3 5 2 6" xfId="34446" xr:uid="{00000000-0005-0000-0000-00008E860000}"/>
    <cellStyle name="Normal 55 3 3 5 3" xfId="34447" xr:uid="{00000000-0005-0000-0000-00008F860000}"/>
    <cellStyle name="Normal 55 3 3 5 3 2" xfId="34448" xr:uid="{00000000-0005-0000-0000-000090860000}"/>
    <cellStyle name="Normal 55 3 3 5 3 3" xfId="34449" xr:uid="{00000000-0005-0000-0000-000091860000}"/>
    <cellStyle name="Normal 55 3 3 5 3 4" xfId="34450" xr:uid="{00000000-0005-0000-0000-000092860000}"/>
    <cellStyle name="Normal 55 3 3 5 3 5" xfId="34451" xr:uid="{00000000-0005-0000-0000-000093860000}"/>
    <cellStyle name="Normal 55 3 3 5 3 6" xfId="34452" xr:uid="{00000000-0005-0000-0000-000094860000}"/>
    <cellStyle name="Normal 55 3 3 5 4" xfId="34453" xr:uid="{00000000-0005-0000-0000-000095860000}"/>
    <cellStyle name="Normal 55 3 3 5 5" xfId="34454" xr:uid="{00000000-0005-0000-0000-000096860000}"/>
    <cellStyle name="Normal 55 3 3 5 6" xfId="34455" xr:uid="{00000000-0005-0000-0000-000097860000}"/>
    <cellStyle name="Normal 55 3 3 5 7" xfId="34456" xr:uid="{00000000-0005-0000-0000-000098860000}"/>
    <cellStyle name="Normal 55 3 3 5 8" xfId="34457" xr:uid="{00000000-0005-0000-0000-000099860000}"/>
    <cellStyle name="Normal 55 3 3 6" xfId="34458" xr:uid="{00000000-0005-0000-0000-00009A860000}"/>
    <cellStyle name="Normal 55 3 3 6 2" xfId="34459" xr:uid="{00000000-0005-0000-0000-00009B860000}"/>
    <cellStyle name="Normal 55 3 3 6 3" xfId="34460" xr:uid="{00000000-0005-0000-0000-00009C860000}"/>
    <cellStyle name="Normal 55 3 3 6 4" xfId="34461" xr:uid="{00000000-0005-0000-0000-00009D860000}"/>
    <cellStyle name="Normal 55 3 3 6 5" xfId="34462" xr:uid="{00000000-0005-0000-0000-00009E860000}"/>
    <cellStyle name="Normal 55 3 3 6 6" xfId="34463" xr:uid="{00000000-0005-0000-0000-00009F860000}"/>
    <cellStyle name="Normal 55 3 3 7" xfId="34464" xr:uid="{00000000-0005-0000-0000-0000A0860000}"/>
    <cellStyle name="Normal 55 3 3 7 2" xfId="34465" xr:uid="{00000000-0005-0000-0000-0000A1860000}"/>
    <cellStyle name="Normal 55 3 3 7 3" xfId="34466" xr:uid="{00000000-0005-0000-0000-0000A2860000}"/>
    <cellStyle name="Normal 55 3 3 7 4" xfId="34467" xr:uid="{00000000-0005-0000-0000-0000A3860000}"/>
    <cellStyle name="Normal 55 3 3 7 5" xfId="34468" xr:uid="{00000000-0005-0000-0000-0000A4860000}"/>
    <cellStyle name="Normal 55 3 3 7 6" xfId="34469" xr:uid="{00000000-0005-0000-0000-0000A5860000}"/>
    <cellStyle name="Normal 55 3 3 8" xfId="34470" xr:uid="{00000000-0005-0000-0000-0000A6860000}"/>
    <cellStyle name="Normal 55 3 3 9" xfId="34471" xr:uid="{00000000-0005-0000-0000-0000A7860000}"/>
    <cellStyle name="Normal 55 3 4" xfId="34472" xr:uid="{00000000-0005-0000-0000-0000A8860000}"/>
    <cellStyle name="Normal 55 3 4 10" xfId="34473" xr:uid="{00000000-0005-0000-0000-0000A9860000}"/>
    <cellStyle name="Normal 55 3 4 11" xfId="34474" xr:uid="{00000000-0005-0000-0000-0000AA860000}"/>
    <cellStyle name="Normal 55 3 4 12" xfId="34475" xr:uid="{00000000-0005-0000-0000-0000AB860000}"/>
    <cellStyle name="Normal 55 3 4 2" xfId="34476" xr:uid="{00000000-0005-0000-0000-0000AC860000}"/>
    <cellStyle name="Normal 55 3 4 2 10" xfId="34477" xr:uid="{00000000-0005-0000-0000-0000AD860000}"/>
    <cellStyle name="Normal 55 3 4 2 11" xfId="34478" xr:uid="{00000000-0005-0000-0000-0000AE860000}"/>
    <cellStyle name="Normal 55 3 4 2 2" xfId="34479" xr:uid="{00000000-0005-0000-0000-0000AF860000}"/>
    <cellStyle name="Normal 55 3 4 2 2 2" xfId="34480" xr:uid="{00000000-0005-0000-0000-0000B0860000}"/>
    <cellStyle name="Normal 55 3 4 2 2 2 2" xfId="34481" xr:uid="{00000000-0005-0000-0000-0000B1860000}"/>
    <cellStyle name="Normal 55 3 4 2 2 2 3" xfId="34482" xr:uid="{00000000-0005-0000-0000-0000B2860000}"/>
    <cellStyle name="Normal 55 3 4 2 2 2 4" xfId="34483" xr:uid="{00000000-0005-0000-0000-0000B3860000}"/>
    <cellStyle name="Normal 55 3 4 2 2 2 5" xfId="34484" xr:uid="{00000000-0005-0000-0000-0000B4860000}"/>
    <cellStyle name="Normal 55 3 4 2 2 2 6" xfId="34485" xr:uid="{00000000-0005-0000-0000-0000B5860000}"/>
    <cellStyle name="Normal 55 3 4 2 2 3" xfId="34486" xr:uid="{00000000-0005-0000-0000-0000B6860000}"/>
    <cellStyle name="Normal 55 3 4 2 2 3 2" xfId="34487" xr:uid="{00000000-0005-0000-0000-0000B7860000}"/>
    <cellStyle name="Normal 55 3 4 2 2 3 3" xfId="34488" xr:uid="{00000000-0005-0000-0000-0000B8860000}"/>
    <cellStyle name="Normal 55 3 4 2 2 3 4" xfId="34489" xr:uid="{00000000-0005-0000-0000-0000B9860000}"/>
    <cellStyle name="Normal 55 3 4 2 2 3 5" xfId="34490" xr:uid="{00000000-0005-0000-0000-0000BA860000}"/>
    <cellStyle name="Normal 55 3 4 2 2 3 6" xfId="34491" xr:uid="{00000000-0005-0000-0000-0000BB860000}"/>
    <cellStyle name="Normal 55 3 4 2 2 4" xfId="34492" xr:uid="{00000000-0005-0000-0000-0000BC860000}"/>
    <cellStyle name="Normal 55 3 4 2 2 5" xfId="34493" xr:uid="{00000000-0005-0000-0000-0000BD860000}"/>
    <cellStyle name="Normal 55 3 4 2 2 6" xfId="34494" xr:uid="{00000000-0005-0000-0000-0000BE860000}"/>
    <cellStyle name="Normal 55 3 4 2 2 7" xfId="34495" xr:uid="{00000000-0005-0000-0000-0000BF860000}"/>
    <cellStyle name="Normal 55 3 4 2 2 8" xfId="34496" xr:uid="{00000000-0005-0000-0000-0000C0860000}"/>
    <cellStyle name="Normal 55 3 4 2 3" xfId="34497" xr:uid="{00000000-0005-0000-0000-0000C1860000}"/>
    <cellStyle name="Normal 55 3 4 2 3 2" xfId="34498" xr:uid="{00000000-0005-0000-0000-0000C2860000}"/>
    <cellStyle name="Normal 55 3 4 2 3 2 2" xfId="34499" xr:uid="{00000000-0005-0000-0000-0000C3860000}"/>
    <cellStyle name="Normal 55 3 4 2 3 2 3" xfId="34500" xr:uid="{00000000-0005-0000-0000-0000C4860000}"/>
    <cellStyle name="Normal 55 3 4 2 3 2 4" xfId="34501" xr:uid="{00000000-0005-0000-0000-0000C5860000}"/>
    <cellStyle name="Normal 55 3 4 2 3 2 5" xfId="34502" xr:uid="{00000000-0005-0000-0000-0000C6860000}"/>
    <cellStyle name="Normal 55 3 4 2 3 2 6" xfId="34503" xr:uid="{00000000-0005-0000-0000-0000C7860000}"/>
    <cellStyle name="Normal 55 3 4 2 3 3" xfId="34504" xr:uid="{00000000-0005-0000-0000-0000C8860000}"/>
    <cellStyle name="Normal 55 3 4 2 3 3 2" xfId="34505" xr:uid="{00000000-0005-0000-0000-0000C9860000}"/>
    <cellStyle name="Normal 55 3 4 2 3 3 3" xfId="34506" xr:uid="{00000000-0005-0000-0000-0000CA860000}"/>
    <cellStyle name="Normal 55 3 4 2 3 3 4" xfId="34507" xr:uid="{00000000-0005-0000-0000-0000CB860000}"/>
    <cellStyle name="Normal 55 3 4 2 3 3 5" xfId="34508" xr:uid="{00000000-0005-0000-0000-0000CC860000}"/>
    <cellStyle name="Normal 55 3 4 2 3 3 6" xfId="34509" xr:uid="{00000000-0005-0000-0000-0000CD860000}"/>
    <cellStyle name="Normal 55 3 4 2 3 4" xfId="34510" xr:uid="{00000000-0005-0000-0000-0000CE860000}"/>
    <cellStyle name="Normal 55 3 4 2 3 5" xfId="34511" xr:uid="{00000000-0005-0000-0000-0000CF860000}"/>
    <cellStyle name="Normal 55 3 4 2 3 6" xfId="34512" xr:uid="{00000000-0005-0000-0000-0000D0860000}"/>
    <cellStyle name="Normal 55 3 4 2 3 7" xfId="34513" xr:uid="{00000000-0005-0000-0000-0000D1860000}"/>
    <cellStyle name="Normal 55 3 4 2 3 8" xfId="34514" xr:uid="{00000000-0005-0000-0000-0000D2860000}"/>
    <cellStyle name="Normal 55 3 4 2 4" xfId="34515" xr:uid="{00000000-0005-0000-0000-0000D3860000}"/>
    <cellStyle name="Normal 55 3 4 2 4 2" xfId="34516" xr:uid="{00000000-0005-0000-0000-0000D4860000}"/>
    <cellStyle name="Normal 55 3 4 2 4 2 2" xfId="34517" xr:uid="{00000000-0005-0000-0000-0000D5860000}"/>
    <cellStyle name="Normal 55 3 4 2 4 2 3" xfId="34518" xr:uid="{00000000-0005-0000-0000-0000D6860000}"/>
    <cellStyle name="Normal 55 3 4 2 4 2 4" xfId="34519" xr:uid="{00000000-0005-0000-0000-0000D7860000}"/>
    <cellStyle name="Normal 55 3 4 2 4 2 5" xfId="34520" xr:uid="{00000000-0005-0000-0000-0000D8860000}"/>
    <cellStyle name="Normal 55 3 4 2 4 2 6" xfId="34521" xr:uid="{00000000-0005-0000-0000-0000D9860000}"/>
    <cellStyle name="Normal 55 3 4 2 4 3" xfId="34522" xr:uid="{00000000-0005-0000-0000-0000DA860000}"/>
    <cellStyle name="Normal 55 3 4 2 4 3 2" xfId="34523" xr:uid="{00000000-0005-0000-0000-0000DB860000}"/>
    <cellStyle name="Normal 55 3 4 2 4 3 3" xfId="34524" xr:uid="{00000000-0005-0000-0000-0000DC860000}"/>
    <cellStyle name="Normal 55 3 4 2 4 3 4" xfId="34525" xr:uid="{00000000-0005-0000-0000-0000DD860000}"/>
    <cellStyle name="Normal 55 3 4 2 4 3 5" xfId="34526" xr:uid="{00000000-0005-0000-0000-0000DE860000}"/>
    <cellStyle name="Normal 55 3 4 2 4 3 6" xfId="34527" xr:uid="{00000000-0005-0000-0000-0000DF860000}"/>
    <cellStyle name="Normal 55 3 4 2 4 4" xfId="34528" xr:uid="{00000000-0005-0000-0000-0000E0860000}"/>
    <cellStyle name="Normal 55 3 4 2 4 5" xfId="34529" xr:uid="{00000000-0005-0000-0000-0000E1860000}"/>
    <cellStyle name="Normal 55 3 4 2 4 6" xfId="34530" xr:uid="{00000000-0005-0000-0000-0000E2860000}"/>
    <cellStyle name="Normal 55 3 4 2 4 7" xfId="34531" xr:uid="{00000000-0005-0000-0000-0000E3860000}"/>
    <cellStyle name="Normal 55 3 4 2 4 8" xfId="34532" xr:uid="{00000000-0005-0000-0000-0000E4860000}"/>
    <cellStyle name="Normal 55 3 4 2 5" xfId="34533" xr:uid="{00000000-0005-0000-0000-0000E5860000}"/>
    <cellStyle name="Normal 55 3 4 2 5 2" xfId="34534" xr:uid="{00000000-0005-0000-0000-0000E6860000}"/>
    <cellStyle name="Normal 55 3 4 2 5 3" xfId="34535" xr:uid="{00000000-0005-0000-0000-0000E7860000}"/>
    <cellStyle name="Normal 55 3 4 2 5 4" xfId="34536" xr:uid="{00000000-0005-0000-0000-0000E8860000}"/>
    <cellStyle name="Normal 55 3 4 2 5 5" xfId="34537" xr:uid="{00000000-0005-0000-0000-0000E9860000}"/>
    <cellStyle name="Normal 55 3 4 2 5 6" xfId="34538" xr:uid="{00000000-0005-0000-0000-0000EA860000}"/>
    <cellStyle name="Normal 55 3 4 2 6" xfId="34539" xr:uid="{00000000-0005-0000-0000-0000EB860000}"/>
    <cellStyle name="Normal 55 3 4 2 6 2" xfId="34540" xr:uid="{00000000-0005-0000-0000-0000EC860000}"/>
    <cellStyle name="Normal 55 3 4 2 6 3" xfId="34541" xr:uid="{00000000-0005-0000-0000-0000ED860000}"/>
    <cellStyle name="Normal 55 3 4 2 6 4" xfId="34542" xr:uid="{00000000-0005-0000-0000-0000EE860000}"/>
    <cellStyle name="Normal 55 3 4 2 6 5" xfId="34543" xr:uid="{00000000-0005-0000-0000-0000EF860000}"/>
    <cellStyle name="Normal 55 3 4 2 6 6" xfId="34544" xr:uid="{00000000-0005-0000-0000-0000F0860000}"/>
    <cellStyle name="Normal 55 3 4 2 7" xfId="34545" xr:uid="{00000000-0005-0000-0000-0000F1860000}"/>
    <cellStyle name="Normal 55 3 4 2 8" xfId="34546" xr:uid="{00000000-0005-0000-0000-0000F2860000}"/>
    <cellStyle name="Normal 55 3 4 2 9" xfId="34547" xr:uid="{00000000-0005-0000-0000-0000F3860000}"/>
    <cellStyle name="Normal 55 3 4 3" xfId="34548" xr:uid="{00000000-0005-0000-0000-0000F4860000}"/>
    <cellStyle name="Normal 55 3 4 3 2" xfId="34549" xr:uid="{00000000-0005-0000-0000-0000F5860000}"/>
    <cellStyle name="Normal 55 3 4 3 2 2" xfId="34550" xr:uid="{00000000-0005-0000-0000-0000F6860000}"/>
    <cellStyle name="Normal 55 3 4 3 2 3" xfId="34551" xr:uid="{00000000-0005-0000-0000-0000F7860000}"/>
    <cellStyle name="Normal 55 3 4 3 2 4" xfId="34552" xr:uid="{00000000-0005-0000-0000-0000F8860000}"/>
    <cellStyle name="Normal 55 3 4 3 2 5" xfId="34553" xr:uid="{00000000-0005-0000-0000-0000F9860000}"/>
    <cellStyle name="Normal 55 3 4 3 2 6" xfId="34554" xr:uid="{00000000-0005-0000-0000-0000FA860000}"/>
    <cellStyle name="Normal 55 3 4 3 3" xfId="34555" xr:uid="{00000000-0005-0000-0000-0000FB860000}"/>
    <cellStyle name="Normal 55 3 4 3 3 2" xfId="34556" xr:uid="{00000000-0005-0000-0000-0000FC860000}"/>
    <cellStyle name="Normal 55 3 4 3 3 3" xfId="34557" xr:uid="{00000000-0005-0000-0000-0000FD860000}"/>
    <cellStyle name="Normal 55 3 4 3 3 4" xfId="34558" xr:uid="{00000000-0005-0000-0000-0000FE860000}"/>
    <cellStyle name="Normal 55 3 4 3 3 5" xfId="34559" xr:uid="{00000000-0005-0000-0000-0000FF860000}"/>
    <cellStyle name="Normal 55 3 4 3 3 6" xfId="34560" xr:uid="{00000000-0005-0000-0000-000000870000}"/>
    <cellStyle name="Normal 55 3 4 3 4" xfId="34561" xr:uid="{00000000-0005-0000-0000-000001870000}"/>
    <cellStyle name="Normal 55 3 4 3 5" xfId="34562" xr:uid="{00000000-0005-0000-0000-000002870000}"/>
    <cellStyle name="Normal 55 3 4 3 6" xfId="34563" xr:uid="{00000000-0005-0000-0000-000003870000}"/>
    <cellStyle name="Normal 55 3 4 3 7" xfId="34564" xr:uid="{00000000-0005-0000-0000-000004870000}"/>
    <cellStyle name="Normal 55 3 4 3 8" xfId="34565" xr:uid="{00000000-0005-0000-0000-000005870000}"/>
    <cellStyle name="Normal 55 3 4 4" xfId="34566" xr:uid="{00000000-0005-0000-0000-000006870000}"/>
    <cellStyle name="Normal 55 3 4 4 2" xfId="34567" xr:uid="{00000000-0005-0000-0000-000007870000}"/>
    <cellStyle name="Normal 55 3 4 4 2 2" xfId="34568" xr:uid="{00000000-0005-0000-0000-000008870000}"/>
    <cellStyle name="Normal 55 3 4 4 2 3" xfId="34569" xr:uid="{00000000-0005-0000-0000-000009870000}"/>
    <cellStyle name="Normal 55 3 4 4 2 4" xfId="34570" xr:uid="{00000000-0005-0000-0000-00000A870000}"/>
    <cellStyle name="Normal 55 3 4 4 2 5" xfId="34571" xr:uid="{00000000-0005-0000-0000-00000B870000}"/>
    <cellStyle name="Normal 55 3 4 4 2 6" xfId="34572" xr:uid="{00000000-0005-0000-0000-00000C870000}"/>
    <cellStyle name="Normal 55 3 4 4 3" xfId="34573" xr:uid="{00000000-0005-0000-0000-00000D870000}"/>
    <cellStyle name="Normal 55 3 4 4 3 2" xfId="34574" xr:uid="{00000000-0005-0000-0000-00000E870000}"/>
    <cellStyle name="Normal 55 3 4 4 3 3" xfId="34575" xr:uid="{00000000-0005-0000-0000-00000F870000}"/>
    <cellStyle name="Normal 55 3 4 4 3 4" xfId="34576" xr:uid="{00000000-0005-0000-0000-000010870000}"/>
    <cellStyle name="Normal 55 3 4 4 3 5" xfId="34577" xr:uid="{00000000-0005-0000-0000-000011870000}"/>
    <cellStyle name="Normal 55 3 4 4 3 6" xfId="34578" xr:uid="{00000000-0005-0000-0000-000012870000}"/>
    <cellStyle name="Normal 55 3 4 4 4" xfId="34579" xr:uid="{00000000-0005-0000-0000-000013870000}"/>
    <cellStyle name="Normal 55 3 4 4 5" xfId="34580" xr:uid="{00000000-0005-0000-0000-000014870000}"/>
    <cellStyle name="Normal 55 3 4 4 6" xfId="34581" xr:uid="{00000000-0005-0000-0000-000015870000}"/>
    <cellStyle name="Normal 55 3 4 4 7" xfId="34582" xr:uid="{00000000-0005-0000-0000-000016870000}"/>
    <cellStyle name="Normal 55 3 4 4 8" xfId="34583" xr:uid="{00000000-0005-0000-0000-000017870000}"/>
    <cellStyle name="Normal 55 3 4 5" xfId="34584" xr:uid="{00000000-0005-0000-0000-000018870000}"/>
    <cellStyle name="Normal 55 3 4 5 2" xfId="34585" xr:uid="{00000000-0005-0000-0000-000019870000}"/>
    <cellStyle name="Normal 55 3 4 5 2 2" xfId="34586" xr:uid="{00000000-0005-0000-0000-00001A870000}"/>
    <cellStyle name="Normal 55 3 4 5 2 3" xfId="34587" xr:uid="{00000000-0005-0000-0000-00001B870000}"/>
    <cellStyle name="Normal 55 3 4 5 2 4" xfId="34588" xr:uid="{00000000-0005-0000-0000-00001C870000}"/>
    <cellStyle name="Normal 55 3 4 5 2 5" xfId="34589" xr:uid="{00000000-0005-0000-0000-00001D870000}"/>
    <cellStyle name="Normal 55 3 4 5 2 6" xfId="34590" xr:uid="{00000000-0005-0000-0000-00001E870000}"/>
    <cellStyle name="Normal 55 3 4 5 3" xfId="34591" xr:uid="{00000000-0005-0000-0000-00001F870000}"/>
    <cellStyle name="Normal 55 3 4 5 3 2" xfId="34592" xr:uid="{00000000-0005-0000-0000-000020870000}"/>
    <cellStyle name="Normal 55 3 4 5 3 3" xfId="34593" xr:uid="{00000000-0005-0000-0000-000021870000}"/>
    <cellStyle name="Normal 55 3 4 5 3 4" xfId="34594" xr:uid="{00000000-0005-0000-0000-000022870000}"/>
    <cellStyle name="Normal 55 3 4 5 3 5" xfId="34595" xr:uid="{00000000-0005-0000-0000-000023870000}"/>
    <cellStyle name="Normal 55 3 4 5 3 6" xfId="34596" xr:uid="{00000000-0005-0000-0000-000024870000}"/>
    <cellStyle name="Normal 55 3 4 5 4" xfId="34597" xr:uid="{00000000-0005-0000-0000-000025870000}"/>
    <cellStyle name="Normal 55 3 4 5 5" xfId="34598" xr:uid="{00000000-0005-0000-0000-000026870000}"/>
    <cellStyle name="Normal 55 3 4 5 6" xfId="34599" xr:uid="{00000000-0005-0000-0000-000027870000}"/>
    <cellStyle name="Normal 55 3 4 5 7" xfId="34600" xr:uid="{00000000-0005-0000-0000-000028870000}"/>
    <cellStyle name="Normal 55 3 4 5 8" xfId="34601" xr:uid="{00000000-0005-0000-0000-000029870000}"/>
    <cellStyle name="Normal 55 3 4 6" xfId="34602" xr:uid="{00000000-0005-0000-0000-00002A870000}"/>
    <cellStyle name="Normal 55 3 4 6 2" xfId="34603" xr:uid="{00000000-0005-0000-0000-00002B870000}"/>
    <cellStyle name="Normal 55 3 4 6 3" xfId="34604" xr:uid="{00000000-0005-0000-0000-00002C870000}"/>
    <cellStyle name="Normal 55 3 4 6 4" xfId="34605" xr:uid="{00000000-0005-0000-0000-00002D870000}"/>
    <cellStyle name="Normal 55 3 4 6 5" xfId="34606" xr:uid="{00000000-0005-0000-0000-00002E870000}"/>
    <cellStyle name="Normal 55 3 4 6 6" xfId="34607" xr:uid="{00000000-0005-0000-0000-00002F870000}"/>
    <cellStyle name="Normal 55 3 4 7" xfId="34608" xr:uid="{00000000-0005-0000-0000-000030870000}"/>
    <cellStyle name="Normal 55 3 4 7 2" xfId="34609" xr:uid="{00000000-0005-0000-0000-000031870000}"/>
    <cellStyle name="Normal 55 3 4 7 3" xfId="34610" xr:uid="{00000000-0005-0000-0000-000032870000}"/>
    <cellStyle name="Normal 55 3 4 7 4" xfId="34611" xr:uid="{00000000-0005-0000-0000-000033870000}"/>
    <cellStyle name="Normal 55 3 4 7 5" xfId="34612" xr:uid="{00000000-0005-0000-0000-000034870000}"/>
    <cellStyle name="Normal 55 3 4 7 6" xfId="34613" xr:uid="{00000000-0005-0000-0000-000035870000}"/>
    <cellStyle name="Normal 55 3 4 8" xfId="34614" xr:uid="{00000000-0005-0000-0000-000036870000}"/>
    <cellStyle name="Normal 55 3 4 9" xfId="34615" xr:uid="{00000000-0005-0000-0000-000037870000}"/>
    <cellStyle name="Normal 55 3 5" xfId="34616" xr:uid="{00000000-0005-0000-0000-000038870000}"/>
    <cellStyle name="Normal 55 3 5 10" xfId="34617" xr:uid="{00000000-0005-0000-0000-000039870000}"/>
    <cellStyle name="Normal 55 3 5 11" xfId="34618" xr:uid="{00000000-0005-0000-0000-00003A870000}"/>
    <cellStyle name="Normal 55 3 5 2" xfId="34619" xr:uid="{00000000-0005-0000-0000-00003B870000}"/>
    <cellStyle name="Normal 55 3 5 2 2" xfId="34620" xr:uid="{00000000-0005-0000-0000-00003C870000}"/>
    <cellStyle name="Normal 55 3 5 2 2 2" xfId="34621" xr:uid="{00000000-0005-0000-0000-00003D870000}"/>
    <cellStyle name="Normal 55 3 5 2 2 3" xfId="34622" xr:uid="{00000000-0005-0000-0000-00003E870000}"/>
    <cellStyle name="Normal 55 3 5 2 2 4" xfId="34623" xr:uid="{00000000-0005-0000-0000-00003F870000}"/>
    <cellStyle name="Normal 55 3 5 2 2 5" xfId="34624" xr:uid="{00000000-0005-0000-0000-000040870000}"/>
    <cellStyle name="Normal 55 3 5 2 2 6" xfId="34625" xr:uid="{00000000-0005-0000-0000-000041870000}"/>
    <cellStyle name="Normal 55 3 5 2 3" xfId="34626" xr:uid="{00000000-0005-0000-0000-000042870000}"/>
    <cellStyle name="Normal 55 3 5 2 3 2" xfId="34627" xr:uid="{00000000-0005-0000-0000-000043870000}"/>
    <cellStyle name="Normal 55 3 5 2 3 3" xfId="34628" xr:uid="{00000000-0005-0000-0000-000044870000}"/>
    <cellStyle name="Normal 55 3 5 2 3 4" xfId="34629" xr:uid="{00000000-0005-0000-0000-000045870000}"/>
    <cellStyle name="Normal 55 3 5 2 3 5" xfId="34630" xr:uid="{00000000-0005-0000-0000-000046870000}"/>
    <cellStyle name="Normal 55 3 5 2 3 6" xfId="34631" xr:uid="{00000000-0005-0000-0000-000047870000}"/>
    <cellStyle name="Normal 55 3 5 2 4" xfId="34632" xr:uid="{00000000-0005-0000-0000-000048870000}"/>
    <cellStyle name="Normal 55 3 5 2 5" xfId="34633" xr:uid="{00000000-0005-0000-0000-000049870000}"/>
    <cellStyle name="Normal 55 3 5 2 6" xfId="34634" xr:uid="{00000000-0005-0000-0000-00004A870000}"/>
    <cellStyle name="Normal 55 3 5 2 7" xfId="34635" xr:uid="{00000000-0005-0000-0000-00004B870000}"/>
    <cellStyle name="Normal 55 3 5 2 8" xfId="34636" xr:uid="{00000000-0005-0000-0000-00004C870000}"/>
    <cellStyle name="Normal 55 3 5 3" xfId="34637" xr:uid="{00000000-0005-0000-0000-00004D870000}"/>
    <cellStyle name="Normal 55 3 5 3 2" xfId="34638" xr:uid="{00000000-0005-0000-0000-00004E870000}"/>
    <cellStyle name="Normal 55 3 5 3 2 2" xfId="34639" xr:uid="{00000000-0005-0000-0000-00004F870000}"/>
    <cellStyle name="Normal 55 3 5 3 2 3" xfId="34640" xr:uid="{00000000-0005-0000-0000-000050870000}"/>
    <cellStyle name="Normal 55 3 5 3 2 4" xfId="34641" xr:uid="{00000000-0005-0000-0000-000051870000}"/>
    <cellStyle name="Normal 55 3 5 3 2 5" xfId="34642" xr:uid="{00000000-0005-0000-0000-000052870000}"/>
    <cellStyle name="Normal 55 3 5 3 2 6" xfId="34643" xr:uid="{00000000-0005-0000-0000-000053870000}"/>
    <cellStyle name="Normal 55 3 5 3 3" xfId="34644" xr:uid="{00000000-0005-0000-0000-000054870000}"/>
    <cellStyle name="Normal 55 3 5 3 3 2" xfId="34645" xr:uid="{00000000-0005-0000-0000-000055870000}"/>
    <cellStyle name="Normal 55 3 5 3 3 3" xfId="34646" xr:uid="{00000000-0005-0000-0000-000056870000}"/>
    <cellStyle name="Normal 55 3 5 3 3 4" xfId="34647" xr:uid="{00000000-0005-0000-0000-000057870000}"/>
    <cellStyle name="Normal 55 3 5 3 3 5" xfId="34648" xr:uid="{00000000-0005-0000-0000-000058870000}"/>
    <cellStyle name="Normal 55 3 5 3 3 6" xfId="34649" xr:uid="{00000000-0005-0000-0000-000059870000}"/>
    <cellStyle name="Normal 55 3 5 3 4" xfId="34650" xr:uid="{00000000-0005-0000-0000-00005A870000}"/>
    <cellStyle name="Normal 55 3 5 3 5" xfId="34651" xr:uid="{00000000-0005-0000-0000-00005B870000}"/>
    <cellStyle name="Normal 55 3 5 3 6" xfId="34652" xr:uid="{00000000-0005-0000-0000-00005C870000}"/>
    <cellStyle name="Normal 55 3 5 3 7" xfId="34653" xr:uid="{00000000-0005-0000-0000-00005D870000}"/>
    <cellStyle name="Normal 55 3 5 3 8" xfId="34654" xr:uid="{00000000-0005-0000-0000-00005E870000}"/>
    <cellStyle name="Normal 55 3 5 4" xfId="34655" xr:uid="{00000000-0005-0000-0000-00005F870000}"/>
    <cellStyle name="Normal 55 3 5 4 2" xfId="34656" xr:uid="{00000000-0005-0000-0000-000060870000}"/>
    <cellStyle name="Normal 55 3 5 4 2 2" xfId="34657" xr:uid="{00000000-0005-0000-0000-000061870000}"/>
    <cellStyle name="Normal 55 3 5 4 2 3" xfId="34658" xr:uid="{00000000-0005-0000-0000-000062870000}"/>
    <cellStyle name="Normal 55 3 5 4 2 4" xfId="34659" xr:uid="{00000000-0005-0000-0000-000063870000}"/>
    <cellStyle name="Normal 55 3 5 4 2 5" xfId="34660" xr:uid="{00000000-0005-0000-0000-000064870000}"/>
    <cellStyle name="Normal 55 3 5 4 2 6" xfId="34661" xr:uid="{00000000-0005-0000-0000-000065870000}"/>
    <cellStyle name="Normal 55 3 5 4 3" xfId="34662" xr:uid="{00000000-0005-0000-0000-000066870000}"/>
    <cellStyle name="Normal 55 3 5 4 3 2" xfId="34663" xr:uid="{00000000-0005-0000-0000-000067870000}"/>
    <cellStyle name="Normal 55 3 5 4 3 3" xfId="34664" xr:uid="{00000000-0005-0000-0000-000068870000}"/>
    <cellStyle name="Normal 55 3 5 4 3 4" xfId="34665" xr:uid="{00000000-0005-0000-0000-000069870000}"/>
    <cellStyle name="Normal 55 3 5 4 3 5" xfId="34666" xr:uid="{00000000-0005-0000-0000-00006A870000}"/>
    <cellStyle name="Normal 55 3 5 4 3 6" xfId="34667" xr:uid="{00000000-0005-0000-0000-00006B870000}"/>
    <cellStyle name="Normal 55 3 5 4 4" xfId="34668" xr:uid="{00000000-0005-0000-0000-00006C870000}"/>
    <cellStyle name="Normal 55 3 5 4 5" xfId="34669" xr:uid="{00000000-0005-0000-0000-00006D870000}"/>
    <cellStyle name="Normal 55 3 5 4 6" xfId="34670" xr:uid="{00000000-0005-0000-0000-00006E870000}"/>
    <cellStyle name="Normal 55 3 5 4 7" xfId="34671" xr:uid="{00000000-0005-0000-0000-00006F870000}"/>
    <cellStyle name="Normal 55 3 5 4 8" xfId="34672" xr:uid="{00000000-0005-0000-0000-000070870000}"/>
    <cellStyle name="Normal 55 3 5 5" xfId="34673" xr:uid="{00000000-0005-0000-0000-000071870000}"/>
    <cellStyle name="Normal 55 3 5 5 2" xfId="34674" xr:uid="{00000000-0005-0000-0000-000072870000}"/>
    <cellStyle name="Normal 55 3 5 5 3" xfId="34675" xr:uid="{00000000-0005-0000-0000-000073870000}"/>
    <cellStyle name="Normal 55 3 5 5 4" xfId="34676" xr:uid="{00000000-0005-0000-0000-000074870000}"/>
    <cellStyle name="Normal 55 3 5 5 5" xfId="34677" xr:uid="{00000000-0005-0000-0000-000075870000}"/>
    <cellStyle name="Normal 55 3 5 5 6" xfId="34678" xr:uid="{00000000-0005-0000-0000-000076870000}"/>
    <cellStyle name="Normal 55 3 5 6" xfId="34679" xr:uid="{00000000-0005-0000-0000-000077870000}"/>
    <cellStyle name="Normal 55 3 5 6 2" xfId="34680" xr:uid="{00000000-0005-0000-0000-000078870000}"/>
    <cellStyle name="Normal 55 3 5 6 3" xfId="34681" xr:uid="{00000000-0005-0000-0000-000079870000}"/>
    <cellStyle name="Normal 55 3 5 6 4" xfId="34682" xr:uid="{00000000-0005-0000-0000-00007A870000}"/>
    <cellStyle name="Normal 55 3 5 6 5" xfId="34683" xr:uid="{00000000-0005-0000-0000-00007B870000}"/>
    <cellStyle name="Normal 55 3 5 6 6" xfId="34684" xr:uid="{00000000-0005-0000-0000-00007C870000}"/>
    <cellStyle name="Normal 55 3 5 7" xfId="34685" xr:uid="{00000000-0005-0000-0000-00007D870000}"/>
    <cellStyle name="Normal 55 3 5 8" xfId="34686" xr:uid="{00000000-0005-0000-0000-00007E870000}"/>
    <cellStyle name="Normal 55 3 5 9" xfId="34687" xr:uid="{00000000-0005-0000-0000-00007F870000}"/>
    <cellStyle name="Normal 55 3 6" xfId="34688" xr:uid="{00000000-0005-0000-0000-000080870000}"/>
    <cellStyle name="Normal 55 3 6 2" xfId="34689" xr:uid="{00000000-0005-0000-0000-000081870000}"/>
    <cellStyle name="Normal 55 3 6 2 2" xfId="34690" xr:uid="{00000000-0005-0000-0000-000082870000}"/>
    <cellStyle name="Normal 55 3 6 2 3" xfId="34691" xr:uid="{00000000-0005-0000-0000-000083870000}"/>
    <cellStyle name="Normal 55 3 6 2 4" xfId="34692" xr:uid="{00000000-0005-0000-0000-000084870000}"/>
    <cellStyle name="Normal 55 3 6 2 5" xfId="34693" xr:uid="{00000000-0005-0000-0000-000085870000}"/>
    <cellStyle name="Normal 55 3 6 2 6" xfId="34694" xr:uid="{00000000-0005-0000-0000-000086870000}"/>
    <cellStyle name="Normal 55 3 6 3" xfId="34695" xr:uid="{00000000-0005-0000-0000-000087870000}"/>
    <cellStyle name="Normal 55 3 6 3 2" xfId="34696" xr:uid="{00000000-0005-0000-0000-000088870000}"/>
    <cellStyle name="Normal 55 3 6 3 3" xfId="34697" xr:uid="{00000000-0005-0000-0000-000089870000}"/>
    <cellStyle name="Normal 55 3 6 3 4" xfId="34698" xr:uid="{00000000-0005-0000-0000-00008A870000}"/>
    <cellStyle name="Normal 55 3 6 3 5" xfId="34699" xr:uid="{00000000-0005-0000-0000-00008B870000}"/>
    <cellStyle name="Normal 55 3 6 3 6" xfId="34700" xr:uid="{00000000-0005-0000-0000-00008C870000}"/>
    <cellStyle name="Normal 55 3 6 4" xfId="34701" xr:uid="{00000000-0005-0000-0000-00008D870000}"/>
    <cellStyle name="Normal 55 3 6 5" xfId="34702" xr:uid="{00000000-0005-0000-0000-00008E870000}"/>
    <cellStyle name="Normal 55 3 6 6" xfId="34703" xr:uid="{00000000-0005-0000-0000-00008F870000}"/>
    <cellStyle name="Normal 55 3 6 7" xfId="34704" xr:uid="{00000000-0005-0000-0000-000090870000}"/>
    <cellStyle name="Normal 55 3 6 8" xfId="34705" xr:uid="{00000000-0005-0000-0000-000091870000}"/>
    <cellStyle name="Normal 55 3 7" xfId="34706" xr:uid="{00000000-0005-0000-0000-000092870000}"/>
    <cellStyle name="Normal 55 3 7 2" xfId="34707" xr:uid="{00000000-0005-0000-0000-000093870000}"/>
    <cellStyle name="Normal 55 3 7 2 2" xfId="34708" xr:uid="{00000000-0005-0000-0000-000094870000}"/>
    <cellStyle name="Normal 55 3 7 2 3" xfId="34709" xr:uid="{00000000-0005-0000-0000-000095870000}"/>
    <cellStyle name="Normal 55 3 7 2 4" xfId="34710" xr:uid="{00000000-0005-0000-0000-000096870000}"/>
    <cellStyle name="Normal 55 3 7 2 5" xfId="34711" xr:uid="{00000000-0005-0000-0000-000097870000}"/>
    <cellStyle name="Normal 55 3 7 2 6" xfId="34712" xr:uid="{00000000-0005-0000-0000-000098870000}"/>
    <cellStyle name="Normal 55 3 7 3" xfId="34713" xr:uid="{00000000-0005-0000-0000-000099870000}"/>
    <cellStyle name="Normal 55 3 7 3 2" xfId="34714" xr:uid="{00000000-0005-0000-0000-00009A870000}"/>
    <cellStyle name="Normal 55 3 7 3 3" xfId="34715" xr:uid="{00000000-0005-0000-0000-00009B870000}"/>
    <cellStyle name="Normal 55 3 7 3 4" xfId="34716" xr:uid="{00000000-0005-0000-0000-00009C870000}"/>
    <cellStyle name="Normal 55 3 7 3 5" xfId="34717" xr:uid="{00000000-0005-0000-0000-00009D870000}"/>
    <cellStyle name="Normal 55 3 7 3 6" xfId="34718" xr:uid="{00000000-0005-0000-0000-00009E870000}"/>
    <cellStyle name="Normal 55 3 7 4" xfId="34719" xr:uid="{00000000-0005-0000-0000-00009F870000}"/>
    <cellStyle name="Normal 55 3 7 5" xfId="34720" xr:uid="{00000000-0005-0000-0000-0000A0870000}"/>
    <cellStyle name="Normal 55 3 7 6" xfId="34721" xr:uid="{00000000-0005-0000-0000-0000A1870000}"/>
    <cellStyle name="Normal 55 3 7 7" xfId="34722" xr:uid="{00000000-0005-0000-0000-0000A2870000}"/>
    <cellStyle name="Normal 55 3 7 8" xfId="34723" xr:uid="{00000000-0005-0000-0000-0000A3870000}"/>
    <cellStyle name="Normal 55 3 8" xfId="34724" xr:uid="{00000000-0005-0000-0000-0000A4870000}"/>
    <cellStyle name="Normal 55 3 8 2" xfId="34725" xr:uid="{00000000-0005-0000-0000-0000A5870000}"/>
    <cellStyle name="Normal 55 3 8 2 2" xfId="34726" xr:uid="{00000000-0005-0000-0000-0000A6870000}"/>
    <cellStyle name="Normal 55 3 8 2 3" xfId="34727" xr:uid="{00000000-0005-0000-0000-0000A7870000}"/>
    <cellStyle name="Normal 55 3 8 2 4" xfId="34728" xr:uid="{00000000-0005-0000-0000-0000A8870000}"/>
    <cellStyle name="Normal 55 3 8 2 5" xfId="34729" xr:uid="{00000000-0005-0000-0000-0000A9870000}"/>
    <cellStyle name="Normal 55 3 8 2 6" xfId="34730" xr:uid="{00000000-0005-0000-0000-0000AA870000}"/>
    <cellStyle name="Normal 55 3 8 3" xfId="34731" xr:uid="{00000000-0005-0000-0000-0000AB870000}"/>
    <cellStyle name="Normal 55 3 8 3 2" xfId="34732" xr:uid="{00000000-0005-0000-0000-0000AC870000}"/>
    <cellStyle name="Normal 55 3 8 3 3" xfId="34733" xr:uid="{00000000-0005-0000-0000-0000AD870000}"/>
    <cellStyle name="Normal 55 3 8 3 4" xfId="34734" xr:uid="{00000000-0005-0000-0000-0000AE870000}"/>
    <cellStyle name="Normal 55 3 8 3 5" xfId="34735" xr:uid="{00000000-0005-0000-0000-0000AF870000}"/>
    <cellStyle name="Normal 55 3 8 3 6" xfId="34736" xr:uid="{00000000-0005-0000-0000-0000B0870000}"/>
    <cellStyle name="Normal 55 3 8 4" xfId="34737" xr:uid="{00000000-0005-0000-0000-0000B1870000}"/>
    <cellStyle name="Normal 55 3 8 5" xfId="34738" xr:uid="{00000000-0005-0000-0000-0000B2870000}"/>
    <cellStyle name="Normal 55 3 8 6" xfId="34739" xr:uid="{00000000-0005-0000-0000-0000B3870000}"/>
    <cellStyle name="Normal 55 3 8 7" xfId="34740" xr:uid="{00000000-0005-0000-0000-0000B4870000}"/>
    <cellStyle name="Normal 55 3 8 8" xfId="34741" xr:uid="{00000000-0005-0000-0000-0000B5870000}"/>
    <cellStyle name="Normal 55 3 9" xfId="34742" xr:uid="{00000000-0005-0000-0000-0000B6870000}"/>
    <cellStyle name="Normal 55 3 9 2" xfId="34743" xr:uid="{00000000-0005-0000-0000-0000B7870000}"/>
    <cellStyle name="Normal 55 3 9 3" xfId="34744" xr:uid="{00000000-0005-0000-0000-0000B8870000}"/>
    <cellStyle name="Normal 55 3 9 4" xfId="34745" xr:uid="{00000000-0005-0000-0000-0000B9870000}"/>
    <cellStyle name="Normal 55 3 9 5" xfId="34746" xr:uid="{00000000-0005-0000-0000-0000BA870000}"/>
    <cellStyle name="Normal 55 3 9 6" xfId="34747" xr:uid="{00000000-0005-0000-0000-0000BB870000}"/>
    <cellStyle name="Normal 55 4" xfId="34748" xr:uid="{00000000-0005-0000-0000-0000BC870000}"/>
    <cellStyle name="Normal 55 4 10" xfId="34749" xr:uid="{00000000-0005-0000-0000-0000BD870000}"/>
    <cellStyle name="Normal 55 4 11" xfId="34750" xr:uid="{00000000-0005-0000-0000-0000BE870000}"/>
    <cellStyle name="Normal 55 4 12" xfId="34751" xr:uid="{00000000-0005-0000-0000-0000BF870000}"/>
    <cellStyle name="Normal 55 4 13" xfId="34752" xr:uid="{00000000-0005-0000-0000-0000C0870000}"/>
    <cellStyle name="Normal 55 4 14" xfId="34753" xr:uid="{00000000-0005-0000-0000-0000C1870000}"/>
    <cellStyle name="Normal 55 4 2" xfId="34754" xr:uid="{00000000-0005-0000-0000-0000C2870000}"/>
    <cellStyle name="Normal 55 4 2 10" xfId="34755" xr:uid="{00000000-0005-0000-0000-0000C3870000}"/>
    <cellStyle name="Normal 55 4 2 11" xfId="34756" xr:uid="{00000000-0005-0000-0000-0000C4870000}"/>
    <cellStyle name="Normal 55 4 2 12" xfId="34757" xr:uid="{00000000-0005-0000-0000-0000C5870000}"/>
    <cellStyle name="Normal 55 4 2 2" xfId="34758" xr:uid="{00000000-0005-0000-0000-0000C6870000}"/>
    <cellStyle name="Normal 55 4 2 2 10" xfId="34759" xr:uid="{00000000-0005-0000-0000-0000C7870000}"/>
    <cellStyle name="Normal 55 4 2 2 11" xfId="34760" xr:uid="{00000000-0005-0000-0000-0000C8870000}"/>
    <cellStyle name="Normal 55 4 2 2 2" xfId="34761" xr:uid="{00000000-0005-0000-0000-0000C9870000}"/>
    <cellStyle name="Normal 55 4 2 2 2 2" xfId="34762" xr:uid="{00000000-0005-0000-0000-0000CA870000}"/>
    <cellStyle name="Normal 55 4 2 2 2 2 2" xfId="34763" xr:uid="{00000000-0005-0000-0000-0000CB870000}"/>
    <cellStyle name="Normal 55 4 2 2 2 2 3" xfId="34764" xr:uid="{00000000-0005-0000-0000-0000CC870000}"/>
    <cellStyle name="Normal 55 4 2 2 2 2 4" xfId="34765" xr:uid="{00000000-0005-0000-0000-0000CD870000}"/>
    <cellStyle name="Normal 55 4 2 2 2 2 5" xfId="34766" xr:uid="{00000000-0005-0000-0000-0000CE870000}"/>
    <cellStyle name="Normal 55 4 2 2 2 2 6" xfId="34767" xr:uid="{00000000-0005-0000-0000-0000CF870000}"/>
    <cellStyle name="Normal 55 4 2 2 2 3" xfId="34768" xr:uid="{00000000-0005-0000-0000-0000D0870000}"/>
    <cellStyle name="Normal 55 4 2 2 2 3 2" xfId="34769" xr:uid="{00000000-0005-0000-0000-0000D1870000}"/>
    <cellStyle name="Normal 55 4 2 2 2 3 3" xfId="34770" xr:uid="{00000000-0005-0000-0000-0000D2870000}"/>
    <cellStyle name="Normal 55 4 2 2 2 3 4" xfId="34771" xr:uid="{00000000-0005-0000-0000-0000D3870000}"/>
    <cellStyle name="Normal 55 4 2 2 2 3 5" xfId="34772" xr:uid="{00000000-0005-0000-0000-0000D4870000}"/>
    <cellStyle name="Normal 55 4 2 2 2 3 6" xfId="34773" xr:uid="{00000000-0005-0000-0000-0000D5870000}"/>
    <cellStyle name="Normal 55 4 2 2 2 4" xfId="34774" xr:uid="{00000000-0005-0000-0000-0000D6870000}"/>
    <cellStyle name="Normal 55 4 2 2 2 5" xfId="34775" xr:uid="{00000000-0005-0000-0000-0000D7870000}"/>
    <cellStyle name="Normal 55 4 2 2 2 6" xfId="34776" xr:uid="{00000000-0005-0000-0000-0000D8870000}"/>
    <cellStyle name="Normal 55 4 2 2 2 7" xfId="34777" xr:uid="{00000000-0005-0000-0000-0000D9870000}"/>
    <cellStyle name="Normal 55 4 2 2 2 8" xfId="34778" xr:uid="{00000000-0005-0000-0000-0000DA870000}"/>
    <cellStyle name="Normal 55 4 2 2 3" xfId="34779" xr:uid="{00000000-0005-0000-0000-0000DB870000}"/>
    <cellStyle name="Normal 55 4 2 2 3 2" xfId="34780" xr:uid="{00000000-0005-0000-0000-0000DC870000}"/>
    <cellStyle name="Normal 55 4 2 2 3 2 2" xfId="34781" xr:uid="{00000000-0005-0000-0000-0000DD870000}"/>
    <cellStyle name="Normal 55 4 2 2 3 2 3" xfId="34782" xr:uid="{00000000-0005-0000-0000-0000DE870000}"/>
    <cellStyle name="Normal 55 4 2 2 3 2 4" xfId="34783" xr:uid="{00000000-0005-0000-0000-0000DF870000}"/>
    <cellStyle name="Normal 55 4 2 2 3 2 5" xfId="34784" xr:uid="{00000000-0005-0000-0000-0000E0870000}"/>
    <cellStyle name="Normal 55 4 2 2 3 2 6" xfId="34785" xr:uid="{00000000-0005-0000-0000-0000E1870000}"/>
    <cellStyle name="Normal 55 4 2 2 3 3" xfId="34786" xr:uid="{00000000-0005-0000-0000-0000E2870000}"/>
    <cellStyle name="Normal 55 4 2 2 3 3 2" xfId="34787" xr:uid="{00000000-0005-0000-0000-0000E3870000}"/>
    <cellStyle name="Normal 55 4 2 2 3 3 3" xfId="34788" xr:uid="{00000000-0005-0000-0000-0000E4870000}"/>
    <cellStyle name="Normal 55 4 2 2 3 3 4" xfId="34789" xr:uid="{00000000-0005-0000-0000-0000E5870000}"/>
    <cellStyle name="Normal 55 4 2 2 3 3 5" xfId="34790" xr:uid="{00000000-0005-0000-0000-0000E6870000}"/>
    <cellStyle name="Normal 55 4 2 2 3 3 6" xfId="34791" xr:uid="{00000000-0005-0000-0000-0000E7870000}"/>
    <cellStyle name="Normal 55 4 2 2 3 4" xfId="34792" xr:uid="{00000000-0005-0000-0000-0000E8870000}"/>
    <cellStyle name="Normal 55 4 2 2 3 5" xfId="34793" xr:uid="{00000000-0005-0000-0000-0000E9870000}"/>
    <cellStyle name="Normal 55 4 2 2 3 6" xfId="34794" xr:uid="{00000000-0005-0000-0000-0000EA870000}"/>
    <cellStyle name="Normal 55 4 2 2 3 7" xfId="34795" xr:uid="{00000000-0005-0000-0000-0000EB870000}"/>
    <cellStyle name="Normal 55 4 2 2 3 8" xfId="34796" xr:uid="{00000000-0005-0000-0000-0000EC870000}"/>
    <cellStyle name="Normal 55 4 2 2 4" xfId="34797" xr:uid="{00000000-0005-0000-0000-0000ED870000}"/>
    <cellStyle name="Normal 55 4 2 2 4 2" xfId="34798" xr:uid="{00000000-0005-0000-0000-0000EE870000}"/>
    <cellStyle name="Normal 55 4 2 2 4 2 2" xfId="34799" xr:uid="{00000000-0005-0000-0000-0000EF870000}"/>
    <cellStyle name="Normal 55 4 2 2 4 2 3" xfId="34800" xr:uid="{00000000-0005-0000-0000-0000F0870000}"/>
    <cellStyle name="Normal 55 4 2 2 4 2 4" xfId="34801" xr:uid="{00000000-0005-0000-0000-0000F1870000}"/>
    <cellStyle name="Normal 55 4 2 2 4 2 5" xfId="34802" xr:uid="{00000000-0005-0000-0000-0000F2870000}"/>
    <cellStyle name="Normal 55 4 2 2 4 2 6" xfId="34803" xr:uid="{00000000-0005-0000-0000-0000F3870000}"/>
    <cellStyle name="Normal 55 4 2 2 4 3" xfId="34804" xr:uid="{00000000-0005-0000-0000-0000F4870000}"/>
    <cellStyle name="Normal 55 4 2 2 4 3 2" xfId="34805" xr:uid="{00000000-0005-0000-0000-0000F5870000}"/>
    <cellStyle name="Normal 55 4 2 2 4 3 3" xfId="34806" xr:uid="{00000000-0005-0000-0000-0000F6870000}"/>
    <cellStyle name="Normal 55 4 2 2 4 3 4" xfId="34807" xr:uid="{00000000-0005-0000-0000-0000F7870000}"/>
    <cellStyle name="Normal 55 4 2 2 4 3 5" xfId="34808" xr:uid="{00000000-0005-0000-0000-0000F8870000}"/>
    <cellStyle name="Normal 55 4 2 2 4 3 6" xfId="34809" xr:uid="{00000000-0005-0000-0000-0000F9870000}"/>
    <cellStyle name="Normal 55 4 2 2 4 4" xfId="34810" xr:uid="{00000000-0005-0000-0000-0000FA870000}"/>
    <cellStyle name="Normal 55 4 2 2 4 5" xfId="34811" xr:uid="{00000000-0005-0000-0000-0000FB870000}"/>
    <cellStyle name="Normal 55 4 2 2 4 6" xfId="34812" xr:uid="{00000000-0005-0000-0000-0000FC870000}"/>
    <cellStyle name="Normal 55 4 2 2 4 7" xfId="34813" xr:uid="{00000000-0005-0000-0000-0000FD870000}"/>
    <cellStyle name="Normal 55 4 2 2 4 8" xfId="34814" xr:uid="{00000000-0005-0000-0000-0000FE870000}"/>
    <cellStyle name="Normal 55 4 2 2 5" xfId="34815" xr:uid="{00000000-0005-0000-0000-0000FF870000}"/>
    <cellStyle name="Normal 55 4 2 2 5 2" xfId="34816" xr:uid="{00000000-0005-0000-0000-000000880000}"/>
    <cellStyle name="Normal 55 4 2 2 5 3" xfId="34817" xr:uid="{00000000-0005-0000-0000-000001880000}"/>
    <cellStyle name="Normal 55 4 2 2 5 4" xfId="34818" xr:uid="{00000000-0005-0000-0000-000002880000}"/>
    <cellStyle name="Normal 55 4 2 2 5 5" xfId="34819" xr:uid="{00000000-0005-0000-0000-000003880000}"/>
    <cellStyle name="Normal 55 4 2 2 5 6" xfId="34820" xr:uid="{00000000-0005-0000-0000-000004880000}"/>
    <cellStyle name="Normal 55 4 2 2 6" xfId="34821" xr:uid="{00000000-0005-0000-0000-000005880000}"/>
    <cellStyle name="Normal 55 4 2 2 6 2" xfId="34822" xr:uid="{00000000-0005-0000-0000-000006880000}"/>
    <cellStyle name="Normal 55 4 2 2 6 3" xfId="34823" xr:uid="{00000000-0005-0000-0000-000007880000}"/>
    <cellStyle name="Normal 55 4 2 2 6 4" xfId="34824" xr:uid="{00000000-0005-0000-0000-000008880000}"/>
    <cellStyle name="Normal 55 4 2 2 6 5" xfId="34825" xr:uid="{00000000-0005-0000-0000-000009880000}"/>
    <cellStyle name="Normal 55 4 2 2 6 6" xfId="34826" xr:uid="{00000000-0005-0000-0000-00000A880000}"/>
    <cellStyle name="Normal 55 4 2 2 7" xfId="34827" xr:uid="{00000000-0005-0000-0000-00000B880000}"/>
    <cellStyle name="Normal 55 4 2 2 8" xfId="34828" xr:uid="{00000000-0005-0000-0000-00000C880000}"/>
    <cellStyle name="Normal 55 4 2 2 9" xfId="34829" xr:uid="{00000000-0005-0000-0000-00000D880000}"/>
    <cellStyle name="Normal 55 4 2 3" xfId="34830" xr:uid="{00000000-0005-0000-0000-00000E880000}"/>
    <cellStyle name="Normal 55 4 2 3 2" xfId="34831" xr:uid="{00000000-0005-0000-0000-00000F880000}"/>
    <cellStyle name="Normal 55 4 2 3 2 2" xfId="34832" xr:uid="{00000000-0005-0000-0000-000010880000}"/>
    <cellStyle name="Normal 55 4 2 3 2 3" xfId="34833" xr:uid="{00000000-0005-0000-0000-000011880000}"/>
    <cellStyle name="Normal 55 4 2 3 2 4" xfId="34834" xr:uid="{00000000-0005-0000-0000-000012880000}"/>
    <cellStyle name="Normal 55 4 2 3 2 5" xfId="34835" xr:uid="{00000000-0005-0000-0000-000013880000}"/>
    <cellStyle name="Normal 55 4 2 3 2 6" xfId="34836" xr:uid="{00000000-0005-0000-0000-000014880000}"/>
    <cellStyle name="Normal 55 4 2 3 3" xfId="34837" xr:uid="{00000000-0005-0000-0000-000015880000}"/>
    <cellStyle name="Normal 55 4 2 3 3 2" xfId="34838" xr:uid="{00000000-0005-0000-0000-000016880000}"/>
    <cellStyle name="Normal 55 4 2 3 3 3" xfId="34839" xr:uid="{00000000-0005-0000-0000-000017880000}"/>
    <cellStyle name="Normal 55 4 2 3 3 4" xfId="34840" xr:uid="{00000000-0005-0000-0000-000018880000}"/>
    <cellStyle name="Normal 55 4 2 3 3 5" xfId="34841" xr:uid="{00000000-0005-0000-0000-000019880000}"/>
    <cellStyle name="Normal 55 4 2 3 3 6" xfId="34842" xr:uid="{00000000-0005-0000-0000-00001A880000}"/>
    <cellStyle name="Normal 55 4 2 3 4" xfId="34843" xr:uid="{00000000-0005-0000-0000-00001B880000}"/>
    <cellStyle name="Normal 55 4 2 3 5" xfId="34844" xr:uid="{00000000-0005-0000-0000-00001C880000}"/>
    <cellStyle name="Normal 55 4 2 3 6" xfId="34845" xr:uid="{00000000-0005-0000-0000-00001D880000}"/>
    <cellStyle name="Normal 55 4 2 3 7" xfId="34846" xr:uid="{00000000-0005-0000-0000-00001E880000}"/>
    <cellStyle name="Normal 55 4 2 3 8" xfId="34847" xr:uid="{00000000-0005-0000-0000-00001F880000}"/>
    <cellStyle name="Normal 55 4 2 4" xfId="34848" xr:uid="{00000000-0005-0000-0000-000020880000}"/>
    <cellStyle name="Normal 55 4 2 4 2" xfId="34849" xr:uid="{00000000-0005-0000-0000-000021880000}"/>
    <cellStyle name="Normal 55 4 2 4 2 2" xfId="34850" xr:uid="{00000000-0005-0000-0000-000022880000}"/>
    <cellStyle name="Normal 55 4 2 4 2 3" xfId="34851" xr:uid="{00000000-0005-0000-0000-000023880000}"/>
    <cellStyle name="Normal 55 4 2 4 2 4" xfId="34852" xr:uid="{00000000-0005-0000-0000-000024880000}"/>
    <cellStyle name="Normal 55 4 2 4 2 5" xfId="34853" xr:uid="{00000000-0005-0000-0000-000025880000}"/>
    <cellStyle name="Normal 55 4 2 4 2 6" xfId="34854" xr:uid="{00000000-0005-0000-0000-000026880000}"/>
    <cellStyle name="Normal 55 4 2 4 3" xfId="34855" xr:uid="{00000000-0005-0000-0000-000027880000}"/>
    <cellStyle name="Normal 55 4 2 4 3 2" xfId="34856" xr:uid="{00000000-0005-0000-0000-000028880000}"/>
    <cellStyle name="Normal 55 4 2 4 3 3" xfId="34857" xr:uid="{00000000-0005-0000-0000-000029880000}"/>
    <cellStyle name="Normal 55 4 2 4 3 4" xfId="34858" xr:uid="{00000000-0005-0000-0000-00002A880000}"/>
    <cellStyle name="Normal 55 4 2 4 3 5" xfId="34859" xr:uid="{00000000-0005-0000-0000-00002B880000}"/>
    <cellStyle name="Normal 55 4 2 4 3 6" xfId="34860" xr:uid="{00000000-0005-0000-0000-00002C880000}"/>
    <cellStyle name="Normal 55 4 2 4 4" xfId="34861" xr:uid="{00000000-0005-0000-0000-00002D880000}"/>
    <cellStyle name="Normal 55 4 2 4 5" xfId="34862" xr:uid="{00000000-0005-0000-0000-00002E880000}"/>
    <cellStyle name="Normal 55 4 2 4 6" xfId="34863" xr:uid="{00000000-0005-0000-0000-00002F880000}"/>
    <cellStyle name="Normal 55 4 2 4 7" xfId="34864" xr:uid="{00000000-0005-0000-0000-000030880000}"/>
    <cellStyle name="Normal 55 4 2 4 8" xfId="34865" xr:uid="{00000000-0005-0000-0000-000031880000}"/>
    <cellStyle name="Normal 55 4 2 5" xfId="34866" xr:uid="{00000000-0005-0000-0000-000032880000}"/>
    <cellStyle name="Normal 55 4 2 5 2" xfId="34867" xr:uid="{00000000-0005-0000-0000-000033880000}"/>
    <cellStyle name="Normal 55 4 2 5 2 2" xfId="34868" xr:uid="{00000000-0005-0000-0000-000034880000}"/>
    <cellStyle name="Normal 55 4 2 5 2 3" xfId="34869" xr:uid="{00000000-0005-0000-0000-000035880000}"/>
    <cellStyle name="Normal 55 4 2 5 2 4" xfId="34870" xr:uid="{00000000-0005-0000-0000-000036880000}"/>
    <cellStyle name="Normal 55 4 2 5 2 5" xfId="34871" xr:uid="{00000000-0005-0000-0000-000037880000}"/>
    <cellStyle name="Normal 55 4 2 5 2 6" xfId="34872" xr:uid="{00000000-0005-0000-0000-000038880000}"/>
    <cellStyle name="Normal 55 4 2 5 3" xfId="34873" xr:uid="{00000000-0005-0000-0000-000039880000}"/>
    <cellStyle name="Normal 55 4 2 5 3 2" xfId="34874" xr:uid="{00000000-0005-0000-0000-00003A880000}"/>
    <cellStyle name="Normal 55 4 2 5 3 3" xfId="34875" xr:uid="{00000000-0005-0000-0000-00003B880000}"/>
    <cellStyle name="Normal 55 4 2 5 3 4" xfId="34876" xr:uid="{00000000-0005-0000-0000-00003C880000}"/>
    <cellStyle name="Normal 55 4 2 5 3 5" xfId="34877" xr:uid="{00000000-0005-0000-0000-00003D880000}"/>
    <cellStyle name="Normal 55 4 2 5 3 6" xfId="34878" xr:uid="{00000000-0005-0000-0000-00003E880000}"/>
    <cellStyle name="Normal 55 4 2 5 4" xfId="34879" xr:uid="{00000000-0005-0000-0000-00003F880000}"/>
    <cellStyle name="Normal 55 4 2 5 5" xfId="34880" xr:uid="{00000000-0005-0000-0000-000040880000}"/>
    <cellStyle name="Normal 55 4 2 5 6" xfId="34881" xr:uid="{00000000-0005-0000-0000-000041880000}"/>
    <cellStyle name="Normal 55 4 2 5 7" xfId="34882" xr:uid="{00000000-0005-0000-0000-000042880000}"/>
    <cellStyle name="Normal 55 4 2 5 8" xfId="34883" xr:uid="{00000000-0005-0000-0000-000043880000}"/>
    <cellStyle name="Normal 55 4 2 6" xfId="34884" xr:uid="{00000000-0005-0000-0000-000044880000}"/>
    <cellStyle name="Normal 55 4 2 6 2" xfId="34885" xr:uid="{00000000-0005-0000-0000-000045880000}"/>
    <cellStyle name="Normal 55 4 2 6 3" xfId="34886" xr:uid="{00000000-0005-0000-0000-000046880000}"/>
    <cellStyle name="Normal 55 4 2 6 4" xfId="34887" xr:uid="{00000000-0005-0000-0000-000047880000}"/>
    <cellStyle name="Normal 55 4 2 6 5" xfId="34888" xr:uid="{00000000-0005-0000-0000-000048880000}"/>
    <cellStyle name="Normal 55 4 2 6 6" xfId="34889" xr:uid="{00000000-0005-0000-0000-000049880000}"/>
    <cellStyle name="Normal 55 4 2 7" xfId="34890" xr:uid="{00000000-0005-0000-0000-00004A880000}"/>
    <cellStyle name="Normal 55 4 2 7 2" xfId="34891" xr:uid="{00000000-0005-0000-0000-00004B880000}"/>
    <cellStyle name="Normal 55 4 2 7 3" xfId="34892" xr:uid="{00000000-0005-0000-0000-00004C880000}"/>
    <cellStyle name="Normal 55 4 2 7 4" xfId="34893" xr:uid="{00000000-0005-0000-0000-00004D880000}"/>
    <cellStyle name="Normal 55 4 2 7 5" xfId="34894" xr:uid="{00000000-0005-0000-0000-00004E880000}"/>
    <cellStyle name="Normal 55 4 2 7 6" xfId="34895" xr:uid="{00000000-0005-0000-0000-00004F880000}"/>
    <cellStyle name="Normal 55 4 2 8" xfId="34896" xr:uid="{00000000-0005-0000-0000-000050880000}"/>
    <cellStyle name="Normal 55 4 2 9" xfId="34897" xr:uid="{00000000-0005-0000-0000-000051880000}"/>
    <cellStyle name="Normal 55 4 3" xfId="34898" xr:uid="{00000000-0005-0000-0000-000052880000}"/>
    <cellStyle name="Normal 55 4 3 10" xfId="34899" xr:uid="{00000000-0005-0000-0000-000053880000}"/>
    <cellStyle name="Normal 55 4 3 11" xfId="34900" xr:uid="{00000000-0005-0000-0000-000054880000}"/>
    <cellStyle name="Normal 55 4 3 12" xfId="34901" xr:uid="{00000000-0005-0000-0000-000055880000}"/>
    <cellStyle name="Normal 55 4 3 2" xfId="34902" xr:uid="{00000000-0005-0000-0000-000056880000}"/>
    <cellStyle name="Normal 55 4 3 2 10" xfId="34903" xr:uid="{00000000-0005-0000-0000-000057880000}"/>
    <cellStyle name="Normal 55 4 3 2 11" xfId="34904" xr:uid="{00000000-0005-0000-0000-000058880000}"/>
    <cellStyle name="Normal 55 4 3 2 2" xfId="34905" xr:uid="{00000000-0005-0000-0000-000059880000}"/>
    <cellStyle name="Normal 55 4 3 2 2 2" xfId="34906" xr:uid="{00000000-0005-0000-0000-00005A880000}"/>
    <cellStyle name="Normal 55 4 3 2 2 2 2" xfId="34907" xr:uid="{00000000-0005-0000-0000-00005B880000}"/>
    <cellStyle name="Normal 55 4 3 2 2 2 3" xfId="34908" xr:uid="{00000000-0005-0000-0000-00005C880000}"/>
    <cellStyle name="Normal 55 4 3 2 2 2 4" xfId="34909" xr:uid="{00000000-0005-0000-0000-00005D880000}"/>
    <cellStyle name="Normal 55 4 3 2 2 2 5" xfId="34910" xr:uid="{00000000-0005-0000-0000-00005E880000}"/>
    <cellStyle name="Normal 55 4 3 2 2 2 6" xfId="34911" xr:uid="{00000000-0005-0000-0000-00005F880000}"/>
    <cellStyle name="Normal 55 4 3 2 2 3" xfId="34912" xr:uid="{00000000-0005-0000-0000-000060880000}"/>
    <cellStyle name="Normal 55 4 3 2 2 3 2" xfId="34913" xr:uid="{00000000-0005-0000-0000-000061880000}"/>
    <cellStyle name="Normal 55 4 3 2 2 3 3" xfId="34914" xr:uid="{00000000-0005-0000-0000-000062880000}"/>
    <cellStyle name="Normal 55 4 3 2 2 3 4" xfId="34915" xr:uid="{00000000-0005-0000-0000-000063880000}"/>
    <cellStyle name="Normal 55 4 3 2 2 3 5" xfId="34916" xr:uid="{00000000-0005-0000-0000-000064880000}"/>
    <cellStyle name="Normal 55 4 3 2 2 3 6" xfId="34917" xr:uid="{00000000-0005-0000-0000-000065880000}"/>
    <cellStyle name="Normal 55 4 3 2 2 4" xfId="34918" xr:uid="{00000000-0005-0000-0000-000066880000}"/>
    <cellStyle name="Normal 55 4 3 2 2 5" xfId="34919" xr:uid="{00000000-0005-0000-0000-000067880000}"/>
    <cellStyle name="Normal 55 4 3 2 2 6" xfId="34920" xr:uid="{00000000-0005-0000-0000-000068880000}"/>
    <cellStyle name="Normal 55 4 3 2 2 7" xfId="34921" xr:uid="{00000000-0005-0000-0000-000069880000}"/>
    <cellStyle name="Normal 55 4 3 2 2 8" xfId="34922" xr:uid="{00000000-0005-0000-0000-00006A880000}"/>
    <cellStyle name="Normal 55 4 3 2 3" xfId="34923" xr:uid="{00000000-0005-0000-0000-00006B880000}"/>
    <cellStyle name="Normal 55 4 3 2 3 2" xfId="34924" xr:uid="{00000000-0005-0000-0000-00006C880000}"/>
    <cellStyle name="Normal 55 4 3 2 3 2 2" xfId="34925" xr:uid="{00000000-0005-0000-0000-00006D880000}"/>
    <cellStyle name="Normal 55 4 3 2 3 2 3" xfId="34926" xr:uid="{00000000-0005-0000-0000-00006E880000}"/>
    <cellStyle name="Normal 55 4 3 2 3 2 4" xfId="34927" xr:uid="{00000000-0005-0000-0000-00006F880000}"/>
    <cellStyle name="Normal 55 4 3 2 3 2 5" xfId="34928" xr:uid="{00000000-0005-0000-0000-000070880000}"/>
    <cellStyle name="Normal 55 4 3 2 3 2 6" xfId="34929" xr:uid="{00000000-0005-0000-0000-000071880000}"/>
    <cellStyle name="Normal 55 4 3 2 3 3" xfId="34930" xr:uid="{00000000-0005-0000-0000-000072880000}"/>
    <cellStyle name="Normal 55 4 3 2 3 3 2" xfId="34931" xr:uid="{00000000-0005-0000-0000-000073880000}"/>
    <cellStyle name="Normal 55 4 3 2 3 3 3" xfId="34932" xr:uid="{00000000-0005-0000-0000-000074880000}"/>
    <cellStyle name="Normal 55 4 3 2 3 3 4" xfId="34933" xr:uid="{00000000-0005-0000-0000-000075880000}"/>
    <cellStyle name="Normal 55 4 3 2 3 3 5" xfId="34934" xr:uid="{00000000-0005-0000-0000-000076880000}"/>
    <cellStyle name="Normal 55 4 3 2 3 3 6" xfId="34935" xr:uid="{00000000-0005-0000-0000-000077880000}"/>
    <cellStyle name="Normal 55 4 3 2 3 4" xfId="34936" xr:uid="{00000000-0005-0000-0000-000078880000}"/>
    <cellStyle name="Normal 55 4 3 2 3 5" xfId="34937" xr:uid="{00000000-0005-0000-0000-000079880000}"/>
    <cellStyle name="Normal 55 4 3 2 3 6" xfId="34938" xr:uid="{00000000-0005-0000-0000-00007A880000}"/>
    <cellStyle name="Normal 55 4 3 2 3 7" xfId="34939" xr:uid="{00000000-0005-0000-0000-00007B880000}"/>
    <cellStyle name="Normal 55 4 3 2 3 8" xfId="34940" xr:uid="{00000000-0005-0000-0000-00007C880000}"/>
    <cellStyle name="Normal 55 4 3 2 4" xfId="34941" xr:uid="{00000000-0005-0000-0000-00007D880000}"/>
    <cellStyle name="Normal 55 4 3 2 4 2" xfId="34942" xr:uid="{00000000-0005-0000-0000-00007E880000}"/>
    <cellStyle name="Normal 55 4 3 2 4 2 2" xfId="34943" xr:uid="{00000000-0005-0000-0000-00007F880000}"/>
    <cellStyle name="Normal 55 4 3 2 4 2 3" xfId="34944" xr:uid="{00000000-0005-0000-0000-000080880000}"/>
    <cellStyle name="Normal 55 4 3 2 4 2 4" xfId="34945" xr:uid="{00000000-0005-0000-0000-000081880000}"/>
    <cellStyle name="Normal 55 4 3 2 4 2 5" xfId="34946" xr:uid="{00000000-0005-0000-0000-000082880000}"/>
    <cellStyle name="Normal 55 4 3 2 4 2 6" xfId="34947" xr:uid="{00000000-0005-0000-0000-000083880000}"/>
    <cellStyle name="Normal 55 4 3 2 4 3" xfId="34948" xr:uid="{00000000-0005-0000-0000-000084880000}"/>
    <cellStyle name="Normal 55 4 3 2 4 3 2" xfId="34949" xr:uid="{00000000-0005-0000-0000-000085880000}"/>
    <cellStyle name="Normal 55 4 3 2 4 3 3" xfId="34950" xr:uid="{00000000-0005-0000-0000-000086880000}"/>
    <cellStyle name="Normal 55 4 3 2 4 3 4" xfId="34951" xr:uid="{00000000-0005-0000-0000-000087880000}"/>
    <cellStyle name="Normal 55 4 3 2 4 3 5" xfId="34952" xr:uid="{00000000-0005-0000-0000-000088880000}"/>
    <cellStyle name="Normal 55 4 3 2 4 3 6" xfId="34953" xr:uid="{00000000-0005-0000-0000-000089880000}"/>
    <cellStyle name="Normal 55 4 3 2 4 4" xfId="34954" xr:uid="{00000000-0005-0000-0000-00008A880000}"/>
    <cellStyle name="Normal 55 4 3 2 4 5" xfId="34955" xr:uid="{00000000-0005-0000-0000-00008B880000}"/>
    <cellStyle name="Normal 55 4 3 2 4 6" xfId="34956" xr:uid="{00000000-0005-0000-0000-00008C880000}"/>
    <cellStyle name="Normal 55 4 3 2 4 7" xfId="34957" xr:uid="{00000000-0005-0000-0000-00008D880000}"/>
    <cellStyle name="Normal 55 4 3 2 4 8" xfId="34958" xr:uid="{00000000-0005-0000-0000-00008E880000}"/>
    <cellStyle name="Normal 55 4 3 2 5" xfId="34959" xr:uid="{00000000-0005-0000-0000-00008F880000}"/>
    <cellStyle name="Normal 55 4 3 2 5 2" xfId="34960" xr:uid="{00000000-0005-0000-0000-000090880000}"/>
    <cellStyle name="Normal 55 4 3 2 5 3" xfId="34961" xr:uid="{00000000-0005-0000-0000-000091880000}"/>
    <cellStyle name="Normal 55 4 3 2 5 4" xfId="34962" xr:uid="{00000000-0005-0000-0000-000092880000}"/>
    <cellStyle name="Normal 55 4 3 2 5 5" xfId="34963" xr:uid="{00000000-0005-0000-0000-000093880000}"/>
    <cellStyle name="Normal 55 4 3 2 5 6" xfId="34964" xr:uid="{00000000-0005-0000-0000-000094880000}"/>
    <cellStyle name="Normal 55 4 3 2 6" xfId="34965" xr:uid="{00000000-0005-0000-0000-000095880000}"/>
    <cellStyle name="Normal 55 4 3 2 6 2" xfId="34966" xr:uid="{00000000-0005-0000-0000-000096880000}"/>
    <cellStyle name="Normal 55 4 3 2 6 3" xfId="34967" xr:uid="{00000000-0005-0000-0000-000097880000}"/>
    <cellStyle name="Normal 55 4 3 2 6 4" xfId="34968" xr:uid="{00000000-0005-0000-0000-000098880000}"/>
    <cellStyle name="Normal 55 4 3 2 6 5" xfId="34969" xr:uid="{00000000-0005-0000-0000-000099880000}"/>
    <cellStyle name="Normal 55 4 3 2 6 6" xfId="34970" xr:uid="{00000000-0005-0000-0000-00009A880000}"/>
    <cellStyle name="Normal 55 4 3 2 7" xfId="34971" xr:uid="{00000000-0005-0000-0000-00009B880000}"/>
    <cellStyle name="Normal 55 4 3 2 8" xfId="34972" xr:uid="{00000000-0005-0000-0000-00009C880000}"/>
    <cellStyle name="Normal 55 4 3 2 9" xfId="34973" xr:uid="{00000000-0005-0000-0000-00009D880000}"/>
    <cellStyle name="Normal 55 4 3 3" xfId="34974" xr:uid="{00000000-0005-0000-0000-00009E880000}"/>
    <cellStyle name="Normal 55 4 3 3 2" xfId="34975" xr:uid="{00000000-0005-0000-0000-00009F880000}"/>
    <cellStyle name="Normal 55 4 3 3 2 2" xfId="34976" xr:uid="{00000000-0005-0000-0000-0000A0880000}"/>
    <cellStyle name="Normal 55 4 3 3 2 3" xfId="34977" xr:uid="{00000000-0005-0000-0000-0000A1880000}"/>
    <cellStyle name="Normal 55 4 3 3 2 4" xfId="34978" xr:uid="{00000000-0005-0000-0000-0000A2880000}"/>
    <cellStyle name="Normal 55 4 3 3 2 5" xfId="34979" xr:uid="{00000000-0005-0000-0000-0000A3880000}"/>
    <cellStyle name="Normal 55 4 3 3 2 6" xfId="34980" xr:uid="{00000000-0005-0000-0000-0000A4880000}"/>
    <cellStyle name="Normal 55 4 3 3 3" xfId="34981" xr:uid="{00000000-0005-0000-0000-0000A5880000}"/>
    <cellStyle name="Normal 55 4 3 3 3 2" xfId="34982" xr:uid="{00000000-0005-0000-0000-0000A6880000}"/>
    <cellStyle name="Normal 55 4 3 3 3 3" xfId="34983" xr:uid="{00000000-0005-0000-0000-0000A7880000}"/>
    <cellStyle name="Normal 55 4 3 3 3 4" xfId="34984" xr:uid="{00000000-0005-0000-0000-0000A8880000}"/>
    <cellStyle name="Normal 55 4 3 3 3 5" xfId="34985" xr:uid="{00000000-0005-0000-0000-0000A9880000}"/>
    <cellStyle name="Normal 55 4 3 3 3 6" xfId="34986" xr:uid="{00000000-0005-0000-0000-0000AA880000}"/>
    <cellStyle name="Normal 55 4 3 3 4" xfId="34987" xr:uid="{00000000-0005-0000-0000-0000AB880000}"/>
    <cellStyle name="Normal 55 4 3 3 5" xfId="34988" xr:uid="{00000000-0005-0000-0000-0000AC880000}"/>
    <cellStyle name="Normal 55 4 3 3 6" xfId="34989" xr:uid="{00000000-0005-0000-0000-0000AD880000}"/>
    <cellStyle name="Normal 55 4 3 3 7" xfId="34990" xr:uid="{00000000-0005-0000-0000-0000AE880000}"/>
    <cellStyle name="Normal 55 4 3 3 8" xfId="34991" xr:uid="{00000000-0005-0000-0000-0000AF880000}"/>
    <cellStyle name="Normal 55 4 3 4" xfId="34992" xr:uid="{00000000-0005-0000-0000-0000B0880000}"/>
    <cellStyle name="Normal 55 4 3 4 2" xfId="34993" xr:uid="{00000000-0005-0000-0000-0000B1880000}"/>
    <cellStyle name="Normal 55 4 3 4 2 2" xfId="34994" xr:uid="{00000000-0005-0000-0000-0000B2880000}"/>
    <cellStyle name="Normal 55 4 3 4 2 3" xfId="34995" xr:uid="{00000000-0005-0000-0000-0000B3880000}"/>
    <cellStyle name="Normal 55 4 3 4 2 4" xfId="34996" xr:uid="{00000000-0005-0000-0000-0000B4880000}"/>
    <cellStyle name="Normal 55 4 3 4 2 5" xfId="34997" xr:uid="{00000000-0005-0000-0000-0000B5880000}"/>
    <cellStyle name="Normal 55 4 3 4 2 6" xfId="34998" xr:uid="{00000000-0005-0000-0000-0000B6880000}"/>
    <cellStyle name="Normal 55 4 3 4 3" xfId="34999" xr:uid="{00000000-0005-0000-0000-0000B7880000}"/>
    <cellStyle name="Normal 55 4 3 4 3 2" xfId="35000" xr:uid="{00000000-0005-0000-0000-0000B8880000}"/>
    <cellStyle name="Normal 55 4 3 4 3 3" xfId="35001" xr:uid="{00000000-0005-0000-0000-0000B9880000}"/>
    <cellStyle name="Normal 55 4 3 4 3 4" xfId="35002" xr:uid="{00000000-0005-0000-0000-0000BA880000}"/>
    <cellStyle name="Normal 55 4 3 4 3 5" xfId="35003" xr:uid="{00000000-0005-0000-0000-0000BB880000}"/>
    <cellStyle name="Normal 55 4 3 4 3 6" xfId="35004" xr:uid="{00000000-0005-0000-0000-0000BC880000}"/>
    <cellStyle name="Normal 55 4 3 4 4" xfId="35005" xr:uid="{00000000-0005-0000-0000-0000BD880000}"/>
    <cellStyle name="Normal 55 4 3 4 5" xfId="35006" xr:uid="{00000000-0005-0000-0000-0000BE880000}"/>
    <cellStyle name="Normal 55 4 3 4 6" xfId="35007" xr:uid="{00000000-0005-0000-0000-0000BF880000}"/>
    <cellStyle name="Normal 55 4 3 4 7" xfId="35008" xr:uid="{00000000-0005-0000-0000-0000C0880000}"/>
    <cellStyle name="Normal 55 4 3 4 8" xfId="35009" xr:uid="{00000000-0005-0000-0000-0000C1880000}"/>
    <cellStyle name="Normal 55 4 3 5" xfId="35010" xr:uid="{00000000-0005-0000-0000-0000C2880000}"/>
    <cellStyle name="Normal 55 4 3 5 2" xfId="35011" xr:uid="{00000000-0005-0000-0000-0000C3880000}"/>
    <cellStyle name="Normal 55 4 3 5 2 2" xfId="35012" xr:uid="{00000000-0005-0000-0000-0000C4880000}"/>
    <cellStyle name="Normal 55 4 3 5 2 3" xfId="35013" xr:uid="{00000000-0005-0000-0000-0000C5880000}"/>
    <cellStyle name="Normal 55 4 3 5 2 4" xfId="35014" xr:uid="{00000000-0005-0000-0000-0000C6880000}"/>
    <cellStyle name="Normal 55 4 3 5 2 5" xfId="35015" xr:uid="{00000000-0005-0000-0000-0000C7880000}"/>
    <cellStyle name="Normal 55 4 3 5 2 6" xfId="35016" xr:uid="{00000000-0005-0000-0000-0000C8880000}"/>
    <cellStyle name="Normal 55 4 3 5 3" xfId="35017" xr:uid="{00000000-0005-0000-0000-0000C9880000}"/>
    <cellStyle name="Normal 55 4 3 5 3 2" xfId="35018" xr:uid="{00000000-0005-0000-0000-0000CA880000}"/>
    <cellStyle name="Normal 55 4 3 5 3 3" xfId="35019" xr:uid="{00000000-0005-0000-0000-0000CB880000}"/>
    <cellStyle name="Normal 55 4 3 5 3 4" xfId="35020" xr:uid="{00000000-0005-0000-0000-0000CC880000}"/>
    <cellStyle name="Normal 55 4 3 5 3 5" xfId="35021" xr:uid="{00000000-0005-0000-0000-0000CD880000}"/>
    <cellStyle name="Normal 55 4 3 5 3 6" xfId="35022" xr:uid="{00000000-0005-0000-0000-0000CE880000}"/>
    <cellStyle name="Normal 55 4 3 5 4" xfId="35023" xr:uid="{00000000-0005-0000-0000-0000CF880000}"/>
    <cellStyle name="Normal 55 4 3 5 5" xfId="35024" xr:uid="{00000000-0005-0000-0000-0000D0880000}"/>
    <cellStyle name="Normal 55 4 3 5 6" xfId="35025" xr:uid="{00000000-0005-0000-0000-0000D1880000}"/>
    <cellStyle name="Normal 55 4 3 5 7" xfId="35026" xr:uid="{00000000-0005-0000-0000-0000D2880000}"/>
    <cellStyle name="Normal 55 4 3 5 8" xfId="35027" xr:uid="{00000000-0005-0000-0000-0000D3880000}"/>
    <cellStyle name="Normal 55 4 3 6" xfId="35028" xr:uid="{00000000-0005-0000-0000-0000D4880000}"/>
    <cellStyle name="Normal 55 4 3 6 2" xfId="35029" xr:uid="{00000000-0005-0000-0000-0000D5880000}"/>
    <cellStyle name="Normal 55 4 3 6 3" xfId="35030" xr:uid="{00000000-0005-0000-0000-0000D6880000}"/>
    <cellStyle name="Normal 55 4 3 6 4" xfId="35031" xr:uid="{00000000-0005-0000-0000-0000D7880000}"/>
    <cellStyle name="Normal 55 4 3 6 5" xfId="35032" xr:uid="{00000000-0005-0000-0000-0000D8880000}"/>
    <cellStyle name="Normal 55 4 3 6 6" xfId="35033" xr:uid="{00000000-0005-0000-0000-0000D9880000}"/>
    <cellStyle name="Normal 55 4 3 7" xfId="35034" xr:uid="{00000000-0005-0000-0000-0000DA880000}"/>
    <cellStyle name="Normal 55 4 3 7 2" xfId="35035" xr:uid="{00000000-0005-0000-0000-0000DB880000}"/>
    <cellStyle name="Normal 55 4 3 7 3" xfId="35036" xr:uid="{00000000-0005-0000-0000-0000DC880000}"/>
    <cellStyle name="Normal 55 4 3 7 4" xfId="35037" xr:uid="{00000000-0005-0000-0000-0000DD880000}"/>
    <cellStyle name="Normal 55 4 3 7 5" xfId="35038" xr:uid="{00000000-0005-0000-0000-0000DE880000}"/>
    <cellStyle name="Normal 55 4 3 7 6" xfId="35039" xr:uid="{00000000-0005-0000-0000-0000DF880000}"/>
    <cellStyle name="Normal 55 4 3 8" xfId="35040" xr:uid="{00000000-0005-0000-0000-0000E0880000}"/>
    <cellStyle name="Normal 55 4 3 9" xfId="35041" xr:uid="{00000000-0005-0000-0000-0000E1880000}"/>
    <cellStyle name="Normal 55 4 4" xfId="35042" xr:uid="{00000000-0005-0000-0000-0000E2880000}"/>
    <cellStyle name="Normal 55 4 4 10" xfId="35043" xr:uid="{00000000-0005-0000-0000-0000E3880000}"/>
    <cellStyle name="Normal 55 4 4 11" xfId="35044" xr:uid="{00000000-0005-0000-0000-0000E4880000}"/>
    <cellStyle name="Normal 55 4 4 2" xfId="35045" xr:uid="{00000000-0005-0000-0000-0000E5880000}"/>
    <cellStyle name="Normal 55 4 4 2 2" xfId="35046" xr:uid="{00000000-0005-0000-0000-0000E6880000}"/>
    <cellStyle name="Normal 55 4 4 2 2 2" xfId="35047" xr:uid="{00000000-0005-0000-0000-0000E7880000}"/>
    <cellStyle name="Normal 55 4 4 2 2 3" xfId="35048" xr:uid="{00000000-0005-0000-0000-0000E8880000}"/>
    <cellStyle name="Normal 55 4 4 2 2 4" xfId="35049" xr:uid="{00000000-0005-0000-0000-0000E9880000}"/>
    <cellStyle name="Normal 55 4 4 2 2 5" xfId="35050" xr:uid="{00000000-0005-0000-0000-0000EA880000}"/>
    <cellStyle name="Normal 55 4 4 2 2 6" xfId="35051" xr:uid="{00000000-0005-0000-0000-0000EB880000}"/>
    <cellStyle name="Normal 55 4 4 2 3" xfId="35052" xr:uid="{00000000-0005-0000-0000-0000EC880000}"/>
    <cellStyle name="Normal 55 4 4 2 3 2" xfId="35053" xr:uid="{00000000-0005-0000-0000-0000ED880000}"/>
    <cellStyle name="Normal 55 4 4 2 3 3" xfId="35054" xr:uid="{00000000-0005-0000-0000-0000EE880000}"/>
    <cellStyle name="Normal 55 4 4 2 3 4" xfId="35055" xr:uid="{00000000-0005-0000-0000-0000EF880000}"/>
    <cellStyle name="Normal 55 4 4 2 3 5" xfId="35056" xr:uid="{00000000-0005-0000-0000-0000F0880000}"/>
    <cellStyle name="Normal 55 4 4 2 3 6" xfId="35057" xr:uid="{00000000-0005-0000-0000-0000F1880000}"/>
    <cellStyle name="Normal 55 4 4 2 4" xfId="35058" xr:uid="{00000000-0005-0000-0000-0000F2880000}"/>
    <cellStyle name="Normal 55 4 4 2 5" xfId="35059" xr:uid="{00000000-0005-0000-0000-0000F3880000}"/>
    <cellStyle name="Normal 55 4 4 2 6" xfId="35060" xr:uid="{00000000-0005-0000-0000-0000F4880000}"/>
    <cellStyle name="Normal 55 4 4 2 7" xfId="35061" xr:uid="{00000000-0005-0000-0000-0000F5880000}"/>
    <cellStyle name="Normal 55 4 4 2 8" xfId="35062" xr:uid="{00000000-0005-0000-0000-0000F6880000}"/>
    <cellStyle name="Normal 55 4 4 3" xfId="35063" xr:uid="{00000000-0005-0000-0000-0000F7880000}"/>
    <cellStyle name="Normal 55 4 4 3 2" xfId="35064" xr:uid="{00000000-0005-0000-0000-0000F8880000}"/>
    <cellStyle name="Normal 55 4 4 3 2 2" xfId="35065" xr:uid="{00000000-0005-0000-0000-0000F9880000}"/>
    <cellStyle name="Normal 55 4 4 3 2 3" xfId="35066" xr:uid="{00000000-0005-0000-0000-0000FA880000}"/>
    <cellStyle name="Normal 55 4 4 3 2 4" xfId="35067" xr:uid="{00000000-0005-0000-0000-0000FB880000}"/>
    <cellStyle name="Normal 55 4 4 3 2 5" xfId="35068" xr:uid="{00000000-0005-0000-0000-0000FC880000}"/>
    <cellStyle name="Normal 55 4 4 3 2 6" xfId="35069" xr:uid="{00000000-0005-0000-0000-0000FD880000}"/>
    <cellStyle name="Normal 55 4 4 3 3" xfId="35070" xr:uid="{00000000-0005-0000-0000-0000FE880000}"/>
    <cellStyle name="Normal 55 4 4 3 3 2" xfId="35071" xr:uid="{00000000-0005-0000-0000-0000FF880000}"/>
    <cellStyle name="Normal 55 4 4 3 3 3" xfId="35072" xr:uid="{00000000-0005-0000-0000-000000890000}"/>
    <cellStyle name="Normal 55 4 4 3 3 4" xfId="35073" xr:uid="{00000000-0005-0000-0000-000001890000}"/>
    <cellStyle name="Normal 55 4 4 3 3 5" xfId="35074" xr:uid="{00000000-0005-0000-0000-000002890000}"/>
    <cellStyle name="Normal 55 4 4 3 3 6" xfId="35075" xr:uid="{00000000-0005-0000-0000-000003890000}"/>
    <cellStyle name="Normal 55 4 4 3 4" xfId="35076" xr:uid="{00000000-0005-0000-0000-000004890000}"/>
    <cellStyle name="Normal 55 4 4 3 5" xfId="35077" xr:uid="{00000000-0005-0000-0000-000005890000}"/>
    <cellStyle name="Normal 55 4 4 3 6" xfId="35078" xr:uid="{00000000-0005-0000-0000-000006890000}"/>
    <cellStyle name="Normal 55 4 4 3 7" xfId="35079" xr:uid="{00000000-0005-0000-0000-000007890000}"/>
    <cellStyle name="Normal 55 4 4 3 8" xfId="35080" xr:uid="{00000000-0005-0000-0000-000008890000}"/>
    <cellStyle name="Normal 55 4 4 4" xfId="35081" xr:uid="{00000000-0005-0000-0000-000009890000}"/>
    <cellStyle name="Normal 55 4 4 4 2" xfId="35082" xr:uid="{00000000-0005-0000-0000-00000A890000}"/>
    <cellStyle name="Normal 55 4 4 4 2 2" xfId="35083" xr:uid="{00000000-0005-0000-0000-00000B890000}"/>
    <cellStyle name="Normal 55 4 4 4 2 3" xfId="35084" xr:uid="{00000000-0005-0000-0000-00000C890000}"/>
    <cellStyle name="Normal 55 4 4 4 2 4" xfId="35085" xr:uid="{00000000-0005-0000-0000-00000D890000}"/>
    <cellStyle name="Normal 55 4 4 4 2 5" xfId="35086" xr:uid="{00000000-0005-0000-0000-00000E890000}"/>
    <cellStyle name="Normal 55 4 4 4 2 6" xfId="35087" xr:uid="{00000000-0005-0000-0000-00000F890000}"/>
    <cellStyle name="Normal 55 4 4 4 3" xfId="35088" xr:uid="{00000000-0005-0000-0000-000010890000}"/>
    <cellStyle name="Normal 55 4 4 4 3 2" xfId="35089" xr:uid="{00000000-0005-0000-0000-000011890000}"/>
    <cellStyle name="Normal 55 4 4 4 3 3" xfId="35090" xr:uid="{00000000-0005-0000-0000-000012890000}"/>
    <cellStyle name="Normal 55 4 4 4 3 4" xfId="35091" xr:uid="{00000000-0005-0000-0000-000013890000}"/>
    <cellStyle name="Normal 55 4 4 4 3 5" xfId="35092" xr:uid="{00000000-0005-0000-0000-000014890000}"/>
    <cellStyle name="Normal 55 4 4 4 3 6" xfId="35093" xr:uid="{00000000-0005-0000-0000-000015890000}"/>
    <cellStyle name="Normal 55 4 4 4 4" xfId="35094" xr:uid="{00000000-0005-0000-0000-000016890000}"/>
    <cellStyle name="Normal 55 4 4 4 5" xfId="35095" xr:uid="{00000000-0005-0000-0000-000017890000}"/>
    <cellStyle name="Normal 55 4 4 4 6" xfId="35096" xr:uid="{00000000-0005-0000-0000-000018890000}"/>
    <cellStyle name="Normal 55 4 4 4 7" xfId="35097" xr:uid="{00000000-0005-0000-0000-000019890000}"/>
    <cellStyle name="Normal 55 4 4 4 8" xfId="35098" xr:uid="{00000000-0005-0000-0000-00001A890000}"/>
    <cellStyle name="Normal 55 4 4 5" xfId="35099" xr:uid="{00000000-0005-0000-0000-00001B890000}"/>
    <cellStyle name="Normal 55 4 4 5 2" xfId="35100" xr:uid="{00000000-0005-0000-0000-00001C890000}"/>
    <cellStyle name="Normal 55 4 4 5 3" xfId="35101" xr:uid="{00000000-0005-0000-0000-00001D890000}"/>
    <cellStyle name="Normal 55 4 4 5 4" xfId="35102" xr:uid="{00000000-0005-0000-0000-00001E890000}"/>
    <cellStyle name="Normal 55 4 4 5 5" xfId="35103" xr:uid="{00000000-0005-0000-0000-00001F890000}"/>
    <cellStyle name="Normal 55 4 4 5 6" xfId="35104" xr:uid="{00000000-0005-0000-0000-000020890000}"/>
    <cellStyle name="Normal 55 4 4 6" xfId="35105" xr:uid="{00000000-0005-0000-0000-000021890000}"/>
    <cellStyle name="Normal 55 4 4 6 2" xfId="35106" xr:uid="{00000000-0005-0000-0000-000022890000}"/>
    <cellStyle name="Normal 55 4 4 6 3" xfId="35107" xr:uid="{00000000-0005-0000-0000-000023890000}"/>
    <cellStyle name="Normal 55 4 4 6 4" xfId="35108" xr:uid="{00000000-0005-0000-0000-000024890000}"/>
    <cellStyle name="Normal 55 4 4 6 5" xfId="35109" xr:uid="{00000000-0005-0000-0000-000025890000}"/>
    <cellStyle name="Normal 55 4 4 6 6" xfId="35110" xr:uid="{00000000-0005-0000-0000-000026890000}"/>
    <cellStyle name="Normal 55 4 4 7" xfId="35111" xr:uid="{00000000-0005-0000-0000-000027890000}"/>
    <cellStyle name="Normal 55 4 4 8" xfId="35112" xr:uid="{00000000-0005-0000-0000-000028890000}"/>
    <cellStyle name="Normal 55 4 4 9" xfId="35113" xr:uid="{00000000-0005-0000-0000-000029890000}"/>
    <cellStyle name="Normal 55 4 5" xfId="35114" xr:uid="{00000000-0005-0000-0000-00002A890000}"/>
    <cellStyle name="Normal 55 4 5 2" xfId="35115" xr:uid="{00000000-0005-0000-0000-00002B890000}"/>
    <cellStyle name="Normal 55 4 5 2 2" xfId="35116" xr:uid="{00000000-0005-0000-0000-00002C890000}"/>
    <cellStyle name="Normal 55 4 5 2 3" xfId="35117" xr:uid="{00000000-0005-0000-0000-00002D890000}"/>
    <cellStyle name="Normal 55 4 5 2 4" xfId="35118" xr:uid="{00000000-0005-0000-0000-00002E890000}"/>
    <cellStyle name="Normal 55 4 5 2 5" xfId="35119" xr:uid="{00000000-0005-0000-0000-00002F890000}"/>
    <cellStyle name="Normal 55 4 5 2 6" xfId="35120" xr:uid="{00000000-0005-0000-0000-000030890000}"/>
    <cellStyle name="Normal 55 4 5 3" xfId="35121" xr:uid="{00000000-0005-0000-0000-000031890000}"/>
    <cellStyle name="Normal 55 4 5 3 2" xfId="35122" xr:uid="{00000000-0005-0000-0000-000032890000}"/>
    <cellStyle name="Normal 55 4 5 3 3" xfId="35123" xr:uid="{00000000-0005-0000-0000-000033890000}"/>
    <cellStyle name="Normal 55 4 5 3 4" xfId="35124" xr:uid="{00000000-0005-0000-0000-000034890000}"/>
    <cellStyle name="Normal 55 4 5 3 5" xfId="35125" xr:uid="{00000000-0005-0000-0000-000035890000}"/>
    <cellStyle name="Normal 55 4 5 3 6" xfId="35126" xr:uid="{00000000-0005-0000-0000-000036890000}"/>
    <cellStyle name="Normal 55 4 5 4" xfId="35127" xr:uid="{00000000-0005-0000-0000-000037890000}"/>
    <cellStyle name="Normal 55 4 5 5" xfId="35128" xr:uid="{00000000-0005-0000-0000-000038890000}"/>
    <cellStyle name="Normal 55 4 5 6" xfId="35129" xr:uid="{00000000-0005-0000-0000-000039890000}"/>
    <cellStyle name="Normal 55 4 5 7" xfId="35130" xr:uid="{00000000-0005-0000-0000-00003A890000}"/>
    <cellStyle name="Normal 55 4 5 8" xfId="35131" xr:uid="{00000000-0005-0000-0000-00003B890000}"/>
    <cellStyle name="Normal 55 4 6" xfId="35132" xr:uid="{00000000-0005-0000-0000-00003C890000}"/>
    <cellStyle name="Normal 55 4 6 2" xfId="35133" xr:uid="{00000000-0005-0000-0000-00003D890000}"/>
    <cellStyle name="Normal 55 4 6 2 2" xfId="35134" xr:uid="{00000000-0005-0000-0000-00003E890000}"/>
    <cellStyle name="Normal 55 4 6 2 3" xfId="35135" xr:uid="{00000000-0005-0000-0000-00003F890000}"/>
    <cellStyle name="Normal 55 4 6 2 4" xfId="35136" xr:uid="{00000000-0005-0000-0000-000040890000}"/>
    <cellStyle name="Normal 55 4 6 2 5" xfId="35137" xr:uid="{00000000-0005-0000-0000-000041890000}"/>
    <cellStyle name="Normal 55 4 6 2 6" xfId="35138" xr:uid="{00000000-0005-0000-0000-000042890000}"/>
    <cellStyle name="Normal 55 4 6 3" xfId="35139" xr:uid="{00000000-0005-0000-0000-000043890000}"/>
    <cellStyle name="Normal 55 4 6 3 2" xfId="35140" xr:uid="{00000000-0005-0000-0000-000044890000}"/>
    <cellStyle name="Normal 55 4 6 3 3" xfId="35141" xr:uid="{00000000-0005-0000-0000-000045890000}"/>
    <cellStyle name="Normal 55 4 6 3 4" xfId="35142" xr:uid="{00000000-0005-0000-0000-000046890000}"/>
    <cellStyle name="Normal 55 4 6 3 5" xfId="35143" xr:uid="{00000000-0005-0000-0000-000047890000}"/>
    <cellStyle name="Normal 55 4 6 3 6" xfId="35144" xr:uid="{00000000-0005-0000-0000-000048890000}"/>
    <cellStyle name="Normal 55 4 6 4" xfId="35145" xr:uid="{00000000-0005-0000-0000-000049890000}"/>
    <cellStyle name="Normal 55 4 6 5" xfId="35146" xr:uid="{00000000-0005-0000-0000-00004A890000}"/>
    <cellStyle name="Normal 55 4 6 6" xfId="35147" xr:uid="{00000000-0005-0000-0000-00004B890000}"/>
    <cellStyle name="Normal 55 4 6 7" xfId="35148" xr:uid="{00000000-0005-0000-0000-00004C890000}"/>
    <cellStyle name="Normal 55 4 6 8" xfId="35149" xr:uid="{00000000-0005-0000-0000-00004D890000}"/>
    <cellStyle name="Normal 55 4 7" xfId="35150" xr:uid="{00000000-0005-0000-0000-00004E890000}"/>
    <cellStyle name="Normal 55 4 7 2" xfId="35151" xr:uid="{00000000-0005-0000-0000-00004F890000}"/>
    <cellStyle name="Normal 55 4 7 2 2" xfId="35152" xr:uid="{00000000-0005-0000-0000-000050890000}"/>
    <cellStyle name="Normal 55 4 7 2 3" xfId="35153" xr:uid="{00000000-0005-0000-0000-000051890000}"/>
    <cellStyle name="Normal 55 4 7 2 4" xfId="35154" xr:uid="{00000000-0005-0000-0000-000052890000}"/>
    <cellStyle name="Normal 55 4 7 2 5" xfId="35155" xr:uid="{00000000-0005-0000-0000-000053890000}"/>
    <cellStyle name="Normal 55 4 7 2 6" xfId="35156" xr:uid="{00000000-0005-0000-0000-000054890000}"/>
    <cellStyle name="Normal 55 4 7 3" xfId="35157" xr:uid="{00000000-0005-0000-0000-000055890000}"/>
    <cellStyle name="Normal 55 4 7 3 2" xfId="35158" xr:uid="{00000000-0005-0000-0000-000056890000}"/>
    <cellStyle name="Normal 55 4 7 3 3" xfId="35159" xr:uid="{00000000-0005-0000-0000-000057890000}"/>
    <cellStyle name="Normal 55 4 7 3 4" xfId="35160" xr:uid="{00000000-0005-0000-0000-000058890000}"/>
    <cellStyle name="Normal 55 4 7 3 5" xfId="35161" xr:uid="{00000000-0005-0000-0000-000059890000}"/>
    <cellStyle name="Normal 55 4 7 3 6" xfId="35162" xr:uid="{00000000-0005-0000-0000-00005A890000}"/>
    <cellStyle name="Normal 55 4 7 4" xfId="35163" xr:uid="{00000000-0005-0000-0000-00005B890000}"/>
    <cellStyle name="Normal 55 4 7 5" xfId="35164" xr:uid="{00000000-0005-0000-0000-00005C890000}"/>
    <cellStyle name="Normal 55 4 7 6" xfId="35165" xr:uid="{00000000-0005-0000-0000-00005D890000}"/>
    <cellStyle name="Normal 55 4 7 7" xfId="35166" xr:uid="{00000000-0005-0000-0000-00005E890000}"/>
    <cellStyle name="Normal 55 4 7 8" xfId="35167" xr:uid="{00000000-0005-0000-0000-00005F890000}"/>
    <cellStyle name="Normal 55 4 8" xfId="35168" xr:uid="{00000000-0005-0000-0000-000060890000}"/>
    <cellStyle name="Normal 55 4 8 2" xfId="35169" xr:uid="{00000000-0005-0000-0000-000061890000}"/>
    <cellStyle name="Normal 55 4 8 3" xfId="35170" xr:uid="{00000000-0005-0000-0000-000062890000}"/>
    <cellStyle name="Normal 55 4 8 4" xfId="35171" xr:uid="{00000000-0005-0000-0000-000063890000}"/>
    <cellStyle name="Normal 55 4 8 5" xfId="35172" xr:uid="{00000000-0005-0000-0000-000064890000}"/>
    <cellStyle name="Normal 55 4 8 6" xfId="35173" xr:uid="{00000000-0005-0000-0000-000065890000}"/>
    <cellStyle name="Normal 55 4 9" xfId="35174" xr:uid="{00000000-0005-0000-0000-000066890000}"/>
    <cellStyle name="Normal 55 4 9 2" xfId="35175" xr:uid="{00000000-0005-0000-0000-000067890000}"/>
    <cellStyle name="Normal 55 4 9 3" xfId="35176" xr:uid="{00000000-0005-0000-0000-000068890000}"/>
    <cellStyle name="Normal 55 4 9 4" xfId="35177" xr:uid="{00000000-0005-0000-0000-000069890000}"/>
    <cellStyle name="Normal 55 4 9 5" xfId="35178" xr:uid="{00000000-0005-0000-0000-00006A890000}"/>
    <cellStyle name="Normal 55 4 9 6" xfId="35179" xr:uid="{00000000-0005-0000-0000-00006B890000}"/>
    <cellStyle name="Normal 55 5" xfId="35180" xr:uid="{00000000-0005-0000-0000-00006C890000}"/>
    <cellStyle name="Normal 55 5 10" xfId="35181" xr:uid="{00000000-0005-0000-0000-00006D890000}"/>
    <cellStyle name="Normal 55 5 11" xfId="35182" xr:uid="{00000000-0005-0000-0000-00006E890000}"/>
    <cellStyle name="Normal 55 5 12" xfId="35183" xr:uid="{00000000-0005-0000-0000-00006F890000}"/>
    <cellStyle name="Normal 55 5 2" xfId="35184" xr:uid="{00000000-0005-0000-0000-000070890000}"/>
    <cellStyle name="Normal 55 5 2 10" xfId="35185" xr:uid="{00000000-0005-0000-0000-000071890000}"/>
    <cellStyle name="Normal 55 5 2 11" xfId="35186" xr:uid="{00000000-0005-0000-0000-000072890000}"/>
    <cellStyle name="Normal 55 5 2 2" xfId="35187" xr:uid="{00000000-0005-0000-0000-000073890000}"/>
    <cellStyle name="Normal 55 5 2 2 2" xfId="35188" xr:uid="{00000000-0005-0000-0000-000074890000}"/>
    <cellStyle name="Normal 55 5 2 2 2 2" xfId="35189" xr:uid="{00000000-0005-0000-0000-000075890000}"/>
    <cellStyle name="Normal 55 5 2 2 2 3" xfId="35190" xr:uid="{00000000-0005-0000-0000-000076890000}"/>
    <cellStyle name="Normal 55 5 2 2 2 4" xfId="35191" xr:uid="{00000000-0005-0000-0000-000077890000}"/>
    <cellStyle name="Normal 55 5 2 2 2 5" xfId="35192" xr:uid="{00000000-0005-0000-0000-000078890000}"/>
    <cellStyle name="Normal 55 5 2 2 2 6" xfId="35193" xr:uid="{00000000-0005-0000-0000-000079890000}"/>
    <cellStyle name="Normal 55 5 2 2 3" xfId="35194" xr:uid="{00000000-0005-0000-0000-00007A890000}"/>
    <cellStyle name="Normal 55 5 2 2 3 2" xfId="35195" xr:uid="{00000000-0005-0000-0000-00007B890000}"/>
    <cellStyle name="Normal 55 5 2 2 3 3" xfId="35196" xr:uid="{00000000-0005-0000-0000-00007C890000}"/>
    <cellStyle name="Normal 55 5 2 2 3 4" xfId="35197" xr:uid="{00000000-0005-0000-0000-00007D890000}"/>
    <cellStyle name="Normal 55 5 2 2 3 5" xfId="35198" xr:uid="{00000000-0005-0000-0000-00007E890000}"/>
    <cellStyle name="Normal 55 5 2 2 3 6" xfId="35199" xr:uid="{00000000-0005-0000-0000-00007F890000}"/>
    <cellStyle name="Normal 55 5 2 2 4" xfId="35200" xr:uid="{00000000-0005-0000-0000-000080890000}"/>
    <cellStyle name="Normal 55 5 2 2 5" xfId="35201" xr:uid="{00000000-0005-0000-0000-000081890000}"/>
    <cellStyle name="Normal 55 5 2 2 6" xfId="35202" xr:uid="{00000000-0005-0000-0000-000082890000}"/>
    <cellStyle name="Normal 55 5 2 2 7" xfId="35203" xr:uid="{00000000-0005-0000-0000-000083890000}"/>
    <cellStyle name="Normal 55 5 2 2 8" xfId="35204" xr:uid="{00000000-0005-0000-0000-000084890000}"/>
    <cellStyle name="Normal 55 5 2 3" xfId="35205" xr:uid="{00000000-0005-0000-0000-000085890000}"/>
    <cellStyle name="Normal 55 5 2 3 2" xfId="35206" xr:uid="{00000000-0005-0000-0000-000086890000}"/>
    <cellStyle name="Normal 55 5 2 3 2 2" xfId="35207" xr:uid="{00000000-0005-0000-0000-000087890000}"/>
    <cellStyle name="Normal 55 5 2 3 2 3" xfId="35208" xr:uid="{00000000-0005-0000-0000-000088890000}"/>
    <cellStyle name="Normal 55 5 2 3 2 4" xfId="35209" xr:uid="{00000000-0005-0000-0000-000089890000}"/>
    <cellStyle name="Normal 55 5 2 3 2 5" xfId="35210" xr:uid="{00000000-0005-0000-0000-00008A890000}"/>
    <cellStyle name="Normal 55 5 2 3 2 6" xfId="35211" xr:uid="{00000000-0005-0000-0000-00008B890000}"/>
    <cellStyle name="Normal 55 5 2 3 3" xfId="35212" xr:uid="{00000000-0005-0000-0000-00008C890000}"/>
    <cellStyle name="Normal 55 5 2 3 3 2" xfId="35213" xr:uid="{00000000-0005-0000-0000-00008D890000}"/>
    <cellStyle name="Normal 55 5 2 3 3 3" xfId="35214" xr:uid="{00000000-0005-0000-0000-00008E890000}"/>
    <cellStyle name="Normal 55 5 2 3 3 4" xfId="35215" xr:uid="{00000000-0005-0000-0000-00008F890000}"/>
    <cellStyle name="Normal 55 5 2 3 3 5" xfId="35216" xr:uid="{00000000-0005-0000-0000-000090890000}"/>
    <cellStyle name="Normal 55 5 2 3 3 6" xfId="35217" xr:uid="{00000000-0005-0000-0000-000091890000}"/>
    <cellStyle name="Normal 55 5 2 3 4" xfId="35218" xr:uid="{00000000-0005-0000-0000-000092890000}"/>
    <cellStyle name="Normal 55 5 2 3 5" xfId="35219" xr:uid="{00000000-0005-0000-0000-000093890000}"/>
    <cellStyle name="Normal 55 5 2 3 6" xfId="35220" xr:uid="{00000000-0005-0000-0000-000094890000}"/>
    <cellStyle name="Normal 55 5 2 3 7" xfId="35221" xr:uid="{00000000-0005-0000-0000-000095890000}"/>
    <cellStyle name="Normal 55 5 2 3 8" xfId="35222" xr:uid="{00000000-0005-0000-0000-000096890000}"/>
    <cellStyle name="Normal 55 5 2 4" xfId="35223" xr:uid="{00000000-0005-0000-0000-000097890000}"/>
    <cellStyle name="Normal 55 5 2 4 2" xfId="35224" xr:uid="{00000000-0005-0000-0000-000098890000}"/>
    <cellStyle name="Normal 55 5 2 4 2 2" xfId="35225" xr:uid="{00000000-0005-0000-0000-000099890000}"/>
    <cellStyle name="Normal 55 5 2 4 2 3" xfId="35226" xr:uid="{00000000-0005-0000-0000-00009A890000}"/>
    <cellStyle name="Normal 55 5 2 4 2 4" xfId="35227" xr:uid="{00000000-0005-0000-0000-00009B890000}"/>
    <cellStyle name="Normal 55 5 2 4 2 5" xfId="35228" xr:uid="{00000000-0005-0000-0000-00009C890000}"/>
    <cellStyle name="Normal 55 5 2 4 2 6" xfId="35229" xr:uid="{00000000-0005-0000-0000-00009D890000}"/>
    <cellStyle name="Normal 55 5 2 4 3" xfId="35230" xr:uid="{00000000-0005-0000-0000-00009E890000}"/>
    <cellStyle name="Normal 55 5 2 4 3 2" xfId="35231" xr:uid="{00000000-0005-0000-0000-00009F890000}"/>
    <cellStyle name="Normal 55 5 2 4 3 3" xfId="35232" xr:uid="{00000000-0005-0000-0000-0000A0890000}"/>
    <cellStyle name="Normal 55 5 2 4 3 4" xfId="35233" xr:uid="{00000000-0005-0000-0000-0000A1890000}"/>
    <cellStyle name="Normal 55 5 2 4 3 5" xfId="35234" xr:uid="{00000000-0005-0000-0000-0000A2890000}"/>
    <cellStyle name="Normal 55 5 2 4 3 6" xfId="35235" xr:uid="{00000000-0005-0000-0000-0000A3890000}"/>
    <cellStyle name="Normal 55 5 2 4 4" xfId="35236" xr:uid="{00000000-0005-0000-0000-0000A4890000}"/>
    <cellStyle name="Normal 55 5 2 4 5" xfId="35237" xr:uid="{00000000-0005-0000-0000-0000A5890000}"/>
    <cellStyle name="Normal 55 5 2 4 6" xfId="35238" xr:uid="{00000000-0005-0000-0000-0000A6890000}"/>
    <cellStyle name="Normal 55 5 2 4 7" xfId="35239" xr:uid="{00000000-0005-0000-0000-0000A7890000}"/>
    <cellStyle name="Normal 55 5 2 4 8" xfId="35240" xr:uid="{00000000-0005-0000-0000-0000A8890000}"/>
    <cellStyle name="Normal 55 5 2 5" xfId="35241" xr:uid="{00000000-0005-0000-0000-0000A9890000}"/>
    <cellStyle name="Normal 55 5 2 5 2" xfId="35242" xr:uid="{00000000-0005-0000-0000-0000AA890000}"/>
    <cellStyle name="Normal 55 5 2 5 3" xfId="35243" xr:uid="{00000000-0005-0000-0000-0000AB890000}"/>
    <cellStyle name="Normal 55 5 2 5 4" xfId="35244" xr:uid="{00000000-0005-0000-0000-0000AC890000}"/>
    <cellStyle name="Normal 55 5 2 5 5" xfId="35245" xr:uid="{00000000-0005-0000-0000-0000AD890000}"/>
    <cellStyle name="Normal 55 5 2 5 6" xfId="35246" xr:uid="{00000000-0005-0000-0000-0000AE890000}"/>
    <cellStyle name="Normal 55 5 2 6" xfId="35247" xr:uid="{00000000-0005-0000-0000-0000AF890000}"/>
    <cellStyle name="Normal 55 5 2 6 2" xfId="35248" xr:uid="{00000000-0005-0000-0000-0000B0890000}"/>
    <cellStyle name="Normal 55 5 2 6 3" xfId="35249" xr:uid="{00000000-0005-0000-0000-0000B1890000}"/>
    <cellStyle name="Normal 55 5 2 6 4" xfId="35250" xr:uid="{00000000-0005-0000-0000-0000B2890000}"/>
    <cellStyle name="Normal 55 5 2 6 5" xfId="35251" xr:uid="{00000000-0005-0000-0000-0000B3890000}"/>
    <cellStyle name="Normal 55 5 2 6 6" xfId="35252" xr:uid="{00000000-0005-0000-0000-0000B4890000}"/>
    <cellStyle name="Normal 55 5 2 7" xfId="35253" xr:uid="{00000000-0005-0000-0000-0000B5890000}"/>
    <cellStyle name="Normal 55 5 2 8" xfId="35254" xr:uid="{00000000-0005-0000-0000-0000B6890000}"/>
    <cellStyle name="Normal 55 5 2 9" xfId="35255" xr:uid="{00000000-0005-0000-0000-0000B7890000}"/>
    <cellStyle name="Normal 55 5 3" xfId="35256" xr:uid="{00000000-0005-0000-0000-0000B8890000}"/>
    <cellStyle name="Normal 55 5 3 2" xfId="35257" xr:uid="{00000000-0005-0000-0000-0000B9890000}"/>
    <cellStyle name="Normal 55 5 3 2 2" xfId="35258" xr:uid="{00000000-0005-0000-0000-0000BA890000}"/>
    <cellStyle name="Normal 55 5 3 2 3" xfId="35259" xr:uid="{00000000-0005-0000-0000-0000BB890000}"/>
    <cellStyle name="Normal 55 5 3 2 4" xfId="35260" xr:uid="{00000000-0005-0000-0000-0000BC890000}"/>
    <cellStyle name="Normal 55 5 3 2 5" xfId="35261" xr:uid="{00000000-0005-0000-0000-0000BD890000}"/>
    <cellStyle name="Normal 55 5 3 2 6" xfId="35262" xr:uid="{00000000-0005-0000-0000-0000BE890000}"/>
    <cellStyle name="Normal 55 5 3 3" xfId="35263" xr:uid="{00000000-0005-0000-0000-0000BF890000}"/>
    <cellStyle name="Normal 55 5 3 3 2" xfId="35264" xr:uid="{00000000-0005-0000-0000-0000C0890000}"/>
    <cellStyle name="Normal 55 5 3 3 3" xfId="35265" xr:uid="{00000000-0005-0000-0000-0000C1890000}"/>
    <cellStyle name="Normal 55 5 3 3 4" xfId="35266" xr:uid="{00000000-0005-0000-0000-0000C2890000}"/>
    <cellStyle name="Normal 55 5 3 3 5" xfId="35267" xr:uid="{00000000-0005-0000-0000-0000C3890000}"/>
    <cellStyle name="Normal 55 5 3 3 6" xfId="35268" xr:uid="{00000000-0005-0000-0000-0000C4890000}"/>
    <cellStyle name="Normal 55 5 3 4" xfId="35269" xr:uid="{00000000-0005-0000-0000-0000C5890000}"/>
    <cellStyle name="Normal 55 5 3 5" xfId="35270" xr:uid="{00000000-0005-0000-0000-0000C6890000}"/>
    <cellStyle name="Normal 55 5 3 6" xfId="35271" xr:uid="{00000000-0005-0000-0000-0000C7890000}"/>
    <cellStyle name="Normal 55 5 3 7" xfId="35272" xr:uid="{00000000-0005-0000-0000-0000C8890000}"/>
    <cellStyle name="Normal 55 5 3 8" xfId="35273" xr:uid="{00000000-0005-0000-0000-0000C9890000}"/>
    <cellStyle name="Normal 55 5 4" xfId="35274" xr:uid="{00000000-0005-0000-0000-0000CA890000}"/>
    <cellStyle name="Normal 55 5 4 2" xfId="35275" xr:uid="{00000000-0005-0000-0000-0000CB890000}"/>
    <cellStyle name="Normal 55 5 4 2 2" xfId="35276" xr:uid="{00000000-0005-0000-0000-0000CC890000}"/>
    <cellStyle name="Normal 55 5 4 2 3" xfId="35277" xr:uid="{00000000-0005-0000-0000-0000CD890000}"/>
    <cellStyle name="Normal 55 5 4 2 4" xfId="35278" xr:uid="{00000000-0005-0000-0000-0000CE890000}"/>
    <cellStyle name="Normal 55 5 4 2 5" xfId="35279" xr:uid="{00000000-0005-0000-0000-0000CF890000}"/>
    <cellStyle name="Normal 55 5 4 2 6" xfId="35280" xr:uid="{00000000-0005-0000-0000-0000D0890000}"/>
    <cellStyle name="Normal 55 5 4 3" xfId="35281" xr:uid="{00000000-0005-0000-0000-0000D1890000}"/>
    <cellStyle name="Normal 55 5 4 3 2" xfId="35282" xr:uid="{00000000-0005-0000-0000-0000D2890000}"/>
    <cellStyle name="Normal 55 5 4 3 3" xfId="35283" xr:uid="{00000000-0005-0000-0000-0000D3890000}"/>
    <cellStyle name="Normal 55 5 4 3 4" xfId="35284" xr:uid="{00000000-0005-0000-0000-0000D4890000}"/>
    <cellStyle name="Normal 55 5 4 3 5" xfId="35285" xr:uid="{00000000-0005-0000-0000-0000D5890000}"/>
    <cellStyle name="Normal 55 5 4 3 6" xfId="35286" xr:uid="{00000000-0005-0000-0000-0000D6890000}"/>
    <cellStyle name="Normal 55 5 4 4" xfId="35287" xr:uid="{00000000-0005-0000-0000-0000D7890000}"/>
    <cellStyle name="Normal 55 5 4 5" xfId="35288" xr:uid="{00000000-0005-0000-0000-0000D8890000}"/>
    <cellStyle name="Normal 55 5 4 6" xfId="35289" xr:uid="{00000000-0005-0000-0000-0000D9890000}"/>
    <cellStyle name="Normal 55 5 4 7" xfId="35290" xr:uid="{00000000-0005-0000-0000-0000DA890000}"/>
    <cellStyle name="Normal 55 5 4 8" xfId="35291" xr:uid="{00000000-0005-0000-0000-0000DB890000}"/>
    <cellStyle name="Normal 55 5 5" xfId="35292" xr:uid="{00000000-0005-0000-0000-0000DC890000}"/>
    <cellStyle name="Normal 55 5 5 2" xfId="35293" xr:uid="{00000000-0005-0000-0000-0000DD890000}"/>
    <cellStyle name="Normal 55 5 5 2 2" xfId="35294" xr:uid="{00000000-0005-0000-0000-0000DE890000}"/>
    <cellStyle name="Normal 55 5 5 2 3" xfId="35295" xr:uid="{00000000-0005-0000-0000-0000DF890000}"/>
    <cellStyle name="Normal 55 5 5 2 4" xfId="35296" xr:uid="{00000000-0005-0000-0000-0000E0890000}"/>
    <cellStyle name="Normal 55 5 5 2 5" xfId="35297" xr:uid="{00000000-0005-0000-0000-0000E1890000}"/>
    <cellStyle name="Normal 55 5 5 2 6" xfId="35298" xr:uid="{00000000-0005-0000-0000-0000E2890000}"/>
    <cellStyle name="Normal 55 5 5 3" xfId="35299" xr:uid="{00000000-0005-0000-0000-0000E3890000}"/>
    <cellStyle name="Normal 55 5 5 3 2" xfId="35300" xr:uid="{00000000-0005-0000-0000-0000E4890000}"/>
    <cellStyle name="Normal 55 5 5 3 3" xfId="35301" xr:uid="{00000000-0005-0000-0000-0000E5890000}"/>
    <cellStyle name="Normal 55 5 5 3 4" xfId="35302" xr:uid="{00000000-0005-0000-0000-0000E6890000}"/>
    <cellStyle name="Normal 55 5 5 3 5" xfId="35303" xr:uid="{00000000-0005-0000-0000-0000E7890000}"/>
    <cellStyle name="Normal 55 5 5 3 6" xfId="35304" xr:uid="{00000000-0005-0000-0000-0000E8890000}"/>
    <cellStyle name="Normal 55 5 5 4" xfId="35305" xr:uid="{00000000-0005-0000-0000-0000E9890000}"/>
    <cellStyle name="Normal 55 5 5 5" xfId="35306" xr:uid="{00000000-0005-0000-0000-0000EA890000}"/>
    <cellStyle name="Normal 55 5 5 6" xfId="35307" xr:uid="{00000000-0005-0000-0000-0000EB890000}"/>
    <cellStyle name="Normal 55 5 5 7" xfId="35308" xr:uid="{00000000-0005-0000-0000-0000EC890000}"/>
    <cellStyle name="Normal 55 5 5 8" xfId="35309" xr:uid="{00000000-0005-0000-0000-0000ED890000}"/>
    <cellStyle name="Normal 55 5 6" xfId="35310" xr:uid="{00000000-0005-0000-0000-0000EE890000}"/>
    <cellStyle name="Normal 55 5 6 2" xfId="35311" xr:uid="{00000000-0005-0000-0000-0000EF890000}"/>
    <cellStyle name="Normal 55 5 6 3" xfId="35312" xr:uid="{00000000-0005-0000-0000-0000F0890000}"/>
    <cellStyle name="Normal 55 5 6 4" xfId="35313" xr:uid="{00000000-0005-0000-0000-0000F1890000}"/>
    <cellStyle name="Normal 55 5 6 5" xfId="35314" xr:uid="{00000000-0005-0000-0000-0000F2890000}"/>
    <cellStyle name="Normal 55 5 6 6" xfId="35315" xr:uid="{00000000-0005-0000-0000-0000F3890000}"/>
    <cellStyle name="Normal 55 5 7" xfId="35316" xr:uid="{00000000-0005-0000-0000-0000F4890000}"/>
    <cellStyle name="Normal 55 5 7 2" xfId="35317" xr:uid="{00000000-0005-0000-0000-0000F5890000}"/>
    <cellStyle name="Normal 55 5 7 3" xfId="35318" xr:uid="{00000000-0005-0000-0000-0000F6890000}"/>
    <cellStyle name="Normal 55 5 7 4" xfId="35319" xr:uid="{00000000-0005-0000-0000-0000F7890000}"/>
    <cellStyle name="Normal 55 5 7 5" xfId="35320" xr:uid="{00000000-0005-0000-0000-0000F8890000}"/>
    <cellStyle name="Normal 55 5 7 6" xfId="35321" xr:uid="{00000000-0005-0000-0000-0000F9890000}"/>
    <cellStyle name="Normal 55 5 8" xfId="35322" xr:uid="{00000000-0005-0000-0000-0000FA890000}"/>
    <cellStyle name="Normal 55 5 9" xfId="35323" xr:uid="{00000000-0005-0000-0000-0000FB890000}"/>
    <cellStyle name="Normal 55 6" xfId="35324" xr:uid="{00000000-0005-0000-0000-0000FC890000}"/>
    <cellStyle name="Normal 55 6 10" xfId="35325" xr:uid="{00000000-0005-0000-0000-0000FD890000}"/>
    <cellStyle name="Normal 55 6 11" xfId="35326" xr:uid="{00000000-0005-0000-0000-0000FE890000}"/>
    <cellStyle name="Normal 55 6 12" xfId="35327" xr:uid="{00000000-0005-0000-0000-0000FF890000}"/>
    <cellStyle name="Normal 55 6 2" xfId="35328" xr:uid="{00000000-0005-0000-0000-0000008A0000}"/>
    <cellStyle name="Normal 55 6 2 10" xfId="35329" xr:uid="{00000000-0005-0000-0000-0000018A0000}"/>
    <cellStyle name="Normal 55 6 2 11" xfId="35330" xr:uid="{00000000-0005-0000-0000-0000028A0000}"/>
    <cellStyle name="Normal 55 6 2 2" xfId="35331" xr:uid="{00000000-0005-0000-0000-0000038A0000}"/>
    <cellStyle name="Normal 55 6 2 2 2" xfId="35332" xr:uid="{00000000-0005-0000-0000-0000048A0000}"/>
    <cellStyle name="Normal 55 6 2 2 2 2" xfId="35333" xr:uid="{00000000-0005-0000-0000-0000058A0000}"/>
    <cellStyle name="Normal 55 6 2 2 2 3" xfId="35334" xr:uid="{00000000-0005-0000-0000-0000068A0000}"/>
    <cellStyle name="Normal 55 6 2 2 2 4" xfId="35335" xr:uid="{00000000-0005-0000-0000-0000078A0000}"/>
    <cellStyle name="Normal 55 6 2 2 2 5" xfId="35336" xr:uid="{00000000-0005-0000-0000-0000088A0000}"/>
    <cellStyle name="Normal 55 6 2 2 2 6" xfId="35337" xr:uid="{00000000-0005-0000-0000-0000098A0000}"/>
    <cellStyle name="Normal 55 6 2 2 3" xfId="35338" xr:uid="{00000000-0005-0000-0000-00000A8A0000}"/>
    <cellStyle name="Normal 55 6 2 2 3 2" xfId="35339" xr:uid="{00000000-0005-0000-0000-00000B8A0000}"/>
    <cellStyle name="Normal 55 6 2 2 3 3" xfId="35340" xr:uid="{00000000-0005-0000-0000-00000C8A0000}"/>
    <cellStyle name="Normal 55 6 2 2 3 4" xfId="35341" xr:uid="{00000000-0005-0000-0000-00000D8A0000}"/>
    <cellStyle name="Normal 55 6 2 2 3 5" xfId="35342" xr:uid="{00000000-0005-0000-0000-00000E8A0000}"/>
    <cellStyle name="Normal 55 6 2 2 3 6" xfId="35343" xr:uid="{00000000-0005-0000-0000-00000F8A0000}"/>
    <cellStyle name="Normal 55 6 2 2 4" xfId="35344" xr:uid="{00000000-0005-0000-0000-0000108A0000}"/>
    <cellStyle name="Normal 55 6 2 2 5" xfId="35345" xr:uid="{00000000-0005-0000-0000-0000118A0000}"/>
    <cellStyle name="Normal 55 6 2 2 6" xfId="35346" xr:uid="{00000000-0005-0000-0000-0000128A0000}"/>
    <cellStyle name="Normal 55 6 2 2 7" xfId="35347" xr:uid="{00000000-0005-0000-0000-0000138A0000}"/>
    <cellStyle name="Normal 55 6 2 2 8" xfId="35348" xr:uid="{00000000-0005-0000-0000-0000148A0000}"/>
    <cellStyle name="Normal 55 6 2 3" xfId="35349" xr:uid="{00000000-0005-0000-0000-0000158A0000}"/>
    <cellStyle name="Normal 55 6 2 3 2" xfId="35350" xr:uid="{00000000-0005-0000-0000-0000168A0000}"/>
    <cellStyle name="Normal 55 6 2 3 2 2" xfId="35351" xr:uid="{00000000-0005-0000-0000-0000178A0000}"/>
    <cellStyle name="Normal 55 6 2 3 2 3" xfId="35352" xr:uid="{00000000-0005-0000-0000-0000188A0000}"/>
    <cellStyle name="Normal 55 6 2 3 2 4" xfId="35353" xr:uid="{00000000-0005-0000-0000-0000198A0000}"/>
    <cellStyle name="Normal 55 6 2 3 2 5" xfId="35354" xr:uid="{00000000-0005-0000-0000-00001A8A0000}"/>
    <cellStyle name="Normal 55 6 2 3 2 6" xfId="35355" xr:uid="{00000000-0005-0000-0000-00001B8A0000}"/>
    <cellStyle name="Normal 55 6 2 3 3" xfId="35356" xr:uid="{00000000-0005-0000-0000-00001C8A0000}"/>
    <cellStyle name="Normal 55 6 2 3 3 2" xfId="35357" xr:uid="{00000000-0005-0000-0000-00001D8A0000}"/>
    <cellStyle name="Normal 55 6 2 3 3 3" xfId="35358" xr:uid="{00000000-0005-0000-0000-00001E8A0000}"/>
    <cellStyle name="Normal 55 6 2 3 3 4" xfId="35359" xr:uid="{00000000-0005-0000-0000-00001F8A0000}"/>
    <cellStyle name="Normal 55 6 2 3 3 5" xfId="35360" xr:uid="{00000000-0005-0000-0000-0000208A0000}"/>
    <cellStyle name="Normal 55 6 2 3 3 6" xfId="35361" xr:uid="{00000000-0005-0000-0000-0000218A0000}"/>
    <cellStyle name="Normal 55 6 2 3 4" xfId="35362" xr:uid="{00000000-0005-0000-0000-0000228A0000}"/>
    <cellStyle name="Normal 55 6 2 3 5" xfId="35363" xr:uid="{00000000-0005-0000-0000-0000238A0000}"/>
    <cellStyle name="Normal 55 6 2 3 6" xfId="35364" xr:uid="{00000000-0005-0000-0000-0000248A0000}"/>
    <cellStyle name="Normal 55 6 2 3 7" xfId="35365" xr:uid="{00000000-0005-0000-0000-0000258A0000}"/>
    <cellStyle name="Normal 55 6 2 3 8" xfId="35366" xr:uid="{00000000-0005-0000-0000-0000268A0000}"/>
    <cellStyle name="Normal 55 6 2 4" xfId="35367" xr:uid="{00000000-0005-0000-0000-0000278A0000}"/>
    <cellStyle name="Normal 55 6 2 4 2" xfId="35368" xr:uid="{00000000-0005-0000-0000-0000288A0000}"/>
    <cellStyle name="Normal 55 6 2 4 2 2" xfId="35369" xr:uid="{00000000-0005-0000-0000-0000298A0000}"/>
    <cellStyle name="Normal 55 6 2 4 2 3" xfId="35370" xr:uid="{00000000-0005-0000-0000-00002A8A0000}"/>
    <cellStyle name="Normal 55 6 2 4 2 4" xfId="35371" xr:uid="{00000000-0005-0000-0000-00002B8A0000}"/>
    <cellStyle name="Normal 55 6 2 4 2 5" xfId="35372" xr:uid="{00000000-0005-0000-0000-00002C8A0000}"/>
    <cellStyle name="Normal 55 6 2 4 2 6" xfId="35373" xr:uid="{00000000-0005-0000-0000-00002D8A0000}"/>
    <cellStyle name="Normal 55 6 2 4 3" xfId="35374" xr:uid="{00000000-0005-0000-0000-00002E8A0000}"/>
    <cellStyle name="Normal 55 6 2 4 3 2" xfId="35375" xr:uid="{00000000-0005-0000-0000-00002F8A0000}"/>
    <cellStyle name="Normal 55 6 2 4 3 3" xfId="35376" xr:uid="{00000000-0005-0000-0000-0000308A0000}"/>
    <cellStyle name="Normal 55 6 2 4 3 4" xfId="35377" xr:uid="{00000000-0005-0000-0000-0000318A0000}"/>
    <cellStyle name="Normal 55 6 2 4 3 5" xfId="35378" xr:uid="{00000000-0005-0000-0000-0000328A0000}"/>
    <cellStyle name="Normal 55 6 2 4 3 6" xfId="35379" xr:uid="{00000000-0005-0000-0000-0000338A0000}"/>
    <cellStyle name="Normal 55 6 2 4 4" xfId="35380" xr:uid="{00000000-0005-0000-0000-0000348A0000}"/>
    <cellStyle name="Normal 55 6 2 4 5" xfId="35381" xr:uid="{00000000-0005-0000-0000-0000358A0000}"/>
    <cellStyle name="Normal 55 6 2 4 6" xfId="35382" xr:uid="{00000000-0005-0000-0000-0000368A0000}"/>
    <cellStyle name="Normal 55 6 2 4 7" xfId="35383" xr:uid="{00000000-0005-0000-0000-0000378A0000}"/>
    <cellStyle name="Normal 55 6 2 4 8" xfId="35384" xr:uid="{00000000-0005-0000-0000-0000388A0000}"/>
    <cellStyle name="Normal 55 6 2 5" xfId="35385" xr:uid="{00000000-0005-0000-0000-0000398A0000}"/>
    <cellStyle name="Normal 55 6 2 5 2" xfId="35386" xr:uid="{00000000-0005-0000-0000-00003A8A0000}"/>
    <cellStyle name="Normal 55 6 2 5 3" xfId="35387" xr:uid="{00000000-0005-0000-0000-00003B8A0000}"/>
    <cellStyle name="Normal 55 6 2 5 4" xfId="35388" xr:uid="{00000000-0005-0000-0000-00003C8A0000}"/>
    <cellStyle name="Normal 55 6 2 5 5" xfId="35389" xr:uid="{00000000-0005-0000-0000-00003D8A0000}"/>
    <cellStyle name="Normal 55 6 2 5 6" xfId="35390" xr:uid="{00000000-0005-0000-0000-00003E8A0000}"/>
    <cellStyle name="Normal 55 6 2 6" xfId="35391" xr:uid="{00000000-0005-0000-0000-00003F8A0000}"/>
    <cellStyle name="Normal 55 6 2 6 2" xfId="35392" xr:uid="{00000000-0005-0000-0000-0000408A0000}"/>
    <cellStyle name="Normal 55 6 2 6 3" xfId="35393" xr:uid="{00000000-0005-0000-0000-0000418A0000}"/>
    <cellStyle name="Normal 55 6 2 6 4" xfId="35394" xr:uid="{00000000-0005-0000-0000-0000428A0000}"/>
    <cellStyle name="Normal 55 6 2 6 5" xfId="35395" xr:uid="{00000000-0005-0000-0000-0000438A0000}"/>
    <cellStyle name="Normal 55 6 2 6 6" xfId="35396" xr:uid="{00000000-0005-0000-0000-0000448A0000}"/>
    <cellStyle name="Normal 55 6 2 7" xfId="35397" xr:uid="{00000000-0005-0000-0000-0000458A0000}"/>
    <cellStyle name="Normal 55 6 2 8" xfId="35398" xr:uid="{00000000-0005-0000-0000-0000468A0000}"/>
    <cellStyle name="Normal 55 6 2 9" xfId="35399" xr:uid="{00000000-0005-0000-0000-0000478A0000}"/>
    <cellStyle name="Normal 55 6 3" xfId="35400" xr:uid="{00000000-0005-0000-0000-0000488A0000}"/>
    <cellStyle name="Normal 55 6 3 2" xfId="35401" xr:uid="{00000000-0005-0000-0000-0000498A0000}"/>
    <cellStyle name="Normal 55 6 3 2 2" xfId="35402" xr:uid="{00000000-0005-0000-0000-00004A8A0000}"/>
    <cellStyle name="Normal 55 6 3 2 3" xfId="35403" xr:uid="{00000000-0005-0000-0000-00004B8A0000}"/>
    <cellStyle name="Normal 55 6 3 2 4" xfId="35404" xr:uid="{00000000-0005-0000-0000-00004C8A0000}"/>
    <cellStyle name="Normal 55 6 3 2 5" xfId="35405" xr:uid="{00000000-0005-0000-0000-00004D8A0000}"/>
    <cellStyle name="Normal 55 6 3 2 6" xfId="35406" xr:uid="{00000000-0005-0000-0000-00004E8A0000}"/>
    <cellStyle name="Normal 55 6 3 3" xfId="35407" xr:uid="{00000000-0005-0000-0000-00004F8A0000}"/>
    <cellStyle name="Normal 55 6 3 3 2" xfId="35408" xr:uid="{00000000-0005-0000-0000-0000508A0000}"/>
    <cellStyle name="Normal 55 6 3 3 3" xfId="35409" xr:uid="{00000000-0005-0000-0000-0000518A0000}"/>
    <cellStyle name="Normal 55 6 3 3 4" xfId="35410" xr:uid="{00000000-0005-0000-0000-0000528A0000}"/>
    <cellStyle name="Normal 55 6 3 3 5" xfId="35411" xr:uid="{00000000-0005-0000-0000-0000538A0000}"/>
    <cellStyle name="Normal 55 6 3 3 6" xfId="35412" xr:uid="{00000000-0005-0000-0000-0000548A0000}"/>
    <cellStyle name="Normal 55 6 3 4" xfId="35413" xr:uid="{00000000-0005-0000-0000-0000558A0000}"/>
    <cellStyle name="Normal 55 6 3 5" xfId="35414" xr:uid="{00000000-0005-0000-0000-0000568A0000}"/>
    <cellStyle name="Normal 55 6 3 6" xfId="35415" xr:uid="{00000000-0005-0000-0000-0000578A0000}"/>
    <cellStyle name="Normal 55 6 3 7" xfId="35416" xr:uid="{00000000-0005-0000-0000-0000588A0000}"/>
    <cellStyle name="Normal 55 6 3 8" xfId="35417" xr:uid="{00000000-0005-0000-0000-0000598A0000}"/>
    <cellStyle name="Normal 55 6 4" xfId="35418" xr:uid="{00000000-0005-0000-0000-00005A8A0000}"/>
    <cellStyle name="Normal 55 6 4 2" xfId="35419" xr:uid="{00000000-0005-0000-0000-00005B8A0000}"/>
    <cellStyle name="Normal 55 6 4 2 2" xfId="35420" xr:uid="{00000000-0005-0000-0000-00005C8A0000}"/>
    <cellStyle name="Normal 55 6 4 2 3" xfId="35421" xr:uid="{00000000-0005-0000-0000-00005D8A0000}"/>
    <cellStyle name="Normal 55 6 4 2 4" xfId="35422" xr:uid="{00000000-0005-0000-0000-00005E8A0000}"/>
    <cellStyle name="Normal 55 6 4 2 5" xfId="35423" xr:uid="{00000000-0005-0000-0000-00005F8A0000}"/>
    <cellStyle name="Normal 55 6 4 2 6" xfId="35424" xr:uid="{00000000-0005-0000-0000-0000608A0000}"/>
    <cellStyle name="Normal 55 6 4 3" xfId="35425" xr:uid="{00000000-0005-0000-0000-0000618A0000}"/>
    <cellStyle name="Normal 55 6 4 3 2" xfId="35426" xr:uid="{00000000-0005-0000-0000-0000628A0000}"/>
    <cellStyle name="Normal 55 6 4 3 3" xfId="35427" xr:uid="{00000000-0005-0000-0000-0000638A0000}"/>
    <cellStyle name="Normal 55 6 4 3 4" xfId="35428" xr:uid="{00000000-0005-0000-0000-0000648A0000}"/>
    <cellStyle name="Normal 55 6 4 3 5" xfId="35429" xr:uid="{00000000-0005-0000-0000-0000658A0000}"/>
    <cellStyle name="Normal 55 6 4 3 6" xfId="35430" xr:uid="{00000000-0005-0000-0000-0000668A0000}"/>
    <cellStyle name="Normal 55 6 4 4" xfId="35431" xr:uid="{00000000-0005-0000-0000-0000678A0000}"/>
    <cellStyle name="Normal 55 6 4 5" xfId="35432" xr:uid="{00000000-0005-0000-0000-0000688A0000}"/>
    <cellStyle name="Normal 55 6 4 6" xfId="35433" xr:uid="{00000000-0005-0000-0000-0000698A0000}"/>
    <cellStyle name="Normal 55 6 4 7" xfId="35434" xr:uid="{00000000-0005-0000-0000-00006A8A0000}"/>
    <cellStyle name="Normal 55 6 4 8" xfId="35435" xr:uid="{00000000-0005-0000-0000-00006B8A0000}"/>
    <cellStyle name="Normal 55 6 5" xfId="35436" xr:uid="{00000000-0005-0000-0000-00006C8A0000}"/>
    <cellStyle name="Normal 55 6 5 2" xfId="35437" xr:uid="{00000000-0005-0000-0000-00006D8A0000}"/>
    <cellStyle name="Normal 55 6 5 2 2" xfId="35438" xr:uid="{00000000-0005-0000-0000-00006E8A0000}"/>
    <cellStyle name="Normal 55 6 5 2 3" xfId="35439" xr:uid="{00000000-0005-0000-0000-00006F8A0000}"/>
    <cellStyle name="Normal 55 6 5 2 4" xfId="35440" xr:uid="{00000000-0005-0000-0000-0000708A0000}"/>
    <cellStyle name="Normal 55 6 5 2 5" xfId="35441" xr:uid="{00000000-0005-0000-0000-0000718A0000}"/>
    <cellStyle name="Normal 55 6 5 2 6" xfId="35442" xr:uid="{00000000-0005-0000-0000-0000728A0000}"/>
    <cellStyle name="Normal 55 6 5 3" xfId="35443" xr:uid="{00000000-0005-0000-0000-0000738A0000}"/>
    <cellStyle name="Normal 55 6 5 3 2" xfId="35444" xr:uid="{00000000-0005-0000-0000-0000748A0000}"/>
    <cellStyle name="Normal 55 6 5 3 3" xfId="35445" xr:uid="{00000000-0005-0000-0000-0000758A0000}"/>
    <cellStyle name="Normal 55 6 5 3 4" xfId="35446" xr:uid="{00000000-0005-0000-0000-0000768A0000}"/>
    <cellStyle name="Normal 55 6 5 3 5" xfId="35447" xr:uid="{00000000-0005-0000-0000-0000778A0000}"/>
    <cellStyle name="Normal 55 6 5 3 6" xfId="35448" xr:uid="{00000000-0005-0000-0000-0000788A0000}"/>
    <cellStyle name="Normal 55 6 5 4" xfId="35449" xr:uid="{00000000-0005-0000-0000-0000798A0000}"/>
    <cellStyle name="Normal 55 6 5 5" xfId="35450" xr:uid="{00000000-0005-0000-0000-00007A8A0000}"/>
    <cellStyle name="Normal 55 6 5 6" xfId="35451" xr:uid="{00000000-0005-0000-0000-00007B8A0000}"/>
    <cellStyle name="Normal 55 6 5 7" xfId="35452" xr:uid="{00000000-0005-0000-0000-00007C8A0000}"/>
    <cellStyle name="Normal 55 6 5 8" xfId="35453" xr:uid="{00000000-0005-0000-0000-00007D8A0000}"/>
    <cellStyle name="Normal 55 6 6" xfId="35454" xr:uid="{00000000-0005-0000-0000-00007E8A0000}"/>
    <cellStyle name="Normal 55 6 6 2" xfId="35455" xr:uid="{00000000-0005-0000-0000-00007F8A0000}"/>
    <cellStyle name="Normal 55 6 6 3" xfId="35456" xr:uid="{00000000-0005-0000-0000-0000808A0000}"/>
    <cellStyle name="Normal 55 6 6 4" xfId="35457" xr:uid="{00000000-0005-0000-0000-0000818A0000}"/>
    <cellStyle name="Normal 55 6 6 5" xfId="35458" xr:uid="{00000000-0005-0000-0000-0000828A0000}"/>
    <cellStyle name="Normal 55 6 6 6" xfId="35459" xr:uid="{00000000-0005-0000-0000-0000838A0000}"/>
    <cellStyle name="Normal 55 6 7" xfId="35460" xr:uid="{00000000-0005-0000-0000-0000848A0000}"/>
    <cellStyle name="Normal 55 6 7 2" xfId="35461" xr:uid="{00000000-0005-0000-0000-0000858A0000}"/>
    <cellStyle name="Normal 55 6 7 3" xfId="35462" xr:uid="{00000000-0005-0000-0000-0000868A0000}"/>
    <cellStyle name="Normal 55 6 7 4" xfId="35463" xr:uid="{00000000-0005-0000-0000-0000878A0000}"/>
    <cellStyle name="Normal 55 6 7 5" xfId="35464" xr:uid="{00000000-0005-0000-0000-0000888A0000}"/>
    <cellStyle name="Normal 55 6 7 6" xfId="35465" xr:uid="{00000000-0005-0000-0000-0000898A0000}"/>
    <cellStyle name="Normal 55 6 8" xfId="35466" xr:uid="{00000000-0005-0000-0000-00008A8A0000}"/>
    <cellStyle name="Normal 55 6 9" xfId="35467" xr:uid="{00000000-0005-0000-0000-00008B8A0000}"/>
    <cellStyle name="Normal 55 7" xfId="35468" xr:uid="{00000000-0005-0000-0000-00008C8A0000}"/>
    <cellStyle name="Normal 55 7 10" xfId="35469" xr:uid="{00000000-0005-0000-0000-00008D8A0000}"/>
    <cellStyle name="Normal 55 7 11" xfId="35470" xr:uid="{00000000-0005-0000-0000-00008E8A0000}"/>
    <cellStyle name="Normal 55 7 2" xfId="35471" xr:uid="{00000000-0005-0000-0000-00008F8A0000}"/>
    <cellStyle name="Normal 55 7 2 2" xfId="35472" xr:uid="{00000000-0005-0000-0000-0000908A0000}"/>
    <cellStyle name="Normal 55 7 2 2 2" xfId="35473" xr:uid="{00000000-0005-0000-0000-0000918A0000}"/>
    <cellStyle name="Normal 55 7 2 2 3" xfId="35474" xr:uid="{00000000-0005-0000-0000-0000928A0000}"/>
    <cellStyle name="Normal 55 7 2 2 4" xfId="35475" xr:uid="{00000000-0005-0000-0000-0000938A0000}"/>
    <cellStyle name="Normal 55 7 2 2 5" xfId="35476" xr:uid="{00000000-0005-0000-0000-0000948A0000}"/>
    <cellStyle name="Normal 55 7 2 2 6" xfId="35477" xr:uid="{00000000-0005-0000-0000-0000958A0000}"/>
    <cellStyle name="Normal 55 7 2 3" xfId="35478" xr:uid="{00000000-0005-0000-0000-0000968A0000}"/>
    <cellStyle name="Normal 55 7 2 3 2" xfId="35479" xr:uid="{00000000-0005-0000-0000-0000978A0000}"/>
    <cellStyle name="Normal 55 7 2 3 3" xfId="35480" xr:uid="{00000000-0005-0000-0000-0000988A0000}"/>
    <cellStyle name="Normal 55 7 2 3 4" xfId="35481" xr:uid="{00000000-0005-0000-0000-0000998A0000}"/>
    <cellStyle name="Normal 55 7 2 3 5" xfId="35482" xr:uid="{00000000-0005-0000-0000-00009A8A0000}"/>
    <cellStyle name="Normal 55 7 2 3 6" xfId="35483" xr:uid="{00000000-0005-0000-0000-00009B8A0000}"/>
    <cellStyle name="Normal 55 7 2 4" xfId="35484" xr:uid="{00000000-0005-0000-0000-00009C8A0000}"/>
    <cellStyle name="Normal 55 7 2 5" xfId="35485" xr:uid="{00000000-0005-0000-0000-00009D8A0000}"/>
    <cellStyle name="Normal 55 7 2 6" xfId="35486" xr:uid="{00000000-0005-0000-0000-00009E8A0000}"/>
    <cellStyle name="Normal 55 7 2 7" xfId="35487" xr:uid="{00000000-0005-0000-0000-00009F8A0000}"/>
    <cellStyle name="Normal 55 7 2 8" xfId="35488" xr:uid="{00000000-0005-0000-0000-0000A08A0000}"/>
    <cellStyle name="Normal 55 7 3" xfId="35489" xr:uid="{00000000-0005-0000-0000-0000A18A0000}"/>
    <cellStyle name="Normal 55 7 3 2" xfId="35490" xr:uid="{00000000-0005-0000-0000-0000A28A0000}"/>
    <cellStyle name="Normal 55 7 3 2 2" xfId="35491" xr:uid="{00000000-0005-0000-0000-0000A38A0000}"/>
    <cellStyle name="Normal 55 7 3 2 3" xfId="35492" xr:uid="{00000000-0005-0000-0000-0000A48A0000}"/>
    <cellStyle name="Normal 55 7 3 2 4" xfId="35493" xr:uid="{00000000-0005-0000-0000-0000A58A0000}"/>
    <cellStyle name="Normal 55 7 3 2 5" xfId="35494" xr:uid="{00000000-0005-0000-0000-0000A68A0000}"/>
    <cellStyle name="Normal 55 7 3 2 6" xfId="35495" xr:uid="{00000000-0005-0000-0000-0000A78A0000}"/>
    <cellStyle name="Normal 55 7 3 3" xfId="35496" xr:uid="{00000000-0005-0000-0000-0000A88A0000}"/>
    <cellStyle name="Normal 55 7 3 3 2" xfId="35497" xr:uid="{00000000-0005-0000-0000-0000A98A0000}"/>
    <cellStyle name="Normal 55 7 3 3 3" xfId="35498" xr:uid="{00000000-0005-0000-0000-0000AA8A0000}"/>
    <cellStyle name="Normal 55 7 3 3 4" xfId="35499" xr:uid="{00000000-0005-0000-0000-0000AB8A0000}"/>
    <cellStyle name="Normal 55 7 3 3 5" xfId="35500" xr:uid="{00000000-0005-0000-0000-0000AC8A0000}"/>
    <cellStyle name="Normal 55 7 3 3 6" xfId="35501" xr:uid="{00000000-0005-0000-0000-0000AD8A0000}"/>
    <cellStyle name="Normal 55 7 3 4" xfId="35502" xr:uid="{00000000-0005-0000-0000-0000AE8A0000}"/>
    <cellStyle name="Normal 55 7 3 5" xfId="35503" xr:uid="{00000000-0005-0000-0000-0000AF8A0000}"/>
    <cellStyle name="Normal 55 7 3 6" xfId="35504" xr:uid="{00000000-0005-0000-0000-0000B08A0000}"/>
    <cellStyle name="Normal 55 7 3 7" xfId="35505" xr:uid="{00000000-0005-0000-0000-0000B18A0000}"/>
    <cellStyle name="Normal 55 7 3 8" xfId="35506" xr:uid="{00000000-0005-0000-0000-0000B28A0000}"/>
    <cellStyle name="Normal 55 7 4" xfId="35507" xr:uid="{00000000-0005-0000-0000-0000B38A0000}"/>
    <cellStyle name="Normal 55 7 4 2" xfId="35508" xr:uid="{00000000-0005-0000-0000-0000B48A0000}"/>
    <cellStyle name="Normal 55 7 4 2 2" xfId="35509" xr:uid="{00000000-0005-0000-0000-0000B58A0000}"/>
    <cellStyle name="Normal 55 7 4 2 3" xfId="35510" xr:uid="{00000000-0005-0000-0000-0000B68A0000}"/>
    <cellStyle name="Normal 55 7 4 2 4" xfId="35511" xr:uid="{00000000-0005-0000-0000-0000B78A0000}"/>
    <cellStyle name="Normal 55 7 4 2 5" xfId="35512" xr:uid="{00000000-0005-0000-0000-0000B88A0000}"/>
    <cellStyle name="Normal 55 7 4 2 6" xfId="35513" xr:uid="{00000000-0005-0000-0000-0000B98A0000}"/>
    <cellStyle name="Normal 55 7 4 3" xfId="35514" xr:uid="{00000000-0005-0000-0000-0000BA8A0000}"/>
    <cellStyle name="Normal 55 7 4 3 2" xfId="35515" xr:uid="{00000000-0005-0000-0000-0000BB8A0000}"/>
    <cellStyle name="Normal 55 7 4 3 3" xfId="35516" xr:uid="{00000000-0005-0000-0000-0000BC8A0000}"/>
    <cellStyle name="Normal 55 7 4 3 4" xfId="35517" xr:uid="{00000000-0005-0000-0000-0000BD8A0000}"/>
    <cellStyle name="Normal 55 7 4 3 5" xfId="35518" xr:uid="{00000000-0005-0000-0000-0000BE8A0000}"/>
    <cellStyle name="Normal 55 7 4 3 6" xfId="35519" xr:uid="{00000000-0005-0000-0000-0000BF8A0000}"/>
    <cellStyle name="Normal 55 7 4 4" xfId="35520" xr:uid="{00000000-0005-0000-0000-0000C08A0000}"/>
    <cellStyle name="Normal 55 7 4 5" xfId="35521" xr:uid="{00000000-0005-0000-0000-0000C18A0000}"/>
    <cellStyle name="Normal 55 7 4 6" xfId="35522" xr:uid="{00000000-0005-0000-0000-0000C28A0000}"/>
    <cellStyle name="Normal 55 7 4 7" xfId="35523" xr:uid="{00000000-0005-0000-0000-0000C38A0000}"/>
    <cellStyle name="Normal 55 7 4 8" xfId="35524" xr:uid="{00000000-0005-0000-0000-0000C48A0000}"/>
    <cellStyle name="Normal 55 7 5" xfId="35525" xr:uid="{00000000-0005-0000-0000-0000C58A0000}"/>
    <cellStyle name="Normal 55 7 5 2" xfId="35526" xr:uid="{00000000-0005-0000-0000-0000C68A0000}"/>
    <cellStyle name="Normal 55 7 5 3" xfId="35527" xr:uid="{00000000-0005-0000-0000-0000C78A0000}"/>
    <cellStyle name="Normal 55 7 5 4" xfId="35528" xr:uid="{00000000-0005-0000-0000-0000C88A0000}"/>
    <cellStyle name="Normal 55 7 5 5" xfId="35529" xr:uid="{00000000-0005-0000-0000-0000C98A0000}"/>
    <cellStyle name="Normal 55 7 5 6" xfId="35530" xr:uid="{00000000-0005-0000-0000-0000CA8A0000}"/>
    <cellStyle name="Normal 55 7 6" xfId="35531" xr:uid="{00000000-0005-0000-0000-0000CB8A0000}"/>
    <cellStyle name="Normal 55 7 6 2" xfId="35532" xr:uid="{00000000-0005-0000-0000-0000CC8A0000}"/>
    <cellStyle name="Normal 55 7 6 3" xfId="35533" xr:uid="{00000000-0005-0000-0000-0000CD8A0000}"/>
    <cellStyle name="Normal 55 7 6 4" xfId="35534" xr:uid="{00000000-0005-0000-0000-0000CE8A0000}"/>
    <cellStyle name="Normal 55 7 6 5" xfId="35535" xr:uid="{00000000-0005-0000-0000-0000CF8A0000}"/>
    <cellStyle name="Normal 55 7 6 6" xfId="35536" xr:uid="{00000000-0005-0000-0000-0000D08A0000}"/>
    <cellStyle name="Normal 55 7 7" xfId="35537" xr:uid="{00000000-0005-0000-0000-0000D18A0000}"/>
    <cellStyle name="Normal 55 7 8" xfId="35538" xr:uid="{00000000-0005-0000-0000-0000D28A0000}"/>
    <cellStyle name="Normal 55 7 9" xfId="35539" xr:uid="{00000000-0005-0000-0000-0000D38A0000}"/>
    <cellStyle name="Normal 55 8" xfId="35540" xr:uid="{00000000-0005-0000-0000-0000D48A0000}"/>
    <cellStyle name="Normal 55 8 2" xfId="35541" xr:uid="{00000000-0005-0000-0000-0000D58A0000}"/>
    <cellStyle name="Normal 55 8 2 2" xfId="35542" xr:uid="{00000000-0005-0000-0000-0000D68A0000}"/>
    <cellStyle name="Normal 55 8 2 3" xfId="35543" xr:uid="{00000000-0005-0000-0000-0000D78A0000}"/>
    <cellStyle name="Normal 55 8 2 4" xfId="35544" xr:uid="{00000000-0005-0000-0000-0000D88A0000}"/>
    <cellStyle name="Normal 55 8 2 5" xfId="35545" xr:uid="{00000000-0005-0000-0000-0000D98A0000}"/>
    <cellStyle name="Normal 55 8 2 6" xfId="35546" xr:uid="{00000000-0005-0000-0000-0000DA8A0000}"/>
    <cellStyle name="Normal 55 8 3" xfId="35547" xr:uid="{00000000-0005-0000-0000-0000DB8A0000}"/>
    <cellStyle name="Normal 55 8 3 2" xfId="35548" xr:uid="{00000000-0005-0000-0000-0000DC8A0000}"/>
    <cellStyle name="Normal 55 8 3 3" xfId="35549" xr:uid="{00000000-0005-0000-0000-0000DD8A0000}"/>
    <cellStyle name="Normal 55 8 3 4" xfId="35550" xr:uid="{00000000-0005-0000-0000-0000DE8A0000}"/>
    <cellStyle name="Normal 55 8 3 5" xfId="35551" xr:uid="{00000000-0005-0000-0000-0000DF8A0000}"/>
    <cellStyle name="Normal 55 8 3 6" xfId="35552" xr:uid="{00000000-0005-0000-0000-0000E08A0000}"/>
    <cellStyle name="Normal 55 8 4" xfId="35553" xr:uid="{00000000-0005-0000-0000-0000E18A0000}"/>
    <cellStyle name="Normal 55 8 5" xfId="35554" xr:uid="{00000000-0005-0000-0000-0000E28A0000}"/>
    <cellStyle name="Normal 55 8 6" xfId="35555" xr:uid="{00000000-0005-0000-0000-0000E38A0000}"/>
    <cellStyle name="Normal 55 8 7" xfId="35556" xr:uid="{00000000-0005-0000-0000-0000E48A0000}"/>
    <cellStyle name="Normal 55 8 8" xfId="35557" xr:uid="{00000000-0005-0000-0000-0000E58A0000}"/>
    <cellStyle name="Normal 55 9" xfId="35558" xr:uid="{00000000-0005-0000-0000-0000E68A0000}"/>
    <cellStyle name="Normal 55 9 2" xfId="35559" xr:uid="{00000000-0005-0000-0000-0000E78A0000}"/>
    <cellStyle name="Normal 55 9 2 2" xfId="35560" xr:uid="{00000000-0005-0000-0000-0000E88A0000}"/>
    <cellStyle name="Normal 55 9 2 3" xfId="35561" xr:uid="{00000000-0005-0000-0000-0000E98A0000}"/>
    <cellStyle name="Normal 55 9 2 4" xfId="35562" xr:uid="{00000000-0005-0000-0000-0000EA8A0000}"/>
    <cellStyle name="Normal 55 9 2 5" xfId="35563" xr:uid="{00000000-0005-0000-0000-0000EB8A0000}"/>
    <cellStyle name="Normal 55 9 2 6" xfId="35564" xr:uid="{00000000-0005-0000-0000-0000EC8A0000}"/>
    <cellStyle name="Normal 55 9 3" xfId="35565" xr:uid="{00000000-0005-0000-0000-0000ED8A0000}"/>
    <cellStyle name="Normal 55 9 3 2" xfId="35566" xr:uid="{00000000-0005-0000-0000-0000EE8A0000}"/>
    <cellStyle name="Normal 55 9 3 3" xfId="35567" xr:uid="{00000000-0005-0000-0000-0000EF8A0000}"/>
    <cellStyle name="Normal 55 9 3 4" xfId="35568" xr:uid="{00000000-0005-0000-0000-0000F08A0000}"/>
    <cellStyle name="Normal 55 9 3 5" xfId="35569" xr:uid="{00000000-0005-0000-0000-0000F18A0000}"/>
    <cellStyle name="Normal 55 9 3 6" xfId="35570" xr:uid="{00000000-0005-0000-0000-0000F28A0000}"/>
    <cellStyle name="Normal 55 9 4" xfId="35571" xr:uid="{00000000-0005-0000-0000-0000F38A0000}"/>
    <cellStyle name="Normal 55 9 5" xfId="35572" xr:uid="{00000000-0005-0000-0000-0000F48A0000}"/>
    <cellStyle name="Normal 55 9 6" xfId="35573" xr:uid="{00000000-0005-0000-0000-0000F58A0000}"/>
    <cellStyle name="Normal 55 9 7" xfId="35574" xr:uid="{00000000-0005-0000-0000-0000F68A0000}"/>
    <cellStyle name="Normal 55 9 8" xfId="35575" xr:uid="{00000000-0005-0000-0000-0000F78A0000}"/>
    <cellStyle name="Normal 56" xfId="35576" xr:uid="{00000000-0005-0000-0000-0000F88A0000}"/>
    <cellStyle name="Normal 56 10" xfId="35577" xr:uid="{00000000-0005-0000-0000-0000F98A0000}"/>
    <cellStyle name="Normal 56 10 10" xfId="35578" xr:uid="{00000000-0005-0000-0000-0000FA8A0000}"/>
    <cellStyle name="Normal 56 10 11" xfId="35579" xr:uid="{00000000-0005-0000-0000-0000FB8A0000}"/>
    <cellStyle name="Normal 56 10 2" xfId="35580" xr:uid="{00000000-0005-0000-0000-0000FC8A0000}"/>
    <cellStyle name="Normal 56 10 2 2" xfId="35581" xr:uid="{00000000-0005-0000-0000-0000FD8A0000}"/>
    <cellStyle name="Normal 56 10 2 2 2" xfId="35582" xr:uid="{00000000-0005-0000-0000-0000FE8A0000}"/>
    <cellStyle name="Normal 56 10 2 2 3" xfId="35583" xr:uid="{00000000-0005-0000-0000-0000FF8A0000}"/>
    <cellStyle name="Normal 56 10 2 2 4" xfId="35584" xr:uid="{00000000-0005-0000-0000-0000008B0000}"/>
    <cellStyle name="Normal 56 10 2 2 5" xfId="35585" xr:uid="{00000000-0005-0000-0000-0000018B0000}"/>
    <cellStyle name="Normal 56 10 2 2 6" xfId="35586" xr:uid="{00000000-0005-0000-0000-0000028B0000}"/>
    <cellStyle name="Normal 56 10 2 3" xfId="35587" xr:uid="{00000000-0005-0000-0000-0000038B0000}"/>
    <cellStyle name="Normal 56 10 2 3 2" xfId="35588" xr:uid="{00000000-0005-0000-0000-0000048B0000}"/>
    <cellStyle name="Normal 56 10 2 3 3" xfId="35589" xr:uid="{00000000-0005-0000-0000-0000058B0000}"/>
    <cellStyle name="Normal 56 10 2 3 4" xfId="35590" xr:uid="{00000000-0005-0000-0000-0000068B0000}"/>
    <cellStyle name="Normal 56 10 2 3 5" xfId="35591" xr:uid="{00000000-0005-0000-0000-0000078B0000}"/>
    <cellStyle name="Normal 56 10 2 3 6" xfId="35592" xr:uid="{00000000-0005-0000-0000-0000088B0000}"/>
    <cellStyle name="Normal 56 10 2 4" xfId="35593" xr:uid="{00000000-0005-0000-0000-0000098B0000}"/>
    <cellStyle name="Normal 56 10 2 5" xfId="35594" xr:uid="{00000000-0005-0000-0000-00000A8B0000}"/>
    <cellStyle name="Normal 56 10 2 6" xfId="35595" xr:uid="{00000000-0005-0000-0000-00000B8B0000}"/>
    <cellStyle name="Normal 56 10 2 7" xfId="35596" xr:uid="{00000000-0005-0000-0000-00000C8B0000}"/>
    <cellStyle name="Normal 56 10 2 8" xfId="35597" xr:uid="{00000000-0005-0000-0000-00000D8B0000}"/>
    <cellStyle name="Normal 56 10 3" xfId="35598" xr:uid="{00000000-0005-0000-0000-00000E8B0000}"/>
    <cellStyle name="Normal 56 10 3 2" xfId="35599" xr:uid="{00000000-0005-0000-0000-00000F8B0000}"/>
    <cellStyle name="Normal 56 10 3 2 2" xfId="35600" xr:uid="{00000000-0005-0000-0000-0000108B0000}"/>
    <cellStyle name="Normal 56 10 3 2 3" xfId="35601" xr:uid="{00000000-0005-0000-0000-0000118B0000}"/>
    <cellStyle name="Normal 56 10 3 2 4" xfId="35602" xr:uid="{00000000-0005-0000-0000-0000128B0000}"/>
    <cellStyle name="Normal 56 10 3 2 5" xfId="35603" xr:uid="{00000000-0005-0000-0000-0000138B0000}"/>
    <cellStyle name="Normal 56 10 3 2 6" xfId="35604" xr:uid="{00000000-0005-0000-0000-0000148B0000}"/>
    <cellStyle name="Normal 56 10 3 3" xfId="35605" xr:uid="{00000000-0005-0000-0000-0000158B0000}"/>
    <cellStyle name="Normal 56 10 3 3 2" xfId="35606" xr:uid="{00000000-0005-0000-0000-0000168B0000}"/>
    <cellStyle name="Normal 56 10 3 3 3" xfId="35607" xr:uid="{00000000-0005-0000-0000-0000178B0000}"/>
    <cellStyle name="Normal 56 10 3 3 4" xfId="35608" xr:uid="{00000000-0005-0000-0000-0000188B0000}"/>
    <cellStyle name="Normal 56 10 3 3 5" xfId="35609" xr:uid="{00000000-0005-0000-0000-0000198B0000}"/>
    <cellStyle name="Normal 56 10 3 3 6" xfId="35610" xr:uid="{00000000-0005-0000-0000-00001A8B0000}"/>
    <cellStyle name="Normal 56 10 3 4" xfId="35611" xr:uid="{00000000-0005-0000-0000-00001B8B0000}"/>
    <cellStyle name="Normal 56 10 3 5" xfId="35612" xr:uid="{00000000-0005-0000-0000-00001C8B0000}"/>
    <cellStyle name="Normal 56 10 3 6" xfId="35613" xr:uid="{00000000-0005-0000-0000-00001D8B0000}"/>
    <cellStyle name="Normal 56 10 3 7" xfId="35614" xr:uid="{00000000-0005-0000-0000-00001E8B0000}"/>
    <cellStyle name="Normal 56 10 3 8" xfId="35615" xr:uid="{00000000-0005-0000-0000-00001F8B0000}"/>
    <cellStyle name="Normal 56 10 4" xfId="35616" xr:uid="{00000000-0005-0000-0000-0000208B0000}"/>
    <cellStyle name="Normal 56 10 4 2" xfId="35617" xr:uid="{00000000-0005-0000-0000-0000218B0000}"/>
    <cellStyle name="Normal 56 10 4 2 2" xfId="35618" xr:uid="{00000000-0005-0000-0000-0000228B0000}"/>
    <cellStyle name="Normal 56 10 4 2 3" xfId="35619" xr:uid="{00000000-0005-0000-0000-0000238B0000}"/>
    <cellStyle name="Normal 56 10 4 2 4" xfId="35620" xr:uid="{00000000-0005-0000-0000-0000248B0000}"/>
    <cellStyle name="Normal 56 10 4 2 5" xfId="35621" xr:uid="{00000000-0005-0000-0000-0000258B0000}"/>
    <cellStyle name="Normal 56 10 4 2 6" xfId="35622" xr:uid="{00000000-0005-0000-0000-0000268B0000}"/>
    <cellStyle name="Normal 56 10 4 3" xfId="35623" xr:uid="{00000000-0005-0000-0000-0000278B0000}"/>
    <cellStyle name="Normal 56 10 4 3 2" xfId="35624" xr:uid="{00000000-0005-0000-0000-0000288B0000}"/>
    <cellStyle name="Normal 56 10 4 3 3" xfId="35625" xr:uid="{00000000-0005-0000-0000-0000298B0000}"/>
    <cellStyle name="Normal 56 10 4 3 4" xfId="35626" xr:uid="{00000000-0005-0000-0000-00002A8B0000}"/>
    <cellStyle name="Normal 56 10 4 3 5" xfId="35627" xr:uid="{00000000-0005-0000-0000-00002B8B0000}"/>
    <cellStyle name="Normal 56 10 4 3 6" xfId="35628" xr:uid="{00000000-0005-0000-0000-00002C8B0000}"/>
    <cellStyle name="Normal 56 10 4 4" xfId="35629" xr:uid="{00000000-0005-0000-0000-00002D8B0000}"/>
    <cellStyle name="Normal 56 10 4 5" xfId="35630" xr:uid="{00000000-0005-0000-0000-00002E8B0000}"/>
    <cellStyle name="Normal 56 10 4 6" xfId="35631" xr:uid="{00000000-0005-0000-0000-00002F8B0000}"/>
    <cellStyle name="Normal 56 10 4 7" xfId="35632" xr:uid="{00000000-0005-0000-0000-0000308B0000}"/>
    <cellStyle name="Normal 56 10 4 8" xfId="35633" xr:uid="{00000000-0005-0000-0000-0000318B0000}"/>
    <cellStyle name="Normal 56 10 5" xfId="35634" xr:uid="{00000000-0005-0000-0000-0000328B0000}"/>
    <cellStyle name="Normal 56 10 5 2" xfId="35635" xr:uid="{00000000-0005-0000-0000-0000338B0000}"/>
    <cellStyle name="Normal 56 10 5 3" xfId="35636" xr:uid="{00000000-0005-0000-0000-0000348B0000}"/>
    <cellStyle name="Normal 56 10 5 4" xfId="35637" xr:uid="{00000000-0005-0000-0000-0000358B0000}"/>
    <cellStyle name="Normal 56 10 5 5" xfId="35638" xr:uid="{00000000-0005-0000-0000-0000368B0000}"/>
    <cellStyle name="Normal 56 10 5 6" xfId="35639" xr:uid="{00000000-0005-0000-0000-0000378B0000}"/>
    <cellStyle name="Normal 56 10 6" xfId="35640" xr:uid="{00000000-0005-0000-0000-0000388B0000}"/>
    <cellStyle name="Normal 56 10 6 2" xfId="35641" xr:uid="{00000000-0005-0000-0000-0000398B0000}"/>
    <cellStyle name="Normal 56 10 6 3" xfId="35642" xr:uid="{00000000-0005-0000-0000-00003A8B0000}"/>
    <cellStyle name="Normal 56 10 6 4" xfId="35643" xr:uid="{00000000-0005-0000-0000-00003B8B0000}"/>
    <cellStyle name="Normal 56 10 6 5" xfId="35644" xr:uid="{00000000-0005-0000-0000-00003C8B0000}"/>
    <cellStyle name="Normal 56 10 6 6" xfId="35645" xr:uid="{00000000-0005-0000-0000-00003D8B0000}"/>
    <cellStyle name="Normal 56 10 7" xfId="35646" xr:uid="{00000000-0005-0000-0000-00003E8B0000}"/>
    <cellStyle name="Normal 56 10 8" xfId="35647" xr:uid="{00000000-0005-0000-0000-00003F8B0000}"/>
    <cellStyle name="Normal 56 10 9" xfId="35648" xr:uid="{00000000-0005-0000-0000-0000408B0000}"/>
    <cellStyle name="Normal 56 11" xfId="35649" xr:uid="{00000000-0005-0000-0000-0000418B0000}"/>
    <cellStyle name="Normal 56 11 2" xfId="35650" xr:uid="{00000000-0005-0000-0000-0000428B0000}"/>
    <cellStyle name="Normal 56 11 2 2" xfId="35651" xr:uid="{00000000-0005-0000-0000-0000438B0000}"/>
    <cellStyle name="Normal 56 11 2 3" xfId="35652" xr:uid="{00000000-0005-0000-0000-0000448B0000}"/>
    <cellStyle name="Normal 56 11 2 4" xfId="35653" xr:uid="{00000000-0005-0000-0000-0000458B0000}"/>
    <cellStyle name="Normal 56 11 2 5" xfId="35654" xr:uid="{00000000-0005-0000-0000-0000468B0000}"/>
    <cellStyle name="Normal 56 11 2 6" xfId="35655" xr:uid="{00000000-0005-0000-0000-0000478B0000}"/>
    <cellStyle name="Normal 56 11 3" xfId="35656" xr:uid="{00000000-0005-0000-0000-0000488B0000}"/>
    <cellStyle name="Normal 56 11 3 2" xfId="35657" xr:uid="{00000000-0005-0000-0000-0000498B0000}"/>
    <cellStyle name="Normal 56 11 3 3" xfId="35658" xr:uid="{00000000-0005-0000-0000-00004A8B0000}"/>
    <cellStyle name="Normal 56 11 3 4" xfId="35659" xr:uid="{00000000-0005-0000-0000-00004B8B0000}"/>
    <cellStyle name="Normal 56 11 3 5" xfId="35660" xr:uid="{00000000-0005-0000-0000-00004C8B0000}"/>
    <cellStyle name="Normal 56 11 3 6" xfId="35661" xr:uid="{00000000-0005-0000-0000-00004D8B0000}"/>
    <cellStyle name="Normal 56 11 4" xfId="35662" xr:uid="{00000000-0005-0000-0000-00004E8B0000}"/>
    <cellStyle name="Normal 56 11 5" xfId="35663" xr:uid="{00000000-0005-0000-0000-00004F8B0000}"/>
    <cellStyle name="Normal 56 11 6" xfId="35664" xr:uid="{00000000-0005-0000-0000-0000508B0000}"/>
    <cellStyle name="Normal 56 11 7" xfId="35665" xr:uid="{00000000-0005-0000-0000-0000518B0000}"/>
    <cellStyle name="Normal 56 11 8" xfId="35666" xr:uid="{00000000-0005-0000-0000-0000528B0000}"/>
    <cellStyle name="Normal 56 12" xfId="35667" xr:uid="{00000000-0005-0000-0000-0000538B0000}"/>
    <cellStyle name="Normal 56 12 2" xfId="35668" xr:uid="{00000000-0005-0000-0000-0000548B0000}"/>
    <cellStyle name="Normal 56 12 2 2" xfId="35669" xr:uid="{00000000-0005-0000-0000-0000558B0000}"/>
    <cellStyle name="Normal 56 12 2 3" xfId="35670" xr:uid="{00000000-0005-0000-0000-0000568B0000}"/>
    <cellStyle name="Normal 56 12 2 4" xfId="35671" xr:uid="{00000000-0005-0000-0000-0000578B0000}"/>
    <cellStyle name="Normal 56 12 2 5" xfId="35672" xr:uid="{00000000-0005-0000-0000-0000588B0000}"/>
    <cellStyle name="Normal 56 12 2 6" xfId="35673" xr:uid="{00000000-0005-0000-0000-0000598B0000}"/>
    <cellStyle name="Normal 56 12 3" xfId="35674" xr:uid="{00000000-0005-0000-0000-00005A8B0000}"/>
    <cellStyle name="Normal 56 12 3 2" xfId="35675" xr:uid="{00000000-0005-0000-0000-00005B8B0000}"/>
    <cellStyle name="Normal 56 12 3 3" xfId="35676" xr:uid="{00000000-0005-0000-0000-00005C8B0000}"/>
    <cellStyle name="Normal 56 12 3 4" xfId="35677" xr:uid="{00000000-0005-0000-0000-00005D8B0000}"/>
    <cellStyle name="Normal 56 12 3 5" xfId="35678" xr:uid="{00000000-0005-0000-0000-00005E8B0000}"/>
    <cellStyle name="Normal 56 12 3 6" xfId="35679" xr:uid="{00000000-0005-0000-0000-00005F8B0000}"/>
    <cellStyle name="Normal 56 12 4" xfId="35680" xr:uid="{00000000-0005-0000-0000-0000608B0000}"/>
    <cellStyle name="Normal 56 12 5" xfId="35681" xr:uid="{00000000-0005-0000-0000-0000618B0000}"/>
    <cellStyle name="Normal 56 12 6" xfId="35682" xr:uid="{00000000-0005-0000-0000-0000628B0000}"/>
    <cellStyle name="Normal 56 12 7" xfId="35683" xr:uid="{00000000-0005-0000-0000-0000638B0000}"/>
    <cellStyle name="Normal 56 12 8" xfId="35684" xr:uid="{00000000-0005-0000-0000-0000648B0000}"/>
    <cellStyle name="Normal 56 13" xfId="35685" xr:uid="{00000000-0005-0000-0000-0000658B0000}"/>
    <cellStyle name="Normal 56 13 2" xfId="35686" xr:uid="{00000000-0005-0000-0000-0000668B0000}"/>
    <cellStyle name="Normal 56 13 2 2" xfId="35687" xr:uid="{00000000-0005-0000-0000-0000678B0000}"/>
    <cellStyle name="Normal 56 13 2 3" xfId="35688" xr:uid="{00000000-0005-0000-0000-0000688B0000}"/>
    <cellStyle name="Normal 56 13 2 4" xfId="35689" xr:uid="{00000000-0005-0000-0000-0000698B0000}"/>
    <cellStyle name="Normal 56 13 2 5" xfId="35690" xr:uid="{00000000-0005-0000-0000-00006A8B0000}"/>
    <cellStyle name="Normal 56 13 2 6" xfId="35691" xr:uid="{00000000-0005-0000-0000-00006B8B0000}"/>
    <cellStyle name="Normal 56 13 3" xfId="35692" xr:uid="{00000000-0005-0000-0000-00006C8B0000}"/>
    <cellStyle name="Normal 56 13 3 2" xfId="35693" xr:uid="{00000000-0005-0000-0000-00006D8B0000}"/>
    <cellStyle name="Normal 56 13 3 3" xfId="35694" xr:uid="{00000000-0005-0000-0000-00006E8B0000}"/>
    <cellStyle name="Normal 56 13 3 4" xfId="35695" xr:uid="{00000000-0005-0000-0000-00006F8B0000}"/>
    <cellStyle name="Normal 56 13 3 5" xfId="35696" xr:uid="{00000000-0005-0000-0000-0000708B0000}"/>
    <cellStyle name="Normal 56 13 3 6" xfId="35697" xr:uid="{00000000-0005-0000-0000-0000718B0000}"/>
    <cellStyle name="Normal 56 13 4" xfId="35698" xr:uid="{00000000-0005-0000-0000-0000728B0000}"/>
    <cellStyle name="Normal 56 13 5" xfId="35699" xr:uid="{00000000-0005-0000-0000-0000738B0000}"/>
    <cellStyle name="Normal 56 13 6" xfId="35700" xr:uid="{00000000-0005-0000-0000-0000748B0000}"/>
    <cellStyle name="Normal 56 13 7" xfId="35701" xr:uid="{00000000-0005-0000-0000-0000758B0000}"/>
    <cellStyle name="Normal 56 13 8" xfId="35702" xr:uid="{00000000-0005-0000-0000-0000768B0000}"/>
    <cellStyle name="Normal 56 14" xfId="35703" xr:uid="{00000000-0005-0000-0000-0000778B0000}"/>
    <cellStyle name="Normal 56 14 2" xfId="35704" xr:uid="{00000000-0005-0000-0000-0000788B0000}"/>
    <cellStyle name="Normal 56 14 3" xfId="35705" xr:uid="{00000000-0005-0000-0000-0000798B0000}"/>
    <cellStyle name="Normal 56 14 4" xfId="35706" xr:uid="{00000000-0005-0000-0000-00007A8B0000}"/>
    <cellStyle name="Normal 56 14 5" xfId="35707" xr:uid="{00000000-0005-0000-0000-00007B8B0000}"/>
    <cellStyle name="Normal 56 14 6" xfId="35708" xr:uid="{00000000-0005-0000-0000-00007C8B0000}"/>
    <cellStyle name="Normal 56 15" xfId="35709" xr:uid="{00000000-0005-0000-0000-00007D8B0000}"/>
    <cellStyle name="Normal 56 15 2" xfId="35710" xr:uid="{00000000-0005-0000-0000-00007E8B0000}"/>
    <cellStyle name="Normal 56 15 3" xfId="35711" xr:uid="{00000000-0005-0000-0000-00007F8B0000}"/>
    <cellStyle name="Normal 56 15 4" xfId="35712" xr:uid="{00000000-0005-0000-0000-0000808B0000}"/>
    <cellStyle name="Normal 56 15 5" xfId="35713" xr:uid="{00000000-0005-0000-0000-0000818B0000}"/>
    <cellStyle name="Normal 56 15 6" xfId="35714" xr:uid="{00000000-0005-0000-0000-0000828B0000}"/>
    <cellStyle name="Normal 56 16" xfId="35715" xr:uid="{00000000-0005-0000-0000-0000838B0000}"/>
    <cellStyle name="Normal 56 17" xfId="35716" xr:uid="{00000000-0005-0000-0000-0000848B0000}"/>
    <cellStyle name="Normal 56 18" xfId="35717" xr:uid="{00000000-0005-0000-0000-0000858B0000}"/>
    <cellStyle name="Normal 56 19" xfId="35718" xr:uid="{00000000-0005-0000-0000-0000868B0000}"/>
    <cellStyle name="Normal 56 2" xfId="35719" xr:uid="{00000000-0005-0000-0000-0000878B0000}"/>
    <cellStyle name="Normal 56 2 2" xfId="35720" xr:uid="{00000000-0005-0000-0000-0000888B0000}"/>
    <cellStyle name="Normal 56 20" xfId="35721" xr:uid="{00000000-0005-0000-0000-0000898B0000}"/>
    <cellStyle name="Normal 56 3" xfId="35722" xr:uid="{00000000-0005-0000-0000-00008A8B0000}"/>
    <cellStyle name="Normal 56 3 2" xfId="35723" xr:uid="{00000000-0005-0000-0000-00008B8B0000}"/>
    <cellStyle name="Normal 56 4" xfId="35724" xr:uid="{00000000-0005-0000-0000-00008C8B0000}"/>
    <cellStyle name="Normal 56 4 2" xfId="35725" xr:uid="{00000000-0005-0000-0000-00008D8B0000}"/>
    <cellStyle name="Normal 56 5" xfId="35726" xr:uid="{00000000-0005-0000-0000-00008E8B0000}"/>
    <cellStyle name="Normal 56 5 2" xfId="35727" xr:uid="{00000000-0005-0000-0000-00008F8B0000}"/>
    <cellStyle name="Normal 56 6" xfId="35728" xr:uid="{00000000-0005-0000-0000-0000908B0000}"/>
    <cellStyle name="Normal 56 6 2" xfId="35729" xr:uid="{00000000-0005-0000-0000-0000918B0000}"/>
    <cellStyle name="Normal 56 7" xfId="35730" xr:uid="{00000000-0005-0000-0000-0000928B0000}"/>
    <cellStyle name="Normal 56 7 2" xfId="35731" xr:uid="{00000000-0005-0000-0000-0000938B0000}"/>
    <cellStyle name="Normal 56 8" xfId="35732" xr:uid="{00000000-0005-0000-0000-0000948B0000}"/>
    <cellStyle name="Normal 56 8 2" xfId="35733" xr:uid="{00000000-0005-0000-0000-0000958B0000}"/>
    <cellStyle name="Normal 56 9" xfId="35734" xr:uid="{00000000-0005-0000-0000-0000968B0000}"/>
    <cellStyle name="Normal 56 9 2" xfId="35735" xr:uid="{00000000-0005-0000-0000-0000978B0000}"/>
    <cellStyle name="Normal 57" xfId="35" xr:uid="{00000000-0005-0000-0000-0000988B0000}"/>
    <cellStyle name="Normal 57 10" xfId="35736" xr:uid="{00000000-0005-0000-0000-0000998B0000}"/>
    <cellStyle name="Normal 57 11" xfId="35737" xr:uid="{00000000-0005-0000-0000-00009A8B0000}"/>
    <cellStyle name="Normal 57 12" xfId="35738" xr:uid="{00000000-0005-0000-0000-00009B8B0000}"/>
    <cellStyle name="Normal 57 2" xfId="35739" xr:uid="{00000000-0005-0000-0000-00009C8B0000}"/>
    <cellStyle name="Normal 57 2 10" xfId="35740" xr:uid="{00000000-0005-0000-0000-00009D8B0000}"/>
    <cellStyle name="Normal 57 2 11" xfId="35741" xr:uid="{00000000-0005-0000-0000-00009E8B0000}"/>
    <cellStyle name="Normal 57 2 2" xfId="35742" xr:uid="{00000000-0005-0000-0000-00009F8B0000}"/>
    <cellStyle name="Normal 57 2 2 2" xfId="35743" xr:uid="{00000000-0005-0000-0000-0000A08B0000}"/>
    <cellStyle name="Normal 57 2 2 2 2" xfId="35744" xr:uid="{00000000-0005-0000-0000-0000A18B0000}"/>
    <cellStyle name="Normal 57 2 2 2 3" xfId="35745" xr:uid="{00000000-0005-0000-0000-0000A28B0000}"/>
    <cellStyle name="Normal 57 2 2 2 4" xfId="35746" xr:uid="{00000000-0005-0000-0000-0000A38B0000}"/>
    <cellStyle name="Normal 57 2 2 2 5" xfId="35747" xr:uid="{00000000-0005-0000-0000-0000A48B0000}"/>
    <cellStyle name="Normal 57 2 2 2 6" xfId="35748" xr:uid="{00000000-0005-0000-0000-0000A58B0000}"/>
    <cellStyle name="Normal 57 2 2 3" xfId="35749" xr:uid="{00000000-0005-0000-0000-0000A68B0000}"/>
    <cellStyle name="Normal 57 2 2 3 2" xfId="35750" xr:uid="{00000000-0005-0000-0000-0000A78B0000}"/>
    <cellStyle name="Normal 57 2 2 3 3" xfId="35751" xr:uid="{00000000-0005-0000-0000-0000A88B0000}"/>
    <cellStyle name="Normal 57 2 2 3 4" xfId="35752" xr:uid="{00000000-0005-0000-0000-0000A98B0000}"/>
    <cellStyle name="Normal 57 2 2 3 5" xfId="35753" xr:uid="{00000000-0005-0000-0000-0000AA8B0000}"/>
    <cellStyle name="Normal 57 2 2 3 6" xfId="35754" xr:uid="{00000000-0005-0000-0000-0000AB8B0000}"/>
    <cellStyle name="Normal 57 2 2 4" xfId="35755" xr:uid="{00000000-0005-0000-0000-0000AC8B0000}"/>
    <cellStyle name="Normal 57 2 2 5" xfId="35756" xr:uid="{00000000-0005-0000-0000-0000AD8B0000}"/>
    <cellStyle name="Normal 57 2 2 6" xfId="35757" xr:uid="{00000000-0005-0000-0000-0000AE8B0000}"/>
    <cellStyle name="Normal 57 2 2 7" xfId="35758" xr:uid="{00000000-0005-0000-0000-0000AF8B0000}"/>
    <cellStyle name="Normal 57 2 2 8" xfId="35759" xr:uid="{00000000-0005-0000-0000-0000B08B0000}"/>
    <cellStyle name="Normal 57 2 3" xfId="35760" xr:uid="{00000000-0005-0000-0000-0000B18B0000}"/>
    <cellStyle name="Normal 57 2 3 2" xfId="35761" xr:uid="{00000000-0005-0000-0000-0000B28B0000}"/>
    <cellStyle name="Normal 57 2 3 2 2" xfId="35762" xr:uid="{00000000-0005-0000-0000-0000B38B0000}"/>
    <cellStyle name="Normal 57 2 3 2 3" xfId="35763" xr:uid="{00000000-0005-0000-0000-0000B48B0000}"/>
    <cellStyle name="Normal 57 2 3 2 4" xfId="35764" xr:uid="{00000000-0005-0000-0000-0000B58B0000}"/>
    <cellStyle name="Normal 57 2 3 2 5" xfId="35765" xr:uid="{00000000-0005-0000-0000-0000B68B0000}"/>
    <cellStyle name="Normal 57 2 3 2 6" xfId="35766" xr:uid="{00000000-0005-0000-0000-0000B78B0000}"/>
    <cellStyle name="Normal 57 2 3 3" xfId="35767" xr:uid="{00000000-0005-0000-0000-0000B88B0000}"/>
    <cellStyle name="Normal 57 2 3 3 2" xfId="35768" xr:uid="{00000000-0005-0000-0000-0000B98B0000}"/>
    <cellStyle name="Normal 57 2 3 3 3" xfId="35769" xr:uid="{00000000-0005-0000-0000-0000BA8B0000}"/>
    <cellStyle name="Normal 57 2 3 3 4" xfId="35770" xr:uid="{00000000-0005-0000-0000-0000BB8B0000}"/>
    <cellStyle name="Normal 57 2 3 3 5" xfId="35771" xr:uid="{00000000-0005-0000-0000-0000BC8B0000}"/>
    <cellStyle name="Normal 57 2 3 3 6" xfId="35772" xr:uid="{00000000-0005-0000-0000-0000BD8B0000}"/>
    <cellStyle name="Normal 57 2 3 4" xfId="35773" xr:uid="{00000000-0005-0000-0000-0000BE8B0000}"/>
    <cellStyle name="Normal 57 2 3 5" xfId="35774" xr:uid="{00000000-0005-0000-0000-0000BF8B0000}"/>
    <cellStyle name="Normal 57 2 3 6" xfId="35775" xr:uid="{00000000-0005-0000-0000-0000C08B0000}"/>
    <cellStyle name="Normal 57 2 3 7" xfId="35776" xr:uid="{00000000-0005-0000-0000-0000C18B0000}"/>
    <cellStyle name="Normal 57 2 3 8" xfId="35777" xr:uid="{00000000-0005-0000-0000-0000C28B0000}"/>
    <cellStyle name="Normal 57 2 4" xfId="35778" xr:uid="{00000000-0005-0000-0000-0000C38B0000}"/>
    <cellStyle name="Normal 57 2 4 2" xfId="35779" xr:uid="{00000000-0005-0000-0000-0000C48B0000}"/>
    <cellStyle name="Normal 57 2 4 2 2" xfId="35780" xr:uid="{00000000-0005-0000-0000-0000C58B0000}"/>
    <cellStyle name="Normal 57 2 4 2 3" xfId="35781" xr:uid="{00000000-0005-0000-0000-0000C68B0000}"/>
    <cellStyle name="Normal 57 2 4 2 4" xfId="35782" xr:uid="{00000000-0005-0000-0000-0000C78B0000}"/>
    <cellStyle name="Normal 57 2 4 2 5" xfId="35783" xr:uid="{00000000-0005-0000-0000-0000C88B0000}"/>
    <cellStyle name="Normal 57 2 4 2 6" xfId="35784" xr:uid="{00000000-0005-0000-0000-0000C98B0000}"/>
    <cellStyle name="Normal 57 2 4 3" xfId="35785" xr:uid="{00000000-0005-0000-0000-0000CA8B0000}"/>
    <cellStyle name="Normal 57 2 4 3 2" xfId="35786" xr:uid="{00000000-0005-0000-0000-0000CB8B0000}"/>
    <cellStyle name="Normal 57 2 4 3 3" xfId="35787" xr:uid="{00000000-0005-0000-0000-0000CC8B0000}"/>
    <cellStyle name="Normal 57 2 4 3 4" xfId="35788" xr:uid="{00000000-0005-0000-0000-0000CD8B0000}"/>
    <cellStyle name="Normal 57 2 4 3 5" xfId="35789" xr:uid="{00000000-0005-0000-0000-0000CE8B0000}"/>
    <cellStyle name="Normal 57 2 4 3 6" xfId="35790" xr:uid="{00000000-0005-0000-0000-0000CF8B0000}"/>
    <cellStyle name="Normal 57 2 4 4" xfId="35791" xr:uid="{00000000-0005-0000-0000-0000D08B0000}"/>
    <cellStyle name="Normal 57 2 4 5" xfId="35792" xr:uid="{00000000-0005-0000-0000-0000D18B0000}"/>
    <cellStyle name="Normal 57 2 4 6" xfId="35793" xr:uid="{00000000-0005-0000-0000-0000D28B0000}"/>
    <cellStyle name="Normal 57 2 4 7" xfId="35794" xr:uid="{00000000-0005-0000-0000-0000D38B0000}"/>
    <cellStyle name="Normal 57 2 4 8" xfId="35795" xr:uid="{00000000-0005-0000-0000-0000D48B0000}"/>
    <cellStyle name="Normal 57 2 5" xfId="35796" xr:uid="{00000000-0005-0000-0000-0000D58B0000}"/>
    <cellStyle name="Normal 57 2 5 2" xfId="35797" xr:uid="{00000000-0005-0000-0000-0000D68B0000}"/>
    <cellStyle name="Normal 57 2 5 3" xfId="35798" xr:uid="{00000000-0005-0000-0000-0000D78B0000}"/>
    <cellStyle name="Normal 57 2 5 4" xfId="35799" xr:uid="{00000000-0005-0000-0000-0000D88B0000}"/>
    <cellStyle name="Normal 57 2 5 5" xfId="35800" xr:uid="{00000000-0005-0000-0000-0000D98B0000}"/>
    <cellStyle name="Normal 57 2 5 6" xfId="35801" xr:uid="{00000000-0005-0000-0000-0000DA8B0000}"/>
    <cellStyle name="Normal 57 2 6" xfId="35802" xr:uid="{00000000-0005-0000-0000-0000DB8B0000}"/>
    <cellStyle name="Normal 57 2 6 2" xfId="35803" xr:uid="{00000000-0005-0000-0000-0000DC8B0000}"/>
    <cellStyle name="Normal 57 2 6 3" xfId="35804" xr:uid="{00000000-0005-0000-0000-0000DD8B0000}"/>
    <cellStyle name="Normal 57 2 6 4" xfId="35805" xr:uid="{00000000-0005-0000-0000-0000DE8B0000}"/>
    <cellStyle name="Normal 57 2 6 5" xfId="35806" xr:uid="{00000000-0005-0000-0000-0000DF8B0000}"/>
    <cellStyle name="Normal 57 2 6 6" xfId="35807" xr:uid="{00000000-0005-0000-0000-0000E08B0000}"/>
    <cellStyle name="Normal 57 2 7" xfId="35808" xr:uid="{00000000-0005-0000-0000-0000E18B0000}"/>
    <cellStyle name="Normal 57 2 8" xfId="35809" xr:uid="{00000000-0005-0000-0000-0000E28B0000}"/>
    <cellStyle name="Normal 57 2 9" xfId="35810" xr:uid="{00000000-0005-0000-0000-0000E38B0000}"/>
    <cellStyle name="Normal 57 3" xfId="35811" xr:uid="{00000000-0005-0000-0000-0000E48B0000}"/>
    <cellStyle name="Normal 57 3 2" xfId="35812" xr:uid="{00000000-0005-0000-0000-0000E58B0000}"/>
    <cellStyle name="Normal 57 3 2 2" xfId="35813" xr:uid="{00000000-0005-0000-0000-0000E68B0000}"/>
    <cellStyle name="Normal 57 3 2 3" xfId="35814" xr:uid="{00000000-0005-0000-0000-0000E78B0000}"/>
    <cellStyle name="Normal 57 3 2 4" xfId="35815" xr:uid="{00000000-0005-0000-0000-0000E88B0000}"/>
    <cellStyle name="Normal 57 3 2 5" xfId="35816" xr:uid="{00000000-0005-0000-0000-0000E98B0000}"/>
    <cellStyle name="Normal 57 3 2 6" xfId="35817" xr:uid="{00000000-0005-0000-0000-0000EA8B0000}"/>
    <cellStyle name="Normal 57 3 3" xfId="35818" xr:uid="{00000000-0005-0000-0000-0000EB8B0000}"/>
    <cellStyle name="Normal 57 3 3 2" xfId="35819" xr:uid="{00000000-0005-0000-0000-0000EC8B0000}"/>
    <cellStyle name="Normal 57 3 3 3" xfId="35820" xr:uid="{00000000-0005-0000-0000-0000ED8B0000}"/>
    <cellStyle name="Normal 57 3 3 4" xfId="35821" xr:uid="{00000000-0005-0000-0000-0000EE8B0000}"/>
    <cellStyle name="Normal 57 3 3 5" xfId="35822" xr:uid="{00000000-0005-0000-0000-0000EF8B0000}"/>
    <cellStyle name="Normal 57 3 3 6" xfId="35823" xr:uid="{00000000-0005-0000-0000-0000F08B0000}"/>
    <cellStyle name="Normal 57 3 4" xfId="35824" xr:uid="{00000000-0005-0000-0000-0000F18B0000}"/>
    <cellStyle name="Normal 57 3 5" xfId="35825" xr:uid="{00000000-0005-0000-0000-0000F28B0000}"/>
    <cellStyle name="Normal 57 3 6" xfId="35826" xr:uid="{00000000-0005-0000-0000-0000F38B0000}"/>
    <cellStyle name="Normal 57 3 7" xfId="35827" xr:uid="{00000000-0005-0000-0000-0000F48B0000}"/>
    <cellStyle name="Normal 57 3 8" xfId="35828" xr:uid="{00000000-0005-0000-0000-0000F58B0000}"/>
    <cellStyle name="Normal 57 4" xfId="35829" xr:uid="{00000000-0005-0000-0000-0000F68B0000}"/>
    <cellStyle name="Normal 57 4 2" xfId="35830" xr:uid="{00000000-0005-0000-0000-0000F78B0000}"/>
    <cellStyle name="Normal 57 4 2 2" xfId="35831" xr:uid="{00000000-0005-0000-0000-0000F88B0000}"/>
    <cellStyle name="Normal 57 4 2 3" xfId="35832" xr:uid="{00000000-0005-0000-0000-0000F98B0000}"/>
    <cellStyle name="Normal 57 4 2 4" xfId="35833" xr:uid="{00000000-0005-0000-0000-0000FA8B0000}"/>
    <cellStyle name="Normal 57 4 2 5" xfId="35834" xr:uid="{00000000-0005-0000-0000-0000FB8B0000}"/>
    <cellStyle name="Normal 57 4 2 6" xfId="35835" xr:uid="{00000000-0005-0000-0000-0000FC8B0000}"/>
    <cellStyle name="Normal 57 4 3" xfId="35836" xr:uid="{00000000-0005-0000-0000-0000FD8B0000}"/>
    <cellStyle name="Normal 57 4 3 2" xfId="35837" xr:uid="{00000000-0005-0000-0000-0000FE8B0000}"/>
    <cellStyle name="Normal 57 4 3 3" xfId="35838" xr:uid="{00000000-0005-0000-0000-0000FF8B0000}"/>
    <cellStyle name="Normal 57 4 3 4" xfId="35839" xr:uid="{00000000-0005-0000-0000-0000008C0000}"/>
    <cellStyle name="Normal 57 4 3 5" xfId="35840" xr:uid="{00000000-0005-0000-0000-0000018C0000}"/>
    <cellStyle name="Normal 57 4 3 6" xfId="35841" xr:uid="{00000000-0005-0000-0000-0000028C0000}"/>
    <cellStyle name="Normal 57 4 4" xfId="35842" xr:uid="{00000000-0005-0000-0000-0000038C0000}"/>
    <cellStyle name="Normal 57 4 5" xfId="35843" xr:uid="{00000000-0005-0000-0000-0000048C0000}"/>
    <cellStyle name="Normal 57 4 6" xfId="35844" xr:uid="{00000000-0005-0000-0000-0000058C0000}"/>
    <cellStyle name="Normal 57 4 7" xfId="35845" xr:uid="{00000000-0005-0000-0000-0000068C0000}"/>
    <cellStyle name="Normal 57 4 8" xfId="35846" xr:uid="{00000000-0005-0000-0000-0000078C0000}"/>
    <cellStyle name="Normal 57 5" xfId="35847" xr:uid="{00000000-0005-0000-0000-0000088C0000}"/>
    <cellStyle name="Normal 57 5 2" xfId="35848" xr:uid="{00000000-0005-0000-0000-0000098C0000}"/>
    <cellStyle name="Normal 57 5 2 2" xfId="35849" xr:uid="{00000000-0005-0000-0000-00000A8C0000}"/>
    <cellStyle name="Normal 57 5 2 3" xfId="35850" xr:uid="{00000000-0005-0000-0000-00000B8C0000}"/>
    <cellStyle name="Normal 57 5 2 4" xfId="35851" xr:uid="{00000000-0005-0000-0000-00000C8C0000}"/>
    <cellStyle name="Normal 57 5 2 5" xfId="35852" xr:uid="{00000000-0005-0000-0000-00000D8C0000}"/>
    <cellStyle name="Normal 57 5 2 6" xfId="35853" xr:uid="{00000000-0005-0000-0000-00000E8C0000}"/>
    <cellStyle name="Normal 57 5 3" xfId="35854" xr:uid="{00000000-0005-0000-0000-00000F8C0000}"/>
    <cellStyle name="Normal 57 5 3 2" xfId="35855" xr:uid="{00000000-0005-0000-0000-0000108C0000}"/>
    <cellStyle name="Normal 57 5 3 3" xfId="35856" xr:uid="{00000000-0005-0000-0000-0000118C0000}"/>
    <cellStyle name="Normal 57 5 3 4" xfId="35857" xr:uid="{00000000-0005-0000-0000-0000128C0000}"/>
    <cellStyle name="Normal 57 5 3 5" xfId="35858" xr:uid="{00000000-0005-0000-0000-0000138C0000}"/>
    <cellStyle name="Normal 57 5 3 6" xfId="35859" xr:uid="{00000000-0005-0000-0000-0000148C0000}"/>
    <cellStyle name="Normal 57 5 4" xfId="35860" xr:uid="{00000000-0005-0000-0000-0000158C0000}"/>
    <cellStyle name="Normal 57 5 5" xfId="35861" xr:uid="{00000000-0005-0000-0000-0000168C0000}"/>
    <cellStyle name="Normal 57 5 6" xfId="35862" xr:uid="{00000000-0005-0000-0000-0000178C0000}"/>
    <cellStyle name="Normal 57 5 7" xfId="35863" xr:uid="{00000000-0005-0000-0000-0000188C0000}"/>
    <cellStyle name="Normal 57 5 8" xfId="35864" xr:uid="{00000000-0005-0000-0000-0000198C0000}"/>
    <cellStyle name="Normal 57 6" xfId="35865" xr:uid="{00000000-0005-0000-0000-00001A8C0000}"/>
    <cellStyle name="Normal 57 6 2" xfId="35866" xr:uid="{00000000-0005-0000-0000-00001B8C0000}"/>
    <cellStyle name="Normal 57 6 3" xfId="35867" xr:uid="{00000000-0005-0000-0000-00001C8C0000}"/>
    <cellStyle name="Normal 57 6 4" xfId="35868" xr:uid="{00000000-0005-0000-0000-00001D8C0000}"/>
    <cellStyle name="Normal 57 6 5" xfId="35869" xr:uid="{00000000-0005-0000-0000-00001E8C0000}"/>
    <cellStyle name="Normal 57 6 6" xfId="35870" xr:uid="{00000000-0005-0000-0000-00001F8C0000}"/>
    <cellStyle name="Normal 57 7" xfId="35871" xr:uid="{00000000-0005-0000-0000-0000208C0000}"/>
    <cellStyle name="Normal 57 7 2" xfId="35872" xr:uid="{00000000-0005-0000-0000-0000218C0000}"/>
    <cellStyle name="Normal 57 7 3" xfId="35873" xr:uid="{00000000-0005-0000-0000-0000228C0000}"/>
    <cellStyle name="Normal 57 7 4" xfId="35874" xr:uid="{00000000-0005-0000-0000-0000238C0000}"/>
    <cellStyle name="Normal 57 7 5" xfId="35875" xr:uid="{00000000-0005-0000-0000-0000248C0000}"/>
    <cellStyle name="Normal 57 7 6" xfId="35876" xr:uid="{00000000-0005-0000-0000-0000258C0000}"/>
    <cellStyle name="Normal 57 8" xfId="35877" xr:uid="{00000000-0005-0000-0000-0000268C0000}"/>
    <cellStyle name="Normal 57 9" xfId="35878" xr:uid="{00000000-0005-0000-0000-0000278C0000}"/>
    <cellStyle name="Normal 58" xfId="35879" xr:uid="{00000000-0005-0000-0000-0000288C0000}"/>
    <cellStyle name="Normal 58 10" xfId="35880" xr:uid="{00000000-0005-0000-0000-0000298C0000}"/>
    <cellStyle name="Normal 58 11" xfId="35881" xr:uid="{00000000-0005-0000-0000-00002A8C0000}"/>
    <cellStyle name="Normal 58 2" xfId="35882" xr:uid="{00000000-0005-0000-0000-00002B8C0000}"/>
    <cellStyle name="Normal 58 2 2" xfId="35883" xr:uid="{00000000-0005-0000-0000-00002C8C0000}"/>
    <cellStyle name="Normal 58 2 2 2" xfId="35884" xr:uid="{00000000-0005-0000-0000-00002D8C0000}"/>
    <cellStyle name="Normal 58 2 2 3" xfId="35885" xr:uid="{00000000-0005-0000-0000-00002E8C0000}"/>
    <cellStyle name="Normal 58 2 2 4" xfId="35886" xr:uid="{00000000-0005-0000-0000-00002F8C0000}"/>
    <cellStyle name="Normal 58 2 2 5" xfId="35887" xr:uid="{00000000-0005-0000-0000-0000308C0000}"/>
    <cellStyle name="Normal 58 2 2 6" xfId="35888" xr:uid="{00000000-0005-0000-0000-0000318C0000}"/>
    <cellStyle name="Normal 58 2 3" xfId="35889" xr:uid="{00000000-0005-0000-0000-0000328C0000}"/>
    <cellStyle name="Normal 58 2 3 2" xfId="35890" xr:uid="{00000000-0005-0000-0000-0000338C0000}"/>
    <cellStyle name="Normal 58 2 3 3" xfId="35891" xr:uid="{00000000-0005-0000-0000-0000348C0000}"/>
    <cellStyle name="Normal 58 2 3 4" xfId="35892" xr:uid="{00000000-0005-0000-0000-0000358C0000}"/>
    <cellStyle name="Normal 58 2 3 5" xfId="35893" xr:uid="{00000000-0005-0000-0000-0000368C0000}"/>
    <cellStyle name="Normal 58 2 3 6" xfId="35894" xr:uid="{00000000-0005-0000-0000-0000378C0000}"/>
    <cellStyle name="Normal 58 2 4" xfId="35895" xr:uid="{00000000-0005-0000-0000-0000388C0000}"/>
    <cellStyle name="Normal 58 2 5" xfId="35896" xr:uid="{00000000-0005-0000-0000-0000398C0000}"/>
    <cellStyle name="Normal 58 2 6" xfId="35897" xr:uid="{00000000-0005-0000-0000-00003A8C0000}"/>
    <cellStyle name="Normal 58 2 7" xfId="35898" xr:uid="{00000000-0005-0000-0000-00003B8C0000}"/>
    <cellStyle name="Normal 58 2 8" xfId="35899" xr:uid="{00000000-0005-0000-0000-00003C8C0000}"/>
    <cellStyle name="Normal 58 3" xfId="35900" xr:uid="{00000000-0005-0000-0000-00003D8C0000}"/>
    <cellStyle name="Normal 58 3 2" xfId="35901" xr:uid="{00000000-0005-0000-0000-00003E8C0000}"/>
    <cellStyle name="Normal 58 3 2 2" xfId="35902" xr:uid="{00000000-0005-0000-0000-00003F8C0000}"/>
    <cellStyle name="Normal 58 3 2 3" xfId="35903" xr:uid="{00000000-0005-0000-0000-0000408C0000}"/>
    <cellStyle name="Normal 58 3 2 4" xfId="35904" xr:uid="{00000000-0005-0000-0000-0000418C0000}"/>
    <cellStyle name="Normal 58 3 2 5" xfId="35905" xr:uid="{00000000-0005-0000-0000-0000428C0000}"/>
    <cellStyle name="Normal 58 3 2 6" xfId="35906" xr:uid="{00000000-0005-0000-0000-0000438C0000}"/>
    <cellStyle name="Normal 58 3 3" xfId="35907" xr:uid="{00000000-0005-0000-0000-0000448C0000}"/>
    <cellStyle name="Normal 58 3 3 2" xfId="35908" xr:uid="{00000000-0005-0000-0000-0000458C0000}"/>
    <cellStyle name="Normal 58 3 3 3" xfId="35909" xr:uid="{00000000-0005-0000-0000-0000468C0000}"/>
    <cellStyle name="Normal 58 3 3 4" xfId="35910" xr:uid="{00000000-0005-0000-0000-0000478C0000}"/>
    <cellStyle name="Normal 58 3 3 5" xfId="35911" xr:uid="{00000000-0005-0000-0000-0000488C0000}"/>
    <cellStyle name="Normal 58 3 3 6" xfId="35912" xr:uid="{00000000-0005-0000-0000-0000498C0000}"/>
    <cellStyle name="Normal 58 3 4" xfId="35913" xr:uid="{00000000-0005-0000-0000-00004A8C0000}"/>
    <cellStyle name="Normal 58 3 5" xfId="35914" xr:uid="{00000000-0005-0000-0000-00004B8C0000}"/>
    <cellStyle name="Normal 58 3 6" xfId="35915" xr:uid="{00000000-0005-0000-0000-00004C8C0000}"/>
    <cellStyle name="Normal 58 3 7" xfId="35916" xr:uid="{00000000-0005-0000-0000-00004D8C0000}"/>
    <cellStyle name="Normal 58 3 8" xfId="35917" xr:uid="{00000000-0005-0000-0000-00004E8C0000}"/>
    <cellStyle name="Normal 58 4" xfId="35918" xr:uid="{00000000-0005-0000-0000-00004F8C0000}"/>
    <cellStyle name="Normal 58 4 2" xfId="35919" xr:uid="{00000000-0005-0000-0000-0000508C0000}"/>
    <cellStyle name="Normal 58 4 2 2" xfId="35920" xr:uid="{00000000-0005-0000-0000-0000518C0000}"/>
    <cellStyle name="Normal 58 4 2 3" xfId="35921" xr:uid="{00000000-0005-0000-0000-0000528C0000}"/>
    <cellStyle name="Normal 58 4 2 4" xfId="35922" xr:uid="{00000000-0005-0000-0000-0000538C0000}"/>
    <cellStyle name="Normal 58 4 2 5" xfId="35923" xr:uid="{00000000-0005-0000-0000-0000548C0000}"/>
    <cellStyle name="Normal 58 4 2 6" xfId="35924" xr:uid="{00000000-0005-0000-0000-0000558C0000}"/>
    <cellStyle name="Normal 58 4 3" xfId="35925" xr:uid="{00000000-0005-0000-0000-0000568C0000}"/>
    <cellStyle name="Normal 58 4 3 2" xfId="35926" xr:uid="{00000000-0005-0000-0000-0000578C0000}"/>
    <cellStyle name="Normal 58 4 3 3" xfId="35927" xr:uid="{00000000-0005-0000-0000-0000588C0000}"/>
    <cellStyle name="Normal 58 4 3 4" xfId="35928" xr:uid="{00000000-0005-0000-0000-0000598C0000}"/>
    <cellStyle name="Normal 58 4 3 5" xfId="35929" xr:uid="{00000000-0005-0000-0000-00005A8C0000}"/>
    <cellStyle name="Normal 58 4 3 6" xfId="35930" xr:uid="{00000000-0005-0000-0000-00005B8C0000}"/>
    <cellStyle name="Normal 58 4 4" xfId="35931" xr:uid="{00000000-0005-0000-0000-00005C8C0000}"/>
    <cellStyle name="Normal 58 4 5" xfId="35932" xr:uid="{00000000-0005-0000-0000-00005D8C0000}"/>
    <cellStyle name="Normal 58 4 6" xfId="35933" xr:uid="{00000000-0005-0000-0000-00005E8C0000}"/>
    <cellStyle name="Normal 58 4 7" xfId="35934" xr:uid="{00000000-0005-0000-0000-00005F8C0000}"/>
    <cellStyle name="Normal 58 4 8" xfId="35935" xr:uid="{00000000-0005-0000-0000-0000608C0000}"/>
    <cellStyle name="Normal 58 5" xfId="35936" xr:uid="{00000000-0005-0000-0000-0000618C0000}"/>
    <cellStyle name="Normal 58 5 2" xfId="35937" xr:uid="{00000000-0005-0000-0000-0000628C0000}"/>
    <cellStyle name="Normal 58 5 3" xfId="35938" xr:uid="{00000000-0005-0000-0000-0000638C0000}"/>
    <cellStyle name="Normal 58 5 4" xfId="35939" xr:uid="{00000000-0005-0000-0000-0000648C0000}"/>
    <cellStyle name="Normal 58 5 5" xfId="35940" xr:uid="{00000000-0005-0000-0000-0000658C0000}"/>
    <cellStyle name="Normal 58 5 6" xfId="35941" xr:uid="{00000000-0005-0000-0000-0000668C0000}"/>
    <cellStyle name="Normal 58 6" xfId="35942" xr:uid="{00000000-0005-0000-0000-0000678C0000}"/>
    <cellStyle name="Normal 58 6 2" xfId="35943" xr:uid="{00000000-0005-0000-0000-0000688C0000}"/>
    <cellStyle name="Normal 58 6 3" xfId="35944" xr:uid="{00000000-0005-0000-0000-0000698C0000}"/>
    <cellStyle name="Normal 58 6 4" xfId="35945" xr:uid="{00000000-0005-0000-0000-00006A8C0000}"/>
    <cellStyle name="Normal 58 6 5" xfId="35946" xr:uid="{00000000-0005-0000-0000-00006B8C0000}"/>
    <cellStyle name="Normal 58 6 6" xfId="35947" xr:uid="{00000000-0005-0000-0000-00006C8C0000}"/>
    <cellStyle name="Normal 58 7" xfId="35948" xr:uid="{00000000-0005-0000-0000-00006D8C0000}"/>
    <cellStyle name="Normal 58 8" xfId="35949" xr:uid="{00000000-0005-0000-0000-00006E8C0000}"/>
    <cellStyle name="Normal 58 9" xfId="35950" xr:uid="{00000000-0005-0000-0000-00006F8C0000}"/>
    <cellStyle name="Normal 59" xfId="35951" xr:uid="{00000000-0005-0000-0000-0000708C0000}"/>
    <cellStyle name="Normal 59 10" xfId="35952" xr:uid="{00000000-0005-0000-0000-0000718C0000}"/>
    <cellStyle name="Normal 59 11" xfId="35953" xr:uid="{00000000-0005-0000-0000-0000728C0000}"/>
    <cellStyle name="Normal 59 2" xfId="35954" xr:uid="{00000000-0005-0000-0000-0000738C0000}"/>
    <cellStyle name="Normal 59 2 2" xfId="35955" xr:uid="{00000000-0005-0000-0000-0000748C0000}"/>
    <cellStyle name="Normal 59 2 2 2" xfId="35956" xr:uid="{00000000-0005-0000-0000-0000758C0000}"/>
    <cellStyle name="Normal 59 2 2 3" xfId="35957" xr:uid="{00000000-0005-0000-0000-0000768C0000}"/>
    <cellStyle name="Normal 59 2 2 4" xfId="35958" xr:uid="{00000000-0005-0000-0000-0000778C0000}"/>
    <cellStyle name="Normal 59 2 2 5" xfId="35959" xr:uid="{00000000-0005-0000-0000-0000788C0000}"/>
    <cellStyle name="Normal 59 2 2 6" xfId="35960" xr:uid="{00000000-0005-0000-0000-0000798C0000}"/>
    <cellStyle name="Normal 59 2 3" xfId="35961" xr:uid="{00000000-0005-0000-0000-00007A8C0000}"/>
    <cellStyle name="Normal 59 2 3 2" xfId="35962" xr:uid="{00000000-0005-0000-0000-00007B8C0000}"/>
    <cellStyle name="Normal 59 2 3 3" xfId="35963" xr:uid="{00000000-0005-0000-0000-00007C8C0000}"/>
    <cellStyle name="Normal 59 2 3 4" xfId="35964" xr:uid="{00000000-0005-0000-0000-00007D8C0000}"/>
    <cellStyle name="Normal 59 2 3 5" xfId="35965" xr:uid="{00000000-0005-0000-0000-00007E8C0000}"/>
    <cellStyle name="Normal 59 2 3 6" xfId="35966" xr:uid="{00000000-0005-0000-0000-00007F8C0000}"/>
    <cellStyle name="Normal 59 2 4" xfId="35967" xr:uid="{00000000-0005-0000-0000-0000808C0000}"/>
    <cellStyle name="Normal 59 2 5" xfId="35968" xr:uid="{00000000-0005-0000-0000-0000818C0000}"/>
    <cellStyle name="Normal 59 2 6" xfId="35969" xr:uid="{00000000-0005-0000-0000-0000828C0000}"/>
    <cellStyle name="Normal 59 2 7" xfId="35970" xr:uid="{00000000-0005-0000-0000-0000838C0000}"/>
    <cellStyle name="Normal 59 2 8" xfId="35971" xr:uid="{00000000-0005-0000-0000-0000848C0000}"/>
    <cellStyle name="Normal 59 3" xfId="35972" xr:uid="{00000000-0005-0000-0000-0000858C0000}"/>
    <cellStyle name="Normal 59 3 2" xfId="35973" xr:uid="{00000000-0005-0000-0000-0000868C0000}"/>
    <cellStyle name="Normal 59 3 2 2" xfId="35974" xr:uid="{00000000-0005-0000-0000-0000878C0000}"/>
    <cellStyle name="Normal 59 3 2 3" xfId="35975" xr:uid="{00000000-0005-0000-0000-0000888C0000}"/>
    <cellStyle name="Normal 59 3 2 4" xfId="35976" xr:uid="{00000000-0005-0000-0000-0000898C0000}"/>
    <cellStyle name="Normal 59 3 2 5" xfId="35977" xr:uid="{00000000-0005-0000-0000-00008A8C0000}"/>
    <cellStyle name="Normal 59 3 2 6" xfId="35978" xr:uid="{00000000-0005-0000-0000-00008B8C0000}"/>
    <cellStyle name="Normal 59 3 3" xfId="35979" xr:uid="{00000000-0005-0000-0000-00008C8C0000}"/>
    <cellStyle name="Normal 59 3 3 2" xfId="35980" xr:uid="{00000000-0005-0000-0000-00008D8C0000}"/>
    <cellStyle name="Normal 59 3 3 3" xfId="35981" xr:uid="{00000000-0005-0000-0000-00008E8C0000}"/>
    <cellStyle name="Normal 59 3 3 4" xfId="35982" xr:uid="{00000000-0005-0000-0000-00008F8C0000}"/>
    <cellStyle name="Normal 59 3 3 5" xfId="35983" xr:uid="{00000000-0005-0000-0000-0000908C0000}"/>
    <cellStyle name="Normal 59 3 3 6" xfId="35984" xr:uid="{00000000-0005-0000-0000-0000918C0000}"/>
    <cellStyle name="Normal 59 3 4" xfId="35985" xr:uid="{00000000-0005-0000-0000-0000928C0000}"/>
    <cellStyle name="Normal 59 3 5" xfId="35986" xr:uid="{00000000-0005-0000-0000-0000938C0000}"/>
    <cellStyle name="Normal 59 3 6" xfId="35987" xr:uid="{00000000-0005-0000-0000-0000948C0000}"/>
    <cellStyle name="Normal 59 3 7" xfId="35988" xr:uid="{00000000-0005-0000-0000-0000958C0000}"/>
    <cellStyle name="Normal 59 3 8" xfId="35989" xr:uid="{00000000-0005-0000-0000-0000968C0000}"/>
    <cellStyle name="Normal 59 4" xfId="35990" xr:uid="{00000000-0005-0000-0000-0000978C0000}"/>
    <cellStyle name="Normal 59 4 2" xfId="35991" xr:uid="{00000000-0005-0000-0000-0000988C0000}"/>
    <cellStyle name="Normal 59 4 2 2" xfId="35992" xr:uid="{00000000-0005-0000-0000-0000998C0000}"/>
    <cellStyle name="Normal 59 4 2 3" xfId="35993" xr:uid="{00000000-0005-0000-0000-00009A8C0000}"/>
    <cellStyle name="Normal 59 4 2 4" xfId="35994" xr:uid="{00000000-0005-0000-0000-00009B8C0000}"/>
    <cellStyle name="Normal 59 4 2 5" xfId="35995" xr:uid="{00000000-0005-0000-0000-00009C8C0000}"/>
    <cellStyle name="Normal 59 4 2 6" xfId="35996" xr:uid="{00000000-0005-0000-0000-00009D8C0000}"/>
    <cellStyle name="Normal 59 4 3" xfId="35997" xr:uid="{00000000-0005-0000-0000-00009E8C0000}"/>
    <cellStyle name="Normal 59 4 3 2" xfId="35998" xr:uid="{00000000-0005-0000-0000-00009F8C0000}"/>
    <cellStyle name="Normal 59 4 3 3" xfId="35999" xr:uid="{00000000-0005-0000-0000-0000A08C0000}"/>
    <cellStyle name="Normal 59 4 3 4" xfId="36000" xr:uid="{00000000-0005-0000-0000-0000A18C0000}"/>
    <cellStyle name="Normal 59 4 3 5" xfId="36001" xr:uid="{00000000-0005-0000-0000-0000A28C0000}"/>
    <cellStyle name="Normal 59 4 3 6" xfId="36002" xr:uid="{00000000-0005-0000-0000-0000A38C0000}"/>
    <cellStyle name="Normal 59 4 4" xfId="36003" xr:uid="{00000000-0005-0000-0000-0000A48C0000}"/>
    <cellStyle name="Normal 59 4 5" xfId="36004" xr:uid="{00000000-0005-0000-0000-0000A58C0000}"/>
    <cellStyle name="Normal 59 4 6" xfId="36005" xr:uid="{00000000-0005-0000-0000-0000A68C0000}"/>
    <cellStyle name="Normal 59 4 7" xfId="36006" xr:uid="{00000000-0005-0000-0000-0000A78C0000}"/>
    <cellStyle name="Normal 59 4 8" xfId="36007" xr:uid="{00000000-0005-0000-0000-0000A88C0000}"/>
    <cellStyle name="Normal 59 5" xfId="36008" xr:uid="{00000000-0005-0000-0000-0000A98C0000}"/>
    <cellStyle name="Normal 59 5 2" xfId="36009" xr:uid="{00000000-0005-0000-0000-0000AA8C0000}"/>
    <cellStyle name="Normal 59 5 3" xfId="36010" xr:uid="{00000000-0005-0000-0000-0000AB8C0000}"/>
    <cellStyle name="Normal 59 5 4" xfId="36011" xr:uid="{00000000-0005-0000-0000-0000AC8C0000}"/>
    <cellStyle name="Normal 59 5 5" xfId="36012" xr:uid="{00000000-0005-0000-0000-0000AD8C0000}"/>
    <cellStyle name="Normal 59 5 6" xfId="36013" xr:uid="{00000000-0005-0000-0000-0000AE8C0000}"/>
    <cellStyle name="Normal 59 6" xfId="36014" xr:uid="{00000000-0005-0000-0000-0000AF8C0000}"/>
    <cellStyle name="Normal 59 6 2" xfId="36015" xr:uid="{00000000-0005-0000-0000-0000B08C0000}"/>
    <cellStyle name="Normal 59 6 3" xfId="36016" xr:uid="{00000000-0005-0000-0000-0000B18C0000}"/>
    <cellStyle name="Normal 59 6 4" xfId="36017" xr:uid="{00000000-0005-0000-0000-0000B28C0000}"/>
    <cellStyle name="Normal 59 6 5" xfId="36018" xr:uid="{00000000-0005-0000-0000-0000B38C0000}"/>
    <cellStyle name="Normal 59 6 6" xfId="36019" xr:uid="{00000000-0005-0000-0000-0000B48C0000}"/>
    <cellStyle name="Normal 59 7" xfId="36020" xr:uid="{00000000-0005-0000-0000-0000B58C0000}"/>
    <cellStyle name="Normal 59 8" xfId="36021" xr:uid="{00000000-0005-0000-0000-0000B68C0000}"/>
    <cellStyle name="Normal 59 9" xfId="36022" xr:uid="{00000000-0005-0000-0000-0000B78C0000}"/>
    <cellStyle name="Normal 6" xfId="36023" xr:uid="{00000000-0005-0000-0000-0000B88C0000}"/>
    <cellStyle name="Normal 6 10" xfId="36024" xr:uid="{00000000-0005-0000-0000-0000B98C0000}"/>
    <cellStyle name="Normal 6 10 2" xfId="36025" xr:uid="{00000000-0005-0000-0000-0000BA8C0000}"/>
    <cellStyle name="Normal 6 11" xfId="36026" xr:uid="{00000000-0005-0000-0000-0000BB8C0000}"/>
    <cellStyle name="Normal 6 11 2" xfId="36027" xr:uid="{00000000-0005-0000-0000-0000BC8C0000}"/>
    <cellStyle name="Normal 6 12" xfId="36028" xr:uid="{00000000-0005-0000-0000-0000BD8C0000}"/>
    <cellStyle name="Normal 6 12 2" xfId="36029" xr:uid="{00000000-0005-0000-0000-0000BE8C0000}"/>
    <cellStyle name="Normal 6 13" xfId="36030" xr:uid="{00000000-0005-0000-0000-0000BF8C0000}"/>
    <cellStyle name="Normal 6 13 2" xfId="36031" xr:uid="{00000000-0005-0000-0000-0000C08C0000}"/>
    <cellStyle name="Normal 6 14" xfId="36032" xr:uid="{00000000-0005-0000-0000-0000C18C0000}"/>
    <cellStyle name="Normal 6 14 2" xfId="36033" xr:uid="{00000000-0005-0000-0000-0000C28C0000}"/>
    <cellStyle name="Normal 6 15" xfId="36034" xr:uid="{00000000-0005-0000-0000-0000C38C0000}"/>
    <cellStyle name="Normal 6 15 2" xfId="36035" xr:uid="{00000000-0005-0000-0000-0000C48C0000}"/>
    <cellStyle name="Normal 6 16" xfId="36036" xr:uid="{00000000-0005-0000-0000-0000C58C0000}"/>
    <cellStyle name="Normal 6 16 2" xfId="36037" xr:uid="{00000000-0005-0000-0000-0000C68C0000}"/>
    <cellStyle name="Normal 6 17" xfId="36038" xr:uid="{00000000-0005-0000-0000-0000C78C0000}"/>
    <cellStyle name="Normal 6 17 10" xfId="36039" xr:uid="{00000000-0005-0000-0000-0000C88C0000}"/>
    <cellStyle name="Normal 6 17 11" xfId="36040" xr:uid="{00000000-0005-0000-0000-0000C98C0000}"/>
    <cellStyle name="Normal 6 17 12" xfId="36041" xr:uid="{00000000-0005-0000-0000-0000CA8C0000}"/>
    <cellStyle name="Normal 6 17 2" xfId="36042" xr:uid="{00000000-0005-0000-0000-0000CB8C0000}"/>
    <cellStyle name="Normal 6 17 3" xfId="36043" xr:uid="{00000000-0005-0000-0000-0000CC8C0000}"/>
    <cellStyle name="Normal 6 17 3 2" xfId="36044" xr:uid="{00000000-0005-0000-0000-0000CD8C0000}"/>
    <cellStyle name="Normal 6 17 3 2 2" xfId="36045" xr:uid="{00000000-0005-0000-0000-0000CE8C0000}"/>
    <cellStyle name="Normal 6 17 3 2 3" xfId="36046" xr:uid="{00000000-0005-0000-0000-0000CF8C0000}"/>
    <cellStyle name="Normal 6 17 3 2 4" xfId="36047" xr:uid="{00000000-0005-0000-0000-0000D08C0000}"/>
    <cellStyle name="Normal 6 17 3 2 5" xfId="36048" xr:uid="{00000000-0005-0000-0000-0000D18C0000}"/>
    <cellStyle name="Normal 6 17 3 2 6" xfId="36049" xr:uid="{00000000-0005-0000-0000-0000D28C0000}"/>
    <cellStyle name="Normal 6 17 3 3" xfId="36050" xr:uid="{00000000-0005-0000-0000-0000D38C0000}"/>
    <cellStyle name="Normal 6 17 3 3 2" xfId="36051" xr:uid="{00000000-0005-0000-0000-0000D48C0000}"/>
    <cellStyle name="Normal 6 17 3 3 3" xfId="36052" xr:uid="{00000000-0005-0000-0000-0000D58C0000}"/>
    <cellStyle name="Normal 6 17 3 3 4" xfId="36053" xr:uid="{00000000-0005-0000-0000-0000D68C0000}"/>
    <cellStyle name="Normal 6 17 3 3 5" xfId="36054" xr:uid="{00000000-0005-0000-0000-0000D78C0000}"/>
    <cellStyle name="Normal 6 17 3 3 6" xfId="36055" xr:uid="{00000000-0005-0000-0000-0000D88C0000}"/>
    <cellStyle name="Normal 6 17 3 4" xfId="36056" xr:uid="{00000000-0005-0000-0000-0000D98C0000}"/>
    <cellStyle name="Normal 6 17 3 5" xfId="36057" xr:uid="{00000000-0005-0000-0000-0000DA8C0000}"/>
    <cellStyle name="Normal 6 17 3 6" xfId="36058" xr:uid="{00000000-0005-0000-0000-0000DB8C0000}"/>
    <cellStyle name="Normal 6 17 3 7" xfId="36059" xr:uid="{00000000-0005-0000-0000-0000DC8C0000}"/>
    <cellStyle name="Normal 6 17 3 8" xfId="36060" xr:uid="{00000000-0005-0000-0000-0000DD8C0000}"/>
    <cellStyle name="Normal 6 17 4" xfId="36061" xr:uid="{00000000-0005-0000-0000-0000DE8C0000}"/>
    <cellStyle name="Normal 6 17 4 2" xfId="36062" xr:uid="{00000000-0005-0000-0000-0000DF8C0000}"/>
    <cellStyle name="Normal 6 17 4 2 2" xfId="36063" xr:uid="{00000000-0005-0000-0000-0000E08C0000}"/>
    <cellStyle name="Normal 6 17 4 2 3" xfId="36064" xr:uid="{00000000-0005-0000-0000-0000E18C0000}"/>
    <cellStyle name="Normal 6 17 4 2 4" xfId="36065" xr:uid="{00000000-0005-0000-0000-0000E28C0000}"/>
    <cellStyle name="Normal 6 17 4 2 5" xfId="36066" xr:uid="{00000000-0005-0000-0000-0000E38C0000}"/>
    <cellStyle name="Normal 6 17 4 2 6" xfId="36067" xr:uid="{00000000-0005-0000-0000-0000E48C0000}"/>
    <cellStyle name="Normal 6 17 4 3" xfId="36068" xr:uid="{00000000-0005-0000-0000-0000E58C0000}"/>
    <cellStyle name="Normal 6 17 4 3 2" xfId="36069" xr:uid="{00000000-0005-0000-0000-0000E68C0000}"/>
    <cellStyle name="Normal 6 17 4 3 3" xfId="36070" xr:uid="{00000000-0005-0000-0000-0000E78C0000}"/>
    <cellStyle name="Normal 6 17 4 3 4" xfId="36071" xr:uid="{00000000-0005-0000-0000-0000E88C0000}"/>
    <cellStyle name="Normal 6 17 4 3 5" xfId="36072" xr:uid="{00000000-0005-0000-0000-0000E98C0000}"/>
    <cellStyle name="Normal 6 17 4 3 6" xfId="36073" xr:uid="{00000000-0005-0000-0000-0000EA8C0000}"/>
    <cellStyle name="Normal 6 17 4 4" xfId="36074" xr:uid="{00000000-0005-0000-0000-0000EB8C0000}"/>
    <cellStyle name="Normal 6 17 4 5" xfId="36075" xr:uid="{00000000-0005-0000-0000-0000EC8C0000}"/>
    <cellStyle name="Normal 6 17 4 6" xfId="36076" xr:uid="{00000000-0005-0000-0000-0000ED8C0000}"/>
    <cellStyle name="Normal 6 17 4 7" xfId="36077" xr:uid="{00000000-0005-0000-0000-0000EE8C0000}"/>
    <cellStyle name="Normal 6 17 4 8" xfId="36078" xr:uid="{00000000-0005-0000-0000-0000EF8C0000}"/>
    <cellStyle name="Normal 6 17 5" xfId="36079" xr:uid="{00000000-0005-0000-0000-0000F08C0000}"/>
    <cellStyle name="Normal 6 17 5 2" xfId="36080" xr:uid="{00000000-0005-0000-0000-0000F18C0000}"/>
    <cellStyle name="Normal 6 17 5 2 2" xfId="36081" xr:uid="{00000000-0005-0000-0000-0000F28C0000}"/>
    <cellStyle name="Normal 6 17 5 2 3" xfId="36082" xr:uid="{00000000-0005-0000-0000-0000F38C0000}"/>
    <cellStyle name="Normal 6 17 5 2 4" xfId="36083" xr:uid="{00000000-0005-0000-0000-0000F48C0000}"/>
    <cellStyle name="Normal 6 17 5 2 5" xfId="36084" xr:uid="{00000000-0005-0000-0000-0000F58C0000}"/>
    <cellStyle name="Normal 6 17 5 2 6" xfId="36085" xr:uid="{00000000-0005-0000-0000-0000F68C0000}"/>
    <cellStyle name="Normal 6 17 5 3" xfId="36086" xr:uid="{00000000-0005-0000-0000-0000F78C0000}"/>
    <cellStyle name="Normal 6 17 5 3 2" xfId="36087" xr:uid="{00000000-0005-0000-0000-0000F88C0000}"/>
    <cellStyle name="Normal 6 17 5 3 3" xfId="36088" xr:uid="{00000000-0005-0000-0000-0000F98C0000}"/>
    <cellStyle name="Normal 6 17 5 3 4" xfId="36089" xr:uid="{00000000-0005-0000-0000-0000FA8C0000}"/>
    <cellStyle name="Normal 6 17 5 3 5" xfId="36090" xr:uid="{00000000-0005-0000-0000-0000FB8C0000}"/>
    <cellStyle name="Normal 6 17 5 3 6" xfId="36091" xr:uid="{00000000-0005-0000-0000-0000FC8C0000}"/>
    <cellStyle name="Normal 6 17 5 4" xfId="36092" xr:uid="{00000000-0005-0000-0000-0000FD8C0000}"/>
    <cellStyle name="Normal 6 17 5 5" xfId="36093" xr:uid="{00000000-0005-0000-0000-0000FE8C0000}"/>
    <cellStyle name="Normal 6 17 5 6" xfId="36094" xr:uid="{00000000-0005-0000-0000-0000FF8C0000}"/>
    <cellStyle name="Normal 6 17 5 7" xfId="36095" xr:uid="{00000000-0005-0000-0000-0000008D0000}"/>
    <cellStyle name="Normal 6 17 5 8" xfId="36096" xr:uid="{00000000-0005-0000-0000-0000018D0000}"/>
    <cellStyle name="Normal 6 17 6" xfId="36097" xr:uid="{00000000-0005-0000-0000-0000028D0000}"/>
    <cellStyle name="Normal 6 17 6 2" xfId="36098" xr:uid="{00000000-0005-0000-0000-0000038D0000}"/>
    <cellStyle name="Normal 6 17 6 3" xfId="36099" xr:uid="{00000000-0005-0000-0000-0000048D0000}"/>
    <cellStyle name="Normal 6 17 6 4" xfId="36100" xr:uid="{00000000-0005-0000-0000-0000058D0000}"/>
    <cellStyle name="Normal 6 17 6 5" xfId="36101" xr:uid="{00000000-0005-0000-0000-0000068D0000}"/>
    <cellStyle name="Normal 6 17 6 6" xfId="36102" xr:uid="{00000000-0005-0000-0000-0000078D0000}"/>
    <cellStyle name="Normal 6 17 7" xfId="36103" xr:uid="{00000000-0005-0000-0000-0000088D0000}"/>
    <cellStyle name="Normal 6 17 7 2" xfId="36104" xr:uid="{00000000-0005-0000-0000-0000098D0000}"/>
    <cellStyle name="Normal 6 17 7 3" xfId="36105" xr:uid="{00000000-0005-0000-0000-00000A8D0000}"/>
    <cellStyle name="Normal 6 17 7 4" xfId="36106" xr:uid="{00000000-0005-0000-0000-00000B8D0000}"/>
    <cellStyle name="Normal 6 17 7 5" xfId="36107" xr:uid="{00000000-0005-0000-0000-00000C8D0000}"/>
    <cellStyle name="Normal 6 17 7 6" xfId="36108" xr:uid="{00000000-0005-0000-0000-00000D8D0000}"/>
    <cellStyle name="Normal 6 17 8" xfId="36109" xr:uid="{00000000-0005-0000-0000-00000E8D0000}"/>
    <cellStyle name="Normal 6 17 9" xfId="36110" xr:uid="{00000000-0005-0000-0000-00000F8D0000}"/>
    <cellStyle name="Normal 6 18" xfId="36111" xr:uid="{00000000-0005-0000-0000-0000108D0000}"/>
    <cellStyle name="Normal 6 18 10" xfId="36112" xr:uid="{00000000-0005-0000-0000-0000118D0000}"/>
    <cellStyle name="Normal 6 18 11" xfId="36113" xr:uid="{00000000-0005-0000-0000-0000128D0000}"/>
    <cellStyle name="Normal 6 18 2" xfId="36114" xr:uid="{00000000-0005-0000-0000-0000138D0000}"/>
    <cellStyle name="Normal 6 18 2 2" xfId="36115" xr:uid="{00000000-0005-0000-0000-0000148D0000}"/>
    <cellStyle name="Normal 6 18 2 2 2" xfId="36116" xr:uid="{00000000-0005-0000-0000-0000158D0000}"/>
    <cellStyle name="Normal 6 18 2 2 3" xfId="36117" xr:uid="{00000000-0005-0000-0000-0000168D0000}"/>
    <cellStyle name="Normal 6 18 2 2 4" xfId="36118" xr:uid="{00000000-0005-0000-0000-0000178D0000}"/>
    <cellStyle name="Normal 6 18 2 2 5" xfId="36119" xr:uid="{00000000-0005-0000-0000-0000188D0000}"/>
    <cellStyle name="Normal 6 18 2 2 6" xfId="36120" xr:uid="{00000000-0005-0000-0000-0000198D0000}"/>
    <cellStyle name="Normal 6 18 2 3" xfId="36121" xr:uid="{00000000-0005-0000-0000-00001A8D0000}"/>
    <cellStyle name="Normal 6 18 2 3 2" xfId="36122" xr:uid="{00000000-0005-0000-0000-00001B8D0000}"/>
    <cellStyle name="Normal 6 18 2 3 3" xfId="36123" xr:uid="{00000000-0005-0000-0000-00001C8D0000}"/>
    <cellStyle name="Normal 6 18 2 3 4" xfId="36124" xr:uid="{00000000-0005-0000-0000-00001D8D0000}"/>
    <cellStyle name="Normal 6 18 2 3 5" xfId="36125" xr:uid="{00000000-0005-0000-0000-00001E8D0000}"/>
    <cellStyle name="Normal 6 18 2 3 6" xfId="36126" xr:uid="{00000000-0005-0000-0000-00001F8D0000}"/>
    <cellStyle name="Normal 6 18 2 4" xfId="36127" xr:uid="{00000000-0005-0000-0000-0000208D0000}"/>
    <cellStyle name="Normal 6 18 2 5" xfId="36128" xr:uid="{00000000-0005-0000-0000-0000218D0000}"/>
    <cellStyle name="Normal 6 18 2 6" xfId="36129" xr:uid="{00000000-0005-0000-0000-0000228D0000}"/>
    <cellStyle name="Normal 6 18 2 7" xfId="36130" xr:uid="{00000000-0005-0000-0000-0000238D0000}"/>
    <cellStyle name="Normal 6 18 2 8" xfId="36131" xr:uid="{00000000-0005-0000-0000-0000248D0000}"/>
    <cellStyle name="Normal 6 18 3" xfId="36132" xr:uid="{00000000-0005-0000-0000-0000258D0000}"/>
    <cellStyle name="Normal 6 18 3 2" xfId="36133" xr:uid="{00000000-0005-0000-0000-0000268D0000}"/>
    <cellStyle name="Normal 6 18 3 2 2" xfId="36134" xr:uid="{00000000-0005-0000-0000-0000278D0000}"/>
    <cellStyle name="Normal 6 18 3 2 3" xfId="36135" xr:uid="{00000000-0005-0000-0000-0000288D0000}"/>
    <cellStyle name="Normal 6 18 3 2 4" xfId="36136" xr:uid="{00000000-0005-0000-0000-0000298D0000}"/>
    <cellStyle name="Normal 6 18 3 2 5" xfId="36137" xr:uid="{00000000-0005-0000-0000-00002A8D0000}"/>
    <cellStyle name="Normal 6 18 3 2 6" xfId="36138" xr:uid="{00000000-0005-0000-0000-00002B8D0000}"/>
    <cellStyle name="Normal 6 18 3 3" xfId="36139" xr:uid="{00000000-0005-0000-0000-00002C8D0000}"/>
    <cellStyle name="Normal 6 18 3 3 2" xfId="36140" xr:uid="{00000000-0005-0000-0000-00002D8D0000}"/>
    <cellStyle name="Normal 6 18 3 3 3" xfId="36141" xr:uid="{00000000-0005-0000-0000-00002E8D0000}"/>
    <cellStyle name="Normal 6 18 3 3 4" xfId="36142" xr:uid="{00000000-0005-0000-0000-00002F8D0000}"/>
    <cellStyle name="Normal 6 18 3 3 5" xfId="36143" xr:uid="{00000000-0005-0000-0000-0000308D0000}"/>
    <cellStyle name="Normal 6 18 3 3 6" xfId="36144" xr:uid="{00000000-0005-0000-0000-0000318D0000}"/>
    <cellStyle name="Normal 6 18 3 4" xfId="36145" xr:uid="{00000000-0005-0000-0000-0000328D0000}"/>
    <cellStyle name="Normal 6 18 3 5" xfId="36146" xr:uid="{00000000-0005-0000-0000-0000338D0000}"/>
    <cellStyle name="Normal 6 18 3 6" xfId="36147" xr:uid="{00000000-0005-0000-0000-0000348D0000}"/>
    <cellStyle name="Normal 6 18 3 7" xfId="36148" xr:uid="{00000000-0005-0000-0000-0000358D0000}"/>
    <cellStyle name="Normal 6 18 3 8" xfId="36149" xr:uid="{00000000-0005-0000-0000-0000368D0000}"/>
    <cellStyle name="Normal 6 18 4" xfId="36150" xr:uid="{00000000-0005-0000-0000-0000378D0000}"/>
    <cellStyle name="Normal 6 18 4 2" xfId="36151" xr:uid="{00000000-0005-0000-0000-0000388D0000}"/>
    <cellStyle name="Normal 6 18 4 2 2" xfId="36152" xr:uid="{00000000-0005-0000-0000-0000398D0000}"/>
    <cellStyle name="Normal 6 18 4 2 3" xfId="36153" xr:uid="{00000000-0005-0000-0000-00003A8D0000}"/>
    <cellStyle name="Normal 6 18 4 2 4" xfId="36154" xr:uid="{00000000-0005-0000-0000-00003B8D0000}"/>
    <cellStyle name="Normal 6 18 4 2 5" xfId="36155" xr:uid="{00000000-0005-0000-0000-00003C8D0000}"/>
    <cellStyle name="Normal 6 18 4 2 6" xfId="36156" xr:uid="{00000000-0005-0000-0000-00003D8D0000}"/>
    <cellStyle name="Normal 6 18 4 3" xfId="36157" xr:uid="{00000000-0005-0000-0000-00003E8D0000}"/>
    <cellStyle name="Normal 6 18 4 3 2" xfId="36158" xr:uid="{00000000-0005-0000-0000-00003F8D0000}"/>
    <cellStyle name="Normal 6 18 4 3 3" xfId="36159" xr:uid="{00000000-0005-0000-0000-0000408D0000}"/>
    <cellStyle name="Normal 6 18 4 3 4" xfId="36160" xr:uid="{00000000-0005-0000-0000-0000418D0000}"/>
    <cellStyle name="Normal 6 18 4 3 5" xfId="36161" xr:uid="{00000000-0005-0000-0000-0000428D0000}"/>
    <cellStyle name="Normal 6 18 4 3 6" xfId="36162" xr:uid="{00000000-0005-0000-0000-0000438D0000}"/>
    <cellStyle name="Normal 6 18 4 4" xfId="36163" xr:uid="{00000000-0005-0000-0000-0000448D0000}"/>
    <cellStyle name="Normal 6 18 4 5" xfId="36164" xr:uid="{00000000-0005-0000-0000-0000458D0000}"/>
    <cellStyle name="Normal 6 18 4 6" xfId="36165" xr:uid="{00000000-0005-0000-0000-0000468D0000}"/>
    <cellStyle name="Normal 6 18 4 7" xfId="36166" xr:uid="{00000000-0005-0000-0000-0000478D0000}"/>
    <cellStyle name="Normal 6 18 4 8" xfId="36167" xr:uid="{00000000-0005-0000-0000-0000488D0000}"/>
    <cellStyle name="Normal 6 18 5" xfId="36168" xr:uid="{00000000-0005-0000-0000-0000498D0000}"/>
    <cellStyle name="Normal 6 18 5 2" xfId="36169" xr:uid="{00000000-0005-0000-0000-00004A8D0000}"/>
    <cellStyle name="Normal 6 18 5 3" xfId="36170" xr:uid="{00000000-0005-0000-0000-00004B8D0000}"/>
    <cellStyle name="Normal 6 18 5 4" xfId="36171" xr:uid="{00000000-0005-0000-0000-00004C8D0000}"/>
    <cellStyle name="Normal 6 18 5 5" xfId="36172" xr:uid="{00000000-0005-0000-0000-00004D8D0000}"/>
    <cellStyle name="Normal 6 18 5 6" xfId="36173" xr:uid="{00000000-0005-0000-0000-00004E8D0000}"/>
    <cellStyle name="Normal 6 18 6" xfId="36174" xr:uid="{00000000-0005-0000-0000-00004F8D0000}"/>
    <cellStyle name="Normal 6 18 6 2" xfId="36175" xr:uid="{00000000-0005-0000-0000-0000508D0000}"/>
    <cellStyle name="Normal 6 18 6 3" xfId="36176" xr:uid="{00000000-0005-0000-0000-0000518D0000}"/>
    <cellStyle name="Normal 6 18 6 4" xfId="36177" xr:uid="{00000000-0005-0000-0000-0000528D0000}"/>
    <cellStyle name="Normal 6 18 6 5" xfId="36178" xr:uid="{00000000-0005-0000-0000-0000538D0000}"/>
    <cellStyle name="Normal 6 18 6 6" xfId="36179" xr:uid="{00000000-0005-0000-0000-0000548D0000}"/>
    <cellStyle name="Normal 6 18 7" xfId="36180" xr:uid="{00000000-0005-0000-0000-0000558D0000}"/>
    <cellStyle name="Normal 6 18 8" xfId="36181" xr:uid="{00000000-0005-0000-0000-0000568D0000}"/>
    <cellStyle name="Normal 6 18 9" xfId="36182" xr:uid="{00000000-0005-0000-0000-0000578D0000}"/>
    <cellStyle name="Normal 6 19" xfId="36183" xr:uid="{00000000-0005-0000-0000-0000588D0000}"/>
    <cellStyle name="Normal 6 19 2" xfId="36184" xr:uid="{00000000-0005-0000-0000-0000598D0000}"/>
    <cellStyle name="Normal 6 19 2 2" xfId="36185" xr:uid="{00000000-0005-0000-0000-00005A8D0000}"/>
    <cellStyle name="Normal 6 19 2 3" xfId="36186" xr:uid="{00000000-0005-0000-0000-00005B8D0000}"/>
    <cellStyle name="Normal 6 19 2 4" xfId="36187" xr:uid="{00000000-0005-0000-0000-00005C8D0000}"/>
    <cellStyle name="Normal 6 19 2 5" xfId="36188" xr:uid="{00000000-0005-0000-0000-00005D8D0000}"/>
    <cellStyle name="Normal 6 19 2 6" xfId="36189" xr:uid="{00000000-0005-0000-0000-00005E8D0000}"/>
    <cellStyle name="Normal 6 19 3" xfId="36190" xr:uid="{00000000-0005-0000-0000-00005F8D0000}"/>
    <cellStyle name="Normal 6 19 3 2" xfId="36191" xr:uid="{00000000-0005-0000-0000-0000608D0000}"/>
    <cellStyle name="Normal 6 19 3 3" xfId="36192" xr:uid="{00000000-0005-0000-0000-0000618D0000}"/>
    <cellStyle name="Normal 6 19 3 4" xfId="36193" xr:uid="{00000000-0005-0000-0000-0000628D0000}"/>
    <cellStyle name="Normal 6 19 3 5" xfId="36194" xr:uid="{00000000-0005-0000-0000-0000638D0000}"/>
    <cellStyle name="Normal 6 19 3 6" xfId="36195" xr:uid="{00000000-0005-0000-0000-0000648D0000}"/>
    <cellStyle name="Normal 6 19 4" xfId="36196" xr:uid="{00000000-0005-0000-0000-0000658D0000}"/>
    <cellStyle name="Normal 6 19 5" xfId="36197" xr:uid="{00000000-0005-0000-0000-0000668D0000}"/>
    <cellStyle name="Normal 6 19 6" xfId="36198" xr:uid="{00000000-0005-0000-0000-0000678D0000}"/>
    <cellStyle name="Normal 6 19 7" xfId="36199" xr:uid="{00000000-0005-0000-0000-0000688D0000}"/>
    <cellStyle name="Normal 6 19 8" xfId="36200" xr:uid="{00000000-0005-0000-0000-0000698D0000}"/>
    <cellStyle name="Normal 6 2" xfId="36201" xr:uid="{00000000-0005-0000-0000-00006A8D0000}"/>
    <cellStyle name="Normal 6 2 2" xfId="36202" xr:uid="{00000000-0005-0000-0000-00006B8D0000}"/>
    <cellStyle name="Normal 6 20" xfId="36203" xr:uid="{00000000-0005-0000-0000-00006C8D0000}"/>
    <cellStyle name="Normal 6 20 2" xfId="36204" xr:uid="{00000000-0005-0000-0000-00006D8D0000}"/>
    <cellStyle name="Normal 6 20 2 2" xfId="36205" xr:uid="{00000000-0005-0000-0000-00006E8D0000}"/>
    <cellStyle name="Normal 6 20 2 3" xfId="36206" xr:uid="{00000000-0005-0000-0000-00006F8D0000}"/>
    <cellStyle name="Normal 6 20 2 4" xfId="36207" xr:uid="{00000000-0005-0000-0000-0000708D0000}"/>
    <cellStyle name="Normal 6 20 2 5" xfId="36208" xr:uid="{00000000-0005-0000-0000-0000718D0000}"/>
    <cellStyle name="Normal 6 20 2 6" xfId="36209" xr:uid="{00000000-0005-0000-0000-0000728D0000}"/>
    <cellStyle name="Normal 6 20 3" xfId="36210" xr:uid="{00000000-0005-0000-0000-0000738D0000}"/>
    <cellStyle name="Normal 6 20 3 2" xfId="36211" xr:uid="{00000000-0005-0000-0000-0000748D0000}"/>
    <cellStyle name="Normal 6 20 3 3" xfId="36212" xr:uid="{00000000-0005-0000-0000-0000758D0000}"/>
    <cellStyle name="Normal 6 20 3 4" xfId="36213" xr:uid="{00000000-0005-0000-0000-0000768D0000}"/>
    <cellStyle name="Normal 6 20 3 5" xfId="36214" xr:uid="{00000000-0005-0000-0000-0000778D0000}"/>
    <cellStyle name="Normal 6 20 3 6" xfId="36215" xr:uid="{00000000-0005-0000-0000-0000788D0000}"/>
    <cellStyle name="Normal 6 20 4" xfId="36216" xr:uid="{00000000-0005-0000-0000-0000798D0000}"/>
    <cellStyle name="Normal 6 20 5" xfId="36217" xr:uid="{00000000-0005-0000-0000-00007A8D0000}"/>
    <cellStyle name="Normal 6 20 6" xfId="36218" xr:uid="{00000000-0005-0000-0000-00007B8D0000}"/>
    <cellStyle name="Normal 6 20 7" xfId="36219" xr:uid="{00000000-0005-0000-0000-00007C8D0000}"/>
    <cellStyle name="Normal 6 20 8" xfId="36220" xr:uid="{00000000-0005-0000-0000-00007D8D0000}"/>
    <cellStyle name="Normal 6 21" xfId="36221" xr:uid="{00000000-0005-0000-0000-00007E8D0000}"/>
    <cellStyle name="Normal 6 21 2" xfId="36222" xr:uid="{00000000-0005-0000-0000-00007F8D0000}"/>
    <cellStyle name="Normal 6 21 2 2" xfId="36223" xr:uid="{00000000-0005-0000-0000-0000808D0000}"/>
    <cellStyle name="Normal 6 21 2 3" xfId="36224" xr:uid="{00000000-0005-0000-0000-0000818D0000}"/>
    <cellStyle name="Normal 6 21 2 4" xfId="36225" xr:uid="{00000000-0005-0000-0000-0000828D0000}"/>
    <cellStyle name="Normal 6 21 2 5" xfId="36226" xr:uid="{00000000-0005-0000-0000-0000838D0000}"/>
    <cellStyle name="Normal 6 21 2 6" xfId="36227" xr:uid="{00000000-0005-0000-0000-0000848D0000}"/>
    <cellStyle name="Normal 6 21 3" xfId="36228" xr:uid="{00000000-0005-0000-0000-0000858D0000}"/>
    <cellStyle name="Normal 6 21 3 2" xfId="36229" xr:uid="{00000000-0005-0000-0000-0000868D0000}"/>
    <cellStyle name="Normal 6 21 3 3" xfId="36230" xr:uid="{00000000-0005-0000-0000-0000878D0000}"/>
    <cellStyle name="Normal 6 21 3 4" xfId="36231" xr:uid="{00000000-0005-0000-0000-0000888D0000}"/>
    <cellStyle name="Normal 6 21 3 5" xfId="36232" xr:uid="{00000000-0005-0000-0000-0000898D0000}"/>
    <cellStyle name="Normal 6 21 3 6" xfId="36233" xr:uid="{00000000-0005-0000-0000-00008A8D0000}"/>
    <cellStyle name="Normal 6 21 4" xfId="36234" xr:uid="{00000000-0005-0000-0000-00008B8D0000}"/>
    <cellStyle name="Normal 6 21 5" xfId="36235" xr:uid="{00000000-0005-0000-0000-00008C8D0000}"/>
    <cellStyle name="Normal 6 21 6" xfId="36236" xr:uid="{00000000-0005-0000-0000-00008D8D0000}"/>
    <cellStyle name="Normal 6 21 7" xfId="36237" xr:uid="{00000000-0005-0000-0000-00008E8D0000}"/>
    <cellStyle name="Normal 6 21 8" xfId="36238" xr:uid="{00000000-0005-0000-0000-00008F8D0000}"/>
    <cellStyle name="Normal 6 22" xfId="36239" xr:uid="{00000000-0005-0000-0000-0000908D0000}"/>
    <cellStyle name="Normal 6 22 2" xfId="36240" xr:uid="{00000000-0005-0000-0000-0000918D0000}"/>
    <cellStyle name="Normal 6 22 3" xfId="36241" xr:uid="{00000000-0005-0000-0000-0000928D0000}"/>
    <cellStyle name="Normal 6 22 4" xfId="36242" xr:uid="{00000000-0005-0000-0000-0000938D0000}"/>
    <cellStyle name="Normal 6 22 5" xfId="36243" xr:uid="{00000000-0005-0000-0000-0000948D0000}"/>
    <cellStyle name="Normal 6 22 6" xfId="36244" xr:uid="{00000000-0005-0000-0000-0000958D0000}"/>
    <cellStyle name="Normal 6 23" xfId="36245" xr:uid="{00000000-0005-0000-0000-0000968D0000}"/>
    <cellStyle name="Normal 6 23 2" xfId="36246" xr:uid="{00000000-0005-0000-0000-0000978D0000}"/>
    <cellStyle name="Normal 6 23 3" xfId="36247" xr:uid="{00000000-0005-0000-0000-0000988D0000}"/>
    <cellStyle name="Normal 6 23 4" xfId="36248" xr:uid="{00000000-0005-0000-0000-0000998D0000}"/>
    <cellStyle name="Normal 6 23 5" xfId="36249" xr:uid="{00000000-0005-0000-0000-00009A8D0000}"/>
    <cellStyle name="Normal 6 23 6" xfId="36250" xr:uid="{00000000-0005-0000-0000-00009B8D0000}"/>
    <cellStyle name="Normal 6 24" xfId="36251" xr:uid="{00000000-0005-0000-0000-00009C8D0000}"/>
    <cellStyle name="Normal 6 25" xfId="36252" xr:uid="{00000000-0005-0000-0000-00009D8D0000}"/>
    <cellStyle name="Normal 6 26" xfId="36253" xr:uid="{00000000-0005-0000-0000-00009E8D0000}"/>
    <cellStyle name="Normal 6 27" xfId="36254" xr:uid="{00000000-0005-0000-0000-00009F8D0000}"/>
    <cellStyle name="Normal 6 28" xfId="36255" xr:uid="{00000000-0005-0000-0000-0000A08D0000}"/>
    <cellStyle name="Normal 6 3" xfId="36256" xr:uid="{00000000-0005-0000-0000-0000A18D0000}"/>
    <cellStyle name="Normal 6 3 2" xfId="36257" xr:uid="{00000000-0005-0000-0000-0000A28D0000}"/>
    <cellStyle name="Normal 6 4" xfId="36258" xr:uid="{00000000-0005-0000-0000-0000A38D0000}"/>
    <cellStyle name="Normal 6 4 2" xfId="36259" xr:uid="{00000000-0005-0000-0000-0000A48D0000}"/>
    <cellStyle name="Normal 6 5" xfId="36260" xr:uid="{00000000-0005-0000-0000-0000A58D0000}"/>
    <cellStyle name="Normal 6 5 2" xfId="36261" xr:uid="{00000000-0005-0000-0000-0000A68D0000}"/>
    <cellStyle name="Normal 6 6" xfId="36262" xr:uid="{00000000-0005-0000-0000-0000A78D0000}"/>
    <cellStyle name="Normal 6 6 2" xfId="36263" xr:uid="{00000000-0005-0000-0000-0000A88D0000}"/>
    <cellStyle name="Normal 6 7" xfId="36264" xr:uid="{00000000-0005-0000-0000-0000A98D0000}"/>
    <cellStyle name="Normal 6 7 2" xfId="36265" xr:uid="{00000000-0005-0000-0000-0000AA8D0000}"/>
    <cellStyle name="Normal 6 8" xfId="36266" xr:uid="{00000000-0005-0000-0000-0000AB8D0000}"/>
    <cellStyle name="Normal 6 8 2" xfId="36267" xr:uid="{00000000-0005-0000-0000-0000AC8D0000}"/>
    <cellStyle name="Normal 6 9" xfId="36268" xr:uid="{00000000-0005-0000-0000-0000AD8D0000}"/>
    <cellStyle name="Normal 6 9 2" xfId="36269" xr:uid="{00000000-0005-0000-0000-0000AE8D0000}"/>
    <cellStyle name="Normal 60" xfId="36270" xr:uid="{00000000-0005-0000-0000-0000AF8D0000}"/>
    <cellStyle name="Normal 60 10" xfId="36271" xr:uid="{00000000-0005-0000-0000-0000B08D0000}"/>
    <cellStyle name="Normal 60 10 2" xfId="36272" xr:uid="{00000000-0005-0000-0000-0000B18D0000}"/>
    <cellStyle name="Normal 60 10 3" xfId="36273" xr:uid="{00000000-0005-0000-0000-0000B28D0000}"/>
    <cellStyle name="Normal 60 10 4" xfId="36274" xr:uid="{00000000-0005-0000-0000-0000B38D0000}"/>
    <cellStyle name="Normal 60 10 5" xfId="36275" xr:uid="{00000000-0005-0000-0000-0000B48D0000}"/>
    <cellStyle name="Normal 60 10 6" xfId="36276" xr:uid="{00000000-0005-0000-0000-0000B58D0000}"/>
    <cellStyle name="Normal 60 11" xfId="36277" xr:uid="{00000000-0005-0000-0000-0000B68D0000}"/>
    <cellStyle name="Normal 60 12" xfId="36278" xr:uid="{00000000-0005-0000-0000-0000B78D0000}"/>
    <cellStyle name="Normal 60 13" xfId="36279" xr:uid="{00000000-0005-0000-0000-0000B88D0000}"/>
    <cellStyle name="Normal 60 14" xfId="36280" xr:uid="{00000000-0005-0000-0000-0000B98D0000}"/>
    <cellStyle name="Normal 60 15" xfId="36281" xr:uid="{00000000-0005-0000-0000-0000BA8D0000}"/>
    <cellStyle name="Normal 60 2" xfId="36282" xr:uid="{00000000-0005-0000-0000-0000BB8D0000}"/>
    <cellStyle name="Normal 60 2 10" xfId="36283" xr:uid="{00000000-0005-0000-0000-0000BC8D0000}"/>
    <cellStyle name="Normal 60 2 11" xfId="36284" xr:uid="{00000000-0005-0000-0000-0000BD8D0000}"/>
    <cellStyle name="Normal 60 2 12" xfId="36285" xr:uid="{00000000-0005-0000-0000-0000BE8D0000}"/>
    <cellStyle name="Normal 60 2 13" xfId="36286" xr:uid="{00000000-0005-0000-0000-0000BF8D0000}"/>
    <cellStyle name="Normal 60 2 14" xfId="36287" xr:uid="{00000000-0005-0000-0000-0000C08D0000}"/>
    <cellStyle name="Normal 60 2 2" xfId="36288" xr:uid="{00000000-0005-0000-0000-0000C18D0000}"/>
    <cellStyle name="Normal 60 2 2 10" xfId="36289" xr:uid="{00000000-0005-0000-0000-0000C28D0000}"/>
    <cellStyle name="Normal 60 2 2 11" xfId="36290" xr:uid="{00000000-0005-0000-0000-0000C38D0000}"/>
    <cellStyle name="Normal 60 2 2 12" xfId="36291" xr:uid="{00000000-0005-0000-0000-0000C48D0000}"/>
    <cellStyle name="Normal 60 2 2 2" xfId="36292" xr:uid="{00000000-0005-0000-0000-0000C58D0000}"/>
    <cellStyle name="Normal 60 2 2 2 10" xfId="36293" xr:uid="{00000000-0005-0000-0000-0000C68D0000}"/>
    <cellStyle name="Normal 60 2 2 2 11" xfId="36294" xr:uid="{00000000-0005-0000-0000-0000C78D0000}"/>
    <cellStyle name="Normal 60 2 2 2 2" xfId="36295" xr:uid="{00000000-0005-0000-0000-0000C88D0000}"/>
    <cellStyle name="Normal 60 2 2 2 2 2" xfId="36296" xr:uid="{00000000-0005-0000-0000-0000C98D0000}"/>
    <cellStyle name="Normal 60 2 2 2 2 2 2" xfId="36297" xr:uid="{00000000-0005-0000-0000-0000CA8D0000}"/>
    <cellStyle name="Normal 60 2 2 2 2 2 3" xfId="36298" xr:uid="{00000000-0005-0000-0000-0000CB8D0000}"/>
    <cellStyle name="Normal 60 2 2 2 2 2 4" xfId="36299" xr:uid="{00000000-0005-0000-0000-0000CC8D0000}"/>
    <cellStyle name="Normal 60 2 2 2 2 2 5" xfId="36300" xr:uid="{00000000-0005-0000-0000-0000CD8D0000}"/>
    <cellStyle name="Normal 60 2 2 2 2 2 6" xfId="36301" xr:uid="{00000000-0005-0000-0000-0000CE8D0000}"/>
    <cellStyle name="Normal 60 2 2 2 2 3" xfId="36302" xr:uid="{00000000-0005-0000-0000-0000CF8D0000}"/>
    <cellStyle name="Normal 60 2 2 2 2 3 2" xfId="36303" xr:uid="{00000000-0005-0000-0000-0000D08D0000}"/>
    <cellStyle name="Normal 60 2 2 2 2 3 3" xfId="36304" xr:uid="{00000000-0005-0000-0000-0000D18D0000}"/>
    <cellStyle name="Normal 60 2 2 2 2 3 4" xfId="36305" xr:uid="{00000000-0005-0000-0000-0000D28D0000}"/>
    <cellStyle name="Normal 60 2 2 2 2 3 5" xfId="36306" xr:uid="{00000000-0005-0000-0000-0000D38D0000}"/>
    <cellStyle name="Normal 60 2 2 2 2 3 6" xfId="36307" xr:uid="{00000000-0005-0000-0000-0000D48D0000}"/>
    <cellStyle name="Normal 60 2 2 2 2 4" xfId="36308" xr:uid="{00000000-0005-0000-0000-0000D58D0000}"/>
    <cellStyle name="Normal 60 2 2 2 2 5" xfId="36309" xr:uid="{00000000-0005-0000-0000-0000D68D0000}"/>
    <cellStyle name="Normal 60 2 2 2 2 6" xfId="36310" xr:uid="{00000000-0005-0000-0000-0000D78D0000}"/>
    <cellStyle name="Normal 60 2 2 2 2 7" xfId="36311" xr:uid="{00000000-0005-0000-0000-0000D88D0000}"/>
    <cellStyle name="Normal 60 2 2 2 2 8" xfId="36312" xr:uid="{00000000-0005-0000-0000-0000D98D0000}"/>
    <cellStyle name="Normal 60 2 2 2 3" xfId="36313" xr:uid="{00000000-0005-0000-0000-0000DA8D0000}"/>
    <cellStyle name="Normal 60 2 2 2 3 2" xfId="36314" xr:uid="{00000000-0005-0000-0000-0000DB8D0000}"/>
    <cellStyle name="Normal 60 2 2 2 3 2 2" xfId="36315" xr:uid="{00000000-0005-0000-0000-0000DC8D0000}"/>
    <cellStyle name="Normal 60 2 2 2 3 2 3" xfId="36316" xr:uid="{00000000-0005-0000-0000-0000DD8D0000}"/>
    <cellStyle name="Normal 60 2 2 2 3 2 4" xfId="36317" xr:uid="{00000000-0005-0000-0000-0000DE8D0000}"/>
    <cellStyle name="Normal 60 2 2 2 3 2 5" xfId="36318" xr:uid="{00000000-0005-0000-0000-0000DF8D0000}"/>
    <cellStyle name="Normal 60 2 2 2 3 2 6" xfId="36319" xr:uid="{00000000-0005-0000-0000-0000E08D0000}"/>
    <cellStyle name="Normal 60 2 2 2 3 3" xfId="36320" xr:uid="{00000000-0005-0000-0000-0000E18D0000}"/>
    <cellStyle name="Normal 60 2 2 2 3 3 2" xfId="36321" xr:uid="{00000000-0005-0000-0000-0000E28D0000}"/>
    <cellStyle name="Normal 60 2 2 2 3 3 3" xfId="36322" xr:uid="{00000000-0005-0000-0000-0000E38D0000}"/>
    <cellStyle name="Normal 60 2 2 2 3 3 4" xfId="36323" xr:uid="{00000000-0005-0000-0000-0000E48D0000}"/>
    <cellStyle name="Normal 60 2 2 2 3 3 5" xfId="36324" xr:uid="{00000000-0005-0000-0000-0000E58D0000}"/>
    <cellStyle name="Normal 60 2 2 2 3 3 6" xfId="36325" xr:uid="{00000000-0005-0000-0000-0000E68D0000}"/>
    <cellStyle name="Normal 60 2 2 2 3 4" xfId="36326" xr:uid="{00000000-0005-0000-0000-0000E78D0000}"/>
    <cellStyle name="Normal 60 2 2 2 3 5" xfId="36327" xr:uid="{00000000-0005-0000-0000-0000E88D0000}"/>
    <cellStyle name="Normal 60 2 2 2 3 6" xfId="36328" xr:uid="{00000000-0005-0000-0000-0000E98D0000}"/>
    <cellStyle name="Normal 60 2 2 2 3 7" xfId="36329" xr:uid="{00000000-0005-0000-0000-0000EA8D0000}"/>
    <cellStyle name="Normal 60 2 2 2 3 8" xfId="36330" xr:uid="{00000000-0005-0000-0000-0000EB8D0000}"/>
    <cellStyle name="Normal 60 2 2 2 4" xfId="36331" xr:uid="{00000000-0005-0000-0000-0000EC8D0000}"/>
    <cellStyle name="Normal 60 2 2 2 4 2" xfId="36332" xr:uid="{00000000-0005-0000-0000-0000ED8D0000}"/>
    <cellStyle name="Normal 60 2 2 2 4 2 2" xfId="36333" xr:uid="{00000000-0005-0000-0000-0000EE8D0000}"/>
    <cellStyle name="Normal 60 2 2 2 4 2 3" xfId="36334" xr:uid="{00000000-0005-0000-0000-0000EF8D0000}"/>
    <cellStyle name="Normal 60 2 2 2 4 2 4" xfId="36335" xr:uid="{00000000-0005-0000-0000-0000F08D0000}"/>
    <cellStyle name="Normal 60 2 2 2 4 2 5" xfId="36336" xr:uid="{00000000-0005-0000-0000-0000F18D0000}"/>
    <cellStyle name="Normal 60 2 2 2 4 2 6" xfId="36337" xr:uid="{00000000-0005-0000-0000-0000F28D0000}"/>
    <cellStyle name="Normal 60 2 2 2 4 3" xfId="36338" xr:uid="{00000000-0005-0000-0000-0000F38D0000}"/>
    <cellStyle name="Normal 60 2 2 2 4 3 2" xfId="36339" xr:uid="{00000000-0005-0000-0000-0000F48D0000}"/>
    <cellStyle name="Normal 60 2 2 2 4 3 3" xfId="36340" xr:uid="{00000000-0005-0000-0000-0000F58D0000}"/>
    <cellStyle name="Normal 60 2 2 2 4 3 4" xfId="36341" xr:uid="{00000000-0005-0000-0000-0000F68D0000}"/>
    <cellStyle name="Normal 60 2 2 2 4 3 5" xfId="36342" xr:uid="{00000000-0005-0000-0000-0000F78D0000}"/>
    <cellStyle name="Normal 60 2 2 2 4 3 6" xfId="36343" xr:uid="{00000000-0005-0000-0000-0000F88D0000}"/>
    <cellStyle name="Normal 60 2 2 2 4 4" xfId="36344" xr:uid="{00000000-0005-0000-0000-0000F98D0000}"/>
    <cellStyle name="Normal 60 2 2 2 4 5" xfId="36345" xr:uid="{00000000-0005-0000-0000-0000FA8D0000}"/>
    <cellStyle name="Normal 60 2 2 2 4 6" xfId="36346" xr:uid="{00000000-0005-0000-0000-0000FB8D0000}"/>
    <cellStyle name="Normal 60 2 2 2 4 7" xfId="36347" xr:uid="{00000000-0005-0000-0000-0000FC8D0000}"/>
    <cellStyle name="Normal 60 2 2 2 4 8" xfId="36348" xr:uid="{00000000-0005-0000-0000-0000FD8D0000}"/>
    <cellStyle name="Normal 60 2 2 2 5" xfId="36349" xr:uid="{00000000-0005-0000-0000-0000FE8D0000}"/>
    <cellStyle name="Normal 60 2 2 2 5 2" xfId="36350" xr:uid="{00000000-0005-0000-0000-0000FF8D0000}"/>
    <cellStyle name="Normal 60 2 2 2 5 3" xfId="36351" xr:uid="{00000000-0005-0000-0000-0000008E0000}"/>
    <cellStyle name="Normal 60 2 2 2 5 4" xfId="36352" xr:uid="{00000000-0005-0000-0000-0000018E0000}"/>
    <cellStyle name="Normal 60 2 2 2 5 5" xfId="36353" xr:uid="{00000000-0005-0000-0000-0000028E0000}"/>
    <cellStyle name="Normal 60 2 2 2 5 6" xfId="36354" xr:uid="{00000000-0005-0000-0000-0000038E0000}"/>
    <cellStyle name="Normal 60 2 2 2 6" xfId="36355" xr:uid="{00000000-0005-0000-0000-0000048E0000}"/>
    <cellStyle name="Normal 60 2 2 2 6 2" xfId="36356" xr:uid="{00000000-0005-0000-0000-0000058E0000}"/>
    <cellStyle name="Normal 60 2 2 2 6 3" xfId="36357" xr:uid="{00000000-0005-0000-0000-0000068E0000}"/>
    <cellStyle name="Normal 60 2 2 2 6 4" xfId="36358" xr:uid="{00000000-0005-0000-0000-0000078E0000}"/>
    <cellStyle name="Normal 60 2 2 2 6 5" xfId="36359" xr:uid="{00000000-0005-0000-0000-0000088E0000}"/>
    <cellStyle name="Normal 60 2 2 2 6 6" xfId="36360" xr:uid="{00000000-0005-0000-0000-0000098E0000}"/>
    <cellStyle name="Normal 60 2 2 2 7" xfId="36361" xr:uid="{00000000-0005-0000-0000-00000A8E0000}"/>
    <cellStyle name="Normal 60 2 2 2 8" xfId="36362" xr:uid="{00000000-0005-0000-0000-00000B8E0000}"/>
    <cellStyle name="Normal 60 2 2 2 9" xfId="36363" xr:uid="{00000000-0005-0000-0000-00000C8E0000}"/>
    <cellStyle name="Normal 60 2 2 3" xfId="36364" xr:uid="{00000000-0005-0000-0000-00000D8E0000}"/>
    <cellStyle name="Normal 60 2 2 3 2" xfId="36365" xr:uid="{00000000-0005-0000-0000-00000E8E0000}"/>
    <cellStyle name="Normal 60 2 2 3 2 2" xfId="36366" xr:uid="{00000000-0005-0000-0000-00000F8E0000}"/>
    <cellStyle name="Normal 60 2 2 3 2 3" xfId="36367" xr:uid="{00000000-0005-0000-0000-0000108E0000}"/>
    <cellStyle name="Normal 60 2 2 3 2 4" xfId="36368" xr:uid="{00000000-0005-0000-0000-0000118E0000}"/>
    <cellStyle name="Normal 60 2 2 3 2 5" xfId="36369" xr:uid="{00000000-0005-0000-0000-0000128E0000}"/>
    <cellStyle name="Normal 60 2 2 3 2 6" xfId="36370" xr:uid="{00000000-0005-0000-0000-0000138E0000}"/>
    <cellStyle name="Normal 60 2 2 3 3" xfId="36371" xr:uid="{00000000-0005-0000-0000-0000148E0000}"/>
    <cellStyle name="Normal 60 2 2 3 3 2" xfId="36372" xr:uid="{00000000-0005-0000-0000-0000158E0000}"/>
    <cellStyle name="Normal 60 2 2 3 3 3" xfId="36373" xr:uid="{00000000-0005-0000-0000-0000168E0000}"/>
    <cellStyle name="Normal 60 2 2 3 3 4" xfId="36374" xr:uid="{00000000-0005-0000-0000-0000178E0000}"/>
    <cellStyle name="Normal 60 2 2 3 3 5" xfId="36375" xr:uid="{00000000-0005-0000-0000-0000188E0000}"/>
    <cellStyle name="Normal 60 2 2 3 3 6" xfId="36376" xr:uid="{00000000-0005-0000-0000-0000198E0000}"/>
    <cellStyle name="Normal 60 2 2 3 4" xfId="36377" xr:uid="{00000000-0005-0000-0000-00001A8E0000}"/>
    <cellStyle name="Normal 60 2 2 3 5" xfId="36378" xr:uid="{00000000-0005-0000-0000-00001B8E0000}"/>
    <cellStyle name="Normal 60 2 2 3 6" xfId="36379" xr:uid="{00000000-0005-0000-0000-00001C8E0000}"/>
    <cellStyle name="Normal 60 2 2 3 7" xfId="36380" xr:uid="{00000000-0005-0000-0000-00001D8E0000}"/>
    <cellStyle name="Normal 60 2 2 3 8" xfId="36381" xr:uid="{00000000-0005-0000-0000-00001E8E0000}"/>
    <cellStyle name="Normal 60 2 2 4" xfId="36382" xr:uid="{00000000-0005-0000-0000-00001F8E0000}"/>
    <cellStyle name="Normal 60 2 2 4 2" xfId="36383" xr:uid="{00000000-0005-0000-0000-0000208E0000}"/>
    <cellStyle name="Normal 60 2 2 4 2 2" xfId="36384" xr:uid="{00000000-0005-0000-0000-0000218E0000}"/>
    <cellStyle name="Normal 60 2 2 4 2 3" xfId="36385" xr:uid="{00000000-0005-0000-0000-0000228E0000}"/>
    <cellStyle name="Normal 60 2 2 4 2 4" xfId="36386" xr:uid="{00000000-0005-0000-0000-0000238E0000}"/>
    <cellStyle name="Normal 60 2 2 4 2 5" xfId="36387" xr:uid="{00000000-0005-0000-0000-0000248E0000}"/>
    <cellStyle name="Normal 60 2 2 4 2 6" xfId="36388" xr:uid="{00000000-0005-0000-0000-0000258E0000}"/>
    <cellStyle name="Normal 60 2 2 4 3" xfId="36389" xr:uid="{00000000-0005-0000-0000-0000268E0000}"/>
    <cellStyle name="Normal 60 2 2 4 3 2" xfId="36390" xr:uid="{00000000-0005-0000-0000-0000278E0000}"/>
    <cellStyle name="Normal 60 2 2 4 3 3" xfId="36391" xr:uid="{00000000-0005-0000-0000-0000288E0000}"/>
    <cellStyle name="Normal 60 2 2 4 3 4" xfId="36392" xr:uid="{00000000-0005-0000-0000-0000298E0000}"/>
    <cellStyle name="Normal 60 2 2 4 3 5" xfId="36393" xr:uid="{00000000-0005-0000-0000-00002A8E0000}"/>
    <cellStyle name="Normal 60 2 2 4 3 6" xfId="36394" xr:uid="{00000000-0005-0000-0000-00002B8E0000}"/>
    <cellStyle name="Normal 60 2 2 4 4" xfId="36395" xr:uid="{00000000-0005-0000-0000-00002C8E0000}"/>
    <cellStyle name="Normal 60 2 2 4 5" xfId="36396" xr:uid="{00000000-0005-0000-0000-00002D8E0000}"/>
    <cellStyle name="Normal 60 2 2 4 6" xfId="36397" xr:uid="{00000000-0005-0000-0000-00002E8E0000}"/>
    <cellStyle name="Normal 60 2 2 4 7" xfId="36398" xr:uid="{00000000-0005-0000-0000-00002F8E0000}"/>
    <cellStyle name="Normal 60 2 2 4 8" xfId="36399" xr:uid="{00000000-0005-0000-0000-0000308E0000}"/>
    <cellStyle name="Normal 60 2 2 5" xfId="36400" xr:uid="{00000000-0005-0000-0000-0000318E0000}"/>
    <cellStyle name="Normal 60 2 2 5 2" xfId="36401" xr:uid="{00000000-0005-0000-0000-0000328E0000}"/>
    <cellStyle name="Normal 60 2 2 5 2 2" xfId="36402" xr:uid="{00000000-0005-0000-0000-0000338E0000}"/>
    <cellStyle name="Normal 60 2 2 5 2 3" xfId="36403" xr:uid="{00000000-0005-0000-0000-0000348E0000}"/>
    <cellStyle name="Normal 60 2 2 5 2 4" xfId="36404" xr:uid="{00000000-0005-0000-0000-0000358E0000}"/>
    <cellStyle name="Normal 60 2 2 5 2 5" xfId="36405" xr:uid="{00000000-0005-0000-0000-0000368E0000}"/>
    <cellStyle name="Normal 60 2 2 5 2 6" xfId="36406" xr:uid="{00000000-0005-0000-0000-0000378E0000}"/>
    <cellStyle name="Normal 60 2 2 5 3" xfId="36407" xr:uid="{00000000-0005-0000-0000-0000388E0000}"/>
    <cellStyle name="Normal 60 2 2 5 3 2" xfId="36408" xr:uid="{00000000-0005-0000-0000-0000398E0000}"/>
    <cellStyle name="Normal 60 2 2 5 3 3" xfId="36409" xr:uid="{00000000-0005-0000-0000-00003A8E0000}"/>
    <cellStyle name="Normal 60 2 2 5 3 4" xfId="36410" xr:uid="{00000000-0005-0000-0000-00003B8E0000}"/>
    <cellStyle name="Normal 60 2 2 5 3 5" xfId="36411" xr:uid="{00000000-0005-0000-0000-00003C8E0000}"/>
    <cellStyle name="Normal 60 2 2 5 3 6" xfId="36412" xr:uid="{00000000-0005-0000-0000-00003D8E0000}"/>
    <cellStyle name="Normal 60 2 2 5 4" xfId="36413" xr:uid="{00000000-0005-0000-0000-00003E8E0000}"/>
    <cellStyle name="Normal 60 2 2 5 5" xfId="36414" xr:uid="{00000000-0005-0000-0000-00003F8E0000}"/>
    <cellStyle name="Normal 60 2 2 5 6" xfId="36415" xr:uid="{00000000-0005-0000-0000-0000408E0000}"/>
    <cellStyle name="Normal 60 2 2 5 7" xfId="36416" xr:uid="{00000000-0005-0000-0000-0000418E0000}"/>
    <cellStyle name="Normal 60 2 2 5 8" xfId="36417" xr:uid="{00000000-0005-0000-0000-0000428E0000}"/>
    <cellStyle name="Normal 60 2 2 6" xfId="36418" xr:uid="{00000000-0005-0000-0000-0000438E0000}"/>
    <cellStyle name="Normal 60 2 2 6 2" xfId="36419" xr:uid="{00000000-0005-0000-0000-0000448E0000}"/>
    <cellStyle name="Normal 60 2 2 6 3" xfId="36420" xr:uid="{00000000-0005-0000-0000-0000458E0000}"/>
    <cellStyle name="Normal 60 2 2 6 4" xfId="36421" xr:uid="{00000000-0005-0000-0000-0000468E0000}"/>
    <cellStyle name="Normal 60 2 2 6 5" xfId="36422" xr:uid="{00000000-0005-0000-0000-0000478E0000}"/>
    <cellStyle name="Normal 60 2 2 6 6" xfId="36423" xr:uid="{00000000-0005-0000-0000-0000488E0000}"/>
    <cellStyle name="Normal 60 2 2 7" xfId="36424" xr:uid="{00000000-0005-0000-0000-0000498E0000}"/>
    <cellStyle name="Normal 60 2 2 7 2" xfId="36425" xr:uid="{00000000-0005-0000-0000-00004A8E0000}"/>
    <cellStyle name="Normal 60 2 2 7 3" xfId="36426" xr:uid="{00000000-0005-0000-0000-00004B8E0000}"/>
    <cellStyle name="Normal 60 2 2 7 4" xfId="36427" xr:uid="{00000000-0005-0000-0000-00004C8E0000}"/>
    <cellStyle name="Normal 60 2 2 7 5" xfId="36428" xr:uid="{00000000-0005-0000-0000-00004D8E0000}"/>
    <cellStyle name="Normal 60 2 2 7 6" xfId="36429" xr:uid="{00000000-0005-0000-0000-00004E8E0000}"/>
    <cellStyle name="Normal 60 2 2 8" xfId="36430" xr:uid="{00000000-0005-0000-0000-00004F8E0000}"/>
    <cellStyle name="Normal 60 2 2 9" xfId="36431" xr:uid="{00000000-0005-0000-0000-0000508E0000}"/>
    <cellStyle name="Normal 60 2 3" xfId="36432" xr:uid="{00000000-0005-0000-0000-0000518E0000}"/>
    <cellStyle name="Normal 60 2 3 10" xfId="36433" xr:uid="{00000000-0005-0000-0000-0000528E0000}"/>
    <cellStyle name="Normal 60 2 3 11" xfId="36434" xr:uid="{00000000-0005-0000-0000-0000538E0000}"/>
    <cellStyle name="Normal 60 2 3 12" xfId="36435" xr:uid="{00000000-0005-0000-0000-0000548E0000}"/>
    <cellStyle name="Normal 60 2 3 2" xfId="36436" xr:uid="{00000000-0005-0000-0000-0000558E0000}"/>
    <cellStyle name="Normal 60 2 3 2 10" xfId="36437" xr:uid="{00000000-0005-0000-0000-0000568E0000}"/>
    <cellStyle name="Normal 60 2 3 2 11" xfId="36438" xr:uid="{00000000-0005-0000-0000-0000578E0000}"/>
    <cellStyle name="Normal 60 2 3 2 2" xfId="36439" xr:uid="{00000000-0005-0000-0000-0000588E0000}"/>
    <cellStyle name="Normal 60 2 3 2 2 2" xfId="36440" xr:uid="{00000000-0005-0000-0000-0000598E0000}"/>
    <cellStyle name="Normal 60 2 3 2 2 2 2" xfId="36441" xr:uid="{00000000-0005-0000-0000-00005A8E0000}"/>
    <cellStyle name="Normal 60 2 3 2 2 2 3" xfId="36442" xr:uid="{00000000-0005-0000-0000-00005B8E0000}"/>
    <cellStyle name="Normal 60 2 3 2 2 2 4" xfId="36443" xr:uid="{00000000-0005-0000-0000-00005C8E0000}"/>
    <cellStyle name="Normal 60 2 3 2 2 2 5" xfId="36444" xr:uid="{00000000-0005-0000-0000-00005D8E0000}"/>
    <cellStyle name="Normal 60 2 3 2 2 2 6" xfId="36445" xr:uid="{00000000-0005-0000-0000-00005E8E0000}"/>
    <cellStyle name="Normal 60 2 3 2 2 3" xfId="36446" xr:uid="{00000000-0005-0000-0000-00005F8E0000}"/>
    <cellStyle name="Normal 60 2 3 2 2 3 2" xfId="36447" xr:uid="{00000000-0005-0000-0000-0000608E0000}"/>
    <cellStyle name="Normal 60 2 3 2 2 3 3" xfId="36448" xr:uid="{00000000-0005-0000-0000-0000618E0000}"/>
    <cellStyle name="Normal 60 2 3 2 2 3 4" xfId="36449" xr:uid="{00000000-0005-0000-0000-0000628E0000}"/>
    <cellStyle name="Normal 60 2 3 2 2 3 5" xfId="36450" xr:uid="{00000000-0005-0000-0000-0000638E0000}"/>
    <cellStyle name="Normal 60 2 3 2 2 3 6" xfId="36451" xr:uid="{00000000-0005-0000-0000-0000648E0000}"/>
    <cellStyle name="Normal 60 2 3 2 2 4" xfId="36452" xr:uid="{00000000-0005-0000-0000-0000658E0000}"/>
    <cellStyle name="Normal 60 2 3 2 2 5" xfId="36453" xr:uid="{00000000-0005-0000-0000-0000668E0000}"/>
    <cellStyle name="Normal 60 2 3 2 2 6" xfId="36454" xr:uid="{00000000-0005-0000-0000-0000678E0000}"/>
    <cellStyle name="Normal 60 2 3 2 2 7" xfId="36455" xr:uid="{00000000-0005-0000-0000-0000688E0000}"/>
    <cellStyle name="Normal 60 2 3 2 2 8" xfId="36456" xr:uid="{00000000-0005-0000-0000-0000698E0000}"/>
    <cellStyle name="Normal 60 2 3 2 3" xfId="36457" xr:uid="{00000000-0005-0000-0000-00006A8E0000}"/>
    <cellStyle name="Normal 60 2 3 2 3 2" xfId="36458" xr:uid="{00000000-0005-0000-0000-00006B8E0000}"/>
    <cellStyle name="Normal 60 2 3 2 3 2 2" xfId="36459" xr:uid="{00000000-0005-0000-0000-00006C8E0000}"/>
    <cellStyle name="Normal 60 2 3 2 3 2 3" xfId="36460" xr:uid="{00000000-0005-0000-0000-00006D8E0000}"/>
    <cellStyle name="Normal 60 2 3 2 3 2 4" xfId="36461" xr:uid="{00000000-0005-0000-0000-00006E8E0000}"/>
    <cellStyle name="Normal 60 2 3 2 3 2 5" xfId="36462" xr:uid="{00000000-0005-0000-0000-00006F8E0000}"/>
    <cellStyle name="Normal 60 2 3 2 3 2 6" xfId="36463" xr:uid="{00000000-0005-0000-0000-0000708E0000}"/>
    <cellStyle name="Normal 60 2 3 2 3 3" xfId="36464" xr:uid="{00000000-0005-0000-0000-0000718E0000}"/>
    <cellStyle name="Normal 60 2 3 2 3 3 2" xfId="36465" xr:uid="{00000000-0005-0000-0000-0000728E0000}"/>
    <cellStyle name="Normal 60 2 3 2 3 3 3" xfId="36466" xr:uid="{00000000-0005-0000-0000-0000738E0000}"/>
    <cellStyle name="Normal 60 2 3 2 3 3 4" xfId="36467" xr:uid="{00000000-0005-0000-0000-0000748E0000}"/>
    <cellStyle name="Normal 60 2 3 2 3 3 5" xfId="36468" xr:uid="{00000000-0005-0000-0000-0000758E0000}"/>
    <cellStyle name="Normal 60 2 3 2 3 3 6" xfId="36469" xr:uid="{00000000-0005-0000-0000-0000768E0000}"/>
    <cellStyle name="Normal 60 2 3 2 3 4" xfId="36470" xr:uid="{00000000-0005-0000-0000-0000778E0000}"/>
    <cellStyle name="Normal 60 2 3 2 3 5" xfId="36471" xr:uid="{00000000-0005-0000-0000-0000788E0000}"/>
    <cellStyle name="Normal 60 2 3 2 3 6" xfId="36472" xr:uid="{00000000-0005-0000-0000-0000798E0000}"/>
    <cellStyle name="Normal 60 2 3 2 3 7" xfId="36473" xr:uid="{00000000-0005-0000-0000-00007A8E0000}"/>
    <cellStyle name="Normal 60 2 3 2 3 8" xfId="36474" xr:uid="{00000000-0005-0000-0000-00007B8E0000}"/>
    <cellStyle name="Normal 60 2 3 2 4" xfId="36475" xr:uid="{00000000-0005-0000-0000-00007C8E0000}"/>
    <cellStyle name="Normal 60 2 3 2 4 2" xfId="36476" xr:uid="{00000000-0005-0000-0000-00007D8E0000}"/>
    <cellStyle name="Normal 60 2 3 2 4 2 2" xfId="36477" xr:uid="{00000000-0005-0000-0000-00007E8E0000}"/>
    <cellStyle name="Normal 60 2 3 2 4 2 3" xfId="36478" xr:uid="{00000000-0005-0000-0000-00007F8E0000}"/>
    <cellStyle name="Normal 60 2 3 2 4 2 4" xfId="36479" xr:uid="{00000000-0005-0000-0000-0000808E0000}"/>
    <cellStyle name="Normal 60 2 3 2 4 2 5" xfId="36480" xr:uid="{00000000-0005-0000-0000-0000818E0000}"/>
    <cellStyle name="Normal 60 2 3 2 4 2 6" xfId="36481" xr:uid="{00000000-0005-0000-0000-0000828E0000}"/>
    <cellStyle name="Normal 60 2 3 2 4 3" xfId="36482" xr:uid="{00000000-0005-0000-0000-0000838E0000}"/>
    <cellStyle name="Normal 60 2 3 2 4 3 2" xfId="36483" xr:uid="{00000000-0005-0000-0000-0000848E0000}"/>
    <cellStyle name="Normal 60 2 3 2 4 3 3" xfId="36484" xr:uid="{00000000-0005-0000-0000-0000858E0000}"/>
    <cellStyle name="Normal 60 2 3 2 4 3 4" xfId="36485" xr:uid="{00000000-0005-0000-0000-0000868E0000}"/>
    <cellStyle name="Normal 60 2 3 2 4 3 5" xfId="36486" xr:uid="{00000000-0005-0000-0000-0000878E0000}"/>
    <cellStyle name="Normal 60 2 3 2 4 3 6" xfId="36487" xr:uid="{00000000-0005-0000-0000-0000888E0000}"/>
    <cellStyle name="Normal 60 2 3 2 4 4" xfId="36488" xr:uid="{00000000-0005-0000-0000-0000898E0000}"/>
    <cellStyle name="Normal 60 2 3 2 4 5" xfId="36489" xr:uid="{00000000-0005-0000-0000-00008A8E0000}"/>
    <cellStyle name="Normal 60 2 3 2 4 6" xfId="36490" xr:uid="{00000000-0005-0000-0000-00008B8E0000}"/>
    <cellStyle name="Normal 60 2 3 2 4 7" xfId="36491" xr:uid="{00000000-0005-0000-0000-00008C8E0000}"/>
    <cellStyle name="Normal 60 2 3 2 4 8" xfId="36492" xr:uid="{00000000-0005-0000-0000-00008D8E0000}"/>
    <cellStyle name="Normal 60 2 3 2 5" xfId="36493" xr:uid="{00000000-0005-0000-0000-00008E8E0000}"/>
    <cellStyle name="Normal 60 2 3 2 5 2" xfId="36494" xr:uid="{00000000-0005-0000-0000-00008F8E0000}"/>
    <cellStyle name="Normal 60 2 3 2 5 3" xfId="36495" xr:uid="{00000000-0005-0000-0000-0000908E0000}"/>
    <cellStyle name="Normal 60 2 3 2 5 4" xfId="36496" xr:uid="{00000000-0005-0000-0000-0000918E0000}"/>
    <cellStyle name="Normal 60 2 3 2 5 5" xfId="36497" xr:uid="{00000000-0005-0000-0000-0000928E0000}"/>
    <cellStyle name="Normal 60 2 3 2 5 6" xfId="36498" xr:uid="{00000000-0005-0000-0000-0000938E0000}"/>
    <cellStyle name="Normal 60 2 3 2 6" xfId="36499" xr:uid="{00000000-0005-0000-0000-0000948E0000}"/>
    <cellStyle name="Normal 60 2 3 2 6 2" xfId="36500" xr:uid="{00000000-0005-0000-0000-0000958E0000}"/>
    <cellStyle name="Normal 60 2 3 2 6 3" xfId="36501" xr:uid="{00000000-0005-0000-0000-0000968E0000}"/>
    <cellStyle name="Normal 60 2 3 2 6 4" xfId="36502" xr:uid="{00000000-0005-0000-0000-0000978E0000}"/>
    <cellStyle name="Normal 60 2 3 2 6 5" xfId="36503" xr:uid="{00000000-0005-0000-0000-0000988E0000}"/>
    <cellStyle name="Normal 60 2 3 2 6 6" xfId="36504" xr:uid="{00000000-0005-0000-0000-0000998E0000}"/>
    <cellStyle name="Normal 60 2 3 2 7" xfId="36505" xr:uid="{00000000-0005-0000-0000-00009A8E0000}"/>
    <cellStyle name="Normal 60 2 3 2 8" xfId="36506" xr:uid="{00000000-0005-0000-0000-00009B8E0000}"/>
    <cellStyle name="Normal 60 2 3 2 9" xfId="36507" xr:uid="{00000000-0005-0000-0000-00009C8E0000}"/>
    <cellStyle name="Normal 60 2 3 3" xfId="36508" xr:uid="{00000000-0005-0000-0000-00009D8E0000}"/>
    <cellStyle name="Normal 60 2 3 3 2" xfId="36509" xr:uid="{00000000-0005-0000-0000-00009E8E0000}"/>
    <cellStyle name="Normal 60 2 3 3 2 2" xfId="36510" xr:uid="{00000000-0005-0000-0000-00009F8E0000}"/>
    <cellStyle name="Normal 60 2 3 3 2 3" xfId="36511" xr:uid="{00000000-0005-0000-0000-0000A08E0000}"/>
    <cellStyle name="Normal 60 2 3 3 2 4" xfId="36512" xr:uid="{00000000-0005-0000-0000-0000A18E0000}"/>
    <cellStyle name="Normal 60 2 3 3 2 5" xfId="36513" xr:uid="{00000000-0005-0000-0000-0000A28E0000}"/>
    <cellStyle name="Normal 60 2 3 3 2 6" xfId="36514" xr:uid="{00000000-0005-0000-0000-0000A38E0000}"/>
    <cellStyle name="Normal 60 2 3 3 3" xfId="36515" xr:uid="{00000000-0005-0000-0000-0000A48E0000}"/>
    <cellStyle name="Normal 60 2 3 3 3 2" xfId="36516" xr:uid="{00000000-0005-0000-0000-0000A58E0000}"/>
    <cellStyle name="Normal 60 2 3 3 3 3" xfId="36517" xr:uid="{00000000-0005-0000-0000-0000A68E0000}"/>
    <cellStyle name="Normal 60 2 3 3 3 4" xfId="36518" xr:uid="{00000000-0005-0000-0000-0000A78E0000}"/>
    <cellStyle name="Normal 60 2 3 3 3 5" xfId="36519" xr:uid="{00000000-0005-0000-0000-0000A88E0000}"/>
    <cellStyle name="Normal 60 2 3 3 3 6" xfId="36520" xr:uid="{00000000-0005-0000-0000-0000A98E0000}"/>
    <cellStyle name="Normal 60 2 3 3 4" xfId="36521" xr:uid="{00000000-0005-0000-0000-0000AA8E0000}"/>
    <cellStyle name="Normal 60 2 3 3 5" xfId="36522" xr:uid="{00000000-0005-0000-0000-0000AB8E0000}"/>
    <cellStyle name="Normal 60 2 3 3 6" xfId="36523" xr:uid="{00000000-0005-0000-0000-0000AC8E0000}"/>
    <cellStyle name="Normal 60 2 3 3 7" xfId="36524" xr:uid="{00000000-0005-0000-0000-0000AD8E0000}"/>
    <cellStyle name="Normal 60 2 3 3 8" xfId="36525" xr:uid="{00000000-0005-0000-0000-0000AE8E0000}"/>
    <cellStyle name="Normal 60 2 3 4" xfId="36526" xr:uid="{00000000-0005-0000-0000-0000AF8E0000}"/>
    <cellStyle name="Normal 60 2 3 4 2" xfId="36527" xr:uid="{00000000-0005-0000-0000-0000B08E0000}"/>
    <cellStyle name="Normal 60 2 3 4 2 2" xfId="36528" xr:uid="{00000000-0005-0000-0000-0000B18E0000}"/>
    <cellStyle name="Normal 60 2 3 4 2 3" xfId="36529" xr:uid="{00000000-0005-0000-0000-0000B28E0000}"/>
    <cellStyle name="Normal 60 2 3 4 2 4" xfId="36530" xr:uid="{00000000-0005-0000-0000-0000B38E0000}"/>
    <cellStyle name="Normal 60 2 3 4 2 5" xfId="36531" xr:uid="{00000000-0005-0000-0000-0000B48E0000}"/>
    <cellStyle name="Normal 60 2 3 4 2 6" xfId="36532" xr:uid="{00000000-0005-0000-0000-0000B58E0000}"/>
    <cellStyle name="Normal 60 2 3 4 3" xfId="36533" xr:uid="{00000000-0005-0000-0000-0000B68E0000}"/>
    <cellStyle name="Normal 60 2 3 4 3 2" xfId="36534" xr:uid="{00000000-0005-0000-0000-0000B78E0000}"/>
    <cellStyle name="Normal 60 2 3 4 3 3" xfId="36535" xr:uid="{00000000-0005-0000-0000-0000B88E0000}"/>
    <cellStyle name="Normal 60 2 3 4 3 4" xfId="36536" xr:uid="{00000000-0005-0000-0000-0000B98E0000}"/>
    <cellStyle name="Normal 60 2 3 4 3 5" xfId="36537" xr:uid="{00000000-0005-0000-0000-0000BA8E0000}"/>
    <cellStyle name="Normal 60 2 3 4 3 6" xfId="36538" xr:uid="{00000000-0005-0000-0000-0000BB8E0000}"/>
    <cellStyle name="Normal 60 2 3 4 4" xfId="36539" xr:uid="{00000000-0005-0000-0000-0000BC8E0000}"/>
    <cellStyle name="Normal 60 2 3 4 5" xfId="36540" xr:uid="{00000000-0005-0000-0000-0000BD8E0000}"/>
    <cellStyle name="Normal 60 2 3 4 6" xfId="36541" xr:uid="{00000000-0005-0000-0000-0000BE8E0000}"/>
    <cellStyle name="Normal 60 2 3 4 7" xfId="36542" xr:uid="{00000000-0005-0000-0000-0000BF8E0000}"/>
    <cellStyle name="Normal 60 2 3 4 8" xfId="36543" xr:uid="{00000000-0005-0000-0000-0000C08E0000}"/>
    <cellStyle name="Normal 60 2 3 5" xfId="36544" xr:uid="{00000000-0005-0000-0000-0000C18E0000}"/>
    <cellStyle name="Normal 60 2 3 5 2" xfId="36545" xr:uid="{00000000-0005-0000-0000-0000C28E0000}"/>
    <cellStyle name="Normal 60 2 3 5 2 2" xfId="36546" xr:uid="{00000000-0005-0000-0000-0000C38E0000}"/>
    <cellStyle name="Normal 60 2 3 5 2 3" xfId="36547" xr:uid="{00000000-0005-0000-0000-0000C48E0000}"/>
    <cellStyle name="Normal 60 2 3 5 2 4" xfId="36548" xr:uid="{00000000-0005-0000-0000-0000C58E0000}"/>
    <cellStyle name="Normal 60 2 3 5 2 5" xfId="36549" xr:uid="{00000000-0005-0000-0000-0000C68E0000}"/>
    <cellStyle name="Normal 60 2 3 5 2 6" xfId="36550" xr:uid="{00000000-0005-0000-0000-0000C78E0000}"/>
    <cellStyle name="Normal 60 2 3 5 3" xfId="36551" xr:uid="{00000000-0005-0000-0000-0000C88E0000}"/>
    <cellStyle name="Normal 60 2 3 5 3 2" xfId="36552" xr:uid="{00000000-0005-0000-0000-0000C98E0000}"/>
    <cellStyle name="Normal 60 2 3 5 3 3" xfId="36553" xr:uid="{00000000-0005-0000-0000-0000CA8E0000}"/>
    <cellStyle name="Normal 60 2 3 5 3 4" xfId="36554" xr:uid="{00000000-0005-0000-0000-0000CB8E0000}"/>
    <cellStyle name="Normal 60 2 3 5 3 5" xfId="36555" xr:uid="{00000000-0005-0000-0000-0000CC8E0000}"/>
    <cellStyle name="Normal 60 2 3 5 3 6" xfId="36556" xr:uid="{00000000-0005-0000-0000-0000CD8E0000}"/>
    <cellStyle name="Normal 60 2 3 5 4" xfId="36557" xr:uid="{00000000-0005-0000-0000-0000CE8E0000}"/>
    <cellStyle name="Normal 60 2 3 5 5" xfId="36558" xr:uid="{00000000-0005-0000-0000-0000CF8E0000}"/>
    <cellStyle name="Normal 60 2 3 5 6" xfId="36559" xr:uid="{00000000-0005-0000-0000-0000D08E0000}"/>
    <cellStyle name="Normal 60 2 3 5 7" xfId="36560" xr:uid="{00000000-0005-0000-0000-0000D18E0000}"/>
    <cellStyle name="Normal 60 2 3 5 8" xfId="36561" xr:uid="{00000000-0005-0000-0000-0000D28E0000}"/>
    <cellStyle name="Normal 60 2 3 6" xfId="36562" xr:uid="{00000000-0005-0000-0000-0000D38E0000}"/>
    <cellStyle name="Normal 60 2 3 6 2" xfId="36563" xr:uid="{00000000-0005-0000-0000-0000D48E0000}"/>
    <cellStyle name="Normal 60 2 3 6 3" xfId="36564" xr:uid="{00000000-0005-0000-0000-0000D58E0000}"/>
    <cellStyle name="Normal 60 2 3 6 4" xfId="36565" xr:uid="{00000000-0005-0000-0000-0000D68E0000}"/>
    <cellStyle name="Normal 60 2 3 6 5" xfId="36566" xr:uid="{00000000-0005-0000-0000-0000D78E0000}"/>
    <cellStyle name="Normal 60 2 3 6 6" xfId="36567" xr:uid="{00000000-0005-0000-0000-0000D88E0000}"/>
    <cellStyle name="Normal 60 2 3 7" xfId="36568" xr:uid="{00000000-0005-0000-0000-0000D98E0000}"/>
    <cellStyle name="Normal 60 2 3 7 2" xfId="36569" xr:uid="{00000000-0005-0000-0000-0000DA8E0000}"/>
    <cellStyle name="Normal 60 2 3 7 3" xfId="36570" xr:uid="{00000000-0005-0000-0000-0000DB8E0000}"/>
    <cellStyle name="Normal 60 2 3 7 4" xfId="36571" xr:uid="{00000000-0005-0000-0000-0000DC8E0000}"/>
    <cellStyle name="Normal 60 2 3 7 5" xfId="36572" xr:uid="{00000000-0005-0000-0000-0000DD8E0000}"/>
    <cellStyle name="Normal 60 2 3 7 6" xfId="36573" xr:uid="{00000000-0005-0000-0000-0000DE8E0000}"/>
    <cellStyle name="Normal 60 2 3 8" xfId="36574" xr:uid="{00000000-0005-0000-0000-0000DF8E0000}"/>
    <cellStyle name="Normal 60 2 3 9" xfId="36575" xr:uid="{00000000-0005-0000-0000-0000E08E0000}"/>
    <cellStyle name="Normal 60 2 4" xfId="36576" xr:uid="{00000000-0005-0000-0000-0000E18E0000}"/>
    <cellStyle name="Normal 60 2 4 10" xfId="36577" xr:uid="{00000000-0005-0000-0000-0000E28E0000}"/>
    <cellStyle name="Normal 60 2 4 11" xfId="36578" xr:uid="{00000000-0005-0000-0000-0000E38E0000}"/>
    <cellStyle name="Normal 60 2 4 2" xfId="36579" xr:uid="{00000000-0005-0000-0000-0000E48E0000}"/>
    <cellStyle name="Normal 60 2 4 2 2" xfId="36580" xr:uid="{00000000-0005-0000-0000-0000E58E0000}"/>
    <cellStyle name="Normal 60 2 4 2 2 2" xfId="36581" xr:uid="{00000000-0005-0000-0000-0000E68E0000}"/>
    <cellStyle name="Normal 60 2 4 2 2 3" xfId="36582" xr:uid="{00000000-0005-0000-0000-0000E78E0000}"/>
    <cellStyle name="Normal 60 2 4 2 2 4" xfId="36583" xr:uid="{00000000-0005-0000-0000-0000E88E0000}"/>
    <cellStyle name="Normal 60 2 4 2 2 5" xfId="36584" xr:uid="{00000000-0005-0000-0000-0000E98E0000}"/>
    <cellStyle name="Normal 60 2 4 2 2 6" xfId="36585" xr:uid="{00000000-0005-0000-0000-0000EA8E0000}"/>
    <cellStyle name="Normal 60 2 4 2 3" xfId="36586" xr:uid="{00000000-0005-0000-0000-0000EB8E0000}"/>
    <cellStyle name="Normal 60 2 4 2 3 2" xfId="36587" xr:uid="{00000000-0005-0000-0000-0000EC8E0000}"/>
    <cellStyle name="Normal 60 2 4 2 3 3" xfId="36588" xr:uid="{00000000-0005-0000-0000-0000ED8E0000}"/>
    <cellStyle name="Normal 60 2 4 2 3 4" xfId="36589" xr:uid="{00000000-0005-0000-0000-0000EE8E0000}"/>
    <cellStyle name="Normal 60 2 4 2 3 5" xfId="36590" xr:uid="{00000000-0005-0000-0000-0000EF8E0000}"/>
    <cellStyle name="Normal 60 2 4 2 3 6" xfId="36591" xr:uid="{00000000-0005-0000-0000-0000F08E0000}"/>
    <cellStyle name="Normal 60 2 4 2 4" xfId="36592" xr:uid="{00000000-0005-0000-0000-0000F18E0000}"/>
    <cellStyle name="Normal 60 2 4 2 5" xfId="36593" xr:uid="{00000000-0005-0000-0000-0000F28E0000}"/>
    <cellStyle name="Normal 60 2 4 2 6" xfId="36594" xr:uid="{00000000-0005-0000-0000-0000F38E0000}"/>
    <cellStyle name="Normal 60 2 4 2 7" xfId="36595" xr:uid="{00000000-0005-0000-0000-0000F48E0000}"/>
    <cellStyle name="Normal 60 2 4 2 8" xfId="36596" xr:uid="{00000000-0005-0000-0000-0000F58E0000}"/>
    <cellStyle name="Normal 60 2 4 3" xfId="36597" xr:uid="{00000000-0005-0000-0000-0000F68E0000}"/>
    <cellStyle name="Normal 60 2 4 3 2" xfId="36598" xr:uid="{00000000-0005-0000-0000-0000F78E0000}"/>
    <cellStyle name="Normal 60 2 4 3 2 2" xfId="36599" xr:uid="{00000000-0005-0000-0000-0000F88E0000}"/>
    <cellStyle name="Normal 60 2 4 3 2 3" xfId="36600" xr:uid="{00000000-0005-0000-0000-0000F98E0000}"/>
    <cellStyle name="Normal 60 2 4 3 2 4" xfId="36601" xr:uid="{00000000-0005-0000-0000-0000FA8E0000}"/>
    <cellStyle name="Normal 60 2 4 3 2 5" xfId="36602" xr:uid="{00000000-0005-0000-0000-0000FB8E0000}"/>
    <cellStyle name="Normal 60 2 4 3 2 6" xfId="36603" xr:uid="{00000000-0005-0000-0000-0000FC8E0000}"/>
    <cellStyle name="Normal 60 2 4 3 3" xfId="36604" xr:uid="{00000000-0005-0000-0000-0000FD8E0000}"/>
    <cellStyle name="Normal 60 2 4 3 3 2" xfId="36605" xr:uid="{00000000-0005-0000-0000-0000FE8E0000}"/>
    <cellStyle name="Normal 60 2 4 3 3 3" xfId="36606" xr:uid="{00000000-0005-0000-0000-0000FF8E0000}"/>
    <cellStyle name="Normal 60 2 4 3 3 4" xfId="36607" xr:uid="{00000000-0005-0000-0000-0000008F0000}"/>
    <cellStyle name="Normal 60 2 4 3 3 5" xfId="36608" xr:uid="{00000000-0005-0000-0000-0000018F0000}"/>
    <cellStyle name="Normal 60 2 4 3 3 6" xfId="36609" xr:uid="{00000000-0005-0000-0000-0000028F0000}"/>
    <cellStyle name="Normal 60 2 4 3 4" xfId="36610" xr:uid="{00000000-0005-0000-0000-0000038F0000}"/>
    <cellStyle name="Normal 60 2 4 3 5" xfId="36611" xr:uid="{00000000-0005-0000-0000-0000048F0000}"/>
    <cellStyle name="Normal 60 2 4 3 6" xfId="36612" xr:uid="{00000000-0005-0000-0000-0000058F0000}"/>
    <cellStyle name="Normal 60 2 4 3 7" xfId="36613" xr:uid="{00000000-0005-0000-0000-0000068F0000}"/>
    <cellStyle name="Normal 60 2 4 3 8" xfId="36614" xr:uid="{00000000-0005-0000-0000-0000078F0000}"/>
    <cellStyle name="Normal 60 2 4 4" xfId="36615" xr:uid="{00000000-0005-0000-0000-0000088F0000}"/>
    <cellStyle name="Normal 60 2 4 4 2" xfId="36616" xr:uid="{00000000-0005-0000-0000-0000098F0000}"/>
    <cellStyle name="Normal 60 2 4 4 2 2" xfId="36617" xr:uid="{00000000-0005-0000-0000-00000A8F0000}"/>
    <cellStyle name="Normal 60 2 4 4 2 3" xfId="36618" xr:uid="{00000000-0005-0000-0000-00000B8F0000}"/>
    <cellStyle name="Normal 60 2 4 4 2 4" xfId="36619" xr:uid="{00000000-0005-0000-0000-00000C8F0000}"/>
    <cellStyle name="Normal 60 2 4 4 2 5" xfId="36620" xr:uid="{00000000-0005-0000-0000-00000D8F0000}"/>
    <cellStyle name="Normal 60 2 4 4 2 6" xfId="36621" xr:uid="{00000000-0005-0000-0000-00000E8F0000}"/>
    <cellStyle name="Normal 60 2 4 4 3" xfId="36622" xr:uid="{00000000-0005-0000-0000-00000F8F0000}"/>
    <cellStyle name="Normal 60 2 4 4 3 2" xfId="36623" xr:uid="{00000000-0005-0000-0000-0000108F0000}"/>
    <cellStyle name="Normal 60 2 4 4 3 3" xfId="36624" xr:uid="{00000000-0005-0000-0000-0000118F0000}"/>
    <cellStyle name="Normal 60 2 4 4 3 4" xfId="36625" xr:uid="{00000000-0005-0000-0000-0000128F0000}"/>
    <cellStyle name="Normal 60 2 4 4 3 5" xfId="36626" xr:uid="{00000000-0005-0000-0000-0000138F0000}"/>
    <cellStyle name="Normal 60 2 4 4 3 6" xfId="36627" xr:uid="{00000000-0005-0000-0000-0000148F0000}"/>
    <cellStyle name="Normal 60 2 4 4 4" xfId="36628" xr:uid="{00000000-0005-0000-0000-0000158F0000}"/>
    <cellStyle name="Normal 60 2 4 4 5" xfId="36629" xr:uid="{00000000-0005-0000-0000-0000168F0000}"/>
    <cellStyle name="Normal 60 2 4 4 6" xfId="36630" xr:uid="{00000000-0005-0000-0000-0000178F0000}"/>
    <cellStyle name="Normal 60 2 4 4 7" xfId="36631" xr:uid="{00000000-0005-0000-0000-0000188F0000}"/>
    <cellStyle name="Normal 60 2 4 4 8" xfId="36632" xr:uid="{00000000-0005-0000-0000-0000198F0000}"/>
    <cellStyle name="Normal 60 2 4 5" xfId="36633" xr:uid="{00000000-0005-0000-0000-00001A8F0000}"/>
    <cellStyle name="Normal 60 2 4 5 2" xfId="36634" xr:uid="{00000000-0005-0000-0000-00001B8F0000}"/>
    <cellStyle name="Normal 60 2 4 5 3" xfId="36635" xr:uid="{00000000-0005-0000-0000-00001C8F0000}"/>
    <cellStyle name="Normal 60 2 4 5 4" xfId="36636" xr:uid="{00000000-0005-0000-0000-00001D8F0000}"/>
    <cellStyle name="Normal 60 2 4 5 5" xfId="36637" xr:uid="{00000000-0005-0000-0000-00001E8F0000}"/>
    <cellStyle name="Normal 60 2 4 5 6" xfId="36638" xr:uid="{00000000-0005-0000-0000-00001F8F0000}"/>
    <cellStyle name="Normal 60 2 4 6" xfId="36639" xr:uid="{00000000-0005-0000-0000-0000208F0000}"/>
    <cellStyle name="Normal 60 2 4 6 2" xfId="36640" xr:uid="{00000000-0005-0000-0000-0000218F0000}"/>
    <cellStyle name="Normal 60 2 4 6 3" xfId="36641" xr:uid="{00000000-0005-0000-0000-0000228F0000}"/>
    <cellStyle name="Normal 60 2 4 6 4" xfId="36642" xr:uid="{00000000-0005-0000-0000-0000238F0000}"/>
    <cellStyle name="Normal 60 2 4 6 5" xfId="36643" xr:uid="{00000000-0005-0000-0000-0000248F0000}"/>
    <cellStyle name="Normal 60 2 4 6 6" xfId="36644" xr:uid="{00000000-0005-0000-0000-0000258F0000}"/>
    <cellStyle name="Normal 60 2 4 7" xfId="36645" xr:uid="{00000000-0005-0000-0000-0000268F0000}"/>
    <cellStyle name="Normal 60 2 4 8" xfId="36646" xr:uid="{00000000-0005-0000-0000-0000278F0000}"/>
    <cellStyle name="Normal 60 2 4 9" xfId="36647" xr:uid="{00000000-0005-0000-0000-0000288F0000}"/>
    <cellStyle name="Normal 60 2 5" xfId="36648" xr:uid="{00000000-0005-0000-0000-0000298F0000}"/>
    <cellStyle name="Normal 60 2 5 2" xfId="36649" xr:uid="{00000000-0005-0000-0000-00002A8F0000}"/>
    <cellStyle name="Normal 60 2 5 2 2" xfId="36650" xr:uid="{00000000-0005-0000-0000-00002B8F0000}"/>
    <cellStyle name="Normal 60 2 5 2 3" xfId="36651" xr:uid="{00000000-0005-0000-0000-00002C8F0000}"/>
    <cellStyle name="Normal 60 2 5 2 4" xfId="36652" xr:uid="{00000000-0005-0000-0000-00002D8F0000}"/>
    <cellStyle name="Normal 60 2 5 2 5" xfId="36653" xr:uid="{00000000-0005-0000-0000-00002E8F0000}"/>
    <cellStyle name="Normal 60 2 5 2 6" xfId="36654" xr:uid="{00000000-0005-0000-0000-00002F8F0000}"/>
    <cellStyle name="Normal 60 2 5 3" xfId="36655" xr:uid="{00000000-0005-0000-0000-0000308F0000}"/>
    <cellStyle name="Normal 60 2 5 3 2" xfId="36656" xr:uid="{00000000-0005-0000-0000-0000318F0000}"/>
    <cellStyle name="Normal 60 2 5 3 3" xfId="36657" xr:uid="{00000000-0005-0000-0000-0000328F0000}"/>
    <cellStyle name="Normal 60 2 5 3 4" xfId="36658" xr:uid="{00000000-0005-0000-0000-0000338F0000}"/>
    <cellStyle name="Normal 60 2 5 3 5" xfId="36659" xr:uid="{00000000-0005-0000-0000-0000348F0000}"/>
    <cellStyle name="Normal 60 2 5 3 6" xfId="36660" xr:uid="{00000000-0005-0000-0000-0000358F0000}"/>
    <cellStyle name="Normal 60 2 5 4" xfId="36661" xr:uid="{00000000-0005-0000-0000-0000368F0000}"/>
    <cellStyle name="Normal 60 2 5 5" xfId="36662" xr:uid="{00000000-0005-0000-0000-0000378F0000}"/>
    <cellStyle name="Normal 60 2 5 6" xfId="36663" xr:uid="{00000000-0005-0000-0000-0000388F0000}"/>
    <cellStyle name="Normal 60 2 5 7" xfId="36664" xr:uid="{00000000-0005-0000-0000-0000398F0000}"/>
    <cellStyle name="Normal 60 2 5 8" xfId="36665" xr:uid="{00000000-0005-0000-0000-00003A8F0000}"/>
    <cellStyle name="Normal 60 2 6" xfId="36666" xr:uid="{00000000-0005-0000-0000-00003B8F0000}"/>
    <cellStyle name="Normal 60 2 6 2" xfId="36667" xr:uid="{00000000-0005-0000-0000-00003C8F0000}"/>
    <cellStyle name="Normal 60 2 6 2 2" xfId="36668" xr:uid="{00000000-0005-0000-0000-00003D8F0000}"/>
    <cellStyle name="Normal 60 2 6 2 3" xfId="36669" xr:uid="{00000000-0005-0000-0000-00003E8F0000}"/>
    <cellStyle name="Normal 60 2 6 2 4" xfId="36670" xr:uid="{00000000-0005-0000-0000-00003F8F0000}"/>
    <cellStyle name="Normal 60 2 6 2 5" xfId="36671" xr:uid="{00000000-0005-0000-0000-0000408F0000}"/>
    <cellStyle name="Normal 60 2 6 2 6" xfId="36672" xr:uid="{00000000-0005-0000-0000-0000418F0000}"/>
    <cellStyle name="Normal 60 2 6 3" xfId="36673" xr:uid="{00000000-0005-0000-0000-0000428F0000}"/>
    <cellStyle name="Normal 60 2 6 3 2" xfId="36674" xr:uid="{00000000-0005-0000-0000-0000438F0000}"/>
    <cellStyle name="Normal 60 2 6 3 3" xfId="36675" xr:uid="{00000000-0005-0000-0000-0000448F0000}"/>
    <cellStyle name="Normal 60 2 6 3 4" xfId="36676" xr:uid="{00000000-0005-0000-0000-0000458F0000}"/>
    <cellStyle name="Normal 60 2 6 3 5" xfId="36677" xr:uid="{00000000-0005-0000-0000-0000468F0000}"/>
    <cellStyle name="Normal 60 2 6 3 6" xfId="36678" xr:uid="{00000000-0005-0000-0000-0000478F0000}"/>
    <cellStyle name="Normal 60 2 6 4" xfId="36679" xr:uid="{00000000-0005-0000-0000-0000488F0000}"/>
    <cellStyle name="Normal 60 2 6 5" xfId="36680" xr:uid="{00000000-0005-0000-0000-0000498F0000}"/>
    <cellStyle name="Normal 60 2 6 6" xfId="36681" xr:uid="{00000000-0005-0000-0000-00004A8F0000}"/>
    <cellStyle name="Normal 60 2 6 7" xfId="36682" xr:uid="{00000000-0005-0000-0000-00004B8F0000}"/>
    <cellStyle name="Normal 60 2 6 8" xfId="36683" xr:uid="{00000000-0005-0000-0000-00004C8F0000}"/>
    <cellStyle name="Normal 60 2 7" xfId="36684" xr:uid="{00000000-0005-0000-0000-00004D8F0000}"/>
    <cellStyle name="Normal 60 2 7 2" xfId="36685" xr:uid="{00000000-0005-0000-0000-00004E8F0000}"/>
    <cellStyle name="Normal 60 2 7 2 2" xfId="36686" xr:uid="{00000000-0005-0000-0000-00004F8F0000}"/>
    <cellStyle name="Normal 60 2 7 2 3" xfId="36687" xr:uid="{00000000-0005-0000-0000-0000508F0000}"/>
    <cellStyle name="Normal 60 2 7 2 4" xfId="36688" xr:uid="{00000000-0005-0000-0000-0000518F0000}"/>
    <cellStyle name="Normal 60 2 7 2 5" xfId="36689" xr:uid="{00000000-0005-0000-0000-0000528F0000}"/>
    <cellStyle name="Normal 60 2 7 2 6" xfId="36690" xr:uid="{00000000-0005-0000-0000-0000538F0000}"/>
    <cellStyle name="Normal 60 2 7 3" xfId="36691" xr:uid="{00000000-0005-0000-0000-0000548F0000}"/>
    <cellStyle name="Normal 60 2 7 3 2" xfId="36692" xr:uid="{00000000-0005-0000-0000-0000558F0000}"/>
    <cellStyle name="Normal 60 2 7 3 3" xfId="36693" xr:uid="{00000000-0005-0000-0000-0000568F0000}"/>
    <cellStyle name="Normal 60 2 7 3 4" xfId="36694" xr:uid="{00000000-0005-0000-0000-0000578F0000}"/>
    <cellStyle name="Normal 60 2 7 3 5" xfId="36695" xr:uid="{00000000-0005-0000-0000-0000588F0000}"/>
    <cellStyle name="Normal 60 2 7 3 6" xfId="36696" xr:uid="{00000000-0005-0000-0000-0000598F0000}"/>
    <cellStyle name="Normal 60 2 7 4" xfId="36697" xr:uid="{00000000-0005-0000-0000-00005A8F0000}"/>
    <cellStyle name="Normal 60 2 7 5" xfId="36698" xr:uid="{00000000-0005-0000-0000-00005B8F0000}"/>
    <cellStyle name="Normal 60 2 7 6" xfId="36699" xr:uid="{00000000-0005-0000-0000-00005C8F0000}"/>
    <cellStyle name="Normal 60 2 7 7" xfId="36700" xr:uid="{00000000-0005-0000-0000-00005D8F0000}"/>
    <cellStyle name="Normal 60 2 7 8" xfId="36701" xr:uid="{00000000-0005-0000-0000-00005E8F0000}"/>
    <cellStyle name="Normal 60 2 8" xfId="36702" xr:uid="{00000000-0005-0000-0000-00005F8F0000}"/>
    <cellStyle name="Normal 60 2 8 2" xfId="36703" xr:uid="{00000000-0005-0000-0000-0000608F0000}"/>
    <cellStyle name="Normal 60 2 8 3" xfId="36704" xr:uid="{00000000-0005-0000-0000-0000618F0000}"/>
    <cellStyle name="Normal 60 2 8 4" xfId="36705" xr:uid="{00000000-0005-0000-0000-0000628F0000}"/>
    <cellStyle name="Normal 60 2 8 5" xfId="36706" xr:uid="{00000000-0005-0000-0000-0000638F0000}"/>
    <cellStyle name="Normal 60 2 8 6" xfId="36707" xr:uid="{00000000-0005-0000-0000-0000648F0000}"/>
    <cellStyle name="Normal 60 2 9" xfId="36708" xr:uid="{00000000-0005-0000-0000-0000658F0000}"/>
    <cellStyle name="Normal 60 2 9 2" xfId="36709" xr:uid="{00000000-0005-0000-0000-0000668F0000}"/>
    <cellStyle name="Normal 60 2 9 3" xfId="36710" xr:uid="{00000000-0005-0000-0000-0000678F0000}"/>
    <cellStyle name="Normal 60 2 9 4" xfId="36711" xr:uid="{00000000-0005-0000-0000-0000688F0000}"/>
    <cellStyle name="Normal 60 2 9 5" xfId="36712" xr:uid="{00000000-0005-0000-0000-0000698F0000}"/>
    <cellStyle name="Normal 60 2 9 6" xfId="36713" xr:uid="{00000000-0005-0000-0000-00006A8F0000}"/>
    <cellStyle name="Normal 60 3" xfId="36714" xr:uid="{00000000-0005-0000-0000-00006B8F0000}"/>
    <cellStyle name="Normal 60 3 10" xfId="36715" xr:uid="{00000000-0005-0000-0000-00006C8F0000}"/>
    <cellStyle name="Normal 60 3 11" xfId="36716" xr:uid="{00000000-0005-0000-0000-00006D8F0000}"/>
    <cellStyle name="Normal 60 3 12" xfId="36717" xr:uid="{00000000-0005-0000-0000-00006E8F0000}"/>
    <cellStyle name="Normal 60 3 2" xfId="36718" xr:uid="{00000000-0005-0000-0000-00006F8F0000}"/>
    <cellStyle name="Normal 60 3 2 10" xfId="36719" xr:uid="{00000000-0005-0000-0000-0000708F0000}"/>
    <cellStyle name="Normal 60 3 2 11" xfId="36720" xr:uid="{00000000-0005-0000-0000-0000718F0000}"/>
    <cellStyle name="Normal 60 3 2 2" xfId="36721" xr:uid="{00000000-0005-0000-0000-0000728F0000}"/>
    <cellStyle name="Normal 60 3 2 2 2" xfId="36722" xr:uid="{00000000-0005-0000-0000-0000738F0000}"/>
    <cellStyle name="Normal 60 3 2 2 2 2" xfId="36723" xr:uid="{00000000-0005-0000-0000-0000748F0000}"/>
    <cellStyle name="Normal 60 3 2 2 2 3" xfId="36724" xr:uid="{00000000-0005-0000-0000-0000758F0000}"/>
    <cellStyle name="Normal 60 3 2 2 2 4" xfId="36725" xr:uid="{00000000-0005-0000-0000-0000768F0000}"/>
    <cellStyle name="Normal 60 3 2 2 2 5" xfId="36726" xr:uid="{00000000-0005-0000-0000-0000778F0000}"/>
    <cellStyle name="Normal 60 3 2 2 2 6" xfId="36727" xr:uid="{00000000-0005-0000-0000-0000788F0000}"/>
    <cellStyle name="Normal 60 3 2 2 3" xfId="36728" xr:uid="{00000000-0005-0000-0000-0000798F0000}"/>
    <cellStyle name="Normal 60 3 2 2 3 2" xfId="36729" xr:uid="{00000000-0005-0000-0000-00007A8F0000}"/>
    <cellStyle name="Normal 60 3 2 2 3 3" xfId="36730" xr:uid="{00000000-0005-0000-0000-00007B8F0000}"/>
    <cellStyle name="Normal 60 3 2 2 3 4" xfId="36731" xr:uid="{00000000-0005-0000-0000-00007C8F0000}"/>
    <cellStyle name="Normal 60 3 2 2 3 5" xfId="36732" xr:uid="{00000000-0005-0000-0000-00007D8F0000}"/>
    <cellStyle name="Normal 60 3 2 2 3 6" xfId="36733" xr:uid="{00000000-0005-0000-0000-00007E8F0000}"/>
    <cellStyle name="Normal 60 3 2 2 4" xfId="36734" xr:uid="{00000000-0005-0000-0000-00007F8F0000}"/>
    <cellStyle name="Normal 60 3 2 2 5" xfId="36735" xr:uid="{00000000-0005-0000-0000-0000808F0000}"/>
    <cellStyle name="Normal 60 3 2 2 6" xfId="36736" xr:uid="{00000000-0005-0000-0000-0000818F0000}"/>
    <cellStyle name="Normal 60 3 2 2 7" xfId="36737" xr:uid="{00000000-0005-0000-0000-0000828F0000}"/>
    <cellStyle name="Normal 60 3 2 2 8" xfId="36738" xr:uid="{00000000-0005-0000-0000-0000838F0000}"/>
    <cellStyle name="Normal 60 3 2 3" xfId="36739" xr:uid="{00000000-0005-0000-0000-0000848F0000}"/>
    <cellStyle name="Normal 60 3 2 3 2" xfId="36740" xr:uid="{00000000-0005-0000-0000-0000858F0000}"/>
    <cellStyle name="Normal 60 3 2 3 2 2" xfId="36741" xr:uid="{00000000-0005-0000-0000-0000868F0000}"/>
    <cellStyle name="Normal 60 3 2 3 2 3" xfId="36742" xr:uid="{00000000-0005-0000-0000-0000878F0000}"/>
    <cellStyle name="Normal 60 3 2 3 2 4" xfId="36743" xr:uid="{00000000-0005-0000-0000-0000888F0000}"/>
    <cellStyle name="Normal 60 3 2 3 2 5" xfId="36744" xr:uid="{00000000-0005-0000-0000-0000898F0000}"/>
    <cellStyle name="Normal 60 3 2 3 2 6" xfId="36745" xr:uid="{00000000-0005-0000-0000-00008A8F0000}"/>
    <cellStyle name="Normal 60 3 2 3 3" xfId="36746" xr:uid="{00000000-0005-0000-0000-00008B8F0000}"/>
    <cellStyle name="Normal 60 3 2 3 3 2" xfId="36747" xr:uid="{00000000-0005-0000-0000-00008C8F0000}"/>
    <cellStyle name="Normal 60 3 2 3 3 3" xfId="36748" xr:uid="{00000000-0005-0000-0000-00008D8F0000}"/>
    <cellStyle name="Normal 60 3 2 3 3 4" xfId="36749" xr:uid="{00000000-0005-0000-0000-00008E8F0000}"/>
    <cellStyle name="Normal 60 3 2 3 3 5" xfId="36750" xr:uid="{00000000-0005-0000-0000-00008F8F0000}"/>
    <cellStyle name="Normal 60 3 2 3 3 6" xfId="36751" xr:uid="{00000000-0005-0000-0000-0000908F0000}"/>
    <cellStyle name="Normal 60 3 2 3 4" xfId="36752" xr:uid="{00000000-0005-0000-0000-0000918F0000}"/>
    <cellStyle name="Normal 60 3 2 3 5" xfId="36753" xr:uid="{00000000-0005-0000-0000-0000928F0000}"/>
    <cellStyle name="Normal 60 3 2 3 6" xfId="36754" xr:uid="{00000000-0005-0000-0000-0000938F0000}"/>
    <cellStyle name="Normal 60 3 2 3 7" xfId="36755" xr:uid="{00000000-0005-0000-0000-0000948F0000}"/>
    <cellStyle name="Normal 60 3 2 3 8" xfId="36756" xr:uid="{00000000-0005-0000-0000-0000958F0000}"/>
    <cellStyle name="Normal 60 3 2 4" xfId="36757" xr:uid="{00000000-0005-0000-0000-0000968F0000}"/>
    <cellStyle name="Normal 60 3 2 4 2" xfId="36758" xr:uid="{00000000-0005-0000-0000-0000978F0000}"/>
    <cellStyle name="Normal 60 3 2 4 2 2" xfId="36759" xr:uid="{00000000-0005-0000-0000-0000988F0000}"/>
    <cellStyle name="Normal 60 3 2 4 2 3" xfId="36760" xr:uid="{00000000-0005-0000-0000-0000998F0000}"/>
    <cellStyle name="Normal 60 3 2 4 2 4" xfId="36761" xr:uid="{00000000-0005-0000-0000-00009A8F0000}"/>
    <cellStyle name="Normal 60 3 2 4 2 5" xfId="36762" xr:uid="{00000000-0005-0000-0000-00009B8F0000}"/>
    <cellStyle name="Normal 60 3 2 4 2 6" xfId="36763" xr:uid="{00000000-0005-0000-0000-00009C8F0000}"/>
    <cellStyle name="Normal 60 3 2 4 3" xfId="36764" xr:uid="{00000000-0005-0000-0000-00009D8F0000}"/>
    <cellStyle name="Normal 60 3 2 4 3 2" xfId="36765" xr:uid="{00000000-0005-0000-0000-00009E8F0000}"/>
    <cellStyle name="Normal 60 3 2 4 3 3" xfId="36766" xr:uid="{00000000-0005-0000-0000-00009F8F0000}"/>
    <cellStyle name="Normal 60 3 2 4 3 4" xfId="36767" xr:uid="{00000000-0005-0000-0000-0000A08F0000}"/>
    <cellStyle name="Normal 60 3 2 4 3 5" xfId="36768" xr:uid="{00000000-0005-0000-0000-0000A18F0000}"/>
    <cellStyle name="Normal 60 3 2 4 3 6" xfId="36769" xr:uid="{00000000-0005-0000-0000-0000A28F0000}"/>
    <cellStyle name="Normal 60 3 2 4 4" xfId="36770" xr:uid="{00000000-0005-0000-0000-0000A38F0000}"/>
    <cellStyle name="Normal 60 3 2 4 5" xfId="36771" xr:uid="{00000000-0005-0000-0000-0000A48F0000}"/>
    <cellStyle name="Normal 60 3 2 4 6" xfId="36772" xr:uid="{00000000-0005-0000-0000-0000A58F0000}"/>
    <cellStyle name="Normal 60 3 2 4 7" xfId="36773" xr:uid="{00000000-0005-0000-0000-0000A68F0000}"/>
    <cellStyle name="Normal 60 3 2 4 8" xfId="36774" xr:uid="{00000000-0005-0000-0000-0000A78F0000}"/>
    <cellStyle name="Normal 60 3 2 5" xfId="36775" xr:uid="{00000000-0005-0000-0000-0000A88F0000}"/>
    <cellStyle name="Normal 60 3 2 5 2" xfId="36776" xr:uid="{00000000-0005-0000-0000-0000A98F0000}"/>
    <cellStyle name="Normal 60 3 2 5 3" xfId="36777" xr:uid="{00000000-0005-0000-0000-0000AA8F0000}"/>
    <cellStyle name="Normal 60 3 2 5 4" xfId="36778" xr:uid="{00000000-0005-0000-0000-0000AB8F0000}"/>
    <cellStyle name="Normal 60 3 2 5 5" xfId="36779" xr:uid="{00000000-0005-0000-0000-0000AC8F0000}"/>
    <cellStyle name="Normal 60 3 2 5 6" xfId="36780" xr:uid="{00000000-0005-0000-0000-0000AD8F0000}"/>
    <cellStyle name="Normal 60 3 2 6" xfId="36781" xr:uid="{00000000-0005-0000-0000-0000AE8F0000}"/>
    <cellStyle name="Normal 60 3 2 6 2" xfId="36782" xr:uid="{00000000-0005-0000-0000-0000AF8F0000}"/>
    <cellStyle name="Normal 60 3 2 6 3" xfId="36783" xr:uid="{00000000-0005-0000-0000-0000B08F0000}"/>
    <cellStyle name="Normal 60 3 2 6 4" xfId="36784" xr:uid="{00000000-0005-0000-0000-0000B18F0000}"/>
    <cellStyle name="Normal 60 3 2 6 5" xfId="36785" xr:uid="{00000000-0005-0000-0000-0000B28F0000}"/>
    <cellStyle name="Normal 60 3 2 6 6" xfId="36786" xr:uid="{00000000-0005-0000-0000-0000B38F0000}"/>
    <cellStyle name="Normal 60 3 2 7" xfId="36787" xr:uid="{00000000-0005-0000-0000-0000B48F0000}"/>
    <cellStyle name="Normal 60 3 2 8" xfId="36788" xr:uid="{00000000-0005-0000-0000-0000B58F0000}"/>
    <cellStyle name="Normal 60 3 2 9" xfId="36789" xr:uid="{00000000-0005-0000-0000-0000B68F0000}"/>
    <cellStyle name="Normal 60 3 3" xfId="36790" xr:uid="{00000000-0005-0000-0000-0000B78F0000}"/>
    <cellStyle name="Normal 60 3 3 2" xfId="36791" xr:uid="{00000000-0005-0000-0000-0000B88F0000}"/>
    <cellStyle name="Normal 60 3 3 2 2" xfId="36792" xr:uid="{00000000-0005-0000-0000-0000B98F0000}"/>
    <cellStyle name="Normal 60 3 3 2 3" xfId="36793" xr:uid="{00000000-0005-0000-0000-0000BA8F0000}"/>
    <cellStyle name="Normal 60 3 3 2 4" xfId="36794" xr:uid="{00000000-0005-0000-0000-0000BB8F0000}"/>
    <cellStyle name="Normal 60 3 3 2 5" xfId="36795" xr:uid="{00000000-0005-0000-0000-0000BC8F0000}"/>
    <cellStyle name="Normal 60 3 3 2 6" xfId="36796" xr:uid="{00000000-0005-0000-0000-0000BD8F0000}"/>
    <cellStyle name="Normal 60 3 3 3" xfId="36797" xr:uid="{00000000-0005-0000-0000-0000BE8F0000}"/>
    <cellStyle name="Normal 60 3 3 3 2" xfId="36798" xr:uid="{00000000-0005-0000-0000-0000BF8F0000}"/>
    <cellStyle name="Normal 60 3 3 3 3" xfId="36799" xr:uid="{00000000-0005-0000-0000-0000C08F0000}"/>
    <cellStyle name="Normal 60 3 3 3 4" xfId="36800" xr:uid="{00000000-0005-0000-0000-0000C18F0000}"/>
    <cellStyle name="Normal 60 3 3 3 5" xfId="36801" xr:uid="{00000000-0005-0000-0000-0000C28F0000}"/>
    <cellStyle name="Normal 60 3 3 3 6" xfId="36802" xr:uid="{00000000-0005-0000-0000-0000C38F0000}"/>
    <cellStyle name="Normal 60 3 3 4" xfId="36803" xr:uid="{00000000-0005-0000-0000-0000C48F0000}"/>
    <cellStyle name="Normal 60 3 3 5" xfId="36804" xr:uid="{00000000-0005-0000-0000-0000C58F0000}"/>
    <cellStyle name="Normal 60 3 3 6" xfId="36805" xr:uid="{00000000-0005-0000-0000-0000C68F0000}"/>
    <cellStyle name="Normal 60 3 3 7" xfId="36806" xr:uid="{00000000-0005-0000-0000-0000C78F0000}"/>
    <cellStyle name="Normal 60 3 3 8" xfId="36807" xr:uid="{00000000-0005-0000-0000-0000C88F0000}"/>
    <cellStyle name="Normal 60 3 4" xfId="36808" xr:uid="{00000000-0005-0000-0000-0000C98F0000}"/>
    <cellStyle name="Normal 60 3 4 2" xfId="36809" xr:uid="{00000000-0005-0000-0000-0000CA8F0000}"/>
    <cellStyle name="Normal 60 3 4 2 2" xfId="36810" xr:uid="{00000000-0005-0000-0000-0000CB8F0000}"/>
    <cellStyle name="Normal 60 3 4 2 3" xfId="36811" xr:uid="{00000000-0005-0000-0000-0000CC8F0000}"/>
    <cellStyle name="Normal 60 3 4 2 4" xfId="36812" xr:uid="{00000000-0005-0000-0000-0000CD8F0000}"/>
    <cellStyle name="Normal 60 3 4 2 5" xfId="36813" xr:uid="{00000000-0005-0000-0000-0000CE8F0000}"/>
    <cellStyle name="Normal 60 3 4 2 6" xfId="36814" xr:uid="{00000000-0005-0000-0000-0000CF8F0000}"/>
    <cellStyle name="Normal 60 3 4 3" xfId="36815" xr:uid="{00000000-0005-0000-0000-0000D08F0000}"/>
    <cellStyle name="Normal 60 3 4 3 2" xfId="36816" xr:uid="{00000000-0005-0000-0000-0000D18F0000}"/>
    <cellStyle name="Normal 60 3 4 3 3" xfId="36817" xr:uid="{00000000-0005-0000-0000-0000D28F0000}"/>
    <cellStyle name="Normal 60 3 4 3 4" xfId="36818" xr:uid="{00000000-0005-0000-0000-0000D38F0000}"/>
    <cellStyle name="Normal 60 3 4 3 5" xfId="36819" xr:uid="{00000000-0005-0000-0000-0000D48F0000}"/>
    <cellStyle name="Normal 60 3 4 3 6" xfId="36820" xr:uid="{00000000-0005-0000-0000-0000D58F0000}"/>
    <cellStyle name="Normal 60 3 4 4" xfId="36821" xr:uid="{00000000-0005-0000-0000-0000D68F0000}"/>
    <cellStyle name="Normal 60 3 4 5" xfId="36822" xr:uid="{00000000-0005-0000-0000-0000D78F0000}"/>
    <cellStyle name="Normal 60 3 4 6" xfId="36823" xr:uid="{00000000-0005-0000-0000-0000D88F0000}"/>
    <cellStyle name="Normal 60 3 4 7" xfId="36824" xr:uid="{00000000-0005-0000-0000-0000D98F0000}"/>
    <cellStyle name="Normal 60 3 4 8" xfId="36825" xr:uid="{00000000-0005-0000-0000-0000DA8F0000}"/>
    <cellStyle name="Normal 60 3 5" xfId="36826" xr:uid="{00000000-0005-0000-0000-0000DB8F0000}"/>
    <cellStyle name="Normal 60 3 5 2" xfId="36827" xr:uid="{00000000-0005-0000-0000-0000DC8F0000}"/>
    <cellStyle name="Normal 60 3 5 2 2" xfId="36828" xr:uid="{00000000-0005-0000-0000-0000DD8F0000}"/>
    <cellStyle name="Normal 60 3 5 2 3" xfId="36829" xr:uid="{00000000-0005-0000-0000-0000DE8F0000}"/>
    <cellStyle name="Normal 60 3 5 2 4" xfId="36830" xr:uid="{00000000-0005-0000-0000-0000DF8F0000}"/>
    <cellStyle name="Normal 60 3 5 2 5" xfId="36831" xr:uid="{00000000-0005-0000-0000-0000E08F0000}"/>
    <cellStyle name="Normal 60 3 5 2 6" xfId="36832" xr:uid="{00000000-0005-0000-0000-0000E18F0000}"/>
    <cellStyle name="Normal 60 3 5 3" xfId="36833" xr:uid="{00000000-0005-0000-0000-0000E28F0000}"/>
    <cellStyle name="Normal 60 3 5 3 2" xfId="36834" xr:uid="{00000000-0005-0000-0000-0000E38F0000}"/>
    <cellStyle name="Normal 60 3 5 3 3" xfId="36835" xr:uid="{00000000-0005-0000-0000-0000E48F0000}"/>
    <cellStyle name="Normal 60 3 5 3 4" xfId="36836" xr:uid="{00000000-0005-0000-0000-0000E58F0000}"/>
    <cellStyle name="Normal 60 3 5 3 5" xfId="36837" xr:uid="{00000000-0005-0000-0000-0000E68F0000}"/>
    <cellStyle name="Normal 60 3 5 3 6" xfId="36838" xr:uid="{00000000-0005-0000-0000-0000E78F0000}"/>
    <cellStyle name="Normal 60 3 5 4" xfId="36839" xr:uid="{00000000-0005-0000-0000-0000E88F0000}"/>
    <cellStyle name="Normal 60 3 5 5" xfId="36840" xr:uid="{00000000-0005-0000-0000-0000E98F0000}"/>
    <cellStyle name="Normal 60 3 5 6" xfId="36841" xr:uid="{00000000-0005-0000-0000-0000EA8F0000}"/>
    <cellStyle name="Normal 60 3 5 7" xfId="36842" xr:uid="{00000000-0005-0000-0000-0000EB8F0000}"/>
    <cellStyle name="Normal 60 3 5 8" xfId="36843" xr:uid="{00000000-0005-0000-0000-0000EC8F0000}"/>
    <cellStyle name="Normal 60 3 6" xfId="36844" xr:uid="{00000000-0005-0000-0000-0000ED8F0000}"/>
    <cellStyle name="Normal 60 3 6 2" xfId="36845" xr:uid="{00000000-0005-0000-0000-0000EE8F0000}"/>
    <cellStyle name="Normal 60 3 6 3" xfId="36846" xr:uid="{00000000-0005-0000-0000-0000EF8F0000}"/>
    <cellStyle name="Normal 60 3 6 4" xfId="36847" xr:uid="{00000000-0005-0000-0000-0000F08F0000}"/>
    <cellStyle name="Normal 60 3 6 5" xfId="36848" xr:uid="{00000000-0005-0000-0000-0000F18F0000}"/>
    <cellStyle name="Normal 60 3 6 6" xfId="36849" xr:uid="{00000000-0005-0000-0000-0000F28F0000}"/>
    <cellStyle name="Normal 60 3 7" xfId="36850" xr:uid="{00000000-0005-0000-0000-0000F38F0000}"/>
    <cellStyle name="Normal 60 3 7 2" xfId="36851" xr:uid="{00000000-0005-0000-0000-0000F48F0000}"/>
    <cellStyle name="Normal 60 3 7 3" xfId="36852" xr:uid="{00000000-0005-0000-0000-0000F58F0000}"/>
    <cellStyle name="Normal 60 3 7 4" xfId="36853" xr:uid="{00000000-0005-0000-0000-0000F68F0000}"/>
    <cellStyle name="Normal 60 3 7 5" xfId="36854" xr:uid="{00000000-0005-0000-0000-0000F78F0000}"/>
    <cellStyle name="Normal 60 3 7 6" xfId="36855" xr:uid="{00000000-0005-0000-0000-0000F88F0000}"/>
    <cellStyle name="Normal 60 3 8" xfId="36856" xr:uid="{00000000-0005-0000-0000-0000F98F0000}"/>
    <cellStyle name="Normal 60 3 9" xfId="36857" xr:uid="{00000000-0005-0000-0000-0000FA8F0000}"/>
    <cellStyle name="Normal 60 4" xfId="36858" xr:uid="{00000000-0005-0000-0000-0000FB8F0000}"/>
    <cellStyle name="Normal 60 4 10" xfId="36859" xr:uid="{00000000-0005-0000-0000-0000FC8F0000}"/>
    <cellStyle name="Normal 60 4 11" xfId="36860" xr:uid="{00000000-0005-0000-0000-0000FD8F0000}"/>
    <cellStyle name="Normal 60 4 12" xfId="36861" xr:uid="{00000000-0005-0000-0000-0000FE8F0000}"/>
    <cellStyle name="Normal 60 4 2" xfId="36862" xr:uid="{00000000-0005-0000-0000-0000FF8F0000}"/>
    <cellStyle name="Normal 60 4 2 10" xfId="36863" xr:uid="{00000000-0005-0000-0000-000000900000}"/>
    <cellStyle name="Normal 60 4 2 11" xfId="36864" xr:uid="{00000000-0005-0000-0000-000001900000}"/>
    <cellStyle name="Normal 60 4 2 2" xfId="36865" xr:uid="{00000000-0005-0000-0000-000002900000}"/>
    <cellStyle name="Normal 60 4 2 2 2" xfId="36866" xr:uid="{00000000-0005-0000-0000-000003900000}"/>
    <cellStyle name="Normal 60 4 2 2 2 2" xfId="36867" xr:uid="{00000000-0005-0000-0000-000004900000}"/>
    <cellStyle name="Normal 60 4 2 2 2 3" xfId="36868" xr:uid="{00000000-0005-0000-0000-000005900000}"/>
    <cellStyle name="Normal 60 4 2 2 2 4" xfId="36869" xr:uid="{00000000-0005-0000-0000-000006900000}"/>
    <cellStyle name="Normal 60 4 2 2 2 5" xfId="36870" xr:uid="{00000000-0005-0000-0000-000007900000}"/>
    <cellStyle name="Normal 60 4 2 2 2 6" xfId="36871" xr:uid="{00000000-0005-0000-0000-000008900000}"/>
    <cellStyle name="Normal 60 4 2 2 3" xfId="36872" xr:uid="{00000000-0005-0000-0000-000009900000}"/>
    <cellStyle name="Normal 60 4 2 2 3 2" xfId="36873" xr:uid="{00000000-0005-0000-0000-00000A900000}"/>
    <cellStyle name="Normal 60 4 2 2 3 3" xfId="36874" xr:uid="{00000000-0005-0000-0000-00000B900000}"/>
    <cellStyle name="Normal 60 4 2 2 3 4" xfId="36875" xr:uid="{00000000-0005-0000-0000-00000C900000}"/>
    <cellStyle name="Normal 60 4 2 2 3 5" xfId="36876" xr:uid="{00000000-0005-0000-0000-00000D900000}"/>
    <cellStyle name="Normal 60 4 2 2 3 6" xfId="36877" xr:uid="{00000000-0005-0000-0000-00000E900000}"/>
    <cellStyle name="Normal 60 4 2 2 4" xfId="36878" xr:uid="{00000000-0005-0000-0000-00000F900000}"/>
    <cellStyle name="Normal 60 4 2 2 5" xfId="36879" xr:uid="{00000000-0005-0000-0000-000010900000}"/>
    <cellStyle name="Normal 60 4 2 2 6" xfId="36880" xr:uid="{00000000-0005-0000-0000-000011900000}"/>
    <cellStyle name="Normal 60 4 2 2 7" xfId="36881" xr:uid="{00000000-0005-0000-0000-000012900000}"/>
    <cellStyle name="Normal 60 4 2 2 8" xfId="36882" xr:uid="{00000000-0005-0000-0000-000013900000}"/>
    <cellStyle name="Normal 60 4 2 3" xfId="36883" xr:uid="{00000000-0005-0000-0000-000014900000}"/>
    <cellStyle name="Normal 60 4 2 3 2" xfId="36884" xr:uid="{00000000-0005-0000-0000-000015900000}"/>
    <cellStyle name="Normal 60 4 2 3 2 2" xfId="36885" xr:uid="{00000000-0005-0000-0000-000016900000}"/>
    <cellStyle name="Normal 60 4 2 3 2 3" xfId="36886" xr:uid="{00000000-0005-0000-0000-000017900000}"/>
    <cellStyle name="Normal 60 4 2 3 2 4" xfId="36887" xr:uid="{00000000-0005-0000-0000-000018900000}"/>
    <cellStyle name="Normal 60 4 2 3 2 5" xfId="36888" xr:uid="{00000000-0005-0000-0000-000019900000}"/>
    <cellStyle name="Normal 60 4 2 3 2 6" xfId="36889" xr:uid="{00000000-0005-0000-0000-00001A900000}"/>
    <cellStyle name="Normal 60 4 2 3 3" xfId="36890" xr:uid="{00000000-0005-0000-0000-00001B900000}"/>
    <cellStyle name="Normal 60 4 2 3 3 2" xfId="36891" xr:uid="{00000000-0005-0000-0000-00001C900000}"/>
    <cellStyle name="Normal 60 4 2 3 3 3" xfId="36892" xr:uid="{00000000-0005-0000-0000-00001D900000}"/>
    <cellStyle name="Normal 60 4 2 3 3 4" xfId="36893" xr:uid="{00000000-0005-0000-0000-00001E900000}"/>
    <cellStyle name="Normal 60 4 2 3 3 5" xfId="36894" xr:uid="{00000000-0005-0000-0000-00001F900000}"/>
    <cellStyle name="Normal 60 4 2 3 3 6" xfId="36895" xr:uid="{00000000-0005-0000-0000-000020900000}"/>
    <cellStyle name="Normal 60 4 2 3 4" xfId="36896" xr:uid="{00000000-0005-0000-0000-000021900000}"/>
    <cellStyle name="Normal 60 4 2 3 5" xfId="36897" xr:uid="{00000000-0005-0000-0000-000022900000}"/>
    <cellStyle name="Normal 60 4 2 3 6" xfId="36898" xr:uid="{00000000-0005-0000-0000-000023900000}"/>
    <cellStyle name="Normal 60 4 2 3 7" xfId="36899" xr:uid="{00000000-0005-0000-0000-000024900000}"/>
    <cellStyle name="Normal 60 4 2 3 8" xfId="36900" xr:uid="{00000000-0005-0000-0000-000025900000}"/>
    <cellStyle name="Normal 60 4 2 4" xfId="36901" xr:uid="{00000000-0005-0000-0000-000026900000}"/>
    <cellStyle name="Normal 60 4 2 4 2" xfId="36902" xr:uid="{00000000-0005-0000-0000-000027900000}"/>
    <cellStyle name="Normal 60 4 2 4 2 2" xfId="36903" xr:uid="{00000000-0005-0000-0000-000028900000}"/>
    <cellStyle name="Normal 60 4 2 4 2 3" xfId="36904" xr:uid="{00000000-0005-0000-0000-000029900000}"/>
    <cellStyle name="Normal 60 4 2 4 2 4" xfId="36905" xr:uid="{00000000-0005-0000-0000-00002A900000}"/>
    <cellStyle name="Normal 60 4 2 4 2 5" xfId="36906" xr:uid="{00000000-0005-0000-0000-00002B900000}"/>
    <cellStyle name="Normal 60 4 2 4 2 6" xfId="36907" xr:uid="{00000000-0005-0000-0000-00002C900000}"/>
    <cellStyle name="Normal 60 4 2 4 3" xfId="36908" xr:uid="{00000000-0005-0000-0000-00002D900000}"/>
    <cellStyle name="Normal 60 4 2 4 3 2" xfId="36909" xr:uid="{00000000-0005-0000-0000-00002E900000}"/>
    <cellStyle name="Normal 60 4 2 4 3 3" xfId="36910" xr:uid="{00000000-0005-0000-0000-00002F900000}"/>
    <cellStyle name="Normal 60 4 2 4 3 4" xfId="36911" xr:uid="{00000000-0005-0000-0000-000030900000}"/>
    <cellStyle name="Normal 60 4 2 4 3 5" xfId="36912" xr:uid="{00000000-0005-0000-0000-000031900000}"/>
    <cellStyle name="Normal 60 4 2 4 3 6" xfId="36913" xr:uid="{00000000-0005-0000-0000-000032900000}"/>
    <cellStyle name="Normal 60 4 2 4 4" xfId="36914" xr:uid="{00000000-0005-0000-0000-000033900000}"/>
    <cellStyle name="Normal 60 4 2 4 5" xfId="36915" xr:uid="{00000000-0005-0000-0000-000034900000}"/>
    <cellStyle name="Normal 60 4 2 4 6" xfId="36916" xr:uid="{00000000-0005-0000-0000-000035900000}"/>
    <cellStyle name="Normal 60 4 2 4 7" xfId="36917" xr:uid="{00000000-0005-0000-0000-000036900000}"/>
    <cellStyle name="Normal 60 4 2 4 8" xfId="36918" xr:uid="{00000000-0005-0000-0000-000037900000}"/>
    <cellStyle name="Normal 60 4 2 5" xfId="36919" xr:uid="{00000000-0005-0000-0000-000038900000}"/>
    <cellStyle name="Normal 60 4 2 5 2" xfId="36920" xr:uid="{00000000-0005-0000-0000-000039900000}"/>
    <cellStyle name="Normal 60 4 2 5 3" xfId="36921" xr:uid="{00000000-0005-0000-0000-00003A900000}"/>
    <cellStyle name="Normal 60 4 2 5 4" xfId="36922" xr:uid="{00000000-0005-0000-0000-00003B900000}"/>
    <cellStyle name="Normal 60 4 2 5 5" xfId="36923" xr:uid="{00000000-0005-0000-0000-00003C900000}"/>
    <cellStyle name="Normal 60 4 2 5 6" xfId="36924" xr:uid="{00000000-0005-0000-0000-00003D900000}"/>
    <cellStyle name="Normal 60 4 2 6" xfId="36925" xr:uid="{00000000-0005-0000-0000-00003E900000}"/>
    <cellStyle name="Normal 60 4 2 6 2" xfId="36926" xr:uid="{00000000-0005-0000-0000-00003F900000}"/>
    <cellStyle name="Normal 60 4 2 6 3" xfId="36927" xr:uid="{00000000-0005-0000-0000-000040900000}"/>
    <cellStyle name="Normal 60 4 2 6 4" xfId="36928" xr:uid="{00000000-0005-0000-0000-000041900000}"/>
    <cellStyle name="Normal 60 4 2 6 5" xfId="36929" xr:uid="{00000000-0005-0000-0000-000042900000}"/>
    <cellStyle name="Normal 60 4 2 6 6" xfId="36930" xr:uid="{00000000-0005-0000-0000-000043900000}"/>
    <cellStyle name="Normal 60 4 2 7" xfId="36931" xr:uid="{00000000-0005-0000-0000-000044900000}"/>
    <cellStyle name="Normal 60 4 2 8" xfId="36932" xr:uid="{00000000-0005-0000-0000-000045900000}"/>
    <cellStyle name="Normal 60 4 2 9" xfId="36933" xr:uid="{00000000-0005-0000-0000-000046900000}"/>
    <cellStyle name="Normal 60 4 3" xfId="36934" xr:uid="{00000000-0005-0000-0000-000047900000}"/>
    <cellStyle name="Normal 60 4 3 2" xfId="36935" xr:uid="{00000000-0005-0000-0000-000048900000}"/>
    <cellStyle name="Normal 60 4 3 2 2" xfId="36936" xr:uid="{00000000-0005-0000-0000-000049900000}"/>
    <cellStyle name="Normal 60 4 3 2 3" xfId="36937" xr:uid="{00000000-0005-0000-0000-00004A900000}"/>
    <cellStyle name="Normal 60 4 3 2 4" xfId="36938" xr:uid="{00000000-0005-0000-0000-00004B900000}"/>
    <cellStyle name="Normal 60 4 3 2 5" xfId="36939" xr:uid="{00000000-0005-0000-0000-00004C900000}"/>
    <cellStyle name="Normal 60 4 3 2 6" xfId="36940" xr:uid="{00000000-0005-0000-0000-00004D900000}"/>
    <cellStyle name="Normal 60 4 3 3" xfId="36941" xr:uid="{00000000-0005-0000-0000-00004E900000}"/>
    <cellStyle name="Normal 60 4 3 3 2" xfId="36942" xr:uid="{00000000-0005-0000-0000-00004F900000}"/>
    <cellStyle name="Normal 60 4 3 3 3" xfId="36943" xr:uid="{00000000-0005-0000-0000-000050900000}"/>
    <cellStyle name="Normal 60 4 3 3 4" xfId="36944" xr:uid="{00000000-0005-0000-0000-000051900000}"/>
    <cellStyle name="Normal 60 4 3 3 5" xfId="36945" xr:uid="{00000000-0005-0000-0000-000052900000}"/>
    <cellStyle name="Normal 60 4 3 3 6" xfId="36946" xr:uid="{00000000-0005-0000-0000-000053900000}"/>
    <cellStyle name="Normal 60 4 3 4" xfId="36947" xr:uid="{00000000-0005-0000-0000-000054900000}"/>
    <cellStyle name="Normal 60 4 3 5" xfId="36948" xr:uid="{00000000-0005-0000-0000-000055900000}"/>
    <cellStyle name="Normal 60 4 3 6" xfId="36949" xr:uid="{00000000-0005-0000-0000-000056900000}"/>
    <cellStyle name="Normal 60 4 3 7" xfId="36950" xr:uid="{00000000-0005-0000-0000-000057900000}"/>
    <cellStyle name="Normal 60 4 3 8" xfId="36951" xr:uid="{00000000-0005-0000-0000-000058900000}"/>
    <cellStyle name="Normal 60 4 4" xfId="36952" xr:uid="{00000000-0005-0000-0000-000059900000}"/>
    <cellStyle name="Normal 60 4 4 2" xfId="36953" xr:uid="{00000000-0005-0000-0000-00005A900000}"/>
    <cellStyle name="Normal 60 4 4 2 2" xfId="36954" xr:uid="{00000000-0005-0000-0000-00005B900000}"/>
    <cellStyle name="Normal 60 4 4 2 3" xfId="36955" xr:uid="{00000000-0005-0000-0000-00005C900000}"/>
    <cellStyle name="Normal 60 4 4 2 4" xfId="36956" xr:uid="{00000000-0005-0000-0000-00005D900000}"/>
    <cellStyle name="Normal 60 4 4 2 5" xfId="36957" xr:uid="{00000000-0005-0000-0000-00005E900000}"/>
    <cellStyle name="Normal 60 4 4 2 6" xfId="36958" xr:uid="{00000000-0005-0000-0000-00005F900000}"/>
    <cellStyle name="Normal 60 4 4 3" xfId="36959" xr:uid="{00000000-0005-0000-0000-000060900000}"/>
    <cellStyle name="Normal 60 4 4 3 2" xfId="36960" xr:uid="{00000000-0005-0000-0000-000061900000}"/>
    <cellStyle name="Normal 60 4 4 3 3" xfId="36961" xr:uid="{00000000-0005-0000-0000-000062900000}"/>
    <cellStyle name="Normal 60 4 4 3 4" xfId="36962" xr:uid="{00000000-0005-0000-0000-000063900000}"/>
    <cellStyle name="Normal 60 4 4 3 5" xfId="36963" xr:uid="{00000000-0005-0000-0000-000064900000}"/>
    <cellStyle name="Normal 60 4 4 3 6" xfId="36964" xr:uid="{00000000-0005-0000-0000-000065900000}"/>
    <cellStyle name="Normal 60 4 4 4" xfId="36965" xr:uid="{00000000-0005-0000-0000-000066900000}"/>
    <cellStyle name="Normal 60 4 4 5" xfId="36966" xr:uid="{00000000-0005-0000-0000-000067900000}"/>
    <cellStyle name="Normal 60 4 4 6" xfId="36967" xr:uid="{00000000-0005-0000-0000-000068900000}"/>
    <cellStyle name="Normal 60 4 4 7" xfId="36968" xr:uid="{00000000-0005-0000-0000-000069900000}"/>
    <cellStyle name="Normal 60 4 4 8" xfId="36969" xr:uid="{00000000-0005-0000-0000-00006A900000}"/>
    <cellStyle name="Normal 60 4 5" xfId="36970" xr:uid="{00000000-0005-0000-0000-00006B900000}"/>
    <cellStyle name="Normal 60 4 5 2" xfId="36971" xr:uid="{00000000-0005-0000-0000-00006C900000}"/>
    <cellStyle name="Normal 60 4 5 2 2" xfId="36972" xr:uid="{00000000-0005-0000-0000-00006D900000}"/>
    <cellStyle name="Normal 60 4 5 2 3" xfId="36973" xr:uid="{00000000-0005-0000-0000-00006E900000}"/>
    <cellStyle name="Normal 60 4 5 2 4" xfId="36974" xr:uid="{00000000-0005-0000-0000-00006F900000}"/>
    <cellStyle name="Normal 60 4 5 2 5" xfId="36975" xr:uid="{00000000-0005-0000-0000-000070900000}"/>
    <cellStyle name="Normal 60 4 5 2 6" xfId="36976" xr:uid="{00000000-0005-0000-0000-000071900000}"/>
    <cellStyle name="Normal 60 4 5 3" xfId="36977" xr:uid="{00000000-0005-0000-0000-000072900000}"/>
    <cellStyle name="Normal 60 4 5 3 2" xfId="36978" xr:uid="{00000000-0005-0000-0000-000073900000}"/>
    <cellStyle name="Normal 60 4 5 3 3" xfId="36979" xr:uid="{00000000-0005-0000-0000-000074900000}"/>
    <cellStyle name="Normal 60 4 5 3 4" xfId="36980" xr:uid="{00000000-0005-0000-0000-000075900000}"/>
    <cellStyle name="Normal 60 4 5 3 5" xfId="36981" xr:uid="{00000000-0005-0000-0000-000076900000}"/>
    <cellStyle name="Normal 60 4 5 3 6" xfId="36982" xr:uid="{00000000-0005-0000-0000-000077900000}"/>
    <cellStyle name="Normal 60 4 5 4" xfId="36983" xr:uid="{00000000-0005-0000-0000-000078900000}"/>
    <cellStyle name="Normal 60 4 5 5" xfId="36984" xr:uid="{00000000-0005-0000-0000-000079900000}"/>
    <cellStyle name="Normal 60 4 5 6" xfId="36985" xr:uid="{00000000-0005-0000-0000-00007A900000}"/>
    <cellStyle name="Normal 60 4 5 7" xfId="36986" xr:uid="{00000000-0005-0000-0000-00007B900000}"/>
    <cellStyle name="Normal 60 4 5 8" xfId="36987" xr:uid="{00000000-0005-0000-0000-00007C900000}"/>
    <cellStyle name="Normal 60 4 6" xfId="36988" xr:uid="{00000000-0005-0000-0000-00007D900000}"/>
    <cellStyle name="Normal 60 4 6 2" xfId="36989" xr:uid="{00000000-0005-0000-0000-00007E900000}"/>
    <cellStyle name="Normal 60 4 6 3" xfId="36990" xr:uid="{00000000-0005-0000-0000-00007F900000}"/>
    <cellStyle name="Normal 60 4 6 4" xfId="36991" xr:uid="{00000000-0005-0000-0000-000080900000}"/>
    <cellStyle name="Normal 60 4 6 5" xfId="36992" xr:uid="{00000000-0005-0000-0000-000081900000}"/>
    <cellStyle name="Normal 60 4 6 6" xfId="36993" xr:uid="{00000000-0005-0000-0000-000082900000}"/>
    <cellStyle name="Normal 60 4 7" xfId="36994" xr:uid="{00000000-0005-0000-0000-000083900000}"/>
    <cellStyle name="Normal 60 4 7 2" xfId="36995" xr:uid="{00000000-0005-0000-0000-000084900000}"/>
    <cellStyle name="Normal 60 4 7 3" xfId="36996" xr:uid="{00000000-0005-0000-0000-000085900000}"/>
    <cellStyle name="Normal 60 4 7 4" xfId="36997" xr:uid="{00000000-0005-0000-0000-000086900000}"/>
    <cellStyle name="Normal 60 4 7 5" xfId="36998" xr:uid="{00000000-0005-0000-0000-000087900000}"/>
    <cellStyle name="Normal 60 4 7 6" xfId="36999" xr:uid="{00000000-0005-0000-0000-000088900000}"/>
    <cellStyle name="Normal 60 4 8" xfId="37000" xr:uid="{00000000-0005-0000-0000-000089900000}"/>
    <cellStyle name="Normal 60 4 9" xfId="37001" xr:uid="{00000000-0005-0000-0000-00008A900000}"/>
    <cellStyle name="Normal 60 5" xfId="37002" xr:uid="{00000000-0005-0000-0000-00008B900000}"/>
    <cellStyle name="Normal 60 5 10" xfId="37003" xr:uid="{00000000-0005-0000-0000-00008C900000}"/>
    <cellStyle name="Normal 60 5 11" xfId="37004" xr:uid="{00000000-0005-0000-0000-00008D900000}"/>
    <cellStyle name="Normal 60 5 2" xfId="37005" xr:uid="{00000000-0005-0000-0000-00008E900000}"/>
    <cellStyle name="Normal 60 5 2 2" xfId="37006" xr:uid="{00000000-0005-0000-0000-00008F900000}"/>
    <cellStyle name="Normal 60 5 2 2 2" xfId="37007" xr:uid="{00000000-0005-0000-0000-000090900000}"/>
    <cellStyle name="Normal 60 5 2 2 3" xfId="37008" xr:uid="{00000000-0005-0000-0000-000091900000}"/>
    <cellStyle name="Normal 60 5 2 2 4" xfId="37009" xr:uid="{00000000-0005-0000-0000-000092900000}"/>
    <cellStyle name="Normal 60 5 2 2 5" xfId="37010" xr:uid="{00000000-0005-0000-0000-000093900000}"/>
    <cellStyle name="Normal 60 5 2 2 6" xfId="37011" xr:uid="{00000000-0005-0000-0000-000094900000}"/>
    <cellStyle name="Normal 60 5 2 3" xfId="37012" xr:uid="{00000000-0005-0000-0000-000095900000}"/>
    <cellStyle name="Normal 60 5 2 3 2" xfId="37013" xr:uid="{00000000-0005-0000-0000-000096900000}"/>
    <cellStyle name="Normal 60 5 2 3 3" xfId="37014" xr:uid="{00000000-0005-0000-0000-000097900000}"/>
    <cellStyle name="Normal 60 5 2 3 4" xfId="37015" xr:uid="{00000000-0005-0000-0000-000098900000}"/>
    <cellStyle name="Normal 60 5 2 3 5" xfId="37016" xr:uid="{00000000-0005-0000-0000-000099900000}"/>
    <cellStyle name="Normal 60 5 2 3 6" xfId="37017" xr:uid="{00000000-0005-0000-0000-00009A900000}"/>
    <cellStyle name="Normal 60 5 2 4" xfId="37018" xr:uid="{00000000-0005-0000-0000-00009B900000}"/>
    <cellStyle name="Normal 60 5 2 5" xfId="37019" xr:uid="{00000000-0005-0000-0000-00009C900000}"/>
    <cellStyle name="Normal 60 5 2 6" xfId="37020" xr:uid="{00000000-0005-0000-0000-00009D900000}"/>
    <cellStyle name="Normal 60 5 2 7" xfId="37021" xr:uid="{00000000-0005-0000-0000-00009E900000}"/>
    <cellStyle name="Normal 60 5 2 8" xfId="37022" xr:uid="{00000000-0005-0000-0000-00009F900000}"/>
    <cellStyle name="Normal 60 5 3" xfId="37023" xr:uid="{00000000-0005-0000-0000-0000A0900000}"/>
    <cellStyle name="Normal 60 5 3 2" xfId="37024" xr:uid="{00000000-0005-0000-0000-0000A1900000}"/>
    <cellStyle name="Normal 60 5 3 2 2" xfId="37025" xr:uid="{00000000-0005-0000-0000-0000A2900000}"/>
    <cellStyle name="Normal 60 5 3 2 3" xfId="37026" xr:uid="{00000000-0005-0000-0000-0000A3900000}"/>
    <cellStyle name="Normal 60 5 3 2 4" xfId="37027" xr:uid="{00000000-0005-0000-0000-0000A4900000}"/>
    <cellStyle name="Normal 60 5 3 2 5" xfId="37028" xr:uid="{00000000-0005-0000-0000-0000A5900000}"/>
    <cellStyle name="Normal 60 5 3 2 6" xfId="37029" xr:uid="{00000000-0005-0000-0000-0000A6900000}"/>
    <cellStyle name="Normal 60 5 3 3" xfId="37030" xr:uid="{00000000-0005-0000-0000-0000A7900000}"/>
    <cellStyle name="Normal 60 5 3 3 2" xfId="37031" xr:uid="{00000000-0005-0000-0000-0000A8900000}"/>
    <cellStyle name="Normal 60 5 3 3 3" xfId="37032" xr:uid="{00000000-0005-0000-0000-0000A9900000}"/>
    <cellStyle name="Normal 60 5 3 3 4" xfId="37033" xr:uid="{00000000-0005-0000-0000-0000AA900000}"/>
    <cellStyle name="Normal 60 5 3 3 5" xfId="37034" xr:uid="{00000000-0005-0000-0000-0000AB900000}"/>
    <cellStyle name="Normal 60 5 3 3 6" xfId="37035" xr:uid="{00000000-0005-0000-0000-0000AC900000}"/>
    <cellStyle name="Normal 60 5 3 4" xfId="37036" xr:uid="{00000000-0005-0000-0000-0000AD900000}"/>
    <cellStyle name="Normal 60 5 3 5" xfId="37037" xr:uid="{00000000-0005-0000-0000-0000AE900000}"/>
    <cellStyle name="Normal 60 5 3 6" xfId="37038" xr:uid="{00000000-0005-0000-0000-0000AF900000}"/>
    <cellStyle name="Normal 60 5 3 7" xfId="37039" xr:uid="{00000000-0005-0000-0000-0000B0900000}"/>
    <cellStyle name="Normal 60 5 3 8" xfId="37040" xr:uid="{00000000-0005-0000-0000-0000B1900000}"/>
    <cellStyle name="Normal 60 5 4" xfId="37041" xr:uid="{00000000-0005-0000-0000-0000B2900000}"/>
    <cellStyle name="Normal 60 5 4 2" xfId="37042" xr:uid="{00000000-0005-0000-0000-0000B3900000}"/>
    <cellStyle name="Normal 60 5 4 2 2" xfId="37043" xr:uid="{00000000-0005-0000-0000-0000B4900000}"/>
    <cellStyle name="Normal 60 5 4 2 3" xfId="37044" xr:uid="{00000000-0005-0000-0000-0000B5900000}"/>
    <cellStyle name="Normal 60 5 4 2 4" xfId="37045" xr:uid="{00000000-0005-0000-0000-0000B6900000}"/>
    <cellStyle name="Normal 60 5 4 2 5" xfId="37046" xr:uid="{00000000-0005-0000-0000-0000B7900000}"/>
    <cellStyle name="Normal 60 5 4 2 6" xfId="37047" xr:uid="{00000000-0005-0000-0000-0000B8900000}"/>
    <cellStyle name="Normal 60 5 4 3" xfId="37048" xr:uid="{00000000-0005-0000-0000-0000B9900000}"/>
    <cellStyle name="Normal 60 5 4 3 2" xfId="37049" xr:uid="{00000000-0005-0000-0000-0000BA900000}"/>
    <cellStyle name="Normal 60 5 4 3 3" xfId="37050" xr:uid="{00000000-0005-0000-0000-0000BB900000}"/>
    <cellStyle name="Normal 60 5 4 3 4" xfId="37051" xr:uid="{00000000-0005-0000-0000-0000BC900000}"/>
    <cellStyle name="Normal 60 5 4 3 5" xfId="37052" xr:uid="{00000000-0005-0000-0000-0000BD900000}"/>
    <cellStyle name="Normal 60 5 4 3 6" xfId="37053" xr:uid="{00000000-0005-0000-0000-0000BE900000}"/>
    <cellStyle name="Normal 60 5 4 4" xfId="37054" xr:uid="{00000000-0005-0000-0000-0000BF900000}"/>
    <cellStyle name="Normal 60 5 4 5" xfId="37055" xr:uid="{00000000-0005-0000-0000-0000C0900000}"/>
    <cellStyle name="Normal 60 5 4 6" xfId="37056" xr:uid="{00000000-0005-0000-0000-0000C1900000}"/>
    <cellStyle name="Normal 60 5 4 7" xfId="37057" xr:uid="{00000000-0005-0000-0000-0000C2900000}"/>
    <cellStyle name="Normal 60 5 4 8" xfId="37058" xr:uid="{00000000-0005-0000-0000-0000C3900000}"/>
    <cellStyle name="Normal 60 5 5" xfId="37059" xr:uid="{00000000-0005-0000-0000-0000C4900000}"/>
    <cellStyle name="Normal 60 5 5 2" xfId="37060" xr:uid="{00000000-0005-0000-0000-0000C5900000}"/>
    <cellStyle name="Normal 60 5 5 3" xfId="37061" xr:uid="{00000000-0005-0000-0000-0000C6900000}"/>
    <cellStyle name="Normal 60 5 5 4" xfId="37062" xr:uid="{00000000-0005-0000-0000-0000C7900000}"/>
    <cellStyle name="Normal 60 5 5 5" xfId="37063" xr:uid="{00000000-0005-0000-0000-0000C8900000}"/>
    <cellStyle name="Normal 60 5 5 6" xfId="37064" xr:uid="{00000000-0005-0000-0000-0000C9900000}"/>
    <cellStyle name="Normal 60 5 6" xfId="37065" xr:uid="{00000000-0005-0000-0000-0000CA900000}"/>
    <cellStyle name="Normal 60 5 6 2" xfId="37066" xr:uid="{00000000-0005-0000-0000-0000CB900000}"/>
    <cellStyle name="Normal 60 5 6 3" xfId="37067" xr:uid="{00000000-0005-0000-0000-0000CC900000}"/>
    <cellStyle name="Normal 60 5 6 4" xfId="37068" xr:uid="{00000000-0005-0000-0000-0000CD900000}"/>
    <cellStyle name="Normal 60 5 6 5" xfId="37069" xr:uid="{00000000-0005-0000-0000-0000CE900000}"/>
    <cellStyle name="Normal 60 5 6 6" xfId="37070" xr:uid="{00000000-0005-0000-0000-0000CF900000}"/>
    <cellStyle name="Normal 60 5 7" xfId="37071" xr:uid="{00000000-0005-0000-0000-0000D0900000}"/>
    <cellStyle name="Normal 60 5 8" xfId="37072" xr:uid="{00000000-0005-0000-0000-0000D1900000}"/>
    <cellStyle name="Normal 60 5 9" xfId="37073" xr:uid="{00000000-0005-0000-0000-0000D2900000}"/>
    <cellStyle name="Normal 60 6" xfId="37074" xr:uid="{00000000-0005-0000-0000-0000D3900000}"/>
    <cellStyle name="Normal 60 6 2" xfId="37075" xr:uid="{00000000-0005-0000-0000-0000D4900000}"/>
    <cellStyle name="Normal 60 6 2 2" xfId="37076" xr:uid="{00000000-0005-0000-0000-0000D5900000}"/>
    <cellStyle name="Normal 60 6 2 3" xfId="37077" xr:uid="{00000000-0005-0000-0000-0000D6900000}"/>
    <cellStyle name="Normal 60 6 2 4" xfId="37078" xr:uid="{00000000-0005-0000-0000-0000D7900000}"/>
    <cellStyle name="Normal 60 6 2 5" xfId="37079" xr:uid="{00000000-0005-0000-0000-0000D8900000}"/>
    <cellStyle name="Normal 60 6 2 6" xfId="37080" xr:uid="{00000000-0005-0000-0000-0000D9900000}"/>
    <cellStyle name="Normal 60 6 3" xfId="37081" xr:uid="{00000000-0005-0000-0000-0000DA900000}"/>
    <cellStyle name="Normal 60 6 3 2" xfId="37082" xr:uid="{00000000-0005-0000-0000-0000DB900000}"/>
    <cellStyle name="Normal 60 6 3 3" xfId="37083" xr:uid="{00000000-0005-0000-0000-0000DC900000}"/>
    <cellStyle name="Normal 60 6 3 4" xfId="37084" xr:uid="{00000000-0005-0000-0000-0000DD900000}"/>
    <cellStyle name="Normal 60 6 3 5" xfId="37085" xr:uid="{00000000-0005-0000-0000-0000DE900000}"/>
    <cellStyle name="Normal 60 6 3 6" xfId="37086" xr:uid="{00000000-0005-0000-0000-0000DF900000}"/>
    <cellStyle name="Normal 60 6 4" xfId="37087" xr:uid="{00000000-0005-0000-0000-0000E0900000}"/>
    <cellStyle name="Normal 60 6 5" xfId="37088" xr:uid="{00000000-0005-0000-0000-0000E1900000}"/>
    <cellStyle name="Normal 60 6 6" xfId="37089" xr:uid="{00000000-0005-0000-0000-0000E2900000}"/>
    <cellStyle name="Normal 60 6 7" xfId="37090" xr:uid="{00000000-0005-0000-0000-0000E3900000}"/>
    <cellStyle name="Normal 60 6 8" xfId="37091" xr:uid="{00000000-0005-0000-0000-0000E4900000}"/>
    <cellStyle name="Normal 60 7" xfId="37092" xr:uid="{00000000-0005-0000-0000-0000E5900000}"/>
    <cellStyle name="Normal 60 7 2" xfId="37093" xr:uid="{00000000-0005-0000-0000-0000E6900000}"/>
    <cellStyle name="Normal 60 7 2 2" xfId="37094" xr:uid="{00000000-0005-0000-0000-0000E7900000}"/>
    <cellStyle name="Normal 60 7 2 3" xfId="37095" xr:uid="{00000000-0005-0000-0000-0000E8900000}"/>
    <cellStyle name="Normal 60 7 2 4" xfId="37096" xr:uid="{00000000-0005-0000-0000-0000E9900000}"/>
    <cellStyle name="Normal 60 7 2 5" xfId="37097" xr:uid="{00000000-0005-0000-0000-0000EA900000}"/>
    <cellStyle name="Normal 60 7 2 6" xfId="37098" xr:uid="{00000000-0005-0000-0000-0000EB900000}"/>
    <cellStyle name="Normal 60 7 3" xfId="37099" xr:uid="{00000000-0005-0000-0000-0000EC900000}"/>
    <cellStyle name="Normal 60 7 3 2" xfId="37100" xr:uid="{00000000-0005-0000-0000-0000ED900000}"/>
    <cellStyle name="Normal 60 7 3 3" xfId="37101" xr:uid="{00000000-0005-0000-0000-0000EE900000}"/>
    <cellStyle name="Normal 60 7 3 4" xfId="37102" xr:uid="{00000000-0005-0000-0000-0000EF900000}"/>
    <cellStyle name="Normal 60 7 3 5" xfId="37103" xr:uid="{00000000-0005-0000-0000-0000F0900000}"/>
    <cellStyle name="Normal 60 7 3 6" xfId="37104" xr:uid="{00000000-0005-0000-0000-0000F1900000}"/>
    <cellStyle name="Normal 60 7 4" xfId="37105" xr:uid="{00000000-0005-0000-0000-0000F2900000}"/>
    <cellStyle name="Normal 60 7 5" xfId="37106" xr:uid="{00000000-0005-0000-0000-0000F3900000}"/>
    <cellStyle name="Normal 60 7 6" xfId="37107" xr:uid="{00000000-0005-0000-0000-0000F4900000}"/>
    <cellStyle name="Normal 60 7 7" xfId="37108" xr:uid="{00000000-0005-0000-0000-0000F5900000}"/>
    <cellStyle name="Normal 60 7 8" xfId="37109" xr:uid="{00000000-0005-0000-0000-0000F6900000}"/>
    <cellStyle name="Normal 60 8" xfId="37110" xr:uid="{00000000-0005-0000-0000-0000F7900000}"/>
    <cellStyle name="Normal 60 8 2" xfId="37111" xr:uid="{00000000-0005-0000-0000-0000F8900000}"/>
    <cellStyle name="Normal 60 8 2 2" xfId="37112" xr:uid="{00000000-0005-0000-0000-0000F9900000}"/>
    <cellStyle name="Normal 60 8 2 3" xfId="37113" xr:uid="{00000000-0005-0000-0000-0000FA900000}"/>
    <cellStyle name="Normal 60 8 2 4" xfId="37114" xr:uid="{00000000-0005-0000-0000-0000FB900000}"/>
    <cellStyle name="Normal 60 8 2 5" xfId="37115" xr:uid="{00000000-0005-0000-0000-0000FC900000}"/>
    <cellStyle name="Normal 60 8 2 6" xfId="37116" xr:uid="{00000000-0005-0000-0000-0000FD900000}"/>
    <cellStyle name="Normal 60 8 3" xfId="37117" xr:uid="{00000000-0005-0000-0000-0000FE900000}"/>
    <cellStyle name="Normal 60 8 3 2" xfId="37118" xr:uid="{00000000-0005-0000-0000-0000FF900000}"/>
    <cellStyle name="Normal 60 8 3 3" xfId="37119" xr:uid="{00000000-0005-0000-0000-000000910000}"/>
    <cellStyle name="Normal 60 8 3 4" xfId="37120" xr:uid="{00000000-0005-0000-0000-000001910000}"/>
    <cellStyle name="Normal 60 8 3 5" xfId="37121" xr:uid="{00000000-0005-0000-0000-000002910000}"/>
    <cellStyle name="Normal 60 8 3 6" xfId="37122" xr:uid="{00000000-0005-0000-0000-000003910000}"/>
    <cellStyle name="Normal 60 8 4" xfId="37123" xr:uid="{00000000-0005-0000-0000-000004910000}"/>
    <cellStyle name="Normal 60 8 5" xfId="37124" xr:uid="{00000000-0005-0000-0000-000005910000}"/>
    <cellStyle name="Normal 60 8 6" xfId="37125" xr:uid="{00000000-0005-0000-0000-000006910000}"/>
    <cellStyle name="Normal 60 8 7" xfId="37126" xr:uid="{00000000-0005-0000-0000-000007910000}"/>
    <cellStyle name="Normal 60 8 8" xfId="37127" xr:uid="{00000000-0005-0000-0000-000008910000}"/>
    <cellStyle name="Normal 60 9" xfId="37128" xr:uid="{00000000-0005-0000-0000-000009910000}"/>
    <cellStyle name="Normal 60 9 2" xfId="37129" xr:uid="{00000000-0005-0000-0000-00000A910000}"/>
    <cellStyle name="Normal 60 9 3" xfId="37130" xr:uid="{00000000-0005-0000-0000-00000B910000}"/>
    <cellStyle name="Normal 60 9 4" xfId="37131" xr:uid="{00000000-0005-0000-0000-00000C910000}"/>
    <cellStyle name="Normal 60 9 5" xfId="37132" xr:uid="{00000000-0005-0000-0000-00000D910000}"/>
    <cellStyle name="Normal 60 9 6" xfId="37133" xr:uid="{00000000-0005-0000-0000-00000E910000}"/>
    <cellStyle name="Normal 61" xfId="37134" xr:uid="{00000000-0005-0000-0000-00000F910000}"/>
    <cellStyle name="Normal 61 10" xfId="37135" xr:uid="{00000000-0005-0000-0000-000010910000}"/>
    <cellStyle name="Normal 61 10 2" xfId="37136" xr:uid="{00000000-0005-0000-0000-000011910000}"/>
    <cellStyle name="Normal 61 10 3" xfId="37137" xr:uid="{00000000-0005-0000-0000-000012910000}"/>
    <cellStyle name="Normal 61 10 4" xfId="37138" xr:uid="{00000000-0005-0000-0000-000013910000}"/>
    <cellStyle name="Normal 61 10 5" xfId="37139" xr:uid="{00000000-0005-0000-0000-000014910000}"/>
    <cellStyle name="Normal 61 10 6" xfId="37140" xr:uid="{00000000-0005-0000-0000-000015910000}"/>
    <cellStyle name="Normal 61 11" xfId="37141" xr:uid="{00000000-0005-0000-0000-000016910000}"/>
    <cellStyle name="Normal 61 12" xfId="37142" xr:uid="{00000000-0005-0000-0000-000017910000}"/>
    <cellStyle name="Normal 61 13" xfId="37143" xr:uid="{00000000-0005-0000-0000-000018910000}"/>
    <cellStyle name="Normal 61 14" xfId="37144" xr:uid="{00000000-0005-0000-0000-000019910000}"/>
    <cellStyle name="Normal 61 15" xfId="37145" xr:uid="{00000000-0005-0000-0000-00001A910000}"/>
    <cellStyle name="Normal 61 2" xfId="37146" xr:uid="{00000000-0005-0000-0000-00001B910000}"/>
    <cellStyle name="Normal 61 2 10" xfId="37147" xr:uid="{00000000-0005-0000-0000-00001C910000}"/>
    <cellStyle name="Normal 61 2 11" xfId="37148" xr:uid="{00000000-0005-0000-0000-00001D910000}"/>
    <cellStyle name="Normal 61 2 12" xfId="37149" xr:uid="{00000000-0005-0000-0000-00001E910000}"/>
    <cellStyle name="Normal 61 2 13" xfId="37150" xr:uid="{00000000-0005-0000-0000-00001F910000}"/>
    <cellStyle name="Normal 61 2 14" xfId="37151" xr:uid="{00000000-0005-0000-0000-000020910000}"/>
    <cellStyle name="Normal 61 2 2" xfId="37152" xr:uid="{00000000-0005-0000-0000-000021910000}"/>
    <cellStyle name="Normal 61 2 2 10" xfId="37153" xr:uid="{00000000-0005-0000-0000-000022910000}"/>
    <cellStyle name="Normal 61 2 2 11" xfId="37154" xr:uid="{00000000-0005-0000-0000-000023910000}"/>
    <cellStyle name="Normal 61 2 2 12" xfId="37155" xr:uid="{00000000-0005-0000-0000-000024910000}"/>
    <cellStyle name="Normal 61 2 2 2" xfId="37156" xr:uid="{00000000-0005-0000-0000-000025910000}"/>
    <cellStyle name="Normal 61 2 2 2 10" xfId="37157" xr:uid="{00000000-0005-0000-0000-000026910000}"/>
    <cellStyle name="Normal 61 2 2 2 11" xfId="37158" xr:uid="{00000000-0005-0000-0000-000027910000}"/>
    <cellStyle name="Normal 61 2 2 2 2" xfId="37159" xr:uid="{00000000-0005-0000-0000-000028910000}"/>
    <cellStyle name="Normal 61 2 2 2 2 2" xfId="37160" xr:uid="{00000000-0005-0000-0000-000029910000}"/>
    <cellStyle name="Normal 61 2 2 2 2 2 2" xfId="37161" xr:uid="{00000000-0005-0000-0000-00002A910000}"/>
    <cellStyle name="Normal 61 2 2 2 2 2 3" xfId="37162" xr:uid="{00000000-0005-0000-0000-00002B910000}"/>
    <cellStyle name="Normal 61 2 2 2 2 2 4" xfId="37163" xr:uid="{00000000-0005-0000-0000-00002C910000}"/>
    <cellStyle name="Normal 61 2 2 2 2 2 5" xfId="37164" xr:uid="{00000000-0005-0000-0000-00002D910000}"/>
    <cellStyle name="Normal 61 2 2 2 2 2 6" xfId="37165" xr:uid="{00000000-0005-0000-0000-00002E910000}"/>
    <cellStyle name="Normal 61 2 2 2 2 3" xfId="37166" xr:uid="{00000000-0005-0000-0000-00002F910000}"/>
    <cellStyle name="Normal 61 2 2 2 2 3 2" xfId="37167" xr:uid="{00000000-0005-0000-0000-000030910000}"/>
    <cellStyle name="Normal 61 2 2 2 2 3 3" xfId="37168" xr:uid="{00000000-0005-0000-0000-000031910000}"/>
    <cellStyle name="Normal 61 2 2 2 2 3 4" xfId="37169" xr:uid="{00000000-0005-0000-0000-000032910000}"/>
    <cellStyle name="Normal 61 2 2 2 2 3 5" xfId="37170" xr:uid="{00000000-0005-0000-0000-000033910000}"/>
    <cellStyle name="Normal 61 2 2 2 2 3 6" xfId="37171" xr:uid="{00000000-0005-0000-0000-000034910000}"/>
    <cellStyle name="Normal 61 2 2 2 2 4" xfId="37172" xr:uid="{00000000-0005-0000-0000-000035910000}"/>
    <cellStyle name="Normal 61 2 2 2 2 5" xfId="37173" xr:uid="{00000000-0005-0000-0000-000036910000}"/>
    <cellStyle name="Normal 61 2 2 2 2 6" xfId="37174" xr:uid="{00000000-0005-0000-0000-000037910000}"/>
    <cellStyle name="Normal 61 2 2 2 2 7" xfId="37175" xr:uid="{00000000-0005-0000-0000-000038910000}"/>
    <cellStyle name="Normal 61 2 2 2 2 8" xfId="37176" xr:uid="{00000000-0005-0000-0000-000039910000}"/>
    <cellStyle name="Normal 61 2 2 2 3" xfId="37177" xr:uid="{00000000-0005-0000-0000-00003A910000}"/>
    <cellStyle name="Normal 61 2 2 2 3 2" xfId="37178" xr:uid="{00000000-0005-0000-0000-00003B910000}"/>
    <cellStyle name="Normal 61 2 2 2 3 2 2" xfId="37179" xr:uid="{00000000-0005-0000-0000-00003C910000}"/>
    <cellStyle name="Normal 61 2 2 2 3 2 3" xfId="37180" xr:uid="{00000000-0005-0000-0000-00003D910000}"/>
    <cellStyle name="Normal 61 2 2 2 3 2 4" xfId="37181" xr:uid="{00000000-0005-0000-0000-00003E910000}"/>
    <cellStyle name="Normal 61 2 2 2 3 2 5" xfId="37182" xr:uid="{00000000-0005-0000-0000-00003F910000}"/>
    <cellStyle name="Normal 61 2 2 2 3 2 6" xfId="37183" xr:uid="{00000000-0005-0000-0000-000040910000}"/>
    <cellStyle name="Normal 61 2 2 2 3 3" xfId="37184" xr:uid="{00000000-0005-0000-0000-000041910000}"/>
    <cellStyle name="Normal 61 2 2 2 3 3 2" xfId="37185" xr:uid="{00000000-0005-0000-0000-000042910000}"/>
    <cellStyle name="Normal 61 2 2 2 3 3 3" xfId="37186" xr:uid="{00000000-0005-0000-0000-000043910000}"/>
    <cellStyle name="Normal 61 2 2 2 3 3 4" xfId="37187" xr:uid="{00000000-0005-0000-0000-000044910000}"/>
    <cellStyle name="Normal 61 2 2 2 3 3 5" xfId="37188" xr:uid="{00000000-0005-0000-0000-000045910000}"/>
    <cellStyle name="Normal 61 2 2 2 3 3 6" xfId="37189" xr:uid="{00000000-0005-0000-0000-000046910000}"/>
    <cellStyle name="Normal 61 2 2 2 3 4" xfId="37190" xr:uid="{00000000-0005-0000-0000-000047910000}"/>
    <cellStyle name="Normal 61 2 2 2 3 5" xfId="37191" xr:uid="{00000000-0005-0000-0000-000048910000}"/>
    <cellStyle name="Normal 61 2 2 2 3 6" xfId="37192" xr:uid="{00000000-0005-0000-0000-000049910000}"/>
    <cellStyle name="Normal 61 2 2 2 3 7" xfId="37193" xr:uid="{00000000-0005-0000-0000-00004A910000}"/>
    <cellStyle name="Normal 61 2 2 2 3 8" xfId="37194" xr:uid="{00000000-0005-0000-0000-00004B910000}"/>
    <cellStyle name="Normal 61 2 2 2 4" xfId="37195" xr:uid="{00000000-0005-0000-0000-00004C910000}"/>
    <cellStyle name="Normal 61 2 2 2 4 2" xfId="37196" xr:uid="{00000000-0005-0000-0000-00004D910000}"/>
    <cellStyle name="Normal 61 2 2 2 4 2 2" xfId="37197" xr:uid="{00000000-0005-0000-0000-00004E910000}"/>
    <cellStyle name="Normal 61 2 2 2 4 2 3" xfId="37198" xr:uid="{00000000-0005-0000-0000-00004F910000}"/>
    <cellStyle name="Normal 61 2 2 2 4 2 4" xfId="37199" xr:uid="{00000000-0005-0000-0000-000050910000}"/>
    <cellStyle name="Normal 61 2 2 2 4 2 5" xfId="37200" xr:uid="{00000000-0005-0000-0000-000051910000}"/>
    <cellStyle name="Normal 61 2 2 2 4 2 6" xfId="37201" xr:uid="{00000000-0005-0000-0000-000052910000}"/>
    <cellStyle name="Normal 61 2 2 2 4 3" xfId="37202" xr:uid="{00000000-0005-0000-0000-000053910000}"/>
    <cellStyle name="Normal 61 2 2 2 4 3 2" xfId="37203" xr:uid="{00000000-0005-0000-0000-000054910000}"/>
    <cellStyle name="Normal 61 2 2 2 4 3 3" xfId="37204" xr:uid="{00000000-0005-0000-0000-000055910000}"/>
    <cellStyle name="Normal 61 2 2 2 4 3 4" xfId="37205" xr:uid="{00000000-0005-0000-0000-000056910000}"/>
    <cellStyle name="Normal 61 2 2 2 4 3 5" xfId="37206" xr:uid="{00000000-0005-0000-0000-000057910000}"/>
    <cellStyle name="Normal 61 2 2 2 4 3 6" xfId="37207" xr:uid="{00000000-0005-0000-0000-000058910000}"/>
    <cellStyle name="Normal 61 2 2 2 4 4" xfId="37208" xr:uid="{00000000-0005-0000-0000-000059910000}"/>
    <cellStyle name="Normal 61 2 2 2 4 5" xfId="37209" xr:uid="{00000000-0005-0000-0000-00005A910000}"/>
    <cellStyle name="Normal 61 2 2 2 4 6" xfId="37210" xr:uid="{00000000-0005-0000-0000-00005B910000}"/>
    <cellStyle name="Normal 61 2 2 2 4 7" xfId="37211" xr:uid="{00000000-0005-0000-0000-00005C910000}"/>
    <cellStyle name="Normal 61 2 2 2 4 8" xfId="37212" xr:uid="{00000000-0005-0000-0000-00005D910000}"/>
    <cellStyle name="Normal 61 2 2 2 5" xfId="37213" xr:uid="{00000000-0005-0000-0000-00005E910000}"/>
    <cellStyle name="Normal 61 2 2 2 5 2" xfId="37214" xr:uid="{00000000-0005-0000-0000-00005F910000}"/>
    <cellStyle name="Normal 61 2 2 2 5 3" xfId="37215" xr:uid="{00000000-0005-0000-0000-000060910000}"/>
    <cellStyle name="Normal 61 2 2 2 5 4" xfId="37216" xr:uid="{00000000-0005-0000-0000-000061910000}"/>
    <cellStyle name="Normal 61 2 2 2 5 5" xfId="37217" xr:uid="{00000000-0005-0000-0000-000062910000}"/>
    <cellStyle name="Normal 61 2 2 2 5 6" xfId="37218" xr:uid="{00000000-0005-0000-0000-000063910000}"/>
    <cellStyle name="Normal 61 2 2 2 6" xfId="37219" xr:uid="{00000000-0005-0000-0000-000064910000}"/>
    <cellStyle name="Normal 61 2 2 2 6 2" xfId="37220" xr:uid="{00000000-0005-0000-0000-000065910000}"/>
    <cellStyle name="Normal 61 2 2 2 6 3" xfId="37221" xr:uid="{00000000-0005-0000-0000-000066910000}"/>
    <cellStyle name="Normal 61 2 2 2 6 4" xfId="37222" xr:uid="{00000000-0005-0000-0000-000067910000}"/>
    <cellStyle name="Normal 61 2 2 2 6 5" xfId="37223" xr:uid="{00000000-0005-0000-0000-000068910000}"/>
    <cellStyle name="Normal 61 2 2 2 6 6" xfId="37224" xr:uid="{00000000-0005-0000-0000-000069910000}"/>
    <cellStyle name="Normal 61 2 2 2 7" xfId="37225" xr:uid="{00000000-0005-0000-0000-00006A910000}"/>
    <cellStyle name="Normal 61 2 2 2 8" xfId="37226" xr:uid="{00000000-0005-0000-0000-00006B910000}"/>
    <cellStyle name="Normal 61 2 2 2 9" xfId="37227" xr:uid="{00000000-0005-0000-0000-00006C910000}"/>
    <cellStyle name="Normal 61 2 2 3" xfId="37228" xr:uid="{00000000-0005-0000-0000-00006D910000}"/>
    <cellStyle name="Normal 61 2 2 3 2" xfId="37229" xr:uid="{00000000-0005-0000-0000-00006E910000}"/>
    <cellStyle name="Normal 61 2 2 3 2 2" xfId="37230" xr:uid="{00000000-0005-0000-0000-00006F910000}"/>
    <cellStyle name="Normal 61 2 2 3 2 3" xfId="37231" xr:uid="{00000000-0005-0000-0000-000070910000}"/>
    <cellStyle name="Normal 61 2 2 3 2 4" xfId="37232" xr:uid="{00000000-0005-0000-0000-000071910000}"/>
    <cellStyle name="Normal 61 2 2 3 2 5" xfId="37233" xr:uid="{00000000-0005-0000-0000-000072910000}"/>
    <cellStyle name="Normal 61 2 2 3 2 6" xfId="37234" xr:uid="{00000000-0005-0000-0000-000073910000}"/>
    <cellStyle name="Normal 61 2 2 3 3" xfId="37235" xr:uid="{00000000-0005-0000-0000-000074910000}"/>
    <cellStyle name="Normal 61 2 2 3 3 2" xfId="37236" xr:uid="{00000000-0005-0000-0000-000075910000}"/>
    <cellStyle name="Normal 61 2 2 3 3 3" xfId="37237" xr:uid="{00000000-0005-0000-0000-000076910000}"/>
    <cellStyle name="Normal 61 2 2 3 3 4" xfId="37238" xr:uid="{00000000-0005-0000-0000-000077910000}"/>
    <cellStyle name="Normal 61 2 2 3 3 5" xfId="37239" xr:uid="{00000000-0005-0000-0000-000078910000}"/>
    <cellStyle name="Normal 61 2 2 3 3 6" xfId="37240" xr:uid="{00000000-0005-0000-0000-000079910000}"/>
    <cellStyle name="Normal 61 2 2 3 4" xfId="37241" xr:uid="{00000000-0005-0000-0000-00007A910000}"/>
    <cellStyle name="Normal 61 2 2 3 5" xfId="37242" xr:uid="{00000000-0005-0000-0000-00007B910000}"/>
    <cellStyle name="Normal 61 2 2 3 6" xfId="37243" xr:uid="{00000000-0005-0000-0000-00007C910000}"/>
    <cellStyle name="Normal 61 2 2 3 7" xfId="37244" xr:uid="{00000000-0005-0000-0000-00007D910000}"/>
    <cellStyle name="Normal 61 2 2 3 8" xfId="37245" xr:uid="{00000000-0005-0000-0000-00007E910000}"/>
    <cellStyle name="Normal 61 2 2 4" xfId="37246" xr:uid="{00000000-0005-0000-0000-00007F910000}"/>
    <cellStyle name="Normal 61 2 2 4 2" xfId="37247" xr:uid="{00000000-0005-0000-0000-000080910000}"/>
    <cellStyle name="Normal 61 2 2 4 2 2" xfId="37248" xr:uid="{00000000-0005-0000-0000-000081910000}"/>
    <cellStyle name="Normal 61 2 2 4 2 3" xfId="37249" xr:uid="{00000000-0005-0000-0000-000082910000}"/>
    <cellStyle name="Normal 61 2 2 4 2 4" xfId="37250" xr:uid="{00000000-0005-0000-0000-000083910000}"/>
    <cellStyle name="Normal 61 2 2 4 2 5" xfId="37251" xr:uid="{00000000-0005-0000-0000-000084910000}"/>
    <cellStyle name="Normal 61 2 2 4 2 6" xfId="37252" xr:uid="{00000000-0005-0000-0000-000085910000}"/>
    <cellStyle name="Normal 61 2 2 4 3" xfId="37253" xr:uid="{00000000-0005-0000-0000-000086910000}"/>
    <cellStyle name="Normal 61 2 2 4 3 2" xfId="37254" xr:uid="{00000000-0005-0000-0000-000087910000}"/>
    <cellStyle name="Normal 61 2 2 4 3 3" xfId="37255" xr:uid="{00000000-0005-0000-0000-000088910000}"/>
    <cellStyle name="Normal 61 2 2 4 3 4" xfId="37256" xr:uid="{00000000-0005-0000-0000-000089910000}"/>
    <cellStyle name="Normal 61 2 2 4 3 5" xfId="37257" xr:uid="{00000000-0005-0000-0000-00008A910000}"/>
    <cellStyle name="Normal 61 2 2 4 3 6" xfId="37258" xr:uid="{00000000-0005-0000-0000-00008B910000}"/>
    <cellStyle name="Normal 61 2 2 4 4" xfId="37259" xr:uid="{00000000-0005-0000-0000-00008C910000}"/>
    <cellStyle name="Normal 61 2 2 4 5" xfId="37260" xr:uid="{00000000-0005-0000-0000-00008D910000}"/>
    <cellStyle name="Normal 61 2 2 4 6" xfId="37261" xr:uid="{00000000-0005-0000-0000-00008E910000}"/>
    <cellStyle name="Normal 61 2 2 4 7" xfId="37262" xr:uid="{00000000-0005-0000-0000-00008F910000}"/>
    <cellStyle name="Normal 61 2 2 4 8" xfId="37263" xr:uid="{00000000-0005-0000-0000-000090910000}"/>
    <cellStyle name="Normal 61 2 2 5" xfId="37264" xr:uid="{00000000-0005-0000-0000-000091910000}"/>
    <cellStyle name="Normal 61 2 2 5 2" xfId="37265" xr:uid="{00000000-0005-0000-0000-000092910000}"/>
    <cellStyle name="Normal 61 2 2 5 2 2" xfId="37266" xr:uid="{00000000-0005-0000-0000-000093910000}"/>
    <cellStyle name="Normal 61 2 2 5 2 3" xfId="37267" xr:uid="{00000000-0005-0000-0000-000094910000}"/>
    <cellStyle name="Normal 61 2 2 5 2 4" xfId="37268" xr:uid="{00000000-0005-0000-0000-000095910000}"/>
    <cellStyle name="Normal 61 2 2 5 2 5" xfId="37269" xr:uid="{00000000-0005-0000-0000-000096910000}"/>
    <cellStyle name="Normal 61 2 2 5 2 6" xfId="37270" xr:uid="{00000000-0005-0000-0000-000097910000}"/>
    <cellStyle name="Normal 61 2 2 5 3" xfId="37271" xr:uid="{00000000-0005-0000-0000-000098910000}"/>
    <cellStyle name="Normal 61 2 2 5 3 2" xfId="37272" xr:uid="{00000000-0005-0000-0000-000099910000}"/>
    <cellStyle name="Normal 61 2 2 5 3 3" xfId="37273" xr:uid="{00000000-0005-0000-0000-00009A910000}"/>
    <cellStyle name="Normal 61 2 2 5 3 4" xfId="37274" xr:uid="{00000000-0005-0000-0000-00009B910000}"/>
    <cellStyle name="Normal 61 2 2 5 3 5" xfId="37275" xr:uid="{00000000-0005-0000-0000-00009C910000}"/>
    <cellStyle name="Normal 61 2 2 5 3 6" xfId="37276" xr:uid="{00000000-0005-0000-0000-00009D910000}"/>
    <cellStyle name="Normal 61 2 2 5 4" xfId="37277" xr:uid="{00000000-0005-0000-0000-00009E910000}"/>
    <cellStyle name="Normal 61 2 2 5 5" xfId="37278" xr:uid="{00000000-0005-0000-0000-00009F910000}"/>
    <cellStyle name="Normal 61 2 2 5 6" xfId="37279" xr:uid="{00000000-0005-0000-0000-0000A0910000}"/>
    <cellStyle name="Normal 61 2 2 5 7" xfId="37280" xr:uid="{00000000-0005-0000-0000-0000A1910000}"/>
    <cellStyle name="Normal 61 2 2 5 8" xfId="37281" xr:uid="{00000000-0005-0000-0000-0000A2910000}"/>
    <cellStyle name="Normal 61 2 2 6" xfId="37282" xr:uid="{00000000-0005-0000-0000-0000A3910000}"/>
    <cellStyle name="Normal 61 2 2 6 2" xfId="37283" xr:uid="{00000000-0005-0000-0000-0000A4910000}"/>
    <cellStyle name="Normal 61 2 2 6 3" xfId="37284" xr:uid="{00000000-0005-0000-0000-0000A5910000}"/>
    <cellStyle name="Normal 61 2 2 6 4" xfId="37285" xr:uid="{00000000-0005-0000-0000-0000A6910000}"/>
    <cellStyle name="Normal 61 2 2 6 5" xfId="37286" xr:uid="{00000000-0005-0000-0000-0000A7910000}"/>
    <cellStyle name="Normal 61 2 2 6 6" xfId="37287" xr:uid="{00000000-0005-0000-0000-0000A8910000}"/>
    <cellStyle name="Normal 61 2 2 7" xfId="37288" xr:uid="{00000000-0005-0000-0000-0000A9910000}"/>
    <cellStyle name="Normal 61 2 2 7 2" xfId="37289" xr:uid="{00000000-0005-0000-0000-0000AA910000}"/>
    <cellStyle name="Normal 61 2 2 7 3" xfId="37290" xr:uid="{00000000-0005-0000-0000-0000AB910000}"/>
    <cellStyle name="Normal 61 2 2 7 4" xfId="37291" xr:uid="{00000000-0005-0000-0000-0000AC910000}"/>
    <cellStyle name="Normal 61 2 2 7 5" xfId="37292" xr:uid="{00000000-0005-0000-0000-0000AD910000}"/>
    <cellStyle name="Normal 61 2 2 7 6" xfId="37293" xr:uid="{00000000-0005-0000-0000-0000AE910000}"/>
    <cellStyle name="Normal 61 2 2 8" xfId="37294" xr:uid="{00000000-0005-0000-0000-0000AF910000}"/>
    <cellStyle name="Normal 61 2 2 9" xfId="37295" xr:uid="{00000000-0005-0000-0000-0000B0910000}"/>
    <cellStyle name="Normal 61 2 3" xfId="37296" xr:uid="{00000000-0005-0000-0000-0000B1910000}"/>
    <cellStyle name="Normal 61 2 3 10" xfId="37297" xr:uid="{00000000-0005-0000-0000-0000B2910000}"/>
    <cellStyle name="Normal 61 2 3 11" xfId="37298" xr:uid="{00000000-0005-0000-0000-0000B3910000}"/>
    <cellStyle name="Normal 61 2 3 12" xfId="37299" xr:uid="{00000000-0005-0000-0000-0000B4910000}"/>
    <cellStyle name="Normal 61 2 3 2" xfId="37300" xr:uid="{00000000-0005-0000-0000-0000B5910000}"/>
    <cellStyle name="Normal 61 2 3 2 10" xfId="37301" xr:uid="{00000000-0005-0000-0000-0000B6910000}"/>
    <cellStyle name="Normal 61 2 3 2 11" xfId="37302" xr:uid="{00000000-0005-0000-0000-0000B7910000}"/>
    <cellStyle name="Normal 61 2 3 2 2" xfId="37303" xr:uid="{00000000-0005-0000-0000-0000B8910000}"/>
    <cellStyle name="Normal 61 2 3 2 2 2" xfId="37304" xr:uid="{00000000-0005-0000-0000-0000B9910000}"/>
    <cellStyle name="Normal 61 2 3 2 2 2 2" xfId="37305" xr:uid="{00000000-0005-0000-0000-0000BA910000}"/>
    <cellStyle name="Normal 61 2 3 2 2 2 3" xfId="37306" xr:uid="{00000000-0005-0000-0000-0000BB910000}"/>
    <cellStyle name="Normal 61 2 3 2 2 2 4" xfId="37307" xr:uid="{00000000-0005-0000-0000-0000BC910000}"/>
    <cellStyle name="Normal 61 2 3 2 2 2 5" xfId="37308" xr:uid="{00000000-0005-0000-0000-0000BD910000}"/>
    <cellStyle name="Normal 61 2 3 2 2 2 6" xfId="37309" xr:uid="{00000000-0005-0000-0000-0000BE910000}"/>
    <cellStyle name="Normal 61 2 3 2 2 3" xfId="37310" xr:uid="{00000000-0005-0000-0000-0000BF910000}"/>
    <cellStyle name="Normal 61 2 3 2 2 3 2" xfId="37311" xr:uid="{00000000-0005-0000-0000-0000C0910000}"/>
    <cellStyle name="Normal 61 2 3 2 2 3 3" xfId="37312" xr:uid="{00000000-0005-0000-0000-0000C1910000}"/>
    <cellStyle name="Normal 61 2 3 2 2 3 4" xfId="37313" xr:uid="{00000000-0005-0000-0000-0000C2910000}"/>
    <cellStyle name="Normal 61 2 3 2 2 3 5" xfId="37314" xr:uid="{00000000-0005-0000-0000-0000C3910000}"/>
    <cellStyle name="Normal 61 2 3 2 2 3 6" xfId="37315" xr:uid="{00000000-0005-0000-0000-0000C4910000}"/>
    <cellStyle name="Normal 61 2 3 2 2 4" xfId="37316" xr:uid="{00000000-0005-0000-0000-0000C5910000}"/>
    <cellStyle name="Normal 61 2 3 2 2 5" xfId="37317" xr:uid="{00000000-0005-0000-0000-0000C6910000}"/>
    <cellStyle name="Normal 61 2 3 2 2 6" xfId="37318" xr:uid="{00000000-0005-0000-0000-0000C7910000}"/>
    <cellStyle name="Normal 61 2 3 2 2 7" xfId="37319" xr:uid="{00000000-0005-0000-0000-0000C8910000}"/>
    <cellStyle name="Normal 61 2 3 2 2 8" xfId="37320" xr:uid="{00000000-0005-0000-0000-0000C9910000}"/>
    <cellStyle name="Normal 61 2 3 2 3" xfId="37321" xr:uid="{00000000-0005-0000-0000-0000CA910000}"/>
    <cellStyle name="Normal 61 2 3 2 3 2" xfId="37322" xr:uid="{00000000-0005-0000-0000-0000CB910000}"/>
    <cellStyle name="Normal 61 2 3 2 3 2 2" xfId="37323" xr:uid="{00000000-0005-0000-0000-0000CC910000}"/>
    <cellStyle name="Normal 61 2 3 2 3 2 3" xfId="37324" xr:uid="{00000000-0005-0000-0000-0000CD910000}"/>
    <cellStyle name="Normal 61 2 3 2 3 2 4" xfId="37325" xr:uid="{00000000-0005-0000-0000-0000CE910000}"/>
    <cellStyle name="Normal 61 2 3 2 3 2 5" xfId="37326" xr:uid="{00000000-0005-0000-0000-0000CF910000}"/>
    <cellStyle name="Normal 61 2 3 2 3 2 6" xfId="37327" xr:uid="{00000000-0005-0000-0000-0000D0910000}"/>
    <cellStyle name="Normal 61 2 3 2 3 3" xfId="37328" xr:uid="{00000000-0005-0000-0000-0000D1910000}"/>
    <cellStyle name="Normal 61 2 3 2 3 3 2" xfId="37329" xr:uid="{00000000-0005-0000-0000-0000D2910000}"/>
    <cellStyle name="Normal 61 2 3 2 3 3 3" xfId="37330" xr:uid="{00000000-0005-0000-0000-0000D3910000}"/>
    <cellStyle name="Normal 61 2 3 2 3 3 4" xfId="37331" xr:uid="{00000000-0005-0000-0000-0000D4910000}"/>
    <cellStyle name="Normal 61 2 3 2 3 3 5" xfId="37332" xr:uid="{00000000-0005-0000-0000-0000D5910000}"/>
    <cellStyle name="Normal 61 2 3 2 3 3 6" xfId="37333" xr:uid="{00000000-0005-0000-0000-0000D6910000}"/>
    <cellStyle name="Normal 61 2 3 2 3 4" xfId="37334" xr:uid="{00000000-0005-0000-0000-0000D7910000}"/>
    <cellStyle name="Normal 61 2 3 2 3 5" xfId="37335" xr:uid="{00000000-0005-0000-0000-0000D8910000}"/>
    <cellStyle name="Normal 61 2 3 2 3 6" xfId="37336" xr:uid="{00000000-0005-0000-0000-0000D9910000}"/>
    <cellStyle name="Normal 61 2 3 2 3 7" xfId="37337" xr:uid="{00000000-0005-0000-0000-0000DA910000}"/>
    <cellStyle name="Normal 61 2 3 2 3 8" xfId="37338" xr:uid="{00000000-0005-0000-0000-0000DB910000}"/>
    <cellStyle name="Normal 61 2 3 2 4" xfId="37339" xr:uid="{00000000-0005-0000-0000-0000DC910000}"/>
    <cellStyle name="Normal 61 2 3 2 4 2" xfId="37340" xr:uid="{00000000-0005-0000-0000-0000DD910000}"/>
    <cellStyle name="Normal 61 2 3 2 4 2 2" xfId="37341" xr:uid="{00000000-0005-0000-0000-0000DE910000}"/>
    <cellStyle name="Normal 61 2 3 2 4 2 3" xfId="37342" xr:uid="{00000000-0005-0000-0000-0000DF910000}"/>
    <cellStyle name="Normal 61 2 3 2 4 2 4" xfId="37343" xr:uid="{00000000-0005-0000-0000-0000E0910000}"/>
    <cellStyle name="Normal 61 2 3 2 4 2 5" xfId="37344" xr:uid="{00000000-0005-0000-0000-0000E1910000}"/>
    <cellStyle name="Normal 61 2 3 2 4 2 6" xfId="37345" xr:uid="{00000000-0005-0000-0000-0000E2910000}"/>
    <cellStyle name="Normal 61 2 3 2 4 3" xfId="37346" xr:uid="{00000000-0005-0000-0000-0000E3910000}"/>
    <cellStyle name="Normal 61 2 3 2 4 3 2" xfId="37347" xr:uid="{00000000-0005-0000-0000-0000E4910000}"/>
    <cellStyle name="Normal 61 2 3 2 4 3 3" xfId="37348" xr:uid="{00000000-0005-0000-0000-0000E5910000}"/>
    <cellStyle name="Normal 61 2 3 2 4 3 4" xfId="37349" xr:uid="{00000000-0005-0000-0000-0000E6910000}"/>
    <cellStyle name="Normal 61 2 3 2 4 3 5" xfId="37350" xr:uid="{00000000-0005-0000-0000-0000E7910000}"/>
    <cellStyle name="Normal 61 2 3 2 4 3 6" xfId="37351" xr:uid="{00000000-0005-0000-0000-0000E8910000}"/>
    <cellStyle name="Normal 61 2 3 2 4 4" xfId="37352" xr:uid="{00000000-0005-0000-0000-0000E9910000}"/>
    <cellStyle name="Normal 61 2 3 2 4 5" xfId="37353" xr:uid="{00000000-0005-0000-0000-0000EA910000}"/>
    <cellStyle name="Normal 61 2 3 2 4 6" xfId="37354" xr:uid="{00000000-0005-0000-0000-0000EB910000}"/>
    <cellStyle name="Normal 61 2 3 2 4 7" xfId="37355" xr:uid="{00000000-0005-0000-0000-0000EC910000}"/>
    <cellStyle name="Normal 61 2 3 2 4 8" xfId="37356" xr:uid="{00000000-0005-0000-0000-0000ED910000}"/>
    <cellStyle name="Normal 61 2 3 2 5" xfId="37357" xr:uid="{00000000-0005-0000-0000-0000EE910000}"/>
    <cellStyle name="Normal 61 2 3 2 5 2" xfId="37358" xr:uid="{00000000-0005-0000-0000-0000EF910000}"/>
    <cellStyle name="Normal 61 2 3 2 5 3" xfId="37359" xr:uid="{00000000-0005-0000-0000-0000F0910000}"/>
    <cellStyle name="Normal 61 2 3 2 5 4" xfId="37360" xr:uid="{00000000-0005-0000-0000-0000F1910000}"/>
    <cellStyle name="Normal 61 2 3 2 5 5" xfId="37361" xr:uid="{00000000-0005-0000-0000-0000F2910000}"/>
    <cellStyle name="Normal 61 2 3 2 5 6" xfId="37362" xr:uid="{00000000-0005-0000-0000-0000F3910000}"/>
    <cellStyle name="Normal 61 2 3 2 6" xfId="37363" xr:uid="{00000000-0005-0000-0000-0000F4910000}"/>
    <cellStyle name="Normal 61 2 3 2 6 2" xfId="37364" xr:uid="{00000000-0005-0000-0000-0000F5910000}"/>
    <cellStyle name="Normal 61 2 3 2 6 3" xfId="37365" xr:uid="{00000000-0005-0000-0000-0000F6910000}"/>
    <cellStyle name="Normal 61 2 3 2 6 4" xfId="37366" xr:uid="{00000000-0005-0000-0000-0000F7910000}"/>
    <cellStyle name="Normal 61 2 3 2 6 5" xfId="37367" xr:uid="{00000000-0005-0000-0000-0000F8910000}"/>
    <cellStyle name="Normal 61 2 3 2 6 6" xfId="37368" xr:uid="{00000000-0005-0000-0000-0000F9910000}"/>
    <cellStyle name="Normal 61 2 3 2 7" xfId="37369" xr:uid="{00000000-0005-0000-0000-0000FA910000}"/>
    <cellStyle name="Normal 61 2 3 2 8" xfId="37370" xr:uid="{00000000-0005-0000-0000-0000FB910000}"/>
    <cellStyle name="Normal 61 2 3 2 9" xfId="37371" xr:uid="{00000000-0005-0000-0000-0000FC910000}"/>
    <cellStyle name="Normal 61 2 3 3" xfId="37372" xr:uid="{00000000-0005-0000-0000-0000FD910000}"/>
    <cellStyle name="Normal 61 2 3 3 2" xfId="37373" xr:uid="{00000000-0005-0000-0000-0000FE910000}"/>
    <cellStyle name="Normal 61 2 3 3 2 2" xfId="37374" xr:uid="{00000000-0005-0000-0000-0000FF910000}"/>
    <cellStyle name="Normal 61 2 3 3 2 3" xfId="37375" xr:uid="{00000000-0005-0000-0000-000000920000}"/>
    <cellStyle name="Normal 61 2 3 3 2 4" xfId="37376" xr:uid="{00000000-0005-0000-0000-000001920000}"/>
    <cellStyle name="Normal 61 2 3 3 2 5" xfId="37377" xr:uid="{00000000-0005-0000-0000-000002920000}"/>
    <cellStyle name="Normal 61 2 3 3 2 6" xfId="37378" xr:uid="{00000000-0005-0000-0000-000003920000}"/>
    <cellStyle name="Normal 61 2 3 3 3" xfId="37379" xr:uid="{00000000-0005-0000-0000-000004920000}"/>
    <cellStyle name="Normal 61 2 3 3 3 2" xfId="37380" xr:uid="{00000000-0005-0000-0000-000005920000}"/>
    <cellStyle name="Normal 61 2 3 3 3 3" xfId="37381" xr:uid="{00000000-0005-0000-0000-000006920000}"/>
    <cellStyle name="Normal 61 2 3 3 3 4" xfId="37382" xr:uid="{00000000-0005-0000-0000-000007920000}"/>
    <cellStyle name="Normal 61 2 3 3 3 5" xfId="37383" xr:uid="{00000000-0005-0000-0000-000008920000}"/>
    <cellStyle name="Normal 61 2 3 3 3 6" xfId="37384" xr:uid="{00000000-0005-0000-0000-000009920000}"/>
    <cellStyle name="Normal 61 2 3 3 4" xfId="37385" xr:uid="{00000000-0005-0000-0000-00000A920000}"/>
    <cellStyle name="Normal 61 2 3 3 5" xfId="37386" xr:uid="{00000000-0005-0000-0000-00000B920000}"/>
    <cellStyle name="Normal 61 2 3 3 6" xfId="37387" xr:uid="{00000000-0005-0000-0000-00000C920000}"/>
    <cellStyle name="Normal 61 2 3 3 7" xfId="37388" xr:uid="{00000000-0005-0000-0000-00000D920000}"/>
    <cellStyle name="Normal 61 2 3 3 8" xfId="37389" xr:uid="{00000000-0005-0000-0000-00000E920000}"/>
    <cellStyle name="Normal 61 2 3 4" xfId="37390" xr:uid="{00000000-0005-0000-0000-00000F920000}"/>
    <cellStyle name="Normal 61 2 3 4 2" xfId="37391" xr:uid="{00000000-0005-0000-0000-000010920000}"/>
    <cellStyle name="Normal 61 2 3 4 2 2" xfId="37392" xr:uid="{00000000-0005-0000-0000-000011920000}"/>
    <cellStyle name="Normal 61 2 3 4 2 3" xfId="37393" xr:uid="{00000000-0005-0000-0000-000012920000}"/>
    <cellStyle name="Normal 61 2 3 4 2 4" xfId="37394" xr:uid="{00000000-0005-0000-0000-000013920000}"/>
    <cellStyle name="Normal 61 2 3 4 2 5" xfId="37395" xr:uid="{00000000-0005-0000-0000-000014920000}"/>
    <cellStyle name="Normal 61 2 3 4 2 6" xfId="37396" xr:uid="{00000000-0005-0000-0000-000015920000}"/>
    <cellStyle name="Normal 61 2 3 4 3" xfId="37397" xr:uid="{00000000-0005-0000-0000-000016920000}"/>
    <cellStyle name="Normal 61 2 3 4 3 2" xfId="37398" xr:uid="{00000000-0005-0000-0000-000017920000}"/>
    <cellStyle name="Normal 61 2 3 4 3 3" xfId="37399" xr:uid="{00000000-0005-0000-0000-000018920000}"/>
    <cellStyle name="Normal 61 2 3 4 3 4" xfId="37400" xr:uid="{00000000-0005-0000-0000-000019920000}"/>
    <cellStyle name="Normal 61 2 3 4 3 5" xfId="37401" xr:uid="{00000000-0005-0000-0000-00001A920000}"/>
    <cellStyle name="Normal 61 2 3 4 3 6" xfId="37402" xr:uid="{00000000-0005-0000-0000-00001B920000}"/>
    <cellStyle name="Normal 61 2 3 4 4" xfId="37403" xr:uid="{00000000-0005-0000-0000-00001C920000}"/>
    <cellStyle name="Normal 61 2 3 4 5" xfId="37404" xr:uid="{00000000-0005-0000-0000-00001D920000}"/>
    <cellStyle name="Normal 61 2 3 4 6" xfId="37405" xr:uid="{00000000-0005-0000-0000-00001E920000}"/>
    <cellStyle name="Normal 61 2 3 4 7" xfId="37406" xr:uid="{00000000-0005-0000-0000-00001F920000}"/>
    <cellStyle name="Normal 61 2 3 4 8" xfId="37407" xr:uid="{00000000-0005-0000-0000-000020920000}"/>
    <cellStyle name="Normal 61 2 3 5" xfId="37408" xr:uid="{00000000-0005-0000-0000-000021920000}"/>
    <cellStyle name="Normal 61 2 3 5 2" xfId="37409" xr:uid="{00000000-0005-0000-0000-000022920000}"/>
    <cellStyle name="Normal 61 2 3 5 2 2" xfId="37410" xr:uid="{00000000-0005-0000-0000-000023920000}"/>
    <cellStyle name="Normal 61 2 3 5 2 3" xfId="37411" xr:uid="{00000000-0005-0000-0000-000024920000}"/>
    <cellStyle name="Normal 61 2 3 5 2 4" xfId="37412" xr:uid="{00000000-0005-0000-0000-000025920000}"/>
    <cellStyle name="Normal 61 2 3 5 2 5" xfId="37413" xr:uid="{00000000-0005-0000-0000-000026920000}"/>
    <cellStyle name="Normal 61 2 3 5 2 6" xfId="37414" xr:uid="{00000000-0005-0000-0000-000027920000}"/>
    <cellStyle name="Normal 61 2 3 5 3" xfId="37415" xr:uid="{00000000-0005-0000-0000-000028920000}"/>
    <cellStyle name="Normal 61 2 3 5 3 2" xfId="37416" xr:uid="{00000000-0005-0000-0000-000029920000}"/>
    <cellStyle name="Normal 61 2 3 5 3 3" xfId="37417" xr:uid="{00000000-0005-0000-0000-00002A920000}"/>
    <cellStyle name="Normal 61 2 3 5 3 4" xfId="37418" xr:uid="{00000000-0005-0000-0000-00002B920000}"/>
    <cellStyle name="Normal 61 2 3 5 3 5" xfId="37419" xr:uid="{00000000-0005-0000-0000-00002C920000}"/>
    <cellStyle name="Normal 61 2 3 5 3 6" xfId="37420" xr:uid="{00000000-0005-0000-0000-00002D920000}"/>
    <cellStyle name="Normal 61 2 3 5 4" xfId="37421" xr:uid="{00000000-0005-0000-0000-00002E920000}"/>
    <cellStyle name="Normal 61 2 3 5 5" xfId="37422" xr:uid="{00000000-0005-0000-0000-00002F920000}"/>
    <cellStyle name="Normal 61 2 3 5 6" xfId="37423" xr:uid="{00000000-0005-0000-0000-000030920000}"/>
    <cellStyle name="Normal 61 2 3 5 7" xfId="37424" xr:uid="{00000000-0005-0000-0000-000031920000}"/>
    <cellStyle name="Normal 61 2 3 5 8" xfId="37425" xr:uid="{00000000-0005-0000-0000-000032920000}"/>
    <cellStyle name="Normal 61 2 3 6" xfId="37426" xr:uid="{00000000-0005-0000-0000-000033920000}"/>
    <cellStyle name="Normal 61 2 3 6 2" xfId="37427" xr:uid="{00000000-0005-0000-0000-000034920000}"/>
    <cellStyle name="Normal 61 2 3 6 3" xfId="37428" xr:uid="{00000000-0005-0000-0000-000035920000}"/>
    <cellStyle name="Normal 61 2 3 6 4" xfId="37429" xr:uid="{00000000-0005-0000-0000-000036920000}"/>
    <cellStyle name="Normal 61 2 3 6 5" xfId="37430" xr:uid="{00000000-0005-0000-0000-000037920000}"/>
    <cellStyle name="Normal 61 2 3 6 6" xfId="37431" xr:uid="{00000000-0005-0000-0000-000038920000}"/>
    <cellStyle name="Normal 61 2 3 7" xfId="37432" xr:uid="{00000000-0005-0000-0000-000039920000}"/>
    <cellStyle name="Normal 61 2 3 7 2" xfId="37433" xr:uid="{00000000-0005-0000-0000-00003A920000}"/>
    <cellStyle name="Normal 61 2 3 7 3" xfId="37434" xr:uid="{00000000-0005-0000-0000-00003B920000}"/>
    <cellStyle name="Normal 61 2 3 7 4" xfId="37435" xr:uid="{00000000-0005-0000-0000-00003C920000}"/>
    <cellStyle name="Normal 61 2 3 7 5" xfId="37436" xr:uid="{00000000-0005-0000-0000-00003D920000}"/>
    <cellStyle name="Normal 61 2 3 7 6" xfId="37437" xr:uid="{00000000-0005-0000-0000-00003E920000}"/>
    <cellStyle name="Normal 61 2 3 8" xfId="37438" xr:uid="{00000000-0005-0000-0000-00003F920000}"/>
    <cellStyle name="Normal 61 2 3 9" xfId="37439" xr:uid="{00000000-0005-0000-0000-000040920000}"/>
    <cellStyle name="Normal 61 2 4" xfId="37440" xr:uid="{00000000-0005-0000-0000-000041920000}"/>
    <cellStyle name="Normal 61 2 4 10" xfId="37441" xr:uid="{00000000-0005-0000-0000-000042920000}"/>
    <cellStyle name="Normal 61 2 4 11" xfId="37442" xr:uid="{00000000-0005-0000-0000-000043920000}"/>
    <cellStyle name="Normal 61 2 4 2" xfId="37443" xr:uid="{00000000-0005-0000-0000-000044920000}"/>
    <cellStyle name="Normal 61 2 4 2 2" xfId="37444" xr:uid="{00000000-0005-0000-0000-000045920000}"/>
    <cellStyle name="Normal 61 2 4 2 2 2" xfId="37445" xr:uid="{00000000-0005-0000-0000-000046920000}"/>
    <cellStyle name="Normal 61 2 4 2 2 3" xfId="37446" xr:uid="{00000000-0005-0000-0000-000047920000}"/>
    <cellStyle name="Normal 61 2 4 2 2 4" xfId="37447" xr:uid="{00000000-0005-0000-0000-000048920000}"/>
    <cellStyle name="Normal 61 2 4 2 2 5" xfId="37448" xr:uid="{00000000-0005-0000-0000-000049920000}"/>
    <cellStyle name="Normal 61 2 4 2 2 6" xfId="37449" xr:uid="{00000000-0005-0000-0000-00004A920000}"/>
    <cellStyle name="Normal 61 2 4 2 3" xfId="37450" xr:uid="{00000000-0005-0000-0000-00004B920000}"/>
    <cellStyle name="Normal 61 2 4 2 3 2" xfId="37451" xr:uid="{00000000-0005-0000-0000-00004C920000}"/>
    <cellStyle name="Normal 61 2 4 2 3 3" xfId="37452" xr:uid="{00000000-0005-0000-0000-00004D920000}"/>
    <cellStyle name="Normal 61 2 4 2 3 4" xfId="37453" xr:uid="{00000000-0005-0000-0000-00004E920000}"/>
    <cellStyle name="Normal 61 2 4 2 3 5" xfId="37454" xr:uid="{00000000-0005-0000-0000-00004F920000}"/>
    <cellStyle name="Normal 61 2 4 2 3 6" xfId="37455" xr:uid="{00000000-0005-0000-0000-000050920000}"/>
    <cellStyle name="Normal 61 2 4 2 4" xfId="37456" xr:uid="{00000000-0005-0000-0000-000051920000}"/>
    <cellStyle name="Normal 61 2 4 2 5" xfId="37457" xr:uid="{00000000-0005-0000-0000-000052920000}"/>
    <cellStyle name="Normal 61 2 4 2 6" xfId="37458" xr:uid="{00000000-0005-0000-0000-000053920000}"/>
    <cellStyle name="Normal 61 2 4 2 7" xfId="37459" xr:uid="{00000000-0005-0000-0000-000054920000}"/>
    <cellStyle name="Normal 61 2 4 2 8" xfId="37460" xr:uid="{00000000-0005-0000-0000-000055920000}"/>
    <cellStyle name="Normal 61 2 4 3" xfId="37461" xr:uid="{00000000-0005-0000-0000-000056920000}"/>
    <cellStyle name="Normal 61 2 4 3 2" xfId="37462" xr:uid="{00000000-0005-0000-0000-000057920000}"/>
    <cellStyle name="Normal 61 2 4 3 2 2" xfId="37463" xr:uid="{00000000-0005-0000-0000-000058920000}"/>
    <cellStyle name="Normal 61 2 4 3 2 3" xfId="37464" xr:uid="{00000000-0005-0000-0000-000059920000}"/>
    <cellStyle name="Normal 61 2 4 3 2 4" xfId="37465" xr:uid="{00000000-0005-0000-0000-00005A920000}"/>
    <cellStyle name="Normal 61 2 4 3 2 5" xfId="37466" xr:uid="{00000000-0005-0000-0000-00005B920000}"/>
    <cellStyle name="Normal 61 2 4 3 2 6" xfId="37467" xr:uid="{00000000-0005-0000-0000-00005C920000}"/>
    <cellStyle name="Normal 61 2 4 3 3" xfId="37468" xr:uid="{00000000-0005-0000-0000-00005D920000}"/>
    <cellStyle name="Normal 61 2 4 3 3 2" xfId="37469" xr:uid="{00000000-0005-0000-0000-00005E920000}"/>
    <cellStyle name="Normal 61 2 4 3 3 3" xfId="37470" xr:uid="{00000000-0005-0000-0000-00005F920000}"/>
    <cellStyle name="Normal 61 2 4 3 3 4" xfId="37471" xr:uid="{00000000-0005-0000-0000-000060920000}"/>
    <cellStyle name="Normal 61 2 4 3 3 5" xfId="37472" xr:uid="{00000000-0005-0000-0000-000061920000}"/>
    <cellStyle name="Normal 61 2 4 3 3 6" xfId="37473" xr:uid="{00000000-0005-0000-0000-000062920000}"/>
    <cellStyle name="Normal 61 2 4 3 4" xfId="37474" xr:uid="{00000000-0005-0000-0000-000063920000}"/>
    <cellStyle name="Normal 61 2 4 3 5" xfId="37475" xr:uid="{00000000-0005-0000-0000-000064920000}"/>
    <cellStyle name="Normal 61 2 4 3 6" xfId="37476" xr:uid="{00000000-0005-0000-0000-000065920000}"/>
    <cellStyle name="Normal 61 2 4 3 7" xfId="37477" xr:uid="{00000000-0005-0000-0000-000066920000}"/>
    <cellStyle name="Normal 61 2 4 3 8" xfId="37478" xr:uid="{00000000-0005-0000-0000-000067920000}"/>
    <cellStyle name="Normal 61 2 4 4" xfId="37479" xr:uid="{00000000-0005-0000-0000-000068920000}"/>
    <cellStyle name="Normal 61 2 4 4 2" xfId="37480" xr:uid="{00000000-0005-0000-0000-000069920000}"/>
    <cellStyle name="Normal 61 2 4 4 2 2" xfId="37481" xr:uid="{00000000-0005-0000-0000-00006A920000}"/>
    <cellStyle name="Normal 61 2 4 4 2 3" xfId="37482" xr:uid="{00000000-0005-0000-0000-00006B920000}"/>
    <cellStyle name="Normal 61 2 4 4 2 4" xfId="37483" xr:uid="{00000000-0005-0000-0000-00006C920000}"/>
    <cellStyle name="Normal 61 2 4 4 2 5" xfId="37484" xr:uid="{00000000-0005-0000-0000-00006D920000}"/>
    <cellStyle name="Normal 61 2 4 4 2 6" xfId="37485" xr:uid="{00000000-0005-0000-0000-00006E920000}"/>
    <cellStyle name="Normal 61 2 4 4 3" xfId="37486" xr:uid="{00000000-0005-0000-0000-00006F920000}"/>
    <cellStyle name="Normal 61 2 4 4 3 2" xfId="37487" xr:uid="{00000000-0005-0000-0000-000070920000}"/>
    <cellStyle name="Normal 61 2 4 4 3 3" xfId="37488" xr:uid="{00000000-0005-0000-0000-000071920000}"/>
    <cellStyle name="Normal 61 2 4 4 3 4" xfId="37489" xr:uid="{00000000-0005-0000-0000-000072920000}"/>
    <cellStyle name="Normal 61 2 4 4 3 5" xfId="37490" xr:uid="{00000000-0005-0000-0000-000073920000}"/>
    <cellStyle name="Normal 61 2 4 4 3 6" xfId="37491" xr:uid="{00000000-0005-0000-0000-000074920000}"/>
    <cellStyle name="Normal 61 2 4 4 4" xfId="37492" xr:uid="{00000000-0005-0000-0000-000075920000}"/>
    <cellStyle name="Normal 61 2 4 4 5" xfId="37493" xr:uid="{00000000-0005-0000-0000-000076920000}"/>
    <cellStyle name="Normal 61 2 4 4 6" xfId="37494" xr:uid="{00000000-0005-0000-0000-000077920000}"/>
    <cellStyle name="Normal 61 2 4 4 7" xfId="37495" xr:uid="{00000000-0005-0000-0000-000078920000}"/>
    <cellStyle name="Normal 61 2 4 4 8" xfId="37496" xr:uid="{00000000-0005-0000-0000-000079920000}"/>
    <cellStyle name="Normal 61 2 4 5" xfId="37497" xr:uid="{00000000-0005-0000-0000-00007A920000}"/>
    <cellStyle name="Normal 61 2 4 5 2" xfId="37498" xr:uid="{00000000-0005-0000-0000-00007B920000}"/>
    <cellStyle name="Normal 61 2 4 5 3" xfId="37499" xr:uid="{00000000-0005-0000-0000-00007C920000}"/>
    <cellStyle name="Normal 61 2 4 5 4" xfId="37500" xr:uid="{00000000-0005-0000-0000-00007D920000}"/>
    <cellStyle name="Normal 61 2 4 5 5" xfId="37501" xr:uid="{00000000-0005-0000-0000-00007E920000}"/>
    <cellStyle name="Normal 61 2 4 5 6" xfId="37502" xr:uid="{00000000-0005-0000-0000-00007F920000}"/>
    <cellStyle name="Normal 61 2 4 6" xfId="37503" xr:uid="{00000000-0005-0000-0000-000080920000}"/>
    <cellStyle name="Normal 61 2 4 6 2" xfId="37504" xr:uid="{00000000-0005-0000-0000-000081920000}"/>
    <cellStyle name="Normal 61 2 4 6 3" xfId="37505" xr:uid="{00000000-0005-0000-0000-000082920000}"/>
    <cellStyle name="Normal 61 2 4 6 4" xfId="37506" xr:uid="{00000000-0005-0000-0000-000083920000}"/>
    <cellStyle name="Normal 61 2 4 6 5" xfId="37507" xr:uid="{00000000-0005-0000-0000-000084920000}"/>
    <cellStyle name="Normal 61 2 4 6 6" xfId="37508" xr:uid="{00000000-0005-0000-0000-000085920000}"/>
    <cellStyle name="Normal 61 2 4 7" xfId="37509" xr:uid="{00000000-0005-0000-0000-000086920000}"/>
    <cellStyle name="Normal 61 2 4 8" xfId="37510" xr:uid="{00000000-0005-0000-0000-000087920000}"/>
    <cellStyle name="Normal 61 2 4 9" xfId="37511" xr:uid="{00000000-0005-0000-0000-000088920000}"/>
    <cellStyle name="Normal 61 2 5" xfId="37512" xr:uid="{00000000-0005-0000-0000-000089920000}"/>
    <cellStyle name="Normal 61 2 5 2" xfId="37513" xr:uid="{00000000-0005-0000-0000-00008A920000}"/>
    <cellStyle name="Normal 61 2 5 2 2" xfId="37514" xr:uid="{00000000-0005-0000-0000-00008B920000}"/>
    <cellStyle name="Normal 61 2 5 2 3" xfId="37515" xr:uid="{00000000-0005-0000-0000-00008C920000}"/>
    <cellStyle name="Normal 61 2 5 2 4" xfId="37516" xr:uid="{00000000-0005-0000-0000-00008D920000}"/>
    <cellStyle name="Normal 61 2 5 2 5" xfId="37517" xr:uid="{00000000-0005-0000-0000-00008E920000}"/>
    <cellStyle name="Normal 61 2 5 2 6" xfId="37518" xr:uid="{00000000-0005-0000-0000-00008F920000}"/>
    <cellStyle name="Normal 61 2 5 3" xfId="37519" xr:uid="{00000000-0005-0000-0000-000090920000}"/>
    <cellStyle name="Normal 61 2 5 3 2" xfId="37520" xr:uid="{00000000-0005-0000-0000-000091920000}"/>
    <cellStyle name="Normal 61 2 5 3 3" xfId="37521" xr:uid="{00000000-0005-0000-0000-000092920000}"/>
    <cellStyle name="Normal 61 2 5 3 4" xfId="37522" xr:uid="{00000000-0005-0000-0000-000093920000}"/>
    <cellStyle name="Normal 61 2 5 3 5" xfId="37523" xr:uid="{00000000-0005-0000-0000-000094920000}"/>
    <cellStyle name="Normal 61 2 5 3 6" xfId="37524" xr:uid="{00000000-0005-0000-0000-000095920000}"/>
    <cellStyle name="Normal 61 2 5 4" xfId="37525" xr:uid="{00000000-0005-0000-0000-000096920000}"/>
    <cellStyle name="Normal 61 2 5 5" xfId="37526" xr:uid="{00000000-0005-0000-0000-000097920000}"/>
    <cellStyle name="Normal 61 2 5 6" xfId="37527" xr:uid="{00000000-0005-0000-0000-000098920000}"/>
    <cellStyle name="Normal 61 2 5 7" xfId="37528" xr:uid="{00000000-0005-0000-0000-000099920000}"/>
    <cellStyle name="Normal 61 2 5 8" xfId="37529" xr:uid="{00000000-0005-0000-0000-00009A920000}"/>
    <cellStyle name="Normal 61 2 6" xfId="37530" xr:uid="{00000000-0005-0000-0000-00009B920000}"/>
    <cellStyle name="Normal 61 2 6 2" xfId="37531" xr:uid="{00000000-0005-0000-0000-00009C920000}"/>
    <cellStyle name="Normal 61 2 6 2 2" xfId="37532" xr:uid="{00000000-0005-0000-0000-00009D920000}"/>
    <cellStyle name="Normal 61 2 6 2 3" xfId="37533" xr:uid="{00000000-0005-0000-0000-00009E920000}"/>
    <cellStyle name="Normal 61 2 6 2 4" xfId="37534" xr:uid="{00000000-0005-0000-0000-00009F920000}"/>
    <cellStyle name="Normal 61 2 6 2 5" xfId="37535" xr:uid="{00000000-0005-0000-0000-0000A0920000}"/>
    <cellStyle name="Normal 61 2 6 2 6" xfId="37536" xr:uid="{00000000-0005-0000-0000-0000A1920000}"/>
    <cellStyle name="Normal 61 2 6 3" xfId="37537" xr:uid="{00000000-0005-0000-0000-0000A2920000}"/>
    <cellStyle name="Normal 61 2 6 3 2" xfId="37538" xr:uid="{00000000-0005-0000-0000-0000A3920000}"/>
    <cellStyle name="Normal 61 2 6 3 3" xfId="37539" xr:uid="{00000000-0005-0000-0000-0000A4920000}"/>
    <cellStyle name="Normal 61 2 6 3 4" xfId="37540" xr:uid="{00000000-0005-0000-0000-0000A5920000}"/>
    <cellStyle name="Normal 61 2 6 3 5" xfId="37541" xr:uid="{00000000-0005-0000-0000-0000A6920000}"/>
    <cellStyle name="Normal 61 2 6 3 6" xfId="37542" xr:uid="{00000000-0005-0000-0000-0000A7920000}"/>
    <cellStyle name="Normal 61 2 6 4" xfId="37543" xr:uid="{00000000-0005-0000-0000-0000A8920000}"/>
    <cellStyle name="Normal 61 2 6 5" xfId="37544" xr:uid="{00000000-0005-0000-0000-0000A9920000}"/>
    <cellStyle name="Normal 61 2 6 6" xfId="37545" xr:uid="{00000000-0005-0000-0000-0000AA920000}"/>
    <cellStyle name="Normal 61 2 6 7" xfId="37546" xr:uid="{00000000-0005-0000-0000-0000AB920000}"/>
    <cellStyle name="Normal 61 2 6 8" xfId="37547" xr:uid="{00000000-0005-0000-0000-0000AC920000}"/>
    <cellStyle name="Normal 61 2 7" xfId="37548" xr:uid="{00000000-0005-0000-0000-0000AD920000}"/>
    <cellStyle name="Normal 61 2 7 2" xfId="37549" xr:uid="{00000000-0005-0000-0000-0000AE920000}"/>
    <cellStyle name="Normal 61 2 7 2 2" xfId="37550" xr:uid="{00000000-0005-0000-0000-0000AF920000}"/>
    <cellStyle name="Normal 61 2 7 2 3" xfId="37551" xr:uid="{00000000-0005-0000-0000-0000B0920000}"/>
    <cellStyle name="Normal 61 2 7 2 4" xfId="37552" xr:uid="{00000000-0005-0000-0000-0000B1920000}"/>
    <cellStyle name="Normal 61 2 7 2 5" xfId="37553" xr:uid="{00000000-0005-0000-0000-0000B2920000}"/>
    <cellStyle name="Normal 61 2 7 2 6" xfId="37554" xr:uid="{00000000-0005-0000-0000-0000B3920000}"/>
    <cellStyle name="Normal 61 2 7 3" xfId="37555" xr:uid="{00000000-0005-0000-0000-0000B4920000}"/>
    <cellStyle name="Normal 61 2 7 3 2" xfId="37556" xr:uid="{00000000-0005-0000-0000-0000B5920000}"/>
    <cellStyle name="Normal 61 2 7 3 3" xfId="37557" xr:uid="{00000000-0005-0000-0000-0000B6920000}"/>
    <cellStyle name="Normal 61 2 7 3 4" xfId="37558" xr:uid="{00000000-0005-0000-0000-0000B7920000}"/>
    <cellStyle name="Normal 61 2 7 3 5" xfId="37559" xr:uid="{00000000-0005-0000-0000-0000B8920000}"/>
    <cellStyle name="Normal 61 2 7 3 6" xfId="37560" xr:uid="{00000000-0005-0000-0000-0000B9920000}"/>
    <cellStyle name="Normal 61 2 7 4" xfId="37561" xr:uid="{00000000-0005-0000-0000-0000BA920000}"/>
    <cellStyle name="Normal 61 2 7 5" xfId="37562" xr:uid="{00000000-0005-0000-0000-0000BB920000}"/>
    <cellStyle name="Normal 61 2 7 6" xfId="37563" xr:uid="{00000000-0005-0000-0000-0000BC920000}"/>
    <cellStyle name="Normal 61 2 7 7" xfId="37564" xr:uid="{00000000-0005-0000-0000-0000BD920000}"/>
    <cellStyle name="Normal 61 2 7 8" xfId="37565" xr:uid="{00000000-0005-0000-0000-0000BE920000}"/>
    <cellStyle name="Normal 61 2 8" xfId="37566" xr:uid="{00000000-0005-0000-0000-0000BF920000}"/>
    <cellStyle name="Normal 61 2 8 2" xfId="37567" xr:uid="{00000000-0005-0000-0000-0000C0920000}"/>
    <cellStyle name="Normal 61 2 8 3" xfId="37568" xr:uid="{00000000-0005-0000-0000-0000C1920000}"/>
    <cellStyle name="Normal 61 2 8 4" xfId="37569" xr:uid="{00000000-0005-0000-0000-0000C2920000}"/>
    <cellStyle name="Normal 61 2 8 5" xfId="37570" xr:uid="{00000000-0005-0000-0000-0000C3920000}"/>
    <cellStyle name="Normal 61 2 8 6" xfId="37571" xr:uid="{00000000-0005-0000-0000-0000C4920000}"/>
    <cellStyle name="Normal 61 2 9" xfId="37572" xr:uid="{00000000-0005-0000-0000-0000C5920000}"/>
    <cellStyle name="Normal 61 2 9 2" xfId="37573" xr:uid="{00000000-0005-0000-0000-0000C6920000}"/>
    <cellStyle name="Normal 61 2 9 3" xfId="37574" xr:uid="{00000000-0005-0000-0000-0000C7920000}"/>
    <cellStyle name="Normal 61 2 9 4" xfId="37575" xr:uid="{00000000-0005-0000-0000-0000C8920000}"/>
    <cellStyle name="Normal 61 2 9 5" xfId="37576" xr:uid="{00000000-0005-0000-0000-0000C9920000}"/>
    <cellStyle name="Normal 61 2 9 6" xfId="37577" xr:uid="{00000000-0005-0000-0000-0000CA920000}"/>
    <cellStyle name="Normal 61 3" xfId="37578" xr:uid="{00000000-0005-0000-0000-0000CB920000}"/>
    <cellStyle name="Normal 61 3 10" xfId="37579" xr:uid="{00000000-0005-0000-0000-0000CC920000}"/>
    <cellStyle name="Normal 61 3 11" xfId="37580" xr:uid="{00000000-0005-0000-0000-0000CD920000}"/>
    <cellStyle name="Normal 61 3 12" xfId="37581" xr:uid="{00000000-0005-0000-0000-0000CE920000}"/>
    <cellStyle name="Normal 61 3 2" xfId="37582" xr:uid="{00000000-0005-0000-0000-0000CF920000}"/>
    <cellStyle name="Normal 61 3 2 10" xfId="37583" xr:uid="{00000000-0005-0000-0000-0000D0920000}"/>
    <cellStyle name="Normal 61 3 2 11" xfId="37584" xr:uid="{00000000-0005-0000-0000-0000D1920000}"/>
    <cellStyle name="Normal 61 3 2 2" xfId="37585" xr:uid="{00000000-0005-0000-0000-0000D2920000}"/>
    <cellStyle name="Normal 61 3 2 2 2" xfId="37586" xr:uid="{00000000-0005-0000-0000-0000D3920000}"/>
    <cellStyle name="Normal 61 3 2 2 2 2" xfId="37587" xr:uid="{00000000-0005-0000-0000-0000D4920000}"/>
    <cellStyle name="Normal 61 3 2 2 2 3" xfId="37588" xr:uid="{00000000-0005-0000-0000-0000D5920000}"/>
    <cellStyle name="Normal 61 3 2 2 2 4" xfId="37589" xr:uid="{00000000-0005-0000-0000-0000D6920000}"/>
    <cellStyle name="Normal 61 3 2 2 2 5" xfId="37590" xr:uid="{00000000-0005-0000-0000-0000D7920000}"/>
    <cellStyle name="Normal 61 3 2 2 2 6" xfId="37591" xr:uid="{00000000-0005-0000-0000-0000D8920000}"/>
    <cellStyle name="Normal 61 3 2 2 3" xfId="37592" xr:uid="{00000000-0005-0000-0000-0000D9920000}"/>
    <cellStyle name="Normal 61 3 2 2 3 2" xfId="37593" xr:uid="{00000000-0005-0000-0000-0000DA920000}"/>
    <cellStyle name="Normal 61 3 2 2 3 3" xfId="37594" xr:uid="{00000000-0005-0000-0000-0000DB920000}"/>
    <cellStyle name="Normal 61 3 2 2 3 4" xfId="37595" xr:uid="{00000000-0005-0000-0000-0000DC920000}"/>
    <cellStyle name="Normal 61 3 2 2 3 5" xfId="37596" xr:uid="{00000000-0005-0000-0000-0000DD920000}"/>
    <cellStyle name="Normal 61 3 2 2 3 6" xfId="37597" xr:uid="{00000000-0005-0000-0000-0000DE920000}"/>
    <cellStyle name="Normal 61 3 2 2 4" xfId="37598" xr:uid="{00000000-0005-0000-0000-0000DF920000}"/>
    <cellStyle name="Normal 61 3 2 2 5" xfId="37599" xr:uid="{00000000-0005-0000-0000-0000E0920000}"/>
    <cellStyle name="Normal 61 3 2 2 6" xfId="37600" xr:uid="{00000000-0005-0000-0000-0000E1920000}"/>
    <cellStyle name="Normal 61 3 2 2 7" xfId="37601" xr:uid="{00000000-0005-0000-0000-0000E2920000}"/>
    <cellStyle name="Normal 61 3 2 2 8" xfId="37602" xr:uid="{00000000-0005-0000-0000-0000E3920000}"/>
    <cellStyle name="Normal 61 3 2 3" xfId="37603" xr:uid="{00000000-0005-0000-0000-0000E4920000}"/>
    <cellStyle name="Normal 61 3 2 3 2" xfId="37604" xr:uid="{00000000-0005-0000-0000-0000E5920000}"/>
    <cellStyle name="Normal 61 3 2 3 2 2" xfId="37605" xr:uid="{00000000-0005-0000-0000-0000E6920000}"/>
    <cellStyle name="Normal 61 3 2 3 2 3" xfId="37606" xr:uid="{00000000-0005-0000-0000-0000E7920000}"/>
    <cellStyle name="Normal 61 3 2 3 2 4" xfId="37607" xr:uid="{00000000-0005-0000-0000-0000E8920000}"/>
    <cellStyle name="Normal 61 3 2 3 2 5" xfId="37608" xr:uid="{00000000-0005-0000-0000-0000E9920000}"/>
    <cellStyle name="Normal 61 3 2 3 2 6" xfId="37609" xr:uid="{00000000-0005-0000-0000-0000EA920000}"/>
    <cellStyle name="Normal 61 3 2 3 3" xfId="37610" xr:uid="{00000000-0005-0000-0000-0000EB920000}"/>
    <cellStyle name="Normal 61 3 2 3 3 2" xfId="37611" xr:uid="{00000000-0005-0000-0000-0000EC920000}"/>
    <cellStyle name="Normal 61 3 2 3 3 3" xfId="37612" xr:uid="{00000000-0005-0000-0000-0000ED920000}"/>
    <cellStyle name="Normal 61 3 2 3 3 4" xfId="37613" xr:uid="{00000000-0005-0000-0000-0000EE920000}"/>
    <cellStyle name="Normal 61 3 2 3 3 5" xfId="37614" xr:uid="{00000000-0005-0000-0000-0000EF920000}"/>
    <cellStyle name="Normal 61 3 2 3 3 6" xfId="37615" xr:uid="{00000000-0005-0000-0000-0000F0920000}"/>
    <cellStyle name="Normal 61 3 2 3 4" xfId="37616" xr:uid="{00000000-0005-0000-0000-0000F1920000}"/>
    <cellStyle name="Normal 61 3 2 3 5" xfId="37617" xr:uid="{00000000-0005-0000-0000-0000F2920000}"/>
    <cellStyle name="Normal 61 3 2 3 6" xfId="37618" xr:uid="{00000000-0005-0000-0000-0000F3920000}"/>
    <cellStyle name="Normal 61 3 2 3 7" xfId="37619" xr:uid="{00000000-0005-0000-0000-0000F4920000}"/>
    <cellStyle name="Normal 61 3 2 3 8" xfId="37620" xr:uid="{00000000-0005-0000-0000-0000F5920000}"/>
    <cellStyle name="Normal 61 3 2 4" xfId="37621" xr:uid="{00000000-0005-0000-0000-0000F6920000}"/>
    <cellStyle name="Normal 61 3 2 4 2" xfId="37622" xr:uid="{00000000-0005-0000-0000-0000F7920000}"/>
    <cellStyle name="Normal 61 3 2 4 2 2" xfId="37623" xr:uid="{00000000-0005-0000-0000-0000F8920000}"/>
    <cellStyle name="Normal 61 3 2 4 2 3" xfId="37624" xr:uid="{00000000-0005-0000-0000-0000F9920000}"/>
    <cellStyle name="Normal 61 3 2 4 2 4" xfId="37625" xr:uid="{00000000-0005-0000-0000-0000FA920000}"/>
    <cellStyle name="Normal 61 3 2 4 2 5" xfId="37626" xr:uid="{00000000-0005-0000-0000-0000FB920000}"/>
    <cellStyle name="Normal 61 3 2 4 2 6" xfId="37627" xr:uid="{00000000-0005-0000-0000-0000FC920000}"/>
    <cellStyle name="Normal 61 3 2 4 3" xfId="37628" xr:uid="{00000000-0005-0000-0000-0000FD920000}"/>
    <cellStyle name="Normal 61 3 2 4 3 2" xfId="37629" xr:uid="{00000000-0005-0000-0000-0000FE920000}"/>
    <cellStyle name="Normal 61 3 2 4 3 3" xfId="37630" xr:uid="{00000000-0005-0000-0000-0000FF920000}"/>
    <cellStyle name="Normal 61 3 2 4 3 4" xfId="37631" xr:uid="{00000000-0005-0000-0000-000000930000}"/>
    <cellStyle name="Normal 61 3 2 4 3 5" xfId="37632" xr:uid="{00000000-0005-0000-0000-000001930000}"/>
    <cellStyle name="Normal 61 3 2 4 3 6" xfId="37633" xr:uid="{00000000-0005-0000-0000-000002930000}"/>
    <cellStyle name="Normal 61 3 2 4 4" xfId="37634" xr:uid="{00000000-0005-0000-0000-000003930000}"/>
    <cellStyle name="Normal 61 3 2 4 5" xfId="37635" xr:uid="{00000000-0005-0000-0000-000004930000}"/>
    <cellStyle name="Normal 61 3 2 4 6" xfId="37636" xr:uid="{00000000-0005-0000-0000-000005930000}"/>
    <cellStyle name="Normal 61 3 2 4 7" xfId="37637" xr:uid="{00000000-0005-0000-0000-000006930000}"/>
    <cellStyle name="Normal 61 3 2 4 8" xfId="37638" xr:uid="{00000000-0005-0000-0000-000007930000}"/>
    <cellStyle name="Normal 61 3 2 5" xfId="37639" xr:uid="{00000000-0005-0000-0000-000008930000}"/>
    <cellStyle name="Normal 61 3 2 5 2" xfId="37640" xr:uid="{00000000-0005-0000-0000-000009930000}"/>
    <cellStyle name="Normal 61 3 2 5 3" xfId="37641" xr:uid="{00000000-0005-0000-0000-00000A930000}"/>
    <cellStyle name="Normal 61 3 2 5 4" xfId="37642" xr:uid="{00000000-0005-0000-0000-00000B930000}"/>
    <cellStyle name="Normal 61 3 2 5 5" xfId="37643" xr:uid="{00000000-0005-0000-0000-00000C930000}"/>
    <cellStyle name="Normal 61 3 2 5 6" xfId="37644" xr:uid="{00000000-0005-0000-0000-00000D930000}"/>
    <cellStyle name="Normal 61 3 2 6" xfId="37645" xr:uid="{00000000-0005-0000-0000-00000E930000}"/>
    <cellStyle name="Normal 61 3 2 6 2" xfId="37646" xr:uid="{00000000-0005-0000-0000-00000F930000}"/>
    <cellStyle name="Normal 61 3 2 6 3" xfId="37647" xr:uid="{00000000-0005-0000-0000-000010930000}"/>
    <cellStyle name="Normal 61 3 2 6 4" xfId="37648" xr:uid="{00000000-0005-0000-0000-000011930000}"/>
    <cellStyle name="Normal 61 3 2 6 5" xfId="37649" xr:uid="{00000000-0005-0000-0000-000012930000}"/>
    <cellStyle name="Normal 61 3 2 6 6" xfId="37650" xr:uid="{00000000-0005-0000-0000-000013930000}"/>
    <cellStyle name="Normal 61 3 2 7" xfId="37651" xr:uid="{00000000-0005-0000-0000-000014930000}"/>
    <cellStyle name="Normal 61 3 2 8" xfId="37652" xr:uid="{00000000-0005-0000-0000-000015930000}"/>
    <cellStyle name="Normal 61 3 2 9" xfId="37653" xr:uid="{00000000-0005-0000-0000-000016930000}"/>
    <cellStyle name="Normal 61 3 3" xfId="37654" xr:uid="{00000000-0005-0000-0000-000017930000}"/>
    <cellStyle name="Normal 61 3 3 2" xfId="37655" xr:uid="{00000000-0005-0000-0000-000018930000}"/>
    <cellStyle name="Normal 61 3 3 2 2" xfId="37656" xr:uid="{00000000-0005-0000-0000-000019930000}"/>
    <cellStyle name="Normal 61 3 3 2 3" xfId="37657" xr:uid="{00000000-0005-0000-0000-00001A930000}"/>
    <cellStyle name="Normal 61 3 3 2 4" xfId="37658" xr:uid="{00000000-0005-0000-0000-00001B930000}"/>
    <cellStyle name="Normal 61 3 3 2 5" xfId="37659" xr:uid="{00000000-0005-0000-0000-00001C930000}"/>
    <cellStyle name="Normal 61 3 3 2 6" xfId="37660" xr:uid="{00000000-0005-0000-0000-00001D930000}"/>
    <cellStyle name="Normal 61 3 3 3" xfId="37661" xr:uid="{00000000-0005-0000-0000-00001E930000}"/>
    <cellStyle name="Normal 61 3 3 3 2" xfId="37662" xr:uid="{00000000-0005-0000-0000-00001F930000}"/>
    <cellStyle name="Normal 61 3 3 3 3" xfId="37663" xr:uid="{00000000-0005-0000-0000-000020930000}"/>
    <cellStyle name="Normal 61 3 3 3 4" xfId="37664" xr:uid="{00000000-0005-0000-0000-000021930000}"/>
    <cellStyle name="Normal 61 3 3 3 5" xfId="37665" xr:uid="{00000000-0005-0000-0000-000022930000}"/>
    <cellStyle name="Normal 61 3 3 3 6" xfId="37666" xr:uid="{00000000-0005-0000-0000-000023930000}"/>
    <cellStyle name="Normal 61 3 3 4" xfId="37667" xr:uid="{00000000-0005-0000-0000-000024930000}"/>
    <cellStyle name="Normal 61 3 3 5" xfId="37668" xr:uid="{00000000-0005-0000-0000-000025930000}"/>
    <cellStyle name="Normal 61 3 3 6" xfId="37669" xr:uid="{00000000-0005-0000-0000-000026930000}"/>
    <cellStyle name="Normal 61 3 3 7" xfId="37670" xr:uid="{00000000-0005-0000-0000-000027930000}"/>
    <cellStyle name="Normal 61 3 3 8" xfId="37671" xr:uid="{00000000-0005-0000-0000-000028930000}"/>
    <cellStyle name="Normal 61 3 4" xfId="37672" xr:uid="{00000000-0005-0000-0000-000029930000}"/>
    <cellStyle name="Normal 61 3 4 2" xfId="37673" xr:uid="{00000000-0005-0000-0000-00002A930000}"/>
    <cellStyle name="Normal 61 3 4 2 2" xfId="37674" xr:uid="{00000000-0005-0000-0000-00002B930000}"/>
    <cellStyle name="Normal 61 3 4 2 3" xfId="37675" xr:uid="{00000000-0005-0000-0000-00002C930000}"/>
    <cellStyle name="Normal 61 3 4 2 4" xfId="37676" xr:uid="{00000000-0005-0000-0000-00002D930000}"/>
    <cellStyle name="Normal 61 3 4 2 5" xfId="37677" xr:uid="{00000000-0005-0000-0000-00002E930000}"/>
    <cellStyle name="Normal 61 3 4 2 6" xfId="37678" xr:uid="{00000000-0005-0000-0000-00002F930000}"/>
    <cellStyle name="Normal 61 3 4 3" xfId="37679" xr:uid="{00000000-0005-0000-0000-000030930000}"/>
    <cellStyle name="Normal 61 3 4 3 2" xfId="37680" xr:uid="{00000000-0005-0000-0000-000031930000}"/>
    <cellStyle name="Normal 61 3 4 3 3" xfId="37681" xr:uid="{00000000-0005-0000-0000-000032930000}"/>
    <cellStyle name="Normal 61 3 4 3 4" xfId="37682" xr:uid="{00000000-0005-0000-0000-000033930000}"/>
    <cellStyle name="Normal 61 3 4 3 5" xfId="37683" xr:uid="{00000000-0005-0000-0000-000034930000}"/>
    <cellStyle name="Normal 61 3 4 3 6" xfId="37684" xr:uid="{00000000-0005-0000-0000-000035930000}"/>
    <cellStyle name="Normal 61 3 4 4" xfId="37685" xr:uid="{00000000-0005-0000-0000-000036930000}"/>
    <cellStyle name="Normal 61 3 4 5" xfId="37686" xr:uid="{00000000-0005-0000-0000-000037930000}"/>
    <cellStyle name="Normal 61 3 4 6" xfId="37687" xr:uid="{00000000-0005-0000-0000-000038930000}"/>
    <cellStyle name="Normal 61 3 4 7" xfId="37688" xr:uid="{00000000-0005-0000-0000-000039930000}"/>
    <cellStyle name="Normal 61 3 4 8" xfId="37689" xr:uid="{00000000-0005-0000-0000-00003A930000}"/>
    <cellStyle name="Normal 61 3 5" xfId="37690" xr:uid="{00000000-0005-0000-0000-00003B930000}"/>
    <cellStyle name="Normal 61 3 5 2" xfId="37691" xr:uid="{00000000-0005-0000-0000-00003C930000}"/>
    <cellStyle name="Normal 61 3 5 2 2" xfId="37692" xr:uid="{00000000-0005-0000-0000-00003D930000}"/>
    <cellStyle name="Normal 61 3 5 2 3" xfId="37693" xr:uid="{00000000-0005-0000-0000-00003E930000}"/>
    <cellStyle name="Normal 61 3 5 2 4" xfId="37694" xr:uid="{00000000-0005-0000-0000-00003F930000}"/>
    <cellStyle name="Normal 61 3 5 2 5" xfId="37695" xr:uid="{00000000-0005-0000-0000-000040930000}"/>
    <cellStyle name="Normal 61 3 5 2 6" xfId="37696" xr:uid="{00000000-0005-0000-0000-000041930000}"/>
    <cellStyle name="Normal 61 3 5 3" xfId="37697" xr:uid="{00000000-0005-0000-0000-000042930000}"/>
    <cellStyle name="Normal 61 3 5 3 2" xfId="37698" xr:uid="{00000000-0005-0000-0000-000043930000}"/>
    <cellStyle name="Normal 61 3 5 3 3" xfId="37699" xr:uid="{00000000-0005-0000-0000-000044930000}"/>
    <cellStyle name="Normal 61 3 5 3 4" xfId="37700" xr:uid="{00000000-0005-0000-0000-000045930000}"/>
    <cellStyle name="Normal 61 3 5 3 5" xfId="37701" xr:uid="{00000000-0005-0000-0000-000046930000}"/>
    <cellStyle name="Normal 61 3 5 3 6" xfId="37702" xr:uid="{00000000-0005-0000-0000-000047930000}"/>
    <cellStyle name="Normal 61 3 5 4" xfId="37703" xr:uid="{00000000-0005-0000-0000-000048930000}"/>
    <cellStyle name="Normal 61 3 5 5" xfId="37704" xr:uid="{00000000-0005-0000-0000-000049930000}"/>
    <cellStyle name="Normal 61 3 5 6" xfId="37705" xr:uid="{00000000-0005-0000-0000-00004A930000}"/>
    <cellStyle name="Normal 61 3 5 7" xfId="37706" xr:uid="{00000000-0005-0000-0000-00004B930000}"/>
    <cellStyle name="Normal 61 3 5 8" xfId="37707" xr:uid="{00000000-0005-0000-0000-00004C930000}"/>
    <cellStyle name="Normal 61 3 6" xfId="37708" xr:uid="{00000000-0005-0000-0000-00004D930000}"/>
    <cellStyle name="Normal 61 3 6 2" xfId="37709" xr:uid="{00000000-0005-0000-0000-00004E930000}"/>
    <cellStyle name="Normal 61 3 6 3" xfId="37710" xr:uid="{00000000-0005-0000-0000-00004F930000}"/>
    <cellStyle name="Normal 61 3 6 4" xfId="37711" xr:uid="{00000000-0005-0000-0000-000050930000}"/>
    <cellStyle name="Normal 61 3 6 5" xfId="37712" xr:uid="{00000000-0005-0000-0000-000051930000}"/>
    <cellStyle name="Normal 61 3 6 6" xfId="37713" xr:uid="{00000000-0005-0000-0000-000052930000}"/>
    <cellStyle name="Normal 61 3 7" xfId="37714" xr:uid="{00000000-0005-0000-0000-000053930000}"/>
    <cellStyle name="Normal 61 3 7 2" xfId="37715" xr:uid="{00000000-0005-0000-0000-000054930000}"/>
    <cellStyle name="Normal 61 3 7 3" xfId="37716" xr:uid="{00000000-0005-0000-0000-000055930000}"/>
    <cellStyle name="Normal 61 3 7 4" xfId="37717" xr:uid="{00000000-0005-0000-0000-000056930000}"/>
    <cellStyle name="Normal 61 3 7 5" xfId="37718" xr:uid="{00000000-0005-0000-0000-000057930000}"/>
    <cellStyle name="Normal 61 3 7 6" xfId="37719" xr:uid="{00000000-0005-0000-0000-000058930000}"/>
    <cellStyle name="Normal 61 3 8" xfId="37720" xr:uid="{00000000-0005-0000-0000-000059930000}"/>
    <cellStyle name="Normal 61 3 9" xfId="37721" xr:uid="{00000000-0005-0000-0000-00005A930000}"/>
    <cellStyle name="Normal 61 4" xfId="37722" xr:uid="{00000000-0005-0000-0000-00005B930000}"/>
    <cellStyle name="Normal 61 4 10" xfId="37723" xr:uid="{00000000-0005-0000-0000-00005C930000}"/>
    <cellStyle name="Normal 61 4 11" xfId="37724" xr:uid="{00000000-0005-0000-0000-00005D930000}"/>
    <cellStyle name="Normal 61 4 12" xfId="37725" xr:uid="{00000000-0005-0000-0000-00005E930000}"/>
    <cellStyle name="Normal 61 4 2" xfId="37726" xr:uid="{00000000-0005-0000-0000-00005F930000}"/>
    <cellStyle name="Normal 61 4 2 10" xfId="37727" xr:uid="{00000000-0005-0000-0000-000060930000}"/>
    <cellStyle name="Normal 61 4 2 11" xfId="37728" xr:uid="{00000000-0005-0000-0000-000061930000}"/>
    <cellStyle name="Normal 61 4 2 2" xfId="37729" xr:uid="{00000000-0005-0000-0000-000062930000}"/>
    <cellStyle name="Normal 61 4 2 2 2" xfId="37730" xr:uid="{00000000-0005-0000-0000-000063930000}"/>
    <cellStyle name="Normal 61 4 2 2 2 2" xfId="37731" xr:uid="{00000000-0005-0000-0000-000064930000}"/>
    <cellStyle name="Normal 61 4 2 2 2 3" xfId="37732" xr:uid="{00000000-0005-0000-0000-000065930000}"/>
    <cellStyle name="Normal 61 4 2 2 2 4" xfId="37733" xr:uid="{00000000-0005-0000-0000-000066930000}"/>
    <cellStyle name="Normal 61 4 2 2 2 5" xfId="37734" xr:uid="{00000000-0005-0000-0000-000067930000}"/>
    <cellStyle name="Normal 61 4 2 2 2 6" xfId="37735" xr:uid="{00000000-0005-0000-0000-000068930000}"/>
    <cellStyle name="Normal 61 4 2 2 3" xfId="37736" xr:uid="{00000000-0005-0000-0000-000069930000}"/>
    <cellStyle name="Normal 61 4 2 2 3 2" xfId="37737" xr:uid="{00000000-0005-0000-0000-00006A930000}"/>
    <cellStyle name="Normal 61 4 2 2 3 3" xfId="37738" xr:uid="{00000000-0005-0000-0000-00006B930000}"/>
    <cellStyle name="Normal 61 4 2 2 3 4" xfId="37739" xr:uid="{00000000-0005-0000-0000-00006C930000}"/>
    <cellStyle name="Normal 61 4 2 2 3 5" xfId="37740" xr:uid="{00000000-0005-0000-0000-00006D930000}"/>
    <cellStyle name="Normal 61 4 2 2 3 6" xfId="37741" xr:uid="{00000000-0005-0000-0000-00006E930000}"/>
    <cellStyle name="Normal 61 4 2 2 4" xfId="37742" xr:uid="{00000000-0005-0000-0000-00006F930000}"/>
    <cellStyle name="Normal 61 4 2 2 5" xfId="37743" xr:uid="{00000000-0005-0000-0000-000070930000}"/>
    <cellStyle name="Normal 61 4 2 2 6" xfId="37744" xr:uid="{00000000-0005-0000-0000-000071930000}"/>
    <cellStyle name="Normal 61 4 2 2 7" xfId="37745" xr:uid="{00000000-0005-0000-0000-000072930000}"/>
    <cellStyle name="Normal 61 4 2 2 8" xfId="37746" xr:uid="{00000000-0005-0000-0000-000073930000}"/>
    <cellStyle name="Normal 61 4 2 3" xfId="37747" xr:uid="{00000000-0005-0000-0000-000074930000}"/>
    <cellStyle name="Normal 61 4 2 3 2" xfId="37748" xr:uid="{00000000-0005-0000-0000-000075930000}"/>
    <cellStyle name="Normal 61 4 2 3 2 2" xfId="37749" xr:uid="{00000000-0005-0000-0000-000076930000}"/>
    <cellStyle name="Normal 61 4 2 3 2 3" xfId="37750" xr:uid="{00000000-0005-0000-0000-000077930000}"/>
    <cellStyle name="Normal 61 4 2 3 2 4" xfId="37751" xr:uid="{00000000-0005-0000-0000-000078930000}"/>
    <cellStyle name="Normal 61 4 2 3 2 5" xfId="37752" xr:uid="{00000000-0005-0000-0000-000079930000}"/>
    <cellStyle name="Normal 61 4 2 3 2 6" xfId="37753" xr:uid="{00000000-0005-0000-0000-00007A930000}"/>
    <cellStyle name="Normal 61 4 2 3 3" xfId="37754" xr:uid="{00000000-0005-0000-0000-00007B930000}"/>
    <cellStyle name="Normal 61 4 2 3 3 2" xfId="37755" xr:uid="{00000000-0005-0000-0000-00007C930000}"/>
    <cellStyle name="Normal 61 4 2 3 3 3" xfId="37756" xr:uid="{00000000-0005-0000-0000-00007D930000}"/>
    <cellStyle name="Normal 61 4 2 3 3 4" xfId="37757" xr:uid="{00000000-0005-0000-0000-00007E930000}"/>
    <cellStyle name="Normal 61 4 2 3 3 5" xfId="37758" xr:uid="{00000000-0005-0000-0000-00007F930000}"/>
    <cellStyle name="Normal 61 4 2 3 3 6" xfId="37759" xr:uid="{00000000-0005-0000-0000-000080930000}"/>
    <cellStyle name="Normal 61 4 2 3 4" xfId="37760" xr:uid="{00000000-0005-0000-0000-000081930000}"/>
    <cellStyle name="Normal 61 4 2 3 5" xfId="37761" xr:uid="{00000000-0005-0000-0000-000082930000}"/>
    <cellStyle name="Normal 61 4 2 3 6" xfId="37762" xr:uid="{00000000-0005-0000-0000-000083930000}"/>
    <cellStyle name="Normal 61 4 2 3 7" xfId="37763" xr:uid="{00000000-0005-0000-0000-000084930000}"/>
    <cellStyle name="Normal 61 4 2 3 8" xfId="37764" xr:uid="{00000000-0005-0000-0000-000085930000}"/>
    <cellStyle name="Normal 61 4 2 4" xfId="37765" xr:uid="{00000000-0005-0000-0000-000086930000}"/>
    <cellStyle name="Normal 61 4 2 4 2" xfId="37766" xr:uid="{00000000-0005-0000-0000-000087930000}"/>
    <cellStyle name="Normal 61 4 2 4 2 2" xfId="37767" xr:uid="{00000000-0005-0000-0000-000088930000}"/>
    <cellStyle name="Normal 61 4 2 4 2 3" xfId="37768" xr:uid="{00000000-0005-0000-0000-000089930000}"/>
    <cellStyle name="Normal 61 4 2 4 2 4" xfId="37769" xr:uid="{00000000-0005-0000-0000-00008A930000}"/>
    <cellStyle name="Normal 61 4 2 4 2 5" xfId="37770" xr:uid="{00000000-0005-0000-0000-00008B930000}"/>
    <cellStyle name="Normal 61 4 2 4 2 6" xfId="37771" xr:uid="{00000000-0005-0000-0000-00008C930000}"/>
    <cellStyle name="Normal 61 4 2 4 3" xfId="37772" xr:uid="{00000000-0005-0000-0000-00008D930000}"/>
    <cellStyle name="Normal 61 4 2 4 3 2" xfId="37773" xr:uid="{00000000-0005-0000-0000-00008E930000}"/>
    <cellStyle name="Normal 61 4 2 4 3 3" xfId="37774" xr:uid="{00000000-0005-0000-0000-00008F930000}"/>
    <cellStyle name="Normal 61 4 2 4 3 4" xfId="37775" xr:uid="{00000000-0005-0000-0000-000090930000}"/>
    <cellStyle name="Normal 61 4 2 4 3 5" xfId="37776" xr:uid="{00000000-0005-0000-0000-000091930000}"/>
    <cellStyle name="Normal 61 4 2 4 3 6" xfId="37777" xr:uid="{00000000-0005-0000-0000-000092930000}"/>
    <cellStyle name="Normal 61 4 2 4 4" xfId="37778" xr:uid="{00000000-0005-0000-0000-000093930000}"/>
    <cellStyle name="Normal 61 4 2 4 5" xfId="37779" xr:uid="{00000000-0005-0000-0000-000094930000}"/>
    <cellStyle name="Normal 61 4 2 4 6" xfId="37780" xr:uid="{00000000-0005-0000-0000-000095930000}"/>
    <cellStyle name="Normal 61 4 2 4 7" xfId="37781" xr:uid="{00000000-0005-0000-0000-000096930000}"/>
    <cellStyle name="Normal 61 4 2 4 8" xfId="37782" xr:uid="{00000000-0005-0000-0000-000097930000}"/>
    <cellStyle name="Normal 61 4 2 5" xfId="37783" xr:uid="{00000000-0005-0000-0000-000098930000}"/>
    <cellStyle name="Normal 61 4 2 5 2" xfId="37784" xr:uid="{00000000-0005-0000-0000-000099930000}"/>
    <cellStyle name="Normal 61 4 2 5 3" xfId="37785" xr:uid="{00000000-0005-0000-0000-00009A930000}"/>
    <cellStyle name="Normal 61 4 2 5 4" xfId="37786" xr:uid="{00000000-0005-0000-0000-00009B930000}"/>
    <cellStyle name="Normal 61 4 2 5 5" xfId="37787" xr:uid="{00000000-0005-0000-0000-00009C930000}"/>
    <cellStyle name="Normal 61 4 2 5 6" xfId="37788" xr:uid="{00000000-0005-0000-0000-00009D930000}"/>
    <cellStyle name="Normal 61 4 2 6" xfId="37789" xr:uid="{00000000-0005-0000-0000-00009E930000}"/>
    <cellStyle name="Normal 61 4 2 6 2" xfId="37790" xr:uid="{00000000-0005-0000-0000-00009F930000}"/>
    <cellStyle name="Normal 61 4 2 6 3" xfId="37791" xr:uid="{00000000-0005-0000-0000-0000A0930000}"/>
    <cellStyle name="Normal 61 4 2 6 4" xfId="37792" xr:uid="{00000000-0005-0000-0000-0000A1930000}"/>
    <cellStyle name="Normal 61 4 2 6 5" xfId="37793" xr:uid="{00000000-0005-0000-0000-0000A2930000}"/>
    <cellStyle name="Normal 61 4 2 6 6" xfId="37794" xr:uid="{00000000-0005-0000-0000-0000A3930000}"/>
    <cellStyle name="Normal 61 4 2 7" xfId="37795" xr:uid="{00000000-0005-0000-0000-0000A4930000}"/>
    <cellStyle name="Normal 61 4 2 8" xfId="37796" xr:uid="{00000000-0005-0000-0000-0000A5930000}"/>
    <cellStyle name="Normal 61 4 2 9" xfId="37797" xr:uid="{00000000-0005-0000-0000-0000A6930000}"/>
    <cellStyle name="Normal 61 4 3" xfId="37798" xr:uid="{00000000-0005-0000-0000-0000A7930000}"/>
    <cellStyle name="Normal 61 4 3 2" xfId="37799" xr:uid="{00000000-0005-0000-0000-0000A8930000}"/>
    <cellStyle name="Normal 61 4 3 2 2" xfId="37800" xr:uid="{00000000-0005-0000-0000-0000A9930000}"/>
    <cellStyle name="Normal 61 4 3 2 3" xfId="37801" xr:uid="{00000000-0005-0000-0000-0000AA930000}"/>
    <cellStyle name="Normal 61 4 3 2 4" xfId="37802" xr:uid="{00000000-0005-0000-0000-0000AB930000}"/>
    <cellStyle name="Normal 61 4 3 2 5" xfId="37803" xr:uid="{00000000-0005-0000-0000-0000AC930000}"/>
    <cellStyle name="Normal 61 4 3 2 6" xfId="37804" xr:uid="{00000000-0005-0000-0000-0000AD930000}"/>
    <cellStyle name="Normal 61 4 3 3" xfId="37805" xr:uid="{00000000-0005-0000-0000-0000AE930000}"/>
    <cellStyle name="Normal 61 4 3 3 2" xfId="37806" xr:uid="{00000000-0005-0000-0000-0000AF930000}"/>
    <cellStyle name="Normal 61 4 3 3 3" xfId="37807" xr:uid="{00000000-0005-0000-0000-0000B0930000}"/>
    <cellStyle name="Normal 61 4 3 3 4" xfId="37808" xr:uid="{00000000-0005-0000-0000-0000B1930000}"/>
    <cellStyle name="Normal 61 4 3 3 5" xfId="37809" xr:uid="{00000000-0005-0000-0000-0000B2930000}"/>
    <cellStyle name="Normal 61 4 3 3 6" xfId="37810" xr:uid="{00000000-0005-0000-0000-0000B3930000}"/>
    <cellStyle name="Normal 61 4 3 4" xfId="37811" xr:uid="{00000000-0005-0000-0000-0000B4930000}"/>
    <cellStyle name="Normal 61 4 3 5" xfId="37812" xr:uid="{00000000-0005-0000-0000-0000B5930000}"/>
    <cellStyle name="Normal 61 4 3 6" xfId="37813" xr:uid="{00000000-0005-0000-0000-0000B6930000}"/>
    <cellStyle name="Normal 61 4 3 7" xfId="37814" xr:uid="{00000000-0005-0000-0000-0000B7930000}"/>
    <cellStyle name="Normal 61 4 3 8" xfId="37815" xr:uid="{00000000-0005-0000-0000-0000B8930000}"/>
    <cellStyle name="Normal 61 4 4" xfId="37816" xr:uid="{00000000-0005-0000-0000-0000B9930000}"/>
    <cellStyle name="Normal 61 4 4 2" xfId="37817" xr:uid="{00000000-0005-0000-0000-0000BA930000}"/>
    <cellStyle name="Normal 61 4 4 2 2" xfId="37818" xr:uid="{00000000-0005-0000-0000-0000BB930000}"/>
    <cellStyle name="Normal 61 4 4 2 3" xfId="37819" xr:uid="{00000000-0005-0000-0000-0000BC930000}"/>
    <cellStyle name="Normal 61 4 4 2 4" xfId="37820" xr:uid="{00000000-0005-0000-0000-0000BD930000}"/>
    <cellStyle name="Normal 61 4 4 2 5" xfId="37821" xr:uid="{00000000-0005-0000-0000-0000BE930000}"/>
    <cellStyle name="Normal 61 4 4 2 6" xfId="37822" xr:uid="{00000000-0005-0000-0000-0000BF930000}"/>
    <cellStyle name="Normal 61 4 4 3" xfId="37823" xr:uid="{00000000-0005-0000-0000-0000C0930000}"/>
    <cellStyle name="Normal 61 4 4 3 2" xfId="37824" xr:uid="{00000000-0005-0000-0000-0000C1930000}"/>
    <cellStyle name="Normal 61 4 4 3 3" xfId="37825" xr:uid="{00000000-0005-0000-0000-0000C2930000}"/>
    <cellStyle name="Normal 61 4 4 3 4" xfId="37826" xr:uid="{00000000-0005-0000-0000-0000C3930000}"/>
    <cellStyle name="Normal 61 4 4 3 5" xfId="37827" xr:uid="{00000000-0005-0000-0000-0000C4930000}"/>
    <cellStyle name="Normal 61 4 4 3 6" xfId="37828" xr:uid="{00000000-0005-0000-0000-0000C5930000}"/>
    <cellStyle name="Normal 61 4 4 4" xfId="37829" xr:uid="{00000000-0005-0000-0000-0000C6930000}"/>
    <cellStyle name="Normal 61 4 4 5" xfId="37830" xr:uid="{00000000-0005-0000-0000-0000C7930000}"/>
    <cellStyle name="Normal 61 4 4 6" xfId="37831" xr:uid="{00000000-0005-0000-0000-0000C8930000}"/>
    <cellStyle name="Normal 61 4 4 7" xfId="37832" xr:uid="{00000000-0005-0000-0000-0000C9930000}"/>
    <cellStyle name="Normal 61 4 4 8" xfId="37833" xr:uid="{00000000-0005-0000-0000-0000CA930000}"/>
    <cellStyle name="Normal 61 4 5" xfId="37834" xr:uid="{00000000-0005-0000-0000-0000CB930000}"/>
    <cellStyle name="Normal 61 4 5 2" xfId="37835" xr:uid="{00000000-0005-0000-0000-0000CC930000}"/>
    <cellStyle name="Normal 61 4 5 2 2" xfId="37836" xr:uid="{00000000-0005-0000-0000-0000CD930000}"/>
    <cellStyle name="Normal 61 4 5 2 3" xfId="37837" xr:uid="{00000000-0005-0000-0000-0000CE930000}"/>
    <cellStyle name="Normal 61 4 5 2 4" xfId="37838" xr:uid="{00000000-0005-0000-0000-0000CF930000}"/>
    <cellStyle name="Normal 61 4 5 2 5" xfId="37839" xr:uid="{00000000-0005-0000-0000-0000D0930000}"/>
    <cellStyle name="Normal 61 4 5 2 6" xfId="37840" xr:uid="{00000000-0005-0000-0000-0000D1930000}"/>
    <cellStyle name="Normal 61 4 5 3" xfId="37841" xr:uid="{00000000-0005-0000-0000-0000D2930000}"/>
    <cellStyle name="Normal 61 4 5 3 2" xfId="37842" xr:uid="{00000000-0005-0000-0000-0000D3930000}"/>
    <cellStyle name="Normal 61 4 5 3 3" xfId="37843" xr:uid="{00000000-0005-0000-0000-0000D4930000}"/>
    <cellStyle name="Normal 61 4 5 3 4" xfId="37844" xr:uid="{00000000-0005-0000-0000-0000D5930000}"/>
    <cellStyle name="Normal 61 4 5 3 5" xfId="37845" xr:uid="{00000000-0005-0000-0000-0000D6930000}"/>
    <cellStyle name="Normal 61 4 5 3 6" xfId="37846" xr:uid="{00000000-0005-0000-0000-0000D7930000}"/>
    <cellStyle name="Normal 61 4 5 4" xfId="37847" xr:uid="{00000000-0005-0000-0000-0000D8930000}"/>
    <cellStyle name="Normal 61 4 5 5" xfId="37848" xr:uid="{00000000-0005-0000-0000-0000D9930000}"/>
    <cellStyle name="Normal 61 4 5 6" xfId="37849" xr:uid="{00000000-0005-0000-0000-0000DA930000}"/>
    <cellStyle name="Normal 61 4 5 7" xfId="37850" xr:uid="{00000000-0005-0000-0000-0000DB930000}"/>
    <cellStyle name="Normal 61 4 5 8" xfId="37851" xr:uid="{00000000-0005-0000-0000-0000DC930000}"/>
    <cellStyle name="Normal 61 4 6" xfId="37852" xr:uid="{00000000-0005-0000-0000-0000DD930000}"/>
    <cellStyle name="Normal 61 4 6 2" xfId="37853" xr:uid="{00000000-0005-0000-0000-0000DE930000}"/>
    <cellStyle name="Normal 61 4 6 3" xfId="37854" xr:uid="{00000000-0005-0000-0000-0000DF930000}"/>
    <cellStyle name="Normal 61 4 6 4" xfId="37855" xr:uid="{00000000-0005-0000-0000-0000E0930000}"/>
    <cellStyle name="Normal 61 4 6 5" xfId="37856" xr:uid="{00000000-0005-0000-0000-0000E1930000}"/>
    <cellStyle name="Normal 61 4 6 6" xfId="37857" xr:uid="{00000000-0005-0000-0000-0000E2930000}"/>
    <cellStyle name="Normal 61 4 7" xfId="37858" xr:uid="{00000000-0005-0000-0000-0000E3930000}"/>
    <cellStyle name="Normal 61 4 7 2" xfId="37859" xr:uid="{00000000-0005-0000-0000-0000E4930000}"/>
    <cellStyle name="Normal 61 4 7 3" xfId="37860" xr:uid="{00000000-0005-0000-0000-0000E5930000}"/>
    <cellStyle name="Normal 61 4 7 4" xfId="37861" xr:uid="{00000000-0005-0000-0000-0000E6930000}"/>
    <cellStyle name="Normal 61 4 7 5" xfId="37862" xr:uid="{00000000-0005-0000-0000-0000E7930000}"/>
    <cellStyle name="Normal 61 4 7 6" xfId="37863" xr:uid="{00000000-0005-0000-0000-0000E8930000}"/>
    <cellStyle name="Normal 61 4 8" xfId="37864" xr:uid="{00000000-0005-0000-0000-0000E9930000}"/>
    <cellStyle name="Normal 61 4 9" xfId="37865" xr:uid="{00000000-0005-0000-0000-0000EA930000}"/>
    <cellStyle name="Normal 61 5" xfId="37866" xr:uid="{00000000-0005-0000-0000-0000EB930000}"/>
    <cellStyle name="Normal 61 5 10" xfId="37867" xr:uid="{00000000-0005-0000-0000-0000EC930000}"/>
    <cellStyle name="Normal 61 5 11" xfId="37868" xr:uid="{00000000-0005-0000-0000-0000ED930000}"/>
    <cellStyle name="Normal 61 5 2" xfId="37869" xr:uid="{00000000-0005-0000-0000-0000EE930000}"/>
    <cellStyle name="Normal 61 5 2 2" xfId="37870" xr:uid="{00000000-0005-0000-0000-0000EF930000}"/>
    <cellStyle name="Normal 61 5 2 2 2" xfId="37871" xr:uid="{00000000-0005-0000-0000-0000F0930000}"/>
    <cellStyle name="Normal 61 5 2 2 3" xfId="37872" xr:uid="{00000000-0005-0000-0000-0000F1930000}"/>
    <cellStyle name="Normal 61 5 2 2 4" xfId="37873" xr:uid="{00000000-0005-0000-0000-0000F2930000}"/>
    <cellStyle name="Normal 61 5 2 2 5" xfId="37874" xr:uid="{00000000-0005-0000-0000-0000F3930000}"/>
    <cellStyle name="Normal 61 5 2 2 6" xfId="37875" xr:uid="{00000000-0005-0000-0000-0000F4930000}"/>
    <cellStyle name="Normal 61 5 2 3" xfId="37876" xr:uid="{00000000-0005-0000-0000-0000F5930000}"/>
    <cellStyle name="Normal 61 5 2 3 2" xfId="37877" xr:uid="{00000000-0005-0000-0000-0000F6930000}"/>
    <cellStyle name="Normal 61 5 2 3 3" xfId="37878" xr:uid="{00000000-0005-0000-0000-0000F7930000}"/>
    <cellStyle name="Normal 61 5 2 3 4" xfId="37879" xr:uid="{00000000-0005-0000-0000-0000F8930000}"/>
    <cellStyle name="Normal 61 5 2 3 5" xfId="37880" xr:uid="{00000000-0005-0000-0000-0000F9930000}"/>
    <cellStyle name="Normal 61 5 2 3 6" xfId="37881" xr:uid="{00000000-0005-0000-0000-0000FA930000}"/>
    <cellStyle name="Normal 61 5 2 4" xfId="37882" xr:uid="{00000000-0005-0000-0000-0000FB930000}"/>
    <cellStyle name="Normal 61 5 2 5" xfId="37883" xr:uid="{00000000-0005-0000-0000-0000FC930000}"/>
    <cellStyle name="Normal 61 5 2 6" xfId="37884" xr:uid="{00000000-0005-0000-0000-0000FD930000}"/>
    <cellStyle name="Normal 61 5 2 7" xfId="37885" xr:uid="{00000000-0005-0000-0000-0000FE930000}"/>
    <cellStyle name="Normal 61 5 2 8" xfId="37886" xr:uid="{00000000-0005-0000-0000-0000FF930000}"/>
    <cellStyle name="Normal 61 5 3" xfId="37887" xr:uid="{00000000-0005-0000-0000-000000940000}"/>
    <cellStyle name="Normal 61 5 3 2" xfId="37888" xr:uid="{00000000-0005-0000-0000-000001940000}"/>
    <cellStyle name="Normal 61 5 3 2 2" xfId="37889" xr:uid="{00000000-0005-0000-0000-000002940000}"/>
    <cellStyle name="Normal 61 5 3 2 3" xfId="37890" xr:uid="{00000000-0005-0000-0000-000003940000}"/>
    <cellStyle name="Normal 61 5 3 2 4" xfId="37891" xr:uid="{00000000-0005-0000-0000-000004940000}"/>
    <cellStyle name="Normal 61 5 3 2 5" xfId="37892" xr:uid="{00000000-0005-0000-0000-000005940000}"/>
    <cellStyle name="Normal 61 5 3 2 6" xfId="37893" xr:uid="{00000000-0005-0000-0000-000006940000}"/>
    <cellStyle name="Normal 61 5 3 3" xfId="37894" xr:uid="{00000000-0005-0000-0000-000007940000}"/>
    <cellStyle name="Normal 61 5 3 3 2" xfId="37895" xr:uid="{00000000-0005-0000-0000-000008940000}"/>
    <cellStyle name="Normal 61 5 3 3 3" xfId="37896" xr:uid="{00000000-0005-0000-0000-000009940000}"/>
    <cellStyle name="Normal 61 5 3 3 4" xfId="37897" xr:uid="{00000000-0005-0000-0000-00000A940000}"/>
    <cellStyle name="Normal 61 5 3 3 5" xfId="37898" xr:uid="{00000000-0005-0000-0000-00000B940000}"/>
    <cellStyle name="Normal 61 5 3 3 6" xfId="37899" xr:uid="{00000000-0005-0000-0000-00000C940000}"/>
    <cellStyle name="Normal 61 5 3 4" xfId="37900" xr:uid="{00000000-0005-0000-0000-00000D940000}"/>
    <cellStyle name="Normal 61 5 3 5" xfId="37901" xr:uid="{00000000-0005-0000-0000-00000E940000}"/>
    <cellStyle name="Normal 61 5 3 6" xfId="37902" xr:uid="{00000000-0005-0000-0000-00000F940000}"/>
    <cellStyle name="Normal 61 5 3 7" xfId="37903" xr:uid="{00000000-0005-0000-0000-000010940000}"/>
    <cellStyle name="Normal 61 5 3 8" xfId="37904" xr:uid="{00000000-0005-0000-0000-000011940000}"/>
    <cellStyle name="Normal 61 5 4" xfId="37905" xr:uid="{00000000-0005-0000-0000-000012940000}"/>
    <cellStyle name="Normal 61 5 4 2" xfId="37906" xr:uid="{00000000-0005-0000-0000-000013940000}"/>
    <cellStyle name="Normal 61 5 4 2 2" xfId="37907" xr:uid="{00000000-0005-0000-0000-000014940000}"/>
    <cellStyle name="Normal 61 5 4 2 3" xfId="37908" xr:uid="{00000000-0005-0000-0000-000015940000}"/>
    <cellStyle name="Normal 61 5 4 2 4" xfId="37909" xr:uid="{00000000-0005-0000-0000-000016940000}"/>
    <cellStyle name="Normal 61 5 4 2 5" xfId="37910" xr:uid="{00000000-0005-0000-0000-000017940000}"/>
    <cellStyle name="Normal 61 5 4 2 6" xfId="37911" xr:uid="{00000000-0005-0000-0000-000018940000}"/>
    <cellStyle name="Normal 61 5 4 3" xfId="37912" xr:uid="{00000000-0005-0000-0000-000019940000}"/>
    <cellStyle name="Normal 61 5 4 3 2" xfId="37913" xr:uid="{00000000-0005-0000-0000-00001A940000}"/>
    <cellStyle name="Normal 61 5 4 3 3" xfId="37914" xr:uid="{00000000-0005-0000-0000-00001B940000}"/>
    <cellStyle name="Normal 61 5 4 3 4" xfId="37915" xr:uid="{00000000-0005-0000-0000-00001C940000}"/>
    <cellStyle name="Normal 61 5 4 3 5" xfId="37916" xr:uid="{00000000-0005-0000-0000-00001D940000}"/>
    <cellStyle name="Normal 61 5 4 3 6" xfId="37917" xr:uid="{00000000-0005-0000-0000-00001E940000}"/>
    <cellStyle name="Normal 61 5 4 4" xfId="37918" xr:uid="{00000000-0005-0000-0000-00001F940000}"/>
    <cellStyle name="Normal 61 5 4 5" xfId="37919" xr:uid="{00000000-0005-0000-0000-000020940000}"/>
    <cellStyle name="Normal 61 5 4 6" xfId="37920" xr:uid="{00000000-0005-0000-0000-000021940000}"/>
    <cellStyle name="Normal 61 5 4 7" xfId="37921" xr:uid="{00000000-0005-0000-0000-000022940000}"/>
    <cellStyle name="Normal 61 5 4 8" xfId="37922" xr:uid="{00000000-0005-0000-0000-000023940000}"/>
    <cellStyle name="Normal 61 5 5" xfId="37923" xr:uid="{00000000-0005-0000-0000-000024940000}"/>
    <cellStyle name="Normal 61 5 5 2" xfId="37924" xr:uid="{00000000-0005-0000-0000-000025940000}"/>
    <cellStyle name="Normal 61 5 5 3" xfId="37925" xr:uid="{00000000-0005-0000-0000-000026940000}"/>
    <cellStyle name="Normal 61 5 5 4" xfId="37926" xr:uid="{00000000-0005-0000-0000-000027940000}"/>
    <cellStyle name="Normal 61 5 5 5" xfId="37927" xr:uid="{00000000-0005-0000-0000-000028940000}"/>
    <cellStyle name="Normal 61 5 5 6" xfId="37928" xr:uid="{00000000-0005-0000-0000-000029940000}"/>
    <cellStyle name="Normal 61 5 6" xfId="37929" xr:uid="{00000000-0005-0000-0000-00002A940000}"/>
    <cellStyle name="Normal 61 5 6 2" xfId="37930" xr:uid="{00000000-0005-0000-0000-00002B940000}"/>
    <cellStyle name="Normal 61 5 6 3" xfId="37931" xr:uid="{00000000-0005-0000-0000-00002C940000}"/>
    <cellStyle name="Normal 61 5 6 4" xfId="37932" xr:uid="{00000000-0005-0000-0000-00002D940000}"/>
    <cellStyle name="Normal 61 5 6 5" xfId="37933" xr:uid="{00000000-0005-0000-0000-00002E940000}"/>
    <cellStyle name="Normal 61 5 6 6" xfId="37934" xr:uid="{00000000-0005-0000-0000-00002F940000}"/>
    <cellStyle name="Normal 61 5 7" xfId="37935" xr:uid="{00000000-0005-0000-0000-000030940000}"/>
    <cellStyle name="Normal 61 5 8" xfId="37936" xr:uid="{00000000-0005-0000-0000-000031940000}"/>
    <cellStyle name="Normal 61 5 9" xfId="37937" xr:uid="{00000000-0005-0000-0000-000032940000}"/>
    <cellStyle name="Normal 61 6" xfId="37938" xr:uid="{00000000-0005-0000-0000-000033940000}"/>
    <cellStyle name="Normal 61 6 2" xfId="37939" xr:uid="{00000000-0005-0000-0000-000034940000}"/>
    <cellStyle name="Normal 61 6 2 2" xfId="37940" xr:uid="{00000000-0005-0000-0000-000035940000}"/>
    <cellStyle name="Normal 61 6 2 3" xfId="37941" xr:uid="{00000000-0005-0000-0000-000036940000}"/>
    <cellStyle name="Normal 61 6 2 4" xfId="37942" xr:uid="{00000000-0005-0000-0000-000037940000}"/>
    <cellStyle name="Normal 61 6 2 5" xfId="37943" xr:uid="{00000000-0005-0000-0000-000038940000}"/>
    <cellStyle name="Normal 61 6 2 6" xfId="37944" xr:uid="{00000000-0005-0000-0000-000039940000}"/>
    <cellStyle name="Normal 61 6 3" xfId="37945" xr:uid="{00000000-0005-0000-0000-00003A940000}"/>
    <cellStyle name="Normal 61 6 3 2" xfId="37946" xr:uid="{00000000-0005-0000-0000-00003B940000}"/>
    <cellStyle name="Normal 61 6 3 3" xfId="37947" xr:uid="{00000000-0005-0000-0000-00003C940000}"/>
    <cellStyle name="Normal 61 6 3 4" xfId="37948" xr:uid="{00000000-0005-0000-0000-00003D940000}"/>
    <cellStyle name="Normal 61 6 3 5" xfId="37949" xr:uid="{00000000-0005-0000-0000-00003E940000}"/>
    <cellStyle name="Normal 61 6 3 6" xfId="37950" xr:uid="{00000000-0005-0000-0000-00003F940000}"/>
    <cellStyle name="Normal 61 6 4" xfId="37951" xr:uid="{00000000-0005-0000-0000-000040940000}"/>
    <cellStyle name="Normal 61 6 5" xfId="37952" xr:uid="{00000000-0005-0000-0000-000041940000}"/>
    <cellStyle name="Normal 61 6 6" xfId="37953" xr:uid="{00000000-0005-0000-0000-000042940000}"/>
    <cellStyle name="Normal 61 6 7" xfId="37954" xr:uid="{00000000-0005-0000-0000-000043940000}"/>
    <cellStyle name="Normal 61 6 8" xfId="37955" xr:uid="{00000000-0005-0000-0000-000044940000}"/>
    <cellStyle name="Normal 61 7" xfId="37956" xr:uid="{00000000-0005-0000-0000-000045940000}"/>
    <cellStyle name="Normal 61 7 2" xfId="37957" xr:uid="{00000000-0005-0000-0000-000046940000}"/>
    <cellStyle name="Normal 61 7 2 2" xfId="37958" xr:uid="{00000000-0005-0000-0000-000047940000}"/>
    <cellStyle name="Normal 61 7 2 3" xfId="37959" xr:uid="{00000000-0005-0000-0000-000048940000}"/>
    <cellStyle name="Normal 61 7 2 4" xfId="37960" xr:uid="{00000000-0005-0000-0000-000049940000}"/>
    <cellStyle name="Normal 61 7 2 5" xfId="37961" xr:uid="{00000000-0005-0000-0000-00004A940000}"/>
    <cellStyle name="Normal 61 7 2 6" xfId="37962" xr:uid="{00000000-0005-0000-0000-00004B940000}"/>
    <cellStyle name="Normal 61 7 3" xfId="37963" xr:uid="{00000000-0005-0000-0000-00004C940000}"/>
    <cellStyle name="Normal 61 7 3 2" xfId="37964" xr:uid="{00000000-0005-0000-0000-00004D940000}"/>
    <cellStyle name="Normal 61 7 3 3" xfId="37965" xr:uid="{00000000-0005-0000-0000-00004E940000}"/>
    <cellStyle name="Normal 61 7 3 4" xfId="37966" xr:uid="{00000000-0005-0000-0000-00004F940000}"/>
    <cellStyle name="Normal 61 7 3 5" xfId="37967" xr:uid="{00000000-0005-0000-0000-000050940000}"/>
    <cellStyle name="Normal 61 7 3 6" xfId="37968" xr:uid="{00000000-0005-0000-0000-000051940000}"/>
    <cellStyle name="Normal 61 7 4" xfId="37969" xr:uid="{00000000-0005-0000-0000-000052940000}"/>
    <cellStyle name="Normal 61 7 5" xfId="37970" xr:uid="{00000000-0005-0000-0000-000053940000}"/>
    <cellStyle name="Normal 61 7 6" xfId="37971" xr:uid="{00000000-0005-0000-0000-000054940000}"/>
    <cellStyle name="Normal 61 7 7" xfId="37972" xr:uid="{00000000-0005-0000-0000-000055940000}"/>
    <cellStyle name="Normal 61 7 8" xfId="37973" xr:uid="{00000000-0005-0000-0000-000056940000}"/>
    <cellStyle name="Normal 61 8" xfId="37974" xr:uid="{00000000-0005-0000-0000-000057940000}"/>
    <cellStyle name="Normal 61 8 2" xfId="37975" xr:uid="{00000000-0005-0000-0000-000058940000}"/>
    <cellStyle name="Normal 61 8 2 2" xfId="37976" xr:uid="{00000000-0005-0000-0000-000059940000}"/>
    <cellStyle name="Normal 61 8 2 3" xfId="37977" xr:uid="{00000000-0005-0000-0000-00005A940000}"/>
    <cellStyle name="Normal 61 8 2 4" xfId="37978" xr:uid="{00000000-0005-0000-0000-00005B940000}"/>
    <cellStyle name="Normal 61 8 2 5" xfId="37979" xr:uid="{00000000-0005-0000-0000-00005C940000}"/>
    <cellStyle name="Normal 61 8 2 6" xfId="37980" xr:uid="{00000000-0005-0000-0000-00005D940000}"/>
    <cellStyle name="Normal 61 8 3" xfId="37981" xr:uid="{00000000-0005-0000-0000-00005E940000}"/>
    <cellStyle name="Normal 61 8 3 2" xfId="37982" xr:uid="{00000000-0005-0000-0000-00005F940000}"/>
    <cellStyle name="Normal 61 8 3 3" xfId="37983" xr:uid="{00000000-0005-0000-0000-000060940000}"/>
    <cellStyle name="Normal 61 8 3 4" xfId="37984" xr:uid="{00000000-0005-0000-0000-000061940000}"/>
    <cellStyle name="Normal 61 8 3 5" xfId="37985" xr:uid="{00000000-0005-0000-0000-000062940000}"/>
    <cellStyle name="Normal 61 8 3 6" xfId="37986" xr:uid="{00000000-0005-0000-0000-000063940000}"/>
    <cellStyle name="Normal 61 8 4" xfId="37987" xr:uid="{00000000-0005-0000-0000-000064940000}"/>
    <cellStyle name="Normal 61 8 5" xfId="37988" xr:uid="{00000000-0005-0000-0000-000065940000}"/>
    <cellStyle name="Normal 61 8 6" xfId="37989" xr:uid="{00000000-0005-0000-0000-000066940000}"/>
    <cellStyle name="Normal 61 8 7" xfId="37990" xr:uid="{00000000-0005-0000-0000-000067940000}"/>
    <cellStyle name="Normal 61 8 8" xfId="37991" xr:uid="{00000000-0005-0000-0000-000068940000}"/>
    <cellStyle name="Normal 61 9" xfId="37992" xr:uid="{00000000-0005-0000-0000-000069940000}"/>
    <cellStyle name="Normal 61 9 2" xfId="37993" xr:uid="{00000000-0005-0000-0000-00006A940000}"/>
    <cellStyle name="Normal 61 9 3" xfId="37994" xr:uid="{00000000-0005-0000-0000-00006B940000}"/>
    <cellStyle name="Normal 61 9 4" xfId="37995" xr:uid="{00000000-0005-0000-0000-00006C940000}"/>
    <cellStyle name="Normal 61 9 5" xfId="37996" xr:uid="{00000000-0005-0000-0000-00006D940000}"/>
    <cellStyle name="Normal 61 9 6" xfId="37997" xr:uid="{00000000-0005-0000-0000-00006E940000}"/>
    <cellStyle name="Normal 62" xfId="37998" xr:uid="{00000000-0005-0000-0000-00006F940000}"/>
    <cellStyle name="Normal 62 10" xfId="37999" xr:uid="{00000000-0005-0000-0000-000070940000}"/>
    <cellStyle name="Normal 62 11" xfId="38000" xr:uid="{00000000-0005-0000-0000-000071940000}"/>
    <cellStyle name="Normal 62 2" xfId="38001" xr:uid="{00000000-0005-0000-0000-000072940000}"/>
    <cellStyle name="Normal 62 2 2" xfId="38002" xr:uid="{00000000-0005-0000-0000-000073940000}"/>
    <cellStyle name="Normal 62 2 2 2" xfId="38003" xr:uid="{00000000-0005-0000-0000-000074940000}"/>
    <cellStyle name="Normal 62 2 2 3" xfId="38004" xr:uid="{00000000-0005-0000-0000-000075940000}"/>
    <cellStyle name="Normal 62 2 2 4" xfId="38005" xr:uid="{00000000-0005-0000-0000-000076940000}"/>
    <cellStyle name="Normal 62 2 2 5" xfId="38006" xr:uid="{00000000-0005-0000-0000-000077940000}"/>
    <cellStyle name="Normal 62 2 2 6" xfId="38007" xr:uid="{00000000-0005-0000-0000-000078940000}"/>
    <cellStyle name="Normal 62 2 3" xfId="38008" xr:uid="{00000000-0005-0000-0000-000079940000}"/>
    <cellStyle name="Normal 62 2 3 2" xfId="38009" xr:uid="{00000000-0005-0000-0000-00007A940000}"/>
    <cellStyle name="Normal 62 2 3 3" xfId="38010" xr:uid="{00000000-0005-0000-0000-00007B940000}"/>
    <cellStyle name="Normal 62 2 3 4" xfId="38011" xr:uid="{00000000-0005-0000-0000-00007C940000}"/>
    <cellStyle name="Normal 62 2 3 5" xfId="38012" xr:uid="{00000000-0005-0000-0000-00007D940000}"/>
    <cellStyle name="Normal 62 2 3 6" xfId="38013" xr:uid="{00000000-0005-0000-0000-00007E940000}"/>
    <cellStyle name="Normal 62 2 4" xfId="38014" xr:uid="{00000000-0005-0000-0000-00007F940000}"/>
    <cellStyle name="Normal 62 2 5" xfId="38015" xr:uid="{00000000-0005-0000-0000-000080940000}"/>
    <cellStyle name="Normal 62 2 6" xfId="38016" xr:uid="{00000000-0005-0000-0000-000081940000}"/>
    <cellStyle name="Normal 62 2 7" xfId="38017" xr:uid="{00000000-0005-0000-0000-000082940000}"/>
    <cellStyle name="Normal 62 2 8" xfId="38018" xr:uid="{00000000-0005-0000-0000-000083940000}"/>
    <cellStyle name="Normal 62 3" xfId="38019" xr:uid="{00000000-0005-0000-0000-000084940000}"/>
    <cellStyle name="Normal 62 3 2" xfId="38020" xr:uid="{00000000-0005-0000-0000-000085940000}"/>
    <cellStyle name="Normal 62 3 2 2" xfId="38021" xr:uid="{00000000-0005-0000-0000-000086940000}"/>
    <cellStyle name="Normal 62 3 2 3" xfId="38022" xr:uid="{00000000-0005-0000-0000-000087940000}"/>
    <cellStyle name="Normal 62 3 2 4" xfId="38023" xr:uid="{00000000-0005-0000-0000-000088940000}"/>
    <cellStyle name="Normal 62 3 2 5" xfId="38024" xr:uid="{00000000-0005-0000-0000-000089940000}"/>
    <cellStyle name="Normal 62 3 2 6" xfId="38025" xr:uid="{00000000-0005-0000-0000-00008A940000}"/>
    <cellStyle name="Normal 62 3 3" xfId="38026" xr:uid="{00000000-0005-0000-0000-00008B940000}"/>
    <cellStyle name="Normal 62 3 3 2" xfId="38027" xr:uid="{00000000-0005-0000-0000-00008C940000}"/>
    <cellStyle name="Normal 62 3 3 3" xfId="38028" xr:uid="{00000000-0005-0000-0000-00008D940000}"/>
    <cellStyle name="Normal 62 3 3 4" xfId="38029" xr:uid="{00000000-0005-0000-0000-00008E940000}"/>
    <cellStyle name="Normal 62 3 3 5" xfId="38030" xr:uid="{00000000-0005-0000-0000-00008F940000}"/>
    <cellStyle name="Normal 62 3 3 6" xfId="38031" xr:uid="{00000000-0005-0000-0000-000090940000}"/>
    <cellStyle name="Normal 62 3 4" xfId="38032" xr:uid="{00000000-0005-0000-0000-000091940000}"/>
    <cellStyle name="Normal 62 3 5" xfId="38033" xr:uid="{00000000-0005-0000-0000-000092940000}"/>
    <cellStyle name="Normal 62 3 6" xfId="38034" xr:uid="{00000000-0005-0000-0000-000093940000}"/>
    <cellStyle name="Normal 62 3 7" xfId="38035" xr:uid="{00000000-0005-0000-0000-000094940000}"/>
    <cellStyle name="Normal 62 3 8" xfId="38036" xr:uid="{00000000-0005-0000-0000-000095940000}"/>
    <cellStyle name="Normal 62 4" xfId="38037" xr:uid="{00000000-0005-0000-0000-000096940000}"/>
    <cellStyle name="Normal 62 4 2" xfId="38038" xr:uid="{00000000-0005-0000-0000-000097940000}"/>
    <cellStyle name="Normal 62 4 2 2" xfId="38039" xr:uid="{00000000-0005-0000-0000-000098940000}"/>
    <cellStyle name="Normal 62 4 2 3" xfId="38040" xr:uid="{00000000-0005-0000-0000-000099940000}"/>
    <cellStyle name="Normal 62 4 2 4" xfId="38041" xr:uid="{00000000-0005-0000-0000-00009A940000}"/>
    <cellStyle name="Normal 62 4 2 5" xfId="38042" xr:uid="{00000000-0005-0000-0000-00009B940000}"/>
    <cellStyle name="Normal 62 4 2 6" xfId="38043" xr:uid="{00000000-0005-0000-0000-00009C940000}"/>
    <cellStyle name="Normal 62 4 3" xfId="38044" xr:uid="{00000000-0005-0000-0000-00009D940000}"/>
    <cellStyle name="Normal 62 4 3 2" xfId="38045" xr:uid="{00000000-0005-0000-0000-00009E940000}"/>
    <cellStyle name="Normal 62 4 3 3" xfId="38046" xr:uid="{00000000-0005-0000-0000-00009F940000}"/>
    <cellStyle name="Normal 62 4 3 4" xfId="38047" xr:uid="{00000000-0005-0000-0000-0000A0940000}"/>
    <cellStyle name="Normal 62 4 3 5" xfId="38048" xr:uid="{00000000-0005-0000-0000-0000A1940000}"/>
    <cellStyle name="Normal 62 4 3 6" xfId="38049" xr:uid="{00000000-0005-0000-0000-0000A2940000}"/>
    <cellStyle name="Normal 62 4 4" xfId="38050" xr:uid="{00000000-0005-0000-0000-0000A3940000}"/>
    <cellStyle name="Normal 62 4 5" xfId="38051" xr:uid="{00000000-0005-0000-0000-0000A4940000}"/>
    <cellStyle name="Normal 62 4 6" xfId="38052" xr:uid="{00000000-0005-0000-0000-0000A5940000}"/>
    <cellStyle name="Normal 62 4 7" xfId="38053" xr:uid="{00000000-0005-0000-0000-0000A6940000}"/>
    <cellStyle name="Normal 62 4 8" xfId="38054" xr:uid="{00000000-0005-0000-0000-0000A7940000}"/>
    <cellStyle name="Normal 62 5" xfId="38055" xr:uid="{00000000-0005-0000-0000-0000A8940000}"/>
    <cellStyle name="Normal 62 5 2" xfId="38056" xr:uid="{00000000-0005-0000-0000-0000A9940000}"/>
    <cellStyle name="Normal 62 5 3" xfId="38057" xr:uid="{00000000-0005-0000-0000-0000AA940000}"/>
    <cellStyle name="Normal 62 5 4" xfId="38058" xr:uid="{00000000-0005-0000-0000-0000AB940000}"/>
    <cellStyle name="Normal 62 5 5" xfId="38059" xr:uid="{00000000-0005-0000-0000-0000AC940000}"/>
    <cellStyle name="Normal 62 5 6" xfId="38060" xr:uid="{00000000-0005-0000-0000-0000AD940000}"/>
    <cellStyle name="Normal 62 6" xfId="38061" xr:uid="{00000000-0005-0000-0000-0000AE940000}"/>
    <cellStyle name="Normal 62 6 2" xfId="38062" xr:uid="{00000000-0005-0000-0000-0000AF940000}"/>
    <cellStyle name="Normal 62 6 3" xfId="38063" xr:uid="{00000000-0005-0000-0000-0000B0940000}"/>
    <cellStyle name="Normal 62 6 4" xfId="38064" xr:uid="{00000000-0005-0000-0000-0000B1940000}"/>
    <cellStyle name="Normal 62 6 5" xfId="38065" xr:uid="{00000000-0005-0000-0000-0000B2940000}"/>
    <cellStyle name="Normal 62 6 6" xfId="38066" xr:uid="{00000000-0005-0000-0000-0000B3940000}"/>
    <cellStyle name="Normal 62 7" xfId="38067" xr:uid="{00000000-0005-0000-0000-0000B4940000}"/>
    <cellStyle name="Normal 62 8" xfId="38068" xr:uid="{00000000-0005-0000-0000-0000B5940000}"/>
    <cellStyle name="Normal 62 9" xfId="38069" xr:uid="{00000000-0005-0000-0000-0000B6940000}"/>
    <cellStyle name="Normal 63" xfId="38070" xr:uid="{00000000-0005-0000-0000-0000B7940000}"/>
    <cellStyle name="Normal 63 10" xfId="38071" xr:uid="{00000000-0005-0000-0000-0000B8940000}"/>
    <cellStyle name="Normal 63 11" xfId="38072" xr:uid="{00000000-0005-0000-0000-0000B9940000}"/>
    <cellStyle name="Normal 63 2" xfId="38073" xr:uid="{00000000-0005-0000-0000-0000BA940000}"/>
    <cellStyle name="Normal 63 2 2" xfId="38074" xr:uid="{00000000-0005-0000-0000-0000BB940000}"/>
    <cellStyle name="Normal 63 2 2 2" xfId="38075" xr:uid="{00000000-0005-0000-0000-0000BC940000}"/>
    <cellStyle name="Normal 63 2 2 3" xfId="38076" xr:uid="{00000000-0005-0000-0000-0000BD940000}"/>
    <cellStyle name="Normal 63 2 2 4" xfId="38077" xr:uid="{00000000-0005-0000-0000-0000BE940000}"/>
    <cellStyle name="Normal 63 2 2 5" xfId="38078" xr:uid="{00000000-0005-0000-0000-0000BF940000}"/>
    <cellStyle name="Normal 63 2 2 6" xfId="38079" xr:uid="{00000000-0005-0000-0000-0000C0940000}"/>
    <cellStyle name="Normal 63 2 3" xfId="38080" xr:uid="{00000000-0005-0000-0000-0000C1940000}"/>
    <cellStyle name="Normal 63 2 3 2" xfId="38081" xr:uid="{00000000-0005-0000-0000-0000C2940000}"/>
    <cellStyle name="Normal 63 2 3 3" xfId="38082" xr:uid="{00000000-0005-0000-0000-0000C3940000}"/>
    <cellStyle name="Normal 63 2 3 4" xfId="38083" xr:uid="{00000000-0005-0000-0000-0000C4940000}"/>
    <cellStyle name="Normal 63 2 3 5" xfId="38084" xr:uid="{00000000-0005-0000-0000-0000C5940000}"/>
    <cellStyle name="Normal 63 2 3 6" xfId="38085" xr:uid="{00000000-0005-0000-0000-0000C6940000}"/>
    <cellStyle name="Normal 63 2 4" xfId="38086" xr:uid="{00000000-0005-0000-0000-0000C7940000}"/>
    <cellStyle name="Normal 63 2 5" xfId="38087" xr:uid="{00000000-0005-0000-0000-0000C8940000}"/>
    <cellStyle name="Normal 63 2 6" xfId="38088" xr:uid="{00000000-0005-0000-0000-0000C9940000}"/>
    <cellStyle name="Normal 63 2 7" xfId="38089" xr:uid="{00000000-0005-0000-0000-0000CA940000}"/>
    <cellStyle name="Normal 63 2 8" xfId="38090" xr:uid="{00000000-0005-0000-0000-0000CB940000}"/>
    <cellStyle name="Normal 63 3" xfId="38091" xr:uid="{00000000-0005-0000-0000-0000CC940000}"/>
    <cellStyle name="Normal 63 3 2" xfId="38092" xr:uid="{00000000-0005-0000-0000-0000CD940000}"/>
    <cellStyle name="Normal 63 3 2 2" xfId="38093" xr:uid="{00000000-0005-0000-0000-0000CE940000}"/>
    <cellStyle name="Normal 63 3 2 3" xfId="38094" xr:uid="{00000000-0005-0000-0000-0000CF940000}"/>
    <cellStyle name="Normal 63 3 2 4" xfId="38095" xr:uid="{00000000-0005-0000-0000-0000D0940000}"/>
    <cellStyle name="Normal 63 3 2 5" xfId="38096" xr:uid="{00000000-0005-0000-0000-0000D1940000}"/>
    <cellStyle name="Normal 63 3 2 6" xfId="38097" xr:uid="{00000000-0005-0000-0000-0000D2940000}"/>
    <cellStyle name="Normal 63 3 3" xfId="38098" xr:uid="{00000000-0005-0000-0000-0000D3940000}"/>
    <cellStyle name="Normal 63 3 3 2" xfId="38099" xr:uid="{00000000-0005-0000-0000-0000D4940000}"/>
    <cellStyle name="Normal 63 3 3 3" xfId="38100" xr:uid="{00000000-0005-0000-0000-0000D5940000}"/>
    <cellStyle name="Normal 63 3 3 4" xfId="38101" xr:uid="{00000000-0005-0000-0000-0000D6940000}"/>
    <cellStyle name="Normal 63 3 3 5" xfId="38102" xr:uid="{00000000-0005-0000-0000-0000D7940000}"/>
    <cellStyle name="Normal 63 3 3 6" xfId="38103" xr:uid="{00000000-0005-0000-0000-0000D8940000}"/>
    <cellStyle name="Normal 63 3 4" xfId="38104" xr:uid="{00000000-0005-0000-0000-0000D9940000}"/>
    <cellStyle name="Normal 63 3 5" xfId="38105" xr:uid="{00000000-0005-0000-0000-0000DA940000}"/>
    <cellStyle name="Normal 63 3 6" xfId="38106" xr:uid="{00000000-0005-0000-0000-0000DB940000}"/>
    <cellStyle name="Normal 63 3 7" xfId="38107" xr:uid="{00000000-0005-0000-0000-0000DC940000}"/>
    <cellStyle name="Normal 63 3 8" xfId="38108" xr:uid="{00000000-0005-0000-0000-0000DD940000}"/>
    <cellStyle name="Normal 63 4" xfId="38109" xr:uid="{00000000-0005-0000-0000-0000DE940000}"/>
    <cellStyle name="Normal 63 4 2" xfId="38110" xr:uid="{00000000-0005-0000-0000-0000DF940000}"/>
    <cellStyle name="Normal 63 4 2 2" xfId="38111" xr:uid="{00000000-0005-0000-0000-0000E0940000}"/>
    <cellStyle name="Normal 63 4 2 3" xfId="38112" xr:uid="{00000000-0005-0000-0000-0000E1940000}"/>
    <cellStyle name="Normal 63 4 2 4" xfId="38113" xr:uid="{00000000-0005-0000-0000-0000E2940000}"/>
    <cellStyle name="Normal 63 4 2 5" xfId="38114" xr:uid="{00000000-0005-0000-0000-0000E3940000}"/>
    <cellStyle name="Normal 63 4 2 6" xfId="38115" xr:uid="{00000000-0005-0000-0000-0000E4940000}"/>
    <cellStyle name="Normal 63 4 3" xfId="38116" xr:uid="{00000000-0005-0000-0000-0000E5940000}"/>
    <cellStyle name="Normal 63 4 3 2" xfId="38117" xr:uid="{00000000-0005-0000-0000-0000E6940000}"/>
    <cellStyle name="Normal 63 4 3 3" xfId="38118" xr:uid="{00000000-0005-0000-0000-0000E7940000}"/>
    <cellStyle name="Normal 63 4 3 4" xfId="38119" xr:uid="{00000000-0005-0000-0000-0000E8940000}"/>
    <cellStyle name="Normal 63 4 3 5" xfId="38120" xr:uid="{00000000-0005-0000-0000-0000E9940000}"/>
    <cellStyle name="Normal 63 4 3 6" xfId="38121" xr:uid="{00000000-0005-0000-0000-0000EA940000}"/>
    <cellStyle name="Normal 63 4 4" xfId="38122" xr:uid="{00000000-0005-0000-0000-0000EB940000}"/>
    <cellStyle name="Normal 63 4 5" xfId="38123" xr:uid="{00000000-0005-0000-0000-0000EC940000}"/>
    <cellStyle name="Normal 63 4 6" xfId="38124" xr:uid="{00000000-0005-0000-0000-0000ED940000}"/>
    <cellStyle name="Normal 63 4 7" xfId="38125" xr:uid="{00000000-0005-0000-0000-0000EE940000}"/>
    <cellStyle name="Normal 63 4 8" xfId="38126" xr:uid="{00000000-0005-0000-0000-0000EF940000}"/>
    <cellStyle name="Normal 63 5" xfId="38127" xr:uid="{00000000-0005-0000-0000-0000F0940000}"/>
    <cellStyle name="Normal 63 5 2" xfId="38128" xr:uid="{00000000-0005-0000-0000-0000F1940000}"/>
    <cellStyle name="Normal 63 5 3" xfId="38129" xr:uid="{00000000-0005-0000-0000-0000F2940000}"/>
    <cellStyle name="Normal 63 5 4" xfId="38130" xr:uid="{00000000-0005-0000-0000-0000F3940000}"/>
    <cellStyle name="Normal 63 5 5" xfId="38131" xr:uid="{00000000-0005-0000-0000-0000F4940000}"/>
    <cellStyle name="Normal 63 5 6" xfId="38132" xr:uid="{00000000-0005-0000-0000-0000F5940000}"/>
    <cellStyle name="Normal 63 6" xfId="38133" xr:uid="{00000000-0005-0000-0000-0000F6940000}"/>
    <cellStyle name="Normal 63 6 2" xfId="38134" xr:uid="{00000000-0005-0000-0000-0000F7940000}"/>
    <cellStyle name="Normal 63 6 3" xfId="38135" xr:uid="{00000000-0005-0000-0000-0000F8940000}"/>
    <cellStyle name="Normal 63 6 4" xfId="38136" xr:uid="{00000000-0005-0000-0000-0000F9940000}"/>
    <cellStyle name="Normal 63 6 5" xfId="38137" xr:uid="{00000000-0005-0000-0000-0000FA940000}"/>
    <cellStyle name="Normal 63 6 6" xfId="38138" xr:uid="{00000000-0005-0000-0000-0000FB940000}"/>
    <cellStyle name="Normal 63 7" xfId="38139" xr:uid="{00000000-0005-0000-0000-0000FC940000}"/>
    <cellStyle name="Normal 63 8" xfId="38140" xr:uid="{00000000-0005-0000-0000-0000FD940000}"/>
    <cellStyle name="Normal 63 9" xfId="38141" xr:uid="{00000000-0005-0000-0000-0000FE940000}"/>
    <cellStyle name="Normal 64" xfId="38142" xr:uid="{00000000-0005-0000-0000-0000FF940000}"/>
    <cellStyle name="Normal 64 10" xfId="38143" xr:uid="{00000000-0005-0000-0000-000000950000}"/>
    <cellStyle name="Normal 64 11" xfId="38144" xr:uid="{00000000-0005-0000-0000-000001950000}"/>
    <cellStyle name="Normal 64 2" xfId="38145" xr:uid="{00000000-0005-0000-0000-000002950000}"/>
    <cellStyle name="Normal 64 2 2" xfId="38146" xr:uid="{00000000-0005-0000-0000-000003950000}"/>
    <cellStyle name="Normal 64 2 2 2" xfId="38147" xr:uid="{00000000-0005-0000-0000-000004950000}"/>
    <cellStyle name="Normal 64 2 2 3" xfId="38148" xr:uid="{00000000-0005-0000-0000-000005950000}"/>
    <cellStyle name="Normal 64 2 2 4" xfId="38149" xr:uid="{00000000-0005-0000-0000-000006950000}"/>
    <cellStyle name="Normal 64 2 2 5" xfId="38150" xr:uid="{00000000-0005-0000-0000-000007950000}"/>
    <cellStyle name="Normal 64 2 2 6" xfId="38151" xr:uid="{00000000-0005-0000-0000-000008950000}"/>
    <cellStyle name="Normal 64 2 3" xfId="38152" xr:uid="{00000000-0005-0000-0000-000009950000}"/>
    <cellStyle name="Normal 64 2 3 2" xfId="38153" xr:uid="{00000000-0005-0000-0000-00000A950000}"/>
    <cellStyle name="Normal 64 2 3 3" xfId="38154" xr:uid="{00000000-0005-0000-0000-00000B950000}"/>
    <cellStyle name="Normal 64 2 3 4" xfId="38155" xr:uid="{00000000-0005-0000-0000-00000C950000}"/>
    <cellStyle name="Normal 64 2 3 5" xfId="38156" xr:uid="{00000000-0005-0000-0000-00000D950000}"/>
    <cellStyle name="Normal 64 2 3 6" xfId="38157" xr:uid="{00000000-0005-0000-0000-00000E950000}"/>
    <cellStyle name="Normal 64 2 4" xfId="38158" xr:uid="{00000000-0005-0000-0000-00000F950000}"/>
    <cellStyle name="Normal 64 2 5" xfId="38159" xr:uid="{00000000-0005-0000-0000-000010950000}"/>
    <cellStyle name="Normal 64 2 6" xfId="38160" xr:uid="{00000000-0005-0000-0000-000011950000}"/>
    <cellStyle name="Normal 64 2 7" xfId="38161" xr:uid="{00000000-0005-0000-0000-000012950000}"/>
    <cellStyle name="Normal 64 2 8" xfId="38162" xr:uid="{00000000-0005-0000-0000-000013950000}"/>
    <cellStyle name="Normal 64 3" xfId="38163" xr:uid="{00000000-0005-0000-0000-000014950000}"/>
    <cellStyle name="Normal 64 3 2" xfId="38164" xr:uid="{00000000-0005-0000-0000-000015950000}"/>
    <cellStyle name="Normal 64 3 2 2" xfId="38165" xr:uid="{00000000-0005-0000-0000-000016950000}"/>
    <cellStyle name="Normal 64 3 2 3" xfId="38166" xr:uid="{00000000-0005-0000-0000-000017950000}"/>
    <cellStyle name="Normal 64 3 2 4" xfId="38167" xr:uid="{00000000-0005-0000-0000-000018950000}"/>
    <cellStyle name="Normal 64 3 2 5" xfId="38168" xr:uid="{00000000-0005-0000-0000-000019950000}"/>
    <cellStyle name="Normal 64 3 2 6" xfId="38169" xr:uid="{00000000-0005-0000-0000-00001A950000}"/>
    <cellStyle name="Normal 64 3 3" xfId="38170" xr:uid="{00000000-0005-0000-0000-00001B950000}"/>
    <cellStyle name="Normal 64 3 3 2" xfId="38171" xr:uid="{00000000-0005-0000-0000-00001C950000}"/>
    <cellStyle name="Normal 64 3 3 3" xfId="38172" xr:uid="{00000000-0005-0000-0000-00001D950000}"/>
    <cellStyle name="Normal 64 3 3 4" xfId="38173" xr:uid="{00000000-0005-0000-0000-00001E950000}"/>
    <cellStyle name="Normal 64 3 3 5" xfId="38174" xr:uid="{00000000-0005-0000-0000-00001F950000}"/>
    <cellStyle name="Normal 64 3 3 6" xfId="38175" xr:uid="{00000000-0005-0000-0000-000020950000}"/>
    <cellStyle name="Normal 64 3 4" xfId="38176" xr:uid="{00000000-0005-0000-0000-000021950000}"/>
    <cellStyle name="Normal 64 3 5" xfId="38177" xr:uid="{00000000-0005-0000-0000-000022950000}"/>
    <cellStyle name="Normal 64 3 6" xfId="38178" xr:uid="{00000000-0005-0000-0000-000023950000}"/>
    <cellStyle name="Normal 64 3 7" xfId="38179" xr:uid="{00000000-0005-0000-0000-000024950000}"/>
    <cellStyle name="Normal 64 3 8" xfId="38180" xr:uid="{00000000-0005-0000-0000-000025950000}"/>
    <cellStyle name="Normal 64 4" xfId="38181" xr:uid="{00000000-0005-0000-0000-000026950000}"/>
    <cellStyle name="Normal 64 4 2" xfId="38182" xr:uid="{00000000-0005-0000-0000-000027950000}"/>
    <cellStyle name="Normal 64 4 2 2" xfId="38183" xr:uid="{00000000-0005-0000-0000-000028950000}"/>
    <cellStyle name="Normal 64 4 2 3" xfId="38184" xr:uid="{00000000-0005-0000-0000-000029950000}"/>
    <cellStyle name="Normal 64 4 2 4" xfId="38185" xr:uid="{00000000-0005-0000-0000-00002A950000}"/>
    <cellStyle name="Normal 64 4 2 5" xfId="38186" xr:uid="{00000000-0005-0000-0000-00002B950000}"/>
    <cellStyle name="Normal 64 4 2 6" xfId="38187" xr:uid="{00000000-0005-0000-0000-00002C950000}"/>
    <cellStyle name="Normal 64 4 3" xfId="38188" xr:uid="{00000000-0005-0000-0000-00002D950000}"/>
    <cellStyle name="Normal 64 4 3 2" xfId="38189" xr:uid="{00000000-0005-0000-0000-00002E950000}"/>
    <cellStyle name="Normal 64 4 3 3" xfId="38190" xr:uid="{00000000-0005-0000-0000-00002F950000}"/>
    <cellStyle name="Normal 64 4 3 4" xfId="38191" xr:uid="{00000000-0005-0000-0000-000030950000}"/>
    <cellStyle name="Normal 64 4 3 5" xfId="38192" xr:uid="{00000000-0005-0000-0000-000031950000}"/>
    <cellStyle name="Normal 64 4 3 6" xfId="38193" xr:uid="{00000000-0005-0000-0000-000032950000}"/>
    <cellStyle name="Normal 64 4 4" xfId="38194" xr:uid="{00000000-0005-0000-0000-000033950000}"/>
    <cellStyle name="Normal 64 4 5" xfId="38195" xr:uid="{00000000-0005-0000-0000-000034950000}"/>
    <cellStyle name="Normal 64 4 6" xfId="38196" xr:uid="{00000000-0005-0000-0000-000035950000}"/>
    <cellStyle name="Normal 64 4 7" xfId="38197" xr:uid="{00000000-0005-0000-0000-000036950000}"/>
    <cellStyle name="Normal 64 4 8" xfId="38198" xr:uid="{00000000-0005-0000-0000-000037950000}"/>
    <cellStyle name="Normal 64 5" xfId="38199" xr:uid="{00000000-0005-0000-0000-000038950000}"/>
    <cellStyle name="Normal 64 5 2" xfId="38200" xr:uid="{00000000-0005-0000-0000-000039950000}"/>
    <cellStyle name="Normal 64 5 3" xfId="38201" xr:uid="{00000000-0005-0000-0000-00003A950000}"/>
    <cellStyle name="Normal 64 5 4" xfId="38202" xr:uid="{00000000-0005-0000-0000-00003B950000}"/>
    <cellStyle name="Normal 64 5 5" xfId="38203" xr:uid="{00000000-0005-0000-0000-00003C950000}"/>
    <cellStyle name="Normal 64 5 6" xfId="38204" xr:uid="{00000000-0005-0000-0000-00003D950000}"/>
    <cellStyle name="Normal 64 6" xfId="38205" xr:uid="{00000000-0005-0000-0000-00003E950000}"/>
    <cellStyle name="Normal 64 6 2" xfId="38206" xr:uid="{00000000-0005-0000-0000-00003F950000}"/>
    <cellStyle name="Normal 64 6 3" xfId="38207" xr:uid="{00000000-0005-0000-0000-000040950000}"/>
    <cellStyle name="Normal 64 6 4" xfId="38208" xr:uid="{00000000-0005-0000-0000-000041950000}"/>
    <cellStyle name="Normal 64 6 5" xfId="38209" xr:uid="{00000000-0005-0000-0000-000042950000}"/>
    <cellStyle name="Normal 64 6 6" xfId="38210" xr:uid="{00000000-0005-0000-0000-000043950000}"/>
    <cellStyle name="Normal 64 7" xfId="38211" xr:uid="{00000000-0005-0000-0000-000044950000}"/>
    <cellStyle name="Normal 64 8" xfId="38212" xr:uid="{00000000-0005-0000-0000-000045950000}"/>
    <cellStyle name="Normal 64 9" xfId="38213" xr:uid="{00000000-0005-0000-0000-000046950000}"/>
    <cellStyle name="Normal 65" xfId="38214" xr:uid="{00000000-0005-0000-0000-000047950000}"/>
    <cellStyle name="Normal 65 10" xfId="38215" xr:uid="{00000000-0005-0000-0000-000048950000}"/>
    <cellStyle name="Normal 65 10 2" xfId="38216" xr:uid="{00000000-0005-0000-0000-000049950000}"/>
    <cellStyle name="Normal 65 10 3" xfId="38217" xr:uid="{00000000-0005-0000-0000-00004A950000}"/>
    <cellStyle name="Normal 65 10 4" xfId="38218" xr:uid="{00000000-0005-0000-0000-00004B950000}"/>
    <cellStyle name="Normal 65 10 5" xfId="38219" xr:uid="{00000000-0005-0000-0000-00004C950000}"/>
    <cellStyle name="Normal 65 10 6" xfId="38220" xr:uid="{00000000-0005-0000-0000-00004D950000}"/>
    <cellStyle name="Normal 65 11" xfId="38221" xr:uid="{00000000-0005-0000-0000-00004E950000}"/>
    <cellStyle name="Normal 65 12" xfId="38222" xr:uid="{00000000-0005-0000-0000-00004F950000}"/>
    <cellStyle name="Normal 65 13" xfId="38223" xr:uid="{00000000-0005-0000-0000-000050950000}"/>
    <cellStyle name="Normal 65 14" xfId="38224" xr:uid="{00000000-0005-0000-0000-000051950000}"/>
    <cellStyle name="Normal 65 15" xfId="38225" xr:uid="{00000000-0005-0000-0000-000052950000}"/>
    <cellStyle name="Normal 65 2" xfId="38226" xr:uid="{00000000-0005-0000-0000-000053950000}"/>
    <cellStyle name="Normal 65 2 10" xfId="38227" xr:uid="{00000000-0005-0000-0000-000054950000}"/>
    <cellStyle name="Normal 65 2 11" xfId="38228" xr:uid="{00000000-0005-0000-0000-000055950000}"/>
    <cellStyle name="Normal 65 2 12" xfId="38229" xr:uid="{00000000-0005-0000-0000-000056950000}"/>
    <cellStyle name="Normal 65 2 13" xfId="38230" xr:uid="{00000000-0005-0000-0000-000057950000}"/>
    <cellStyle name="Normal 65 2 14" xfId="38231" xr:uid="{00000000-0005-0000-0000-000058950000}"/>
    <cellStyle name="Normal 65 2 2" xfId="38232" xr:uid="{00000000-0005-0000-0000-000059950000}"/>
    <cellStyle name="Normal 65 2 2 10" xfId="38233" xr:uid="{00000000-0005-0000-0000-00005A950000}"/>
    <cellStyle name="Normal 65 2 2 11" xfId="38234" xr:uid="{00000000-0005-0000-0000-00005B950000}"/>
    <cellStyle name="Normal 65 2 2 12" xfId="38235" xr:uid="{00000000-0005-0000-0000-00005C950000}"/>
    <cellStyle name="Normal 65 2 2 2" xfId="38236" xr:uid="{00000000-0005-0000-0000-00005D950000}"/>
    <cellStyle name="Normal 65 2 2 2 10" xfId="38237" xr:uid="{00000000-0005-0000-0000-00005E950000}"/>
    <cellStyle name="Normal 65 2 2 2 11" xfId="38238" xr:uid="{00000000-0005-0000-0000-00005F950000}"/>
    <cellStyle name="Normal 65 2 2 2 2" xfId="38239" xr:uid="{00000000-0005-0000-0000-000060950000}"/>
    <cellStyle name="Normal 65 2 2 2 2 2" xfId="38240" xr:uid="{00000000-0005-0000-0000-000061950000}"/>
    <cellStyle name="Normal 65 2 2 2 2 2 2" xfId="38241" xr:uid="{00000000-0005-0000-0000-000062950000}"/>
    <cellStyle name="Normal 65 2 2 2 2 2 3" xfId="38242" xr:uid="{00000000-0005-0000-0000-000063950000}"/>
    <cellStyle name="Normal 65 2 2 2 2 2 4" xfId="38243" xr:uid="{00000000-0005-0000-0000-000064950000}"/>
    <cellStyle name="Normal 65 2 2 2 2 2 5" xfId="38244" xr:uid="{00000000-0005-0000-0000-000065950000}"/>
    <cellStyle name="Normal 65 2 2 2 2 2 6" xfId="38245" xr:uid="{00000000-0005-0000-0000-000066950000}"/>
    <cellStyle name="Normal 65 2 2 2 2 3" xfId="38246" xr:uid="{00000000-0005-0000-0000-000067950000}"/>
    <cellStyle name="Normal 65 2 2 2 2 3 2" xfId="38247" xr:uid="{00000000-0005-0000-0000-000068950000}"/>
    <cellStyle name="Normal 65 2 2 2 2 3 3" xfId="38248" xr:uid="{00000000-0005-0000-0000-000069950000}"/>
    <cellStyle name="Normal 65 2 2 2 2 3 4" xfId="38249" xr:uid="{00000000-0005-0000-0000-00006A950000}"/>
    <cellStyle name="Normal 65 2 2 2 2 3 5" xfId="38250" xr:uid="{00000000-0005-0000-0000-00006B950000}"/>
    <cellStyle name="Normal 65 2 2 2 2 3 6" xfId="38251" xr:uid="{00000000-0005-0000-0000-00006C950000}"/>
    <cellStyle name="Normal 65 2 2 2 2 4" xfId="38252" xr:uid="{00000000-0005-0000-0000-00006D950000}"/>
    <cellStyle name="Normal 65 2 2 2 2 5" xfId="38253" xr:uid="{00000000-0005-0000-0000-00006E950000}"/>
    <cellStyle name="Normal 65 2 2 2 2 6" xfId="38254" xr:uid="{00000000-0005-0000-0000-00006F950000}"/>
    <cellStyle name="Normal 65 2 2 2 2 7" xfId="38255" xr:uid="{00000000-0005-0000-0000-000070950000}"/>
    <cellStyle name="Normal 65 2 2 2 2 8" xfId="38256" xr:uid="{00000000-0005-0000-0000-000071950000}"/>
    <cellStyle name="Normal 65 2 2 2 3" xfId="38257" xr:uid="{00000000-0005-0000-0000-000072950000}"/>
    <cellStyle name="Normal 65 2 2 2 3 2" xfId="38258" xr:uid="{00000000-0005-0000-0000-000073950000}"/>
    <cellStyle name="Normal 65 2 2 2 3 2 2" xfId="38259" xr:uid="{00000000-0005-0000-0000-000074950000}"/>
    <cellStyle name="Normal 65 2 2 2 3 2 3" xfId="38260" xr:uid="{00000000-0005-0000-0000-000075950000}"/>
    <cellStyle name="Normal 65 2 2 2 3 2 4" xfId="38261" xr:uid="{00000000-0005-0000-0000-000076950000}"/>
    <cellStyle name="Normal 65 2 2 2 3 2 5" xfId="38262" xr:uid="{00000000-0005-0000-0000-000077950000}"/>
    <cellStyle name="Normal 65 2 2 2 3 2 6" xfId="38263" xr:uid="{00000000-0005-0000-0000-000078950000}"/>
    <cellStyle name="Normal 65 2 2 2 3 3" xfId="38264" xr:uid="{00000000-0005-0000-0000-000079950000}"/>
    <cellStyle name="Normal 65 2 2 2 3 3 2" xfId="38265" xr:uid="{00000000-0005-0000-0000-00007A950000}"/>
    <cellStyle name="Normal 65 2 2 2 3 3 3" xfId="38266" xr:uid="{00000000-0005-0000-0000-00007B950000}"/>
    <cellStyle name="Normal 65 2 2 2 3 3 4" xfId="38267" xr:uid="{00000000-0005-0000-0000-00007C950000}"/>
    <cellStyle name="Normal 65 2 2 2 3 3 5" xfId="38268" xr:uid="{00000000-0005-0000-0000-00007D950000}"/>
    <cellStyle name="Normal 65 2 2 2 3 3 6" xfId="38269" xr:uid="{00000000-0005-0000-0000-00007E950000}"/>
    <cellStyle name="Normal 65 2 2 2 3 4" xfId="38270" xr:uid="{00000000-0005-0000-0000-00007F950000}"/>
    <cellStyle name="Normal 65 2 2 2 3 5" xfId="38271" xr:uid="{00000000-0005-0000-0000-000080950000}"/>
    <cellStyle name="Normal 65 2 2 2 3 6" xfId="38272" xr:uid="{00000000-0005-0000-0000-000081950000}"/>
    <cellStyle name="Normal 65 2 2 2 3 7" xfId="38273" xr:uid="{00000000-0005-0000-0000-000082950000}"/>
    <cellStyle name="Normal 65 2 2 2 3 8" xfId="38274" xr:uid="{00000000-0005-0000-0000-000083950000}"/>
    <cellStyle name="Normal 65 2 2 2 4" xfId="38275" xr:uid="{00000000-0005-0000-0000-000084950000}"/>
    <cellStyle name="Normal 65 2 2 2 4 2" xfId="38276" xr:uid="{00000000-0005-0000-0000-000085950000}"/>
    <cellStyle name="Normal 65 2 2 2 4 2 2" xfId="38277" xr:uid="{00000000-0005-0000-0000-000086950000}"/>
    <cellStyle name="Normal 65 2 2 2 4 2 3" xfId="38278" xr:uid="{00000000-0005-0000-0000-000087950000}"/>
    <cellStyle name="Normal 65 2 2 2 4 2 4" xfId="38279" xr:uid="{00000000-0005-0000-0000-000088950000}"/>
    <cellStyle name="Normal 65 2 2 2 4 2 5" xfId="38280" xr:uid="{00000000-0005-0000-0000-000089950000}"/>
    <cellStyle name="Normal 65 2 2 2 4 2 6" xfId="38281" xr:uid="{00000000-0005-0000-0000-00008A950000}"/>
    <cellStyle name="Normal 65 2 2 2 4 3" xfId="38282" xr:uid="{00000000-0005-0000-0000-00008B950000}"/>
    <cellStyle name="Normal 65 2 2 2 4 3 2" xfId="38283" xr:uid="{00000000-0005-0000-0000-00008C950000}"/>
    <cellStyle name="Normal 65 2 2 2 4 3 3" xfId="38284" xr:uid="{00000000-0005-0000-0000-00008D950000}"/>
    <cellStyle name="Normal 65 2 2 2 4 3 4" xfId="38285" xr:uid="{00000000-0005-0000-0000-00008E950000}"/>
    <cellStyle name="Normal 65 2 2 2 4 3 5" xfId="38286" xr:uid="{00000000-0005-0000-0000-00008F950000}"/>
    <cellStyle name="Normal 65 2 2 2 4 3 6" xfId="38287" xr:uid="{00000000-0005-0000-0000-000090950000}"/>
    <cellStyle name="Normal 65 2 2 2 4 4" xfId="38288" xr:uid="{00000000-0005-0000-0000-000091950000}"/>
    <cellStyle name="Normal 65 2 2 2 4 5" xfId="38289" xr:uid="{00000000-0005-0000-0000-000092950000}"/>
    <cellStyle name="Normal 65 2 2 2 4 6" xfId="38290" xr:uid="{00000000-0005-0000-0000-000093950000}"/>
    <cellStyle name="Normal 65 2 2 2 4 7" xfId="38291" xr:uid="{00000000-0005-0000-0000-000094950000}"/>
    <cellStyle name="Normal 65 2 2 2 4 8" xfId="38292" xr:uid="{00000000-0005-0000-0000-000095950000}"/>
    <cellStyle name="Normal 65 2 2 2 5" xfId="38293" xr:uid="{00000000-0005-0000-0000-000096950000}"/>
    <cellStyle name="Normal 65 2 2 2 5 2" xfId="38294" xr:uid="{00000000-0005-0000-0000-000097950000}"/>
    <cellStyle name="Normal 65 2 2 2 5 3" xfId="38295" xr:uid="{00000000-0005-0000-0000-000098950000}"/>
    <cellStyle name="Normal 65 2 2 2 5 4" xfId="38296" xr:uid="{00000000-0005-0000-0000-000099950000}"/>
    <cellStyle name="Normal 65 2 2 2 5 5" xfId="38297" xr:uid="{00000000-0005-0000-0000-00009A950000}"/>
    <cellStyle name="Normal 65 2 2 2 5 6" xfId="38298" xr:uid="{00000000-0005-0000-0000-00009B950000}"/>
    <cellStyle name="Normal 65 2 2 2 6" xfId="38299" xr:uid="{00000000-0005-0000-0000-00009C950000}"/>
    <cellStyle name="Normal 65 2 2 2 6 2" xfId="38300" xr:uid="{00000000-0005-0000-0000-00009D950000}"/>
    <cellStyle name="Normal 65 2 2 2 6 3" xfId="38301" xr:uid="{00000000-0005-0000-0000-00009E950000}"/>
    <cellStyle name="Normal 65 2 2 2 6 4" xfId="38302" xr:uid="{00000000-0005-0000-0000-00009F950000}"/>
    <cellStyle name="Normal 65 2 2 2 6 5" xfId="38303" xr:uid="{00000000-0005-0000-0000-0000A0950000}"/>
    <cellStyle name="Normal 65 2 2 2 6 6" xfId="38304" xr:uid="{00000000-0005-0000-0000-0000A1950000}"/>
    <cellStyle name="Normal 65 2 2 2 7" xfId="38305" xr:uid="{00000000-0005-0000-0000-0000A2950000}"/>
    <cellStyle name="Normal 65 2 2 2 8" xfId="38306" xr:uid="{00000000-0005-0000-0000-0000A3950000}"/>
    <cellStyle name="Normal 65 2 2 2 9" xfId="38307" xr:uid="{00000000-0005-0000-0000-0000A4950000}"/>
    <cellStyle name="Normal 65 2 2 3" xfId="38308" xr:uid="{00000000-0005-0000-0000-0000A5950000}"/>
    <cellStyle name="Normal 65 2 2 3 2" xfId="38309" xr:uid="{00000000-0005-0000-0000-0000A6950000}"/>
    <cellStyle name="Normal 65 2 2 3 2 2" xfId="38310" xr:uid="{00000000-0005-0000-0000-0000A7950000}"/>
    <cellStyle name="Normal 65 2 2 3 2 3" xfId="38311" xr:uid="{00000000-0005-0000-0000-0000A8950000}"/>
    <cellStyle name="Normal 65 2 2 3 2 4" xfId="38312" xr:uid="{00000000-0005-0000-0000-0000A9950000}"/>
    <cellStyle name="Normal 65 2 2 3 2 5" xfId="38313" xr:uid="{00000000-0005-0000-0000-0000AA950000}"/>
    <cellStyle name="Normal 65 2 2 3 2 6" xfId="38314" xr:uid="{00000000-0005-0000-0000-0000AB950000}"/>
    <cellStyle name="Normal 65 2 2 3 3" xfId="38315" xr:uid="{00000000-0005-0000-0000-0000AC950000}"/>
    <cellStyle name="Normal 65 2 2 3 3 2" xfId="38316" xr:uid="{00000000-0005-0000-0000-0000AD950000}"/>
    <cellStyle name="Normal 65 2 2 3 3 3" xfId="38317" xr:uid="{00000000-0005-0000-0000-0000AE950000}"/>
    <cellStyle name="Normal 65 2 2 3 3 4" xfId="38318" xr:uid="{00000000-0005-0000-0000-0000AF950000}"/>
    <cellStyle name="Normal 65 2 2 3 3 5" xfId="38319" xr:uid="{00000000-0005-0000-0000-0000B0950000}"/>
    <cellStyle name="Normal 65 2 2 3 3 6" xfId="38320" xr:uid="{00000000-0005-0000-0000-0000B1950000}"/>
    <cellStyle name="Normal 65 2 2 3 4" xfId="38321" xr:uid="{00000000-0005-0000-0000-0000B2950000}"/>
    <cellStyle name="Normal 65 2 2 3 5" xfId="38322" xr:uid="{00000000-0005-0000-0000-0000B3950000}"/>
    <cellStyle name="Normal 65 2 2 3 6" xfId="38323" xr:uid="{00000000-0005-0000-0000-0000B4950000}"/>
    <cellStyle name="Normal 65 2 2 3 7" xfId="38324" xr:uid="{00000000-0005-0000-0000-0000B5950000}"/>
    <cellStyle name="Normal 65 2 2 3 8" xfId="38325" xr:uid="{00000000-0005-0000-0000-0000B6950000}"/>
    <cellStyle name="Normal 65 2 2 4" xfId="38326" xr:uid="{00000000-0005-0000-0000-0000B7950000}"/>
    <cellStyle name="Normal 65 2 2 4 2" xfId="38327" xr:uid="{00000000-0005-0000-0000-0000B8950000}"/>
    <cellStyle name="Normal 65 2 2 4 2 2" xfId="38328" xr:uid="{00000000-0005-0000-0000-0000B9950000}"/>
    <cellStyle name="Normal 65 2 2 4 2 3" xfId="38329" xr:uid="{00000000-0005-0000-0000-0000BA950000}"/>
    <cellStyle name="Normal 65 2 2 4 2 4" xfId="38330" xr:uid="{00000000-0005-0000-0000-0000BB950000}"/>
    <cellStyle name="Normal 65 2 2 4 2 5" xfId="38331" xr:uid="{00000000-0005-0000-0000-0000BC950000}"/>
    <cellStyle name="Normal 65 2 2 4 2 6" xfId="38332" xr:uid="{00000000-0005-0000-0000-0000BD950000}"/>
    <cellStyle name="Normal 65 2 2 4 3" xfId="38333" xr:uid="{00000000-0005-0000-0000-0000BE950000}"/>
    <cellStyle name="Normal 65 2 2 4 3 2" xfId="38334" xr:uid="{00000000-0005-0000-0000-0000BF950000}"/>
    <cellStyle name="Normal 65 2 2 4 3 3" xfId="38335" xr:uid="{00000000-0005-0000-0000-0000C0950000}"/>
    <cellStyle name="Normal 65 2 2 4 3 4" xfId="38336" xr:uid="{00000000-0005-0000-0000-0000C1950000}"/>
    <cellStyle name="Normal 65 2 2 4 3 5" xfId="38337" xr:uid="{00000000-0005-0000-0000-0000C2950000}"/>
    <cellStyle name="Normal 65 2 2 4 3 6" xfId="38338" xr:uid="{00000000-0005-0000-0000-0000C3950000}"/>
    <cellStyle name="Normal 65 2 2 4 4" xfId="38339" xr:uid="{00000000-0005-0000-0000-0000C4950000}"/>
    <cellStyle name="Normal 65 2 2 4 5" xfId="38340" xr:uid="{00000000-0005-0000-0000-0000C5950000}"/>
    <cellStyle name="Normal 65 2 2 4 6" xfId="38341" xr:uid="{00000000-0005-0000-0000-0000C6950000}"/>
    <cellStyle name="Normal 65 2 2 4 7" xfId="38342" xr:uid="{00000000-0005-0000-0000-0000C7950000}"/>
    <cellStyle name="Normal 65 2 2 4 8" xfId="38343" xr:uid="{00000000-0005-0000-0000-0000C8950000}"/>
    <cellStyle name="Normal 65 2 2 5" xfId="38344" xr:uid="{00000000-0005-0000-0000-0000C9950000}"/>
    <cellStyle name="Normal 65 2 2 5 2" xfId="38345" xr:uid="{00000000-0005-0000-0000-0000CA950000}"/>
    <cellStyle name="Normal 65 2 2 5 2 2" xfId="38346" xr:uid="{00000000-0005-0000-0000-0000CB950000}"/>
    <cellStyle name="Normal 65 2 2 5 2 3" xfId="38347" xr:uid="{00000000-0005-0000-0000-0000CC950000}"/>
    <cellStyle name="Normal 65 2 2 5 2 4" xfId="38348" xr:uid="{00000000-0005-0000-0000-0000CD950000}"/>
    <cellStyle name="Normal 65 2 2 5 2 5" xfId="38349" xr:uid="{00000000-0005-0000-0000-0000CE950000}"/>
    <cellStyle name="Normal 65 2 2 5 2 6" xfId="38350" xr:uid="{00000000-0005-0000-0000-0000CF950000}"/>
    <cellStyle name="Normal 65 2 2 5 3" xfId="38351" xr:uid="{00000000-0005-0000-0000-0000D0950000}"/>
    <cellStyle name="Normal 65 2 2 5 3 2" xfId="38352" xr:uid="{00000000-0005-0000-0000-0000D1950000}"/>
    <cellStyle name="Normal 65 2 2 5 3 3" xfId="38353" xr:uid="{00000000-0005-0000-0000-0000D2950000}"/>
    <cellStyle name="Normal 65 2 2 5 3 4" xfId="38354" xr:uid="{00000000-0005-0000-0000-0000D3950000}"/>
    <cellStyle name="Normal 65 2 2 5 3 5" xfId="38355" xr:uid="{00000000-0005-0000-0000-0000D4950000}"/>
    <cellStyle name="Normal 65 2 2 5 3 6" xfId="38356" xr:uid="{00000000-0005-0000-0000-0000D5950000}"/>
    <cellStyle name="Normal 65 2 2 5 4" xfId="38357" xr:uid="{00000000-0005-0000-0000-0000D6950000}"/>
    <cellStyle name="Normal 65 2 2 5 5" xfId="38358" xr:uid="{00000000-0005-0000-0000-0000D7950000}"/>
    <cellStyle name="Normal 65 2 2 5 6" xfId="38359" xr:uid="{00000000-0005-0000-0000-0000D8950000}"/>
    <cellStyle name="Normal 65 2 2 5 7" xfId="38360" xr:uid="{00000000-0005-0000-0000-0000D9950000}"/>
    <cellStyle name="Normal 65 2 2 5 8" xfId="38361" xr:uid="{00000000-0005-0000-0000-0000DA950000}"/>
    <cellStyle name="Normal 65 2 2 6" xfId="38362" xr:uid="{00000000-0005-0000-0000-0000DB950000}"/>
    <cellStyle name="Normal 65 2 2 6 2" xfId="38363" xr:uid="{00000000-0005-0000-0000-0000DC950000}"/>
    <cellStyle name="Normal 65 2 2 6 3" xfId="38364" xr:uid="{00000000-0005-0000-0000-0000DD950000}"/>
    <cellStyle name="Normal 65 2 2 6 4" xfId="38365" xr:uid="{00000000-0005-0000-0000-0000DE950000}"/>
    <cellStyle name="Normal 65 2 2 6 5" xfId="38366" xr:uid="{00000000-0005-0000-0000-0000DF950000}"/>
    <cellStyle name="Normal 65 2 2 6 6" xfId="38367" xr:uid="{00000000-0005-0000-0000-0000E0950000}"/>
    <cellStyle name="Normal 65 2 2 7" xfId="38368" xr:uid="{00000000-0005-0000-0000-0000E1950000}"/>
    <cellStyle name="Normal 65 2 2 7 2" xfId="38369" xr:uid="{00000000-0005-0000-0000-0000E2950000}"/>
    <cellStyle name="Normal 65 2 2 7 3" xfId="38370" xr:uid="{00000000-0005-0000-0000-0000E3950000}"/>
    <cellStyle name="Normal 65 2 2 7 4" xfId="38371" xr:uid="{00000000-0005-0000-0000-0000E4950000}"/>
    <cellStyle name="Normal 65 2 2 7 5" xfId="38372" xr:uid="{00000000-0005-0000-0000-0000E5950000}"/>
    <cellStyle name="Normal 65 2 2 7 6" xfId="38373" xr:uid="{00000000-0005-0000-0000-0000E6950000}"/>
    <cellStyle name="Normal 65 2 2 8" xfId="38374" xr:uid="{00000000-0005-0000-0000-0000E7950000}"/>
    <cellStyle name="Normal 65 2 2 9" xfId="38375" xr:uid="{00000000-0005-0000-0000-0000E8950000}"/>
    <cellStyle name="Normal 65 2 3" xfId="38376" xr:uid="{00000000-0005-0000-0000-0000E9950000}"/>
    <cellStyle name="Normal 65 2 3 10" xfId="38377" xr:uid="{00000000-0005-0000-0000-0000EA950000}"/>
    <cellStyle name="Normal 65 2 3 11" xfId="38378" xr:uid="{00000000-0005-0000-0000-0000EB950000}"/>
    <cellStyle name="Normal 65 2 3 12" xfId="38379" xr:uid="{00000000-0005-0000-0000-0000EC950000}"/>
    <cellStyle name="Normal 65 2 3 2" xfId="38380" xr:uid="{00000000-0005-0000-0000-0000ED950000}"/>
    <cellStyle name="Normal 65 2 3 2 10" xfId="38381" xr:uid="{00000000-0005-0000-0000-0000EE950000}"/>
    <cellStyle name="Normal 65 2 3 2 11" xfId="38382" xr:uid="{00000000-0005-0000-0000-0000EF950000}"/>
    <cellStyle name="Normal 65 2 3 2 2" xfId="38383" xr:uid="{00000000-0005-0000-0000-0000F0950000}"/>
    <cellStyle name="Normal 65 2 3 2 2 2" xfId="38384" xr:uid="{00000000-0005-0000-0000-0000F1950000}"/>
    <cellStyle name="Normal 65 2 3 2 2 2 2" xfId="38385" xr:uid="{00000000-0005-0000-0000-0000F2950000}"/>
    <cellStyle name="Normal 65 2 3 2 2 2 3" xfId="38386" xr:uid="{00000000-0005-0000-0000-0000F3950000}"/>
    <cellStyle name="Normal 65 2 3 2 2 2 4" xfId="38387" xr:uid="{00000000-0005-0000-0000-0000F4950000}"/>
    <cellStyle name="Normal 65 2 3 2 2 2 5" xfId="38388" xr:uid="{00000000-0005-0000-0000-0000F5950000}"/>
    <cellStyle name="Normal 65 2 3 2 2 2 6" xfId="38389" xr:uid="{00000000-0005-0000-0000-0000F6950000}"/>
    <cellStyle name="Normal 65 2 3 2 2 3" xfId="38390" xr:uid="{00000000-0005-0000-0000-0000F7950000}"/>
    <cellStyle name="Normal 65 2 3 2 2 3 2" xfId="38391" xr:uid="{00000000-0005-0000-0000-0000F8950000}"/>
    <cellStyle name="Normal 65 2 3 2 2 3 3" xfId="38392" xr:uid="{00000000-0005-0000-0000-0000F9950000}"/>
    <cellStyle name="Normal 65 2 3 2 2 3 4" xfId="38393" xr:uid="{00000000-0005-0000-0000-0000FA950000}"/>
    <cellStyle name="Normal 65 2 3 2 2 3 5" xfId="38394" xr:uid="{00000000-0005-0000-0000-0000FB950000}"/>
    <cellStyle name="Normal 65 2 3 2 2 3 6" xfId="38395" xr:uid="{00000000-0005-0000-0000-0000FC950000}"/>
    <cellStyle name="Normal 65 2 3 2 2 4" xfId="38396" xr:uid="{00000000-0005-0000-0000-0000FD950000}"/>
    <cellStyle name="Normal 65 2 3 2 2 5" xfId="38397" xr:uid="{00000000-0005-0000-0000-0000FE950000}"/>
    <cellStyle name="Normal 65 2 3 2 2 6" xfId="38398" xr:uid="{00000000-0005-0000-0000-0000FF950000}"/>
    <cellStyle name="Normal 65 2 3 2 2 7" xfId="38399" xr:uid="{00000000-0005-0000-0000-000000960000}"/>
    <cellStyle name="Normal 65 2 3 2 2 8" xfId="38400" xr:uid="{00000000-0005-0000-0000-000001960000}"/>
    <cellStyle name="Normal 65 2 3 2 3" xfId="38401" xr:uid="{00000000-0005-0000-0000-000002960000}"/>
    <cellStyle name="Normal 65 2 3 2 3 2" xfId="38402" xr:uid="{00000000-0005-0000-0000-000003960000}"/>
    <cellStyle name="Normal 65 2 3 2 3 2 2" xfId="38403" xr:uid="{00000000-0005-0000-0000-000004960000}"/>
    <cellStyle name="Normal 65 2 3 2 3 2 3" xfId="38404" xr:uid="{00000000-0005-0000-0000-000005960000}"/>
    <cellStyle name="Normal 65 2 3 2 3 2 4" xfId="38405" xr:uid="{00000000-0005-0000-0000-000006960000}"/>
    <cellStyle name="Normal 65 2 3 2 3 2 5" xfId="38406" xr:uid="{00000000-0005-0000-0000-000007960000}"/>
    <cellStyle name="Normal 65 2 3 2 3 2 6" xfId="38407" xr:uid="{00000000-0005-0000-0000-000008960000}"/>
    <cellStyle name="Normal 65 2 3 2 3 3" xfId="38408" xr:uid="{00000000-0005-0000-0000-000009960000}"/>
    <cellStyle name="Normal 65 2 3 2 3 3 2" xfId="38409" xr:uid="{00000000-0005-0000-0000-00000A960000}"/>
    <cellStyle name="Normal 65 2 3 2 3 3 3" xfId="38410" xr:uid="{00000000-0005-0000-0000-00000B960000}"/>
    <cellStyle name="Normal 65 2 3 2 3 3 4" xfId="38411" xr:uid="{00000000-0005-0000-0000-00000C960000}"/>
    <cellStyle name="Normal 65 2 3 2 3 3 5" xfId="38412" xr:uid="{00000000-0005-0000-0000-00000D960000}"/>
    <cellStyle name="Normal 65 2 3 2 3 3 6" xfId="38413" xr:uid="{00000000-0005-0000-0000-00000E960000}"/>
    <cellStyle name="Normal 65 2 3 2 3 4" xfId="38414" xr:uid="{00000000-0005-0000-0000-00000F960000}"/>
    <cellStyle name="Normal 65 2 3 2 3 5" xfId="38415" xr:uid="{00000000-0005-0000-0000-000010960000}"/>
    <cellStyle name="Normal 65 2 3 2 3 6" xfId="38416" xr:uid="{00000000-0005-0000-0000-000011960000}"/>
    <cellStyle name="Normal 65 2 3 2 3 7" xfId="38417" xr:uid="{00000000-0005-0000-0000-000012960000}"/>
    <cellStyle name="Normal 65 2 3 2 3 8" xfId="38418" xr:uid="{00000000-0005-0000-0000-000013960000}"/>
    <cellStyle name="Normal 65 2 3 2 4" xfId="38419" xr:uid="{00000000-0005-0000-0000-000014960000}"/>
    <cellStyle name="Normal 65 2 3 2 4 2" xfId="38420" xr:uid="{00000000-0005-0000-0000-000015960000}"/>
    <cellStyle name="Normal 65 2 3 2 4 2 2" xfId="38421" xr:uid="{00000000-0005-0000-0000-000016960000}"/>
    <cellStyle name="Normal 65 2 3 2 4 2 3" xfId="38422" xr:uid="{00000000-0005-0000-0000-000017960000}"/>
    <cellStyle name="Normal 65 2 3 2 4 2 4" xfId="38423" xr:uid="{00000000-0005-0000-0000-000018960000}"/>
    <cellStyle name="Normal 65 2 3 2 4 2 5" xfId="38424" xr:uid="{00000000-0005-0000-0000-000019960000}"/>
    <cellStyle name="Normal 65 2 3 2 4 2 6" xfId="38425" xr:uid="{00000000-0005-0000-0000-00001A960000}"/>
    <cellStyle name="Normal 65 2 3 2 4 3" xfId="38426" xr:uid="{00000000-0005-0000-0000-00001B960000}"/>
    <cellStyle name="Normal 65 2 3 2 4 3 2" xfId="38427" xr:uid="{00000000-0005-0000-0000-00001C960000}"/>
    <cellStyle name="Normal 65 2 3 2 4 3 3" xfId="38428" xr:uid="{00000000-0005-0000-0000-00001D960000}"/>
    <cellStyle name="Normal 65 2 3 2 4 3 4" xfId="38429" xr:uid="{00000000-0005-0000-0000-00001E960000}"/>
    <cellStyle name="Normal 65 2 3 2 4 3 5" xfId="38430" xr:uid="{00000000-0005-0000-0000-00001F960000}"/>
    <cellStyle name="Normal 65 2 3 2 4 3 6" xfId="38431" xr:uid="{00000000-0005-0000-0000-000020960000}"/>
    <cellStyle name="Normal 65 2 3 2 4 4" xfId="38432" xr:uid="{00000000-0005-0000-0000-000021960000}"/>
    <cellStyle name="Normal 65 2 3 2 4 5" xfId="38433" xr:uid="{00000000-0005-0000-0000-000022960000}"/>
    <cellStyle name="Normal 65 2 3 2 4 6" xfId="38434" xr:uid="{00000000-0005-0000-0000-000023960000}"/>
    <cellStyle name="Normal 65 2 3 2 4 7" xfId="38435" xr:uid="{00000000-0005-0000-0000-000024960000}"/>
    <cellStyle name="Normal 65 2 3 2 4 8" xfId="38436" xr:uid="{00000000-0005-0000-0000-000025960000}"/>
    <cellStyle name="Normal 65 2 3 2 5" xfId="38437" xr:uid="{00000000-0005-0000-0000-000026960000}"/>
    <cellStyle name="Normal 65 2 3 2 5 2" xfId="38438" xr:uid="{00000000-0005-0000-0000-000027960000}"/>
    <cellStyle name="Normal 65 2 3 2 5 3" xfId="38439" xr:uid="{00000000-0005-0000-0000-000028960000}"/>
    <cellStyle name="Normal 65 2 3 2 5 4" xfId="38440" xr:uid="{00000000-0005-0000-0000-000029960000}"/>
    <cellStyle name="Normal 65 2 3 2 5 5" xfId="38441" xr:uid="{00000000-0005-0000-0000-00002A960000}"/>
    <cellStyle name="Normal 65 2 3 2 5 6" xfId="38442" xr:uid="{00000000-0005-0000-0000-00002B960000}"/>
    <cellStyle name="Normal 65 2 3 2 6" xfId="38443" xr:uid="{00000000-0005-0000-0000-00002C960000}"/>
    <cellStyle name="Normal 65 2 3 2 6 2" xfId="38444" xr:uid="{00000000-0005-0000-0000-00002D960000}"/>
    <cellStyle name="Normal 65 2 3 2 6 3" xfId="38445" xr:uid="{00000000-0005-0000-0000-00002E960000}"/>
    <cellStyle name="Normal 65 2 3 2 6 4" xfId="38446" xr:uid="{00000000-0005-0000-0000-00002F960000}"/>
    <cellStyle name="Normal 65 2 3 2 6 5" xfId="38447" xr:uid="{00000000-0005-0000-0000-000030960000}"/>
    <cellStyle name="Normal 65 2 3 2 6 6" xfId="38448" xr:uid="{00000000-0005-0000-0000-000031960000}"/>
    <cellStyle name="Normal 65 2 3 2 7" xfId="38449" xr:uid="{00000000-0005-0000-0000-000032960000}"/>
    <cellStyle name="Normal 65 2 3 2 8" xfId="38450" xr:uid="{00000000-0005-0000-0000-000033960000}"/>
    <cellStyle name="Normal 65 2 3 2 9" xfId="38451" xr:uid="{00000000-0005-0000-0000-000034960000}"/>
    <cellStyle name="Normal 65 2 3 3" xfId="38452" xr:uid="{00000000-0005-0000-0000-000035960000}"/>
    <cellStyle name="Normal 65 2 3 3 2" xfId="38453" xr:uid="{00000000-0005-0000-0000-000036960000}"/>
    <cellStyle name="Normal 65 2 3 3 2 2" xfId="38454" xr:uid="{00000000-0005-0000-0000-000037960000}"/>
    <cellStyle name="Normal 65 2 3 3 2 3" xfId="38455" xr:uid="{00000000-0005-0000-0000-000038960000}"/>
    <cellStyle name="Normal 65 2 3 3 2 4" xfId="38456" xr:uid="{00000000-0005-0000-0000-000039960000}"/>
    <cellStyle name="Normal 65 2 3 3 2 5" xfId="38457" xr:uid="{00000000-0005-0000-0000-00003A960000}"/>
    <cellStyle name="Normal 65 2 3 3 2 6" xfId="38458" xr:uid="{00000000-0005-0000-0000-00003B960000}"/>
    <cellStyle name="Normal 65 2 3 3 3" xfId="38459" xr:uid="{00000000-0005-0000-0000-00003C960000}"/>
    <cellStyle name="Normal 65 2 3 3 3 2" xfId="38460" xr:uid="{00000000-0005-0000-0000-00003D960000}"/>
    <cellStyle name="Normal 65 2 3 3 3 3" xfId="38461" xr:uid="{00000000-0005-0000-0000-00003E960000}"/>
    <cellStyle name="Normal 65 2 3 3 3 4" xfId="38462" xr:uid="{00000000-0005-0000-0000-00003F960000}"/>
    <cellStyle name="Normal 65 2 3 3 3 5" xfId="38463" xr:uid="{00000000-0005-0000-0000-000040960000}"/>
    <cellStyle name="Normal 65 2 3 3 3 6" xfId="38464" xr:uid="{00000000-0005-0000-0000-000041960000}"/>
    <cellStyle name="Normal 65 2 3 3 4" xfId="38465" xr:uid="{00000000-0005-0000-0000-000042960000}"/>
    <cellStyle name="Normal 65 2 3 3 5" xfId="38466" xr:uid="{00000000-0005-0000-0000-000043960000}"/>
    <cellStyle name="Normal 65 2 3 3 6" xfId="38467" xr:uid="{00000000-0005-0000-0000-000044960000}"/>
    <cellStyle name="Normal 65 2 3 3 7" xfId="38468" xr:uid="{00000000-0005-0000-0000-000045960000}"/>
    <cellStyle name="Normal 65 2 3 3 8" xfId="38469" xr:uid="{00000000-0005-0000-0000-000046960000}"/>
    <cellStyle name="Normal 65 2 3 4" xfId="38470" xr:uid="{00000000-0005-0000-0000-000047960000}"/>
    <cellStyle name="Normal 65 2 3 4 2" xfId="38471" xr:uid="{00000000-0005-0000-0000-000048960000}"/>
    <cellStyle name="Normal 65 2 3 4 2 2" xfId="38472" xr:uid="{00000000-0005-0000-0000-000049960000}"/>
    <cellStyle name="Normal 65 2 3 4 2 3" xfId="38473" xr:uid="{00000000-0005-0000-0000-00004A960000}"/>
    <cellStyle name="Normal 65 2 3 4 2 4" xfId="38474" xr:uid="{00000000-0005-0000-0000-00004B960000}"/>
    <cellStyle name="Normal 65 2 3 4 2 5" xfId="38475" xr:uid="{00000000-0005-0000-0000-00004C960000}"/>
    <cellStyle name="Normal 65 2 3 4 2 6" xfId="38476" xr:uid="{00000000-0005-0000-0000-00004D960000}"/>
    <cellStyle name="Normal 65 2 3 4 3" xfId="38477" xr:uid="{00000000-0005-0000-0000-00004E960000}"/>
    <cellStyle name="Normal 65 2 3 4 3 2" xfId="38478" xr:uid="{00000000-0005-0000-0000-00004F960000}"/>
    <cellStyle name="Normal 65 2 3 4 3 3" xfId="38479" xr:uid="{00000000-0005-0000-0000-000050960000}"/>
    <cellStyle name="Normal 65 2 3 4 3 4" xfId="38480" xr:uid="{00000000-0005-0000-0000-000051960000}"/>
    <cellStyle name="Normal 65 2 3 4 3 5" xfId="38481" xr:uid="{00000000-0005-0000-0000-000052960000}"/>
    <cellStyle name="Normal 65 2 3 4 3 6" xfId="38482" xr:uid="{00000000-0005-0000-0000-000053960000}"/>
    <cellStyle name="Normal 65 2 3 4 4" xfId="38483" xr:uid="{00000000-0005-0000-0000-000054960000}"/>
    <cellStyle name="Normal 65 2 3 4 5" xfId="38484" xr:uid="{00000000-0005-0000-0000-000055960000}"/>
    <cellStyle name="Normal 65 2 3 4 6" xfId="38485" xr:uid="{00000000-0005-0000-0000-000056960000}"/>
    <cellStyle name="Normal 65 2 3 4 7" xfId="38486" xr:uid="{00000000-0005-0000-0000-000057960000}"/>
    <cellStyle name="Normal 65 2 3 4 8" xfId="38487" xr:uid="{00000000-0005-0000-0000-000058960000}"/>
    <cellStyle name="Normal 65 2 3 5" xfId="38488" xr:uid="{00000000-0005-0000-0000-000059960000}"/>
    <cellStyle name="Normal 65 2 3 5 2" xfId="38489" xr:uid="{00000000-0005-0000-0000-00005A960000}"/>
    <cellStyle name="Normal 65 2 3 5 2 2" xfId="38490" xr:uid="{00000000-0005-0000-0000-00005B960000}"/>
    <cellStyle name="Normal 65 2 3 5 2 3" xfId="38491" xr:uid="{00000000-0005-0000-0000-00005C960000}"/>
    <cellStyle name="Normal 65 2 3 5 2 4" xfId="38492" xr:uid="{00000000-0005-0000-0000-00005D960000}"/>
    <cellStyle name="Normal 65 2 3 5 2 5" xfId="38493" xr:uid="{00000000-0005-0000-0000-00005E960000}"/>
    <cellStyle name="Normal 65 2 3 5 2 6" xfId="38494" xr:uid="{00000000-0005-0000-0000-00005F960000}"/>
    <cellStyle name="Normal 65 2 3 5 3" xfId="38495" xr:uid="{00000000-0005-0000-0000-000060960000}"/>
    <cellStyle name="Normal 65 2 3 5 3 2" xfId="38496" xr:uid="{00000000-0005-0000-0000-000061960000}"/>
    <cellStyle name="Normal 65 2 3 5 3 3" xfId="38497" xr:uid="{00000000-0005-0000-0000-000062960000}"/>
    <cellStyle name="Normal 65 2 3 5 3 4" xfId="38498" xr:uid="{00000000-0005-0000-0000-000063960000}"/>
    <cellStyle name="Normal 65 2 3 5 3 5" xfId="38499" xr:uid="{00000000-0005-0000-0000-000064960000}"/>
    <cellStyle name="Normal 65 2 3 5 3 6" xfId="38500" xr:uid="{00000000-0005-0000-0000-000065960000}"/>
    <cellStyle name="Normal 65 2 3 5 4" xfId="38501" xr:uid="{00000000-0005-0000-0000-000066960000}"/>
    <cellStyle name="Normal 65 2 3 5 5" xfId="38502" xr:uid="{00000000-0005-0000-0000-000067960000}"/>
    <cellStyle name="Normal 65 2 3 5 6" xfId="38503" xr:uid="{00000000-0005-0000-0000-000068960000}"/>
    <cellStyle name="Normal 65 2 3 5 7" xfId="38504" xr:uid="{00000000-0005-0000-0000-000069960000}"/>
    <cellStyle name="Normal 65 2 3 5 8" xfId="38505" xr:uid="{00000000-0005-0000-0000-00006A960000}"/>
    <cellStyle name="Normal 65 2 3 6" xfId="38506" xr:uid="{00000000-0005-0000-0000-00006B960000}"/>
    <cellStyle name="Normal 65 2 3 6 2" xfId="38507" xr:uid="{00000000-0005-0000-0000-00006C960000}"/>
    <cellStyle name="Normal 65 2 3 6 3" xfId="38508" xr:uid="{00000000-0005-0000-0000-00006D960000}"/>
    <cellStyle name="Normal 65 2 3 6 4" xfId="38509" xr:uid="{00000000-0005-0000-0000-00006E960000}"/>
    <cellStyle name="Normal 65 2 3 6 5" xfId="38510" xr:uid="{00000000-0005-0000-0000-00006F960000}"/>
    <cellStyle name="Normal 65 2 3 6 6" xfId="38511" xr:uid="{00000000-0005-0000-0000-000070960000}"/>
    <cellStyle name="Normal 65 2 3 7" xfId="38512" xr:uid="{00000000-0005-0000-0000-000071960000}"/>
    <cellStyle name="Normal 65 2 3 7 2" xfId="38513" xr:uid="{00000000-0005-0000-0000-000072960000}"/>
    <cellStyle name="Normal 65 2 3 7 3" xfId="38514" xr:uid="{00000000-0005-0000-0000-000073960000}"/>
    <cellStyle name="Normal 65 2 3 7 4" xfId="38515" xr:uid="{00000000-0005-0000-0000-000074960000}"/>
    <cellStyle name="Normal 65 2 3 7 5" xfId="38516" xr:uid="{00000000-0005-0000-0000-000075960000}"/>
    <cellStyle name="Normal 65 2 3 7 6" xfId="38517" xr:uid="{00000000-0005-0000-0000-000076960000}"/>
    <cellStyle name="Normal 65 2 3 8" xfId="38518" xr:uid="{00000000-0005-0000-0000-000077960000}"/>
    <cellStyle name="Normal 65 2 3 9" xfId="38519" xr:uid="{00000000-0005-0000-0000-000078960000}"/>
    <cellStyle name="Normal 65 2 4" xfId="38520" xr:uid="{00000000-0005-0000-0000-000079960000}"/>
    <cellStyle name="Normal 65 2 4 10" xfId="38521" xr:uid="{00000000-0005-0000-0000-00007A960000}"/>
    <cellStyle name="Normal 65 2 4 11" xfId="38522" xr:uid="{00000000-0005-0000-0000-00007B960000}"/>
    <cellStyle name="Normal 65 2 4 2" xfId="38523" xr:uid="{00000000-0005-0000-0000-00007C960000}"/>
    <cellStyle name="Normal 65 2 4 2 2" xfId="38524" xr:uid="{00000000-0005-0000-0000-00007D960000}"/>
    <cellStyle name="Normal 65 2 4 2 2 2" xfId="38525" xr:uid="{00000000-0005-0000-0000-00007E960000}"/>
    <cellStyle name="Normal 65 2 4 2 2 3" xfId="38526" xr:uid="{00000000-0005-0000-0000-00007F960000}"/>
    <cellStyle name="Normal 65 2 4 2 2 4" xfId="38527" xr:uid="{00000000-0005-0000-0000-000080960000}"/>
    <cellStyle name="Normal 65 2 4 2 2 5" xfId="38528" xr:uid="{00000000-0005-0000-0000-000081960000}"/>
    <cellStyle name="Normal 65 2 4 2 2 6" xfId="38529" xr:uid="{00000000-0005-0000-0000-000082960000}"/>
    <cellStyle name="Normal 65 2 4 2 3" xfId="38530" xr:uid="{00000000-0005-0000-0000-000083960000}"/>
    <cellStyle name="Normal 65 2 4 2 3 2" xfId="38531" xr:uid="{00000000-0005-0000-0000-000084960000}"/>
    <cellStyle name="Normal 65 2 4 2 3 3" xfId="38532" xr:uid="{00000000-0005-0000-0000-000085960000}"/>
    <cellStyle name="Normal 65 2 4 2 3 4" xfId="38533" xr:uid="{00000000-0005-0000-0000-000086960000}"/>
    <cellStyle name="Normal 65 2 4 2 3 5" xfId="38534" xr:uid="{00000000-0005-0000-0000-000087960000}"/>
    <cellStyle name="Normal 65 2 4 2 3 6" xfId="38535" xr:uid="{00000000-0005-0000-0000-000088960000}"/>
    <cellStyle name="Normal 65 2 4 2 4" xfId="38536" xr:uid="{00000000-0005-0000-0000-000089960000}"/>
    <cellStyle name="Normal 65 2 4 2 5" xfId="38537" xr:uid="{00000000-0005-0000-0000-00008A960000}"/>
    <cellStyle name="Normal 65 2 4 2 6" xfId="38538" xr:uid="{00000000-0005-0000-0000-00008B960000}"/>
    <cellStyle name="Normal 65 2 4 2 7" xfId="38539" xr:uid="{00000000-0005-0000-0000-00008C960000}"/>
    <cellStyle name="Normal 65 2 4 2 8" xfId="38540" xr:uid="{00000000-0005-0000-0000-00008D960000}"/>
    <cellStyle name="Normal 65 2 4 3" xfId="38541" xr:uid="{00000000-0005-0000-0000-00008E960000}"/>
    <cellStyle name="Normal 65 2 4 3 2" xfId="38542" xr:uid="{00000000-0005-0000-0000-00008F960000}"/>
    <cellStyle name="Normal 65 2 4 3 2 2" xfId="38543" xr:uid="{00000000-0005-0000-0000-000090960000}"/>
    <cellStyle name="Normal 65 2 4 3 2 3" xfId="38544" xr:uid="{00000000-0005-0000-0000-000091960000}"/>
    <cellStyle name="Normal 65 2 4 3 2 4" xfId="38545" xr:uid="{00000000-0005-0000-0000-000092960000}"/>
    <cellStyle name="Normal 65 2 4 3 2 5" xfId="38546" xr:uid="{00000000-0005-0000-0000-000093960000}"/>
    <cellStyle name="Normal 65 2 4 3 2 6" xfId="38547" xr:uid="{00000000-0005-0000-0000-000094960000}"/>
    <cellStyle name="Normal 65 2 4 3 3" xfId="38548" xr:uid="{00000000-0005-0000-0000-000095960000}"/>
    <cellStyle name="Normal 65 2 4 3 3 2" xfId="38549" xr:uid="{00000000-0005-0000-0000-000096960000}"/>
    <cellStyle name="Normal 65 2 4 3 3 3" xfId="38550" xr:uid="{00000000-0005-0000-0000-000097960000}"/>
    <cellStyle name="Normal 65 2 4 3 3 4" xfId="38551" xr:uid="{00000000-0005-0000-0000-000098960000}"/>
    <cellStyle name="Normal 65 2 4 3 3 5" xfId="38552" xr:uid="{00000000-0005-0000-0000-000099960000}"/>
    <cellStyle name="Normal 65 2 4 3 3 6" xfId="38553" xr:uid="{00000000-0005-0000-0000-00009A960000}"/>
    <cellStyle name="Normal 65 2 4 3 4" xfId="38554" xr:uid="{00000000-0005-0000-0000-00009B960000}"/>
    <cellStyle name="Normal 65 2 4 3 5" xfId="38555" xr:uid="{00000000-0005-0000-0000-00009C960000}"/>
    <cellStyle name="Normal 65 2 4 3 6" xfId="38556" xr:uid="{00000000-0005-0000-0000-00009D960000}"/>
    <cellStyle name="Normal 65 2 4 3 7" xfId="38557" xr:uid="{00000000-0005-0000-0000-00009E960000}"/>
    <cellStyle name="Normal 65 2 4 3 8" xfId="38558" xr:uid="{00000000-0005-0000-0000-00009F960000}"/>
    <cellStyle name="Normal 65 2 4 4" xfId="38559" xr:uid="{00000000-0005-0000-0000-0000A0960000}"/>
    <cellStyle name="Normal 65 2 4 4 2" xfId="38560" xr:uid="{00000000-0005-0000-0000-0000A1960000}"/>
    <cellStyle name="Normal 65 2 4 4 2 2" xfId="38561" xr:uid="{00000000-0005-0000-0000-0000A2960000}"/>
    <cellStyle name="Normal 65 2 4 4 2 3" xfId="38562" xr:uid="{00000000-0005-0000-0000-0000A3960000}"/>
    <cellStyle name="Normal 65 2 4 4 2 4" xfId="38563" xr:uid="{00000000-0005-0000-0000-0000A4960000}"/>
    <cellStyle name="Normal 65 2 4 4 2 5" xfId="38564" xr:uid="{00000000-0005-0000-0000-0000A5960000}"/>
    <cellStyle name="Normal 65 2 4 4 2 6" xfId="38565" xr:uid="{00000000-0005-0000-0000-0000A6960000}"/>
    <cellStyle name="Normal 65 2 4 4 3" xfId="38566" xr:uid="{00000000-0005-0000-0000-0000A7960000}"/>
    <cellStyle name="Normal 65 2 4 4 3 2" xfId="38567" xr:uid="{00000000-0005-0000-0000-0000A8960000}"/>
    <cellStyle name="Normal 65 2 4 4 3 3" xfId="38568" xr:uid="{00000000-0005-0000-0000-0000A9960000}"/>
    <cellStyle name="Normal 65 2 4 4 3 4" xfId="38569" xr:uid="{00000000-0005-0000-0000-0000AA960000}"/>
    <cellStyle name="Normal 65 2 4 4 3 5" xfId="38570" xr:uid="{00000000-0005-0000-0000-0000AB960000}"/>
    <cellStyle name="Normal 65 2 4 4 3 6" xfId="38571" xr:uid="{00000000-0005-0000-0000-0000AC960000}"/>
    <cellStyle name="Normal 65 2 4 4 4" xfId="38572" xr:uid="{00000000-0005-0000-0000-0000AD960000}"/>
    <cellStyle name="Normal 65 2 4 4 5" xfId="38573" xr:uid="{00000000-0005-0000-0000-0000AE960000}"/>
    <cellStyle name="Normal 65 2 4 4 6" xfId="38574" xr:uid="{00000000-0005-0000-0000-0000AF960000}"/>
    <cellStyle name="Normal 65 2 4 4 7" xfId="38575" xr:uid="{00000000-0005-0000-0000-0000B0960000}"/>
    <cellStyle name="Normal 65 2 4 4 8" xfId="38576" xr:uid="{00000000-0005-0000-0000-0000B1960000}"/>
    <cellStyle name="Normal 65 2 4 5" xfId="38577" xr:uid="{00000000-0005-0000-0000-0000B2960000}"/>
    <cellStyle name="Normal 65 2 4 5 2" xfId="38578" xr:uid="{00000000-0005-0000-0000-0000B3960000}"/>
    <cellStyle name="Normal 65 2 4 5 3" xfId="38579" xr:uid="{00000000-0005-0000-0000-0000B4960000}"/>
    <cellStyle name="Normal 65 2 4 5 4" xfId="38580" xr:uid="{00000000-0005-0000-0000-0000B5960000}"/>
    <cellStyle name="Normal 65 2 4 5 5" xfId="38581" xr:uid="{00000000-0005-0000-0000-0000B6960000}"/>
    <cellStyle name="Normal 65 2 4 5 6" xfId="38582" xr:uid="{00000000-0005-0000-0000-0000B7960000}"/>
    <cellStyle name="Normal 65 2 4 6" xfId="38583" xr:uid="{00000000-0005-0000-0000-0000B8960000}"/>
    <cellStyle name="Normal 65 2 4 6 2" xfId="38584" xr:uid="{00000000-0005-0000-0000-0000B9960000}"/>
    <cellStyle name="Normal 65 2 4 6 3" xfId="38585" xr:uid="{00000000-0005-0000-0000-0000BA960000}"/>
    <cellStyle name="Normal 65 2 4 6 4" xfId="38586" xr:uid="{00000000-0005-0000-0000-0000BB960000}"/>
    <cellStyle name="Normal 65 2 4 6 5" xfId="38587" xr:uid="{00000000-0005-0000-0000-0000BC960000}"/>
    <cellStyle name="Normal 65 2 4 6 6" xfId="38588" xr:uid="{00000000-0005-0000-0000-0000BD960000}"/>
    <cellStyle name="Normal 65 2 4 7" xfId="38589" xr:uid="{00000000-0005-0000-0000-0000BE960000}"/>
    <cellStyle name="Normal 65 2 4 8" xfId="38590" xr:uid="{00000000-0005-0000-0000-0000BF960000}"/>
    <cellStyle name="Normal 65 2 4 9" xfId="38591" xr:uid="{00000000-0005-0000-0000-0000C0960000}"/>
    <cellStyle name="Normal 65 2 5" xfId="38592" xr:uid="{00000000-0005-0000-0000-0000C1960000}"/>
    <cellStyle name="Normal 65 2 5 2" xfId="38593" xr:uid="{00000000-0005-0000-0000-0000C2960000}"/>
    <cellStyle name="Normal 65 2 5 2 2" xfId="38594" xr:uid="{00000000-0005-0000-0000-0000C3960000}"/>
    <cellStyle name="Normal 65 2 5 2 3" xfId="38595" xr:uid="{00000000-0005-0000-0000-0000C4960000}"/>
    <cellStyle name="Normal 65 2 5 2 4" xfId="38596" xr:uid="{00000000-0005-0000-0000-0000C5960000}"/>
    <cellStyle name="Normal 65 2 5 2 5" xfId="38597" xr:uid="{00000000-0005-0000-0000-0000C6960000}"/>
    <cellStyle name="Normal 65 2 5 2 6" xfId="38598" xr:uid="{00000000-0005-0000-0000-0000C7960000}"/>
    <cellStyle name="Normal 65 2 5 3" xfId="38599" xr:uid="{00000000-0005-0000-0000-0000C8960000}"/>
    <cellStyle name="Normal 65 2 5 3 2" xfId="38600" xr:uid="{00000000-0005-0000-0000-0000C9960000}"/>
    <cellStyle name="Normal 65 2 5 3 3" xfId="38601" xr:uid="{00000000-0005-0000-0000-0000CA960000}"/>
    <cellStyle name="Normal 65 2 5 3 4" xfId="38602" xr:uid="{00000000-0005-0000-0000-0000CB960000}"/>
    <cellStyle name="Normal 65 2 5 3 5" xfId="38603" xr:uid="{00000000-0005-0000-0000-0000CC960000}"/>
    <cellStyle name="Normal 65 2 5 3 6" xfId="38604" xr:uid="{00000000-0005-0000-0000-0000CD960000}"/>
    <cellStyle name="Normal 65 2 5 4" xfId="38605" xr:uid="{00000000-0005-0000-0000-0000CE960000}"/>
    <cellStyle name="Normal 65 2 5 5" xfId="38606" xr:uid="{00000000-0005-0000-0000-0000CF960000}"/>
    <cellStyle name="Normal 65 2 5 6" xfId="38607" xr:uid="{00000000-0005-0000-0000-0000D0960000}"/>
    <cellStyle name="Normal 65 2 5 7" xfId="38608" xr:uid="{00000000-0005-0000-0000-0000D1960000}"/>
    <cellStyle name="Normal 65 2 5 8" xfId="38609" xr:uid="{00000000-0005-0000-0000-0000D2960000}"/>
    <cellStyle name="Normal 65 2 6" xfId="38610" xr:uid="{00000000-0005-0000-0000-0000D3960000}"/>
    <cellStyle name="Normal 65 2 6 2" xfId="38611" xr:uid="{00000000-0005-0000-0000-0000D4960000}"/>
    <cellStyle name="Normal 65 2 6 2 2" xfId="38612" xr:uid="{00000000-0005-0000-0000-0000D5960000}"/>
    <cellStyle name="Normal 65 2 6 2 3" xfId="38613" xr:uid="{00000000-0005-0000-0000-0000D6960000}"/>
    <cellStyle name="Normal 65 2 6 2 4" xfId="38614" xr:uid="{00000000-0005-0000-0000-0000D7960000}"/>
    <cellStyle name="Normal 65 2 6 2 5" xfId="38615" xr:uid="{00000000-0005-0000-0000-0000D8960000}"/>
    <cellStyle name="Normal 65 2 6 2 6" xfId="38616" xr:uid="{00000000-0005-0000-0000-0000D9960000}"/>
    <cellStyle name="Normal 65 2 6 3" xfId="38617" xr:uid="{00000000-0005-0000-0000-0000DA960000}"/>
    <cellStyle name="Normal 65 2 6 3 2" xfId="38618" xr:uid="{00000000-0005-0000-0000-0000DB960000}"/>
    <cellStyle name="Normal 65 2 6 3 3" xfId="38619" xr:uid="{00000000-0005-0000-0000-0000DC960000}"/>
    <cellStyle name="Normal 65 2 6 3 4" xfId="38620" xr:uid="{00000000-0005-0000-0000-0000DD960000}"/>
    <cellStyle name="Normal 65 2 6 3 5" xfId="38621" xr:uid="{00000000-0005-0000-0000-0000DE960000}"/>
    <cellStyle name="Normal 65 2 6 3 6" xfId="38622" xr:uid="{00000000-0005-0000-0000-0000DF960000}"/>
    <cellStyle name="Normal 65 2 6 4" xfId="38623" xr:uid="{00000000-0005-0000-0000-0000E0960000}"/>
    <cellStyle name="Normal 65 2 6 5" xfId="38624" xr:uid="{00000000-0005-0000-0000-0000E1960000}"/>
    <cellStyle name="Normal 65 2 6 6" xfId="38625" xr:uid="{00000000-0005-0000-0000-0000E2960000}"/>
    <cellStyle name="Normal 65 2 6 7" xfId="38626" xr:uid="{00000000-0005-0000-0000-0000E3960000}"/>
    <cellStyle name="Normal 65 2 6 8" xfId="38627" xr:uid="{00000000-0005-0000-0000-0000E4960000}"/>
    <cellStyle name="Normal 65 2 7" xfId="38628" xr:uid="{00000000-0005-0000-0000-0000E5960000}"/>
    <cellStyle name="Normal 65 2 7 2" xfId="38629" xr:uid="{00000000-0005-0000-0000-0000E6960000}"/>
    <cellStyle name="Normal 65 2 7 2 2" xfId="38630" xr:uid="{00000000-0005-0000-0000-0000E7960000}"/>
    <cellStyle name="Normal 65 2 7 2 3" xfId="38631" xr:uid="{00000000-0005-0000-0000-0000E8960000}"/>
    <cellStyle name="Normal 65 2 7 2 4" xfId="38632" xr:uid="{00000000-0005-0000-0000-0000E9960000}"/>
    <cellStyle name="Normal 65 2 7 2 5" xfId="38633" xr:uid="{00000000-0005-0000-0000-0000EA960000}"/>
    <cellStyle name="Normal 65 2 7 2 6" xfId="38634" xr:uid="{00000000-0005-0000-0000-0000EB960000}"/>
    <cellStyle name="Normal 65 2 7 3" xfId="38635" xr:uid="{00000000-0005-0000-0000-0000EC960000}"/>
    <cellStyle name="Normal 65 2 7 3 2" xfId="38636" xr:uid="{00000000-0005-0000-0000-0000ED960000}"/>
    <cellStyle name="Normal 65 2 7 3 3" xfId="38637" xr:uid="{00000000-0005-0000-0000-0000EE960000}"/>
    <cellStyle name="Normal 65 2 7 3 4" xfId="38638" xr:uid="{00000000-0005-0000-0000-0000EF960000}"/>
    <cellStyle name="Normal 65 2 7 3 5" xfId="38639" xr:uid="{00000000-0005-0000-0000-0000F0960000}"/>
    <cellStyle name="Normal 65 2 7 3 6" xfId="38640" xr:uid="{00000000-0005-0000-0000-0000F1960000}"/>
    <cellStyle name="Normal 65 2 7 4" xfId="38641" xr:uid="{00000000-0005-0000-0000-0000F2960000}"/>
    <cellStyle name="Normal 65 2 7 5" xfId="38642" xr:uid="{00000000-0005-0000-0000-0000F3960000}"/>
    <cellStyle name="Normal 65 2 7 6" xfId="38643" xr:uid="{00000000-0005-0000-0000-0000F4960000}"/>
    <cellStyle name="Normal 65 2 7 7" xfId="38644" xr:uid="{00000000-0005-0000-0000-0000F5960000}"/>
    <cellStyle name="Normal 65 2 7 8" xfId="38645" xr:uid="{00000000-0005-0000-0000-0000F6960000}"/>
    <cellStyle name="Normal 65 2 8" xfId="38646" xr:uid="{00000000-0005-0000-0000-0000F7960000}"/>
    <cellStyle name="Normal 65 2 8 2" xfId="38647" xr:uid="{00000000-0005-0000-0000-0000F8960000}"/>
    <cellStyle name="Normal 65 2 8 3" xfId="38648" xr:uid="{00000000-0005-0000-0000-0000F9960000}"/>
    <cellStyle name="Normal 65 2 8 4" xfId="38649" xr:uid="{00000000-0005-0000-0000-0000FA960000}"/>
    <cellStyle name="Normal 65 2 8 5" xfId="38650" xr:uid="{00000000-0005-0000-0000-0000FB960000}"/>
    <cellStyle name="Normal 65 2 8 6" xfId="38651" xr:uid="{00000000-0005-0000-0000-0000FC960000}"/>
    <cellStyle name="Normal 65 2 9" xfId="38652" xr:uid="{00000000-0005-0000-0000-0000FD960000}"/>
    <cellStyle name="Normal 65 2 9 2" xfId="38653" xr:uid="{00000000-0005-0000-0000-0000FE960000}"/>
    <cellStyle name="Normal 65 2 9 3" xfId="38654" xr:uid="{00000000-0005-0000-0000-0000FF960000}"/>
    <cellStyle name="Normal 65 2 9 4" xfId="38655" xr:uid="{00000000-0005-0000-0000-000000970000}"/>
    <cellStyle name="Normal 65 2 9 5" xfId="38656" xr:uid="{00000000-0005-0000-0000-000001970000}"/>
    <cellStyle name="Normal 65 2 9 6" xfId="38657" xr:uid="{00000000-0005-0000-0000-000002970000}"/>
    <cellStyle name="Normal 65 3" xfId="38658" xr:uid="{00000000-0005-0000-0000-000003970000}"/>
    <cellStyle name="Normal 65 3 10" xfId="38659" xr:uid="{00000000-0005-0000-0000-000004970000}"/>
    <cellStyle name="Normal 65 3 11" xfId="38660" xr:uid="{00000000-0005-0000-0000-000005970000}"/>
    <cellStyle name="Normal 65 3 12" xfId="38661" xr:uid="{00000000-0005-0000-0000-000006970000}"/>
    <cellStyle name="Normal 65 3 2" xfId="38662" xr:uid="{00000000-0005-0000-0000-000007970000}"/>
    <cellStyle name="Normal 65 3 2 10" xfId="38663" xr:uid="{00000000-0005-0000-0000-000008970000}"/>
    <cellStyle name="Normal 65 3 2 11" xfId="38664" xr:uid="{00000000-0005-0000-0000-000009970000}"/>
    <cellStyle name="Normal 65 3 2 2" xfId="38665" xr:uid="{00000000-0005-0000-0000-00000A970000}"/>
    <cellStyle name="Normal 65 3 2 2 2" xfId="38666" xr:uid="{00000000-0005-0000-0000-00000B970000}"/>
    <cellStyle name="Normal 65 3 2 2 2 2" xfId="38667" xr:uid="{00000000-0005-0000-0000-00000C970000}"/>
    <cellStyle name="Normal 65 3 2 2 2 3" xfId="38668" xr:uid="{00000000-0005-0000-0000-00000D970000}"/>
    <cellStyle name="Normal 65 3 2 2 2 4" xfId="38669" xr:uid="{00000000-0005-0000-0000-00000E970000}"/>
    <cellStyle name="Normal 65 3 2 2 2 5" xfId="38670" xr:uid="{00000000-0005-0000-0000-00000F970000}"/>
    <cellStyle name="Normal 65 3 2 2 2 6" xfId="38671" xr:uid="{00000000-0005-0000-0000-000010970000}"/>
    <cellStyle name="Normal 65 3 2 2 3" xfId="38672" xr:uid="{00000000-0005-0000-0000-000011970000}"/>
    <cellStyle name="Normal 65 3 2 2 3 2" xfId="38673" xr:uid="{00000000-0005-0000-0000-000012970000}"/>
    <cellStyle name="Normal 65 3 2 2 3 3" xfId="38674" xr:uid="{00000000-0005-0000-0000-000013970000}"/>
    <cellStyle name="Normal 65 3 2 2 3 4" xfId="38675" xr:uid="{00000000-0005-0000-0000-000014970000}"/>
    <cellStyle name="Normal 65 3 2 2 3 5" xfId="38676" xr:uid="{00000000-0005-0000-0000-000015970000}"/>
    <cellStyle name="Normal 65 3 2 2 3 6" xfId="38677" xr:uid="{00000000-0005-0000-0000-000016970000}"/>
    <cellStyle name="Normal 65 3 2 2 4" xfId="38678" xr:uid="{00000000-0005-0000-0000-000017970000}"/>
    <cellStyle name="Normal 65 3 2 2 5" xfId="38679" xr:uid="{00000000-0005-0000-0000-000018970000}"/>
    <cellStyle name="Normal 65 3 2 2 6" xfId="38680" xr:uid="{00000000-0005-0000-0000-000019970000}"/>
    <cellStyle name="Normal 65 3 2 2 7" xfId="38681" xr:uid="{00000000-0005-0000-0000-00001A970000}"/>
    <cellStyle name="Normal 65 3 2 2 8" xfId="38682" xr:uid="{00000000-0005-0000-0000-00001B970000}"/>
    <cellStyle name="Normal 65 3 2 3" xfId="38683" xr:uid="{00000000-0005-0000-0000-00001C970000}"/>
    <cellStyle name="Normal 65 3 2 3 2" xfId="38684" xr:uid="{00000000-0005-0000-0000-00001D970000}"/>
    <cellStyle name="Normal 65 3 2 3 2 2" xfId="38685" xr:uid="{00000000-0005-0000-0000-00001E970000}"/>
    <cellStyle name="Normal 65 3 2 3 2 3" xfId="38686" xr:uid="{00000000-0005-0000-0000-00001F970000}"/>
    <cellStyle name="Normal 65 3 2 3 2 4" xfId="38687" xr:uid="{00000000-0005-0000-0000-000020970000}"/>
    <cellStyle name="Normal 65 3 2 3 2 5" xfId="38688" xr:uid="{00000000-0005-0000-0000-000021970000}"/>
    <cellStyle name="Normal 65 3 2 3 2 6" xfId="38689" xr:uid="{00000000-0005-0000-0000-000022970000}"/>
    <cellStyle name="Normal 65 3 2 3 3" xfId="38690" xr:uid="{00000000-0005-0000-0000-000023970000}"/>
    <cellStyle name="Normal 65 3 2 3 3 2" xfId="38691" xr:uid="{00000000-0005-0000-0000-000024970000}"/>
    <cellStyle name="Normal 65 3 2 3 3 3" xfId="38692" xr:uid="{00000000-0005-0000-0000-000025970000}"/>
    <cellStyle name="Normal 65 3 2 3 3 4" xfId="38693" xr:uid="{00000000-0005-0000-0000-000026970000}"/>
    <cellStyle name="Normal 65 3 2 3 3 5" xfId="38694" xr:uid="{00000000-0005-0000-0000-000027970000}"/>
    <cellStyle name="Normal 65 3 2 3 3 6" xfId="38695" xr:uid="{00000000-0005-0000-0000-000028970000}"/>
    <cellStyle name="Normal 65 3 2 3 4" xfId="38696" xr:uid="{00000000-0005-0000-0000-000029970000}"/>
    <cellStyle name="Normal 65 3 2 3 5" xfId="38697" xr:uid="{00000000-0005-0000-0000-00002A970000}"/>
    <cellStyle name="Normal 65 3 2 3 6" xfId="38698" xr:uid="{00000000-0005-0000-0000-00002B970000}"/>
    <cellStyle name="Normal 65 3 2 3 7" xfId="38699" xr:uid="{00000000-0005-0000-0000-00002C970000}"/>
    <cellStyle name="Normal 65 3 2 3 8" xfId="38700" xr:uid="{00000000-0005-0000-0000-00002D970000}"/>
    <cellStyle name="Normal 65 3 2 4" xfId="38701" xr:uid="{00000000-0005-0000-0000-00002E970000}"/>
    <cellStyle name="Normal 65 3 2 4 2" xfId="38702" xr:uid="{00000000-0005-0000-0000-00002F970000}"/>
    <cellStyle name="Normal 65 3 2 4 2 2" xfId="38703" xr:uid="{00000000-0005-0000-0000-000030970000}"/>
    <cellStyle name="Normal 65 3 2 4 2 3" xfId="38704" xr:uid="{00000000-0005-0000-0000-000031970000}"/>
    <cellStyle name="Normal 65 3 2 4 2 4" xfId="38705" xr:uid="{00000000-0005-0000-0000-000032970000}"/>
    <cellStyle name="Normal 65 3 2 4 2 5" xfId="38706" xr:uid="{00000000-0005-0000-0000-000033970000}"/>
    <cellStyle name="Normal 65 3 2 4 2 6" xfId="38707" xr:uid="{00000000-0005-0000-0000-000034970000}"/>
    <cellStyle name="Normal 65 3 2 4 3" xfId="38708" xr:uid="{00000000-0005-0000-0000-000035970000}"/>
    <cellStyle name="Normal 65 3 2 4 3 2" xfId="38709" xr:uid="{00000000-0005-0000-0000-000036970000}"/>
    <cellStyle name="Normal 65 3 2 4 3 3" xfId="38710" xr:uid="{00000000-0005-0000-0000-000037970000}"/>
    <cellStyle name="Normal 65 3 2 4 3 4" xfId="38711" xr:uid="{00000000-0005-0000-0000-000038970000}"/>
    <cellStyle name="Normal 65 3 2 4 3 5" xfId="38712" xr:uid="{00000000-0005-0000-0000-000039970000}"/>
    <cellStyle name="Normal 65 3 2 4 3 6" xfId="38713" xr:uid="{00000000-0005-0000-0000-00003A970000}"/>
    <cellStyle name="Normal 65 3 2 4 4" xfId="38714" xr:uid="{00000000-0005-0000-0000-00003B970000}"/>
    <cellStyle name="Normal 65 3 2 4 5" xfId="38715" xr:uid="{00000000-0005-0000-0000-00003C970000}"/>
    <cellStyle name="Normal 65 3 2 4 6" xfId="38716" xr:uid="{00000000-0005-0000-0000-00003D970000}"/>
    <cellStyle name="Normal 65 3 2 4 7" xfId="38717" xr:uid="{00000000-0005-0000-0000-00003E970000}"/>
    <cellStyle name="Normal 65 3 2 4 8" xfId="38718" xr:uid="{00000000-0005-0000-0000-00003F970000}"/>
    <cellStyle name="Normal 65 3 2 5" xfId="38719" xr:uid="{00000000-0005-0000-0000-000040970000}"/>
    <cellStyle name="Normal 65 3 2 5 2" xfId="38720" xr:uid="{00000000-0005-0000-0000-000041970000}"/>
    <cellStyle name="Normal 65 3 2 5 3" xfId="38721" xr:uid="{00000000-0005-0000-0000-000042970000}"/>
    <cellStyle name="Normal 65 3 2 5 4" xfId="38722" xr:uid="{00000000-0005-0000-0000-000043970000}"/>
    <cellStyle name="Normal 65 3 2 5 5" xfId="38723" xr:uid="{00000000-0005-0000-0000-000044970000}"/>
    <cellStyle name="Normal 65 3 2 5 6" xfId="38724" xr:uid="{00000000-0005-0000-0000-000045970000}"/>
    <cellStyle name="Normal 65 3 2 6" xfId="38725" xr:uid="{00000000-0005-0000-0000-000046970000}"/>
    <cellStyle name="Normal 65 3 2 6 2" xfId="38726" xr:uid="{00000000-0005-0000-0000-000047970000}"/>
    <cellStyle name="Normal 65 3 2 6 3" xfId="38727" xr:uid="{00000000-0005-0000-0000-000048970000}"/>
    <cellStyle name="Normal 65 3 2 6 4" xfId="38728" xr:uid="{00000000-0005-0000-0000-000049970000}"/>
    <cellStyle name="Normal 65 3 2 6 5" xfId="38729" xr:uid="{00000000-0005-0000-0000-00004A970000}"/>
    <cellStyle name="Normal 65 3 2 6 6" xfId="38730" xr:uid="{00000000-0005-0000-0000-00004B970000}"/>
    <cellStyle name="Normal 65 3 2 7" xfId="38731" xr:uid="{00000000-0005-0000-0000-00004C970000}"/>
    <cellStyle name="Normal 65 3 2 8" xfId="38732" xr:uid="{00000000-0005-0000-0000-00004D970000}"/>
    <cellStyle name="Normal 65 3 2 9" xfId="38733" xr:uid="{00000000-0005-0000-0000-00004E970000}"/>
    <cellStyle name="Normal 65 3 3" xfId="38734" xr:uid="{00000000-0005-0000-0000-00004F970000}"/>
    <cellStyle name="Normal 65 3 3 2" xfId="38735" xr:uid="{00000000-0005-0000-0000-000050970000}"/>
    <cellStyle name="Normal 65 3 3 2 2" xfId="38736" xr:uid="{00000000-0005-0000-0000-000051970000}"/>
    <cellStyle name="Normal 65 3 3 2 3" xfId="38737" xr:uid="{00000000-0005-0000-0000-000052970000}"/>
    <cellStyle name="Normal 65 3 3 2 4" xfId="38738" xr:uid="{00000000-0005-0000-0000-000053970000}"/>
    <cellStyle name="Normal 65 3 3 2 5" xfId="38739" xr:uid="{00000000-0005-0000-0000-000054970000}"/>
    <cellStyle name="Normal 65 3 3 2 6" xfId="38740" xr:uid="{00000000-0005-0000-0000-000055970000}"/>
    <cellStyle name="Normal 65 3 3 3" xfId="38741" xr:uid="{00000000-0005-0000-0000-000056970000}"/>
    <cellStyle name="Normal 65 3 3 3 2" xfId="38742" xr:uid="{00000000-0005-0000-0000-000057970000}"/>
    <cellStyle name="Normal 65 3 3 3 3" xfId="38743" xr:uid="{00000000-0005-0000-0000-000058970000}"/>
    <cellStyle name="Normal 65 3 3 3 4" xfId="38744" xr:uid="{00000000-0005-0000-0000-000059970000}"/>
    <cellStyle name="Normal 65 3 3 3 5" xfId="38745" xr:uid="{00000000-0005-0000-0000-00005A970000}"/>
    <cellStyle name="Normal 65 3 3 3 6" xfId="38746" xr:uid="{00000000-0005-0000-0000-00005B970000}"/>
    <cellStyle name="Normal 65 3 3 4" xfId="38747" xr:uid="{00000000-0005-0000-0000-00005C970000}"/>
    <cellStyle name="Normal 65 3 3 5" xfId="38748" xr:uid="{00000000-0005-0000-0000-00005D970000}"/>
    <cellStyle name="Normal 65 3 3 6" xfId="38749" xr:uid="{00000000-0005-0000-0000-00005E970000}"/>
    <cellStyle name="Normal 65 3 3 7" xfId="38750" xr:uid="{00000000-0005-0000-0000-00005F970000}"/>
    <cellStyle name="Normal 65 3 3 8" xfId="38751" xr:uid="{00000000-0005-0000-0000-000060970000}"/>
    <cellStyle name="Normal 65 3 4" xfId="38752" xr:uid="{00000000-0005-0000-0000-000061970000}"/>
    <cellStyle name="Normal 65 3 4 2" xfId="38753" xr:uid="{00000000-0005-0000-0000-000062970000}"/>
    <cellStyle name="Normal 65 3 4 2 2" xfId="38754" xr:uid="{00000000-0005-0000-0000-000063970000}"/>
    <cellStyle name="Normal 65 3 4 2 3" xfId="38755" xr:uid="{00000000-0005-0000-0000-000064970000}"/>
    <cellStyle name="Normal 65 3 4 2 4" xfId="38756" xr:uid="{00000000-0005-0000-0000-000065970000}"/>
    <cellStyle name="Normal 65 3 4 2 5" xfId="38757" xr:uid="{00000000-0005-0000-0000-000066970000}"/>
    <cellStyle name="Normal 65 3 4 2 6" xfId="38758" xr:uid="{00000000-0005-0000-0000-000067970000}"/>
    <cellStyle name="Normal 65 3 4 3" xfId="38759" xr:uid="{00000000-0005-0000-0000-000068970000}"/>
    <cellStyle name="Normal 65 3 4 3 2" xfId="38760" xr:uid="{00000000-0005-0000-0000-000069970000}"/>
    <cellStyle name="Normal 65 3 4 3 3" xfId="38761" xr:uid="{00000000-0005-0000-0000-00006A970000}"/>
    <cellStyle name="Normal 65 3 4 3 4" xfId="38762" xr:uid="{00000000-0005-0000-0000-00006B970000}"/>
    <cellStyle name="Normal 65 3 4 3 5" xfId="38763" xr:uid="{00000000-0005-0000-0000-00006C970000}"/>
    <cellStyle name="Normal 65 3 4 3 6" xfId="38764" xr:uid="{00000000-0005-0000-0000-00006D970000}"/>
    <cellStyle name="Normal 65 3 4 4" xfId="38765" xr:uid="{00000000-0005-0000-0000-00006E970000}"/>
    <cellStyle name="Normal 65 3 4 5" xfId="38766" xr:uid="{00000000-0005-0000-0000-00006F970000}"/>
    <cellStyle name="Normal 65 3 4 6" xfId="38767" xr:uid="{00000000-0005-0000-0000-000070970000}"/>
    <cellStyle name="Normal 65 3 4 7" xfId="38768" xr:uid="{00000000-0005-0000-0000-000071970000}"/>
    <cellStyle name="Normal 65 3 4 8" xfId="38769" xr:uid="{00000000-0005-0000-0000-000072970000}"/>
    <cellStyle name="Normal 65 3 5" xfId="38770" xr:uid="{00000000-0005-0000-0000-000073970000}"/>
    <cellStyle name="Normal 65 3 5 2" xfId="38771" xr:uid="{00000000-0005-0000-0000-000074970000}"/>
    <cellStyle name="Normal 65 3 5 2 2" xfId="38772" xr:uid="{00000000-0005-0000-0000-000075970000}"/>
    <cellStyle name="Normal 65 3 5 2 3" xfId="38773" xr:uid="{00000000-0005-0000-0000-000076970000}"/>
    <cellStyle name="Normal 65 3 5 2 4" xfId="38774" xr:uid="{00000000-0005-0000-0000-000077970000}"/>
    <cellStyle name="Normal 65 3 5 2 5" xfId="38775" xr:uid="{00000000-0005-0000-0000-000078970000}"/>
    <cellStyle name="Normal 65 3 5 2 6" xfId="38776" xr:uid="{00000000-0005-0000-0000-000079970000}"/>
    <cellStyle name="Normal 65 3 5 3" xfId="38777" xr:uid="{00000000-0005-0000-0000-00007A970000}"/>
    <cellStyle name="Normal 65 3 5 3 2" xfId="38778" xr:uid="{00000000-0005-0000-0000-00007B970000}"/>
    <cellStyle name="Normal 65 3 5 3 3" xfId="38779" xr:uid="{00000000-0005-0000-0000-00007C970000}"/>
    <cellStyle name="Normal 65 3 5 3 4" xfId="38780" xr:uid="{00000000-0005-0000-0000-00007D970000}"/>
    <cellStyle name="Normal 65 3 5 3 5" xfId="38781" xr:uid="{00000000-0005-0000-0000-00007E970000}"/>
    <cellStyle name="Normal 65 3 5 3 6" xfId="38782" xr:uid="{00000000-0005-0000-0000-00007F970000}"/>
    <cellStyle name="Normal 65 3 5 4" xfId="38783" xr:uid="{00000000-0005-0000-0000-000080970000}"/>
    <cellStyle name="Normal 65 3 5 5" xfId="38784" xr:uid="{00000000-0005-0000-0000-000081970000}"/>
    <cellStyle name="Normal 65 3 5 6" xfId="38785" xr:uid="{00000000-0005-0000-0000-000082970000}"/>
    <cellStyle name="Normal 65 3 5 7" xfId="38786" xr:uid="{00000000-0005-0000-0000-000083970000}"/>
    <cellStyle name="Normal 65 3 5 8" xfId="38787" xr:uid="{00000000-0005-0000-0000-000084970000}"/>
    <cellStyle name="Normal 65 3 6" xfId="38788" xr:uid="{00000000-0005-0000-0000-000085970000}"/>
    <cellStyle name="Normal 65 3 6 2" xfId="38789" xr:uid="{00000000-0005-0000-0000-000086970000}"/>
    <cellStyle name="Normal 65 3 6 3" xfId="38790" xr:uid="{00000000-0005-0000-0000-000087970000}"/>
    <cellStyle name="Normal 65 3 6 4" xfId="38791" xr:uid="{00000000-0005-0000-0000-000088970000}"/>
    <cellStyle name="Normal 65 3 6 5" xfId="38792" xr:uid="{00000000-0005-0000-0000-000089970000}"/>
    <cellStyle name="Normal 65 3 6 6" xfId="38793" xr:uid="{00000000-0005-0000-0000-00008A970000}"/>
    <cellStyle name="Normal 65 3 7" xfId="38794" xr:uid="{00000000-0005-0000-0000-00008B970000}"/>
    <cellStyle name="Normal 65 3 7 2" xfId="38795" xr:uid="{00000000-0005-0000-0000-00008C970000}"/>
    <cellStyle name="Normal 65 3 7 3" xfId="38796" xr:uid="{00000000-0005-0000-0000-00008D970000}"/>
    <cellStyle name="Normal 65 3 7 4" xfId="38797" xr:uid="{00000000-0005-0000-0000-00008E970000}"/>
    <cellStyle name="Normal 65 3 7 5" xfId="38798" xr:uid="{00000000-0005-0000-0000-00008F970000}"/>
    <cellStyle name="Normal 65 3 7 6" xfId="38799" xr:uid="{00000000-0005-0000-0000-000090970000}"/>
    <cellStyle name="Normal 65 3 8" xfId="38800" xr:uid="{00000000-0005-0000-0000-000091970000}"/>
    <cellStyle name="Normal 65 3 9" xfId="38801" xr:uid="{00000000-0005-0000-0000-000092970000}"/>
    <cellStyle name="Normal 65 4" xfId="38802" xr:uid="{00000000-0005-0000-0000-000093970000}"/>
    <cellStyle name="Normal 65 4 10" xfId="38803" xr:uid="{00000000-0005-0000-0000-000094970000}"/>
    <cellStyle name="Normal 65 4 11" xfId="38804" xr:uid="{00000000-0005-0000-0000-000095970000}"/>
    <cellStyle name="Normal 65 4 12" xfId="38805" xr:uid="{00000000-0005-0000-0000-000096970000}"/>
    <cellStyle name="Normal 65 4 2" xfId="38806" xr:uid="{00000000-0005-0000-0000-000097970000}"/>
    <cellStyle name="Normal 65 4 2 10" xfId="38807" xr:uid="{00000000-0005-0000-0000-000098970000}"/>
    <cellStyle name="Normal 65 4 2 11" xfId="38808" xr:uid="{00000000-0005-0000-0000-000099970000}"/>
    <cellStyle name="Normal 65 4 2 2" xfId="38809" xr:uid="{00000000-0005-0000-0000-00009A970000}"/>
    <cellStyle name="Normal 65 4 2 2 2" xfId="38810" xr:uid="{00000000-0005-0000-0000-00009B970000}"/>
    <cellStyle name="Normal 65 4 2 2 2 2" xfId="38811" xr:uid="{00000000-0005-0000-0000-00009C970000}"/>
    <cellStyle name="Normal 65 4 2 2 2 3" xfId="38812" xr:uid="{00000000-0005-0000-0000-00009D970000}"/>
    <cellStyle name="Normal 65 4 2 2 2 4" xfId="38813" xr:uid="{00000000-0005-0000-0000-00009E970000}"/>
    <cellStyle name="Normal 65 4 2 2 2 5" xfId="38814" xr:uid="{00000000-0005-0000-0000-00009F970000}"/>
    <cellStyle name="Normal 65 4 2 2 2 6" xfId="38815" xr:uid="{00000000-0005-0000-0000-0000A0970000}"/>
    <cellStyle name="Normal 65 4 2 2 3" xfId="38816" xr:uid="{00000000-0005-0000-0000-0000A1970000}"/>
    <cellStyle name="Normal 65 4 2 2 3 2" xfId="38817" xr:uid="{00000000-0005-0000-0000-0000A2970000}"/>
    <cellStyle name="Normal 65 4 2 2 3 3" xfId="38818" xr:uid="{00000000-0005-0000-0000-0000A3970000}"/>
    <cellStyle name="Normal 65 4 2 2 3 4" xfId="38819" xr:uid="{00000000-0005-0000-0000-0000A4970000}"/>
    <cellStyle name="Normal 65 4 2 2 3 5" xfId="38820" xr:uid="{00000000-0005-0000-0000-0000A5970000}"/>
    <cellStyle name="Normal 65 4 2 2 3 6" xfId="38821" xr:uid="{00000000-0005-0000-0000-0000A6970000}"/>
    <cellStyle name="Normal 65 4 2 2 4" xfId="38822" xr:uid="{00000000-0005-0000-0000-0000A7970000}"/>
    <cellStyle name="Normal 65 4 2 2 5" xfId="38823" xr:uid="{00000000-0005-0000-0000-0000A8970000}"/>
    <cellStyle name="Normal 65 4 2 2 6" xfId="38824" xr:uid="{00000000-0005-0000-0000-0000A9970000}"/>
    <cellStyle name="Normal 65 4 2 2 7" xfId="38825" xr:uid="{00000000-0005-0000-0000-0000AA970000}"/>
    <cellStyle name="Normal 65 4 2 2 8" xfId="38826" xr:uid="{00000000-0005-0000-0000-0000AB970000}"/>
    <cellStyle name="Normal 65 4 2 3" xfId="38827" xr:uid="{00000000-0005-0000-0000-0000AC970000}"/>
    <cellStyle name="Normal 65 4 2 3 2" xfId="38828" xr:uid="{00000000-0005-0000-0000-0000AD970000}"/>
    <cellStyle name="Normal 65 4 2 3 2 2" xfId="38829" xr:uid="{00000000-0005-0000-0000-0000AE970000}"/>
    <cellStyle name="Normal 65 4 2 3 2 3" xfId="38830" xr:uid="{00000000-0005-0000-0000-0000AF970000}"/>
    <cellStyle name="Normal 65 4 2 3 2 4" xfId="38831" xr:uid="{00000000-0005-0000-0000-0000B0970000}"/>
    <cellStyle name="Normal 65 4 2 3 2 5" xfId="38832" xr:uid="{00000000-0005-0000-0000-0000B1970000}"/>
    <cellStyle name="Normal 65 4 2 3 2 6" xfId="38833" xr:uid="{00000000-0005-0000-0000-0000B2970000}"/>
    <cellStyle name="Normal 65 4 2 3 3" xfId="38834" xr:uid="{00000000-0005-0000-0000-0000B3970000}"/>
    <cellStyle name="Normal 65 4 2 3 3 2" xfId="38835" xr:uid="{00000000-0005-0000-0000-0000B4970000}"/>
    <cellStyle name="Normal 65 4 2 3 3 3" xfId="38836" xr:uid="{00000000-0005-0000-0000-0000B5970000}"/>
    <cellStyle name="Normal 65 4 2 3 3 4" xfId="38837" xr:uid="{00000000-0005-0000-0000-0000B6970000}"/>
    <cellStyle name="Normal 65 4 2 3 3 5" xfId="38838" xr:uid="{00000000-0005-0000-0000-0000B7970000}"/>
    <cellStyle name="Normal 65 4 2 3 3 6" xfId="38839" xr:uid="{00000000-0005-0000-0000-0000B8970000}"/>
    <cellStyle name="Normal 65 4 2 3 4" xfId="38840" xr:uid="{00000000-0005-0000-0000-0000B9970000}"/>
    <cellStyle name="Normal 65 4 2 3 5" xfId="38841" xr:uid="{00000000-0005-0000-0000-0000BA970000}"/>
    <cellStyle name="Normal 65 4 2 3 6" xfId="38842" xr:uid="{00000000-0005-0000-0000-0000BB970000}"/>
    <cellStyle name="Normal 65 4 2 3 7" xfId="38843" xr:uid="{00000000-0005-0000-0000-0000BC970000}"/>
    <cellStyle name="Normal 65 4 2 3 8" xfId="38844" xr:uid="{00000000-0005-0000-0000-0000BD970000}"/>
    <cellStyle name="Normal 65 4 2 4" xfId="38845" xr:uid="{00000000-0005-0000-0000-0000BE970000}"/>
    <cellStyle name="Normal 65 4 2 4 2" xfId="38846" xr:uid="{00000000-0005-0000-0000-0000BF970000}"/>
    <cellStyle name="Normal 65 4 2 4 2 2" xfId="38847" xr:uid="{00000000-0005-0000-0000-0000C0970000}"/>
    <cellStyle name="Normal 65 4 2 4 2 3" xfId="38848" xr:uid="{00000000-0005-0000-0000-0000C1970000}"/>
    <cellStyle name="Normal 65 4 2 4 2 4" xfId="38849" xr:uid="{00000000-0005-0000-0000-0000C2970000}"/>
    <cellStyle name="Normal 65 4 2 4 2 5" xfId="38850" xr:uid="{00000000-0005-0000-0000-0000C3970000}"/>
    <cellStyle name="Normal 65 4 2 4 2 6" xfId="38851" xr:uid="{00000000-0005-0000-0000-0000C4970000}"/>
    <cellStyle name="Normal 65 4 2 4 3" xfId="38852" xr:uid="{00000000-0005-0000-0000-0000C5970000}"/>
    <cellStyle name="Normal 65 4 2 4 3 2" xfId="38853" xr:uid="{00000000-0005-0000-0000-0000C6970000}"/>
    <cellStyle name="Normal 65 4 2 4 3 3" xfId="38854" xr:uid="{00000000-0005-0000-0000-0000C7970000}"/>
    <cellStyle name="Normal 65 4 2 4 3 4" xfId="38855" xr:uid="{00000000-0005-0000-0000-0000C8970000}"/>
    <cellStyle name="Normal 65 4 2 4 3 5" xfId="38856" xr:uid="{00000000-0005-0000-0000-0000C9970000}"/>
    <cellStyle name="Normal 65 4 2 4 3 6" xfId="38857" xr:uid="{00000000-0005-0000-0000-0000CA970000}"/>
    <cellStyle name="Normal 65 4 2 4 4" xfId="38858" xr:uid="{00000000-0005-0000-0000-0000CB970000}"/>
    <cellStyle name="Normal 65 4 2 4 5" xfId="38859" xr:uid="{00000000-0005-0000-0000-0000CC970000}"/>
    <cellStyle name="Normal 65 4 2 4 6" xfId="38860" xr:uid="{00000000-0005-0000-0000-0000CD970000}"/>
    <cellStyle name="Normal 65 4 2 4 7" xfId="38861" xr:uid="{00000000-0005-0000-0000-0000CE970000}"/>
    <cellStyle name="Normal 65 4 2 4 8" xfId="38862" xr:uid="{00000000-0005-0000-0000-0000CF970000}"/>
    <cellStyle name="Normal 65 4 2 5" xfId="38863" xr:uid="{00000000-0005-0000-0000-0000D0970000}"/>
    <cellStyle name="Normal 65 4 2 5 2" xfId="38864" xr:uid="{00000000-0005-0000-0000-0000D1970000}"/>
    <cellStyle name="Normal 65 4 2 5 3" xfId="38865" xr:uid="{00000000-0005-0000-0000-0000D2970000}"/>
    <cellStyle name="Normal 65 4 2 5 4" xfId="38866" xr:uid="{00000000-0005-0000-0000-0000D3970000}"/>
    <cellStyle name="Normal 65 4 2 5 5" xfId="38867" xr:uid="{00000000-0005-0000-0000-0000D4970000}"/>
    <cellStyle name="Normal 65 4 2 5 6" xfId="38868" xr:uid="{00000000-0005-0000-0000-0000D5970000}"/>
    <cellStyle name="Normal 65 4 2 6" xfId="38869" xr:uid="{00000000-0005-0000-0000-0000D6970000}"/>
    <cellStyle name="Normal 65 4 2 6 2" xfId="38870" xr:uid="{00000000-0005-0000-0000-0000D7970000}"/>
    <cellStyle name="Normal 65 4 2 6 3" xfId="38871" xr:uid="{00000000-0005-0000-0000-0000D8970000}"/>
    <cellStyle name="Normal 65 4 2 6 4" xfId="38872" xr:uid="{00000000-0005-0000-0000-0000D9970000}"/>
    <cellStyle name="Normal 65 4 2 6 5" xfId="38873" xr:uid="{00000000-0005-0000-0000-0000DA970000}"/>
    <cellStyle name="Normal 65 4 2 6 6" xfId="38874" xr:uid="{00000000-0005-0000-0000-0000DB970000}"/>
    <cellStyle name="Normal 65 4 2 7" xfId="38875" xr:uid="{00000000-0005-0000-0000-0000DC970000}"/>
    <cellStyle name="Normal 65 4 2 8" xfId="38876" xr:uid="{00000000-0005-0000-0000-0000DD970000}"/>
    <cellStyle name="Normal 65 4 2 9" xfId="38877" xr:uid="{00000000-0005-0000-0000-0000DE970000}"/>
    <cellStyle name="Normal 65 4 3" xfId="38878" xr:uid="{00000000-0005-0000-0000-0000DF970000}"/>
    <cellStyle name="Normal 65 4 3 2" xfId="38879" xr:uid="{00000000-0005-0000-0000-0000E0970000}"/>
    <cellStyle name="Normal 65 4 3 2 2" xfId="38880" xr:uid="{00000000-0005-0000-0000-0000E1970000}"/>
    <cellStyle name="Normal 65 4 3 2 3" xfId="38881" xr:uid="{00000000-0005-0000-0000-0000E2970000}"/>
    <cellStyle name="Normal 65 4 3 2 4" xfId="38882" xr:uid="{00000000-0005-0000-0000-0000E3970000}"/>
    <cellStyle name="Normal 65 4 3 2 5" xfId="38883" xr:uid="{00000000-0005-0000-0000-0000E4970000}"/>
    <cellStyle name="Normal 65 4 3 2 6" xfId="38884" xr:uid="{00000000-0005-0000-0000-0000E5970000}"/>
    <cellStyle name="Normal 65 4 3 3" xfId="38885" xr:uid="{00000000-0005-0000-0000-0000E6970000}"/>
    <cellStyle name="Normal 65 4 3 3 2" xfId="38886" xr:uid="{00000000-0005-0000-0000-0000E7970000}"/>
    <cellStyle name="Normal 65 4 3 3 3" xfId="38887" xr:uid="{00000000-0005-0000-0000-0000E8970000}"/>
    <cellStyle name="Normal 65 4 3 3 4" xfId="38888" xr:uid="{00000000-0005-0000-0000-0000E9970000}"/>
    <cellStyle name="Normal 65 4 3 3 5" xfId="38889" xr:uid="{00000000-0005-0000-0000-0000EA970000}"/>
    <cellStyle name="Normal 65 4 3 3 6" xfId="38890" xr:uid="{00000000-0005-0000-0000-0000EB970000}"/>
    <cellStyle name="Normal 65 4 3 4" xfId="38891" xr:uid="{00000000-0005-0000-0000-0000EC970000}"/>
    <cellStyle name="Normal 65 4 3 5" xfId="38892" xr:uid="{00000000-0005-0000-0000-0000ED970000}"/>
    <cellStyle name="Normal 65 4 3 6" xfId="38893" xr:uid="{00000000-0005-0000-0000-0000EE970000}"/>
    <cellStyle name="Normal 65 4 3 7" xfId="38894" xr:uid="{00000000-0005-0000-0000-0000EF970000}"/>
    <cellStyle name="Normal 65 4 3 8" xfId="38895" xr:uid="{00000000-0005-0000-0000-0000F0970000}"/>
    <cellStyle name="Normal 65 4 4" xfId="38896" xr:uid="{00000000-0005-0000-0000-0000F1970000}"/>
    <cellStyle name="Normal 65 4 4 2" xfId="38897" xr:uid="{00000000-0005-0000-0000-0000F2970000}"/>
    <cellStyle name="Normal 65 4 4 2 2" xfId="38898" xr:uid="{00000000-0005-0000-0000-0000F3970000}"/>
    <cellStyle name="Normal 65 4 4 2 3" xfId="38899" xr:uid="{00000000-0005-0000-0000-0000F4970000}"/>
    <cellStyle name="Normal 65 4 4 2 4" xfId="38900" xr:uid="{00000000-0005-0000-0000-0000F5970000}"/>
    <cellStyle name="Normal 65 4 4 2 5" xfId="38901" xr:uid="{00000000-0005-0000-0000-0000F6970000}"/>
    <cellStyle name="Normal 65 4 4 2 6" xfId="38902" xr:uid="{00000000-0005-0000-0000-0000F7970000}"/>
    <cellStyle name="Normal 65 4 4 3" xfId="38903" xr:uid="{00000000-0005-0000-0000-0000F8970000}"/>
    <cellStyle name="Normal 65 4 4 3 2" xfId="38904" xr:uid="{00000000-0005-0000-0000-0000F9970000}"/>
    <cellStyle name="Normal 65 4 4 3 3" xfId="38905" xr:uid="{00000000-0005-0000-0000-0000FA970000}"/>
    <cellStyle name="Normal 65 4 4 3 4" xfId="38906" xr:uid="{00000000-0005-0000-0000-0000FB970000}"/>
    <cellStyle name="Normal 65 4 4 3 5" xfId="38907" xr:uid="{00000000-0005-0000-0000-0000FC970000}"/>
    <cellStyle name="Normal 65 4 4 3 6" xfId="38908" xr:uid="{00000000-0005-0000-0000-0000FD970000}"/>
    <cellStyle name="Normal 65 4 4 4" xfId="38909" xr:uid="{00000000-0005-0000-0000-0000FE970000}"/>
    <cellStyle name="Normal 65 4 4 5" xfId="38910" xr:uid="{00000000-0005-0000-0000-0000FF970000}"/>
    <cellStyle name="Normal 65 4 4 6" xfId="38911" xr:uid="{00000000-0005-0000-0000-000000980000}"/>
    <cellStyle name="Normal 65 4 4 7" xfId="38912" xr:uid="{00000000-0005-0000-0000-000001980000}"/>
    <cellStyle name="Normal 65 4 4 8" xfId="38913" xr:uid="{00000000-0005-0000-0000-000002980000}"/>
    <cellStyle name="Normal 65 4 5" xfId="38914" xr:uid="{00000000-0005-0000-0000-000003980000}"/>
    <cellStyle name="Normal 65 4 5 2" xfId="38915" xr:uid="{00000000-0005-0000-0000-000004980000}"/>
    <cellStyle name="Normal 65 4 5 2 2" xfId="38916" xr:uid="{00000000-0005-0000-0000-000005980000}"/>
    <cellStyle name="Normal 65 4 5 2 3" xfId="38917" xr:uid="{00000000-0005-0000-0000-000006980000}"/>
    <cellStyle name="Normal 65 4 5 2 4" xfId="38918" xr:uid="{00000000-0005-0000-0000-000007980000}"/>
    <cellStyle name="Normal 65 4 5 2 5" xfId="38919" xr:uid="{00000000-0005-0000-0000-000008980000}"/>
    <cellStyle name="Normal 65 4 5 2 6" xfId="38920" xr:uid="{00000000-0005-0000-0000-000009980000}"/>
    <cellStyle name="Normal 65 4 5 3" xfId="38921" xr:uid="{00000000-0005-0000-0000-00000A980000}"/>
    <cellStyle name="Normal 65 4 5 3 2" xfId="38922" xr:uid="{00000000-0005-0000-0000-00000B980000}"/>
    <cellStyle name="Normal 65 4 5 3 3" xfId="38923" xr:uid="{00000000-0005-0000-0000-00000C980000}"/>
    <cellStyle name="Normal 65 4 5 3 4" xfId="38924" xr:uid="{00000000-0005-0000-0000-00000D980000}"/>
    <cellStyle name="Normal 65 4 5 3 5" xfId="38925" xr:uid="{00000000-0005-0000-0000-00000E980000}"/>
    <cellStyle name="Normal 65 4 5 3 6" xfId="38926" xr:uid="{00000000-0005-0000-0000-00000F980000}"/>
    <cellStyle name="Normal 65 4 5 4" xfId="38927" xr:uid="{00000000-0005-0000-0000-000010980000}"/>
    <cellStyle name="Normal 65 4 5 5" xfId="38928" xr:uid="{00000000-0005-0000-0000-000011980000}"/>
    <cellStyle name="Normal 65 4 5 6" xfId="38929" xr:uid="{00000000-0005-0000-0000-000012980000}"/>
    <cellStyle name="Normal 65 4 5 7" xfId="38930" xr:uid="{00000000-0005-0000-0000-000013980000}"/>
    <cellStyle name="Normal 65 4 5 8" xfId="38931" xr:uid="{00000000-0005-0000-0000-000014980000}"/>
    <cellStyle name="Normal 65 4 6" xfId="38932" xr:uid="{00000000-0005-0000-0000-000015980000}"/>
    <cellStyle name="Normal 65 4 6 2" xfId="38933" xr:uid="{00000000-0005-0000-0000-000016980000}"/>
    <cellStyle name="Normal 65 4 6 3" xfId="38934" xr:uid="{00000000-0005-0000-0000-000017980000}"/>
    <cellStyle name="Normal 65 4 6 4" xfId="38935" xr:uid="{00000000-0005-0000-0000-000018980000}"/>
    <cellStyle name="Normal 65 4 6 5" xfId="38936" xr:uid="{00000000-0005-0000-0000-000019980000}"/>
    <cellStyle name="Normal 65 4 6 6" xfId="38937" xr:uid="{00000000-0005-0000-0000-00001A980000}"/>
    <cellStyle name="Normal 65 4 7" xfId="38938" xr:uid="{00000000-0005-0000-0000-00001B980000}"/>
    <cellStyle name="Normal 65 4 7 2" xfId="38939" xr:uid="{00000000-0005-0000-0000-00001C980000}"/>
    <cellStyle name="Normal 65 4 7 3" xfId="38940" xr:uid="{00000000-0005-0000-0000-00001D980000}"/>
    <cellStyle name="Normal 65 4 7 4" xfId="38941" xr:uid="{00000000-0005-0000-0000-00001E980000}"/>
    <cellStyle name="Normal 65 4 7 5" xfId="38942" xr:uid="{00000000-0005-0000-0000-00001F980000}"/>
    <cellStyle name="Normal 65 4 7 6" xfId="38943" xr:uid="{00000000-0005-0000-0000-000020980000}"/>
    <cellStyle name="Normal 65 4 8" xfId="38944" xr:uid="{00000000-0005-0000-0000-000021980000}"/>
    <cellStyle name="Normal 65 4 9" xfId="38945" xr:uid="{00000000-0005-0000-0000-000022980000}"/>
    <cellStyle name="Normal 65 5" xfId="38946" xr:uid="{00000000-0005-0000-0000-000023980000}"/>
    <cellStyle name="Normal 65 5 10" xfId="38947" xr:uid="{00000000-0005-0000-0000-000024980000}"/>
    <cellStyle name="Normal 65 5 11" xfId="38948" xr:uid="{00000000-0005-0000-0000-000025980000}"/>
    <cellStyle name="Normal 65 5 2" xfId="38949" xr:uid="{00000000-0005-0000-0000-000026980000}"/>
    <cellStyle name="Normal 65 5 2 2" xfId="38950" xr:uid="{00000000-0005-0000-0000-000027980000}"/>
    <cellStyle name="Normal 65 5 2 2 2" xfId="38951" xr:uid="{00000000-0005-0000-0000-000028980000}"/>
    <cellStyle name="Normal 65 5 2 2 3" xfId="38952" xr:uid="{00000000-0005-0000-0000-000029980000}"/>
    <cellStyle name="Normal 65 5 2 2 4" xfId="38953" xr:uid="{00000000-0005-0000-0000-00002A980000}"/>
    <cellStyle name="Normal 65 5 2 2 5" xfId="38954" xr:uid="{00000000-0005-0000-0000-00002B980000}"/>
    <cellStyle name="Normal 65 5 2 2 6" xfId="38955" xr:uid="{00000000-0005-0000-0000-00002C980000}"/>
    <cellStyle name="Normal 65 5 2 3" xfId="38956" xr:uid="{00000000-0005-0000-0000-00002D980000}"/>
    <cellStyle name="Normal 65 5 2 3 2" xfId="38957" xr:uid="{00000000-0005-0000-0000-00002E980000}"/>
    <cellStyle name="Normal 65 5 2 3 3" xfId="38958" xr:uid="{00000000-0005-0000-0000-00002F980000}"/>
    <cellStyle name="Normal 65 5 2 3 4" xfId="38959" xr:uid="{00000000-0005-0000-0000-000030980000}"/>
    <cellStyle name="Normal 65 5 2 3 5" xfId="38960" xr:uid="{00000000-0005-0000-0000-000031980000}"/>
    <cellStyle name="Normal 65 5 2 3 6" xfId="38961" xr:uid="{00000000-0005-0000-0000-000032980000}"/>
    <cellStyle name="Normal 65 5 2 4" xfId="38962" xr:uid="{00000000-0005-0000-0000-000033980000}"/>
    <cellStyle name="Normal 65 5 2 5" xfId="38963" xr:uid="{00000000-0005-0000-0000-000034980000}"/>
    <cellStyle name="Normal 65 5 2 6" xfId="38964" xr:uid="{00000000-0005-0000-0000-000035980000}"/>
    <cellStyle name="Normal 65 5 2 7" xfId="38965" xr:uid="{00000000-0005-0000-0000-000036980000}"/>
    <cellStyle name="Normal 65 5 2 8" xfId="38966" xr:uid="{00000000-0005-0000-0000-000037980000}"/>
    <cellStyle name="Normal 65 5 3" xfId="38967" xr:uid="{00000000-0005-0000-0000-000038980000}"/>
    <cellStyle name="Normal 65 5 3 2" xfId="38968" xr:uid="{00000000-0005-0000-0000-000039980000}"/>
    <cellStyle name="Normal 65 5 3 2 2" xfId="38969" xr:uid="{00000000-0005-0000-0000-00003A980000}"/>
    <cellStyle name="Normal 65 5 3 2 3" xfId="38970" xr:uid="{00000000-0005-0000-0000-00003B980000}"/>
    <cellStyle name="Normal 65 5 3 2 4" xfId="38971" xr:uid="{00000000-0005-0000-0000-00003C980000}"/>
    <cellStyle name="Normal 65 5 3 2 5" xfId="38972" xr:uid="{00000000-0005-0000-0000-00003D980000}"/>
    <cellStyle name="Normal 65 5 3 2 6" xfId="38973" xr:uid="{00000000-0005-0000-0000-00003E980000}"/>
    <cellStyle name="Normal 65 5 3 3" xfId="38974" xr:uid="{00000000-0005-0000-0000-00003F980000}"/>
    <cellStyle name="Normal 65 5 3 3 2" xfId="38975" xr:uid="{00000000-0005-0000-0000-000040980000}"/>
    <cellStyle name="Normal 65 5 3 3 3" xfId="38976" xr:uid="{00000000-0005-0000-0000-000041980000}"/>
    <cellStyle name="Normal 65 5 3 3 4" xfId="38977" xr:uid="{00000000-0005-0000-0000-000042980000}"/>
    <cellStyle name="Normal 65 5 3 3 5" xfId="38978" xr:uid="{00000000-0005-0000-0000-000043980000}"/>
    <cellStyle name="Normal 65 5 3 3 6" xfId="38979" xr:uid="{00000000-0005-0000-0000-000044980000}"/>
    <cellStyle name="Normal 65 5 3 4" xfId="38980" xr:uid="{00000000-0005-0000-0000-000045980000}"/>
    <cellStyle name="Normal 65 5 3 5" xfId="38981" xr:uid="{00000000-0005-0000-0000-000046980000}"/>
    <cellStyle name="Normal 65 5 3 6" xfId="38982" xr:uid="{00000000-0005-0000-0000-000047980000}"/>
    <cellStyle name="Normal 65 5 3 7" xfId="38983" xr:uid="{00000000-0005-0000-0000-000048980000}"/>
    <cellStyle name="Normal 65 5 3 8" xfId="38984" xr:uid="{00000000-0005-0000-0000-000049980000}"/>
    <cellStyle name="Normal 65 5 4" xfId="38985" xr:uid="{00000000-0005-0000-0000-00004A980000}"/>
    <cellStyle name="Normal 65 5 4 2" xfId="38986" xr:uid="{00000000-0005-0000-0000-00004B980000}"/>
    <cellStyle name="Normal 65 5 4 2 2" xfId="38987" xr:uid="{00000000-0005-0000-0000-00004C980000}"/>
    <cellStyle name="Normal 65 5 4 2 3" xfId="38988" xr:uid="{00000000-0005-0000-0000-00004D980000}"/>
    <cellStyle name="Normal 65 5 4 2 4" xfId="38989" xr:uid="{00000000-0005-0000-0000-00004E980000}"/>
    <cellStyle name="Normal 65 5 4 2 5" xfId="38990" xr:uid="{00000000-0005-0000-0000-00004F980000}"/>
    <cellStyle name="Normal 65 5 4 2 6" xfId="38991" xr:uid="{00000000-0005-0000-0000-000050980000}"/>
    <cellStyle name="Normal 65 5 4 3" xfId="38992" xr:uid="{00000000-0005-0000-0000-000051980000}"/>
    <cellStyle name="Normal 65 5 4 3 2" xfId="38993" xr:uid="{00000000-0005-0000-0000-000052980000}"/>
    <cellStyle name="Normal 65 5 4 3 3" xfId="38994" xr:uid="{00000000-0005-0000-0000-000053980000}"/>
    <cellStyle name="Normal 65 5 4 3 4" xfId="38995" xr:uid="{00000000-0005-0000-0000-000054980000}"/>
    <cellStyle name="Normal 65 5 4 3 5" xfId="38996" xr:uid="{00000000-0005-0000-0000-000055980000}"/>
    <cellStyle name="Normal 65 5 4 3 6" xfId="38997" xr:uid="{00000000-0005-0000-0000-000056980000}"/>
    <cellStyle name="Normal 65 5 4 4" xfId="38998" xr:uid="{00000000-0005-0000-0000-000057980000}"/>
    <cellStyle name="Normal 65 5 4 5" xfId="38999" xr:uid="{00000000-0005-0000-0000-000058980000}"/>
    <cellStyle name="Normal 65 5 4 6" xfId="39000" xr:uid="{00000000-0005-0000-0000-000059980000}"/>
    <cellStyle name="Normal 65 5 4 7" xfId="39001" xr:uid="{00000000-0005-0000-0000-00005A980000}"/>
    <cellStyle name="Normal 65 5 4 8" xfId="39002" xr:uid="{00000000-0005-0000-0000-00005B980000}"/>
    <cellStyle name="Normal 65 5 5" xfId="39003" xr:uid="{00000000-0005-0000-0000-00005C980000}"/>
    <cellStyle name="Normal 65 5 5 2" xfId="39004" xr:uid="{00000000-0005-0000-0000-00005D980000}"/>
    <cellStyle name="Normal 65 5 5 3" xfId="39005" xr:uid="{00000000-0005-0000-0000-00005E980000}"/>
    <cellStyle name="Normal 65 5 5 4" xfId="39006" xr:uid="{00000000-0005-0000-0000-00005F980000}"/>
    <cellStyle name="Normal 65 5 5 5" xfId="39007" xr:uid="{00000000-0005-0000-0000-000060980000}"/>
    <cellStyle name="Normal 65 5 5 6" xfId="39008" xr:uid="{00000000-0005-0000-0000-000061980000}"/>
    <cellStyle name="Normal 65 5 6" xfId="39009" xr:uid="{00000000-0005-0000-0000-000062980000}"/>
    <cellStyle name="Normal 65 5 6 2" xfId="39010" xr:uid="{00000000-0005-0000-0000-000063980000}"/>
    <cellStyle name="Normal 65 5 6 3" xfId="39011" xr:uid="{00000000-0005-0000-0000-000064980000}"/>
    <cellStyle name="Normal 65 5 6 4" xfId="39012" xr:uid="{00000000-0005-0000-0000-000065980000}"/>
    <cellStyle name="Normal 65 5 6 5" xfId="39013" xr:uid="{00000000-0005-0000-0000-000066980000}"/>
    <cellStyle name="Normal 65 5 6 6" xfId="39014" xr:uid="{00000000-0005-0000-0000-000067980000}"/>
    <cellStyle name="Normal 65 5 7" xfId="39015" xr:uid="{00000000-0005-0000-0000-000068980000}"/>
    <cellStyle name="Normal 65 5 8" xfId="39016" xr:uid="{00000000-0005-0000-0000-000069980000}"/>
    <cellStyle name="Normal 65 5 9" xfId="39017" xr:uid="{00000000-0005-0000-0000-00006A980000}"/>
    <cellStyle name="Normal 65 6" xfId="39018" xr:uid="{00000000-0005-0000-0000-00006B980000}"/>
    <cellStyle name="Normal 65 6 2" xfId="39019" xr:uid="{00000000-0005-0000-0000-00006C980000}"/>
    <cellStyle name="Normal 65 6 2 2" xfId="39020" xr:uid="{00000000-0005-0000-0000-00006D980000}"/>
    <cellStyle name="Normal 65 6 2 3" xfId="39021" xr:uid="{00000000-0005-0000-0000-00006E980000}"/>
    <cellStyle name="Normal 65 6 2 4" xfId="39022" xr:uid="{00000000-0005-0000-0000-00006F980000}"/>
    <cellStyle name="Normal 65 6 2 5" xfId="39023" xr:uid="{00000000-0005-0000-0000-000070980000}"/>
    <cellStyle name="Normal 65 6 2 6" xfId="39024" xr:uid="{00000000-0005-0000-0000-000071980000}"/>
    <cellStyle name="Normal 65 6 3" xfId="39025" xr:uid="{00000000-0005-0000-0000-000072980000}"/>
    <cellStyle name="Normal 65 6 3 2" xfId="39026" xr:uid="{00000000-0005-0000-0000-000073980000}"/>
    <cellStyle name="Normal 65 6 3 3" xfId="39027" xr:uid="{00000000-0005-0000-0000-000074980000}"/>
    <cellStyle name="Normal 65 6 3 4" xfId="39028" xr:uid="{00000000-0005-0000-0000-000075980000}"/>
    <cellStyle name="Normal 65 6 3 5" xfId="39029" xr:uid="{00000000-0005-0000-0000-000076980000}"/>
    <cellStyle name="Normal 65 6 3 6" xfId="39030" xr:uid="{00000000-0005-0000-0000-000077980000}"/>
    <cellStyle name="Normal 65 6 4" xfId="39031" xr:uid="{00000000-0005-0000-0000-000078980000}"/>
    <cellStyle name="Normal 65 6 5" xfId="39032" xr:uid="{00000000-0005-0000-0000-000079980000}"/>
    <cellStyle name="Normal 65 6 6" xfId="39033" xr:uid="{00000000-0005-0000-0000-00007A980000}"/>
    <cellStyle name="Normal 65 6 7" xfId="39034" xr:uid="{00000000-0005-0000-0000-00007B980000}"/>
    <cellStyle name="Normal 65 6 8" xfId="39035" xr:uid="{00000000-0005-0000-0000-00007C980000}"/>
    <cellStyle name="Normal 65 7" xfId="39036" xr:uid="{00000000-0005-0000-0000-00007D980000}"/>
    <cellStyle name="Normal 65 7 2" xfId="39037" xr:uid="{00000000-0005-0000-0000-00007E980000}"/>
    <cellStyle name="Normal 65 7 2 2" xfId="39038" xr:uid="{00000000-0005-0000-0000-00007F980000}"/>
    <cellStyle name="Normal 65 7 2 3" xfId="39039" xr:uid="{00000000-0005-0000-0000-000080980000}"/>
    <cellStyle name="Normal 65 7 2 4" xfId="39040" xr:uid="{00000000-0005-0000-0000-000081980000}"/>
    <cellStyle name="Normal 65 7 2 5" xfId="39041" xr:uid="{00000000-0005-0000-0000-000082980000}"/>
    <cellStyle name="Normal 65 7 2 6" xfId="39042" xr:uid="{00000000-0005-0000-0000-000083980000}"/>
    <cellStyle name="Normal 65 7 3" xfId="39043" xr:uid="{00000000-0005-0000-0000-000084980000}"/>
    <cellStyle name="Normal 65 7 3 2" xfId="39044" xr:uid="{00000000-0005-0000-0000-000085980000}"/>
    <cellStyle name="Normal 65 7 3 3" xfId="39045" xr:uid="{00000000-0005-0000-0000-000086980000}"/>
    <cellStyle name="Normal 65 7 3 4" xfId="39046" xr:uid="{00000000-0005-0000-0000-000087980000}"/>
    <cellStyle name="Normal 65 7 3 5" xfId="39047" xr:uid="{00000000-0005-0000-0000-000088980000}"/>
    <cellStyle name="Normal 65 7 3 6" xfId="39048" xr:uid="{00000000-0005-0000-0000-000089980000}"/>
    <cellStyle name="Normal 65 7 4" xfId="39049" xr:uid="{00000000-0005-0000-0000-00008A980000}"/>
    <cellStyle name="Normal 65 7 5" xfId="39050" xr:uid="{00000000-0005-0000-0000-00008B980000}"/>
    <cellStyle name="Normal 65 7 6" xfId="39051" xr:uid="{00000000-0005-0000-0000-00008C980000}"/>
    <cellStyle name="Normal 65 7 7" xfId="39052" xr:uid="{00000000-0005-0000-0000-00008D980000}"/>
    <cellStyle name="Normal 65 7 8" xfId="39053" xr:uid="{00000000-0005-0000-0000-00008E980000}"/>
    <cellStyle name="Normal 65 8" xfId="39054" xr:uid="{00000000-0005-0000-0000-00008F980000}"/>
    <cellStyle name="Normal 65 8 2" xfId="39055" xr:uid="{00000000-0005-0000-0000-000090980000}"/>
    <cellStyle name="Normal 65 8 2 2" xfId="39056" xr:uid="{00000000-0005-0000-0000-000091980000}"/>
    <cellStyle name="Normal 65 8 2 3" xfId="39057" xr:uid="{00000000-0005-0000-0000-000092980000}"/>
    <cellStyle name="Normal 65 8 2 4" xfId="39058" xr:uid="{00000000-0005-0000-0000-000093980000}"/>
    <cellStyle name="Normal 65 8 2 5" xfId="39059" xr:uid="{00000000-0005-0000-0000-000094980000}"/>
    <cellStyle name="Normal 65 8 2 6" xfId="39060" xr:uid="{00000000-0005-0000-0000-000095980000}"/>
    <cellStyle name="Normal 65 8 3" xfId="39061" xr:uid="{00000000-0005-0000-0000-000096980000}"/>
    <cellStyle name="Normal 65 8 3 2" xfId="39062" xr:uid="{00000000-0005-0000-0000-000097980000}"/>
    <cellStyle name="Normal 65 8 3 3" xfId="39063" xr:uid="{00000000-0005-0000-0000-000098980000}"/>
    <cellStyle name="Normal 65 8 3 4" xfId="39064" xr:uid="{00000000-0005-0000-0000-000099980000}"/>
    <cellStyle name="Normal 65 8 3 5" xfId="39065" xr:uid="{00000000-0005-0000-0000-00009A980000}"/>
    <cellStyle name="Normal 65 8 3 6" xfId="39066" xr:uid="{00000000-0005-0000-0000-00009B980000}"/>
    <cellStyle name="Normal 65 8 4" xfId="39067" xr:uid="{00000000-0005-0000-0000-00009C980000}"/>
    <cellStyle name="Normal 65 8 5" xfId="39068" xr:uid="{00000000-0005-0000-0000-00009D980000}"/>
    <cellStyle name="Normal 65 8 6" xfId="39069" xr:uid="{00000000-0005-0000-0000-00009E980000}"/>
    <cellStyle name="Normal 65 8 7" xfId="39070" xr:uid="{00000000-0005-0000-0000-00009F980000}"/>
    <cellStyle name="Normal 65 8 8" xfId="39071" xr:uid="{00000000-0005-0000-0000-0000A0980000}"/>
    <cellStyle name="Normal 65 9" xfId="39072" xr:uid="{00000000-0005-0000-0000-0000A1980000}"/>
    <cellStyle name="Normal 65 9 2" xfId="39073" xr:uid="{00000000-0005-0000-0000-0000A2980000}"/>
    <cellStyle name="Normal 65 9 3" xfId="39074" xr:uid="{00000000-0005-0000-0000-0000A3980000}"/>
    <cellStyle name="Normal 65 9 4" xfId="39075" xr:uid="{00000000-0005-0000-0000-0000A4980000}"/>
    <cellStyle name="Normal 65 9 5" xfId="39076" xr:uid="{00000000-0005-0000-0000-0000A5980000}"/>
    <cellStyle name="Normal 65 9 6" xfId="39077" xr:uid="{00000000-0005-0000-0000-0000A6980000}"/>
    <cellStyle name="Normal 66" xfId="39078" xr:uid="{00000000-0005-0000-0000-0000A7980000}"/>
    <cellStyle name="Normal 66 10" xfId="39079" xr:uid="{00000000-0005-0000-0000-0000A8980000}"/>
    <cellStyle name="Normal 66 11" xfId="39080" xr:uid="{00000000-0005-0000-0000-0000A9980000}"/>
    <cellStyle name="Normal 66 2" xfId="39081" xr:uid="{00000000-0005-0000-0000-0000AA980000}"/>
    <cellStyle name="Normal 66 2 2" xfId="39082" xr:uid="{00000000-0005-0000-0000-0000AB980000}"/>
    <cellStyle name="Normal 66 2 2 2" xfId="39083" xr:uid="{00000000-0005-0000-0000-0000AC980000}"/>
    <cellStyle name="Normal 66 2 2 3" xfId="39084" xr:uid="{00000000-0005-0000-0000-0000AD980000}"/>
    <cellStyle name="Normal 66 2 2 4" xfId="39085" xr:uid="{00000000-0005-0000-0000-0000AE980000}"/>
    <cellStyle name="Normal 66 2 2 5" xfId="39086" xr:uid="{00000000-0005-0000-0000-0000AF980000}"/>
    <cellStyle name="Normal 66 2 2 6" xfId="39087" xr:uid="{00000000-0005-0000-0000-0000B0980000}"/>
    <cellStyle name="Normal 66 2 3" xfId="39088" xr:uid="{00000000-0005-0000-0000-0000B1980000}"/>
    <cellStyle name="Normal 66 2 3 2" xfId="39089" xr:uid="{00000000-0005-0000-0000-0000B2980000}"/>
    <cellStyle name="Normal 66 2 3 3" xfId="39090" xr:uid="{00000000-0005-0000-0000-0000B3980000}"/>
    <cellStyle name="Normal 66 2 3 4" xfId="39091" xr:uid="{00000000-0005-0000-0000-0000B4980000}"/>
    <cellStyle name="Normal 66 2 3 5" xfId="39092" xr:uid="{00000000-0005-0000-0000-0000B5980000}"/>
    <cellStyle name="Normal 66 2 3 6" xfId="39093" xr:uid="{00000000-0005-0000-0000-0000B6980000}"/>
    <cellStyle name="Normal 66 2 4" xfId="39094" xr:uid="{00000000-0005-0000-0000-0000B7980000}"/>
    <cellStyle name="Normal 66 2 5" xfId="39095" xr:uid="{00000000-0005-0000-0000-0000B8980000}"/>
    <cellStyle name="Normal 66 2 6" xfId="39096" xr:uid="{00000000-0005-0000-0000-0000B9980000}"/>
    <cellStyle name="Normal 66 2 7" xfId="39097" xr:uid="{00000000-0005-0000-0000-0000BA980000}"/>
    <cellStyle name="Normal 66 2 8" xfId="39098" xr:uid="{00000000-0005-0000-0000-0000BB980000}"/>
    <cellStyle name="Normal 66 3" xfId="39099" xr:uid="{00000000-0005-0000-0000-0000BC980000}"/>
    <cellStyle name="Normal 66 3 2" xfId="39100" xr:uid="{00000000-0005-0000-0000-0000BD980000}"/>
    <cellStyle name="Normal 66 3 2 2" xfId="39101" xr:uid="{00000000-0005-0000-0000-0000BE980000}"/>
    <cellStyle name="Normal 66 3 2 3" xfId="39102" xr:uid="{00000000-0005-0000-0000-0000BF980000}"/>
    <cellStyle name="Normal 66 3 2 4" xfId="39103" xr:uid="{00000000-0005-0000-0000-0000C0980000}"/>
    <cellStyle name="Normal 66 3 2 5" xfId="39104" xr:uid="{00000000-0005-0000-0000-0000C1980000}"/>
    <cellStyle name="Normal 66 3 2 6" xfId="39105" xr:uid="{00000000-0005-0000-0000-0000C2980000}"/>
    <cellStyle name="Normal 66 3 3" xfId="39106" xr:uid="{00000000-0005-0000-0000-0000C3980000}"/>
    <cellStyle name="Normal 66 3 3 2" xfId="39107" xr:uid="{00000000-0005-0000-0000-0000C4980000}"/>
    <cellStyle name="Normal 66 3 3 3" xfId="39108" xr:uid="{00000000-0005-0000-0000-0000C5980000}"/>
    <cellStyle name="Normal 66 3 3 4" xfId="39109" xr:uid="{00000000-0005-0000-0000-0000C6980000}"/>
    <cellStyle name="Normal 66 3 3 5" xfId="39110" xr:uid="{00000000-0005-0000-0000-0000C7980000}"/>
    <cellStyle name="Normal 66 3 3 6" xfId="39111" xr:uid="{00000000-0005-0000-0000-0000C8980000}"/>
    <cellStyle name="Normal 66 3 4" xfId="39112" xr:uid="{00000000-0005-0000-0000-0000C9980000}"/>
    <cellStyle name="Normal 66 3 5" xfId="39113" xr:uid="{00000000-0005-0000-0000-0000CA980000}"/>
    <cellStyle name="Normal 66 3 6" xfId="39114" xr:uid="{00000000-0005-0000-0000-0000CB980000}"/>
    <cellStyle name="Normal 66 3 7" xfId="39115" xr:uid="{00000000-0005-0000-0000-0000CC980000}"/>
    <cellStyle name="Normal 66 3 8" xfId="39116" xr:uid="{00000000-0005-0000-0000-0000CD980000}"/>
    <cellStyle name="Normal 66 4" xfId="39117" xr:uid="{00000000-0005-0000-0000-0000CE980000}"/>
    <cellStyle name="Normal 66 4 2" xfId="39118" xr:uid="{00000000-0005-0000-0000-0000CF980000}"/>
    <cellStyle name="Normal 66 4 2 2" xfId="39119" xr:uid="{00000000-0005-0000-0000-0000D0980000}"/>
    <cellStyle name="Normal 66 4 2 3" xfId="39120" xr:uid="{00000000-0005-0000-0000-0000D1980000}"/>
    <cellStyle name="Normal 66 4 2 4" xfId="39121" xr:uid="{00000000-0005-0000-0000-0000D2980000}"/>
    <cellStyle name="Normal 66 4 2 5" xfId="39122" xr:uid="{00000000-0005-0000-0000-0000D3980000}"/>
    <cellStyle name="Normal 66 4 2 6" xfId="39123" xr:uid="{00000000-0005-0000-0000-0000D4980000}"/>
    <cellStyle name="Normal 66 4 3" xfId="39124" xr:uid="{00000000-0005-0000-0000-0000D5980000}"/>
    <cellStyle name="Normal 66 4 3 2" xfId="39125" xr:uid="{00000000-0005-0000-0000-0000D6980000}"/>
    <cellStyle name="Normal 66 4 3 3" xfId="39126" xr:uid="{00000000-0005-0000-0000-0000D7980000}"/>
    <cellStyle name="Normal 66 4 3 4" xfId="39127" xr:uid="{00000000-0005-0000-0000-0000D8980000}"/>
    <cellStyle name="Normal 66 4 3 5" xfId="39128" xr:uid="{00000000-0005-0000-0000-0000D9980000}"/>
    <cellStyle name="Normal 66 4 3 6" xfId="39129" xr:uid="{00000000-0005-0000-0000-0000DA980000}"/>
    <cellStyle name="Normal 66 4 4" xfId="39130" xr:uid="{00000000-0005-0000-0000-0000DB980000}"/>
    <cellStyle name="Normal 66 4 5" xfId="39131" xr:uid="{00000000-0005-0000-0000-0000DC980000}"/>
    <cellStyle name="Normal 66 4 6" xfId="39132" xr:uid="{00000000-0005-0000-0000-0000DD980000}"/>
    <cellStyle name="Normal 66 4 7" xfId="39133" xr:uid="{00000000-0005-0000-0000-0000DE980000}"/>
    <cellStyle name="Normal 66 4 8" xfId="39134" xr:uid="{00000000-0005-0000-0000-0000DF980000}"/>
    <cellStyle name="Normal 66 5" xfId="39135" xr:uid="{00000000-0005-0000-0000-0000E0980000}"/>
    <cellStyle name="Normal 66 5 2" xfId="39136" xr:uid="{00000000-0005-0000-0000-0000E1980000}"/>
    <cellStyle name="Normal 66 5 3" xfId="39137" xr:uid="{00000000-0005-0000-0000-0000E2980000}"/>
    <cellStyle name="Normal 66 5 4" xfId="39138" xr:uid="{00000000-0005-0000-0000-0000E3980000}"/>
    <cellStyle name="Normal 66 5 5" xfId="39139" xr:uid="{00000000-0005-0000-0000-0000E4980000}"/>
    <cellStyle name="Normal 66 5 6" xfId="39140" xr:uid="{00000000-0005-0000-0000-0000E5980000}"/>
    <cellStyle name="Normal 66 6" xfId="39141" xr:uid="{00000000-0005-0000-0000-0000E6980000}"/>
    <cellStyle name="Normal 66 6 2" xfId="39142" xr:uid="{00000000-0005-0000-0000-0000E7980000}"/>
    <cellStyle name="Normal 66 6 3" xfId="39143" xr:uid="{00000000-0005-0000-0000-0000E8980000}"/>
    <cellStyle name="Normal 66 6 4" xfId="39144" xr:uid="{00000000-0005-0000-0000-0000E9980000}"/>
    <cellStyle name="Normal 66 6 5" xfId="39145" xr:uid="{00000000-0005-0000-0000-0000EA980000}"/>
    <cellStyle name="Normal 66 6 6" xfId="39146" xr:uid="{00000000-0005-0000-0000-0000EB980000}"/>
    <cellStyle name="Normal 66 7" xfId="39147" xr:uid="{00000000-0005-0000-0000-0000EC980000}"/>
    <cellStyle name="Normal 66 8" xfId="39148" xr:uid="{00000000-0005-0000-0000-0000ED980000}"/>
    <cellStyle name="Normal 66 9" xfId="39149" xr:uid="{00000000-0005-0000-0000-0000EE980000}"/>
    <cellStyle name="Normal 67" xfId="39150" xr:uid="{00000000-0005-0000-0000-0000EF980000}"/>
    <cellStyle name="Normal 67 10" xfId="39151" xr:uid="{00000000-0005-0000-0000-0000F0980000}"/>
    <cellStyle name="Normal 67 11" xfId="39152" xr:uid="{00000000-0005-0000-0000-0000F1980000}"/>
    <cellStyle name="Normal 67 2" xfId="39153" xr:uid="{00000000-0005-0000-0000-0000F2980000}"/>
    <cellStyle name="Normal 67 2 2" xfId="39154" xr:uid="{00000000-0005-0000-0000-0000F3980000}"/>
    <cellStyle name="Normal 67 2 2 2" xfId="39155" xr:uid="{00000000-0005-0000-0000-0000F4980000}"/>
    <cellStyle name="Normal 67 2 2 3" xfId="39156" xr:uid="{00000000-0005-0000-0000-0000F5980000}"/>
    <cellStyle name="Normal 67 2 2 4" xfId="39157" xr:uid="{00000000-0005-0000-0000-0000F6980000}"/>
    <cellStyle name="Normal 67 2 2 5" xfId="39158" xr:uid="{00000000-0005-0000-0000-0000F7980000}"/>
    <cellStyle name="Normal 67 2 2 6" xfId="39159" xr:uid="{00000000-0005-0000-0000-0000F8980000}"/>
    <cellStyle name="Normal 67 2 3" xfId="39160" xr:uid="{00000000-0005-0000-0000-0000F9980000}"/>
    <cellStyle name="Normal 67 2 3 2" xfId="39161" xr:uid="{00000000-0005-0000-0000-0000FA980000}"/>
    <cellStyle name="Normal 67 2 3 3" xfId="39162" xr:uid="{00000000-0005-0000-0000-0000FB980000}"/>
    <cellStyle name="Normal 67 2 3 4" xfId="39163" xr:uid="{00000000-0005-0000-0000-0000FC980000}"/>
    <cellStyle name="Normal 67 2 3 5" xfId="39164" xr:uid="{00000000-0005-0000-0000-0000FD980000}"/>
    <cellStyle name="Normal 67 2 3 6" xfId="39165" xr:uid="{00000000-0005-0000-0000-0000FE980000}"/>
    <cellStyle name="Normal 67 2 4" xfId="39166" xr:uid="{00000000-0005-0000-0000-0000FF980000}"/>
    <cellStyle name="Normal 67 2 5" xfId="39167" xr:uid="{00000000-0005-0000-0000-000000990000}"/>
    <cellStyle name="Normal 67 2 6" xfId="39168" xr:uid="{00000000-0005-0000-0000-000001990000}"/>
    <cellStyle name="Normal 67 2 7" xfId="39169" xr:uid="{00000000-0005-0000-0000-000002990000}"/>
    <cellStyle name="Normal 67 2 8" xfId="39170" xr:uid="{00000000-0005-0000-0000-000003990000}"/>
    <cellStyle name="Normal 67 3" xfId="39171" xr:uid="{00000000-0005-0000-0000-000004990000}"/>
    <cellStyle name="Normal 67 3 2" xfId="39172" xr:uid="{00000000-0005-0000-0000-000005990000}"/>
    <cellStyle name="Normal 67 3 2 2" xfId="39173" xr:uid="{00000000-0005-0000-0000-000006990000}"/>
    <cellStyle name="Normal 67 3 2 3" xfId="39174" xr:uid="{00000000-0005-0000-0000-000007990000}"/>
    <cellStyle name="Normal 67 3 2 4" xfId="39175" xr:uid="{00000000-0005-0000-0000-000008990000}"/>
    <cellStyle name="Normal 67 3 2 5" xfId="39176" xr:uid="{00000000-0005-0000-0000-000009990000}"/>
    <cellStyle name="Normal 67 3 2 6" xfId="39177" xr:uid="{00000000-0005-0000-0000-00000A990000}"/>
    <cellStyle name="Normal 67 3 3" xfId="39178" xr:uid="{00000000-0005-0000-0000-00000B990000}"/>
    <cellStyle name="Normal 67 3 3 2" xfId="39179" xr:uid="{00000000-0005-0000-0000-00000C990000}"/>
    <cellStyle name="Normal 67 3 3 3" xfId="39180" xr:uid="{00000000-0005-0000-0000-00000D990000}"/>
    <cellStyle name="Normal 67 3 3 4" xfId="39181" xr:uid="{00000000-0005-0000-0000-00000E990000}"/>
    <cellStyle name="Normal 67 3 3 5" xfId="39182" xr:uid="{00000000-0005-0000-0000-00000F990000}"/>
    <cellStyle name="Normal 67 3 3 6" xfId="39183" xr:uid="{00000000-0005-0000-0000-000010990000}"/>
    <cellStyle name="Normal 67 3 4" xfId="39184" xr:uid="{00000000-0005-0000-0000-000011990000}"/>
    <cellStyle name="Normal 67 3 5" xfId="39185" xr:uid="{00000000-0005-0000-0000-000012990000}"/>
    <cellStyle name="Normal 67 3 6" xfId="39186" xr:uid="{00000000-0005-0000-0000-000013990000}"/>
    <cellStyle name="Normal 67 3 7" xfId="39187" xr:uid="{00000000-0005-0000-0000-000014990000}"/>
    <cellStyle name="Normal 67 3 8" xfId="39188" xr:uid="{00000000-0005-0000-0000-000015990000}"/>
    <cellStyle name="Normal 67 4" xfId="39189" xr:uid="{00000000-0005-0000-0000-000016990000}"/>
    <cellStyle name="Normal 67 4 2" xfId="39190" xr:uid="{00000000-0005-0000-0000-000017990000}"/>
    <cellStyle name="Normal 67 4 2 2" xfId="39191" xr:uid="{00000000-0005-0000-0000-000018990000}"/>
    <cellStyle name="Normal 67 4 2 3" xfId="39192" xr:uid="{00000000-0005-0000-0000-000019990000}"/>
    <cellStyle name="Normal 67 4 2 4" xfId="39193" xr:uid="{00000000-0005-0000-0000-00001A990000}"/>
    <cellStyle name="Normal 67 4 2 5" xfId="39194" xr:uid="{00000000-0005-0000-0000-00001B990000}"/>
    <cellStyle name="Normal 67 4 2 6" xfId="39195" xr:uid="{00000000-0005-0000-0000-00001C990000}"/>
    <cellStyle name="Normal 67 4 3" xfId="39196" xr:uid="{00000000-0005-0000-0000-00001D990000}"/>
    <cellStyle name="Normal 67 4 3 2" xfId="39197" xr:uid="{00000000-0005-0000-0000-00001E990000}"/>
    <cellStyle name="Normal 67 4 3 3" xfId="39198" xr:uid="{00000000-0005-0000-0000-00001F990000}"/>
    <cellStyle name="Normal 67 4 3 4" xfId="39199" xr:uid="{00000000-0005-0000-0000-000020990000}"/>
    <cellStyle name="Normal 67 4 3 5" xfId="39200" xr:uid="{00000000-0005-0000-0000-000021990000}"/>
    <cellStyle name="Normal 67 4 3 6" xfId="39201" xr:uid="{00000000-0005-0000-0000-000022990000}"/>
    <cellStyle name="Normal 67 4 4" xfId="39202" xr:uid="{00000000-0005-0000-0000-000023990000}"/>
    <cellStyle name="Normal 67 4 5" xfId="39203" xr:uid="{00000000-0005-0000-0000-000024990000}"/>
    <cellStyle name="Normal 67 4 6" xfId="39204" xr:uid="{00000000-0005-0000-0000-000025990000}"/>
    <cellStyle name="Normal 67 4 7" xfId="39205" xr:uid="{00000000-0005-0000-0000-000026990000}"/>
    <cellStyle name="Normal 67 4 8" xfId="39206" xr:uid="{00000000-0005-0000-0000-000027990000}"/>
    <cellStyle name="Normal 67 5" xfId="39207" xr:uid="{00000000-0005-0000-0000-000028990000}"/>
    <cellStyle name="Normal 67 5 2" xfId="39208" xr:uid="{00000000-0005-0000-0000-000029990000}"/>
    <cellStyle name="Normal 67 5 3" xfId="39209" xr:uid="{00000000-0005-0000-0000-00002A990000}"/>
    <cellStyle name="Normal 67 5 4" xfId="39210" xr:uid="{00000000-0005-0000-0000-00002B990000}"/>
    <cellStyle name="Normal 67 5 5" xfId="39211" xr:uid="{00000000-0005-0000-0000-00002C990000}"/>
    <cellStyle name="Normal 67 5 6" xfId="39212" xr:uid="{00000000-0005-0000-0000-00002D990000}"/>
    <cellStyle name="Normal 67 6" xfId="39213" xr:uid="{00000000-0005-0000-0000-00002E990000}"/>
    <cellStyle name="Normal 67 6 2" xfId="39214" xr:uid="{00000000-0005-0000-0000-00002F990000}"/>
    <cellStyle name="Normal 67 6 3" xfId="39215" xr:uid="{00000000-0005-0000-0000-000030990000}"/>
    <cellStyle name="Normal 67 6 4" xfId="39216" xr:uid="{00000000-0005-0000-0000-000031990000}"/>
    <cellStyle name="Normal 67 6 5" xfId="39217" xr:uid="{00000000-0005-0000-0000-000032990000}"/>
    <cellStyle name="Normal 67 6 6" xfId="39218" xr:uid="{00000000-0005-0000-0000-000033990000}"/>
    <cellStyle name="Normal 67 7" xfId="39219" xr:uid="{00000000-0005-0000-0000-000034990000}"/>
    <cellStyle name="Normal 67 8" xfId="39220" xr:uid="{00000000-0005-0000-0000-000035990000}"/>
    <cellStyle name="Normal 67 9" xfId="39221" xr:uid="{00000000-0005-0000-0000-000036990000}"/>
    <cellStyle name="Normal 68" xfId="39222" xr:uid="{00000000-0005-0000-0000-000037990000}"/>
    <cellStyle name="Normal 68 10" xfId="39223" xr:uid="{00000000-0005-0000-0000-000038990000}"/>
    <cellStyle name="Normal 68 11" xfId="39224" xr:uid="{00000000-0005-0000-0000-000039990000}"/>
    <cellStyle name="Normal 68 2" xfId="39225" xr:uid="{00000000-0005-0000-0000-00003A990000}"/>
    <cellStyle name="Normal 68 2 2" xfId="39226" xr:uid="{00000000-0005-0000-0000-00003B990000}"/>
    <cellStyle name="Normal 68 2 2 2" xfId="39227" xr:uid="{00000000-0005-0000-0000-00003C990000}"/>
    <cellStyle name="Normal 68 2 2 3" xfId="39228" xr:uid="{00000000-0005-0000-0000-00003D990000}"/>
    <cellStyle name="Normal 68 2 2 4" xfId="39229" xr:uid="{00000000-0005-0000-0000-00003E990000}"/>
    <cellStyle name="Normal 68 2 2 5" xfId="39230" xr:uid="{00000000-0005-0000-0000-00003F990000}"/>
    <cellStyle name="Normal 68 2 2 6" xfId="39231" xr:uid="{00000000-0005-0000-0000-000040990000}"/>
    <cellStyle name="Normal 68 2 3" xfId="39232" xr:uid="{00000000-0005-0000-0000-000041990000}"/>
    <cellStyle name="Normal 68 2 3 2" xfId="39233" xr:uid="{00000000-0005-0000-0000-000042990000}"/>
    <cellStyle name="Normal 68 2 3 3" xfId="39234" xr:uid="{00000000-0005-0000-0000-000043990000}"/>
    <cellStyle name="Normal 68 2 3 4" xfId="39235" xr:uid="{00000000-0005-0000-0000-000044990000}"/>
    <cellStyle name="Normal 68 2 3 5" xfId="39236" xr:uid="{00000000-0005-0000-0000-000045990000}"/>
    <cellStyle name="Normal 68 2 3 6" xfId="39237" xr:uid="{00000000-0005-0000-0000-000046990000}"/>
    <cellStyle name="Normal 68 2 4" xfId="39238" xr:uid="{00000000-0005-0000-0000-000047990000}"/>
    <cellStyle name="Normal 68 2 5" xfId="39239" xr:uid="{00000000-0005-0000-0000-000048990000}"/>
    <cellStyle name="Normal 68 2 6" xfId="39240" xr:uid="{00000000-0005-0000-0000-000049990000}"/>
    <cellStyle name="Normal 68 2 7" xfId="39241" xr:uid="{00000000-0005-0000-0000-00004A990000}"/>
    <cellStyle name="Normal 68 2 8" xfId="39242" xr:uid="{00000000-0005-0000-0000-00004B990000}"/>
    <cellStyle name="Normal 68 3" xfId="39243" xr:uid="{00000000-0005-0000-0000-00004C990000}"/>
    <cellStyle name="Normal 68 3 2" xfId="39244" xr:uid="{00000000-0005-0000-0000-00004D990000}"/>
    <cellStyle name="Normal 68 3 2 2" xfId="39245" xr:uid="{00000000-0005-0000-0000-00004E990000}"/>
    <cellStyle name="Normal 68 3 2 3" xfId="39246" xr:uid="{00000000-0005-0000-0000-00004F990000}"/>
    <cellStyle name="Normal 68 3 2 4" xfId="39247" xr:uid="{00000000-0005-0000-0000-000050990000}"/>
    <cellStyle name="Normal 68 3 2 5" xfId="39248" xr:uid="{00000000-0005-0000-0000-000051990000}"/>
    <cellStyle name="Normal 68 3 2 6" xfId="39249" xr:uid="{00000000-0005-0000-0000-000052990000}"/>
    <cellStyle name="Normal 68 3 3" xfId="39250" xr:uid="{00000000-0005-0000-0000-000053990000}"/>
    <cellStyle name="Normal 68 3 3 2" xfId="39251" xr:uid="{00000000-0005-0000-0000-000054990000}"/>
    <cellStyle name="Normal 68 3 3 3" xfId="39252" xr:uid="{00000000-0005-0000-0000-000055990000}"/>
    <cellStyle name="Normal 68 3 3 4" xfId="39253" xr:uid="{00000000-0005-0000-0000-000056990000}"/>
    <cellStyle name="Normal 68 3 3 5" xfId="39254" xr:uid="{00000000-0005-0000-0000-000057990000}"/>
    <cellStyle name="Normal 68 3 3 6" xfId="39255" xr:uid="{00000000-0005-0000-0000-000058990000}"/>
    <cellStyle name="Normal 68 3 4" xfId="39256" xr:uid="{00000000-0005-0000-0000-000059990000}"/>
    <cellStyle name="Normal 68 3 5" xfId="39257" xr:uid="{00000000-0005-0000-0000-00005A990000}"/>
    <cellStyle name="Normal 68 3 6" xfId="39258" xr:uid="{00000000-0005-0000-0000-00005B990000}"/>
    <cellStyle name="Normal 68 3 7" xfId="39259" xr:uid="{00000000-0005-0000-0000-00005C990000}"/>
    <cellStyle name="Normal 68 3 8" xfId="39260" xr:uid="{00000000-0005-0000-0000-00005D990000}"/>
    <cellStyle name="Normal 68 4" xfId="39261" xr:uid="{00000000-0005-0000-0000-00005E990000}"/>
    <cellStyle name="Normal 68 4 2" xfId="39262" xr:uid="{00000000-0005-0000-0000-00005F990000}"/>
    <cellStyle name="Normal 68 4 2 2" xfId="39263" xr:uid="{00000000-0005-0000-0000-000060990000}"/>
    <cellStyle name="Normal 68 4 2 3" xfId="39264" xr:uid="{00000000-0005-0000-0000-000061990000}"/>
    <cellStyle name="Normal 68 4 2 4" xfId="39265" xr:uid="{00000000-0005-0000-0000-000062990000}"/>
    <cellStyle name="Normal 68 4 2 5" xfId="39266" xr:uid="{00000000-0005-0000-0000-000063990000}"/>
    <cellStyle name="Normal 68 4 2 6" xfId="39267" xr:uid="{00000000-0005-0000-0000-000064990000}"/>
    <cellStyle name="Normal 68 4 3" xfId="39268" xr:uid="{00000000-0005-0000-0000-000065990000}"/>
    <cellStyle name="Normal 68 4 3 2" xfId="39269" xr:uid="{00000000-0005-0000-0000-000066990000}"/>
    <cellStyle name="Normal 68 4 3 3" xfId="39270" xr:uid="{00000000-0005-0000-0000-000067990000}"/>
    <cellStyle name="Normal 68 4 3 4" xfId="39271" xr:uid="{00000000-0005-0000-0000-000068990000}"/>
    <cellStyle name="Normal 68 4 3 5" xfId="39272" xr:uid="{00000000-0005-0000-0000-000069990000}"/>
    <cellStyle name="Normal 68 4 3 6" xfId="39273" xr:uid="{00000000-0005-0000-0000-00006A990000}"/>
    <cellStyle name="Normal 68 4 4" xfId="39274" xr:uid="{00000000-0005-0000-0000-00006B990000}"/>
    <cellStyle name="Normal 68 4 5" xfId="39275" xr:uid="{00000000-0005-0000-0000-00006C990000}"/>
    <cellStyle name="Normal 68 4 6" xfId="39276" xr:uid="{00000000-0005-0000-0000-00006D990000}"/>
    <cellStyle name="Normal 68 4 7" xfId="39277" xr:uid="{00000000-0005-0000-0000-00006E990000}"/>
    <cellStyle name="Normal 68 4 8" xfId="39278" xr:uid="{00000000-0005-0000-0000-00006F990000}"/>
    <cellStyle name="Normal 68 5" xfId="39279" xr:uid="{00000000-0005-0000-0000-000070990000}"/>
    <cellStyle name="Normal 68 5 2" xfId="39280" xr:uid="{00000000-0005-0000-0000-000071990000}"/>
    <cellStyle name="Normal 68 5 3" xfId="39281" xr:uid="{00000000-0005-0000-0000-000072990000}"/>
    <cellStyle name="Normal 68 5 4" xfId="39282" xr:uid="{00000000-0005-0000-0000-000073990000}"/>
    <cellStyle name="Normal 68 5 5" xfId="39283" xr:uid="{00000000-0005-0000-0000-000074990000}"/>
    <cellStyle name="Normal 68 5 6" xfId="39284" xr:uid="{00000000-0005-0000-0000-000075990000}"/>
    <cellStyle name="Normal 68 6" xfId="39285" xr:uid="{00000000-0005-0000-0000-000076990000}"/>
    <cellStyle name="Normal 68 6 2" xfId="39286" xr:uid="{00000000-0005-0000-0000-000077990000}"/>
    <cellStyle name="Normal 68 6 3" xfId="39287" xr:uid="{00000000-0005-0000-0000-000078990000}"/>
    <cellStyle name="Normal 68 6 4" xfId="39288" xr:uid="{00000000-0005-0000-0000-000079990000}"/>
    <cellStyle name="Normal 68 6 5" xfId="39289" xr:uid="{00000000-0005-0000-0000-00007A990000}"/>
    <cellStyle name="Normal 68 6 6" xfId="39290" xr:uid="{00000000-0005-0000-0000-00007B990000}"/>
    <cellStyle name="Normal 68 7" xfId="39291" xr:uid="{00000000-0005-0000-0000-00007C990000}"/>
    <cellStyle name="Normal 68 8" xfId="39292" xr:uid="{00000000-0005-0000-0000-00007D990000}"/>
    <cellStyle name="Normal 68 9" xfId="39293" xr:uid="{00000000-0005-0000-0000-00007E990000}"/>
    <cellStyle name="Normal 69" xfId="39294" xr:uid="{00000000-0005-0000-0000-00007F990000}"/>
    <cellStyle name="Normal 69 2" xfId="39295" xr:uid="{00000000-0005-0000-0000-000080990000}"/>
    <cellStyle name="Normal 69 3" xfId="39296" xr:uid="{00000000-0005-0000-0000-000081990000}"/>
    <cellStyle name="Normal 69 4" xfId="39297" xr:uid="{00000000-0005-0000-0000-000082990000}"/>
    <cellStyle name="Normal 69 5" xfId="39298" xr:uid="{00000000-0005-0000-0000-000083990000}"/>
    <cellStyle name="Normal 69 6" xfId="39299" xr:uid="{00000000-0005-0000-0000-000084990000}"/>
    <cellStyle name="Normal 7" xfId="36" xr:uid="{00000000-0005-0000-0000-000085990000}"/>
    <cellStyle name="Normal 7 10" xfId="39300" xr:uid="{00000000-0005-0000-0000-000086990000}"/>
    <cellStyle name="Normal 7 10 2" xfId="39301" xr:uid="{00000000-0005-0000-0000-000087990000}"/>
    <cellStyle name="Normal 7 11" xfId="39302" xr:uid="{00000000-0005-0000-0000-000088990000}"/>
    <cellStyle name="Normal 7 11 2" xfId="39303" xr:uid="{00000000-0005-0000-0000-000089990000}"/>
    <cellStyle name="Normal 7 12" xfId="39304" xr:uid="{00000000-0005-0000-0000-00008A990000}"/>
    <cellStyle name="Normal 7 12 2" xfId="39305" xr:uid="{00000000-0005-0000-0000-00008B990000}"/>
    <cellStyle name="Normal 7 13" xfId="39306" xr:uid="{00000000-0005-0000-0000-00008C990000}"/>
    <cellStyle name="Normal 7 13 2" xfId="39307" xr:uid="{00000000-0005-0000-0000-00008D990000}"/>
    <cellStyle name="Normal 7 14" xfId="39308" xr:uid="{00000000-0005-0000-0000-00008E990000}"/>
    <cellStyle name="Normal 7 14 2" xfId="39309" xr:uid="{00000000-0005-0000-0000-00008F990000}"/>
    <cellStyle name="Normal 7 15" xfId="39310" xr:uid="{00000000-0005-0000-0000-000090990000}"/>
    <cellStyle name="Normal 7 15 2" xfId="39311" xr:uid="{00000000-0005-0000-0000-000091990000}"/>
    <cellStyle name="Normal 7 16" xfId="39312" xr:uid="{00000000-0005-0000-0000-000092990000}"/>
    <cellStyle name="Normal 7 16 2" xfId="39313" xr:uid="{00000000-0005-0000-0000-000093990000}"/>
    <cellStyle name="Normal 7 17" xfId="39314" xr:uid="{00000000-0005-0000-0000-000094990000}"/>
    <cellStyle name="Normal 7 2" xfId="39315" xr:uid="{00000000-0005-0000-0000-000095990000}"/>
    <cellStyle name="Normal 7 2 2" xfId="39316" xr:uid="{00000000-0005-0000-0000-000096990000}"/>
    <cellStyle name="Normal 7 3" xfId="39317" xr:uid="{00000000-0005-0000-0000-000097990000}"/>
    <cellStyle name="Normal 7 3 2" xfId="39318" xr:uid="{00000000-0005-0000-0000-000098990000}"/>
    <cellStyle name="Normal 7 4" xfId="39319" xr:uid="{00000000-0005-0000-0000-000099990000}"/>
    <cellStyle name="Normal 7 4 2" xfId="39320" xr:uid="{00000000-0005-0000-0000-00009A990000}"/>
    <cellStyle name="Normal 7 5" xfId="39321" xr:uid="{00000000-0005-0000-0000-00009B990000}"/>
    <cellStyle name="Normal 7 5 2" xfId="39322" xr:uid="{00000000-0005-0000-0000-00009C990000}"/>
    <cellStyle name="Normal 7 6" xfId="39323" xr:uid="{00000000-0005-0000-0000-00009D990000}"/>
    <cellStyle name="Normal 7 6 2" xfId="39324" xr:uid="{00000000-0005-0000-0000-00009E990000}"/>
    <cellStyle name="Normal 7 7" xfId="39325" xr:uid="{00000000-0005-0000-0000-00009F990000}"/>
    <cellStyle name="Normal 7 7 2" xfId="39326" xr:uid="{00000000-0005-0000-0000-0000A0990000}"/>
    <cellStyle name="Normal 7 8" xfId="39327" xr:uid="{00000000-0005-0000-0000-0000A1990000}"/>
    <cellStyle name="Normal 7 8 2" xfId="39328" xr:uid="{00000000-0005-0000-0000-0000A2990000}"/>
    <cellStyle name="Normal 7 9" xfId="39329" xr:uid="{00000000-0005-0000-0000-0000A3990000}"/>
    <cellStyle name="Normal 7 9 2" xfId="39330" xr:uid="{00000000-0005-0000-0000-0000A4990000}"/>
    <cellStyle name="Normal 70" xfId="39331" xr:uid="{00000000-0005-0000-0000-0000A5990000}"/>
    <cellStyle name="Normal 70 2" xfId="39332" xr:uid="{00000000-0005-0000-0000-0000A6990000}"/>
    <cellStyle name="Normal 70 3" xfId="39333" xr:uid="{00000000-0005-0000-0000-0000A7990000}"/>
    <cellStyle name="Normal 70 4" xfId="39334" xr:uid="{00000000-0005-0000-0000-0000A8990000}"/>
    <cellStyle name="Normal 70 5" xfId="39335" xr:uid="{00000000-0005-0000-0000-0000A9990000}"/>
    <cellStyle name="Normal 70 6" xfId="39336" xr:uid="{00000000-0005-0000-0000-0000AA990000}"/>
    <cellStyle name="Normal 71" xfId="39337" xr:uid="{00000000-0005-0000-0000-0000AB990000}"/>
    <cellStyle name="Normal 71 2" xfId="39338" xr:uid="{00000000-0005-0000-0000-0000AC990000}"/>
    <cellStyle name="Normal 71 3" xfId="39339" xr:uid="{00000000-0005-0000-0000-0000AD990000}"/>
    <cellStyle name="Normal 71 4" xfId="39340" xr:uid="{00000000-0005-0000-0000-0000AE990000}"/>
    <cellStyle name="Normal 71 5" xfId="39341" xr:uid="{00000000-0005-0000-0000-0000AF990000}"/>
    <cellStyle name="Normal 71 6" xfId="39342" xr:uid="{00000000-0005-0000-0000-0000B0990000}"/>
    <cellStyle name="Normal 72" xfId="39343" xr:uid="{00000000-0005-0000-0000-0000B1990000}"/>
    <cellStyle name="Normal 72 2" xfId="39344" xr:uid="{00000000-0005-0000-0000-0000B2990000}"/>
    <cellStyle name="Normal 72 3" xfId="39345" xr:uid="{00000000-0005-0000-0000-0000B3990000}"/>
    <cellStyle name="Normal 72 4" xfId="39346" xr:uid="{00000000-0005-0000-0000-0000B4990000}"/>
    <cellStyle name="Normal 72 5" xfId="39347" xr:uid="{00000000-0005-0000-0000-0000B5990000}"/>
    <cellStyle name="Normal 72 6" xfId="39348" xr:uid="{00000000-0005-0000-0000-0000B6990000}"/>
    <cellStyle name="Normal 73" xfId="39349" xr:uid="{00000000-0005-0000-0000-0000B7990000}"/>
    <cellStyle name="Normal 73 2" xfId="39350" xr:uid="{00000000-0005-0000-0000-0000B8990000}"/>
    <cellStyle name="Normal 73 3" xfId="39351" xr:uid="{00000000-0005-0000-0000-0000B9990000}"/>
    <cellStyle name="Normal 73 4" xfId="39352" xr:uid="{00000000-0005-0000-0000-0000BA990000}"/>
    <cellStyle name="Normal 73 5" xfId="39353" xr:uid="{00000000-0005-0000-0000-0000BB990000}"/>
    <cellStyle name="Normal 73 6" xfId="39354" xr:uid="{00000000-0005-0000-0000-0000BC990000}"/>
    <cellStyle name="Normal 74" xfId="39355" xr:uid="{00000000-0005-0000-0000-0000BD990000}"/>
    <cellStyle name="Normal 74 2" xfId="39356" xr:uid="{00000000-0005-0000-0000-0000BE990000}"/>
    <cellStyle name="Normal 74 3" xfId="39357" xr:uid="{00000000-0005-0000-0000-0000BF990000}"/>
    <cellStyle name="Normal 74 4" xfId="39358" xr:uid="{00000000-0005-0000-0000-0000C0990000}"/>
    <cellStyle name="Normal 74 5" xfId="39359" xr:uid="{00000000-0005-0000-0000-0000C1990000}"/>
    <cellStyle name="Normal 74 6" xfId="39360" xr:uid="{00000000-0005-0000-0000-0000C2990000}"/>
    <cellStyle name="Normal 75" xfId="39361" xr:uid="{00000000-0005-0000-0000-0000C3990000}"/>
    <cellStyle name="Normal 75 2" xfId="39362" xr:uid="{00000000-0005-0000-0000-0000C4990000}"/>
    <cellStyle name="Normal 75 3" xfId="39363" xr:uid="{00000000-0005-0000-0000-0000C5990000}"/>
    <cellStyle name="Normal 75 4" xfId="39364" xr:uid="{00000000-0005-0000-0000-0000C6990000}"/>
    <cellStyle name="Normal 75 5" xfId="39365" xr:uid="{00000000-0005-0000-0000-0000C7990000}"/>
    <cellStyle name="Normal 75 6" xfId="39366" xr:uid="{00000000-0005-0000-0000-0000C8990000}"/>
    <cellStyle name="Normal 76" xfId="39367" xr:uid="{00000000-0005-0000-0000-0000C9990000}"/>
    <cellStyle name="Normal 76 2" xfId="39368" xr:uid="{00000000-0005-0000-0000-0000CA990000}"/>
    <cellStyle name="Normal 76 3" xfId="39369" xr:uid="{00000000-0005-0000-0000-0000CB990000}"/>
    <cellStyle name="Normal 76 4" xfId="39370" xr:uid="{00000000-0005-0000-0000-0000CC990000}"/>
    <cellStyle name="Normal 76 5" xfId="39371" xr:uid="{00000000-0005-0000-0000-0000CD990000}"/>
    <cellStyle name="Normal 76 6" xfId="39372" xr:uid="{00000000-0005-0000-0000-0000CE990000}"/>
    <cellStyle name="Normal 77" xfId="39373" xr:uid="{00000000-0005-0000-0000-0000CF990000}"/>
    <cellStyle name="Normal 77 2" xfId="39374" xr:uid="{00000000-0005-0000-0000-0000D0990000}"/>
    <cellStyle name="Normal 77 3" xfId="39375" xr:uid="{00000000-0005-0000-0000-0000D1990000}"/>
    <cellStyle name="Normal 77 4" xfId="39376" xr:uid="{00000000-0005-0000-0000-0000D2990000}"/>
    <cellStyle name="Normal 77 5" xfId="39377" xr:uid="{00000000-0005-0000-0000-0000D3990000}"/>
    <cellStyle name="Normal 77 6" xfId="39378" xr:uid="{00000000-0005-0000-0000-0000D4990000}"/>
    <cellStyle name="Normal 78" xfId="39379" xr:uid="{00000000-0005-0000-0000-0000D5990000}"/>
    <cellStyle name="Normal 78 2" xfId="39380" xr:uid="{00000000-0005-0000-0000-0000D6990000}"/>
    <cellStyle name="Normal 78 3" xfId="39381" xr:uid="{00000000-0005-0000-0000-0000D7990000}"/>
    <cellStyle name="Normal 78 4" xfId="39382" xr:uid="{00000000-0005-0000-0000-0000D8990000}"/>
    <cellStyle name="Normal 78 5" xfId="39383" xr:uid="{00000000-0005-0000-0000-0000D9990000}"/>
    <cellStyle name="Normal 78 6" xfId="39384" xr:uid="{00000000-0005-0000-0000-0000DA990000}"/>
    <cellStyle name="Normal 79" xfId="39385" xr:uid="{00000000-0005-0000-0000-0000DB990000}"/>
    <cellStyle name="Normal 79 2" xfId="39386" xr:uid="{00000000-0005-0000-0000-0000DC990000}"/>
    <cellStyle name="Normal 79 3" xfId="39387" xr:uid="{00000000-0005-0000-0000-0000DD990000}"/>
    <cellStyle name="Normal 79 4" xfId="39388" xr:uid="{00000000-0005-0000-0000-0000DE990000}"/>
    <cellStyle name="Normal 79 5" xfId="39389" xr:uid="{00000000-0005-0000-0000-0000DF990000}"/>
    <cellStyle name="Normal 79 6" xfId="39390" xr:uid="{00000000-0005-0000-0000-0000E0990000}"/>
    <cellStyle name="Normal 8" xfId="37" xr:uid="{00000000-0005-0000-0000-0000E1990000}"/>
    <cellStyle name="Normal 8 10" xfId="39391" xr:uid="{00000000-0005-0000-0000-0000E2990000}"/>
    <cellStyle name="Normal 8 10 2" xfId="39392" xr:uid="{00000000-0005-0000-0000-0000E3990000}"/>
    <cellStyle name="Normal 8 11" xfId="39393" xr:uid="{00000000-0005-0000-0000-0000E4990000}"/>
    <cellStyle name="Normal 8 11 2" xfId="39394" xr:uid="{00000000-0005-0000-0000-0000E5990000}"/>
    <cellStyle name="Normal 8 12" xfId="39395" xr:uid="{00000000-0005-0000-0000-0000E6990000}"/>
    <cellStyle name="Normal 8 12 2" xfId="39396" xr:uid="{00000000-0005-0000-0000-0000E7990000}"/>
    <cellStyle name="Normal 8 13" xfId="39397" xr:uid="{00000000-0005-0000-0000-0000E8990000}"/>
    <cellStyle name="Normal 8 13 2" xfId="39398" xr:uid="{00000000-0005-0000-0000-0000E9990000}"/>
    <cellStyle name="Normal 8 14" xfId="39399" xr:uid="{00000000-0005-0000-0000-0000EA990000}"/>
    <cellStyle name="Normal 8 14 2" xfId="39400" xr:uid="{00000000-0005-0000-0000-0000EB990000}"/>
    <cellStyle name="Normal 8 15" xfId="39401" xr:uid="{00000000-0005-0000-0000-0000EC990000}"/>
    <cellStyle name="Normal 8 15 2" xfId="39402" xr:uid="{00000000-0005-0000-0000-0000ED990000}"/>
    <cellStyle name="Normal 8 16" xfId="39403" xr:uid="{00000000-0005-0000-0000-0000EE990000}"/>
    <cellStyle name="Normal 8 16 2" xfId="39404" xr:uid="{00000000-0005-0000-0000-0000EF990000}"/>
    <cellStyle name="Normal 8 17" xfId="39405" xr:uid="{00000000-0005-0000-0000-0000F0990000}"/>
    <cellStyle name="Normal 8 17 10" xfId="39406" xr:uid="{00000000-0005-0000-0000-0000F1990000}"/>
    <cellStyle name="Normal 8 17 11" xfId="39407" xr:uid="{00000000-0005-0000-0000-0000F2990000}"/>
    <cellStyle name="Normal 8 17 12" xfId="39408" xr:uid="{00000000-0005-0000-0000-0000F3990000}"/>
    <cellStyle name="Normal 8 17 2" xfId="39409" xr:uid="{00000000-0005-0000-0000-0000F4990000}"/>
    <cellStyle name="Normal 8 17 3" xfId="39410" xr:uid="{00000000-0005-0000-0000-0000F5990000}"/>
    <cellStyle name="Normal 8 17 3 2" xfId="39411" xr:uid="{00000000-0005-0000-0000-0000F6990000}"/>
    <cellStyle name="Normal 8 17 3 2 2" xfId="39412" xr:uid="{00000000-0005-0000-0000-0000F7990000}"/>
    <cellStyle name="Normal 8 17 3 2 3" xfId="39413" xr:uid="{00000000-0005-0000-0000-0000F8990000}"/>
    <cellStyle name="Normal 8 17 3 2 4" xfId="39414" xr:uid="{00000000-0005-0000-0000-0000F9990000}"/>
    <cellStyle name="Normal 8 17 3 2 5" xfId="39415" xr:uid="{00000000-0005-0000-0000-0000FA990000}"/>
    <cellStyle name="Normal 8 17 3 2 6" xfId="39416" xr:uid="{00000000-0005-0000-0000-0000FB990000}"/>
    <cellStyle name="Normal 8 17 3 3" xfId="39417" xr:uid="{00000000-0005-0000-0000-0000FC990000}"/>
    <cellStyle name="Normal 8 17 3 3 2" xfId="39418" xr:uid="{00000000-0005-0000-0000-0000FD990000}"/>
    <cellStyle name="Normal 8 17 3 3 3" xfId="39419" xr:uid="{00000000-0005-0000-0000-0000FE990000}"/>
    <cellStyle name="Normal 8 17 3 3 4" xfId="39420" xr:uid="{00000000-0005-0000-0000-0000FF990000}"/>
    <cellStyle name="Normal 8 17 3 3 5" xfId="39421" xr:uid="{00000000-0005-0000-0000-0000009A0000}"/>
    <cellStyle name="Normal 8 17 3 3 6" xfId="39422" xr:uid="{00000000-0005-0000-0000-0000019A0000}"/>
    <cellStyle name="Normal 8 17 3 4" xfId="39423" xr:uid="{00000000-0005-0000-0000-0000029A0000}"/>
    <cellStyle name="Normal 8 17 3 5" xfId="39424" xr:uid="{00000000-0005-0000-0000-0000039A0000}"/>
    <cellStyle name="Normal 8 17 3 6" xfId="39425" xr:uid="{00000000-0005-0000-0000-0000049A0000}"/>
    <cellStyle name="Normal 8 17 3 7" xfId="39426" xr:uid="{00000000-0005-0000-0000-0000059A0000}"/>
    <cellStyle name="Normal 8 17 3 8" xfId="39427" xr:uid="{00000000-0005-0000-0000-0000069A0000}"/>
    <cellStyle name="Normal 8 17 4" xfId="39428" xr:uid="{00000000-0005-0000-0000-0000079A0000}"/>
    <cellStyle name="Normal 8 17 4 2" xfId="39429" xr:uid="{00000000-0005-0000-0000-0000089A0000}"/>
    <cellStyle name="Normal 8 17 4 2 2" xfId="39430" xr:uid="{00000000-0005-0000-0000-0000099A0000}"/>
    <cellStyle name="Normal 8 17 4 2 3" xfId="39431" xr:uid="{00000000-0005-0000-0000-00000A9A0000}"/>
    <cellStyle name="Normal 8 17 4 2 4" xfId="39432" xr:uid="{00000000-0005-0000-0000-00000B9A0000}"/>
    <cellStyle name="Normal 8 17 4 2 5" xfId="39433" xr:uid="{00000000-0005-0000-0000-00000C9A0000}"/>
    <cellStyle name="Normal 8 17 4 2 6" xfId="39434" xr:uid="{00000000-0005-0000-0000-00000D9A0000}"/>
    <cellStyle name="Normal 8 17 4 3" xfId="39435" xr:uid="{00000000-0005-0000-0000-00000E9A0000}"/>
    <cellStyle name="Normal 8 17 4 3 2" xfId="39436" xr:uid="{00000000-0005-0000-0000-00000F9A0000}"/>
    <cellStyle name="Normal 8 17 4 3 3" xfId="39437" xr:uid="{00000000-0005-0000-0000-0000109A0000}"/>
    <cellStyle name="Normal 8 17 4 3 4" xfId="39438" xr:uid="{00000000-0005-0000-0000-0000119A0000}"/>
    <cellStyle name="Normal 8 17 4 3 5" xfId="39439" xr:uid="{00000000-0005-0000-0000-0000129A0000}"/>
    <cellStyle name="Normal 8 17 4 3 6" xfId="39440" xr:uid="{00000000-0005-0000-0000-0000139A0000}"/>
    <cellStyle name="Normal 8 17 4 4" xfId="39441" xr:uid="{00000000-0005-0000-0000-0000149A0000}"/>
    <cellStyle name="Normal 8 17 4 5" xfId="39442" xr:uid="{00000000-0005-0000-0000-0000159A0000}"/>
    <cellStyle name="Normal 8 17 4 6" xfId="39443" xr:uid="{00000000-0005-0000-0000-0000169A0000}"/>
    <cellStyle name="Normal 8 17 4 7" xfId="39444" xr:uid="{00000000-0005-0000-0000-0000179A0000}"/>
    <cellStyle name="Normal 8 17 4 8" xfId="39445" xr:uid="{00000000-0005-0000-0000-0000189A0000}"/>
    <cellStyle name="Normal 8 17 5" xfId="39446" xr:uid="{00000000-0005-0000-0000-0000199A0000}"/>
    <cellStyle name="Normal 8 17 5 2" xfId="39447" xr:uid="{00000000-0005-0000-0000-00001A9A0000}"/>
    <cellStyle name="Normal 8 17 5 2 2" xfId="39448" xr:uid="{00000000-0005-0000-0000-00001B9A0000}"/>
    <cellStyle name="Normal 8 17 5 2 3" xfId="39449" xr:uid="{00000000-0005-0000-0000-00001C9A0000}"/>
    <cellStyle name="Normal 8 17 5 2 4" xfId="39450" xr:uid="{00000000-0005-0000-0000-00001D9A0000}"/>
    <cellStyle name="Normal 8 17 5 2 5" xfId="39451" xr:uid="{00000000-0005-0000-0000-00001E9A0000}"/>
    <cellStyle name="Normal 8 17 5 2 6" xfId="39452" xr:uid="{00000000-0005-0000-0000-00001F9A0000}"/>
    <cellStyle name="Normal 8 17 5 3" xfId="39453" xr:uid="{00000000-0005-0000-0000-0000209A0000}"/>
    <cellStyle name="Normal 8 17 5 3 2" xfId="39454" xr:uid="{00000000-0005-0000-0000-0000219A0000}"/>
    <cellStyle name="Normal 8 17 5 3 3" xfId="39455" xr:uid="{00000000-0005-0000-0000-0000229A0000}"/>
    <cellStyle name="Normal 8 17 5 3 4" xfId="39456" xr:uid="{00000000-0005-0000-0000-0000239A0000}"/>
    <cellStyle name="Normal 8 17 5 3 5" xfId="39457" xr:uid="{00000000-0005-0000-0000-0000249A0000}"/>
    <cellStyle name="Normal 8 17 5 3 6" xfId="39458" xr:uid="{00000000-0005-0000-0000-0000259A0000}"/>
    <cellStyle name="Normal 8 17 5 4" xfId="39459" xr:uid="{00000000-0005-0000-0000-0000269A0000}"/>
    <cellStyle name="Normal 8 17 5 5" xfId="39460" xr:uid="{00000000-0005-0000-0000-0000279A0000}"/>
    <cellStyle name="Normal 8 17 5 6" xfId="39461" xr:uid="{00000000-0005-0000-0000-0000289A0000}"/>
    <cellStyle name="Normal 8 17 5 7" xfId="39462" xr:uid="{00000000-0005-0000-0000-0000299A0000}"/>
    <cellStyle name="Normal 8 17 5 8" xfId="39463" xr:uid="{00000000-0005-0000-0000-00002A9A0000}"/>
    <cellStyle name="Normal 8 17 6" xfId="39464" xr:uid="{00000000-0005-0000-0000-00002B9A0000}"/>
    <cellStyle name="Normal 8 17 6 2" xfId="39465" xr:uid="{00000000-0005-0000-0000-00002C9A0000}"/>
    <cellStyle name="Normal 8 17 6 3" xfId="39466" xr:uid="{00000000-0005-0000-0000-00002D9A0000}"/>
    <cellStyle name="Normal 8 17 6 4" xfId="39467" xr:uid="{00000000-0005-0000-0000-00002E9A0000}"/>
    <cellStyle name="Normal 8 17 6 5" xfId="39468" xr:uid="{00000000-0005-0000-0000-00002F9A0000}"/>
    <cellStyle name="Normal 8 17 6 6" xfId="39469" xr:uid="{00000000-0005-0000-0000-0000309A0000}"/>
    <cellStyle name="Normal 8 17 7" xfId="39470" xr:uid="{00000000-0005-0000-0000-0000319A0000}"/>
    <cellStyle name="Normal 8 17 7 2" xfId="39471" xr:uid="{00000000-0005-0000-0000-0000329A0000}"/>
    <cellStyle name="Normal 8 17 7 3" xfId="39472" xr:uid="{00000000-0005-0000-0000-0000339A0000}"/>
    <cellStyle name="Normal 8 17 7 4" xfId="39473" xr:uid="{00000000-0005-0000-0000-0000349A0000}"/>
    <cellStyle name="Normal 8 17 7 5" xfId="39474" xr:uid="{00000000-0005-0000-0000-0000359A0000}"/>
    <cellStyle name="Normal 8 17 7 6" xfId="39475" xr:uid="{00000000-0005-0000-0000-0000369A0000}"/>
    <cellStyle name="Normal 8 17 8" xfId="39476" xr:uid="{00000000-0005-0000-0000-0000379A0000}"/>
    <cellStyle name="Normal 8 17 9" xfId="39477" xr:uid="{00000000-0005-0000-0000-0000389A0000}"/>
    <cellStyle name="Normal 8 18" xfId="39478" xr:uid="{00000000-0005-0000-0000-0000399A0000}"/>
    <cellStyle name="Normal 8 18 10" xfId="39479" xr:uid="{00000000-0005-0000-0000-00003A9A0000}"/>
    <cellStyle name="Normal 8 18 11" xfId="39480" xr:uid="{00000000-0005-0000-0000-00003B9A0000}"/>
    <cellStyle name="Normal 8 18 2" xfId="39481" xr:uid="{00000000-0005-0000-0000-00003C9A0000}"/>
    <cellStyle name="Normal 8 18 2 2" xfId="39482" xr:uid="{00000000-0005-0000-0000-00003D9A0000}"/>
    <cellStyle name="Normal 8 18 2 2 2" xfId="39483" xr:uid="{00000000-0005-0000-0000-00003E9A0000}"/>
    <cellStyle name="Normal 8 18 2 2 3" xfId="39484" xr:uid="{00000000-0005-0000-0000-00003F9A0000}"/>
    <cellStyle name="Normal 8 18 2 2 4" xfId="39485" xr:uid="{00000000-0005-0000-0000-0000409A0000}"/>
    <cellStyle name="Normal 8 18 2 2 5" xfId="39486" xr:uid="{00000000-0005-0000-0000-0000419A0000}"/>
    <cellStyle name="Normal 8 18 2 2 6" xfId="39487" xr:uid="{00000000-0005-0000-0000-0000429A0000}"/>
    <cellStyle name="Normal 8 18 2 3" xfId="39488" xr:uid="{00000000-0005-0000-0000-0000439A0000}"/>
    <cellStyle name="Normal 8 18 2 3 2" xfId="39489" xr:uid="{00000000-0005-0000-0000-0000449A0000}"/>
    <cellStyle name="Normal 8 18 2 3 3" xfId="39490" xr:uid="{00000000-0005-0000-0000-0000459A0000}"/>
    <cellStyle name="Normal 8 18 2 3 4" xfId="39491" xr:uid="{00000000-0005-0000-0000-0000469A0000}"/>
    <cellStyle name="Normal 8 18 2 3 5" xfId="39492" xr:uid="{00000000-0005-0000-0000-0000479A0000}"/>
    <cellStyle name="Normal 8 18 2 3 6" xfId="39493" xr:uid="{00000000-0005-0000-0000-0000489A0000}"/>
    <cellStyle name="Normal 8 18 2 4" xfId="39494" xr:uid="{00000000-0005-0000-0000-0000499A0000}"/>
    <cellStyle name="Normal 8 18 2 5" xfId="39495" xr:uid="{00000000-0005-0000-0000-00004A9A0000}"/>
    <cellStyle name="Normal 8 18 2 6" xfId="39496" xr:uid="{00000000-0005-0000-0000-00004B9A0000}"/>
    <cellStyle name="Normal 8 18 2 7" xfId="39497" xr:uid="{00000000-0005-0000-0000-00004C9A0000}"/>
    <cellStyle name="Normal 8 18 2 8" xfId="39498" xr:uid="{00000000-0005-0000-0000-00004D9A0000}"/>
    <cellStyle name="Normal 8 18 3" xfId="39499" xr:uid="{00000000-0005-0000-0000-00004E9A0000}"/>
    <cellStyle name="Normal 8 18 3 2" xfId="39500" xr:uid="{00000000-0005-0000-0000-00004F9A0000}"/>
    <cellStyle name="Normal 8 18 3 2 2" xfId="39501" xr:uid="{00000000-0005-0000-0000-0000509A0000}"/>
    <cellStyle name="Normal 8 18 3 2 3" xfId="39502" xr:uid="{00000000-0005-0000-0000-0000519A0000}"/>
    <cellStyle name="Normal 8 18 3 2 4" xfId="39503" xr:uid="{00000000-0005-0000-0000-0000529A0000}"/>
    <cellStyle name="Normal 8 18 3 2 5" xfId="39504" xr:uid="{00000000-0005-0000-0000-0000539A0000}"/>
    <cellStyle name="Normal 8 18 3 2 6" xfId="39505" xr:uid="{00000000-0005-0000-0000-0000549A0000}"/>
    <cellStyle name="Normal 8 18 3 3" xfId="39506" xr:uid="{00000000-0005-0000-0000-0000559A0000}"/>
    <cellStyle name="Normal 8 18 3 3 2" xfId="39507" xr:uid="{00000000-0005-0000-0000-0000569A0000}"/>
    <cellStyle name="Normal 8 18 3 3 3" xfId="39508" xr:uid="{00000000-0005-0000-0000-0000579A0000}"/>
    <cellStyle name="Normal 8 18 3 3 4" xfId="39509" xr:uid="{00000000-0005-0000-0000-0000589A0000}"/>
    <cellStyle name="Normal 8 18 3 3 5" xfId="39510" xr:uid="{00000000-0005-0000-0000-0000599A0000}"/>
    <cellStyle name="Normal 8 18 3 3 6" xfId="39511" xr:uid="{00000000-0005-0000-0000-00005A9A0000}"/>
    <cellStyle name="Normal 8 18 3 4" xfId="39512" xr:uid="{00000000-0005-0000-0000-00005B9A0000}"/>
    <cellStyle name="Normal 8 18 3 5" xfId="39513" xr:uid="{00000000-0005-0000-0000-00005C9A0000}"/>
    <cellStyle name="Normal 8 18 3 6" xfId="39514" xr:uid="{00000000-0005-0000-0000-00005D9A0000}"/>
    <cellStyle name="Normal 8 18 3 7" xfId="39515" xr:uid="{00000000-0005-0000-0000-00005E9A0000}"/>
    <cellStyle name="Normal 8 18 3 8" xfId="39516" xr:uid="{00000000-0005-0000-0000-00005F9A0000}"/>
    <cellStyle name="Normal 8 18 4" xfId="39517" xr:uid="{00000000-0005-0000-0000-0000609A0000}"/>
    <cellStyle name="Normal 8 18 4 2" xfId="39518" xr:uid="{00000000-0005-0000-0000-0000619A0000}"/>
    <cellStyle name="Normal 8 18 4 2 2" xfId="39519" xr:uid="{00000000-0005-0000-0000-0000629A0000}"/>
    <cellStyle name="Normal 8 18 4 2 3" xfId="39520" xr:uid="{00000000-0005-0000-0000-0000639A0000}"/>
    <cellStyle name="Normal 8 18 4 2 4" xfId="39521" xr:uid="{00000000-0005-0000-0000-0000649A0000}"/>
    <cellStyle name="Normal 8 18 4 2 5" xfId="39522" xr:uid="{00000000-0005-0000-0000-0000659A0000}"/>
    <cellStyle name="Normal 8 18 4 2 6" xfId="39523" xr:uid="{00000000-0005-0000-0000-0000669A0000}"/>
    <cellStyle name="Normal 8 18 4 3" xfId="39524" xr:uid="{00000000-0005-0000-0000-0000679A0000}"/>
    <cellStyle name="Normal 8 18 4 3 2" xfId="39525" xr:uid="{00000000-0005-0000-0000-0000689A0000}"/>
    <cellStyle name="Normal 8 18 4 3 3" xfId="39526" xr:uid="{00000000-0005-0000-0000-0000699A0000}"/>
    <cellStyle name="Normal 8 18 4 3 4" xfId="39527" xr:uid="{00000000-0005-0000-0000-00006A9A0000}"/>
    <cellStyle name="Normal 8 18 4 3 5" xfId="39528" xr:uid="{00000000-0005-0000-0000-00006B9A0000}"/>
    <cellStyle name="Normal 8 18 4 3 6" xfId="39529" xr:uid="{00000000-0005-0000-0000-00006C9A0000}"/>
    <cellStyle name="Normal 8 18 4 4" xfId="39530" xr:uid="{00000000-0005-0000-0000-00006D9A0000}"/>
    <cellStyle name="Normal 8 18 4 5" xfId="39531" xr:uid="{00000000-0005-0000-0000-00006E9A0000}"/>
    <cellStyle name="Normal 8 18 4 6" xfId="39532" xr:uid="{00000000-0005-0000-0000-00006F9A0000}"/>
    <cellStyle name="Normal 8 18 4 7" xfId="39533" xr:uid="{00000000-0005-0000-0000-0000709A0000}"/>
    <cellStyle name="Normal 8 18 4 8" xfId="39534" xr:uid="{00000000-0005-0000-0000-0000719A0000}"/>
    <cellStyle name="Normal 8 18 5" xfId="39535" xr:uid="{00000000-0005-0000-0000-0000729A0000}"/>
    <cellStyle name="Normal 8 18 5 2" xfId="39536" xr:uid="{00000000-0005-0000-0000-0000739A0000}"/>
    <cellStyle name="Normal 8 18 5 3" xfId="39537" xr:uid="{00000000-0005-0000-0000-0000749A0000}"/>
    <cellStyle name="Normal 8 18 5 4" xfId="39538" xr:uid="{00000000-0005-0000-0000-0000759A0000}"/>
    <cellStyle name="Normal 8 18 5 5" xfId="39539" xr:uid="{00000000-0005-0000-0000-0000769A0000}"/>
    <cellStyle name="Normal 8 18 5 6" xfId="39540" xr:uid="{00000000-0005-0000-0000-0000779A0000}"/>
    <cellStyle name="Normal 8 18 6" xfId="39541" xr:uid="{00000000-0005-0000-0000-0000789A0000}"/>
    <cellStyle name="Normal 8 18 6 2" xfId="39542" xr:uid="{00000000-0005-0000-0000-0000799A0000}"/>
    <cellStyle name="Normal 8 18 6 3" xfId="39543" xr:uid="{00000000-0005-0000-0000-00007A9A0000}"/>
    <cellStyle name="Normal 8 18 6 4" xfId="39544" xr:uid="{00000000-0005-0000-0000-00007B9A0000}"/>
    <cellStyle name="Normal 8 18 6 5" xfId="39545" xr:uid="{00000000-0005-0000-0000-00007C9A0000}"/>
    <cellStyle name="Normal 8 18 6 6" xfId="39546" xr:uid="{00000000-0005-0000-0000-00007D9A0000}"/>
    <cellStyle name="Normal 8 18 7" xfId="39547" xr:uid="{00000000-0005-0000-0000-00007E9A0000}"/>
    <cellStyle name="Normal 8 18 8" xfId="39548" xr:uid="{00000000-0005-0000-0000-00007F9A0000}"/>
    <cellStyle name="Normal 8 18 9" xfId="39549" xr:uid="{00000000-0005-0000-0000-0000809A0000}"/>
    <cellStyle name="Normal 8 19" xfId="39550" xr:uid="{00000000-0005-0000-0000-0000819A0000}"/>
    <cellStyle name="Normal 8 19 2" xfId="39551" xr:uid="{00000000-0005-0000-0000-0000829A0000}"/>
    <cellStyle name="Normal 8 19 2 2" xfId="39552" xr:uid="{00000000-0005-0000-0000-0000839A0000}"/>
    <cellStyle name="Normal 8 19 2 3" xfId="39553" xr:uid="{00000000-0005-0000-0000-0000849A0000}"/>
    <cellStyle name="Normal 8 19 2 4" xfId="39554" xr:uid="{00000000-0005-0000-0000-0000859A0000}"/>
    <cellStyle name="Normal 8 19 2 5" xfId="39555" xr:uid="{00000000-0005-0000-0000-0000869A0000}"/>
    <cellStyle name="Normal 8 19 2 6" xfId="39556" xr:uid="{00000000-0005-0000-0000-0000879A0000}"/>
    <cellStyle name="Normal 8 19 3" xfId="39557" xr:uid="{00000000-0005-0000-0000-0000889A0000}"/>
    <cellStyle name="Normal 8 19 3 2" xfId="39558" xr:uid="{00000000-0005-0000-0000-0000899A0000}"/>
    <cellStyle name="Normal 8 19 3 3" xfId="39559" xr:uid="{00000000-0005-0000-0000-00008A9A0000}"/>
    <cellStyle name="Normal 8 19 3 4" xfId="39560" xr:uid="{00000000-0005-0000-0000-00008B9A0000}"/>
    <cellStyle name="Normal 8 19 3 5" xfId="39561" xr:uid="{00000000-0005-0000-0000-00008C9A0000}"/>
    <cellStyle name="Normal 8 19 3 6" xfId="39562" xr:uid="{00000000-0005-0000-0000-00008D9A0000}"/>
    <cellStyle name="Normal 8 19 4" xfId="39563" xr:uid="{00000000-0005-0000-0000-00008E9A0000}"/>
    <cellStyle name="Normal 8 19 5" xfId="39564" xr:uid="{00000000-0005-0000-0000-00008F9A0000}"/>
    <cellStyle name="Normal 8 19 6" xfId="39565" xr:uid="{00000000-0005-0000-0000-0000909A0000}"/>
    <cellStyle name="Normal 8 19 7" xfId="39566" xr:uid="{00000000-0005-0000-0000-0000919A0000}"/>
    <cellStyle name="Normal 8 19 8" xfId="39567" xr:uid="{00000000-0005-0000-0000-0000929A0000}"/>
    <cellStyle name="Normal 8 2" xfId="39568" xr:uid="{00000000-0005-0000-0000-0000939A0000}"/>
    <cellStyle name="Normal 8 2 2" xfId="39569" xr:uid="{00000000-0005-0000-0000-0000949A0000}"/>
    <cellStyle name="Normal 8 20" xfId="39570" xr:uid="{00000000-0005-0000-0000-0000959A0000}"/>
    <cellStyle name="Normal 8 20 2" xfId="39571" xr:uid="{00000000-0005-0000-0000-0000969A0000}"/>
    <cellStyle name="Normal 8 20 2 2" xfId="39572" xr:uid="{00000000-0005-0000-0000-0000979A0000}"/>
    <cellStyle name="Normal 8 20 2 3" xfId="39573" xr:uid="{00000000-0005-0000-0000-0000989A0000}"/>
    <cellStyle name="Normal 8 20 2 4" xfId="39574" xr:uid="{00000000-0005-0000-0000-0000999A0000}"/>
    <cellStyle name="Normal 8 20 2 5" xfId="39575" xr:uid="{00000000-0005-0000-0000-00009A9A0000}"/>
    <cellStyle name="Normal 8 20 2 6" xfId="39576" xr:uid="{00000000-0005-0000-0000-00009B9A0000}"/>
    <cellStyle name="Normal 8 20 3" xfId="39577" xr:uid="{00000000-0005-0000-0000-00009C9A0000}"/>
    <cellStyle name="Normal 8 20 3 2" xfId="39578" xr:uid="{00000000-0005-0000-0000-00009D9A0000}"/>
    <cellStyle name="Normal 8 20 3 3" xfId="39579" xr:uid="{00000000-0005-0000-0000-00009E9A0000}"/>
    <cellStyle name="Normal 8 20 3 4" xfId="39580" xr:uid="{00000000-0005-0000-0000-00009F9A0000}"/>
    <cellStyle name="Normal 8 20 3 5" xfId="39581" xr:uid="{00000000-0005-0000-0000-0000A09A0000}"/>
    <cellStyle name="Normal 8 20 3 6" xfId="39582" xr:uid="{00000000-0005-0000-0000-0000A19A0000}"/>
    <cellStyle name="Normal 8 20 4" xfId="39583" xr:uid="{00000000-0005-0000-0000-0000A29A0000}"/>
    <cellStyle name="Normal 8 20 5" xfId="39584" xr:uid="{00000000-0005-0000-0000-0000A39A0000}"/>
    <cellStyle name="Normal 8 20 6" xfId="39585" xr:uid="{00000000-0005-0000-0000-0000A49A0000}"/>
    <cellStyle name="Normal 8 20 7" xfId="39586" xr:uid="{00000000-0005-0000-0000-0000A59A0000}"/>
    <cellStyle name="Normal 8 20 8" xfId="39587" xr:uid="{00000000-0005-0000-0000-0000A69A0000}"/>
    <cellStyle name="Normal 8 21" xfId="39588" xr:uid="{00000000-0005-0000-0000-0000A79A0000}"/>
    <cellStyle name="Normal 8 21 2" xfId="39589" xr:uid="{00000000-0005-0000-0000-0000A89A0000}"/>
    <cellStyle name="Normal 8 21 2 2" xfId="39590" xr:uid="{00000000-0005-0000-0000-0000A99A0000}"/>
    <cellStyle name="Normal 8 21 2 3" xfId="39591" xr:uid="{00000000-0005-0000-0000-0000AA9A0000}"/>
    <cellStyle name="Normal 8 21 2 4" xfId="39592" xr:uid="{00000000-0005-0000-0000-0000AB9A0000}"/>
    <cellStyle name="Normal 8 21 2 5" xfId="39593" xr:uid="{00000000-0005-0000-0000-0000AC9A0000}"/>
    <cellStyle name="Normal 8 21 2 6" xfId="39594" xr:uid="{00000000-0005-0000-0000-0000AD9A0000}"/>
    <cellStyle name="Normal 8 21 3" xfId="39595" xr:uid="{00000000-0005-0000-0000-0000AE9A0000}"/>
    <cellStyle name="Normal 8 21 3 2" xfId="39596" xr:uid="{00000000-0005-0000-0000-0000AF9A0000}"/>
    <cellStyle name="Normal 8 21 3 3" xfId="39597" xr:uid="{00000000-0005-0000-0000-0000B09A0000}"/>
    <cellStyle name="Normal 8 21 3 4" xfId="39598" xr:uid="{00000000-0005-0000-0000-0000B19A0000}"/>
    <cellStyle name="Normal 8 21 3 5" xfId="39599" xr:uid="{00000000-0005-0000-0000-0000B29A0000}"/>
    <cellStyle name="Normal 8 21 3 6" xfId="39600" xr:uid="{00000000-0005-0000-0000-0000B39A0000}"/>
    <cellStyle name="Normal 8 21 4" xfId="39601" xr:uid="{00000000-0005-0000-0000-0000B49A0000}"/>
    <cellStyle name="Normal 8 21 5" xfId="39602" xr:uid="{00000000-0005-0000-0000-0000B59A0000}"/>
    <cellStyle name="Normal 8 21 6" xfId="39603" xr:uid="{00000000-0005-0000-0000-0000B69A0000}"/>
    <cellStyle name="Normal 8 21 7" xfId="39604" xr:uid="{00000000-0005-0000-0000-0000B79A0000}"/>
    <cellStyle name="Normal 8 21 8" xfId="39605" xr:uid="{00000000-0005-0000-0000-0000B89A0000}"/>
    <cellStyle name="Normal 8 22" xfId="39606" xr:uid="{00000000-0005-0000-0000-0000B99A0000}"/>
    <cellStyle name="Normal 8 22 2" xfId="39607" xr:uid="{00000000-0005-0000-0000-0000BA9A0000}"/>
    <cellStyle name="Normal 8 22 3" xfId="39608" xr:uid="{00000000-0005-0000-0000-0000BB9A0000}"/>
    <cellStyle name="Normal 8 22 4" xfId="39609" xr:uid="{00000000-0005-0000-0000-0000BC9A0000}"/>
    <cellStyle name="Normal 8 22 5" xfId="39610" xr:uid="{00000000-0005-0000-0000-0000BD9A0000}"/>
    <cellStyle name="Normal 8 22 6" xfId="39611" xr:uid="{00000000-0005-0000-0000-0000BE9A0000}"/>
    <cellStyle name="Normal 8 23" xfId="39612" xr:uid="{00000000-0005-0000-0000-0000BF9A0000}"/>
    <cellStyle name="Normal 8 23 2" xfId="39613" xr:uid="{00000000-0005-0000-0000-0000C09A0000}"/>
    <cellStyle name="Normal 8 23 3" xfId="39614" xr:uid="{00000000-0005-0000-0000-0000C19A0000}"/>
    <cellStyle name="Normal 8 23 4" xfId="39615" xr:uid="{00000000-0005-0000-0000-0000C29A0000}"/>
    <cellStyle name="Normal 8 23 5" xfId="39616" xr:uid="{00000000-0005-0000-0000-0000C39A0000}"/>
    <cellStyle name="Normal 8 23 6" xfId="39617" xr:uid="{00000000-0005-0000-0000-0000C49A0000}"/>
    <cellStyle name="Normal 8 24" xfId="39618" xr:uid="{00000000-0005-0000-0000-0000C59A0000}"/>
    <cellStyle name="Normal 8 25" xfId="39619" xr:uid="{00000000-0005-0000-0000-0000C69A0000}"/>
    <cellStyle name="Normal 8 26" xfId="39620" xr:uid="{00000000-0005-0000-0000-0000C79A0000}"/>
    <cellStyle name="Normal 8 27" xfId="39621" xr:uid="{00000000-0005-0000-0000-0000C89A0000}"/>
    <cellStyle name="Normal 8 28" xfId="39622" xr:uid="{00000000-0005-0000-0000-0000C99A0000}"/>
    <cellStyle name="Normal 8 3" xfId="39623" xr:uid="{00000000-0005-0000-0000-0000CA9A0000}"/>
    <cellStyle name="Normal 8 3 2" xfId="39624" xr:uid="{00000000-0005-0000-0000-0000CB9A0000}"/>
    <cellStyle name="Normal 8 4" xfId="2" xr:uid="{00000000-0005-0000-0000-0000CC9A0000}"/>
    <cellStyle name="Normal 8 4 2" xfId="39625" xr:uid="{00000000-0005-0000-0000-0000CD9A0000}"/>
    <cellStyle name="Normal 8 5" xfId="39626" xr:uid="{00000000-0005-0000-0000-0000CE9A0000}"/>
    <cellStyle name="Normal 8 5 2" xfId="39627" xr:uid="{00000000-0005-0000-0000-0000CF9A0000}"/>
    <cellStyle name="Normal 8 6" xfId="39628" xr:uid="{00000000-0005-0000-0000-0000D09A0000}"/>
    <cellStyle name="Normal 8 6 2" xfId="39629" xr:uid="{00000000-0005-0000-0000-0000D19A0000}"/>
    <cellStyle name="Normal 8 7" xfId="39630" xr:uid="{00000000-0005-0000-0000-0000D29A0000}"/>
    <cellStyle name="Normal 8 7 2" xfId="39631" xr:uid="{00000000-0005-0000-0000-0000D39A0000}"/>
    <cellStyle name="Normal 8 8" xfId="39632" xr:uid="{00000000-0005-0000-0000-0000D49A0000}"/>
    <cellStyle name="Normal 8 8 2" xfId="39633" xr:uid="{00000000-0005-0000-0000-0000D59A0000}"/>
    <cellStyle name="Normal 8 9" xfId="39634" xr:uid="{00000000-0005-0000-0000-0000D69A0000}"/>
    <cellStyle name="Normal 8 9 2" xfId="39635" xr:uid="{00000000-0005-0000-0000-0000D79A0000}"/>
    <cellStyle name="Normal 8_AL_Cls 33_Ind As_Sept-2017_1st" xfId="38" xr:uid="{00000000-0005-0000-0000-0000D89A0000}"/>
    <cellStyle name="Normal 80" xfId="39636" xr:uid="{00000000-0005-0000-0000-0000D99A0000}"/>
    <cellStyle name="Normal 80 2" xfId="39637" xr:uid="{00000000-0005-0000-0000-0000DA9A0000}"/>
    <cellStyle name="Normal 80 3" xfId="39638" xr:uid="{00000000-0005-0000-0000-0000DB9A0000}"/>
    <cellStyle name="Normal 80 4" xfId="39639" xr:uid="{00000000-0005-0000-0000-0000DC9A0000}"/>
    <cellStyle name="Normal 80 5" xfId="39640" xr:uid="{00000000-0005-0000-0000-0000DD9A0000}"/>
    <cellStyle name="Normal 80 6" xfId="39641" xr:uid="{00000000-0005-0000-0000-0000DE9A0000}"/>
    <cellStyle name="Normal 81" xfId="39642" xr:uid="{00000000-0005-0000-0000-0000DF9A0000}"/>
    <cellStyle name="Normal 81 2" xfId="39643" xr:uid="{00000000-0005-0000-0000-0000E09A0000}"/>
    <cellStyle name="Normal 81 3" xfId="39644" xr:uid="{00000000-0005-0000-0000-0000E19A0000}"/>
    <cellStyle name="Normal 81 4" xfId="39645" xr:uid="{00000000-0005-0000-0000-0000E29A0000}"/>
    <cellStyle name="Normal 81 5" xfId="39646" xr:uid="{00000000-0005-0000-0000-0000E39A0000}"/>
    <cellStyle name="Normal 81 6" xfId="39647" xr:uid="{00000000-0005-0000-0000-0000E49A0000}"/>
    <cellStyle name="Normal 82" xfId="39648" xr:uid="{00000000-0005-0000-0000-0000E59A0000}"/>
    <cellStyle name="Normal 82 2" xfId="39649" xr:uid="{00000000-0005-0000-0000-0000E69A0000}"/>
    <cellStyle name="Normal 82 3" xfId="39650" xr:uid="{00000000-0005-0000-0000-0000E79A0000}"/>
    <cellStyle name="Normal 82 4" xfId="39651" xr:uid="{00000000-0005-0000-0000-0000E89A0000}"/>
    <cellStyle name="Normal 82 5" xfId="39652" xr:uid="{00000000-0005-0000-0000-0000E99A0000}"/>
    <cellStyle name="Normal 82 6" xfId="39653" xr:uid="{00000000-0005-0000-0000-0000EA9A0000}"/>
    <cellStyle name="Normal 83" xfId="39654" xr:uid="{00000000-0005-0000-0000-0000EB9A0000}"/>
    <cellStyle name="Normal 83 2" xfId="39655" xr:uid="{00000000-0005-0000-0000-0000EC9A0000}"/>
    <cellStyle name="Normal 83 3" xfId="39656" xr:uid="{00000000-0005-0000-0000-0000ED9A0000}"/>
    <cellStyle name="Normal 83 4" xfId="39657" xr:uid="{00000000-0005-0000-0000-0000EE9A0000}"/>
    <cellStyle name="Normal 83 5" xfId="39658" xr:uid="{00000000-0005-0000-0000-0000EF9A0000}"/>
    <cellStyle name="Normal 83 6" xfId="39659" xr:uid="{00000000-0005-0000-0000-0000F09A0000}"/>
    <cellStyle name="Normal 84" xfId="39660" xr:uid="{00000000-0005-0000-0000-0000F19A0000}"/>
    <cellStyle name="Normal 84 2" xfId="39661" xr:uid="{00000000-0005-0000-0000-0000F29A0000}"/>
    <cellStyle name="Normal 84 3" xfId="39662" xr:uid="{00000000-0005-0000-0000-0000F39A0000}"/>
    <cellStyle name="Normal 84 4" xfId="39663" xr:uid="{00000000-0005-0000-0000-0000F49A0000}"/>
    <cellStyle name="Normal 84 5" xfId="39664" xr:uid="{00000000-0005-0000-0000-0000F59A0000}"/>
    <cellStyle name="Normal 84 6" xfId="39665" xr:uid="{00000000-0005-0000-0000-0000F69A0000}"/>
    <cellStyle name="Normal 85" xfId="39666" xr:uid="{00000000-0005-0000-0000-0000F79A0000}"/>
    <cellStyle name="Normal 85 2" xfId="39667" xr:uid="{00000000-0005-0000-0000-0000F89A0000}"/>
    <cellStyle name="Normal 85 3" xfId="39668" xr:uid="{00000000-0005-0000-0000-0000F99A0000}"/>
    <cellStyle name="Normal 85 4" xfId="39669" xr:uid="{00000000-0005-0000-0000-0000FA9A0000}"/>
    <cellStyle name="Normal 85 5" xfId="39670" xr:uid="{00000000-0005-0000-0000-0000FB9A0000}"/>
    <cellStyle name="Normal 85 6" xfId="39671" xr:uid="{00000000-0005-0000-0000-0000FC9A0000}"/>
    <cellStyle name="Normal 86" xfId="39672" xr:uid="{00000000-0005-0000-0000-0000FD9A0000}"/>
    <cellStyle name="Normal 86 2" xfId="39673" xr:uid="{00000000-0005-0000-0000-0000FE9A0000}"/>
    <cellStyle name="Normal 86 3" xfId="39674" xr:uid="{00000000-0005-0000-0000-0000FF9A0000}"/>
    <cellStyle name="Normal 86 4" xfId="39675" xr:uid="{00000000-0005-0000-0000-0000009B0000}"/>
    <cellStyle name="Normal 87" xfId="39676" xr:uid="{00000000-0005-0000-0000-0000019B0000}"/>
    <cellStyle name="Normal 87 2" xfId="39677" xr:uid="{00000000-0005-0000-0000-0000029B0000}"/>
    <cellStyle name="Normal 87 3" xfId="39678" xr:uid="{00000000-0005-0000-0000-0000039B0000}"/>
    <cellStyle name="Normal 87 4" xfId="39679" xr:uid="{00000000-0005-0000-0000-0000049B0000}"/>
    <cellStyle name="Normal 88" xfId="39680" xr:uid="{00000000-0005-0000-0000-0000059B0000}"/>
    <cellStyle name="Normal 89" xfId="39681" xr:uid="{00000000-0005-0000-0000-0000069B0000}"/>
    <cellStyle name="Normal 9" xfId="39" xr:uid="{00000000-0005-0000-0000-0000079B0000}"/>
    <cellStyle name="Normal 9 10" xfId="39682" xr:uid="{00000000-0005-0000-0000-0000089B0000}"/>
    <cellStyle name="Normal 9 10 2" xfId="39683" xr:uid="{00000000-0005-0000-0000-0000099B0000}"/>
    <cellStyle name="Normal 9 11" xfId="39684" xr:uid="{00000000-0005-0000-0000-00000A9B0000}"/>
    <cellStyle name="Normal 9 11 2" xfId="39685" xr:uid="{00000000-0005-0000-0000-00000B9B0000}"/>
    <cellStyle name="Normal 9 12" xfId="39686" xr:uid="{00000000-0005-0000-0000-00000C9B0000}"/>
    <cellStyle name="Normal 9 12 2" xfId="39687" xr:uid="{00000000-0005-0000-0000-00000D9B0000}"/>
    <cellStyle name="Normal 9 13" xfId="39688" xr:uid="{00000000-0005-0000-0000-00000E9B0000}"/>
    <cellStyle name="Normal 9 13 2" xfId="39689" xr:uid="{00000000-0005-0000-0000-00000F9B0000}"/>
    <cellStyle name="Normal 9 14" xfId="39690" xr:uid="{00000000-0005-0000-0000-0000109B0000}"/>
    <cellStyle name="Normal 9 14 2" xfId="39691" xr:uid="{00000000-0005-0000-0000-0000119B0000}"/>
    <cellStyle name="Normal 9 15" xfId="39692" xr:uid="{00000000-0005-0000-0000-0000129B0000}"/>
    <cellStyle name="Normal 9 15 2" xfId="39693" xr:uid="{00000000-0005-0000-0000-0000139B0000}"/>
    <cellStyle name="Normal 9 16" xfId="39694" xr:uid="{00000000-0005-0000-0000-0000149B0000}"/>
    <cellStyle name="Normal 9 16 2" xfId="39695" xr:uid="{00000000-0005-0000-0000-0000159B0000}"/>
    <cellStyle name="Normal 9 17" xfId="39696" xr:uid="{00000000-0005-0000-0000-0000169B0000}"/>
    <cellStyle name="Normal 9 17 10" xfId="39697" xr:uid="{00000000-0005-0000-0000-0000179B0000}"/>
    <cellStyle name="Normal 9 17 11" xfId="39698" xr:uid="{00000000-0005-0000-0000-0000189B0000}"/>
    <cellStyle name="Normal 9 17 12" xfId="39699" xr:uid="{00000000-0005-0000-0000-0000199B0000}"/>
    <cellStyle name="Normal 9 17 2" xfId="39700" xr:uid="{00000000-0005-0000-0000-00001A9B0000}"/>
    <cellStyle name="Normal 9 17 3" xfId="39701" xr:uid="{00000000-0005-0000-0000-00001B9B0000}"/>
    <cellStyle name="Normal 9 17 3 2" xfId="39702" xr:uid="{00000000-0005-0000-0000-00001C9B0000}"/>
    <cellStyle name="Normal 9 17 3 2 2" xfId="39703" xr:uid="{00000000-0005-0000-0000-00001D9B0000}"/>
    <cellStyle name="Normal 9 17 3 2 3" xfId="39704" xr:uid="{00000000-0005-0000-0000-00001E9B0000}"/>
    <cellStyle name="Normal 9 17 3 2 4" xfId="39705" xr:uid="{00000000-0005-0000-0000-00001F9B0000}"/>
    <cellStyle name="Normal 9 17 3 2 5" xfId="39706" xr:uid="{00000000-0005-0000-0000-0000209B0000}"/>
    <cellStyle name="Normal 9 17 3 2 6" xfId="39707" xr:uid="{00000000-0005-0000-0000-0000219B0000}"/>
    <cellStyle name="Normal 9 17 3 3" xfId="39708" xr:uid="{00000000-0005-0000-0000-0000229B0000}"/>
    <cellStyle name="Normal 9 17 3 3 2" xfId="39709" xr:uid="{00000000-0005-0000-0000-0000239B0000}"/>
    <cellStyle name="Normal 9 17 3 3 3" xfId="39710" xr:uid="{00000000-0005-0000-0000-0000249B0000}"/>
    <cellStyle name="Normal 9 17 3 3 4" xfId="39711" xr:uid="{00000000-0005-0000-0000-0000259B0000}"/>
    <cellStyle name="Normal 9 17 3 3 5" xfId="39712" xr:uid="{00000000-0005-0000-0000-0000269B0000}"/>
    <cellStyle name="Normal 9 17 3 3 6" xfId="39713" xr:uid="{00000000-0005-0000-0000-0000279B0000}"/>
    <cellStyle name="Normal 9 17 3 4" xfId="39714" xr:uid="{00000000-0005-0000-0000-0000289B0000}"/>
    <cellStyle name="Normal 9 17 3 5" xfId="39715" xr:uid="{00000000-0005-0000-0000-0000299B0000}"/>
    <cellStyle name="Normal 9 17 3 6" xfId="39716" xr:uid="{00000000-0005-0000-0000-00002A9B0000}"/>
    <cellStyle name="Normal 9 17 3 7" xfId="39717" xr:uid="{00000000-0005-0000-0000-00002B9B0000}"/>
    <cellStyle name="Normal 9 17 3 8" xfId="39718" xr:uid="{00000000-0005-0000-0000-00002C9B0000}"/>
    <cellStyle name="Normal 9 17 4" xfId="39719" xr:uid="{00000000-0005-0000-0000-00002D9B0000}"/>
    <cellStyle name="Normal 9 17 4 2" xfId="39720" xr:uid="{00000000-0005-0000-0000-00002E9B0000}"/>
    <cellStyle name="Normal 9 17 4 2 2" xfId="39721" xr:uid="{00000000-0005-0000-0000-00002F9B0000}"/>
    <cellStyle name="Normal 9 17 4 2 3" xfId="39722" xr:uid="{00000000-0005-0000-0000-0000309B0000}"/>
    <cellStyle name="Normal 9 17 4 2 4" xfId="39723" xr:uid="{00000000-0005-0000-0000-0000319B0000}"/>
    <cellStyle name="Normal 9 17 4 2 5" xfId="39724" xr:uid="{00000000-0005-0000-0000-0000329B0000}"/>
    <cellStyle name="Normal 9 17 4 2 6" xfId="39725" xr:uid="{00000000-0005-0000-0000-0000339B0000}"/>
    <cellStyle name="Normal 9 17 4 3" xfId="39726" xr:uid="{00000000-0005-0000-0000-0000349B0000}"/>
    <cellStyle name="Normal 9 17 4 3 2" xfId="39727" xr:uid="{00000000-0005-0000-0000-0000359B0000}"/>
    <cellStyle name="Normal 9 17 4 3 3" xfId="39728" xr:uid="{00000000-0005-0000-0000-0000369B0000}"/>
    <cellStyle name="Normal 9 17 4 3 4" xfId="39729" xr:uid="{00000000-0005-0000-0000-0000379B0000}"/>
    <cellStyle name="Normal 9 17 4 3 5" xfId="39730" xr:uid="{00000000-0005-0000-0000-0000389B0000}"/>
    <cellStyle name="Normal 9 17 4 3 6" xfId="39731" xr:uid="{00000000-0005-0000-0000-0000399B0000}"/>
    <cellStyle name="Normal 9 17 4 4" xfId="39732" xr:uid="{00000000-0005-0000-0000-00003A9B0000}"/>
    <cellStyle name="Normal 9 17 4 5" xfId="39733" xr:uid="{00000000-0005-0000-0000-00003B9B0000}"/>
    <cellStyle name="Normal 9 17 4 6" xfId="39734" xr:uid="{00000000-0005-0000-0000-00003C9B0000}"/>
    <cellStyle name="Normal 9 17 4 7" xfId="39735" xr:uid="{00000000-0005-0000-0000-00003D9B0000}"/>
    <cellStyle name="Normal 9 17 4 8" xfId="39736" xr:uid="{00000000-0005-0000-0000-00003E9B0000}"/>
    <cellStyle name="Normal 9 17 5" xfId="39737" xr:uid="{00000000-0005-0000-0000-00003F9B0000}"/>
    <cellStyle name="Normal 9 17 5 2" xfId="39738" xr:uid="{00000000-0005-0000-0000-0000409B0000}"/>
    <cellStyle name="Normal 9 17 5 2 2" xfId="39739" xr:uid="{00000000-0005-0000-0000-0000419B0000}"/>
    <cellStyle name="Normal 9 17 5 2 3" xfId="39740" xr:uid="{00000000-0005-0000-0000-0000429B0000}"/>
    <cellStyle name="Normal 9 17 5 2 4" xfId="39741" xr:uid="{00000000-0005-0000-0000-0000439B0000}"/>
    <cellStyle name="Normal 9 17 5 2 5" xfId="39742" xr:uid="{00000000-0005-0000-0000-0000449B0000}"/>
    <cellStyle name="Normal 9 17 5 2 6" xfId="39743" xr:uid="{00000000-0005-0000-0000-0000459B0000}"/>
    <cellStyle name="Normal 9 17 5 3" xfId="39744" xr:uid="{00000000-0005-0000-0000-0000469B0000}"/>
    <cellStyle name="Normal 9 17 5 3 2" xfId="39745" xr:uid="{00000000-0005-0000-0000-0000479B0000}"/>
    <cellStyle name="Normal 9 17 5 3 3" xfId="39746" xr:uid="{00000000-0005-0000-0000-0000489B0000}"/>
    <cellStyle name="Normal 9 17 5 3 4" xfId="39747" xr:uid="{00000000-0005-0000-0000-0000499B0000}"/>
    <cellStyle name="Normal 9 17 5 3 5" xfId="39748" xr:uid="{00000000-0005-0000-0000-00004A9B0000}"/>
    <cellStyle name="Normal 9 17 5 3 6" xfId="39749" xr:uid="{00000000-0005-0000-0000-00004B9B0000}"/>
    <cellStyle name="Normal 9 17 5 4" xfId="39750" xr:uid="{00000000-0005-0000-0000-00004C9B0000}"/>
    <cellStyle name="Normal 9 17 5 5" xfId="39751" xr:uid="{00000000-0005-0000-0000-00004D9B0000}"/>
    <cellStyle name="Normal 9 17 5 6" xfId="39752" xr:uid="{00000000-0005-0000-0000-00004E9B0000}"/>
    <cellStyle name="Normal 9 17 5 7" xfId="39753" xr:uid="{00000000-0005-0000-0000-00004F9B0000}"/>
    <cellStyle name="Normal 9 17 5 8" xfId="39754" xr:uid="{00000000-0005-0000-0000-0000509B0000}"/>
    <cellStyle name="Normal 9 17 6" xfId="39755" xr:uid="{00000000-0005-0000-0000-0000519B0000}"/>
    <cellStyle name="Normal 9 17 6 2" xfId="39756" xr:uid="{00000000-0005-0000-0000-0000529B0000}"/>
    <cellStyle name="Normal 9 17 6 3" xfId="39757" xr:uid="{00000000-0005-0000-0000-0000539B0000}"/>
    <cellStyle name="Normal 9 17 6 4" xfId="39758" xr:uid="{00000000-0005-0000-0000-0000549B0000}"/>
    <cellStyle name="Normal 9 17 6 5" xfId="39759" xr:uid="{00000000-0005-0000-0000-0000559B0000}"/>
    <cellStyle name="Normal 9 17 6 6" xfId="39760" xr:uid="{00000000-0005-0000-0000-0000569B0000}"/>
    <cellStyle name="Normal 9 17 7" xfId="39761" xr:uid="{00000000-0005-0000-0000-0000579B0000}"/>
    <cellStyle name="Normal 9 17 7 2" xfId="39762" xr:uid="{00000000-0005-0000-0000-0000589B0000}"/>
    <cellStyle name="Normal 9 17 7 3" xfId="39763" xr:uid="{00000000-0005-0000-0000-0000599B0000}"/>
    <cellStyle name="Normal 9 17 7 4" xfId="39764" xr:uid="{00000000-0005-0000-0000-00005A9B0000}"/>
    <cellStyle name="Normal 9 17 7 5" xfId="39765" xr:uid="{00000000-0005-0000-0000-00005B9B0000}"/>
    <cellStyle name="Normal 9 17 7 6" xfId="39766" xr:uid="{00000000-0005-0000-0000-00005C9B0000}"/>
    <cellStyle name="Normal 9 17 8" xfId="39767" xr:uid="{00000000-0005-0000-0000-00005D9B0000}"/>
    <cellStyle name="Normal 9 17 9" xfId="39768" xr:uid="{00000000-0005-0000-0000-00005E9B0000}"/>
    <cellStyle name="Normal 9 18" xfId="39769" xr:uid="{00000000-0005-0000-0000-00005F9B0000}"/>
    <cellStyle name="Normal 9 18 10" xfId="39770" xr:uid="{00000000-0005-0000-0000-0000609B0000}"/>
    <cellStyle name="Normal 9 18 11" xfId="39771" xr:uid="{00000000-0005-0000-0000-0000619B0000}"/>
    <cellStyle name="Normal 9 18 2" xfId="39772" xr:uid="{00000000-0005-0000-0000-0000629B0000}"/>
    <cellStyle name="Normal 9 18 2 2" xfId="39773" xr:uid="{00000000-0005-0000-0000-0000639B0000}"/>
    <cellStyle name="Normal 9 18 2 2 2" xfId="39774" xr:uid="{00000000-0005-0000-0000-0000649B0000}"/>
    <cellStyle name="Normal 9 18 2 2 3" xfId="39775" xr:uid="{00000000-0005-0000-0000-0000659B0000}"/>
    <cellStyle name="Normal 9 18 2 2 4" xfId="39776" xr:uid="{00000000-0005-0000-0000-0000669B0000}"/>
    <cellStyle name="Normal 9 18 2 2 5" xfId="39777" xr:uid="{00000000-0005-0000-0000-0000679B0000}"/>
    <cellStyle name="Normal 9 18 2 2 6" xfId="39778" xr:uid="{00000000-0005-0000-0000-0000689B0000}"/>
    <cellStyle name="Normal 9 18 2 3" xfId="39779" xr:uid="{00000000-0005-0000-0000-0000699B0000}"/>
    <cellStyle name="Normal 9 18 2 3 2" xfId="39780" xr:uid="{00000000-0005-0000-0000-00006A9B0000}"/>
    <cellStyle name="Normal 9 18 2 3 3" xfId="39781" xr:uid="{00000000-0005-0000-0000-00006B9B0000}"/>
    <cellStyle name="Normal 9 18 2 3 4" xfId="39782" xr:uid="{00000000-0005-0000-0000-00006C9B0000}"/>
    <cellStyle name="Normal 9 18 2 3 5" xfId="39783" xr:uid="{00000000-0005-0000-0000-00006D9B0000}"/>
    <cellStyle name="Normal 9 18 2 3 6" xfId="39784" xr:uid="{00000000-0005-0000-0000-00006E9B0000}"/>
    <cellStyle name="Normal 9 18 2 4" xfId="39785" xr:uid="{00000000-0005-0000-0000-00006F9B0000}"/>
    <cellStyle name="Normal 9 18 2 5" xfId="39786" xr:uid="{00000000-0005-0000-0000-0000709B0000}"/>
    <cellStyle name="Normal 9 18 2 6" xfId="39787" xr:uid="{00000000-0005-0000-0000-0000719B0000}"/>
    <cellStyle name="Normal 9 18 2 7" xfId="39788" xr:uid="{00000000-0005-0000-0000-0000729B0000}"/>
    <cellStyle name="Normal 9 18 2 8" xfId="39789" xr:uid="{00000000-0005-0000-0000-0000739B0000}"/>
    <cellStyle name="Normal 9 18 3" xfId="39790" xr:uid="{00000000-0005-0000-0000-0000749B0000}"/>
    <cellStyle name="Normal 9 18 3 2" xfId="39791" xr:uid="{00000000-0005-0000-0000-0000759B0000}"/>
    <cellStyle name="Normal 9 18 3 2 2" xfId="39792" xr:uid="{00000000-0005-0000-0000-0000769B0000}"/>
    <cellStyle name="Normal 9 18 3 2 3" xfId="39793" xr:uid="{00000000-0005-0000-0000-0000779B0000}"/>
    <cellStyle name="Normal 9 18 3 2 4" xfId="39794" xr:uid="{00000000-0005-0000-0000-0000789B0000}"/>
    <cellStyle name="Normal 9 18 3 2 5" xfId="39795" xr:uid="{00000000-0005-0000-0000-0000799B0000}"/>
    <cellStyle name="Normal 9 18 3 2 6" xfId="39796" xr:uid="{00000000-0005-0000-0000-00007A9B0000}"/>
    <cellStyle name="Normal 9 18 3 3" xfId="39797" xr:uid="{00000000-0005-0000-0000-00007B9B0000}"/>
    <cellStyle name="Normal 9 18 3 3 2" xfId="39798" xr:uid="{00000000-0005-0000-0000-00007C9B0000}"/>
    <cellStyle name="Normal 9 18 3 3 3" xfId="39799" xr:uid="{00000000-0005-0000-0000-00007D9B0000}"/>
    <cellStyle name="Normal 9 18 3 3 4" xfId="39800" xr:uid="{00000000-0005-0000-0000-00007E9B0000}"/>
    <cellStyle name="Normal 9 18 3 3 5" xfId="39801" xr:uid="{00000000-0005-0000-0000-00007F9B0000}"/>
    <cellStyle name="Normal 9 18 3 3 6" xfId="39802" xr:uid="{00000000-0005-0000-0000-0000809B0000}"/>
    <cellStyle name="Normal 9 18 3 4" xfId="39803" xr:uid="{00000000-0005-0000-0000-0000819B0000}"/>
    <cellStyle name="Normal 9 18 3 5" xfId="39804" xr:uid="{00000000-0005-0000-0000-0000829B0000}"/>
    <cellStyle name="Normal 9 18 3 6" xfId="39805" xr:uid="{00000000-0005-0000-0000-0000839B0000}"/>
    <cellStyle name="Normal 9 18 3 7" xfId="39806" xr:uid="{00000000-0005-0000-0000-0000849B0000}"/>
    <cellStyle name="Normal 9 18 3 8" xfId="39807" xr:uid="{00000000-0005-0000-0000-0000859B0000}"/>
    <cellStyle name="Normal 9 18 4" xfId="39808" xr:uid="{00000000-0005-0000-0000-0000869B0000}"/>
    <cellStyle name="Normal 9 18 4 2" xfId="39809" xr:uid="{00000000-0005-0000-0000-0000879B0000}"/>
    <cellStyle name="Normal 9 18 4 2 2" xfId="39810" xr:uid="{00000000-0005-0000-0000-0000889B0000}"/>
    <cellStyle name="Normal 9 18 4 2 3" xfId="39811" xr:uid="{00000000-0005-0000-0000-0000899B0000}"/>
    <cellStyle name="Normal 9 18 4 2 4" xfId="39812" xr:uid="{00000000-0005-0000-0000-00008A9B0000}"/>
    <cellStyle name="Normal 9 18 4 2 5" xfId="39813" xr:uid="{00000000-0005-0000-0000-00008B9B0000}"/>
    <cellStyle name="Normal 9 18 4 2 6" xfId="39814" xr:uid="{00000000-0005-0000-0000-00008C9B0000}"/>
    <cellStyle name="Normal 9 18 4 3" xfId="39815" xr:uid="{00000000-0005-0000-0000-00008D9B0000}"/>
    <cellStyle name="Normal 9 18 4 3 2" xfId="39816" xr:uid="{00000000-0005-0000-0000-00008E9B0000}"/>
    <cellStyle name="Normal 9 18 4 3 3" xfId="39817" xr:uid="{00000000-0005-0000-0000-00008F9B0000}"/>
    <cellStyle name="Normal 9 18 4 3 4" xfId="39818" xr:uid="{00000000-0005-0000-0000-0000909B0000}"/>
    <cellStyle name="Normal 9 18 4 3 5" xfId="39819" xr:uid="{00000000-0005-0000-0000-0000919B0000}"/>
    <cellStyle name="Normal 9 18 4 3 6" xfId="39820" xr:uid="{00000000-0005-0000-0000-0000929B0000}"/>
    <cellStyle name="Normal 9 18 4 4" xfId="39821" xr:uid="{00000000-0005-0000-0000-0000939B0000}"/>
    <cellStyle name="Normal 9 18 4 5" xfId="39822" xr:uid="{00000000-0005-0000-0000-0000949B0000}"/>
    <cellStyle name="Normal 9 18 4 6" xfId="39823" xr:uid="{00000000-0005-0000-0000-0000959B0000}"/>
    <cellStyle name="Normal 9 18 4 7" xfId="39824" xr:uid="{00000000-0005-0000-0000-0000969B0000}"/>
    <cellStyle name="Normal 9 18 4 8" xfId="39825" xr:uid="{00000000-0005-0000-0000-0000979B0000}"/>
    <cellStyle name="Normal 9 18 5" xfId="39826" xr:uid="{00000000-0005-0000-0000-0000989B0000}"/>
    <cellStyle name="Normal 9 18 5 2" xfId="39827" xr:uid="{00000000-0005-0000-0000-0000999B0000}"/>
    <cellStyle name="Normal 9 18 5 3" xfId="39828" xr:uid="{00000000-0005-0000-0000-00009A9B0000}"/>
    <cellStyle name="Normal 9 18 5 4" xfId="39829" xr:uid="{00000000-0005-0000-0000-00009B9B0000}"/>
    <cellStyle name="Normal 9 18 5 5" xfId="39830" xr:uid="{00000000-0005-0000-0000-00009C9B0000}"/>
    <cellStyle name="Normal 9 18 5 6" xfId="39831" xr:uid="{00000000-0005-0000-0000-00009D9B0000}"/>
    <cellStyle name="Normal 9 18 6" xfId="39832" xr:uid="{00000000-0005-0000-0000-00009E9B0000}"/>
    <cellStyle name="Normal 9 18 6 2" xfId="39833" xr:uid="{00000000-0005-0000-0000-00009F9B0000}"/>
    <cellStyle name="Normal 9 18 6 3" xfId="39834" xr:uid="{00000000-0005-0000-0000-0000A09B0000}"/>
    <cellStyle name="Normal 9 18 6 4" xfId="39835" xr:uid="{00000000-0005-0000-0000-0000A19B0000}"/>
    <cellStyle name="Normal 9 18 6 5" xfId="39836" xr:uid="{00000000-0005-0000-0000-0000A29B0000}"/>
    <cellStyle name="Normal 9 18 6 6" xfId="39837" xr:uid="{00000000-0005-0000-0000-0000A39B0000}"/>
    <cellStyle name="Normal 9 18 7" xfId="39838" xr:uid="{00000000-0005-0000-0000-0000A49B0000}"/>
    <cellStyle name="Normal 9 18 8" xfId="39839" xr:uid="{00000000-0005-0000-0000-0000A59B0000}"/>
    <cellStyle name="Normal 9 18 9" xfId="39840" xr:uid="{00000000-0005-0000-0000-0000A69B0000}"/>
    <cellStyle name="Normal 9 19" xfId="39841" xr:uid="{00000000-0005-0000-0000-0000A79B0000}"/>
    <cellStyle name="Normal 9 19 2" xfId="39842" xr:uid="{00000000-0005-0000-0000-0000A89B0000}"/>
    <cellStyle name="Normal 9 19 2 2" xfId="39843" xr:uid="{00000000-0005-0000-0000-0000A99B0000}"/>
    <cellStyle name="Normal 9 19 2 3" xfId="39844" xr:uid="{00000000-0005-0000-0000-0000AA9B0000}"/>
    <cellStyle name="Normal 9 19 2 4" xfId="39845" xr:uid="{00000000-0005-0000-0000-0000AB9B0000}"/>
    <cellStyle name="Normal 9 19 2 5" xfId="39846" xr:uid="{00000000-0005-0000-0000-0000AC9B0000}"/>
    <cellStyle name="Normal 9 19 2 6" xfId="39847" xr:uid="{00000000-0005-0000-0000-0000AD9B0000}"/>
    <cellStyle name="Normal 9 19 3" xfId="39848" xr:uid="{00000000-0005-0000-0000-0000AE9B0000}"/>
    <cellStyle name="Normal 9 19 3 2" xfId="39849" xr:uid="{00000000-0005-0000-0000-0000AF9B0000}"/>
    <cellStyle name="Normal 9 19 3 3" xfId="39850" xr:uid="{00000000-0005-0000-0000-0000B09B0000}"/>
    <cellStyle name="Normal 9 19 3 4" xfId="39851" xr:uid="{00000000-0005-0000-0000-0000B19B0000}"/>
    <cellStyle name="Normal 9 19 3 5" xfId="39852" xr:uid="{00000000-0005-0000-0000-0000B29B0000}"/>
    <cellStyle name="Normal 9 19 3 6" xfId="39853" xr:uid="{00000000-0005-0000-0000-0000B39B0000}"/>
    <cellStyle name="Normal 9 19 4" xfId="39854" xr:uid="{00000000-0005-0000-0000-0000B49B0000}"/>
    <cellStyle name="Normal 9 19 5" xfId="39855" xr:uid="{00000000-0005-0000-0000-0000B59B0000}"/>
    <cellStyle name="Normal 9 19 6" xfId="39856" xr:uid="{00000000-0005-0000-0000-0000B69B0000}"/>
    <cellStyle name="Normal 9 19 7" xfId="39857" xr:uid="{00000000-0005-0000-0000-0000B79B0000}"/>
    <cellStyle name="Normal 9 19 8" xfId="39858" xr:uid="{00000000-0005-0000-0000-0000B89B0000}"/>
    <cellStyle name="Normal 9 2" xfId="39859" xr:uid="{00000000-0005-0000-0000-0000B99B0000}"/>
    <cellStyle name="Normal 9 2 2" xfId="39860" xr:uid="{00000000-0005-0000-0000-0000BA9B0000}"/>
    <cellStyle name="Normal 9 20" xfId="39861" xr:uid="{00000000-0005-0000-0000-0000BB9B0000}"/>
    <cellStyle name="Normal 9 20 2" xfId="39862" xr:uid="{00000000-0005-0000-0000-0000BC9B0000}"/>
    <cellStyle name="Normal 9 20 2 2" xfId="39863" xr:uid="{00000000-0005-0000-0000-0000BD9B0000}"/>
    <cellStyle name="Normal 9 20 2 3" xfId="39864" xr:uid="{00000000-0005-0000-0000-0000BE9B0000}"/>
    <cellStyle name="Normal 9 20 2 4" xfId="39865" xr:uid="{00000000-0005-0000-0000-0000BF9B0000}"/>
    <cellStyle name="Normal 9 20 2 5" xfId="39866" xr:uid="{00000000-0005-0000-0000-0000C09B0000}"/>
    <cellStyle name="Normal 9 20 2 6" xfId="39867" xr:uid="{00000000-0005-0000-0000-0000C19B0000}"/>
    <cellStyle name="Normal 9 20 3" xfId="39868" xr:uid="{00000000-0005-0000-0000-0000C29B0000}"/>
    <cellStyle name="Normal 9 20 3 2" xfId="39869" xr:uid="{00000000-0005-0000-0000-0000C39B0000}"/>
    <cellStyle name="Normal 9 20 3 3" xfId="39870" xr:uid="{00000000-0005-0000-0000-0000C49B0000}"/>
    <cellStyle name="Normal 9 20 3 4" xfId="39871" xr:uid="{00000000-0005-0000-0000-0000C59B0000}"/>
    <cellStyle name="Normal 9 20 3 5" xfId="39872" xr:uid="{00000000-0005-0000-0000-0000C69B0000}"/>
    <cellStyle name="Normal 9 20 3 6" xfId="39873" xr:uid="{00000000-0005-0000-0000-0000C79B0000}"/>
    <cellStyle name="Normal 9 20 4" xfId="39874" xr:uid="{00000000-0005-0000-0000-0000C89B0000}"/>
    <cellStyle name="Normal 9 20 5" xfId="39875" xr:uid="{00000000-0005-0000-0000-0000C99B0000}"/>
    <cellStyle name="Normal 9 20 6" xfId="39876" xr:uid="{00000000-0005-0000-0000-0000CA9B0000}"/>
    <cellStyle name="Normal 9 20 7" xfId="39877" xr:uid="{00000000-0005-0000-0000-0000CB9B0000}"/>
    <cellStyle name="Normal 9 20 8" xfId="39878" xr:uid="{00000000-0005-0000-0000-0000CC9B0000}"/>
    <cellStyle name="Normal 9 21" xfId="39879" xr:uid="{00000000-0005-0000-0000-0000CD9B0000}"/>
    <cellStyle name="Normal 9 21 2" xfId="39880" xr:uid="{00000000-0005-0000-0000-0000CE9B0000}"/>
    <cellStyle name="Normal 9 21 2 2" xfId="39881" xr:uid="{00000000-0005-0000-0000-0000CF9B0000}"/>
    <cellStyle name="Normal 9 21 2 3" xfId="39882" xr:uid="{00000000-0005-0000-0000-0000D09B0000}"/>
    <cellStyle name="Normal 9 21 2 4" xfId="39883" xr:uid="{00000000-0005-0000-0000-0000D19B0000}"/>
    <cellStyle name="Normal 9 21 2 5" xfId="39884" xr:uid="{00000000-0005-0000-0000-0000D29B0000}"/>
    <cellStyle name="Normal 9 21 2 6" xfId="39885" xr:uid="{00000000-0005-0000-0000-0000D39B0000}"/>
    <cellStyle name="Normal 9 21 3" xfId="39886" xr:uid="{00000000-0005-0000-0000-0000D49B0000}"/>
    <cellStyle name="Normal 9 21 3 2" xfId="39887" xr:uid="{00000000-0005-0000-0000-0000D59B0000}"/>
    <cellStyle name="Normal 9 21 3 3" xfId="39888" xr:uid="{00000000-0005-0000-0000-0000D69B0000}"/>
    <cellStyle name="Normal 9 21 3 4" xfId="39889" xr:uid="{00000000-0005-0000-0000-0000D79B0000}"/>
    <cellStyle name="Normal 9 21 3 5" xfId="39890" xr:uid="{00000000-0005-0000-0000-0000D89B0000}"/>
    <cellStyle name="Normal 9 21 3 6" xfId="39891" xr:uid="{00000000-0005-0000-0000-0000D99B0000}"/>
    <cellStyle name="Normal 9 21 4" xfId="39892" xr:uid="{00000000-0005-0000-0000-0000DA9B0000}"/>
    <cellStyle name="Normal 9 21 5" xfId="39893" xr:uid="{00000000-0005-0000-0000-0000DB9B0000}"/>
    <cellStyle name="Normal 9 21 6" xfId="39894" xr:uid="{00000000-0005-0000-0000-0000DC9B0000}"/>
    <cellStyle name="Normal 9 21 7" xfId="39895" xr:uid="{00000000-0005-0000-0000-0000DD9B0000}"/>
    <cellStyle name="Normal 9 21 8" xfId="39896" xr:uid="{00000000-0005-0000-0000-0000DE9B0000}"/>
    <cellStyle name="Normal 9 22" xfId="39897" xr:uid="{00000000-0005-0000-0000-0000DF9B0000}"/>
    <cellStyle name="Normal 9 22 2" xfId="39898" xr:uid="{00000000-0005-0000-0000-0000E09B0000}"/>
    <cellStyle name="Normal 9 22 3" xfId="39899" xr:uid="{00000000-0005-0000-0000-0000E19B0000}"/>
    <cellStyle name="Normal 9 22 4" xfId="39900" xr:uid="{00000000-0005-0000-0000-0000E29B0000}"/>
    <cellStyle name="Normal 9 22 5" xfId="39901" xr:uid="{00000000-0005-0000-0000-0000E39B0000}"/>
    <cellStyle name="Normal 9 22 6" xfId="39902" xr:uid="{00000000-0005-0000-0000-0000E49B0000}"/>
    <cellStyle name="Normal 9 23" xfId="39903" xr:uid="{00000000-0005-0000-0000-0000E59B0000}"/>
    <cellStyle name="Normal 9 23 2" xfId="39904" xr:uid="{00000000-0005-0000-0000-0000E69B0000}"/>
    <cellStyle name="Normal 9 23 3" xfId="39905" xr:uid="{00000000-0005-0000-0000-0000E79B0000}"/>
    <cellStyle name="Normal 9 23 4" xfId="39906" xr:uid="{00000000-0005-0000-0000-0000E89B0000}"/>
    <cellStyle name="Normal 9 23 5" xfId="39907" xr:uid="{00000000-0005-0000-0000-0000E99B0000}"/>
    <cellStyle name="Normal 9 23 6" xfId="39908" xr:uid="{00000000-0005-0000-0000-0000EA9B0000}"/>
    <cellStyle name="Normal 9 24" xfId="39909" xr:uid="{00000000-0005-0000-0000-0000EB9B0000}"/>
    <cellStyle name="Normal 9 25" xfId="39910" xr:uid="{00000000-0005-0000-0000-0000EC9B0000}"/>
    <cellStyle name="Normal 9 26" xfId="39911" xr:uid="{00000000-0005-0000-0000-0000ED9B0000}"/>
    <cellStyle name="Normal 9 27" xfId="39912" xr:uid="{00000000-0005-0000-0000-0000EE9B0000}"/>
    <cellStyle name="Normal 9 28" xfId="39913" xr:uid="{00000000-0005-0000-0000-0000EF9B0000}"/>
    <cellStyle name="Normal 9 3" xfId="39914" xr:uid="{00000000-0005-0000-0000-0000F09B0000}"/>
    <cellStyle name="Normal 9 3 2" xfId="39915" xr:uid="{00000000-0005-0000-0000-0000F19B0000}"/>
    <cellStyle name="Normal 9 4" xfId="39916" xr:uid="{00000000-0005-0000-0000-0000F29B0000}"/>
    <cellStyle name="Normal 9 4 2" xfId="39917" xr:uid="{00000000-0005-0000-0000-0000F39B0000}"/>
    <cellStyle name="Normal 9 5" xfId="39918" xr:uid="{00000000-0005-0000-0000-0000F49B0000}"/>
    <cellStyle name="Normal 9 5 2" xfId="39919" xr:uid="{00000000-0005-0000-0000-0000F59B0000}"/>
    <cellStyle name="Normal 9 6" xfId="39920" xr:uid="{00000000-0005-0000-0000-0000F69B0000}"/>
    <cellStyle name="Normal 9 6 2" xfId="39921" xr:uid="{00000000-0005-0000-0000-0000F79B0000}"/>
    <cellStyle name="Normal 9 7" xfId="39922" xr:uid="{00000000-0005-0000-0000-0000F89B0000}"/>
    <cellStyle name="Normal 9 7 2" xfId="39923" xr:uid="{00000000-0005-0000-0000-0000F99B0000}"/>
    <cellStyle name="Normal 9 8" xfId="39924" xr:uid="{00000000-0005-0000-0000-0000FA9B0000}"/>
    <cellStyle name="Normal 9 8 2" xfId="39925" xr:uid="{00000000-0005-0000-0000-0000FB9B0000}"/>
    <cellStyle name="Normal 9 9" xfId="39926" xr:uid="{00000000-0005-0000-0000-0000FC9B0000}"/>
    <cellStyle name="Normal 9 9 2" xfId="39927" xr:uid="{00000000-0005-0000-0000-0000FD9B0000}"/>
    <cellStyle name="Normal 90" xfId="39928" xr:uid="{00000000-0005-0000-0000-0000FE9B0000}"/>
    <cellStyle name="Normal 91" xfId="39929" xr:uid="{00000000-0005-0000-0000-0000FF9B0000}"/>
    <cellStyle name="Normal 92" xfId="39930" xr:uid="{00000000-0005-0000-0000-0000009C0000}"/>
    <cellStyle name="Normal 93" xfId="39931" xr:uid="{00000000-0005-0000-0000-0000019C0000}"/>
    <cellStyle name="Normal 94" xfId="43" xr:uid="{00000000-0005-0000-0000-0000029C0000}"/>
    <cellStyle name="Normal 95" xfId="39932" xr:uid="{00000000-0005-0000-0000-0000039C0000}"/>
    <cellStyle name="Normal_A" xfId="39933" xr:uid="{00000000-0005-0000-0000-0000049C0000}"/>
    <cellStyle name="Normal_Backup of Liva annual Account-2008-09 2" xfId="39934" xr:uid="{00000000-0005-0000-0000-0000059C0000}"/>
    <cellStyle name="Normal_ChcPLtd_1" xfId="41" xr:uid="{00000000-0005-0000-0000-0000069C0000}"/>
    <cellStyle name="Normal_ChcPLtd_1 2" xfId="40901" xr:uid="{00000000-0005-0000-0000-0000079C0000}"/>
    <cellStyle name="Normal_Tax Audit Report 2" xfId="39935" xr:uid="{00000000-0005-0000-0000-0000089C0000}"/>
    <cellStyle name="Percent 10" xfId="39936" xr:uid="{00000000-0005-0000-0000-0000099C0000}"/>
    <cellStyle name="Percent 10 2" xfId="39937" xr:uid="{00000000-0005-0000-0000-00000A9C0000}"/>
    <cellStyle name="Percent 2" xfId="40" xr:uid="{00000000-0005-0000-0000-00000B9C0000}"/>
    <cellStyle name="Percent 2 2" xfId="39938" xr:uid="{00000000-0005-0000-0000-00000C9C0000}"/>
    <cellStyle name="Percent 2 2 2" xfId="39939" xr:uid="{00000000-0005-0000-0000-00000D9C0000}"/>
    <cellStyle name="Percent 2 2 3" xfId="39940" xr:uid="{00000000-0005-0000-0000-00000E9C0000}"/>
    <cellStyle name="Percent 2 3" xfId="39941" xr:uid="{00000000-0005-0000-0000-00000F9C0000}"/>
    <cellStyle name="Percent 2 3 2" xfId="39942" xr:uid="{00000000-0005-0000-0000-0000109C0000}"/>
    <cellStyle name="Percent 2 4" xfId="39943" xr:uid="{00000000-0005-0000-0000-0000119C0000}"/>
    <cellStyle name="Percent 2 5" xfId="39944" xr:uid="{00000000-0005-0000-0000-0000129C0000}"/>
    <cellStyle name="Percent 2 5 10" xfId="39945" xr:uid="{00000000-0005-0000-0000-0000139C0000}"/>
    <cellStyle name="Percent 2 5 11" xfId="39946" xr:uid="{00000000-0005-0000-0000-0000149C0000}"/>
    <cellStyle name="Percent 2 5 2" xfId="39947" xr:uid="{00000000-0005-0000-0000-0000159C0000}"/>
    <cellStyle name="Percent 2 5 2 2" xfId="39948" xr:uid="{00000000-0005-0000-0000-0000169C0000}"/>
    <cellStyle name="Percent 2 5 2 2 2" xfId="39949" xr:uid="{00000000-0005-0000-0000-0000179C0000}"/>
    <cellStyle name="Percent 2 5 2 2 3" xfId="39950" xr:uid="{00000000-0005-0000-0000-0000189C0000}"/>
    <cellStyle name="Percent 2 5 2 2 4" xfId="39951" xr:uid="{00000000-0005-0000-0000-0000199C0000}"/>
    <cellStyle name="Percent 2 5 2 2 5" xfId="39952" xr:uid="{00000000-0005-0000-0000-00001A9C0000}"/>
    <cellStyle name="Percent 2 5 2 2 6" xfId="39953" xr:uid="{00000000-0005-0000-0000-00001B9C0000}"/>
    <cellStyle name="Percent 2 5 2 3" xfId="39954" xr:uid="{00000000-0005-0000-0000-00001C9C0000}"/>
    <cellStyle name="Percent 2 5 2 3 2" xfId="39955" xr:uid="{00000000-0005-0000-0000-00001D9C0000}"/>
    <cellStyle name="Percent 2 5 2 3 3" xfId="39956" xr:uid="{00000000-0005-0000-0000-00001E9C0000}"/>
    <cellStyle name="Percent 2 5 2 3 4" xfId="39957" xr:uid="{00000000-0005-0000-0000-00001F9C0000}"/>
    <cellStyle name="Percent 2 5 2 3 5" xfId="39958" xr:uid="{00000000-0005-0000-0000-0000209C0000}"/>
    <cellStyle name="Percent 2 5 2 3 6" xfId="39959" xr:uid="{00000000-0005-0000-0000-0000219C0000}"/>
    <cellStyle name="Percent 2 5 2 4" xfId="39960" xr:uid="{00000000-0005-0000-0000-0000229C0000}"/>
    <cellStyle name="Percent 2 5 2 5" xfId="39961" xr:uid="{00000000-0005-0000-0000-0000239C0000}"/>
    <cellStyle name="Percent 2 5 2 6" xfId="39962" xr:uid="{00000000-0005-0000-0000-0000249C0000}"/>
    <cellStyle name="Percent 2 5 2 7" xfId="39963" xr:uid="{00000000-0005-0000-0000-0000259C0000}"/>
    <cellStyle name="Percent 2 5 2 8" xfId="39964" xr:uid="{00000000-0005-0000-0000-0000269C0000}"/>
    <cellStyle name="Percent 2 5 3" xfId="39965" xr:uid="{00000000-0005-0000-0000-0000279C0000}"/>
    <cellStyle name="Percent 2 5 3 2" xfId="39966" xr:uid="{00000000-0005-0000-0000-0000289C0000}"/>
    <cellStyle name="Percent 2 5 3 2 2" xfId="39967" xr:uid="{00000000-0005-0000-0000-0000299C0000}"/>
    <cellStyle name="Percent 2 5 3 2 3" xfId="39968" xr:uid="{00000000-0005-0000-0000-00002A9C0000}"/>
    <cellStyle name="Percent 2 5 3 2 4" xfId="39969" xr:uid="{00000000-0005-0000-0000-00002B9C0000}"/>
    <cellStyle name="Percent 2 5 3 2 5" xfId="39970" xr:uid="{00000000-0005-0000-0000-00002C9C0000}"/>
    <cellStyle name="Percent 2 5 3 2 6" xfId="39971" xr:uid="{00000000-0005-0000-0000-00002D9C0000}"/>
    <cellStyle name="Percent 2 5 3 3" xfId="39972" xr:uid="{00000000-0005-0000-0000-00002E9C0000}"/>
    <cellStyle name="Percent 2 5 3 3 2" xfId="39973" xr:uid="{00000000-0005-0000-0000-00002F9C0000}"/>
    <cellStyle name="Percent 2 5 3 3 3" xfId="39974" xr:uid="{00000000-0005-0000-0000-0000309C0000}"/>
    <cellStyle name="Percent 2 5 3 3 4" xfId="39975" xr:uid="{00000000-0005-0000-0000-0000319C0000}"/>
    <cellStyle name="Percent 2 5 3 3 5" xfId="39976" xr:uid="{00000000-0005-0000-0000-0000329C0000}"/>
    <cellStyle name="Percent 2 5 3 3 6" xfId="39977" xr:uid="{00000000-0005-0000-0000-0000339C0000}"/>
    <cellStyle name="Percent 2 5 3 4" xfId="39978" xr:uid="{00000000-0005-0000-0000-0000349C0000}"/>
    <cellStyle name="Percent 2 5 3 5" xfId="39979" xr:uid="{00000000-0005-0000-0000-0000359C0000}"/>
    <cellStyle name="Percent 2 5 3 6" xfId="39980" xr:uid="{00000000-0005-0000-0000-0000369C0000}"/>
    <cellStyle name="Percent 2 5 3 7" xfId="39981" xr:uid="{00000000-0005-0000-0000-0000379C0000}"/>
    <cellStyle name="Percent 2 5 3 8" xfId="39982" xr:uid="{00000000-0005-0000-0000-0000389C0000}"/>
    <cellStyle name="Percent 2 5 4" xfId="39983" xr:uid="{00000000-0005-0000-0000-0000399C0000}"/>
    <cellStyle name="Percent 2 5 4 2" xfId="39984" xr:uid="{00000000-0005-0000-0000-00003A9C0000}"/>
    <cellStyle name="Percent 2 5 4 2 2" xfId="39985" xr:uid="{00000000-0005-0000-0000-00003B9C0000}"/>
    <cellStyle name="Percent 2 5 4 2 3" xfId="39986" xr:uid="{00000000-0005-0000-0000-00003C9C0000}"/>
    <cellStyle name="Percent 2 5 4 2 4" xfId="39987" xr:uid="{00000000-0005-0000-0000-00003D9C0000}"/>
    <cellStyle name="Percent 2 5 4 2 5" xfId="39988" xr:uid="{00000000-0005-0000-0000-00003E9C0000}"/>
    <cellStyle name="Percent 2 5 4 2 6" xfId="39989" xr:uid="{00000000-0005-0000-0000-00003F9C0000}"/>
    <cellStyle name="Percent 2 5 4 3" xfId="39990" xr:uid="{00000000-0005-0000-0000-0000409C0000}"/>
    <cellStyle name="Percent 2 5 4 3 2" xfId="39991" xr:uid="{00000000-0005-0000-0000-0000419C0000}"/>
    <cellStyle name="Percent 2 5 4 3 3" xfId="39992" xr:uid="{00000000-0005-0000-0000-0000429C0000}"/>
    <cellStyle name="Percent 2 5 4 3 4" xfId="39993" xr:uid="{00000000-0005-0000-0000-0000439C0000}"/>
    <cellStyle name="Percent 2 5 4 3 5" xfId="39994" xr:uid="{00000000-0005-0000-0000-0000449C0000}"/>
    <cellStyle name="Percent 2 5 4 3 6" xfId="39995" xr:uid="{00000000-0005-0000-0000-0000459C0000}"/>
    <cellStyle name="Percent 2 5 4 4" xfId="39996" xr:uid="{00000000-0005-0000-0000-0000469C0000}"/>
    <cellStyle name="Percent 2 5 4 5" xfId="39997" xr:uid="{00000000-0005-0000-0000-0000479C0000}"/>
    <cellStyle name="Percent 2 5 4 6" xfId="39998" xr:uid="{00000000-0005-0000-0000-0000489C0000}"/>
    <cellStyle name="Percent 2 5 4 7" xfId="39999" xr:uid="{00000000-0005-0000-0000-0000499C0000}"/>
    <cellStyle name="Percent 2 5 4 8" xfId="40000" xr:uid="{00000000-0005-0000-0000-00004A9C0000}"/>
    <cellStyle name="Percent 2 5 5" xfId="40001" xr:uid="{00000000-0005-0000-0000-00004B9C0000}"/>
    <cellStyle name="Percent 2 5 5 2" xfId="40002" xr:uid="{00000000-0005-0000-0000-00004C9C0000}"/>
    <cellStyle name="Percent 2 5 5 3" xfId="40003" xr:uid="{00000000-0005-0000-0000-00004D9C0000}"/>
    <cellStyle name="Percent 2 5 5 4" xfId="40004" xr:uid="{00000000-0005-0000-0000-00004E9C0000}"/>
    <cellStyle name="Percent 2 5 5 5" xfId="40005" xr:uid="{00000000-0005-0000-0000-00004F9C0000}"/>
    <cellStyle name="Percent 2 5 5 6" xfId="40006" xr:uid="{00000000-0005-0000-0000-0000509C0000}"/>
    <cellStyle name="Percent 2 5 6" xfId="40007" xr:uid="{00000000-0005-0000-0000-0000519C0000}"/>
    <cellStyle name="Percent 2 5 6 2" xfId="40008" xr:uid="{00000000-0005-0000-0000-0000529C0000}"/>
    <cellStyle name="Percent 2 5 6 3" xfId="40009" xr:uid="{00000000-0005-0000-0000-0000539C0000}"/>
    <cellStyle name="Percent 2 5 6 4" xfId="40010" xr:uid="{00000000-0005-0000-0000-0000549C0000}"/>
    <cellStyle name="Percent 2 5 6 5" xfId="40011" xr:uid="{00000000-0005-0000-0000-0000559C0000}"/>
    <cellStyle name="Percent 2 5 6 6" xfId="40012" xr:uid="{00000000-0005-0000-0000-0000569C0000}"/>
    <cellStyle name="Percent 2 5 7" xfId="40013" xr:uid="{00000000-0005-0000-0000-0000579C0000}"/>
    <cellStyle name="Percent 2 5 8" xfId="40014" xr:uid="{00000000-0005-0000-0000-0000589C0000}"/>
    <cellStyle name="Percent 2 5 9" xfId="40015" xr:uid="{00000000-0005-0000-0000-0000599C0000}"/>
    <cellStyle name="Percent 2 6" xfId="40016" xr:uid="{00000000-0005-0000-0000-00005A9C0000}"/>
    <cellStyle name="Percent 2 6 10" xfId="40017" xr:uid="{00000000-0005-0000-0000-00005B9C0000}"/>
    <cellStyle name="Percent 2 6 11" xfId="40018" xr:uid="{00000000-0005-0000-0000-00005C9C0000}"/>
    <cellStyle name="Percent 2 6 2" xfId="40019" xr:uid="{00000000-0005-0000-0000-00005D9C0000}"/>
    <cellStyle name="Percent 2 6 2 2" xfId="40020" xr:uid="{00000000-0005-0000-0000-00005E9C0000}"/>
    <cellStyle name="Percent 2 6 2 2 2" xfId="40021" xr:uid="{00000000-0005-0000-0000-00005F9C0000}"/>
    <cellStyle name="Percent 2 6 2 2 3" xfId="40022" xr:uid="{00000000-0005-0000-0000-0000609C0000}"/>
    <cellStyle name="Percent 2 6 2 2 4" xfId="40023" xr:uid="{00000000-0005-0000-0000-0000619C0000}"/>
    <cellStyle name="Percent 2 6 2 2 5" xfId="40024" xr:uid="{00000000-0005-0000-0000-0000629C0000}"/>
    <cellStyle name="Percent 2 6 2 2 6" xfId="40025" xr:uid="{00000000-0005-0000-0000-0000639C0000}"/>
    <cellStyle name="Percent 2 6 2 3" xfId="40026" xr:uid="{00000000-0005-0000-0000-0000649C0000}"/>
    <cellStyle name="Percent 2 6 2 3 2" xfId="40027" xr:uid="{00000000-0005-0000-0000-0000659C0000}"/>
    <cellStyle name="Percent 2 6 2 3 3" xfId="40028" xr:uid="{00000000-0005-0000-0000-0000669C0000}"/>
    <cellStyle name="Percent 2 6 2 3 4" xfId="40029" xr:uid="{00000000-0005-0000-0000-0000679C0000}"/>
    <cellStyle name="Percent 2 6 2 3 5" xfId="40030" xr:uid="{00000000-0005-0000-0000-0000689C0000}"/>
    <cellStyle name="Percent 2 6 2 3 6" xfId="40031" xr:uid="{00000000-0005-0000-0000-0000699C0000}"/>
    <cellStyle name="Percent 2 6 2 4" xfId="40032" xr:uid="{00000000-0005-0000-0000-00006A9C0000}"/>
    <cellStyle name="Percent 2 6 2 5" xfId="40033" xr:uid="{00000000-0005-0000-0000-00006B9C0000}"/>
    <cellStyle name="Percent 2 6 2 6" xfId="40034" xr:uid="{00000000-0005-0000-0000-00006C9C0000}"/>
    <cellStyle name="Percent 2 6 2 7" xfId="40035" xr:uid="{00000000-0005-0000-0000-00006D9C0000}"/>
    <cellStyle name="Percent 2 6 2 8" xfId="40036" xr:uid="{00000000-0005-0000-0000-00006E9C0000}"/>
    <cellStyle name="Percent 2 6 3" xfId="40037" xr:uid="{00000000-0005-0000-0000-00006F9C0000}"/>
    <cellStyle name="Percent 2 6 3 2" xfId="40038" xr:uid="{00000000-0005-0000-0000-0000709C0000}"/>
    <cellStyle name="Percent 2 6 3 2 2" xfId="40039" xr:uid="{00000000-0005-0000-0000-0000719C0000}"/>
    <cellStyle name="Percent 2 6 3 2 3" xfId="40040" xr:uid="{00000000-0005-0000-0000-0000729C0000}"/>
    <cellStyle name="Percent 2 6 3 2 4" xfId="40041" xr:uid="{00000000-0005-0000-0000-0000739C0000}"/>
    <cellStyle name="Percent 2 6 3 2 5" xfId="40042" xr:uid="{00000000-0005-0000-0000-0000749C0000}"/>
    <cellStyle name="Percent 2 6 3 2 6" xfId="40043" xr:uid="{00000000-0005-0000-0000-0000759C0000}"/>
    <cellStyle name="Percent 2 6 3 3" xfId="40044" xr:uid="{00000000-0005-0000-0000-0000769C0000}"/>
    <cellStyle name="Percent 2 6 3 3 2" xfId="40045" xr:uid="{00000000-0005-0000-0000-0000779C0000}"/>
    <cellStyle name="Percent 2 6 3 3 3" xfId="40046" xr:uid="{00000000-0005-0000-0000-0000789C0000}"/>
    <cellStyle name="Percent 2 6 3 3 4" xfId="40047" xr:uid="{00000000-0005-0000-0000-0000799C0000}"/>
    <cellStyle name="Percent 2 6 3 3 5" xfId="40048" xr:uid="{00000000-0005-0000-0000-00007A9C0000}"/>
    <cellStyle name="Percent 2 6 3 3 6" xfId="40049" xr:uid="{00000000-0005-0000-0000-00007B9C0000}"/>
    <cellStyle name="Percent 2 6 3 4" xfId="40050" xr:uid="{00000000-0005-0000-0000-00007C9C0000}"/>
    <cellStyle name="Percent 2 6 3 5" xfId="40051" xr:uid="{00000000-0005-0000-0000-00007D9C0000}"/>
    <cellStyle name="Percent 2 6 3 6" xfId="40052" xr:uid="{00000000-0005-0000-0000-00007E9C0000}"/>
    <cellStyle name="Percent 2 6 3 7" xfId="40053" xr:uid="{00000000-0005-0000-0000-00007F9C0000}"/>
    <cellStyle name="Percent 2 6 3 8" xfId="40054" xr:uid="{00000000-0005-0000-0000-0000809C0000}"/>
    <cellStyle name="Percent 2 6 4" xfId="40055" xr:uid="{00000000-0005-0000-0000-0000819C0000}"/>
    <cellStyle name="Percent 2 6 4 2" xfId="40056" xr:uid="{00000000-0005-0000-0000-0000829C0000}"/>
    <cellStyle name="Percent 2 6 4 2 2" xfId="40057" xr:uid="{00000000-0005-0000-0000-0000839C0000}"/>
    <cellStyle name="Percent 2 6 4 2 3" xfId="40058" xr:uid="{00000000-0005-0000-0000-0000849C0000}"/>
    <cellStyle name="Percent 2 6 4 2 4" xfId="40059" xr:uid="{00000000-0005-0000-0000-0000859C0000}"/>
    <cellStyle name="Percent 2 6 4 2 5" xfId="40060" xr:uid="{00000000-0005-0000-0000-0000869C0000}"/>
    <cellStyle name="Percent 2 6 4 2 6" xfId="40061" xr:uid="{00000000-0005-0000-0000-0000879C0000}"/>
    <cellStyle name="Percent 2 6 4 3" xfId="40062" xr:uid="{00000000-0005-0000-0000-0000889C0000}"/>
    <cellStyle name="Percent 2 6 4 3 2" xfId="40063" xr:uid="{00000000-0005-0000-0000-0000899C0000}"/>
    <cellStyle name="Percent 2 6 4 3 3" xfId="40064" xr:uid="{00000000-0005-0000-0000-00008A9C0000}"/>
    <cellStyle name="Percent 2 6 4 3 4" xfId="40065" xr:uid="{00000000-0005-0000-0000-00008B9C0000}"/>
    <cellStyle name="Percent 2 6 4 3 5" xfId="40066" xr:uid="{00000000-0005-0000-0000-00008C9C0000}"/>
    <cellStyle name="Percent 2 6 4 3 6" xfId="40067" xr:uid="{00000000-0005-0000-0000-00008D9C0000}"/>
    <cellStyle name="Percent 2 6 4 4" xfId="40068" xr:uid="{00000000-0005-0000-0000-00008E9C0000}"/>
    <cellStyle name="Percent 2 6 4 5" xfId="40069" xr:uid="{00000000-0005-0000-0000-00008F9C0000}"/>
    <cellStyle name="Percent 2 6 4 6" xfId="40070" xr:uid="{00000000-0005-0000-0000-0000909C0000}"/>
    <cellStyle name="Percent 2 6 4 7" xfId="40071" xr:uid="{00000000-0005-0000-0000-0000919C0000}"/>
    <cellStyle name="Percent 2 6 4 8" xfId="40072" xr:uid="{00000000-0005-0000-0000-0000929C0000}"/>
    <cellStyle name="Percent 2 6 5" xfId="40073" xr:uid="{00000000-0005-0000-0000-0000939C0000}"/>
    <cellStyle name="Percent 2 6 5 2" xfId="40074" xr:uid="{00000000-0005-0000-0000-0000949C0000}"/>
    <cellStyle name="Percent 2 6 5 3" xfId="40075" xr:uid="{00000000-0005-0000-0000-0000959C0000}"/>
    <cellStyle name="Percent 2 6 5 4" xfId="40076" xr:uid="{00000000-0005-0000-0000-0000969C0000}"/>
    <cellStyle name="Percent 2 6 5 5" xfId="40077" xr:uid="{00000000-0005-0000-0000-0000979C0000}"/>
    <cellStyle name="Percent 2 6 5 6" xfId="40078" xr:uid="{00000000-0005-0000-0000-0000989C0000}"/>
    <cellStyle name="Percent 2 6 6" xfId="40079" xr:uid="{00000000-0005-0000-0000-0000999C0000}"/>
    <cellStyle name="Percent 2 6 6 2" xfId="40080" xr:uid="{00000000-0005-0000-0000-00009A9C0000}"/>
    <cellStyle name="Percent 2 6 6 3" xfId="40081" xr:uid="{00000000-0005-0000-0000-00009B9C0000}"/>
    <cellStyle name="Percent 2 6 6 4" xfId="40082" xr:uid="{00000000-0005-0000-0000-00009C9C0000}"/>
    <cellStyle name="Percent 2 6 6 5" xfId="40083" xr:uid="{00000000-0005-0000-0000-00009D9C0000}"/>
    <cellStyle name="Percent 2 6 6 6" xfId="40084" xr:uid="{00000000-0005-0000-0000-00009E9C0000}"/>
    <cellStyle name="Percent 2 6 7" xfId="40085" xr:uid="{00000000-0005-0000-0000-00009F9C0000}"/>
    <cellStyle name="Percent 2 6 8" xfId="40086" xr:uid="{00000000-0005-0000-0000-0000A09C0000}"/>
    <cellStyle name="Percent 2 6 9" xfId="40087" xr:uid="{00000000-0005-0000-0000-0000A19C0000}"/>
    <cellStyle name="Percent 2 7" xfId="40088" xr:uid="{00000000-0005-0000-0000-0000A29C0000}"/>
    <cellStyle name="Percent 3" xfId="40089" xr:uid="{00000000-0005-0000-0000-0000A39C0000}"/>
    <cellStyle name="Percent 3 10" xfId="40090" xr:uid="{00000000-0005-0000-0000-0000A49C0000}"/>
    <cellStyle name="Percent 3 10 2" xfId="40091" xr:uid="{00000000-0005-0000-0000-0000A59C0000}"/>
    <cellStyle name="Percent 3 10 3" xfId="40092" xr:uid="{00000000-0005-0000-0000-0000A69C0000}"/>
    <cellStyle name="Percent 3 10 4" xfId="40093" xr:uid="{00000000-0005-0000-0000-0000A79C0000}"/>
    <cellStyle name="Percent 3 10 5" xfId="40094" xr:uid="{00000000-0005-0000-0000-0000A89C0000}"/>
    <cellStyle name="Percent 3 10 6" xfId="40095" xr:uid="{00000000-0005-0000-0000-0000A99C0000}"/>
    <cellStyle name="Percent 3 11" xfId="40096" xr:uid="{00000000-0005-0000-0000-0000AA9C0000}"/>
    <cellStyle name="Percent 3 12" xfId="40097" xr:uid="{00000000-0005-0000-0000-0000AB9C0000}"/>
    <cellStyle name="Percent 3 13" xfId="40098" xr:uid="{00000000-0005-0000-0000-0000AC9C0000}"/>
    <cellStyle name="Percent 3 14" xfId="40099" xr:uid="{00000000-0005-0000-0000-0000AD9C0000}"/>
    <cellStyle name="Percent 3 15" xfId="40100" xr:uid="{00000000-0005-0000-0000-0000AE9C0000}"/>
    <cellStyle name="Percent 3 2" xfId="40101" xr:uid="{00000000-0005-0000-0000-0000AF9C0000}"/>
    <cellStyle name="Percent 3 2 10" xfId="40102" xr:uid="{00000000-0005-0000-0000-0000B09C0000}"/>
    <cellStyle name="Percent 3 2 11" xfId="40103" xr:uid="{00000000-0005-0000-0000-0000B19C0000}"/>
    <cellStyle name="Percent 3 2 12" xfId="40104" xr:uid="{00000000-0005-0000-0000-0000B29C0000}"/>
    <cellStyle name="Percent 3 2 13" xfId="40105" xr:uid="{00000000-0005-0000-0000-0000B39C0000}"/>
    <cellStyle name="Percent 3 2 14" xfId="40106" xr:uid="{00000000-0005-0000-0000-0000B49C0000}"/>
    <cellStyle name="Percent 3 2 2" xfId="40107" xr:uid="{00000000-0005-0000-0000-0000B59C0000}"/>
    <cellStyle name="Percent 3 2 2 10" xfId="40108" xr:uid="{00000000-0005-0000-0000-0000B69C0000}"/>
    <cellStyle name="Percent 3 2 2 11" xfId="40109" xr:uid="{00000000-0005-0000-0000-0000B79C0000}"/>
    <cellStyle name="Percent 3 2 2 12" xfId="40110" xr:uid="{00000000-0005-0000-0000-0000B89C0000}"/>
    <cellStyle name="Percent 3 2 2 2" xfId="40111" xr:uid="{00000000-0005-0000-0000-0000B99C0000}"/>
    <cellStyle name="Percent 3 2 2 3" xfId="40112" xr:uid="{00000000-0005-0000-0000-0000BA9C0000}"/>
    <cellStyle name="Percent 3 2 2 3 2" xfId="40113" xr:uid="{00000000-0005-0000-0000-0000BB9C0000}"/>
    <cellStyle name="Percent 3 2 2 3 2 2" xfId="40114" xr:uid="{00000000-0005-0000-0000-0000BC9C0000}"/>
    <cellStyle name="Percent 3 2 2 3 2 3" xfId="40115" xr:uid="{00000000-0005-0000-0000-0000BD9C0000}"/>
    <cellStyle name="Percent 3 2 2 3 2 4" xfId="40116" xr:uid="{00000000-0005-0000-0000-0000BE9C0000}"/>
    <cellStyle name="Percent 3 2 2 3 2 5" xfId="40117" xr:uid="{00000000-0005-0000-0000-0000BF9C0000}"/>
    <cellStyle name="Percent 3 2 2 3 2 6" xfId="40118" xr:uid="{00000000-0005-0000-0000-0000C09C0000}"/>
    <cellStyle name="Percent 3 2 2 3 3" xfId="40119" xr:uid="{00000000-0005-0000-0000-0000C19C0000}"/>
    <cellStyle name="Percent 3 2 2 3 3 2" xfId="40120" xr:uid="{00000000-0005-0000-0000-0000C29C0000}"/>
    <cellStyle name="Percent 3 2 2 3 3 3" xfId="40121" xr:uid="{00000000-0005-0000-0000-0000C39C0000}"/>
    <cellStyle name="Percent 3 2 2 3 3 4" xfId="40122" xr:uid="{00000000-0005-0000-0000-0000C49C0000}"/>
    <cellStyle name="Percent 3 2 2 3 3 5" xfId="40123" xr:uid="{00000000-0005-0000-0000-0000C59C0000}"/>
    <cellStyle name="Percent 3 2 2 3 3 6" xfId="40124" xr:uid="{00000000-0005-0000-0000-0000C69C0000}"/>
    <cellStyle name="Percent 3 2 2 3 4" xfId="40125" xr:uid="{00000000-0005-0000-0000-0000C79C0000}"/>
    <cellStyle name="Percent 3 2 2 3 5" xfId="40126" xr:uid="{00000000-0005-0000-0000-0000C89C0000}"/>
    <cellStyle name="Percent 3 2 2 3 6" xfId="40127" xr:uid="{00000000-0005-0000-0000-0000C99C0000}"/>
    <cellStyle name="Percent 3 2 2 3 7" xfId="40128" xr:uid="{00000000-0005-0000-0000-0000CA9C0000}"/>
    <cellStyle name="Percent 3 2 2 3 8" xfId="40129" xr:uid="{00000000-0005-0000-0000-0000CB9C0000}"/>
    <cellStyle name="Percent 3 2 2 4" xfId="40130" xr:uid="{00000000-0005-0000-0000-0000CC9C0000}"/>
    <cellStyle name="Percent 3 2 2 4 2" xfId="40131" xr:uid="{00000000-0005-0000-0000-0000CD9C0000}"/>
    <cellStyle name="Percent 3 2 2 4 2 2" xfId="40132" xr:uid="{00000000-0005-0000-0000-0000CE9C0000}"/>
    <cellStyle name="Percent 3 2 2 4 2 3" xfId="40133" xr:uid="{00000000-0005-0000-0000-0000CF9C0000}"/>
    <cellStyle name="Percent 3 2 2 4 2 4" xfId="40134" xr:uid="{00000000-0005-0000-0000-0000D09C0000}"/>
    <cellStyle name="Percent 3 2 2 4 2 5" xfId="40135" xr:uid="{00000000-0005-0000-0000-0000D19C0000}"/>
    <cellStyle name="Percent 3 2 2 4 2 6" xfId="40136" xr:uid="{00000000-0005-0000-0000-0000D29C0000}"/>
    <cellStyle name="Percent 3 2 2 4 3" xfId="40137" xr:uid="{00000000-0005-0000-0000-0000D39C0000}"/>
    <cellStyle name="Percent 3 2 2 4 3 2" xfId="40138" xr:uid="{00000000-0005-0000-0000-0000D49C0000}"/>
    <cellStyle name="Percent 3 2 2 4 3 3" xfId="40139" xr:uid="{00000000-0005-0000-0000-0000D59C0000}"/>
    <cellStyle name="Percent 3 2 2 4 3 4" xfId="40140" xr:uid="{00000000-0005-0000-0000-0000D69C0000}"/>
    <cellStyle name="Percent 3 2 2 4 3 5" xfId="40141" xr:uid="{00000000-0005-0000-0000-0000D79C0000}"/>
    <cellStyle name="Percent 3 2 2 4 3 6" xfId="40142" xr:uid="{00000000-0005-0000-0000-0000D89C0000}"/>
    <cellStyle name="Percent 3 2 2 4 4" xfId="40143" xr:uid="{00000000-0005-0000-0000-0000D99C0000}"/>
    <cellStyle name="Percent 3 2 2 4 5" xfId="40144" xr:uid="{00000000-0005-0000-0000-0000DA9C0000}"/>
    <cellStyle name="Percent 3 2 2 4 6" xfId="40145" xr:uid="{00000000-0005-0000-0000-0000DB9C0000}"/>
    <cellStyle name="Percent 3 2 2 4 7" xfId="40146" xr:uid="{00000000-0005-0000-0000-0000DC9C0000}"/>
    <cellStyle name="Percent 3 2 2 4 8" xfId="40147" xr:uid="{00000000-0005-0000-0000-0000DD9C0000}"/>
    <cellStyle name="Percent 3 2 2 5" xfId="40148" xr:uid="{00000000-0005-0000-0000-0000DE9C0000}"/>
    <cellStyle name="Percent 3 2 2 5 2" xfId="40149" xr:uid="{00000000-0005-0000-0000-0000DF9C0000}"/>
    <cellStyle name="Percent 3 2 2 5 2 2" xfId="40150" xr:uid="{00000000-0005-0000-0000-0000E09C0000}"/>
    <cellStyle name="Percent 3 2 2 5 2 3" xfId="40151" xr:uid="{00000000-0005-0000-0000-0000E19C0000}"/>
    <cellStyle name="Percent 3 2 2 5 2 4" xfId="40152" xr:uid="{00000000-0005-0000-0000-0000E29C0000}"/>
    <cellStyle name="Percent 3 2 2 5 2 5" xfId="40153" xr:uid="{00000000-0005-0000-0000-0000E39C0000}"/>
    <cellStyle name="Percent 3 2 2 5 2 6" xfId="40154" xr:uid="{00000000-0005-0000-0000-0000E49C0000}"/>
    <cellStyle name="Percent 3 2 2 5 3" xfId="40155" xr:uid="{00000000-0005-0000-0000-0000E59C0000}"/>
    <cellStyle name="Percent 3 2 2 5 3 2" xfId="40156" xr:uid="{00000000-0005-0000-0000-0000E69C0000}"/>
    <cellStyle name="Percent 3 2 2 5 3 3" xfId="40157" xr:uid="{00000000-0005-0000-0000-0000E79C0000}"/>
    <cellStyle name="Percent 3 2 2 5 3 4" xfId="40158" xr:uid="{00000000-0005-0000-0000-0000E89C0000}"/>
    <cellStyle name="Percent 3 2 2 5 3 5" xfId="40159" xr:uid="{00000000-0005-0000-0000-0000E99C0000}"/>
    <cellStyle name="Percent 3 2 2 5 3 6" xfId="40160" xr:uid="{00000000-0005-0000-0000-0000EA9C0000}"/>
    <cellStyle name="Percent 3 2 2 5 4" xfId="40161" xr:uid="{00000000-0005-0000-0000-0000EB9C0000}"/>
    <cellStyle name="Percent 3 2 2 5 5" xfId="40162" xr:uid="{00000000-0005-0000-0000-0000EC9C0000}"/>
    <cellStyle name="Percent 3 2 2 5 6" xfId="40163" xr:uid="{00000000-0005-0000-0000-0000ED9C0000}"/>
    <cellStyle name="Percent 3 2 2 5 7" xfId="40164" xr:uid="{00000000-0005-0000-0000-0000EE9C0000}"/>
    <cellStyle name="Percent 3 2 2 5 8" xfId="40165" xr:uid="{00000000-0005-0000-0000-0000EF9C0000}"/>
    <cellStyle name="Percent 3 2 2 6" xfId="40166" xr:uid="{00000000-0005-0000-0000-0000F09C0000}"/>
    <cellStyle name="Percent 3 2 2 6 2" xfId="40167" xr:uid="{00000000-0005-0000-0000-0000F19C0000}"/>
    <cellStyle name="Percent 3 2 2 6 3" xfId="40168" xr:uid="{00000000-0005-0000-0000-0000F29C0000}"/>
    <cellStyle name="Percent 3 2 2 6 4" xfId="40169" xr:uid="{00000000-0005-0000-0000-0000F39C0000}"/>
    <cellStyle name="Percent 3 2 2 6 5" xfId="40170" xr:uid="{00000000-0005-0000-0000-0000F49C0000}"/>
    <cellStyle name="Percent 3 2 2 6 6" xfId="40171" xr:uid="{00000000-0005-0000-0000-0000F59C0000}"/>
    <cellStyle name="Percent 3 2 2 7" xfId="40172" xr:uid="{00000000-0005-0000-0000-0000F69C0000}"/>
    <cellStyle name="Percent 3 2 2 7 2" xfId="40173" xr:uid="{00000000-0005-0000-0000-0000F79C0000}"/>
    <cellStyle name="Percent 3 2 2 7 3" xfId="40174" xr:uid="{00000000-0005-0000-0000-0000F89C0000}"/>
    <cellStyle name="Percent 3 2 2 7 4" xfId="40175" xr:uid="{00000000-0005-0000-0000-0000F99C0000}"/>
    <cellStyle name="Percent 3 2 2 7 5" xfId="40176" xr:uid="{00000000-0005-0000-0000-0000FA9C0000}"/>
    <cellStyle name="Percent 3 2 2 7 6" xfId="40177" xr:uid="{00000000-0005-0000-0000-0000FB9C0000}"/>
    <cellStyle name="Percent 3 2 2 8" xfId="40178" xr:uid="{00000000-0005-0000-0000-0000FC9C0000}"/>
    <cellStyle name="Percent 3 2 2 9" xfId="40179" xr:uid="{00000000-0005-0000-0000-0000FD9C0000}"/>
    <cellStyle name="Percent 3 2 3" xfId="40180" xr:uid="{00000000-0005-0000-0000-0000FE9C0000}"/>
    <cellStyle name="Percent 3 2 3 10" xfId="40181" xr:uid="{00000000-0005-0000-0000-0000FF9C0000}"/>
    <cellStyle name="Percent 3 2 3 11" xfId="40182" xr:uid="{00000000-0005-0000-0000-0000009D0000}"/>
    <cellStyle name="Percent 3 2 3 2" xfId="40183" xr:uid="{00000000-0005-0000-0000-0000019D0000}"/>
    <cellStyle name="Percent 3 2 3 2 2" xfId="40184" xr:uid="{00000000-0005-0000-0000-0000029D0000}"/>
    <cellStyle name="Percent 3 2 3 2 2 2" xfId="40185" xr:uid="{00000000-0005-0000-0000-0000039D0000}"/>
    <cellStyle name="Percent 3 2 3 2 2 3" xfId="40186" xr:uid="{00000000-0005-0000-0000-0000049D0000}"/>
    <cellStyle name="Percent 3 2 3 2 2 4" xfId="40187" xr:uid="{00000000-0005-0000-0000-0000059D0000}"/>
    <cellStyle name="Percent 3 2 3 2 2 5" xfId="40188" xr:uid="{00000000-0005-0000-0000-0000069D0000}"/>
    <cellStyle name="Percent 3 2 3 2 2 6" xfId="40189" xr:uid="{00000000-0005-0000-0000-0000079D0000}"/>
    <cellStyle name="Percent 3 2 3 2 3" xfId="40190" xr:uid="{00000000-0005-0000-0000-0000089D0000}"/>
    <cellStyle name="Percent 3 2 3 2 3 2" xfId="40191" xr:uid="{00000000-0005-0000-0000-0000099D0000}"/>
    <cellStyle name="Percent 3 2 3 2 3 3" xfId="40192" xr:uid="{00000000-0005-0000-0000-00000A9D0000}"/>
    <cellStyle name="Percent 3 2 3 2 3 4" xfId="40193" xr:uid="{00000000-0005-0000-0000-00000B9D0000}"/>
    <cellStyle name="Percent 3 2 3 2 3 5" xfId="40194" xr:uid="{00000000-0005-0000-0000-00000C9D0000}"/>
    <cellStyle name="Percent 3 2 3 2 3 6" xfId="40195" xr:uid="{00000000-0005-0000-0000-00000D9D0000}"/>
    <cellStyle name="Percent 3 2 3 2 4" xfId="40196" xr:uid="{00000000-0005-0000-0000-00000E9D0000}"/>
    <cellStyle name="Percent 3 2 3 2 5" xfId="40197" xr:uid="{00000000-0005-0000-0000-00000F9D0000}"/>
    <cellStyle name="Percent 3 2 3 2 6" xfId="40198" xr:uid="{00000000-0005-0000-0000-0000109D0000}"/>
    <cellStyle name="Percent 3 2 3 2 7" xfId="40199" xr:uid="{00000000-0005-0000-0000-0000119D0000}"/>
    <cellStyle name="Percent 3 2 3 2 8" xfId="40200" xr:uid="{00000000-0005-0000-0000-0000129D0000}"/>
    <cellStyle name="Percent 3 2 3 3" xfId="40201" xr:uid="{00000000-0005-0000-0000-0000139D0000}"/>
    <cellStyle name="Percent 3 2 3 3 2" xfId="40202" xr:uid="{00000000-0005-0000-0000-0000149D0000}"/>
    <cellStyle name="Percent 3 2 3 3 2 2" xfId="40203" xr:uid="{00000000-0005-0000-0000-0000159D0000}"/>
    <cellStyle name="Percent 3 2 3 3 2 3" xfId="40204" xr:uid="{00000000-0005-0000-0000-0000169D0000}"/>
    <cellStyle name="Percent 3 2 3 3 2 4" xfId="40205" xr:uid="{00000000-0005-0000-0000-0000179D0000}"/>
    <cellStyle name="Percent 3 2 3 3 2 5" xfId="40206" xr:uid="{00000000-0005-0000-0000-0000189D0000}"/>
    <cellStyle name="Percent 3 2 3 3 2 6" xfId="40207" xr:uid="{00000000-0005-0000-0000-0000199D0000}"/>
    <cellStyle name="Percent 3 2 3 3 3" xfId="40208" xr:uid="{00000000-0005-0000-0000-00001A9D0000}"/>
    <cellStyle name="Percent 3 2 3 3 3 2" xfId="40209" xr:uid="{00000000-0005-0000-0000-00001B9D0000}"/>
    <cellStyle name="Percent 3 2 3 3 3 3" xfId="40210" xr:uid="{00000000-0005-0000-0000-00001C9D0000}"/>
    <cellStyle name="Percent 3 2 3 3 3 4" xfId="40211" xr:uid="{00000000-0005-0000-0000-00001D9D0000}"/>
    <cellStyle name="Percent 3 2 3 3 3 5" xfId="40212" xr:uid="{00000000-0005-0000-0000-00001E9D0000}"/>
    <cellStyle name="Percent 3 2 3 3 3 6" xfId="40213" xr:uid="{00000000-0005-0000-0000-00001F9D0000}"/>
    <cellStyle name="Percent 3 2 3 3 4" xfId="40214" xr:uid="{00000000-0005-0000-0000-0000209D0000}"/>
    <cellStyle name="Percent 3 2 3 3 5" xfId="40215" xr:uid="{00000000-0005-0000-0000-0000219D0000}"/>
    <cellStyle name="Percent 3 2 3 3 6" xfId="40216" xr:uid="{00000000-0005-0000-0000-0000229D0000}"/>
    <cellStyle name="Percent 3 2 3 3 7" xfId="40217" xr:uid="{00000000-0005-0000-0000-0000239D0000}"/>
    <cellStyle name="Percent 3 2 3 3 8" xfId="40218" xr:uid="{00000000-0005-0000-0000-0000249D0000}"/>
    <cellStyle name="Percent 3 2 3 4" xfId="40219" xr:uid="{00000000-0005-0000-0000-0000259D0000}"/>
    <cellStyle name="Percent 3 2 3 4 2" xfId="40220" xr:uid="{00000000-0005-0000-0000-0000269D0000}"/>
    <cellStyle name="Percent 3 2 3 4 2 2" xfId="40221" xr:uid="{00000000-0005-0000-0000-0000279D0000}"/>
    <cellStyle name="Percent 3 2 3 4 2 3" xfId="40222" xr:uid="{00000000-0005-0000-0000-0000289D0000}"/>
    <cellStyle name="Percent 3 2 3 4 2 4" xfId="40223" xr:uid="{00000000-0005-0000-0000-0000299D0000}"/>
    <cellStyle name="Percent 3 2 3 4 2 5" xfId="40224" xr:uid="{00000000-0005-0000-0000-00002A9D0000}"/>
    <cellStyle name="Percent 3 2 3 4 2 6" xfId="40225" xr:uid="{00000000-0005-0000-0000-00002B9D0000}"/>
    <cellStyle name="Percent 3 2 3 4 3" xfId="40226" xr:uid="{00000000-0005-0000-0000-00002C9D0000}"/>
    <cellStyle name="Percent 3 2 3 4 3 2" xfId="40227" xr:uid="{00000000-0005-0000-0000-00002D9D0000}"/>
    <cellStyle name="Percent 3 2 3 4 3 3" xfId="40228" xr:uid="{00000000-0005-0000-0000-00002E9D0000}"/>
    <cellStyle name="Percent 3 2 3 4 3 4" xfId="40229" xr:uid="{00000000-0005-0000-0000-00002F9D0000}"/>
    <cellStyle name="Percent 3 2 3 4 3 5" xfId="40230" xr:uid="{00000000-0005-0000-0000-0000309D0000}"/>
    <cellStyle name="Percent 3 2 3 4 3 6" xfId="40231" xr:uid="{00000000-0005-0000-0000-0000319D0000}"/>
    <cellStyle name="Percent 3 2 3 4 4" xfId="40232" xr:uid="{00000000-0005-0000-0000-0000329D0000}"/>
    <cellStyle name="Percent 3 2 3 4 5" xfId="40233" xr:uid="{00000000-0005-0000-0000-0000339D0000}"/>
    <cellStyle name="Percent 3 2 3 4 6" xfId="40234" xr:uid="{00000000-0005-0000-0000-0000349D0000}"/>
    <cellStyle name="Percent 3 2 3 4 7" xfId="40235" xr:uid="{00000000-0005-0000-0000-0000359D0000}"/>
    <cellStyle name="Percent 3 2 3 4 8" xfId="40236" xr:uid="{00000000-0005-0000-0000-0000369D0000}"/>
    <cellStyle name="Percent 3 2 3 5" xfId="40237" xr:uid="{00000000-0005-0000-0000-0000379D0000}"/>
    <cellStyle name="Percent 3 2 3 5 2" xfId="40238" xr:uid="{00000000-0005-0000-0000-0000389D0000}"/>
    <cellStyle name="Percent 3 2 3 5 3" xfId="40239" xr:uid="{00000000-0005-0000-0000-0000399D0000}"/>
    <cellStyle name="Percent 3 2 3 5 4" xfId="40240" xr:uid="{00000000-0005-0000-0000-00003A9D0000}"/>
    <cellStyle name="Percent 3 2 3 5 5" xfId="40241" xr:uid="{00000000-0005-0000-0000-00003B9D0000}"/>
    <cellStyle name="Percent 3 2 3 5 6" xfId="40242" xr:uid="{00000000-0005-0000-0000-00003C9D0000}"/>
    <cellStyle name="Percent 3 2 3 6" xfId="40243" xr:uid="{00000000-0005-0000-0000-00003D9D0000}"/>
    <cellStyle name="Percent 3 2 3 6 2" xfId="40244" xr:uid="{00000000-0005-0000-0000-00003E9D0000}"/>
    <cellStyle name="Percent 3 2 3 6 3" xfId="40245" xr:uid="{00000000-0005-0000-0000-00003F9D0000}"/>
    <cellStyle name="Percent 3 2 3 6 4" xfId="40246" xr:uid="{00000000-0005-0000-0000-0000409D0000}"/>
    <cellStyle name="Percent 3 2 3 6 5" xfId="40247" xr:uid="{00000000-0005-0000-0000-0000419D0000}"/>
    <cellStyle name="Percent 3 2 3 6 6" xfId="40248" xr:uid="{00000000-0005-0000-0000-0000429D0000}"/>
    <cellStyle name="Percent 3 2 3 7" xfId="40249" xr:uid="{00000000-0005-0000-0000-0000439D0000}"/>
    <cellStyle name="Percent 3 2 3 8" xfId="40250" xr:uid="{00000000-0005-0000-0000-0000449D0000}"/>
    <cellStyle name="Percent 3 2 3 9" xfId="40251" xr:uid="{00000000-0005-0000-0000-0000459D0000}"/>
    <cellStyle name="Percent 3 2 4" xfId="40252" xr:uid="{00000000-0005-0000-0000-0000469D0000}"/>
    <cellStyle name="Percent 3 2 5" xfId="40253" xr:uid="{00000000-0005-0000-0000-0000479D0000}"/>
    <cellStyle name="Percent 3 2 5 2" xfId="40254" xr:uid="{00000000-0005-0000-0000-0000489D0000}"/>
    <cellStyle name="Percent 3 2 5 2 2" xfId="40255" xr:uid="{00000000-0005-0000-0000-0000499D0000}"/>
    <cellStyle name="Percent 3 2 5 2 3" xfId="40256" xr:uid="{00000000-0005-0000-0000-00004A9D0000}"/>
    <cellStyle name="Percent 3 2 5 2 4" xfId="40257" xr:uid="{00000000-0005-0000-0000-00004B9D0000}"/>
    <cellStyle name="Percent 3 2 5 2 5" xfId="40258" xr:uid="{00000000-0005-0000-0000-00004C9D0000}"/>
    <cellStyle name="Percent 3 2 5 2 6" xfId="40259" xr:uid="{00000000-0005-0000-0000-00004D9D0000}"/>
    <cellStyle name="Percent 3 2 5 3" xfId="40260" xr:uid="{00000000-0005-0000-0000-00004E9D0000}"/>
    <cellStyle name="Percent 3 2 5 3 2" xfId="40261" xr:uid="{00000000-0005-0000-0000-00004F9D0000}"/>
    <cellStyle name="Percent 3 2 5 3 3" xfId="40262" xr:uid="{00000000-0005-0000-0000-0000509D0000}"/>
    <cellStyle name="Percent 3 2 5 3 4" xfId="40263" xr:uid="{00000000-0005-0000-0000-0000519D0000}"/>
    <cellStyle name="Percent 3 2 5 3 5" xfId="40264" xr:uid="{00000000-0005-0000-0000-0000529D0000}"/>
    <cellStyle name="Percent 3 2 5 3 6" xfId="40265" xr:uid="{00000000-0005-0000-0000-0000539D0000}"/>
    <cellStyle name="Percent 3 2 5 4" xfId="40266" xr:uid="{00000000-0005-0000-0000-0000549D0000}"/>
    <cellStyle name="Percent 3 2 5 5" xfId="40267" xr:uid="{00000000-0005-0000-0000-0000559D0000}"/>
    <cellStyle name="Percent 3 2 5 6" xfId="40268" xr:uid="{00000000-0005-0000-0000-0000569D0000}"/>
    <cellStyle name="Percent 3 2 5 7" xfId="40269" xr:uid="{00000000-0005-0000-0000-0000579D0000}"/>
    <cellStyle name="Percent 3 2 5 8" xfId="40270" xr:uid="{00000000-0005-0000-0000-0000589D0000}"/>
    <cellStyle name="Percent 3 2 6" xfId="40271" xr:uid="{00000000-0005-0000-0000-0000599D0000}"/>
    <cellStyle name="Percent 3 2 6 2" xfId="40272" xr:uid="{00000000-0005-0000-0000-00005A9D0000}"/>
    <cellStyle name="Percent 3 2 6 2 2" xfId="40273" xr:uid="{00000000-0005-0000-0000-00005B9D0000}"/>
    <cellStyle name="Percent 3 2 6 2 3" xfId="40274" xr:uid="{00000000-0005-0000-0000-00005C9D0000}"/>
    <cellStyle name="Percent 3 2 6 2 4" xfId="40275" xr:uid="{00000000-0005-0000-0000-00005D9D0000}"/>
    <cellStyle name="Percent 3 2 6 2 5" xfId="40276" xr:uid="{00000000-0005-0000-0000-00005E9D0000}"/>
    <cellStyle name="Percent 3 2 6 2 6" xfId="40277" xr:uid="{00000000-0005-0000-0000-00005F9D0000}"/>
    <cellStyle name="Percent 3 2 6 3" xfId="40278" xr:uid="{00000000-0005-0000-0000-0000609D0000}"/>
    <cellStyle name="Percent 3 2 6 3 2" xfId="40279" xr:uid="{00000000-0005-0000-0000-0000619D0000}"/>
    <cellStyle name="Percent 3 2 6 3 3" xfId="40280" xr:uid="{00000000-0005-0000-0000-0000629D0000}"/>
    <cellStyle name="Percent 3 2 6 3 4" xfId="40281" xr:uid="{00000000-0005-0000-0000-0000639D0000}"/>
    <cellStyle name="Percent 3 2 6 3 5" xfId="40282" xr:uid="{00000000-0005-0000-0000-0000649D0000}"/>
    <cellStyle name="Percent 3 2 6 3 6" xfId="40283" xr:uid="{00000000-0005-0000-0000-0000659D0000}"/>
    <cellStyle name="Percent 3 2 6 4" xfId="40284" xr:uid="{00000000-0005-0000-0000-0000669D0000}"/>
    <cellStyle name="Percent 3 2 6 5" xfId="40285" xr:uid="{00000000-0005-0000-0000-0000679D0000}"/>
    <cellStyle name="Percent 3 2 6 6" xfId="40286" xr:uid="{00000000-0005-0000-0000-0000689D0000}"/>
    <cellStyle name="Percent 3 2 6 7" xfId="40287" xr:uid="{00000000-0005-0000-0000-0000699D0000}"/>
    <cellStyle name="Percent 3 2 6 8" xfId="40288" xr:uid="{00000000-0005-0000-0000-00006A9D0000}"/>
    <cellStyle name="Percent 3 2 7" xfId="40289" xr:uid="{00000000-0005-0000-0000-00006B9D0000}"/>
    <cellStyle name="Percent 3 2 7 2" xfId="40290" xr:uid="{00000000-0005-0000-0000-00006C9D0000}"/>
    <cellStyle name="Percent 3 2 7 2 2" xfId="40291" xr:uid="{00000000-0005-0000-0000-00006D9D0000}"/>
    <cellStyle name="Percent 3 2 7 2 3" xfId="40292" xr:uid="{00000000-0005-0000-0000-00006E9D0000}"/>
    <cellStyle name="Percent 3 2 7 2 4" xfId="40293" xr:uid="{00000000-0005-0000-0000-00006F9D0000}"/>
    <cellStyle name="Percent 3 2 7 2 5" xfId="40294" xr:uid="{00000000-0005-0000-0000-0000709D0000}"/>
    <cellStyle name="Percent 3 2 7 2 6" xfId="40295" xr:uid="{00000000-0005-0000-0000-0000719D0000}"/>
    <cellStyle name="Percent 3 2 7 3" xfId="40296" xr:uid="{00000000-0005-0000-0000-0000729D0000}"/>
    <cellStyle name="Percent 3 2 7 3 2" xfId="40297" xr:uid="{00000000-0005-0000-0000-0000739D0000}"/>
    <cellStyle name="Percent 3 2 7 3 3" xfId="40298" xr:uid="{00000000-0005-0000-0000-0000749D0000}"/>
    <cellStyle name="Percent 3 2 7 3 4" xfId="40299" xr:uid="{00000000-0005-0000-0000-0000759D0000}"/>
    <cellStyle name="Percent 3 2 7 3 5" xfId="40300" xr:uid="{00000000-0005-0000-0000-0000769D0000}"/>
    <cellStyle name="Percent 3 2 7 3 6" xfId="40301" xr:uid="{00000000-0005-0000-0000-0000779D0000}"/>
    <cellStyle name="Percent 3 2 7 4" xfId="40302" xr:uid="{00000000-0005-0000-0000-0000789D0000}"/>
    <cellStyle name="Percent 3 2 7 5" xfId="40303" xr:uid="{00000000-0005-0000-0000-0000799D0000}"/>
    <cellStyle name="Percent 3 2 7 6" xfId="40304" xr:uid="{00000000-0005-0000-0000-00007A9D0000}"/>
    <cellStyle name="Percent 3 2 7 7" xfId="40305" xr:uid="{00000000-0005-0000-0000-00007B9D0000}"/>
    <cellStyle name="Percent 3 2 7 8" xfId="40306" xr:uid="{00000000-0005-0000-0000-00007C9D0000}"/>
    <cellStyle name="Percent 3 2 8" xfId="40307" xr:uid="{00000000-0005-0000-0000-00007D9D0000}"/>
    <cellStyle name="Percent 3 2 8 2" xfId="40308" xr:uid="{00000000-0005-0000-0000-00007E9D0000}"/>
    <cellStyle name="Percent 3 2 8 3" xfId="40309" xr:uid="{00000000-0005-0000-0000-00007F9D0000}"/>
    <cellStyle name="Percent 3 2 8 4" xfId="40310" xr:uid="{00000000-0005-0000-0000-0000809D0000}"/>
    <cellStyle name="Percent 3 2 8 5" xfId="40311" xr:uid="{00000000-0005-0000-0000-0000819D0000}"/>
    <cellStyle name="Percent 3 2 8 6" xfId="40312" xr:uid="{00000000-0005-0000-0000-0000829D0000}"/>
    <cellStyle name="Percent 3 2 9" xfId="40313" xr:uid="{00000000-0005-0000-0000-0000839D0000}"/>
    <cellStyle name="Percent 3 2 9 2" xfId="40314" xr:uid="{00000000-0005-0000-0000-0000849D0000}"/>
    <cellStyle name="Percent 3 2 9 3" xfId="40315" xr:uid="{00000000-0005-0000-0000-0000859D0000}"/>
    <cellStyle name="Percent 3 2 9 4" xfId="40316" xr:uid="{00000000-0005-0000-0000-0000869D0000}"/>
    <cellStyle name="Percent 3 2 9 5" xfId="40317" xr:uid="{00000000-0005-0000-0000-0000879D0000}"/>
    <cellStyle name="Percent 3 2 9 6" xfId="40318" xr:uid="{00000000-0005-0000-0000-0000889D0000}"/>
    <cellStyle name="Percent 3 3" xfId="40319" xr:uid="{00000000-0005-0000-0000-0000899D0000}"/>
    <cellStyle name="Percent 3 3 10" xfId="40320" xr:uid="{00000000-0005-0000-0000-00008A9D0000}"/>
    <cellStyle name="Percent 3 3 11" xfId="40321" xr:uid="{00000000-0005-0000-0000-00008B9D0000}"/>
    <cellStyle name="Percent 3 3 12" xfId="40322" xr:uid="{00000000-0005-0000-0000-00008C9D0000}"/>
    <cellStyle name="Percent 3 3 2" xfId="40323" xr:uid="{00000000-0005-0000-0000-00008D9D0000}"/>
    <cellStyle name="Percent 3 3 2 10" xfId="40324" xr:uid="{00000000-0005-0000-0000-00008E9D0000}"/>
    <cellStyle name="Percent 3 3 2 11" xfId="40325" xr:uid="{00000000-0005-0000-0000-00008F9D0000}"/>
    <cellStyle name="Percent 3 3 2 2" xfId="40326" xr:uid="{00000000-0005-0000-0000-0000909D0000}"/>
    <cellStyle name="Percent 3 3 2 2 2" xfId="40327" xr:uid="{00000000-0005-0000-0000-0000919D0000}"/>
    <cellStyle name="Percent 3 3 2 2 2 2" xfId="40328" xr:uid="{00000000-0005-0000-0000-0000929D0000}"/>
    <cellStyle name="Percent 3 3 2 2 2 3" xfId="40329" xr:uid="{00000000-0005-0000-0000-0000939D0000}"/>
    <cellStyle name="Percent 3 3 2 2 2 4" xfId="40330" xr:uid="{00000000-0005-0000-0000-0000949D0000}"/>
    <cellStyle name="Percent 3 3 2 2 2 5" xfId="40331" xr:uid="{00000000-0005-0000-0000-0000959D0000}"/>
    <cellStyle name="Percent 3 3 2 2 2 6" xfId="40332" xr:uid="{00000000-0005-0000-0000-0000969D0000}"/>
    <cellStyle name="Percent 3 3 2 2 3" xfId="40333" xr:uid="{00000000-0005-0000-0000-0000979D0000}"/>
    <cellStyle name="Percent 3 3 2 2 3 2" xfId="40334" xr:uid="{00000000-0005-0000-0000-0000989D0000}"/>
    <cellStyle name="Percent 3 3 2 2 3 3" xfId="40335" xr:uid="{00000000-0005-0000-0000-0000999D0000}"/>
    <cellStyle name="Percent 3 3 2 2 3 4" xfId="40336" xr:uid="{00000000-0005-0000-0000-00009A9D0000}"/>
    <cellStyle name="Percent 3 3 2 2 3 5" xfId="40337" xr:uid="{00000000-0005-0000-0000-00009B9D0000}"/>
    <cellStyle name="Percent 3 3 2 2 3 6" xfId="40338" xr:uid="{00000000-0005-0000-0000-00009C9D0000}"/>
    <cellStyle name="Percent 3 3 2 2 4" xfId="40339" xr:uid="{00000000-0005-0000-0000-00009D9D0000}"/>
    <cellStyle name="Percent 3 3 2 2 5" xfId="40340" xr:uid="{00000000-0005-0000-0000-00009E9D0000}"/>
    <cellStyle name="Percent 3 3 2 2 6" xfId="40341" xr:uid="{00000000-0005-0000-0000-00009F9D0000}"/>
    <cellStyle name="Percent 3 3 2 2 7" xfId="40342" xr:uid="{00000000-0005-0000-0000-0000A09D0000}"/>
    <cellStyle name="Percent 3 3 2 2 8" xfId="40343" xr:uid="{00000000-0005-0000-0000-0000A19D0000}"/>
    <cellStyle name="Percent 3 3 2 3" xfId="40344" xr:uid="{00000000-0005-0000-0000-0000A29D0000}"/>
    <cellStyle name="Percent 3 3 2 3 2" xfId="40345" xr:uid="{00000000-0005-0000-0000-0000A39D0000}"/>
    <cellStyle name="Percent 3 3 2 3 2 2" xfId="40346" xr:uid="{00000000-0005-0000-0000-0000A49D0000}"/>
    <cellStyle name="Percent 3 3 2 3 2 3" xfId="40347" xr:uid="{00000000-0005-0000-0000-0000A59D0000}"/>
    <cellStyle name="Percent 3 3 2 3 2 4" xfId="40348" xr:uid="{00000000-0005-0000-0000-0000A69D0000}"/>
    <cellStyle name="Percent 3 3 2 3 2 5" xfId="40349" xr:uid="{00000000-0005-0000-0000-0000A79D0000}"/>
    <cellStyle name="Percent 3 3 2 3 2 6" xfId="40350" xr:uid="{00000000-0005-0000-0000-0000A89D0000}"/>
    <cellStyle name="Percent 3 3 2 3 3" xfId="40351" xr:uid="{00000000-0005-0000-0000-0000A99D0000}"/>
    <cellStyle name="Percent 3 3 2 3 3 2" xfId="40352" xr:uid="{00000000-0005-0000-0000-0000AA9D0000}"/>
    <cellStyle name="Percent 3 3 2 3 3 3" xfId="40353" xr:uid="{00000000-0005-0000-0000-0000AB9D0000}"/>
    <cellStyle name="Percent 3 3 2 3 3 4" xfId="40354" xr:uid="{00000000-0005-0000-0000-0000AC9D0000}"/>
    <cellStyle name="Percent 3 3 2 3 3 5" xfId="40355" xr:uid="{00000000-0005-0000-0000-0000AD9D0000}"/>
    <cellStyle name="Percent 3 3 2 3 3 6" xfId="40356" xr:uid="{00000000-0005-0000-0000-0000AE9D0000}"/>
    <cellStyle name="Percent 3 3 2 3 4" xfId="40357" xr:uid="{00000000-0005-0000-0000-0000AF9D0000}"/>
    <cellStyle name="Percent 3 3 2 3 5" xfId="40358" xr:uid="{00000000-0005-0000-0000-0000B09D0000}"/>
    <cellStyle name="Percent 3 3 2 3 6" xfId="40359" xr:uid="{00000000-0005-0000-0000-0000B19D0000}"/>
    <cellStyle name="Percent 3 3 2 3 7" xfId="40360" xr:uid="{00000000-0005-0000-0000-0000B29D0000}"/>
    <cellStyle name="Percent 3 3 2 3 8" xfId="40361" xr:uid="{00000000-0005-0000-0000-0000B39D0000}"/>
    <cellStyle name="Percent 3 3 2 4" xfId="40362" xr:uid="{00000000-0005-0000-0000-0000B49D0000}"/>
    <cellStyle name="Percent 3 3 2 4 2" xfId="40363" xr:uid="{00000000-0005-0000-0000-0000B59D0000}"/>
    <cellStyle name="Percent 3 3 2 4 2 2" xfId="40364" xr:uid="{00000000-0005-0000-0000-0000B69D0000}"/>
    <cellStyle name="Percent 3 3 2 4 2 3" xfId="40365" xr:uid="{00000000-0005-0000-0000-0000B79D0000}"/>
    <cellStyle name="Percent 3 3 2 4 2 4" xfId="40366" xr:uid="{00000000-0005-0000-0000-0000B89D0000}"/>
    <cellStyle name="Percent 3 3 2 4 2 5" xfId="40367" xr:uid="{00000000-0005-0000-0000-0000B99D0000}"/>
    <cellStyle name="Percent 3 3 2 4 2 6" xfId="40368" xr:uid="{00000000-0005-0000-0000-0000BA9D0000}"/>
    <cellStyle name="Percent 3 3 2 4 3" xfId="40369" xr:uid="{00000000-0005-0000-0000-0000BB9D0000}"/>
    <cellStyle name="Percent 3 3 2 4 3 2" xfId="40370" xr:uid="{00000000-0005-0000-0000-0000BC9D0000}"/>
    <cellStyle name="Percent 3 3 2 4 3 3" xfId="40371" xr:uid="{00000000-0005-0000-0000-0000BD9D0000}"/>
    <cellStyle name="Percent 3 3 2 4 3 4" xfId="40372" xr:uid="{00000000-0005-0000-0000-0000BE9D0000}"/>
    <cellStyle name="Percent 3 3 2 4 3 5" xfId="40373" xr:uid="{00000000-0005-0000-0000-0000BF9D0000}"/>
    <cellStyle name="Percent 3 3 2 4 3 6" xfId="40374" xr:uid="{00000000-0005-0000-0000-0000C09D0000}"/>
    <cellStyle name="Percent 3 3 2 4 4" xfId="40375" xr:uid="{00000000-0005-0000-0000-0000C19D0000}"/>
    <cellStyle name="Percent 3 3 2 4 5" xfId="40376" xr:uid="{00000000-0005-0000-0000-0000C29D0000}"/>
    <cellStyle name="Percent 3 3 2 4 6" xfId="40377" xr:uid="{00000000-0005-0000-0000-0000C39D0000}"/>
    <cellStyle name="Percent 3 3 2 4 7" xfId="40378" xr:uid="{00000000-0005-0000-0000-0000C49D0000}"/>
    <cellStyle name="Percent 3 3 2 4 8" xfId="40379" xr:uid="{00000000-0005-0000-0000-0000C59D0000}"/>
    <cellStyle name="Percent 3 3 2 5" xfId="40380" xr:uid="{00000000-0005-0000-0000-0000C69D0000}"/>
    <cellStyle name="Percent 3 3 2 5 2" xfId="40381" xr:uid="{00000000-0005-0000-0000-0000C79D0000}"/>
    <cellStyle name="Percent 3 3 2 5 3" xfId="40382" xr:uid="{00000000-0005-0000-0000-0000C89D0000}"/>
    <cellStyle name="Percent 3 3 2 5 4" xfId="40383" xr:uid="{00000000-0005-0000-0000-0000C99D0000}"/>
    <cellStyle name="Percent 3 3 2 5 5" xfId="40384" xr:uid="{00000000-0005-0000-0000-0000CA9D0000}"/>
    <cellStyle name="Percent 3 3 2 5 6" xfId="40385" xr:uid="{00000000-0005-0000-0000-0000CB9D0000}"/>
    <cellStyle name="Percent 3 3 2 6" xfId="40386" xr:uid="{00000000-0005-0000-0000-0000CC9D0000}"/>
    <cellStyle name="Percent 3 3 2 6 2" xfId="40387" xr:uid="{00000000-0005-0000-0000-0000CD9D0000}"/>
    <cellStyle name="Percent 3 3 2 6 3" xfId="40388" xr:uid="{00000000-0005-0000-0000-0000CE9D0000}"/>
    <cellStyle name="Percent 3 3 2 6 4" xfId="40389" xr:uid="{00000000-0005-0000-0000-0000CF9D0000}"/>
    <cellStyle name="Percent 3 3 2 6 5" xfId="40390" xr:uid="{00000000-0005-0000-0000-0000D09D0000}"/>
    <cellStyle name="Percent 3 3 2 6 6" xfId="40391" xr:uid="{00000000-0005-0000-0000-0000D19D0000}"/>
    <cellStyle name="Percent 3 3 2 7" xfId="40392" xr:uid="{00000000-0005-0000-0000-0000D29D0000}"/>
    <cellStyle name="Percent 3 3 2 8" xfId="40393" xr:uid="{00000000-0005-0000-0000-0000D39D0000}"/>
    <cellStyle name="Percent 3 3 2 9" xfId="40394" xr:uid="{00000000-0005-0000-0000-0000D49D0000}"/>
    <cellStyle name="Percent 3 3 3" xfId="40395" xr:uid="{00000000-0005-0000-0000-0000D59D0000}"/>
    <cellStyle name="Percent 3 3 3 2" xfId="40396" xr:uid="{00000000-0005-0000-0000-0000D69D0000}"/>
    <cellStyle name="Percent 3 3 3 2 2" xfId="40397" xr:uid="{00000000-0005-0000-0000-0000D79D0000}"/>
    <cellStyle name="Percent 3 3 3 2 3" xfId="40398" xr:uid="{00000000-0005-0000-0000-0000D89D0000}"/>
    <cellStyle name="Percent 3 3 3 2 4" xfId="40399" xr:uid="{00000000-0005-0000-0000-0000D99D0000}"/>
    <cellStyle name="Percent 3 3 3 2 5" xfId="40400" xr:uid="{00000000-0005-0000-0000-0000DA9D0000}"/>
    <cellStyle name="Percent 3 3 3 2 6" xfId="40401" xr:uid="{00000000-0005-0000-0000-0000DB9D0000}"/>
    <cellStyle name="Percent 3 3 3 3" xfId="40402" xr:uid="{00000000-0005-0000-0000-0000DC9D0000}"/>
    <cellStyle name="Percent 3 3 3 3 2" xfId="40403" xr:uid="{00000000-0005-0000-0000-0000DD9D0000}"/>
    <cellStyle name="Percent 3 3 3 3 3" xfId="40404" xr:uid="{00000000-0005-0000-0000-0000DE9D0000}"/>
    <cellStyle name="Percent 3 3 3 3 4" xfId="40405" xr:uid="{00000000-0005-0000-0000-0000DF9D0000}"/>
    <cellStyle name="Percent 3 3 3 3 5" xfId="40406" xr:uid="{00000000-0005-0000-0000-0000E09D0000}"/>
    <cellStyle name="Percent 3 3 3 3 6" xfId="40407" xr:uid="{00000000-0005-0000-0000-0000E19D0000}"/>
    <cellStyle name="Percent 3 3 3 4" xfId="40408" xr:uid="{00000000-0005-0000-0000-0000E29D0000}"/>
    <cellStyle name="Percent 3 3 3 5" xfId="40409" xr:uid="{00000000-0005-0000-0000-0000E39D0000}"/>
    <cellStyle name="Percent 3 3 3 6" xfId="40410" xr:uid="{00000000-0005-0000-0000-0000E49D0000}"/>
    <cellStyle name="Percent 3 3 3 7" xfId="40411" xr:uid="{00000000-0005-0000-0000-0000E59D0000}"/>
    <cellStyle name="Percent 3 3 3 8" xfId="40412" xr:uid="{00000000-0005-0000-0000-0000E69D0000}"/>
    <cellStyle name="Percent 3 3 4" xfId="40413" xr:uid="{00000000-0005-0000-0000-0000E79D0000}"/>
    <cellStyle name="Percent 3 3 4 2" xfId="40414" xr:uid="{00000000-0005-0000-0000-0000E89D0000}"/>
    <cellStyle name="Percent 3 3 4 2 2" xfId="40415" xr:uid="{00000000-0005-0000-0000-0000E99D0000}"/>
    <cellStyle name="Percent 3 3 4 2 3" xfId="40416" xr:uid="{00000000-0005-0000-0000-0000EA9D0000}"/>
    <cellStyle name="Percent 3 3 4 2 4" xfId="40417" xr:uid="{00000000-0005-0000-0000-0000EB9D0000}"/>
    <cellStyle name="Percent 3 3 4 2 5" xfId="40418" xr:uid="{00000000-0005-0000-0000-0000EC9D0000}"/>
    <cellStyle name="Percent 3 3 4 2 6" xfId="40419" xr:uid="{00000000-0005-0000-0000-0000ED9D0000}"/>
    <cellStyle name="Percent 3 3 4 3" xfId="40420" xr:uid="{00000000-0005-0000-0000-0000EE9D0000}"/>
    <cellStyle name="Percent 3 3 4 3 2" xfId="40421" xr:uid="{00000000-0005-0000-0000-0000EF9D0000}"/>
    <cellStyle name="Percent 3 3 4 3 3" xfId="40422" xr:uid="{00000000-0005-0000-0000-0000F09D0000}"/>
    <cellStyle name="Percent 3 3 4 3 4" xfId="40423" xr:uid="{00000000-0005-0000-0000-0000F19D0000}"/>
    <cellStyle name="Percent 3 3 4 3 5" xfId="40424" xr:uid="{00000000-0005-0000-0000-0000F29D0000}"/>
    <cellStyle name="Percent 3 3 4 3 6" xfId="40425" xr:uid="{00000000-0005-0000-0000-0000F39D0000}"/>
    <cellStyle name="Percent 3 3 4 4" xfId="40426" xr:uid="{00000000-0005-0000-0000-0000F49D0000}"/>
    <cellStyle name="Percent 3 3 4 5" xfId="40427" xr:uid="{00000000-0005-0000-0000-0000F59D0000}"/>
    <cellStyle name="Percent 3 3 4 6" xfId="40428" xr:uid="{00000000-0005-0000-0000-0000F69D0000}"/>
    <cellStyle name="Percent 3 3 4 7" xfId="40429" xr:uid="{00000000-0005-0000-0000-0000F79D0000}"/>
    <cellStyle name="Percent 3 3 4 8" xfId="40430" xr:uid="{00000000-0005-0000-0000-0000F89D0000}"/>
    <cellStyle name="Percent 3 3 5" xfId="40431" xr:uid="{00000000-0005-0000-0000-0000F99D0000}"/>
    <cellStyle name="Percent 3 3 5 2" xfId="40432" xr:uid="{00000000-0005-0000-0000-0000FA9D0000}"/>
    <cellStyle name="Percent 3 3 5 2 2" xfId="40433" xr:uid="{00000000-0005-0000-0000-0000FB9D0000}"/>
    <cellStyle name="Percent 3 3 5 2 3" xfId="40434" xr:uid="{00000000-0005-0000-0000-0000FC9D0000}"/>
    <cellStyle name="Percent 3 3 5 2 4" xfId="40435" xr:uid="{00000000-0005-0000-0000-0000FD9D0000}"/>
    <cellStyle name="Percent 3 3 5 2 5" xfId="40436" xr:uid="{00000000-0005-0000-0000-0000FE9D0000}"/>
    <cellStyle name="Percent 3 3 5 2 6" xfId="40437" xr:uid="{00000000-0005-0000-0000-0000FF9D0000}"/>
    <cellStyle name="Percent 3 3 5 3" xfId="40438" xr:uid="{00000000-0005-0000-0000-0000009E0000}"/>
    <cellStyle name="Percent 3 3 5 3 2" xfId="40439" xr:uid="{00000000-0005-0000-0000-0000019E0000}"/>
    <cellStyle name="Percent 3 3 5 3 3" xfId="40440" xr:uid="{00000000-0005-0000-0000-0000029E0000}"/>
    <cellStyle name="Percent 3 3 5 3 4" xfId="40441" xr:uid="{00000000-0005-0000-0000-0000039E0000}"/>
    <cellStyle name="Percent 3 3 5 3 5" xfId="40442" xr:uid="{00000000-0005-0000-0000-0000049E0000}"/>
    <cellStyle name="Percent 3 3 5 3 6" xfId="40443" xr:uid="{00000000-0005-0000-0000-0000059E0000}"/>
    <cellStyle name="Percent 3 3 5 4" xfId="40444" xr:uid="{00000000-0005-0000-0000-0000069E0000}"/>
    <cellStyle name="Percent 3 3 5 5" xfId="40445" xr:uid="{00000000-0005-0000-0000-0000079E0000}"/>
    <cellStyle name="Percent 3 3 5 6" xfId="40446" xr:uid="{00000000-0005-0000-0000-0000089E0000}"/>
    <cellStyle name="Percent 3 3 5 7" xfId="40447" xr:uid="{00000000-0005-0000-0000-0000099E0000}"/>
    <cellStyle name="Percent 3 3 5 8" xfId="40448" xr:uid="{00000000-0005-0000-0000-00000A9E0000}"/>
    <cellStyle name="Percent 3 3 6" xfId="40449" xr:uid="{00000000-0005-0000-0000-00000B9E0000}"/>
    <cellStyle name="Percent 3 3 6 2" xfId="40450" xr:uid="{00000000-0005-0000-0000-00000C9E0000}"/>
    <cellStyle name="Percent 3 3 6 3" xfId="40451" xr:uid="{00000000-0005-0000-0000-00000D9E0000}"/>
    <cellStyle name="Percent 3 3 6 4" xfId="40452" xr:uid="{00000000-0005-0000-0000-00000E9E0000}"/>
    <cellStyle name="Percent 3 3 6 5" xfId="40453" xr:uid="{00000000-0005-0000-0000-00000F9E0000}"/>
    <cellStyle name="Percent 3 3 6 6" xfId="40454" xr:uid="{00000000-0005-0000-0000-0000109E0000}"/>
    <cellStyle name="Percent 3 3 7" xfId="40455" xr:uid="{00000000-0005-0000-0000-0000119E0000}"/>
    <cellStyle name="Percent 3 3 7 2" xfId="40456" xr:uid="{00000000-0005-0000-0000-0000129E0000}"/>
    <cellStyle name="Percent 3 3 7 3" xfId="40457" xr:uid="{00000000-0005-0000-0000-0000139E0000}"/>
    <cellStyle name="Percent 3 3 7 4" xfId="40458" xr:uid="{00000000-0005-0000-0000-0000149E0000}"/>
    <cellStyle name="Percent 3 3 7 5" xfId="40459" xr:uid="{00000000-0005-0000-0000-0000159E0000}"/>
    <cellStyle name="Percent 3 3 7 6" xfId="40460" xr:uid="{00000000-0005-0000-0000-0000169E0000}"/>
    <cellStyle name="Percent 3 3 8" xfId="40461" xr:uid="{00000000-0005-0000-0000-0000179E0000}"/>
    <cellStyle name="Percent 3 3 9" xfId="40462" xr:uid="{00000000-0005-0000-0000-0000189E0000}"/>
    <cellStyle name="Percent 3 4" xfId="40463" xr:uid="{00000000-0005-0000-0000-0000199E0000}"/>
    <cellStyle name="Percent 3 4 2" xfId="40464" xr:uid="{00000000-0005-0000-0000-00001A9E0000}"/>
    <cellStyle name="Percent 3 5" xfId="40465" xr:uid="{00000000-0005-0000-0000-00001B9E0000}"/>
    <cellStyle name="Percent 3 5 10" xfId="40466" xr:uid="{00000000-0005-0000-0000-00001C9E0000}"/>
    <cellStyle name="Percent 3 5 11" xfId="40467" xr:uid="{00000000-0005-0000-0000-00001D9E0000}"/>
    <cellStyle name="Percent 3 5 2" xfId="40468" xr:uid="{00000000-0005-0000-0000-00001E9E0000}"/>
    <cellStyle name="Percent 3 5 2 2" xfId="40469" xr:uid="{00000000-0005-0000-0000-00001F9E0000}"/>
    <cellStyle name="Percent 3 5 2 2 2" xfId="40470" xr:uid="{00000000-0005-0000-0000-0000209E0000}"/>
    <cellStyle name="Percent 3 5 2 2 3" xfId="40471" xr:uid="{00000000-0005-0000-0000-0000219E0000}"/>
    <cellStyle name="Percent 3 5 2 2 4" xfId="40472" xr:uid="{00000000-0005-0000-0000-0000229E0000}"/>
    <cellStyle name="Percent 3 5 2 2 5" xfId="40473" xr:uid="{00000000-0005-0000-0000-0000239E0000}"/>
    <cellStyle name="Percent 3 5 2 2 6" xfId="40474" xr:uid="{00000000-0005-0000-0000-0000249E0000}"/>
    <cellStyle name="Percent 3 5 2 3" xfId="40475" xr:uid="{00000000-0005-0000-0000-0000259E0000}"/>
    <cellStyle name="Percent 3 5 2 3 2" xfId="40476" xr:uid="{00000000-0005-0000-0000-0000269E0000}"/>
    <cellStyle name="Percent 3 5 2 3 3" xfId="40477" xr:uid="{00000000-0005-0000-0000-0000279E0000}"/>
    <cellStyle name="Percent 3 5 2 3 4" xfId="40478" xr:uid="{00000000-0005-0000-0000-0000289E0000}"/>
    <cellStyle name="Percent 3 5 2 3 5" xfId="40479" xr:uid="{00000000-0005-0000-0000-0000299E0000}"/>
    <cellStyle name="Percent 3 5 2 3 6" xfId="40480" xr:uid="{00000000-0005-0000-0000-00002A9E0000}"/>
    <cellStyle name="Percent 3 5 2 4" xfId="40481" xr:uid="{00000000-0005-0000-0000-00002B9E0000}"/>
    <cellStyle name="Percent 3 5 2 5" xfId="40482" xr:uid="{00000000-0005-0000-0000-00002C9E0000}"/>
    <cellStyle name="Percent 3 5 2 6" xfId="40483" xr:uid="{00000000-0005-0000-0000-00002D9E0000}"/>
    <cellStyle name="Percent 3 5 2 7" xfId="40484" xr:uid="{00000000-0005-0000-0000-00002E9E0000}"/>
    <cellStyle name="Percent 3 5 2 8" xfId="40485" xr:uid="{00000000-0005-0000-0000-00002F9E0000}"/>
    <cellStyle name="Percent 3 5 3" xfId="40486" xr:uid="{00000000-0005-0000-0000-0000309E0000}"/>
    <cellStyle name="Percent 3 5 3 2" xfId="40487" xr:uid="{00000000-0005-0000-0000-0000319E0000}"/>
    <cellStyle name="Percent 3 5 3 2 2" xfId="40488" xr:uid="{00000000-0005-0000-0000-0000329E0000}"/>
    <cellStyle name="Percent 3 5 3 2 3" xfId="40489" xr:uid="{00000000-0005-0000-0000-0000339E0000}"/>
    <cellStyle name="Percent 3 5 3 2 4" xfId="40490" xr:uid="{00000000-0005-0000-0000-0000349E0000}"/>
    <cellStyle name="Percent 3 5 3 2 5" xfId="40491" xr:uid="{00000000-0005-0000-0000-0000359E0000}"/>
    <cellStyle name="Percent 3 5 3 2 6" xfId="40492" xr:uid="{00000000-0005-0000-0000-0000369E0000}"/>
    <cellStyle name="Percent 3 5 3 3" xfId="40493" xr:uid="{00000000-0005-0000-0000-0000379E0000}"/>
    <cellStyle name="Percent 3 5 3 3 2" xfId="40494" xr:uid="{00000000-0005-0000-0000-0000389E0000}"/>
    <cellStyle name="Percent 3 5 3 3 3" xfId="40495" xr:uid="{00000000-0005-0000-0000-0000399E0000}"/>
    <cellStyle name="Percent 3 5 3 3 4" xfId="40496" xr:uid="{00000000-0005-0000-0000-00003A9E0000}"/>
    <cellStyle name="Percent 3 5 3 3 5" xfId="40497" xr:uid="{00000000-0005-0000-0000-00003B9E0000}"/>
    <cellStyle name="Percent 3 5 3 3 6" xfId="40498" xr:uid="{00000000-0005-0000-0000-00003C9E0000}"/>
    <cellStyle name="Percent 3 5 3 4" xfId="40499" xr:uid="{00000000-0005-0000-0000-00003D9E0000}"/>
    <cellStyle name="Percent 3 5 3 5" xfId="40500" xr:uid="{00000000-0005-0000-0000-00003E9E0000}"/>
    <cellStyle name="Percent 3 5 3 6" xfId="40501" xr:uid="{00000000-0005-0000-0000-00003F9E0000}"/>
    <cellStyle name="Percent 3 5 3 7" xfId="40502" xr:uid="{00000000-0005-0000-0000-0000409E0000}"/>
    <cellStyle name="Percent 3 5 3 8" xfId="40503" xr:uid="{00000000-0005-0000-0000-0000419E0000}"/>
    <cellStyle name="Percent 3 5 4" xfId="40504" xr:uid="{00000000-0005-0000-0000-0000429E0000}"/>
    <cellStyle name="Percent 3 5 4 2" xfId="40505" xr:uid="{00000000-0005-0000-0000-0000439E0000}"/>
    <cellStyle name="Percent 3 5 4 2 2" xfId="40506" xr:uid="{00000000-0005-0000-0000-0000449E0000}"/>
    <cellStyle name="Percent 3 5 4 2 3" xfId="40507" xr:uid="{00000000-0005-0000-0000-0000459E0000}"/>
    <cellStyle name="Percent 3 5 4 2 4" xfId="40508" xr:uid="{00000000-0005-0000-0000-0000469E0000}"/>
    <cellStyle name="Percent 3 5 4 2 5" xfId="40509" xr:uid="{00000000-0005-0000-0000-0000479E0000}"/>
    <cellStyle name="Percent 3 5 4 2 6" xfId="40510" xr:uid="{00000000-0005-0000-0000-0000489E0000}"/>
    <cellStyle name="Percent 3 5 4 3" xfId="40511" xr:uid="{00000000-0005-0000-0000-0000499E0000}"/>
    <cellStyle name="Percent 3 5 4 3 2" xfId="40512" xr:uid="{00000000-0005-0000-0000-00004A9E0000}"/>
    <cellStyle name="Percent 3 5 4 3 3" xfId="40513" xr:uid="{00000000-0005-0000-0000-00004B9E0000}"/>
    <cellStyle name="Percent 3 5 4 3 4" xfId="40514" xr:uid="{00000000-0005-0000-0000-00004C9E0000}"/>
    <cellStyle name="Percent 3 5 4 3 5" xfId="40515" xr:uid="{00000000-0005-0000-0000-00004D9E0000}"/>
    <cellStyle name="Percent 3 5 4 3 6" xfId="40516" xr:uid="{00000000-0005-0000-0000-00004E9E0000}"/>
    <cellStyle name="Percent 3 5 4 4" xfId="40517" xr:uid="{00000000-0005-0000-0000-00004F9E0000}"/>
    <cellStyle name="Percent 3 5 4 5" xfId="40518" xr:uid="{00000000-0005-0000-0000-0000509E0000}"/>
    <cellStyle name="Percent 3 5 4 6" xfId="40519" xr:uid="{00000000-0005-0000-0000-0000519E0000}"/>
    <cellStyle name="Percent 3 5 4 7" xfId="40520" xr:uid="{00000000-0005-0000-0000-0000529E0000}"/>
    <cellStyle name="Percent 3 5 4 8" xfId="40521" xr:uid="{00000000-0005-0000-0000-0000539E0000}"/>
    <cellStyle name="Percent 3 5 5" xfId="40522" xr:uid="{00000000-0005-0000-0000-0000549E0000}"/>
    <cellStyle name="Percent 3 5 5 2" xfId="40523" xr:uid="{00000000-0005-0000-0000-0000559E0000}"/>
    <cellStyle name="Percent 3 5 5 3" xfId="40524" xr:uid="{00000000-0005-0000-0000-0000569E0000}"/>
    <cellStyle name="Percent 3 5 5 4" xfId="40525" xr:uid="{00000000-0005-0000-0000-0000579E0000}"/>
    <cellStyle name="Percent 3 5 5 5" xfId="40526" xr:uid="{00000000-0005-0000-0000-0000589E0000}"/>
    <cellStyle name="Percent 3 5 5 6" xfId="40527" xr:uid="{00000000-0005-0000-0000-0000599E0000}"/>
    <cellStyle name="Percent 3 5 6" xfId="40528" xr:uid="{00000000-0005-0000-0000-00005A9E0000}"/>
    <cellStyle name="Percent 3 5 6 2" xfId="40529" xr:uid="{00000000-0005-0000-0000-00005B9E0000}"/>
    <cellStyle name="Percent 3 5 6 3" xfId="40530" xr:uid="{00000000-0005-0000-0000-00005C9E0000}"/>
    <cellStyle name="Percent 3 5 6 4" xfId="40531" xr:uid="{00000000-0005-0000-0000-00005D9E0000}"/>
    <cellStyle name="Percent 3 5 6 5" xfId="40532" xr:uid="{00000000-0005-0000-0000-00005E9E0000}"/>
    <cellStyle name="Percent 3 5 6 6" xfId="40533" xr:uid="{00000000-0005-0000-0000-00005F9E0000}"/>
    <cellStyle name="Percent 3 5 7" xfId="40534" xr:uid="{00000000-0005-0000-0000-0000609E0000}"/>
    <cellStyle name="Percent 3 5 8" xfId="40535" xr:uid="{00000000-0005-0000-0000-0000619E0000}"/>
    <cellStyle name="Percent 3 5 9" xfId="40536" xr:uid="{00000000-0005-0000-0000-0000629E0000}"/>
    <cellStyle name="Percent 3 6" xfId="40537" xr:uid="{00000000-0005-0000-0000-0000639E0000}"/>
    <cellStyle name="Percent 3 6 2" xfId="40538" xr:uid="{00000000-0005-0000-0000-0000649E0000}"/>
    <cellStyle name="Percent 3 6 2 2" xfId="40539" xr:uid="{00000000-0005-0000-0000-0000659E0000}"/>
    <cellStyle name="Percent 3 6 2 3" xfId="40540" xr:uid="{00000000-0005-0000-0000-0000669E0000}"/>
    <cellStyle name="Percent 3 6 2 4" xfId="40541" xr:uid="{00000000-0005-0000-0000-0000679E0000}"/>
    <cellStyle name="Percent 3 6 2 5" xfId="40542" xr:uid="{00000000-0005-0000-0000-0000689E0000}"/>
    <cellStyle name="Percent 3 6 2 6" xfId="40543" xr:uid="{00000000-0005-0000-0000-0000699E0000}"/>
    <cellStyle name="Percent 3 6 3" xfId="40544" xr:uid="{00000000-0005-0000-0000-00006A9E0000}"/>
    <cellStyle name="Percent 3 6 3 2" xfId="40545" xr:uid="{00000000-0005-0000-0000-00006B9E0000}"/>
    <cellStyle name="Percent 3 6 3 3" xfId="40546" xr:uid="{00000000-0005-0000-0000-00006C9E0000}"/>
    <cellStyle name="Percent 3 6 3 4" xfId="40547" xr:uid="{00000000-0005-0000-0000-00006D9E0000}"/>
    <cellStyle name="Percent 3 6 3 5" xfId="40548" xr:uid="{00000000-0005-0000-0000-00006E9E0000}"/>
    <cellStyle name="Percent 3 6 3 6" xfId="40549" xr:uid="{00000000-0005-0000-0000-00006F9E0000}"/>
    <cellStyle name="Percent 3 6 4" xfId="40550" xr:uid="{00000000-0005-0000-0000-0000709E0000}"/>
    <cellStyle name="Percent 3 6 5" xfId="40551" xr:uid="{00000000-0005-0000-0000-0000719E0000}"/>
    <cellStyle name="Percent 3 6 6" xfId="40552" xr:uid="{00000000-0005-0000-0000-0000729E0000}"/>
    <cellStyle name="Percent 3 6 7" xfId="40553" xr:uid="{00000000-0005-0000-0000-0000739E0000}"/>
    <cellStyle name="Percent 3 6 8" xfId="40554" xr:uid="{00000000-0005-0000-0000-0000749E0000}"/>
    <cellStyle name="Percent 3 7" xfId="40555" xr:uid="{00000000-0005-0000-0000-0000759E0000}"/>
    <cellStyle name="Percent 3 7 2" xfId="40556" xr:uid="{00000000-0005-0000-0000-0000769E0000}"/>
    <cellStyle name="Percent 3 7 2 2" xfId="40557" xr:uid="{00000000-0005-0000-0000-0000779E0000}"/>
    <cellStyle name="Percent 3 7 2 3" xfId="40558" xr:uid="{00000000-0005-0000-0000-0000789E0000}"/>
    <cellStyle name="Percent 3 7 2 4" xfId="40559" xr:uid="{00000000-0005-0000-0000-0000799E0000}"/>
    <cellStyle name="Percent 3 7 2 5" xfId="40560" xr:uid="{00000000-0005-0000-0000-00007A9E0000}"/>
    <cellStyle name="Percent 3 7 2 6" xfId="40561" xr:uid="{00000000-0005-0000-0000-00007B9E0000}"/>
    <cellStyle name="Percent 3 7 3" xfId="40562" xr:uid="{00000000-0005-0000-0000-00007C9E0000}"/>
    <cellStyle name="Percent 3 7 3 2" xfId="40563" xr:uid="{00000000-0005-0000-0000-00007D9E0000}"/>
    <cellStyle name="Percent 3 7 3 3" xfId="40564" xr:uid="{00000000-0005-0000-0000-00007E9E0000}"/>
    <cellStyle name="Percent 3 7 3 4" xfId="40565" xr:uid="{00000000-0005-0000-0000-00007F9E0000}"/>
    <cellStyle name="Percent 3 7 3 5" xfId="40566" xr:uid="{00000000-0005-0000-0000-0000809E0000}"/>
    <cellStyle name="Percent 3 7 3 6" xfId="40567" xr:uid="{00000000-0005-0000-0000-0000819E0000}"/>
    <cellStyle name="Percent 3 7 4" xfId="40568" xr:uid="{00000000-0005-0000-0000-0000829E0000}"/>
    <cellStyle name="Percent 3 7 5" xfId="40569" xr:uid="{00000000-0005-0000-0000-0000839E0000}"/>
    <cellStyle name="Percent 3 7 6" xfId="40570" xr:uid="{00000000-0005-0000-0000-0000849E0000}"/>
    <cellStyle name="Percent 3 7 7" xfId="40571" xr:uid="{00000000-0005-0000-0000-0000859E0000}"/>
    <cellStyle name="Percent 3 7 8" xfId="40572" xr:uid="{00000000-0005-0000-0000-0000869E0000}"/>
    <cellStyle name="Percent 3 8" xfId="40573" xr:uid="{00000000-0005-0000-0000-0000879E0000}"/>
    <cellStyle name="Percent 3 8 2" xfId="40574" xr:uid="{00000000-0005-0000-0000-0000889E0000}"/>
    <cellStyle name="Percent 3 8 2 2" xfId="40575" xr:uid="{00000000-0005-0000-0000-0000899E0000}"/>
    <cellStyle name="Percent 3 8 2 3" xfId="40576" xr:uid="{00000000-0005-0000-0000-00008A9E0000}"/>
    <cellStyle name="Percent 3 8 2 4" xfId="40577" xr:uid="{00000000-0005-0000-0000-00008B9E0000}"/>
    <cellStyle name="Percent 3 8 2 5" xfId="40578" xr:uid="{00000000-0005-0000-0000-00008C9E0000}"/>
    <cellStyle name="Percent 3 8 2 6" xfId="40579" xr:uid="{00000000-0005-0000-0000-00008D9E0000}"/>
    <cellStyle name="Percent 3 8 3" xfId="40580" xr:uid="{00000000-0005-0000-0000-00008E9E0000}"/>
    <cellStyle name="Percent 3 8 3 2" xfId="40581" xr:uid="{00000000-0005-0000-0000-00008F9E0000}"/>
    <cellStyle name="Percent 3 8 3 3" xfId="40582" xr:uid="{00000000-0005-0000-0000-0000909E0000}"/>
    <cellStyle name="Percent 3 8 3 4" xfId="40583" xr:uid="{00000000-0005-0000-0000-0000919E0000}"/>
    <cellStyle name="Percent 3 8 3 5" xfId="40584" xr:uid="{00000000-0005-0000-0000-0000929E0000}"/>
    <cellStyle name="Percent 3 8 3 6" xfId="40585" xr:uid="{00000000-0005-0000-0000-0000939E0000}"/>
    <cellStyle name="Percent 3 8 4" xfId="40586" xr:uid="{00000000-0005-0000-0000-0000949E0000}"/>
    <cellStyle name="Percent 3 8 5" xfId="40587" xr:uid="{00000000-0005-0000-0000-0000959E0000}"/>
    <cellStyle name="Percent 3 8 6" xfId="40588" xr:uid="{00000000-0005-0000-0000-0000969E0000}"/>
    <cellStyle name="Percent 3 8 7" xfId="40589" xr:uid="{00000000-0005-0000-0000-0000979E0000}"/>
    <cellStyle name="Percent 3 8 8" xfId="40590" xr:uid="{00000000-0005-0000-0000-0000989E0000}"/>
    <cellStyle name="Percent 3 9" xfId="40591" xr:uid="{00000000-0005-0000-0000-0000999E0000}"/>
    <cellStyle name="Percent 3 9 2" xfId="40592" xr:uid="{00000000-0005-0000-0000-00009A9E0000}"/>
    <cellStyle name="Percent 3 9 3" xfId="40593" xr:uid="{00000000-0005-0000-0000-00009B9E0000}"/>
    <cellStyle name="Percent 3 9 4" xfId="40594" xr:uid="{00000000-0005-0000-0000-00009C9E0000}"/>
    <cellStyle name="Percent 3 9 5" xfId="40595" xr:uid="{00000000-0005-0000-0000-00009D9E0000}"/>
    <cellStyle name="Percent 3 9 6" xfId="40596" xr:uid="{00000000-0005-0000-0000-00009E9E0000}"/>
    <cellStyle name="Percent 4" xfId="40597" xr:uid="{00000000-0005-0000-0000-00009F9E0000}"/>
    <cellStyle name="Percent 4 2" xfId="40598" xr:uid="{00000000-0005-0000-0000-0000A09E0000}"/>
    <cellStyle name="Percent 4 2 2" xfId="40599" xr:uid="{00000000-0005-0000-0000-0000A19E0000}"/>
    <cellStyle name="Percent 5" xfId="40600" xr:uid="{00000000-0005-0000-0000-0000A29E0000}"/>
    <cellStyle name="Percent 5 10" xfId="40601" xr:uid="{00000000-0005-0000-0000-0000A39E0000}"/>
    <cellStyle name="Percent 5 11" xfId="40602" xr:uid="{00000000-0005-0000-0000-0000A49E0000}"/>
    <cellStyle name="Percent 5 12" xfId="40603" xr:uid="{00000000-0005-0000-0000-0000A59E0000}"/>
    <cellStyle name="Percent 5 13" xfId="40604" xr:uid="{00000000-0005-0000-0000-0000A69E0000}"/>
    <cellStyle name="Percent 5 14" xfId="40605" xr:uid="{00000000-0005-0000-0000-0000A79E0000}"/>
    <cellStyle name="Percent 5 2" xfId="40606" xr:uid="{00000000-0005-0000-0000-0000A89E0000}"/>
    <cellStyle name="Percent 5 2 10" xfId="40607" xr:uid="{00000000-0005-0000-0000-0000A99E0000}"/>
    <cellStyle name="Percent 5 2 11" xfId="40608" xr:uid="{00000000-0005-0000-0000-0000AA9E0000}"/>
    <cellStyle name="Percent 5 2 12" xfId="40609" xr:uid="{00000000-0005-0000-0000-0000AB9E0000}"/>
    <cellStyle name="Percent 5 2 2" xfId="40610" xr:uid="{00000000-0005-0000-0000-0000AC9E0000}"/>
    <cellStyle name="Percent 5 2 3" xfId="40611" xr:uid="{00000000-0005-0000-0000-0000AD9E0000}"/>
    <cellStyle name="Percent 5 2 3 2" xfId="40612" xr:uid="{00000000-0005-0000-0000-0000AE9E0000}"/>
    <cellStyle name="Percent 5 2 3 2 2" xfId="40613" xr:uid="{00000000-0005-0000-0000-0000AF9E0000}"/>
    <cellStyle name="Percent 5 2 3 2 3" xfId="40614" xr:uid="{00000000-0005-0000-0000-0000B09E0000}"/>
    <cellStyle name="Percent 5 2 3 2 4" xfId="40615" xr:uid="{00000000-0005-0000-0000-0000B19E0000}"/>
    <cellStyle name="Percent 5 2 3 2 5" xfId="40616" xr:uid="{00000000-0005-0000-0000-0000B29E0000}"/>
    <cellStyle name="Percent 5 2 3 2 6" xfId="40617" xr:uid="{00000000-0005-0000-0000-0000B39E0000}"/>
    <cellStyle name="Percent 5 2 3 3" xfId="40618" xr:uid="{00000000-0005-0000-0000-0000B49E0000}"/>
    <cellStyle name="Percent 5 2 3 3 2" xfId="40619" xr:uid="{00000000-0005-0000-0000-0000B59E0000}"/>
    <cellStyle name="Percent 5 2 3 3 3" xfId="40620" xr:uid="{00000000-0005-0000-0000-0000B69E0000}"/>
    <cellStyle name="Percent 5 2 3 3 4" xfId="40621" xr:uid="{00000000-0005-0000-0000-0000B79E0000}"/>
    <cellStyle name="Percent 5 2 3 3 5" xfId="40622" xr:uid="{00000000-0005-0000-0000-0000B89E0000}"/>
    <cellStyle name="Percent 5 2 3 3 6" xfId="40623" xr:uid="{00000000-0005-0000-0000-0000B99E0000}"/>
    <cellStyle name="Percent 5 2 3 4" xfId="40624" xr:uid="{00000000-0005-0000-0000-0000BA9E0000}"/>
    <cellStyle name="Percent 5 2 3 5" xfId="40625" xr:uid="{00000000-0005-0000-0000-0000BB9E0000}"/>
    <cellStyle name="Percent 5 2 3 6" xfId="40626" xr:uid="{00000000-0005-0000-0000-0000BC9E0000}"/>
    <cellStyle name="Percent 5 2 3 7" xfId="40627" xr:uid="{00000000-0005-0000-0000-0000BD9E0000}"/>
    <cellStyle name="Percent 5 2 3 8" xfId="40628" xr:uid="{00000000-0005-0000-0000-0000BE9E0000}"/>
    <cellStyle name="Percent 5 2 4" xfId="40629" xr:uid="{00000000-0005-0000-0000-0000BF9E0000}"/>
    <cellStyle name="Percent 5 2 4 2" xfId="40630" xr:uid="{00000000-0005-0000-0000-0000C09E0000}"/>
    <cellStyle name="Percent 5 2 4 2 2" xfId="40631" xr:uid="{00000000-0005-0000-0000-0000C19E0000}"/>
    <cellStyle name="Percent 5 2 4 2 3" xfId="40632" xr:uid="{00000000-0005-0000-0000-0000C29E0000}"/>
    <cellStyle name="Percent 5 2 4 2 4" xfId="40633" xr:uid="{00000000-0005-0000-0000-0000C39E0000}"/>
    <cellStyle name="Percent 5 2 4 2 5" xfId="40634" xr:uid="{00000000-0005-0000-0000-0000C49E0000}"/>
    <cellStyle name="Percent 5 2 4 2 6" xfId="40635" xr:uid="{00000000-0005-0000-0000-0000C59E0000}"/>
    <cellStyle name="Percent 5 2 4 3" xfId="40636" xr:uid="{00000000-0005-0000-0000-0000C69E0000}"/>
    <cellStyle name="Percent 5 2 4 3 2" xfId="40637" xr:uid="{00000000-0005-0000-0000-0000C79E0000}"/>
    <cellStyle name="Percent 5 2 4 3 3" xfId="40638" xr:uid="{00000000-0005-0000-0000-0000C89E0000}"/>
    <cellStyle name="Percent 5 2 4 3 4" xfId="40639" xr:uid="{00000000-0005-0000-0000-0000C99E0000}"/>
    <cellStyle name="Percent 5 2 4 3 5" xfId="40640" xr:uid="{00000000-0005-0000-0000-0000CA9E0000}"/>
    <cellStyle name="Percent 5 2 4 3 6" xfId="40641" xr:uid="{00000000-0005-0000-0000-0000CB9E0000}"/>
    <cellStyle name="Percent 5 2 4 4" xfId="40642" xr:uid="{00000000-0005-0000-0000-0000CC9E0000}"/>
    <cellStyle name="Percent 5 2 4 5" xfId="40643" xr:uid="{00000000-0005-0000-0000-0000CD9E0000}"/>
    <cellStyle name="Percent 5 2 4 6" xfId="40644" xr:uid="{00000000-0005-0000-0000-0000CE9E0000}"/>
    <cellStyle name="Percent 5 2 4 7" xfId="40645" xr:uid="{00000000-0005-0000-0000-0000CF9E0000}"/>
    <cellStyle name="Percent 5 2 4 8" xfId="40646" xr:uid="{00000000-0005-0000-0000-0000D09E0000}"/>
    <cellStyle name="Percent 5 2 5" xfId="40647" xr:uid="{00000000-0005-0000-0000-0000D19E0000}"/>
    <cellStyle name="Percent 5 2 5 2" xfId="40648" xr:uid="{00000000-0005-0000-0000-0000D29E0000}"/>
    <cellStyle name="Percent 5 2 5 2 2" xfId="40649" xr:uid="{00000000-0005-0000-0000-0000D39E0000}"/>
    <cellStyle name="Percent 5 2 5 2 3" xfId="40650" xr:uid="{00000000-0005-0000-0000-0000D49E0000}"/>
    <cellStyle name="Percent 5 2 5 2 4" xfId="40651" xr:uid="{00000000-0005-0000-0000-0000D59E0000}"/>
    <cellStyle name="Percent 5 2 5 2 5" xfId="40652" xr:uid="{00000000-0005-0000-0000-0000D69E0000}"/>
    <cellStyle name="Percent 5 2 5 2 6" xfId="40653" xr:uid="{00000000-0005-0000-0000-0000D79E0000}"/>
    <cellStyle name="Percent 5 2 5 3" xfId="40654" xr:uid="{00000000-0005-0000-0000-0000D89E0000}"/>
    <cellStyle name="Percent 5 2 5 3 2" xfId="40655" xr:uid="{00000000-0005-0000-0000-0000D99E0000}"/>
    <cellStyle name="Percent 5 2 5 3 3" xfId="40656" xr:uid="{00000000-0005-0000-0000-0000DA9E0000}"/>
    <cellStyle name="Percent 5 2 5 3 4" xfId="40657" xr:uid="{00000000-0005-0000-0000-0000DB9E0000}"/>
    <cellStyle name="Percent 5 2 5 3 5" xfId="40658" xr:uid="{00000000-0005-0000-0000-0000DC9E0000}"/>
    <cellStyle name="Percent 5 2 5 3 6" xfId="40659" xr:uid="{00000000-0005-0000-0000-0000DD9E0000}"/>
    <cellStyle name="Percent 5 2 5 4" xfId="40660" xr:uid="{00000000-0005-0000-0000-0000DE9E0000}"/>
    <cellStyle name="Percent 5 2 5 5" xfId="40661" xr:uid="{00000000-0005-0000-0000-0000DF9E0000}"/>
    <cellStyle name="Percent 5 2 5 6" xfId="40662" xr:uid="{00000000-0005-0000-0000-0000E09E0000}"/>
    <cellStyle name="Percent 5 2 5 7" xfId="40663" xr:uid="{00000000-0005-0000-0000-0000E19E0000}"/>
    <cellStyle name="Percent 5 2 5 8" xfId="40664" xr:uid="{00000000-0005-0000-0000-0000E29E0000}"/>
    <cellStyle name="Percent 5 2 6" xfId="40665" xr:uid="{00000000-0005-0000-0000-0000E39E0000}"/>
    <cellStyle name="Percent 5 2 6 2" xfId="40666" xr:uid="{00000000-0005-0000-0000-0000E49E0000}"/>
    <cellStyle name="Percent 5 2 6 3" xfId="40667" xr:uid="{00000000-0005-0000-0000-0000E59E0000}"/>
    <cellStyle name="Percent 5 2 6 4" xfId="40668" xr:uid="{00000000-0005-0000-0000-0000E69E0000}"/>
    <cellStyle name="Percent 5 2 6 5" xfId="40669" xr:uid="{00000000-0005-0000-0000-0000E79E0000}"/>
    <cellStyle name="Percent 5 2 6 6" xfId="40670" xr:uid="{00000000-0005-0000-0000-0000E89E0000}"/>
    <cellStyle name="Percent 5 2 7" xfId="40671" xr:uid="{00000000-0005-0000-0000-0000E99E0000}"/>
    <cellStyle name="Percent 5 2 7 2" xfId="40672" xr:uid="{00000000-0005-0000-0000-0000EA9E0000}"/>
    <cellStyle name="Percent 5 2 7 3" xfId="40673" xr:uid="{00000000-0005-0000-0000-0000EB9E0000}"/>
    <cellStyle name="Percent 5 2 7 4" xfId="40674" xr:uid="{00000000-0005-0000-0000-0000EC9E0000}"/>
    <cellStyle name="Percent 5 2 7 5" xfId="40675" xr:uid="{00000000-0005-0000-0000-0000ED9E0000}"/>
    <cellStyle name="Percent 5 2 7 6" xfId="40676" xr:uid="{00000000-0005-0000-0000-0000EE9E0000}"/>
    <cellStyle name="Percent 5 2 8" xfId="40677" xr:uid="{00000000-0005-0000-0000-0000EF9E0000}"/>
    <cellStyle name="Percent 5 2 9" xfId="40678" xr:uid="{00000000-0005-0000-0000-0000F09E0000}"/>
    <cellStyle name="Percent 5 3" xfId="40679" xr:uid="{00000000-0005-0000-0000-0000F19E0000}"/>
    <cellStyle name="Percent 5 3 10" xfId="40680" xr:uid="{00000000-0005-0000-0000-0000F29E0000}"/>
    <cellStyle name="Percent 5 3 11" xfId="40681" xr:uid="{00000000-0005-0000-0000-0000F39E0000}"/>
    <cellStyle name="Percent 5 3 2" xfId="40682" xr:uid="{00000000-0005-0000-0000-0000F49E0000}"/>
    <cellStyle name="Percent 5 3 2 2" xfId="40683" xr:uid="{00000000-0005-0000-0000-0000F59E0000}"/>
    <cellStyle name="Percent 5 3 2 2 2" xfId="40684" xr:uid="{00000000-0005-0000-0000-0000F69E0000}"/>
    <cellStyle name="Percent 5 3 2 2 3" xfId="40685" xr:uid="{00000000-0005-0000-0000-0000F79E0000}"/>
    <cellStyle name="Percent 5 3 2 2 4" xfId="40686" xr:uid="{00000000-0005-0000-0000-0000F89E0000}"/>
    <cellStyle name="Percent 5 3 2 2 5" xfId="40687" xr:uid="{00000000-0005-0000-0000-0000F99E0000}"/>
    <cellStyle name="Percent 5 3 2 2 6" xfId="40688" xr:uid="{00000000-0005-0000-0000-0000FA9E0000}"/>
    <cellStyle name="Percent 5 3 2 3" xfId="40689" xr:uid="{00000000-0005-0000-0000-0000FB9E0000}"/>
    <cellStyle name="Percent 5 3 2 3 2" xfId="40690" xr:uid="{00000000-0005-0000-0000-0000FC9E0000}"/>
    <cellStyle name="Percent 5 3 2 3 3" xfId="40691" xr:uid="{00000000-0005-0000-0000-0000FD9E0000}"/>
    <cellStyle name="Percent 5 3 2 3 4" xfId="40692" xr:uid="{00000000-0005-0000-0000-0000FE9E0000}"/>
    <cellStyle name="Percent 5 3 2 3 5" xfId="40693" xr:uid="{00000000-0005-0000-0000-0000FF9E0000}"/>
    <cellStyle name="Percent 5 3 2 3 6" xfId="40694" xr:uid="{00000000-0005-0000-0000-0000009F0000}"/>
    <cellStyle name="Percent 5 3 2 4" xfId="40695" xr:uid="{00000000-0005-0000-0000-0000019F0000}"/>
    <cellStyle name="Percent 5 3 2 5" xfId="40696" xr:uid="{00000000-0005-0000-0000-0000029F0000}"/>
    <cellStyle name="Percent 5 3 2 6" xfId="40697" xr:uid="{00000000-0005-0000-0000-0000039F0000}"/>
    <cellStyle name="Percent 5 3 2 7" xfId="40698" xr:uid="{00000000-0005-0000-0000-0000049F0000}"/>
    <cellStyle name="Percent 5 3 2 8" xfId="40699" xr:uid="{00000000-0005-0000-0000-0000059F0000}"/>
    <cellStyle name="Percent 5 3 3" xfId="40700" xr:uid="{00000000-0005-0000-0000-0000069F0000}"/>
    <cellStyle name="Percent 5 3 3 2" xfId="40701" xr:uid="{00000000-0005-0000-0000-0000079F0000}"/>
    <cellStyle name="Percent 5 3 3 2 2" xfId="40702" xr:uid="{00000000-0005-0000-0000-0000089F0000}"/>
    <cellStyle name="Percent 5 3 3 2 3" xfId="40703" xr:uid="{00000000-0005-0000-0000-0000099F0000}"/>
    <cellStyle name="Percent 5 3 3 2 4" xfId="40704" xr:uid="{00000000-0005-0000-0000-00000A9F0000}"/>
    <cellStyle name="Percent 5 3 3 2 5" xfId="40705" xr:uid="{00000000-0005-0000-0000-00000B9F0000}"/>
    <cellStyle name="Percent 5 3 3 2 6" xfId="40706" xr:uid="{00000000-0005-0000-0000-00000C9F0000}"/>
    <cellStyle name="Percent 5 3 3 3" xfId="40707" xr:uid="{00000000-0005-0000-0000-00000D9F0000}"/>
    <cellStyle name="Percent 5 3 3 3 2" xfId="40708" xr:uid="{00000000-0005-0000-0000-00000E9F0000}"/>
    <cellStyle name="Percent 5 3 3 3 3" xfId="40709" xr:uid="{00000000-0005-0000-0000-00000F9F0000}"/>
    <cellStyle name="Percent 5 3 3 3 4" xfId="40710" xr:uid="{00000000-0005-0000-0000-0000109F0000}"/>
    <cellStyle name="Percent 5 3 3 3 5" xfId="40711" xr:uid="{00000000-0005-0000-0000-0000119F0000}"/>
    <cellStyle name="Percent 5 3 3 3 6" xfId="40712" xr:uid="{00000000-0005-0000-0000-0000129F0000}"/>
    <cellStyle name="Percent 5 3 3 4" xfId="40713" xr:uid="{00000000-0005-0000-0000-0000139F0000}"/>
    <cellStyle name="Percent 5 3 3 5" xfId="40714" xr:uid="{00000000-0005-0000-0000-0000149F0000}"/>
    <cellStyle name="Percent 5 3 3 6" xfId="40715" xr:uid="{00000000-0005-0000-0000-0000159F0000}"/>
    <cellStyle name="Percent 5 3 3 7" xfId="40716" xr:uid="{00000000-0005-0000-0000-0000169F0000}"/>
    <cellStyle name="Percent 5 3 3 8" xfId="40717" xr:uid="{00000000-0005-0000-0000-0000179F0000}"/>
    <cellStyle name="Percent 5 3 4" xfId="40718" xr:uid="{00000000-0005-0000-0000-0000189F0000}"/>
    <cellStyle name="Percent 5 3 4 2" xfId="40719" xr:uid="{00000000-0005-0000-0000-0000199F0000}"/>
    <cellStyle name="Percent 5 3 4 2 2" xfId="40720" xr:uid="{00000000-0005-0000-0000-00001A9F0000}"/>
    <cellStyle name="Percent 5 3 4 2 3" xfId="40721" xr:uid="{00000000-0005-0000-0000-00001B9F0000}"/>
    <cellStyle name="Percent 5 3 4 2 4" xfId="40722" xr:uid="{00000000-0005-0000-0000-00001C9F0000}"/>
    <cellStyle name="Percent 5 3 4 2 5" xfId="40723" xr:uid="{00000000-0005-0000-0000-00001D9F0000}"/>
    <cellStyle name="Percent 5 3 4 2 6" xfId="40724" xr:uid="{00000000-0005-0000-0000-00001E9F0000}"/>
    <cellStyle name="Percent 5 3 4 3" xfId="40725" xr:uid="{00000000-0005-0000-0000-00001F9F0000}"/>
    <cellStyle name="Percent 5 3 4 3 2" xfId="40726" xr:uid="{00000000-0005-0000-0000-0000209F0000}"/>
    <cellStyle name="Percent 5 3 4 3 3" xfId="40727" xr:uid="{00000000-0005-0000-0000-0000219F0000}"/>
    <cellStyle name="Percent 5 3 4 3 4" xfId="40728" xr:uid="{00000000-0005-0000-0000-0000229F0000}"/>
    <cellStyle name="Percent 5 3 4 3 5" xfId="40729" xr:uid="{00000000-0005-0000-0000-0000239F0000}"/>
    <cellStyle name="Percent 5 3 4 3 6" xfId="40730" xr:uid="{00000000-0005-0000-0000-0000249F0000}"/>
    <cellStyle name="Percent 5 3 4 4" xfId="40731" xr:uid="{00000000-0005-0000-0000-0000259F0000}"/>
    <cellStyle name="Percent 5 3 4 5" xfId="40732" xr:uid="{00000000-0005-0000-0000-0000269F0000}"/>
    <cellStyle name="Percent 5 3 4 6" xfId="40733" xr:uid="{00000000-0005-0000-0000-0000279F0000}"/>
    <cellStyle name="Percent 5 3 4 7" xfId="40734" xr:uid="{00000000-0005-0000-0000-0000289F0000}"/>
    <cellStyle name="Percent 5 3 4 8" xfId="40735" xr:uid="{00000000-0005-0000-0000-0000299F0000}"/>
    <cellStyle name="Percent 5 3 5" xfId="40736" xr:uid="{00000000-0005-0000-0000-00002A9F0000}"/>
    <cellStyle name="Percent 5 3 5 2" xfId="40737" xr:uid="{00000000-0005-0000-0000-00002B9F0000}"/>
    <cellStyle name="Percent 5 3 5 3" xfId="40738" xr:uid="{00000000-0005-0000-0000-00002C9F0000}"/>
    <cellStyle name="Percent 5 3 5 4" xfId="40739" xr:uid="{00000000-0005-0000-0000-00002D9F0000}"/>
    <cellStyle name="Percent 5 3 5 5" xfId="40740" xr:uid="{00000000-0005-0000-0000-00002E9F0000}"/>
    <cellStyle name="Percent 5 3 5 6" xfId="40741" xr:uid="{00000000-0005-0000-0000-00002F9F0000}"/>
    <cellStyle name="Percent 5 3 6" xfId="40742" xr:uid="{00000000-0005-0000-0000-0000309F0000}"/>
    <cellStyle name="Percent 5 3 6 2" xfId="40743" xr:uid="{00000000-0005-0000-0000-0000319F0000}"/>
    <cellStyle name="Percent 5 3 6 3" xfId="40744" xr:uid="{00000000-0005-0000-0000-0000329F0000}"/>
    <cellStyle name="Percent 5 3 6 4" xfId="40745" xr:uid="{00000000-0005-0000-0000-0000339F0000}"/>
    <cellStyle name="Percent 5 3 6 5" xfId="40746" xr:uid="{00000000-0005-0000-0000-0000349F0000}"/>
    <cellStyle name="Percent 5 3 6 6" xfId="40747" xr:uid="{00000000-0005-0000-0000-0000359F0000}"/>
    <cellStyle name="Percent 5 3 7" xfId="40748" xr:uid="{00000000-0005-0000-0000-0000369F0000}"/>
    <cellStyle name="Percent 5 3 8" xfId="40749" xr:uid="{00000000-0005-0000-0000-0000379F0000}"/>
    <cellStyle name="Percent 5 3 9" xfId="40750" xr:uid="{00000000-0005-0000-0000-0000389F0000}"/>
    <cellStyle name="Percent 5 4" xfId="40751" xr:uid="{00000000-0005-0000-0000-0000399F0000}"/>
    <cellStyle name="Percent 5 5" xfId="40752" xr:uid="{00000000-0005-0000-0000-00003A9F0000}"/>
    <cellStyle name="Percent 5 5 2" xfId="40753" xr:uid="{00000000-0005-0000-0000-00003B9F0000}"/>
    <cellStyle name="Percent 5 5 2 2" xfId="40754" xr:uid="{00000000-0005-0000-0000-00003C9F0000}"/>
    <cellStyle name="Percent 5 5 2 3" xfId="40755" xr:uid="{00000000-0005-0000-0000-00003D9F0000}"/>
    <cellStyle name="Percent 5 5 2 4" xfId="40756" xr:uid="{00000000-0005-0000-0000-00003E9F0000}"/>
    <cellStyle name="Percent 5 5 2 5" xfId="40757" xr:uid="{00000000-0005-0000-0000-00003F9F0000}"/>
    <cellStyle name="Percent 5 5 2 6" xfId="40758" xr:uid="{00000000-0005-0000-0000-0000409F0000}"/>
    <cellStyle name="Percent 5 5 3" xfId="40759" xr:uid="{00000000-0005-0000-0000-0000419F0000}"/>
    <cellStyle name="Percent 5 5 3 2" xfId="40760" xr:uid="{00000000-0005-0000-0000-0000429F0000}"/>
    <cellStyle name="Percent 5 5 3 3" xfId="40761" xr:uid="{00000000-0005-0000-0000-0000439F0000}"/>
    <cellStyle name="Percent 5 5 3 4" xfId="40762" xr:uid="{00000000-0005-0000-0000-0000449F0000}"/>
    <cellStyle name="Percent 5 5 3 5" xfId="40763" xr:uid="{00000000-0005-0000-0000-0000459F0000}"/>
    <cellStyle name="Percent 5 5 3 6" xfId="40764" xr:uid="{00000000-0005-0000-0000-0000469F0000}"/>
    <cellStyle name="Percent 5 5 4" xfId="40765" xr:uid="{00000000-0005-0000-0000-0000479F0000}"/>
    <cellStyle name="Percent 5 5 5" xfId="40766" xr:uid="{00000000-0005-0000-0000-0000489F0000}"/>
    <cellStyle name="Percent 5 5 6" xfId="40767" xr:uid="{00000000-0005-0000-0000-0000499F0000}"/>
    <cellStyle name="Percent 5 5 7" xfId="40768" xr:uid="{00000000-0005-0000-0000-00004A9F0000}"/>
    <cellStyle name="Percent 5 5 8" xfId="40769" xr:uid="{00000000-0005-0000-0000-00004B9F0000}"/>
    <cellStyle name="Percent 5 6" xfId="40770" xr:uid="{00000000-0005-0000-0000-00004C9F0000}"/>
    <cellStyle name="Percent 5 6 2" xfId="40771" xr:uid="{00000000-0005-0000-0000-00004D9F0000}"/>
    <cellStyle name="Percent 5 6 2 2" xfId="40772" xr:uid="{00000000-0005-0000-0000-00004E9F0000}"/>
    <cellStyle name="Percent 5 6 2 3" xfId="40773" xr:uid="{00000000-0005-0000-0000-00004F9F0000}"/>
    <cellStyle name="Percent 5 6 2 4" xfId="40774" xr:uid="{00000000-0005-0000-0000-0000509F0000}"/>
    <cellStyle name="Percent 5 6 2 5" xfId="40775" xr:uid="{00000000-0005-0000-0000-0000519F0000}"/>
    <cellStyle name="Percent 5 6 2 6" xfId="40776" xr:uid="{00000000-0005-0000-0000-0000529F0000}"/>
    <cellStyle name="Percent 5 6 3" xfId="40777" xr:uid="{00000000-0005-0000-0000-0000539F0000}"/>
    <cellStyle name="Percent 5 6 3 2" xfId="40778" xr:uid="{00000000-0005-0000-0000-0000549F0000}"/>
    <cellStyle name="Percent 5 6 3 3" xfId="40779" xr:uid="{00000000-0005-0000-0000-0000559F0000}"/>
    <cellStyle name="Percent 5 6 3 4" xfId="40780" xr:uid="{00000000-0005-0000-0000-0000569F0000}"/>
    <cellStyle name="Percent 5 6 3 5" xfId="40781" xr:uid="{00000000-0005-0000-0000-0000579F0000}"/>
    <cellStyle name="Percent 5 6 3 6" xfId="40782" xr:uid="{00000000-0005-0000-0000-0000589F0000}"/>
    <cellStyle name="Percent 5 6 4" xfId="40783" xr:uid="{00000000-0005-0000-0000-0000599F0000}"/>
    <cellStyle name="Percent 5 6 5" xfId="40784" xr:uid="{00000000-0005-0000-0000-00005A9F0000}"/>
    <cellStyle name="Percent 5 6 6" xfId="40785" xr:uid="{00000000-0005-0000-0000-00005B9F0000}"/>
    <cellStyle name="Percent 5 6 7" xfId="40786" xr:uid="{00000000-0005-0000-0000-00005C9F0000}"/>
    <cellStyle name="Percent 5 6 8" xfId="40787" xr:uid="{00000000-0005-0000-0000-00005D9F0000}"/>
    <cellStyle name="Percent 5 7" xfId="40788" xr:uid="{00000000-0005-0000-0000-00005E9F0000}"/>
    <cellStyle name="Percent 5 7 2" xfId="40789" xr:uid="{00000000-0005-0000-0000-00005F9F0000}"/>
    <cellStyle name="Percent 5 7 2 2" xfId="40790" xr:uid="{00000000-0005-0000-0000-0000609F0000}"/>
    <cellStyle name="Percent 5 7 2 3" xfId="40791" xr:uid="{00000000-0005-0000-0000-0000619F0000}"/>
    <cellStyle name="Percent 5 7 2 4" xfId="40792" xr:uid="{00000000-0005-0000-0000-0000629F0000}"/>
    <cellStyle name="Percent 5 7 2 5" xfId="40793" xr:uid="{00000000-0005-0000-0000-0000639F0000}"/>
    <cellStyle name="Percent 5 7 2 6" xfId="40794" xr:uid="{00000000-0005-0000-0000-0000649F0000}"/>
    <cellStyle name="Percent 5 7 3" xfId="40795" xr:uid="{00000000-0005-0000-0000-0000659F0000}"/>
    <cellStyle name="Percent 5 7 3 2" xfId="40796" xr:uid="{00000000-0005-0000-0000-0000669F0000}"/>
    <cellStyle name="Percent 5 7 3 3" xfId="40797" xr:uid="{00000000-0005-0000-0000-0000679F0000}"/>
    <cellStyle name="Percent 5 7 3 4" xfId="40798" xr:uid="{00000000-0005-0000-0000-0000689F0000}"/>
    <cellStyle name="Percent 5 7 3 5" xfId="40799" xr:uid="{00000000-0005-0000-0000-0000699F0000}"/>
    <cellStyle name="Percent 5 7 3 6" xfId="40800" xr:uid="{00000000-0005-0000-0000-00006A9F0000}"/>
    <cellStyle name="Percent 5 7 4" xfId="40801" xr:uid="{00000000-0005-0000-0000-00006B9F0000}"/>
    <cellStyle name="Percent 5 7 5" xfId="40802" xr:uid="{00000000-0005-0000-0000-00006C9F0000}"/>
    <cellStyle name="Percent 5 7 6" xfId="40803" xr:uid="{00000000-0005-0000-0000-00006D9F0000}"/>
    <cellStyle name="Percent 5 7 7" xfId="40804" xr:uid="{00000000-0005-0000-0000-00006E9F0000}"/>
    <cellStyle name="Percent 5 7 8" xfId="40805" xr:uid="{00000000-0005-0000-0000-00006F9F0000}"/>
    <cellStyle name="Percent 5 8" xfId="40806" xr:uid="{00000000-0005-0000-0000-0000709F0000}"/>
    <cellStyle name="Percent 5 8 2" xfId="40807" xr:uid="{00000000-0005-0000-0000-0000719F0000}"/>
    <cellStyle name="Percent 5 8 3" xfId="40808" xr:uid="{00000000-0005-0000-0000-0000729F0000}"/>
    <cellStyle name="Percent 5 8 4" xfId="40809" xr:uid="{00000000-0005-0000-0000-0000739F0000}"/>
    <cellStyle name="Percent 5 8 5" xfId="40810" xr:uid="{00000000-0005-0000-0000-0000749F0000}"/>
    <cellStyle name="Percent 5 8 6" xfId="40811" xr:uid="{00000000-0005-0000-0000-0000759F0000}"/>
    <cellStyle name="Percent 5 9" xfId="40812" xr:uid="{00000000-0005-0000-0000-0000769F0000}"/>
    <cellStyle name="Percent 5 9 2" xfId="40813" xr:uid="{00000000-0005-0000-0000-0000779F0000}"/>
    <cellStyle name="Percent 5 9 3" xfId="40814" xr:uid="{00000000-0005-0000-0000-0000789F0000}"/>
    <cellStyle name="Percent 5 9 4" xfId="40815" xr:uid="{00000000-0005-0000-0000-0000799F0000}"/>
    <cellStyle name="Percent 5 9 5" xfId="40816" xr:uid="{00000000-0005-0000-0000-00007A9F0000}"/>
    <cellStyle name="Percent 5 9 6" xfId="40817" xr:uid="{00000000-0005-0000-0000-00007B9F0000}"/>
    <cellStyle name="Percent 6" xfId="40818" xr:uid="{00000000-0005-0000-0000-00007C9F0000}"/>
    <cellStyle name="Percent 6 2" xfId="40819" xr:uid="{00000000-0005-0000-0000-00007D9F0000}"/>
    <cellStyle name="Percent 6 2 2" xfId="40820" xr:uid="{00000000-0005-0000-0000-00007E9F0000}"/>
    <cellStyle name="Percent 6 3" xfId="40821" xr:uid="{00000000-0005-0000-0000-00007F9F0000}"/>
    <cellStyle name="Percent 7" xfId="40822" xr:uid="{00000000-0005-0000-0000-0000809F0000}"/>
    <cellStyle name="Percent 7 2" xfId="40823" xr:uid="{00000000-0005-0000-0000-0000819F0000}"/>
    <cellStyle name="Percent 7 2 2" xfId="40824" xr:uid="{00000000-0005-0000-0000-0000829F0000}"/>
    <cellStyle name="Percent 7 3" xfId="40825" xr:uid="{00000000-0005-0000-0000-0000839F0000}"/>
    <cellStyle name="Percent 8" xfId="40826" xr:uid="{00000000-0005-0000-0000-0000849F0000}"/>
    <cellStyle name="Percent 8 2" xfId="40827" xr:uid="{00000000-0005-0000-0000-0000859F0000}"/>
    <cellStyle name="Percent 9" xfId="40828" xr:uid="{00000000-0005-0000-0000-0000869F0000}"/>
    <cellStyle name="Percent 9 10" xfId="40829" xr:uid="{00000000-0005-0000-0000-0000879F0000}"/>
    <cellStyle name="Percent 9 11" xfId="40830" xr:uid="{00000000-0005-0000-0000-0000889F0000}"/>
    <cellStyle name="Percent 9 2" xfId="40831" xr:uid="{00000000-0005-0000-0000-0000899F0000}"/>
    <cellStyle name="Percent 9 2 2" xfId="40832" xr:uid="{00000000-0005-0000-0000-00008A9F0000}"/>
    <cellStyle name="Percent 9 2 2 2" xfId="40833" xr:uid="{00000000-0005-0000-0000-00008B9F0000}"/>
    <cellStyle name="Percent 9 2 2 3" xfId="40834" xr:uid="{00000000-0005-0000-0000-00008C9F0000}"/>
    <cellStyle name="Percent 9 2 2 4" xfId="40835" xr:uid="{00000000-0005-0000-0000-00008D9F0000}"/>
    <cellStyle name="Percent 9 2 2 5" xfId="40836" xr:uid="{00000000-0005-0000-0000-00008E9F0000}"/>
    <cellStyle name="Percent 9 2 2 6" xfId="40837" xr:uid="{00000000-0005-0000-0000-00008F9F0000}"/>
    <cellStyle name="Percent 9 2 3" xfId="40838" xr:uid="{00000000-0005-0000-0000-0000909F0000}"/>
    <cellStyle name="Percent 9 2 3 2" xfId="40839" xr:uid="{00000000-0005-0000-0000-0000919F0000}"/>
    <cellStyle name="Percent 9 2 3 3" xfId="40840" xr:uid="{00000000-0005-0000-0000-0000929F0000}"/>
    <cellStyle name="Percent 9 2 3 4" xfId="40841" xr:uid="{00000000-0005-0000-0000-0000939F0000}"/>
    <cellStyle name="Percent 9 2 3 5" xfId="40842" xr:uid="{00000000-0005-0000-0000-0000949F0000}"/>
    <cellStyle name="Percent 9 2 3 6" xfId="40843" xr:uid="{00000000-0005-0000-0000-0000959F0000}"/>
    <cellStyle name="Percent 9 2 4" xfId="40844" xr:uid="{00000000-0005-0000-0000-0000969F0000}"/>
    <cellStyle name="Percent 9 2 5" xfId="40845" xr:uid="{00000000-0005-0000-0000-0000979F0000}"/>
    <cellStyle name="Percent 9 2 6" xfId="40846" xr:uid="{00000000-0005-0000-0000-0000989F0000}"/>
    <cellStyle name="Percent 9 2 7" xfId="40847" xr:uid="{00000000-0005-0000-0000-0000999F0000}"/>
    <cellStyle name="Percent 9 2 8" xfId="40848" xr:uid="{00000000-0005-0000-0000-00009A9F0000}"/>
    <cellStyle name="Percent 9 3" xfId="40849" xr:uid="{00000000-0005-0000-0000-00009B9F0000}"/>
    <cellStyle name="Percent 9 3 2" xfId="40850" xr:uid="{00000000-0005-0000-0000-00009C9F0000}"/>
    <cellStyle name="Percent 9 3 2 2" xfId="40851" xr:uid="{00000000-0005-0000-0000-00009D9F0000}"/>
    <cellStyle name="Percent 9 3 2 3" xfId="40852" xr:uid="{00000000-0005-0000-0000-00009E9F0000}"/>
    <cellStyle name="Percent 9 3 2 4" xfId="40853" xr:uid="{00000000-0005-0000-0000-00009F9F0000}"/>
    <cellStyle name="Percent 9 3 2 5" xfId="40854" xr:uid="{00000000-0005-0000-0000-0000A09F0000}"/>
    <cellStyle name="Percent 9 3 2 6" xfId="40855" xr:uid="{00000000-0005-0000-0000-0000A19F0000}"/>
    <cellStyle name="Percent 9 3 3" xfId="40856" xr:uid="{00000000-0005-0000-0000-0000A29F0000}"/>
    <cellStyle name="Percent 9 3 3 2" xfId="40857" xr:uid="{00000000-0005-0000-0000-0000A39F0000}"/>
    <cellStyle name="Percent 9 3 3 3" xfId="40858" xr:uid="{00000000-0005-0000-0000-0000A49F0000}"/>
    <cellStyle name="Percent 9 3 3 4" xfId="40859" xr:uid="{00000000-0005-0000-0000-0000A59F0000}"/>
    <cellStyle name="Percent 9 3 3 5" xfId="40860" xr:uid="{00000000-0005-0000-0000-0000A69F0000}"/>
    <cellStyle name="Percent 9 3 3 6" xfId="40861" xr:uid="{00000000-0005-0000-0000-0000A79F0000}"/>
    <cellStyle name="Percent 9 3 4" xfId="40862" xr:uid="{00000000-0005-0000-0000-0000A89F0000}"/>
    <cellStyle name="Percent 9 3 5" xfId="40863" xr:uid="{00000000-0005-0000-0000-0000A99F0000}"/>
    <cellStyle name="Percent 9 3 6" xfId="40864" xr:uid="{00000000-0005-0000-0000-0000AA9F0000}"/>
    <cellStyle name="Percent 9 3 7" xfId="40865" xr:uid="{00000000-0005-0000-0000-0000AB9F0000}"/>
    <cellStyle name="Percent 9 3 8" xfId="40866" xr:uid="{00000000-0005-0000-0000-0000AC9F0000}"/>
    <cellStyle name="Percent 9 4" xfId="40867" xr:uid="{00000000-0005-0000-0000-0000AD9F0000}"/>
    <cellStyle name="Percent 9 4 2" xfId="40868" xr:uid="{00000000-0005-0000-0000-0000AE9F0000}"/>
    <cellStyle name="Percent 9 4 2 2" xfId="40869" xr:uid="{00000000-0005-0000-0000-0000AF9F0000}"/>
    <cellStyle name="Percent 9 4 2 3" xfId="40870" xr:uid="{00000000-0005-0000-0000-0000B09F0000}"/>
    <cellStyle name="Percent 9 4 2 4" xfId="40871" xr:uid="{00000000-0005-0000-0000-0000B19F0000}"/>
    <cellStyle name="Percent 9 4 2 5" xfId="40872" xr:uid="{00000000-0005-0000-0000-0000B29F0000}"/>
    <cellStyle name="Percent 9 4 2 6" xfId="40873" xr:uid="{00000000-0005-0000-0000-0000B39F0000}"/>
    <cellStyle name="Percent 9 4 3" xfId="40874" xr:uid="{00000000-0005-0000-0000-0000B49F0000}"/>
    <cellStyle name="Percent 9 4 3 2" xfId="40875" xr:uid="{00000000-0005-0000-0000-0000B59F0000}"/>
    <cellStyle name="Percent 9 4 3 3" xfId="40876" xr:uid="{00000000-0005-0000-0000-0000B69F0000}"/>
    <cellStyle name="Percent 9 4 3 4" xfId="40877" xr:uid="{00000000-0005-0000-0000-0000B79F0000}"/>
    <cellStyle name="Percent 9 4 3 5" xfId="40878" xr:uid="{00000000-0005-0000-0000-0000B89F0000}"/>
    <cellStyle name="Percent 9 4 3 6" xfId="40879" xr:uid="{00000000-0005-0000-0000-0000B99F0000}"/>
    <cellStyle name="Percent 9 4 4" xfId="40880" xr:uid="{00000000-0005-0000-0000-0000BA9F0000}"/>
    <cellStyle name="Percent 9 4 5" xfId="40881" xr:uid="{00000000-0005-0000-0000-0000BB9F0000}"/>
    <cellStyle name="Percent 9 4 6" xfId="40882" xr:uid="{00000000-0005-0000-0000-0000BC9F0000}"/>
    <cellStyle name="Percent 9 4 7" xfId="40883" xr:uid="{00000000-0005-0000-0000-0000BD9F0000}"/>
    <cellStyle name="Percent 9 4 8" xfId="40884" xr:uid="{00000000-0005-0000-0000-0000BE9F0000}"/>
    <cellStyle name="Percent 9 5" xfId="40885" xr:uid="{00000000-0005-0000-0000-0000BF9F0000}"/>
    <cellStyle name="Percent 9 5 2" xfId="40886" xr:uid="{00000000-0005-0000-0000-0000C09F0000}"/>
    <cellStyle name="Percent 9 5 3" xfId="40887" xr:uid="{00000000-0005-0000-0000-0000C19F0000}"/>
    <cellStyle name="Percent 9 5 4" xfId="40888" xr:uid="{00000000-0005-0000-0000-0000C29F0000}"/>
    <cellStyle name="Percent 9 5 5" xfId="40889" xr:uid="{00000000-0005-0000-0000-0000C39F0000}"/>
    <cellStyle name="Percent 9 5 6" xfId="40890" xr:uid="{00000000-0005-0000-0000-0000C49F0000}"/>
    <cellStyle name="Percent 9 6" xfId="40891" xr:uid="{00000000-0005-0000-0000-0000C59F0000}"/>
    <cellStyle name="Percent 9 6 2" xfId="40892" xr:uid="{00000000-0005-0000-0000-0000C69F0000}"/>
    <cellStyle name="Percent 9 6 3" xfId="40893" xr:uid="{00000000-0005-0000-0000-0000C79F0000}"/>
    <cellStyle name="Percent 9 6 4" xfId="40894" xr:uid="{00000000-0005-0000-0000-0000C89F0000}"/>
    <cellStyle name="Percent 9 6 5" xfId="40895" xr:uid="{00000000-0005-0000-0000-0000C99F0000}"/>
    <cellStyle name="Percent 9 6 6" xfId="40896" xr:uid="{00000000-0005-0000-0000-0000CA9F0000}"/>
    <cellStyle name="Percent 9 7" xfId="40897" xr:uid="{00000000-0005-0000-0000-0000CB9F0000}"/>
    <cellStyle name="Percent 9 8" xfId="40898" xr:uid="{00000000-0005-0000-0000-0000CC9F0000}"/>
    <cellStyle name="Percent 9 9" xfId="40899" xr:uid="{00000000-0005-0000-0000-0000CD9F0000}"/>
    <cellStyle name="Style 1 2" xfId="40900" xr:uid="{00000000-0005-0000-0000-0000CE9F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4.xml"/><Relationship Id="rId84" Type="http://schemas.openxmlformats.org/officeDocument/2006/relationships/externalLink" Target="externalLinks/externalLink35.xml"/><Relationship Id="rId138" Type="http://schemas.openxmlformats.org/officeDocument/2006/relationships/externalLink" Target="externalLinks/externalLink89.xml"/><Relationship Id="rId107" Type="http://schemas.openxmlformats.org/officeDocument/2006/relationships/externalLink" Target="externalLinks/externalLink5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4.xml"/><Relationship Id="rId74" Type="http://schemas.openxmlformats.org/officeDocument/2006/relationships/externalLink" Target="externalLinks/externalLink25.xml"/><Relationship Id="rId128" Type="http://schemas.openxmlformats.org/officeDocument/2006/relationships/externalLink" Target="externalLinks/externalLink79.xml"/><Relationship Id="rId5" Type="http://schemas.openxmlformats.org/officeDocument/2006/relationships/worksheet" Target="worksheets/sheet5.xml"/><Relationship Id="rId90" Type="http://schemas.openxmlformats.org/officeDocument/2006/relationships/externalLink" Target="externalLinks/externalLink41.xml"/><Relationship Id="rId95" Type="http://schemas.openxmlformats.org/officeDocument/2006/relationships/externalLink" Target="externalLinks/externalLink4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113" Type="http://schemas.openxmlformats.org/officeDocument/2006/relationships/externalLink" Target="externalLinks/externalLink64.xml"/><Relationship Id="rId118" Type="http://schemas.openxmlformats.org/officeDocument/2006/relationships/externalLink" Target="externalLinks/externalLink69.xml"/><Relationship Id="rId134" Type="http://schemas.openxmlformats.org/officeDocument/2006/relationships/externalLink" Target="externalLinks/externalLink85.xml"/><Relationship Id="rId139" Type="http://schemas.openxmlformats.org/officeDocument/2006/relationships/externalLink" Target="externalLinks/externalLink90.xml"/><Relationship Id="rId80" Type="http://schemas.openxmlformats.org/officeDocument/2006/relationships/externalLink" Target="externalLinks/externalLink31.xml"/><Relationship Id="rId85" Type="http://schemas.openxmlformats.org/officeDocument/2006/relationships/externalLink" Target="externalLinks/externalLink3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0.xml"/><Relationship Id="rId103" Type="http://schemas.openxmlformats.org/officeDocument/2006/relationships/externalLink" Target="externalLinks/externalLink54.xml"/><Relationship Id="rId108" Type="http://schemas.openxmlformats.org/officeDocument/2006/relationships/externalLink" Target="externalLinks/externalLink59.xml"/><Relationship Id="rId124" Type="http://schemas.openxmlformats.org/officeDocument/2006/relationships/externalLink" Target="externalLinks/externalLink75.xml"/><Relationship Id="rId129" Type="http://schemas.openxmlformats.org/officeDocument/2006/relationships/externalLink" Target="externalLinks/externalLink80.xml"/><Relationship Id="rId54" Type="http://schemas.openxmlformats.org/officeDocument/2006/relationships/externalLink" Target="externalLinks/externalLink5.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91" Type="http://schemas.openxmlformats.org/officeDocument/2006/relationships/externalLink" Target="externalLinks/externalLink42.xml"/><Relationship Id="rId96" Type="http://schemas.openxmlformats.org/officeDocument/2006/relationships/externalLink" Target="externalLinks/externalLink47.xml"/><Relationship Id="rId140" Type="http://schemas.openxmlformats.org/officeDocument/2006/relationships/externalLink" Target="externalLinks/externalLink91.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5.xml"/><Relationship Id="rId119" Type="http://schemas.openxmlformats.org/officeDocument/2006/relationships/externalLink" Target="externalLinks/externalLink70.xml"/><Relationship Id="rId44" Type="http://schemas.openxmlformats.org/officeDocument/2006/relationships/worksheet" Target="worksheets/sheet44.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130" Type="http://schemas.openxmlformats.org/officeDocument/2006/relationships/externalLink" Target="externalLinks/externalLink81.xml"/><Relationship Id="rId135" Type="http://schemas.openxmlformats.org/officeDocument/2006/relationships/externalLink" Target="externalLinks/externalLink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0.xml"/><Relationship Id="rId34" Type="http://schemas.openxmlformats.org/officeDocument/2006/relationships/worksheet" Target="worksheets/sheet34.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6" Type="http://schemas.openxmlformats.org/officeDocument/2006/relationships/externalLink" Target="externalLinks/externalLink27.xml"/><Relationship Id="rId97" Type="http://schemas.openxmlformats.org/officeDocument/2006/relationships/externalLink" Target="externalLinks/externalLink48.xml"/><Relationship Id="rId104" Type="http://schemas.openxmlformats.org/officeDocument/2006/relationships/externalLink" Target="externalLinks/externalLink55.xml"/><Relationship Id="rId120" Type="http://schemas.openxmlformats.org/officeDocument/2006/relationships/externalLink" Target="externalLinks/externalLink71.xml"/><Relationship Id="rId125" Type="http://schemas.openxmlformats.org/officeDocument/2006/relationships/externalLink" Target="externalLinks/externalLink76.xml"/><Relationship Id="rId141" Type="http://schemas.openxmlformats.org/officeDocument/2006/relationships/externalLink" Target="externalLinks/externalLink92.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7.xml"/><Relationship Id="rId87" Type="http://schemas.openxmlformats.org/officeDocument/2006/relationships/externalLink" Target="externalLinks/externalLink38.xml"/><Relationship Id="rId110" Type="http://schemas.openxmlformats.org/officeDocument/2006/relationships/externalLink" Target="externalLinks/externalLink61.xml"/><Relationship Id="rId115" Type="http://schemas.openxmlformats.org/officeDocument/2006/relationships/externalLink" Target="externalLinks/externalLink66.xml"/><Relationship Id="rId131" Type="http://schemas.openxmlformats.org/officeDocument/2006/relationships/externalLink" Target="externalLinks/externalLink82.xml"/><Relationship Id="rId136" Type="http://schemas.openxmlformats.org/officeDocument/2006/relationships/externalLink" Target="externalLinks/externalLink87.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7.xml"/><Relationship Id="rId77" Type="http://schemas.openxmlformats.org/officeDocument/2006/relationships/externalLink" Target="externalLinks/externalLink28.xml"/><Relationship Id="rId100" Type="http://schemas.openxmlformats.org/officeDocument/2006/relationships/externalLink" Target="externalLinks/externalLink51.xml"/><Relationship Id="rId105" Type="http://schemas.openxmlformats.org/officeDocument/2006/relationships/externalLink" Target="externalLinks/externalLink56.xml"/><Relationship Id="rId126" Type="http://schemas.openxmlformats.org/officeDocument/2006/relationships/externalLink" Target="externalLinks/externalLink77.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93" Type="http://schemas.openxmlformats.org/officeDocument/2006/relationships/externalLink" Target="externalLinks/externalLink44.xml"/><Relationship Id="rId98" Type="http://schemas.openxmlformats.org/officeDocument/2006/relationships/externalLink" Target="externalLinks/externalLink49.xml"/><Relationship Id="rId121" Type="http://schemas.openxmlformats.org/officeDocument/2006/relationships/externalLink" Target="externalLinks/externalLink72.xml"/><Relationship Id="rId142" Type="http://schemas.openxmlformats.org/officeDocument/2006/relationships/externalLink" Target="externalLinks/externalLink9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8.xml"/><Relationship Id="rId116" Type="http://schemas.openxmlformats.org/officeDocument/2006/relationships/externalLink" Target="externalLinks/externalLink67.xml"/><Relationship Id="rId137" Type="http://schemas.openxmlformats.org/officeDocument/2006/relationships/externalLink" Target="externalLinks/externalLink8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3.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111" Type="http://schemas.openxmlformats.org/officeDocument/2006/relationships/externalLink" Target="externalLinks/externalLink62.xml"/><Relationship Id="rId132" Type="http://schemas.openxmlformats.org/officeDocument/2006/relationships/externalLink" Target="externalLinks/externalLink8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8.xml"/><Relationship Id="rId106" Type="http://schemas.openxmlformats.org/officeDocument/2006/relationships/externalLink" Target="externalLinks/externalLink57.xml"/><Relationship Id="rId127" Type="http://schemas.openxmlformats.org/officeDocument/2006/relationships/externalLink" Target="externalLinks/externalLink7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3.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94" Type="http://schemas.openxmlformats.org/officeDocument/2006/relationships/externalLink" Target="externalLinks/externalLink45.xml"/><Relationship Id="rId99" Type="http://schemas.openxmlformats.org/officeDocument/2006/relationships/externalLink" Target="externalLinks/externalLink50.xml"/><Relationship Id="rId101" Type="http://schemas.openxmlformats.org/officeDocument/2006/relationships/externalLink" Target="externalLinks/externalLink52.xml"/><Relationship Id="rId122" Type="http://schemas.openxmlformats.org/officeDocument/2006/relationships/externalLink" Target="externalLinks/externalLink73.xml"/><Relationship Id="rId143" Type="http://schemas.openxmlformats.org/officeDocument/2006/relationships/externalLink" Target="externalLinks/externalLink9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9.xml"/><Relationship Id="rId89" Type="http://schemas.openxmlformats.org/officeDocument/2006/relationships/externalLink" Target="externalLinks/externalLink40.xml"/><Relationship Id="rId112" Type="http://schemas.openxmlformats.org/officeDocument/2006/relationships/externalLink" Target="externalLinks/externalLink63.xml"/><Relationship Id="rId133" Type="http://schemas.openxmlformats.org/officeDocument/2006/relationships/externalLink" Target="externalLinks/externalLink8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9.xml"/><Relationship Id="rId79" Type="http://schemas.openxmlformats.org/officeDocument/2006/relationships/externalLink" Target="externalLinks/externalLink30.xml"/><Relationship Id="rId102" Type="http://schemas.openxmlformats.org/officeDocument/2006/relationships/externalLink" Target="externalLinks/externalLink53.xml"/><Relationship Id="rId123" Type="http://schemas.openxmlformats.org/officeDocument/2006/relationships/externalLink" Target="externalLinks/externalLink74.xml"/><Relationship Id="rId14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34.139\budget\Stdcost\DOMESTIC\CONSOLIDAT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16.99.98\office\NAIMI%20KAPASHI\2006-07\Q2_0607\6%20Sep%2006\woking%20data\payroll%20MIS_lo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16.99.98\office\Documents%20and%20Settings\ravinmody.WIP-002\Desktop\bank%20revaluation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16.99.98\office\Documents%20and%20Settings\TPL\Desktop\New%20Folder\INVOICE%20TRACKING%20OF%20JAN'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asturi\bud0304\BUDGET\Bud0203\Budgeted\Domestic\prima_budg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UCKNTX2\HOME\HPant\INDIAN\1998-99\fa6mbreaku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ocuments%20and%20Settings\Rjain\Desktop\AVL%20India%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opalan\c\RAJNEESH\FOIL\MEETMA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205.220.14.132\corporate\Audit\Spl.Audit%202007\March%2007\Gulshan\Mumbai\Mumba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nts%20and%20Settings\user\Local%20Settings\Temporary%20Internet%20Files\Content.Outlook\P1V0QVXZ\ARIA%2031.03.11-FINAL(30.04.11)\Audit\Spl.Audit%202007\March%2007\Gulshan\Mumbai\Mumba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ccounts\c\My%20Documents\DSCL\BKM\sbgi%20CMA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STAFF/OWENS/AUDIT/MARCH98/PLANNING/PBCL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CSdata\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vs01fs02\home\Finance\R-Data\Invoices\Current%20Working%20Folder\MIS\Invoice\2006-07\December%2006\Invoice%20File%20for%20Dec%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Praveen\Desktop\FINANCIALS%20-%20APR02-MAR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ocuments%20and%20Settings\Praveen\Desktop\FINANCIALS%20-%20APR02-MAR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ulu\c\Empresas%20Grupo%20Lux\Dioptra,%20S.A.%20de%20C.V\2000\PAPELES%20PARA%20AJUSTE%20Y%20DECLARACION%20ANUAL\Ajuste%20(Bal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ccount\e\DEP%20of%20Earlier%20Year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16.99.98\office\DOCUME~1\TPL\LOCALS~1\Temp\notes2CBB50\Schedule%20V.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anyan\NILESH\MIS\06-07\OCT'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data%2017.6.2013\Manan-1\2014-15\Income%20Tax\Advance%20Tax\Q1\MIS_May%2014%20-%20For%20Adv%20Tax.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ata%2017.6.2013/Manan-1/2014-15/Income%20Tax/Advance%20Tax/Q1/MIS_May%2014%20-%20For%20Adv%20Ta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vs08fls02\Finance\Revenue\AR%20Aging\Q2%202007\03.31.07Bad_Debt_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ata%2017.6.2013\Manan-1\2014-15\Income%20Tax\Advance%20Tax\Q1\MIS_May%2014%20-%20For%20Adv%20Tax.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ulu\c\Mis%20documentos\Empresas%20Grupo%20Lux\Inmobiliaria%20Mex%20Ind,%20S.A.%20de%20C.V\2000\REEXPRE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Documents%20and%20Settings\Aroy\Local%20Settings\Temporary%20Internet%20Files\Content.IE5\09U7O1IN\Documents%20and%20Settings\Mark%20Witman\Local%20Settings\Temporary%20Internet%20Files\OLK6\0110%20IS%20by%20BU%201105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1\wordxl\CAMELLIA\Statutory%20Audits\Audit%202005-06\01%20%20Camellia%20Clothing%20Limited\B.%20%20Tax%20Audit%202005-06\PP_Master%20Templ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Finance\General%20Matters\General\Cheque%20detai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V:\Documents%20and%20Settings\manan.shah\My%20Documents\Manan-1\2009-10\MIS\August\August_MIS_ZWL-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UEST2\Desktop\Keystone\Statutory%20Audit\Statutory%20Audit%202004-05\Iiq\Audit%2003-04\Financials\Schedule%20VI%20-%2003-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UKUND%20&amp;%20ROHIT\Adarsh%20Plant%20Protect%20Limited\Annual%20Report\Balance%20Sheet%20revised%20schedule%20VI%2011-12%20(22.05.2012)%20-%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ndeep1\e\Sandeep\Nov'02\BS%20APR%20-%20NOV%2002\BS_Apr'02-%20Nov'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V:\Office%20Clients\Duravit%20India%20Pvt.%20Ltd\Accounts%202008-09\Tax%20Audit-A.Y.2009-10\OFFICE\MIS0809\BU%201\MIS0809_BU1_with_Liva_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rainee2_ng\shetu\Finance\RFC\RFC%2008%202005\Version%203\Cash%20Flow%20based%20on%20RFC%2008%2020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0.90.15\Departmental%20Data\Commercial\Master%20Data\Budget\bud06-07\Budget%20Presentations\24-03-06\14%20Apr%2006\CapEx%20Budget%2006-07%20Pr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ukeshbhavsar\CRR%2005-06\1%20HEMANT%20DATA\CRR\0405\Program\All%20cost%20shee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ulu\c\Papeles%20de%20Trabajo%20Empresas%20de%20Grupo\DESPACHO%20JOSE%20ALFREDO%20ROJAS,%20SC\1999\Estados%20Financieros\Analisis\I.S.P.T.%20Y%20CONTROL%20NOMIN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V:\sunil%20backup\c%20drive\eudora\attach\CY02_Forecast_1025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asturi\budget\BUDGET\Bud0304\IOD\Russia\Europ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72.16.99.98\office\WINDOWS\TEMP\Template%20for%20Tax%20Audi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0.90.15\Departmental%20Data\Commercial\Development\Hema%20Mehta\System%20Development\MIS%20Working%20Folder\MIS_OCT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eepak\c\RAJNEESH\FOIL\MEETMA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V:\TEMP\notesE8DBF2\ZYFINE_MIS-05-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72.16.99.98\office\DOCUME~1\TPL\LOCALS~1\Temp\notesFFF692\sharing\stockval\Pancholi%20stockv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99.98\office\Nimita\Torrent_06_07\TPL%200607\DEPB\June%2006\depb%20lih%20entries\TPL\Q3-2005\DOCUME~1\TPL\LOCALS~1\Temp\notes2CBB50\Schedule%20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epak\c\DK\DOC\FOI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vs08fls02\Finance\Temp\Temporary%20Internet%20Files\OLK425\sujit%20sharma\Audit%20working%20file-2003-2004\Audit\TB%20Uploa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imanshu_roy\c\WINDOWS\TEMP\QuickPlace\GEL%20Rates%20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gaap_jignesh\d$\SAP%202007\Asset%20Master%20Data%20Upload\Assets%20Schedule%20Details\AA%20BDC%20Files\B.%20Leasehold%20Land%20-%20AA%20BDC%20-%201506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1\ADMINI~1\LOCALS~1\Temp\Rar$DI01.640\Maitry%203CD%20Annexures%201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iruscheck\CHECK\Documents%20and%20Settings\nitinbatra\Local%20Settings\Temp\600197%20TreeExample_v203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0.90.15\Departmental%20Data\Master%20Data\CapEx\CapEx.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remal\D\c%20drive\mis\Feb%202004\finance%20cogs_jan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ANYAN\VOL2\WINDOWS\TEMP\bsdec98"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rver\Traffic\Estimates\Corporate\SIELCRAL03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palan\c\DK\DOC\FOI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Traffic\Estimates\Corporate\SIELCRAL03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asturi\budget\BUDGET\Bud0304\Domestic\Prim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ocuments%20and%20Settings\user\Local%20Settings\Temporary%20Internet%20Files\Content.Outlook\P1V0QVXZ\ARIA%2031.03.11-FINAL(30.04.11)\Fr\Abt\Gruppe\Konsolidierung\kon_2006\2.Q.06\Packages\France\R&#233;sultat%20KEP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Documents%20and%20Settings\Rjain\Desktop\AVL%20India%20-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V:\WINDOWS\Profiles\STEVENR\My%20Documents\Finance\0302\0302%20EDU%20TB%20Reporting%200318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Auditor\Tax%20Audi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andeep1\e\Ritesh\2001-02\Jun%2002\STOCK%20TRF%20-%20PLANT%20JUNE%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00108070\finance\OFFICE\Finance\Sikkim\2008-09\2nd%20Quarter\Bond%20Stock%20Sep-08%20sikkim-recd%20fm%20Costin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ATABASE\My%20Document\Yatin%20-%20H+S\2007-08\Sumit\Huber%20suhner%20Final\Final%20Sumit\H+S%20March%202008\Creditors_ne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Documents%20and%20Settings\mhnh\My%20Documents\2001\Asia%20Pacific\Plan\5Y_v2.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RIKRISHNA\SumitMarch04\Data04\ADTL\Schedule%20VI%2020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mhnh/My%20Documents/2001/Asia%20Pacific/Plan/5Y_v2.1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ERVER\Documents%20and%20Settings\mhnh\My%20Documents\2001\Asia%20Pacific\Plan\5Y_v2.14.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20%20Financials-10.01.06"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nts%20and%20Settings\user\Local%20Settings\Temporary%20Internet%20Files\Content.Outlook\P1V0QVXZ\ARIA%2031.03.11-FINAL(30.04.11)\FIN_Dept\Reporting\Package\Package%202003\2003%20KEP\3Q03%20KEP\R&#233;sultat%20KEP03.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CCOUNTS1\C$\cmc2000-1\CMCPQ9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opalan\c\SUSHIL\fin%20yr%200102\bank%20stock%20statement%200102\BANK%20STK%20SEP%2020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3B64C20D\Correspondances%20Cpt%20KEP01%20vs%20Komax.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72.16.99.98\office\Nimita\Torrent_06_07\TPL%200607\DEPB\June%2006\depb%20lih%20entries\TPL\Q3-2005\DOCUME~1\TPL\LOCALS~1\Temp\notesFFF692\overse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72.16.99.98\office\Nimita\Torrent_06_07\TPL%200607\DEPB\June%2006\depb%20lih%20entries\TPL\Q3-2005\DOCUME~1\TPL\LOCALS~1\Temp\notesFFF692\TRC_WBS_Overse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administrator\Local%20Settings\Temporary%20Internet%20Files\Content.IE5\7C88GHDK\march2002-tax%20account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ccount\e\CHIRAG\Balance%20Sheet\Adjusted%20Balance%20Sheet%20upto%20Dec.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V:\Documents%20and%20Settings\Aroy\Local%20Settings\Temporary%20Internet%20Files\Content.IE5\09U7O1IN\SROSE\MISC\9907_pkg\9907%20PF%20Presentatio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72.16.99.98\office\Budget56\Budget%20Upload\MIS\July\SAP%20formats\SBR\DATA%20MIGRATION\BUDGET%2004-05%20FOR%20UPLOA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Vipulj\budget\bud0203\Budgeted\Sales%20Domestic(blan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2002-03%20AUDIT%20SCHE\FINANCIALS%20-%20APR02-MAR03INCL%20&amp;%20EXC.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2002-03%20AUDIT%20SCHE\FINANCIALS%20-%20APR02-MAR03INCL%20&amp;%20EXC.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V:\mukesh\d\Budget%2008-09\final\API%20Final%20Budget%20monthly%2006-04-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72.16.99.98\office\Manan-1\2011-12\ZWL%20Monthly%20BS\Oct%2011\Consolidated%20ZWL_Annual%20Account_Oct.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Aman%20Office\Latim%20Metal%20FY%2024-25\Q2\SEBI%20Results%20-%20Latim%20Metals%20-%20Q2_24-25%20FINAL%20SEBI%20(06.11.2024).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ER\Users\DELL\Downloads\SEBI%20Results%20-%20Latim%20Metals%20-%20Q2_2021-22_.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administrator\Local%20Settings\Temporary%20Internet%20Files\Content.IE5\7C88GHDK\march2002-tax%20accounts.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file:///E:\La%20Tim%20Q%201%202024-25\SEBI%20Results%20-%20Latim%20Metals%20-%20Q1_24-25%20FINAL.xlsx" TargetMode="External"/><Relationship Id="rId1" Type="http://schemas.openxmlformats.org/officeDocument/2006/relationships/externalLinkPath" Target="/La%20Tim%20Q%201%202024-25/SEBI%20Results%20-%20Latim%20Metals%20-%20Q1_24-25%20FINAL.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LSIPL/Working%20Files%20(Results%20&amp;%20BS)/Result%20Working.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ERVER\Users\rahul\Downloads\Revised_Ind-AS%20116%20Workings_Navkar%20Plaza%20Latim%20metal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ER\Office\4.%20Latim%20Group\FY%2021-22\Q1\Sourcing\Revised_Ind-AS%20116%20Workings_Factory.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OFFICE\LATIM%20METALS\LATIM%20METAL%20RESULTS%20Q2\Ind-AS%20116%20Workings_Navkar%20Plaza%20Latim%20meta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Master"/>
      <sheetName val="A TO B"/>
      <sheetName val="PM RATE D"/>
      <sheetName val="C"/>
      <sheetName val="D TO J"/>
      <sheetName val="L TO Q"/>
      <sheetName val="R TO TI"/>
      <sheetName val="TJ TO Z"/>
      <sheetName val="TENTATIVE"/>
      <sheetName val="Alu_Alu"/>
      <sheetName val="INSULIN"/>
      <sheetName val="Insulin_Budget"/>
      <sheetName val="INSULIN 1"/>
      <sheetName val="pm_RATES_MASTER(bUDGET02-03)"/>
      <sheetName val="New_Products"/>
      <sheetName val="MAPE"/>
      <sheetName val="MULTIPLIER"/>
      <sheetName val="Process_Loss"/>
      <sheetName val="SAMPLE"/>
      <sheetName val="DUMP D1"/>
      <sheetName val="DUMP D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roll MIS_long"/>
      <sheetName val="#REF"/>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efreshError="1"/>
      <sheetData sheetId="1" refreshError="1">
        <row r="2">
          <cell r="B2">
            <v>0</v>
          </cell>
          <cell r="D2" t="str">
            <v>1000010450</v>
          </cell>
          <cell r="H2" t="str">
            <v>2005</v>
          </cell>
          <cell r="N2">
            <v>38595</v>
          </cell>
          <cell r="P2">
            <v>37048.49</v>
          </cell>
        </row>
        <row r="3">
          <cell r="B3">
            <v>0</v>
          </cell>
          <cell r="D3" t="str">
            <v>1000010450</v>
          </cell>
          <cell r="H3" t="str">
            <v>2005</v>
          </cell>
          <cell r="N3">
            <v>38595</v>
          </cell>
          <cell r="P3">
            <v>0</v>
          </cell>
        </row>
        <row r="4">
          <cell r="B4">
            <v>0</v>
          </cell>
          <cell r="D4" t="str">
            <v>1000010451</v>
          </cell>
          <cell r="H4" t="str">
            <v>2005</v>
          </cell>
          <cell r="N4">
            <v>38595</v>
          </cell>
          <cell r="P4">
            <v>27265</v>
          </cell>
        </row>
        <row r="5">
          <cell r="B5">
            <v>0</v>
          </cell>
          <cell r="D5" t="str">
            <v>1000010451</v>
          </cell>
          <cell r="H5" t="str">
            <v>2005</v>
          </cell>
          <cell r="N5">
            <v>38595</v>
          </cell>
          <cell r="P5">
            <v>0</v>
          </cell>
        </row>
        <row r="6">
          <cell r="B6">
            <v>0</v>
          </cell>
          <cell r="D6" t="str">
            <v>1000010452</v>
          </cell>
          <cell r="H6" t="str">
            <v>2005</v>
          </cell>
          <cell r="N6">
            <v>38595</v>
          </cell>
          <cell r="P6">
            <v>2837.88</v>
          </cell>
        </row>
        <row r="7">
          <cell r="B7">
            <v>0</v>
          </cell>
          <cell r="D7" t="str">
            <v>1000010452</v>
          </cell>
          <cell r="H7" t="str">
            <v>2005</v>
          </cell>
          <cell r="N7">
            <v>38595</v>
          </cell>
          <cell r="P7">
            <v>0</v>
          </cell>
        </row>
        <row r="8">
          <cell r="B8">
            <v>0</v>
          </cell>
          <cell r="D8" t="str">
            <v>1000010454</v>
          </cell>
          <cell r="H8" t="str">
            <v>2005</v>
          </cell>
          <cell r="N8">
            <v>38595</v>
          </cell>
          <cell r="P8">
            <v>19441.05</v>
          </cell>
        </row>
        <row r="9">
          <cell r="B9">
            <v>0</v>
          </cell>
          <cell r="D9" t="str">
            <v>1000010454</v>
          </cell>
          <cell r="H9" t="str">
            <v>2005</v>
          </cell>
          <cell r="N9">
            <v>38595</v>
          </cell>
          <cell r="P9">
            <v>0</v>
          </cell>
        </row>
        <row r="10">
          <cell r="B10">
            <v>0</v>
          </cell>
          <cell r="D10" t="str">
            <v>1000010455</v>
          </cell>
          <cell r="H10" t="str">
            <v>2005</v>
          </cell>
          <cell r="N10">
            <v>38595</v>
          </cell>
          <cell r="P10">
            <v>415876.95</v>
          </cell>
        </row>
        <row r="11">
          <cell r="B11">
            <v>0</v>
          </cell>
          <cell r="D11" t="str">
            <v>1000010455</v>
          </cell>
          <cell r="H11" t="str">
            <v>2005</v>
          </cell>
          <cell r="N11">
            <v>38595</v>
          </cell>
          <cell r="P11">
            <v>0</v>
          </cell>
        </row>
        <row r="12">
          <cell r="B12">
            <v>0</v>
          </cell>
          <cell r="D12" t="str">
            <v>1000010456</v>
          </cell>
          <cell r="H12" t="str">
            <v>2005</v>
          </cell>
          <cell r="N12">
            <v>38595</v>
          </cell>
          <cell r="P12">
            <v>12201.07</v>
          </cell>
        </row>
        <row r="13">
          <cell r="B13">
            <v>0</v>
          </cell>
          <cell r="D13" t="str">
            <v>1000010456</v>
          </cell>
          <cell r="H13" t="str">
            <v>2005</v>
          </cell>
          <cell r="N13">
            <v>38595</v>
          </cell>
          <cell r="P13">
            <v>0</v>
          </cell>
        </row>
        <row r="14">
          <cell r="B14">
            <v>0</v>
          </cell>
          <cell r="D14" t="str">
            <v>1000010501</v>
          </cell>
          <cell r="H14" t="str">
            <v>2005</v>
          </cell>
          <cell r="N14">
            <v>38595</v>
          </cell>
          <cell r="P14">
            <v>0</v>
          </cell>
        </row>
        <row r="15">
          <cell r="B15">
            <v>0</v>
          </cell>
          <cell r="D15" t="str">
            <v>1000010501</v>
          </cell>
          <cell r="H15" t="str">
            <v>2005</v>
          </cell>
          <cell r="N15">
            <v>38595</v>
          </cell>
          <cell r="P15">
            <v>2933028.7</v>
          </cell>
        </row>
        <row r="16">
          <cell r="B16">
            <v>0</v>
          </cell>
          <cell r="D16" t="str">
            <v>1000010501</v>
          </cell>
          <cell r="H16" t="str">
            <v>2005</v>
          </cell>
          <cell r="N16">
            <v>38595</v>
          </cell>
          <cell r="P16">
            <v>2629718.86</v>
          </cell>
        </row>
        <row r="17">
          <cell r="B17">
            <v>0</v>
          </cell>
          <cell r="D17" t="str">
            <v>1000010501</v>
          </cell>
          <cell r="H17" t="str">
            <v>2005</v>
          </cell>
          <cell r="N17">
            <v>38595</v>
          </cell>
          <cell r="P17">
            <v>0</v>
          </cell>
        </row>
        <row r="18">
          <cell r="B18">
            <v>0</v>
          </cell>
          <cell r="D18" t="str">
            <v>1000010502</v>
          </cell>
          <cell r="H18" t="str">
            <v>2005</v>
          </cell>
          <cell r="N18">
            <v>38595</v>
          </cell>
          <cell r="P18">
            <v>297337.98</v>
          </cell>
        </row>
        <row r="19">
          <cell r="B19">
            <v>0</v>
          </cell>
          <cell r="D19" t="str">
            <v>1000010502</v>
          </cell>
          <cell r="H19" t="str">
            <v>2005</v>
          </cell>
          <cell r="N19">
            <v>38595</v>
          </cell>
          <cell r="P19">
            <v>0</v>
          </cell>
        </row>
        <row r="20">
          <cell r="B20">
            <v>0</v>
          </cell>
          <cell r="D20" t="str">
            <v>1000010502</v>
          </cell>
          <cell r="H20" t="str">
            <v>2005</v>
          </cell>
          <cell r="N20">
            <v>38595</v>
          </cell>
          <cell r="P20">
            <v>0</v>
          </cell>
        </row>
        <row r="21">
          <cell r="B21">
            <v>0</v>
          </cell>
          <cell r="D21" t="str">
            <v>1000010502</v>
          </cell>
          <cell r="H21" t="str">
            <v>2005</v>
          </cell>
          <cell r="N21">
            <v>38595</v>
          </cell>
          <cell r="P21">
            <v>342568.98</v>
          </cell>
        </row>
        <row r="22">
          <cell r="B22">
            <v>0</v>
          </cell>
          <cell r="D22" t="str">
            <v>1000010503</v>
          </cell>
          <cell r="H22" t="str">
            <v>2005</v>
          </cell>
          <cell r="N22">
            <v>38595</v>
          </cell>
          <cell r="P22">
            <v>7273.51</v>
          </cell>
        </row>
        <row r="23">
          <cell r="B23">
            <v>0</v>
          </cell>
          <cell r="D23" t="str">
            <v>1000010503</v>
          </cell>
          <cell r="H23" t="str">
            <v>2005</v>
          </cell>
          <cell r="N23">
            <v>38595</v>
          </cell>
          <cell r="P23">
            <v>0</v>
          </cell>
        </row>
        <row r="24">
          <cell r="B24">
            <v>0</v>
          </cell>
          <cell r="D24" t="str">
            <v>1000010504</v>
          </cell>
          <cell r="H24" t="str">
            <v>2005</v>
          </cell>
          <cell r="N24">
            <v>38595</v>
          </cell>
          <cell r="P24">
            <v>797694.34</v>
          </cell>
        </row>
        <row r="25">
          <cell r="B25">
            <v>0</v>
          </cell>
          <cell r="D25" t="str">
            <v>1000010504</v>
          </cell>
          <cell r="H25" t="str">
            <v>2005</v>
          </cell>
          <cell r="N25">
            <v>38595</v>
          </cell>
          <cell r="P25">
            <v>0</v>
          </cell>
        </row>
        <row r="26">
          <cell r="B26">
            <v>0</v>
          </cell>
          <cell r="D26" t="str">
            <v>1000010504</v>
          </cell>
          <cell r="H26" t="str">
            <v>2005</v>
          </cell>
          <cell r="N26">
            <v>38595</v>
          </cell>
          <cell r="P26">
            <v>0</v>
          </cell>
        </row>
        <row r="27">
          <cell r="B27">
            <v>0</v>
          </cell>
          <cell r="D27" t="str">
            <v>1000010504</v>
          </cell>
          <cell r="H27" t="str">
            <v>2005</v>
          </cell>
          <cell r="N27">
            <v>38595</v>
          </cell>
          <cell r="P27">
            <v>713791.68</v>
          </cell>
        </row>
        <row r="28">
          <cell r="B28">
            <v>0</v>
          </cell>
          <cell r="D28" t="str">
            <v>1000010505</v>
          </cell>
          <cell r="H28" t="str">
            <v>2005</v>
          </cell>
          <cell r="N28">
            <v>38595</v>
          </cell>
          <cell r="P28">
            <v>9108.65</v>
          </cell>
        </row>
        <row r="29">
          <cell r="B29">
            <v>0</v>
          </cell>
          <cell r="D29" t="str">
            <v>1000010505</v>
          </cell>
          <cell r="H29" t="str">
            <v>2005</v>
          </cell>
          <cell r="N29">
            <v>38595</v>
          </cell>
          <cell r="P29">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 ADV TRACKING IVL"/>
      <sheetName val="DESP JAN'06 ROW"/>
      <sheetName val="IVL INV"/>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 val=" Samples"/>
      <sheetName val="Free_Goods"/>
      <sheetName val="Adcef"/>
      <sheetName val="Alprax"/>
      <sheetName val="Asthafen"/>
      <sheetName val="Diclo."/>
      <sheetName val="Domstal"/>
      <sheetName val="Droxyl"/>
      <sheetName val="Esserm"/>
      <sheetName val="Fegem"/>
      <sheetName val="Lefra"/>
      <sheetName val="Lopam."/>
      <sheetName val="Malocide"/>
      <sheetName val="Moxif"/>
      <sheetName val="Nexpro"/>
      <sheetName val="One_up"/>
      <sheetName val="Oesto."/>
      <sheetName val="Quintor"/>
      <sheetName val="Ranitin"/>
      <sheetName val="Sevist."/>
      <sheetName val="Topcef"/>
      <sheetName val="Topcid"/>
      <sheetName val="Torrox"/>
      <sheetName val="Tormox."/>
      <sheetName val="Torocef"/>
      <sheetName val="Prim_EX"/>
      <sheetName val="Common expenses"/>
      <sheetName val="S.P - Others"/>
      <sheetName val="Prima_total"/>
      <sheetName val="Summary"/>
      <sheetName val="DomstalMPS"/>
      <sheetName val="DomstalOD"/>
      <sheetName val="DroxylOD"/>
      <sheetName val="ToroxxGel"/>
      <sheetName val="ToroxxTiza"/>
      <sheetName val="Val"/>
      <sheetName val="Pare"/>
      <sheetName val="RanitinD"/>
      <sheetName val="Tranex"/>
      <sheetName val="Prima_nn"/>
      <sheetName val="common_new"/>
      <sheetName val="common_Tot"/>
      <sheetName val="Total_new"/>
      <sheetName val="Total_Prim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CRO"/>
      <sheetName val="Sheet1"/>
      <sheetName val="FA"/>
      <sheetName val="Fasset"/>
      <sheetName val="MISC"/>
      <sheetName val="#REF"/>
      <sheetName val="summary"/>
      <sheetName val="BSHEET"/>
      <sheetName val="RES"/>
      <sheetName val="Cont"/>
      <sheetName val="2.Fixed Assets Schedule"/>
      <sheetName val="MACH&amp;EQUIP "/>
      <sheetName val="NSR_E"/>
      <sheetName val="TOT_COST"/>
      <sheetName val="wc-UGAAP"/>
      <sheetName val="BSPL2003"/>
      <sheetName val="Internet"/>
      <sheetName val="BUDGET"/>
      <sheetName val="Legend"/>
      <sheetName val="Profit &amp; Loss"/>
      <sheetName val="Schedules_BS"/>
      <sheetName val="Balance Sheet"/>
      <sheetName val="RELACION REFERENCIAS"/>
      <sheetName val="3CD-ANX"/>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al"/>
      <sheetName val="Accounts"/>
      <sheetName val="Depreciation"/>
      <sheetName val="notes"/>
      <sheetName val="notes2"/>
      <sheetName val="note3"/>
      <sheetName val="notes4"/>
      <sheetName val="Note 5"/>
      <sheetName val="Note 6"/>
      <sheetName val="note 7"/>
      <sheetName val="CASHFLOW "/>
      <sheetName val="Abstrac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sheetName val="Data"/>
      <sheetName val="fcl"/>
      <sheetName val="expired"/>
      <sheetName val="Results"/>
      <sheetName val="DURGESH"/>
      <sheetName val="DRS"/>
      <sheetName val="sum"/>
      <sheetName val="#REF"/>
      <sheetName val="INCOME "/>
      <sheetName val="schedules"/>
      <sheetName val="IFE"/>
      <sheetName val="anx18"/>
      <sheetName val="Assumption"/>
      <sheetName val="BS_RSLACS"/>
      <sheetName val="Debtor"/>
      <sheetName val="Fee Rate Summary"/>
      <sheetName val="Headings"/>
      <sheetName val="営業収益"/>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P"/>
      <sheetName val="Vistar"/>
      <sheetName val="Bobby"/>
      <sheetName val="Imp"/>
      <sheetName val="FMC"/>
      <sheetName val="S~K~Int + Rat"/>
      <sheetName val="Imp (2)"/>
      <sheetName val="ETA"/>
      <sheetName val="Canter &amp; Bell Control"/>
      <sheetName val="Mark"/>
      <sheetName val="Mirrors"/>
      <sheetName val="Nagarwalla"/>
      <sheetName val="Reunion"/>
      <sheetName val="Aluplex"/>
      <sheetName val="Patel"/>
      <sheetName val="Nitco"/>
      <sheetName val="Channa"/>
      <sheetName val="Shiv"/>
      <sheetName val="Jay-Art"/>
      <sheetName val="Divecha"/>
      <sheetName val="BE~GRoom"/>
      <sheetName val="BE"/>
      <sheetName val="Anko"/>
      <sheetName val="Aquatech"/>
      <sheetName val="Bharat"/>
      <sheetName val="Arun"/>
      <sheetName val="Reunion - El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P"/>
      <sheetName val="Vistar"/>
      <sheetName val="Bobby"/>
      <sheetName val="Imp"/>
      <sheetName val="FMC"/>
      <sheetName val="S~K~Int + Rat"/>
      <sheetName val="Imp (2)"/>
      <sheetName val="ETA"/>
      <sheetName val="Canter &amp; Bell Control"/>
      <sheetName val="Mark"/>
      <sheetName val="Mirrors"/>
      <sheetName val="Nagarwalla"/>
      <sheetName val="Reunion"/>
      <sheetName val="Aluplex"/>
      <sheetName val="Patel"/>
      <sheetName val="Nitco"/>
      <sheetName val="Channa"/>
      <sheetName val="Shiv"/>
      <sheetName val="Jay-Art"/>
      <sheetName val="Divecha"/>
      <sheetName val="BE~GRoom"/>
      <sheetName val="BE"/>
      <sheetName val="Anko"/>
      <sheetName val="Aquatech"/>
      <sheetName val="Bharat"/>
      <sheetName val="Arun"/>
      <sheetName val="Reunion - El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A"/>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CLIST"/>
      <sheetName val="1"/>
      <sheetName val="3"/>
      <sheetName val="4"/>
      <sheetName val="5"/>
      <sheetName val="6"/>
      <sheetName val="8"/>
      <sheetName val="9"/>
      <sheetName val="10"/>
      <sheetName val="11"/>
      <sheetName val="12"/>
      <sheetName val="13"/>
      <sheetName val="14"/>
      <sheetName val="15"/>
      <sheetName val="17"/>
      <sheetName val="18"/>
      <sheetName val="20"/>
      <sheetName val="21"/>
      <sheetName val="22"/>
      <sheetName val="23"/>
      <sheetName val="24"/>
      <sheetName val="25"/>
      <sheetName val="26"/>
      <sheetName val="27"/>
      <sheetName val="28"/>
      <sheetName val="29"/>
      <sheetName val="30"/>
      <sheetName val="31"/>
      <sheetName val="List"/>
      <sheetName val="Top sheet"/>
      <sheetName val="0102-obdata"/>
      <sheetName val="Pivot"/>
      <sheetName val="TOTAL"/>
      <sheetName val="Sheet1"/>
      <sheetName val="Ob3-0102"/>
      <sheetName val="Expenses_2003 &amp; 2004"/>
      <sheetName val="Sales 2003 upto Oct"/>
      <sheetName val="OUTLOOK-2004-0."/>
      <sheetName val="FI320"/>
      <sheetName val="FI205"/>
      <sheetName val="Instructions"/>
      <sheetName val="HE Parameters"/>
      <sheetName val="Upload"/>
      <sheetName val="Validations"/>
      <sheetName val="FI183"/>
      <sheetName val="FI300"/>
      <sheetName val="FI100"/>
      <sheetName val="FI105"/>
      <sheetName val="FI110"/>
      <sheetName val="FI111"/>
      <sheetName val="FI135"/>
      <sheetName val="FI150"/>
      <sheetName val="FI160"/>
      <sheetName val="FI163"/>
      <sheetName val="FI166"/>
      <sheetName val="FI170"/>
      <sheetName val="FI173"/>
      <sheetName val="FI180"/>
      <sheetName val="FI190"/>
      <sheetName val="FI220"/>
      <sheetName val="FI240"/>
      <sheetName val="FI310"/>
      <sheetName val="FI350"/>
      <sheetName val="FI360"/>
      <sheetName val="FI400"/>
      <sheetName val="FI470"/>
      <sheetName val="FI480"/>
      <sheetName val="fi300 support New"/>
      <sheetName val="Analysis"/>
      <sheetName val="Grouping-New"/>
      <sheetName val="OPS"/>
      <sheetName val="Cost entries"/>
      <sheetName val="Dev-Copa"/>
      <sheetName val="olk-actuals"/>
      <sheetName val="FI300 working"/>
      <sheetName val="Core Meet"/>
      <sheetName val="SUMMARY"/>
      <sheetName val="CL STOCK"/>
      <sheetName val="VPC-PPC"/>
      <sheetName val="Freight"/>
      <sheetName val="B-SHEET"/>
      <sheetName val="P&amp;L"/>
      <sheetName val="NOTE_2 TO 21(B)"/>
      <sheetName val="GROUPINGS"/>
      <sheetName val="2"/>
      <sheetName val="Check list"/>
      <sheetName val="Controls"/>
      <sheetName val="CASH FLOW "/>
      <sheetName val="FI100-Dec-03"/>
      <sheetName val="Ledger Drill"/>
      <sheetName val="Interest on Loan from Director"/>
      <sheetName val="Supplier"/>
      <sheetName val="2008-09 "/>
      <sheetName val="Data"/>
      <sheetName val="April-00"/>
      <sheetName val="A16C"/>
      <sheetName val="FSA"/>
      <sheetName val="B"/>
      <sheetName val="FF-2 (1)"/>
      <sheetName val="Data Validation"/>
      <sheetName val="Sheet2"/>
      <sheetName val="Dep"/>
      <sheetName val="FROM2"/>
      <sheetName val="jan'04"/>
      <sheetName val="Sec.IV Pl"/>
      <sheetName val="Checks"/>
      <sheetName val="Bal Sheet"/>
      <sheetName val="Profit Loss"/>
      <sheetName val="CF"/>
      <sheetName val="3 4"/>
      <sheetName val="5 6"/>
      <sheetName val="7"/>
      <sheetName val="9 Old"/>
      <sheetName val="10 11 12"/>
      <sheetName val="13 14"/>
      <sheetName val="15 16"/>
      <sheetName val="18 19 20"/>
      <sheetName val="21 22"/>
      <sheetName val="24 25 26 27"/>
      <sheetName val="28 to 35"/>
      <sheetName val="BS"/>
      <sheetName val="PL"/>
      <sheetName val="Jan to Mar 2010"/>
      <sheetName val="Jan-Dec 2011"/>
      <sheetName val="April to Dec 2010"/>
      <sheetName val="TB"/>
      <sheetName val="AJE - IGAAP"/>
      <sheetName val="ST LT"/>
      <sheetName val="TB M13"/>
      <sheetName val="TM M12"/>
      <sheetName val="Sheet3"/>
      <sheetName val="Top_sheet"/>
      <sheetName val="Interest_on_Loan_from_Director"/>
      <sheetName val="FA sch"/>
      <sheetName val="RHO"/>
      <sheetName val="SUmmary For MGMT"/>
      <sheetName val="Break up"/>
      <sheetName val="GAP"/>
      <sheetName val="proposal"/>
      <sheetName val="5M Act FC"/>
      <sheetName val="R&amp;M 7M"/>
      <sheetName val=" Tech Guidance 7M"/>
      <sheetName val="Adm 7M"/>
      <sheetName val="Sheet1 (2)"/>
      <sheetName val="Interco account"/>
      <sheetName val="FX rates"/>
      <sheetName val="#REF"/>
      <sheetName val="Input"/>
      <sheetName val="PBCLST"/>
      <sheetName val="üÍXg"/>
      <sheetName val="TRIAL BALANCE"/>
      <sheetName val="CURRENT MONTH"/>
      <sheetName val="ASSETS"/>
      <sheetName val="UB-3-Break up"/>
      <sheetName val="PointNo.5"/>
      <sheetName val="QoQ analysis - Dept level"/>
      <sheetName val="2.Fixed Assets Schedule"/>
      <sheetName val="Basis"/>
      <sheetName val="PLF"/>
      <sheetName val="Expenses_2003_&amp;_2004"/>
      <sheetName val="Sales_2003_upto_Oct"/>
      <sheetName val="OUTLOOK-2004-0_"/>
      <sheetName val="HE_Parameters"/>
      <sheetName val="fi300_support_New"/>
      <sheetName val="Cost_entries"/>
      <sheetName val="FI300_working"/>
      <sheetName val="Core_Meet"/>
      <sheetName val="CL_STOCK"/>
      <sheetName val="NOTE_2_TO_21(B)"/>
      <sheetName val="Check_list"/>
      <sheetName val="CASH_FLOW_"/>
      <sheetName val="Interco_account"/>
      <sheetName val="FX_rates"/>
      <sheetName val="Bal_Sheet"/>
      <sheetName val="Profit_Loss"/>
      <sheetName val="3_4"/>
      <sheetName val="5_6"/>
      <sheetName val="9_Old"/>
      <sheetName val="10_11_12"/>
      <sheetName val="13_14"/>
      <sheetName val="15_16"/>
      <sheetName val="18_19_20"/>
      <sheetName val="21_22"/>
      <sheetName val="24_25_26_27"/>
      <sheetName val="28_to_35"/>
      <sheetName val="Jan_to_Mar_2010"/>
      <sheetName val="Jan-Dec_2011"/>
      <sheetName val="April_to_Dec_2010"/>
      <sheetName val="AJE_-_IGAAP"/>
      <sheetName val="ST_LT"/>
      <sheetName val="TB_M13"/>
      <sheetName val="TM_M12"/>
      <sheetName val="Expenses_2003_&amp;_20041"/>
      <sheetName val="Sales_2003_upto_Oct1"/>
      <sheetName val="OUTLOOK-2004-0_1"/>
      <sheetName val="HE_Parameters1"/>
      <sheetName val="fi300_support_New1"/>
      <sheetName val="Cost_entries1"/>
      <sheetName val="FI300_working1"/>
      <sheetName val="Core_Meet1"/>
      <sheetName val="CL_STOCK1"/>
      <sheetName val="NOTE_2_TO_21(B)1"/>
      <sheetName val="Check_list1"/>
      <sheetName val="CASH_FLOW_1"/>
      <sheetName val="Interco_account1"/>
      <sheetName val="FX_rates1"/>
      <sheetName val="Bal_Sheet1"/>
      <sheetName val="Profit_Loss1"/>
      <sheetName val="3_41"/>
      <sheetName val="5_61"/>
      <sheetName val="9_Old1"/>
      <sheetName val="10_11_121"/>
      <sheetName val="13_141"/>
      <sheetName val="15_161"/>
      <sheetName val="18_19_201"/>
      <sheetName val="21_221"/>
      <sheetName val="24_25_26_271"/>
      <sheetName val="28_to_351"/>
      <sheetName val="Jan_to_Mar_20101"/>
      <sheetName val="Jan-Dec_20111"/>
      <sheetName val="April_to_Dec_20101"/>
      <sheetName val="AJE_-_IGAAP1"/>
      <sheetName val="ST_LT1"/>
      <sheetName val="TB_M131"/>
      <sheetName val="TM_M121"/>
      <sheetName val="Expenses_2003_&amp;_20042"/>
      <sheetName val="Sales_2003_upto_Oct2"/>
      <sheetName val="OUTLOOK-2004-0_2"/>
      <sheetName val="HE_Parameters2"/>
      <sheetName val="fi300_support_New2"/>
      <sheetName val="Cost_entries2"/>
      <sheetName val="FI300_working2"/>
      <sheetName val="Core_Meet2"/>
      <sheetName val="CL_STOCK2"/>
      <sheetName val="NOTE_2_TO_21(B)2"/>
      <sheetName val="Check_list2"/>
      <sheetName val="CASH_FLOW_2"/>
      <sheetName val="Interco_account2"/>
      <sheetName val="FX_rates2"/>
      <sheetName val="Bal_Sheet2"/>
      <sheetName val="Profit_Loss2"/>
      <sheetName val="3_42"/>
      <sheetName val="5_62"/>
      <sheetName val="9_Old2"/>
      <sheetName val="10_11_122"/>
      <sheetName val="13_142"/>
      <sheetName val="15_162"/>
      <sheetName val="18_19_202"/>
      <sheetName val="21_222"/>
      <sheetName val="24_25_26_272"/>
      <sheetName val="28_to_352"/>
      <sheetName val="Jan_to_Mar_20102"/>
      <sheetName val="Jan-Dec_20112"/>
      <sheetName val="April_to_Dec_20102"/>
      <sheetName val="AJE_-_IGAAP2"/>
      <sheetName val="ST_LT2"/>
      <sheetName val="TB_M132"/>
      <sheetName val="TM_M122"/>
      <sheetName val="Directors"/>
      <sheetName val="Comp"/>
      <sheetName val=""/>
      <sheetName val="Expenses_2003_&amp;_20043"/>
      <sheetName val="Sales_2003_upto_Oct3"/>
      <sheetName val="OUTLOOK-2004-0_3"/>
      <sheetName val="HE_Parameters3"/>
      <sheetName val="fi300_support_New3"/>
      <sheetName val="Cost_entries3"/>
      <sheetName val="FI300_working3"/>
      <sheetName val="Core_Meet3"/>
      <sheetName val="CL_STOCK3"/>
      <sheetName val="NOTE_2_TO_21(B)3"/>
      <sheetName val="Check_list3"/>
      <sheetName val="CASH_FLOW_3"/>
      <sheetName val="Interco_account3"/>
      <sheetName val="FX_rates3"/>
      <sheetName val="Bal_Sheet3"/>
      <sheetName val="Profit_Loss3"/>
      <sheetName val="3_43"/>
      <sheetName val="5_63"/>
      <sheetName val="9_Old3"/>
      <sheetName val="10_11_123"/>
      <sheetName val="13_143"/>
      <sheetName val="15_163"/>
      <sheetName val="18_19_203"/>
      <sheetName val="21_223"/>
      <sheetName val="24_25_26_273"/>
      <sheetName val="28_to_353"/>
      <sheetName val="Jan_to_Mar_20103"/>
      <sheetName val="Jan-Dec_20113"/>
      <sheetName val="April_to_Dec_20103"/>
      <sheetName val="AJE_-_IGAAP3"/>
      <sheetName val="ST_LT3"/>
      <sheetName val="TB_M133"/>
      <sheetName val="TM_M123"/>
      <sheetName val="Movement"/>
      <sheetName val="GL (2)"/>
      <sheetName val="Sheet4"/>
      <sheetName val="SGST Input"/>
      <sheetName val="CGST Input"/>
      <sheetName val="Temp List"/>
      <sheetName val="ENGG_VAL"/>
      <sheetName val="BS01"/>
      <sheetName val="SA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
      <sheetName val="GUJ. DIS (2)"/>
      <sheetName val="GUJ. DIS"/>
      <sheetName val="SEP  (2)"/>
      <sheetName val="Sheet1"/>
    </sheetNames>
    <sheetDataSet>
      <sheetData sheetId="0" refreshError="1"/>
      <sheetData sheetId="1" refreshError="1"/>
      <sheetData sheetId="2" refreshError="1"/>
      <sheetData sheetId="3" refreshError="1"/>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c."/>
      <sheetName val="Bermuda"/>
      <sheetName val="India "/>
      <sheetName val="China"/>
      <sheetName val="com"/>
      <sheetName val="Singapore"/>
      <sheetName val="For Excel"/>
    </sheetNames>
    <sheetDataSet>
      <sheetData sheetId="0" refreshError="1">
        <row r="89">
          <cell r="C89" t="str">
            <v>IP 1</v>
          </cell>
        </row>
        <row r="90">
          <cell r="C90" t="str">
            <v>IP 2</v>
          </cell>
        </row>
        <row r="91">
          <cell r="C91" t="str">
            <v>IP 3</v>
          </cell>
        </row>
        <row r="92">
          <cell r="C92" t="str">
            <v>IP 4</v>
          </cell>
        </row>
        <row r="93">
          <cell r="C93" t="str">
            <v>IP 5</v>
          </cell>
        </row>
        <row r="94">
          <cell r="C94" t="str">
            <v>IR 1</v>
          </cell>
        </row>
        <row r="95">
          <cell r="C95" t="str">
            <v>IR 2</v>
          </cell>
        </row>
        <row r="96">
          <cell r="C96" t="str">
            <v>IR 3</v>
          </cell>
        </row>
        <row r="97">
          <cell r="C97" t="str">
            <v>IR 4</v>
          </cell>
        </row>
        <row r="98">
          <cell r="C98" t="str">
            <v>BR 1</v>
          </cell>
        </row>
        <row r="99">
          <cell r="C99" t="str">
            <v>BR 2</v>
          </cell>
        </row>
        <row r="100">
          <cell r="C100" t="str">
            <v>MR 1</v>
          </cell>
        </row>
        <row r="101">
          <cell r="C101" t="str">
            <v>MR 2</v>
          </cell>
        </row>
        <row r="102">
          <cell r="C102" t="str">
            <v>CRC</v>
          </cell>
        </row>
        <row r="103">
          <cell r="C103" t="str">
            <v>MR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 val="Trial Balance - MARCH 2006"/>
      <sheetName val="HBI NCD"/>
      <sheetName val=""/>
      <sheetName val="FOIL"/>
      <sheetName val="Related_Par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 val="Trial Balance - MARCH 2006"/>
      <sheetName val="HBI NCD"/>
      <sheetName val=""/>
      <sheetName val="FOIL"/>
      <sheetName val="Related_Par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
      <sheetName val="G1"/>
      <sheetName val="A"/>
      <sheetName val="B"/>
      <sheetName val="C"/>
      <sheetName val="D"/>
      <sheetName val="AA"/>
      <sheetName val="AA1"/>
      <sheetName val="DD1"/>
      <sheetName val="DD2"/>
      <sheetName val="AA2"/>
      <sheetName val="Transacciones afiliadas"/>
    </sheetNames>
    <sheetDataSet>
      <sheetData sheetId="0"/>
      <sheetData sheetId="1"/>
      <sheetData sheetId="2"/>
      <sheetData sheetId="3"/>
      <sheetData sheetId="4" refreshError="1">
        <row r="1">
          <cell r="A1" t="str">
            <v>DIOPTRA, S.A. DE C.V.</v>
          </cell>
        </row>
        <row r="2">
          <cell r="A2" t="str">
            <v>08 INVENTARIOS.- INTEGRACION AL 30 DE JUNIO DEL 2000.</v>
          </cell>
        </row>
        <row r="4">
          <cell r="B4" t="str">
            <v>D E S C R I P C I O N</v>
          </cell>
          <cell r="D4" t="str">
            <v>PARCIAL</v>
          </cell>
          <cell r="E4" t="str">
            <v>TOTAL</v>
          </cell>
        </row>
        <row r="6">
          <cell r="A6" t="str">
            <v>01</v>
          </cell>
          <cell r="B6" t="str">
            <v>ARTICULOS TERMINADOS</v>
          </cell>
        </row>
        <row r="7">
          <cell r="A7" t="str">
            <v>02</v>
          </cell>
          <cell r="B7" t="str">
            <v>ARTICULOS IMPORTADOS</v>
          </cell>
        </row>
        <row r="8">
          <cell r="B8" t="str">
            <v>01  ARMAZONES</v>
          </cell>
          <cell r="E8">
            <v>173168.24000000028</v>
          </cell>
        </row>
        <row r="10">
          <cell r="A10" t="str">
            <v>05</v>
          </cell>
          <cell r="B10" t="str">
            <v>REFACC. FRESAS Y CORTADORES</v>
          </cell>
        </row>
        <row r="11">
          <cell r="A11" t="str">
            <v>01</v>
          </cell>
          <cell r="B11" t="str">
            <v>DE LINEA</v>
          </cell>
          <cell r="D11">
            <v>155006.12</v>
          </cell>
        </row>
        <row r="12">
          <cell r="B12" t="str">
            <v>02     DE LENTO MOVIMIENTO</v>
          </cell>
          <cell r="D12">
            <v>12157.59</v>
          </cell>
          <cell r="E12">
            <v>167163.71</v>
          </cell>
        </row>
        <row r="15">
          <cell r="A15" t="str">
            <v>08</v>
          </cell>
          <cell r="B15" t="str">
            <v>MERCANCIAS EN TRANSITO</v>
          </cell>
        </row>
        <row r="16">
          <cell r="A16" t="str">
            <v>01</v>
          </cell>
          <cell r="B16" t="str">
            <v>MOULIN OPTICAL MANUFACTORY</v>
          </cell>
          <cell r="D16">
            <v>22885.200000000001</v>
          </cell>
        </row>
        <row r="17">
          <cell r="A17" t="str">
            <v>15</v>
          </cell>
          <cell r="B17" t="str">
            <v>L.B.I. KOREA, LTD.</v>
          </cell>
          <cell r="D17">
            <v>31508.39</v>
          </cell>
        </row>
        <row r="18">
          <cell r="A18" t="str">
            <v>24</v>
          </cell>
          <cell r="B18" t="str">
            <v>L.B.I. LUNETTE, LTD.</v>
          </cell>
          <cell r="D18">
            <v>46254.44</v>
          </cell>
        </row>
        <row r="19">
          <cell r="A19" t="str">
            <v>28</v>
          </cell>
          <cell r="B19" t="str">
            <v>CE-TRU OPTICAL</v>
          </cell>
          <cell r="D19">
            <v>36099.869999999995</v>
          </cell>
          <cell r="E19">
            <v>136747.9</v>
          </cell>
        </row>
        <row r="20">
          <cell r="C20" t="str">
            <v>PARCIAL</v>
          </cell>
          <cell r="E20">
            <v>477079.85000000033</v>
          </cell>
        </row>
        <row r="22">
          <cell r="B22" t="str">
            <v>MENOS: RESERVA PARA INV. OBSOLETOS</v>
          </cell>
          <cell r="E22">
            <v>-167163.71</v>
          </cell>
        </row>
        <row r="24">
          <cell r="B24" t="str">
            <v>TOTAL INVENTARIOS</v>
          </cell>
          <cell r="E24">
            <v>309916.14000000036</v>
          </cell>
        </row>
      </sheetData>
      <sheetData sheetId="5"/>
      <sheetData sheetId="6"/>
      <sheetData sheetId="7"/>
      <sheetData sheetId="8"/>
      <sheetData sheetId="9"/>
      <sheetData sheetId="10"/>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IMS"/>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04"/>
      <sheetName val="adjsch-V"/>
      <sheetName val="Sheet1"/>
      <sheetName val="0604"/>
      <sheetName val="sch-v"/>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
      <sheetName val="Sep-MIS"/>
      <sheetName val="BS"/>
      <sheetName val="sl&amp;cog"/>
      <sheetName val="exp"/>
      <sheetName val="PNL"/>
      <sheetName val="CMCQTYP"/>
    </sheetNames>
    <sheetDataSet>
      <sheetData sheetId="0" refreshError="1"/>
      <sheetData sheetId="1" refreshError="1"/>
      <sheetData sheetId="2" refreshError="1"/>
      <sheetData sheetId="3" refreshError="1"/>
      <sheetData sheetId="4" refreshError="1"/>
      <sheetData sheetId="5" refreshError="1">
        <row r="86">
          <cell r="A86" t="str">
            <v>Actual Data for Previous year Profit &amp; Loss Account  of Zydus Cadila</v>
          </cell>
        </row>
        <row r="88">
          <cell r="B88">
            <v>38443</v>
          </cell>
          <cell r="C88">
            <v>38473</v>
          </cell>
          <cell r="D88">
            <v>38504</v>
          </cell>
          <cell r="E88">
            <v>38534</v>
          </cell>
          <cell r="F88">
            <v>38565</v>
          </cell>
          <cell r="G88">
            <v>38596</v>
          </cell>
          <cell r="H88">
            <v>38626</v>
          </cell>
          <cell r="I88">
            <v>38657</v>
          </cell>
          <cell r="J88">
            <v>38687</v>
          </cell>
          <cell r="K88">
            <v>38718</v>
          </cell>
          <cell r="L88">
            <v>38749</v>
          </cell>
          <cell r="M88">
            <v>38777</v>
          </cell>
          <cell r="N88" t="str">
            <v>Total</v>
          </cell>
          <cell r="O88">
            <v>38443</v>
          </cell>
          <cell r="P88">
            <v>38473</v>
          </cell>
          <cell r="Q88">
            <v>38504</v>
          </cell>
          <cell r="R88">
            <v>38534</v>
          </cell>
          <cell r="S88">
            <v>38565</v>
          </cell>
          <cell r="T88">
            <v>38596</v>
          </cell>
          <cell r="U88">
            <v>38626</v>
          </cell>
          <cell r="V88">
            <v>38657</v>
          </cell>
          <cell r="W88">
            <v>38687</v>
          </cell>
          <cell r="X88">
            <v>38718</v>
          </cell>
          <cell r="Y88">
            <v>38749</v>
          </cell>
          <cell r="Z88">
            <v>38777</v>
          </cell>
        </row>
        <row r="90">
          <cell r="A90" t="str">
            <v>Sales</v>
          </cell>
          <cell r="B90">
            <v>157.25</v>
          </cell>
          <cell r="C90">
            <v>96.25</v>
          </cell>
          <cell r="D90">
            <v>116.9</v>
          </cell>
          <cell r="E90">
            <v>142.77000000000001</v>
          </cell>
          <cell r="F90">
            <v>165.5</v>
          </cell>
          <cell r="G90">
            <v>118.15</v>
          </cell>
          <cell r="H90">
            <v>140.56</v>
          </cell>
          <cell r="I90">
            <v>167.25</v>
          </cell>
          <cell r="J90">
            <v>387.02</v>
          </cell>
          <cell r="K90">
            <v>175.54</v>
          </cell>
          <cell r="L90">
            <v>146.62</v>
          </cell>
          <cell r="M90">
            <v>308.60000000000002</v>
          </cell>
          <cell r="N90">
            <v>2122.41</v>
          </cell>
          <cell r="O90">
            <v>157.25</v>
          </cell>
          <cell r="P90">
            <v>253.5</v>
          </cell>
          <cell r="Q90">
            <v>370.4</v>
          </cell>
          <cell r="R90">
            <v>513.16999999999996</v>
          </cell>
          <cell r="S90">
            <v>678.67</v>
          </cell>
          <cell r="T90">
            <v>796.81999999999994</v>
          </cell>
          <cell r="U90">
            <v>937.37999999999988</v>
          </cell>
          <cell r="V90">
            <v>1104.6299999999999</v>
          </cell>
          <cell r="W90">
            <v>1491.6499999999999</v>
          </cell>
          <cell r="X90">
            <v>1667.1899999999998</v>
          </cell>
          <cell r="Y90">
            <v>1813.81</v>
          </cell>
          <cell r="Z90">
            <v>2122.41</v>
          </cell>
        </row>
        <row r="91">
          <cell r="A91" t="str">
            <v>Manufactured Products</v>
          </cell>
          <cell r="B91">
            <v>157.25</v>
          </cell>
          <cell r="C91">
            <v>96.25</v>
          </cell>
          <cell r="D91">
            <v>116.9</v>
          </cell>
          <cell r="E91">
            <v>142.77000000000001</v>
          </cell>
          <cell r="F91">
            <v>165.5</v>
          </cell>
          <cell r="G91">
            <v>118.15</v>
          </cell>
          <cell r="H91">
            <v>140.56</v>
          </cell>
          <cell r="I91">
            <v>167.25</v>
          </cell>
          <cell r="J91">
            <v>387.02</v>
          </cell>
          <cell r="K91">
            <v>175.54</v>
          </cell>
          <cell r="L91">
            <v>146.62</v>
          </cell>
          <cell r="M91">
            <v>308.60000000000002</v>
          </cell>
          <cell r="N91">
            <v>2122.41</v>
          </cell>
          <cell r="O91">
            <v>157.25</v>
          </cell>
          <cell r="P91">
            <v>253.5</v>
          </cell>
          <cell r="Q91">
            <v>370.4</v>
          </cell>
          <cell r="R91">
            <v>513.16999999999996</v>
          </cell>
          <cell r="S91">
            <v>678.67</v>
          </cell>
          <cell r="T91">
            <v>796.81999999999994</v>
          </cell>
          <cell r="U91">
            <v>937.37999999999988</v>
          </cell>
          <cell r="V91">
            <v>1104.6299999999999</v>
          </cell>
          <cell r="W91">
            <v>1491.6499999999999</v>
          </cell>
          <cell r="X91">
            <v>1667.1899999999998</v>
          </cell>
          <cell r="Y91">
            <v>1813.81</v>
          </cell>
          <cell r="Z91">
            <v>2122.41</v>
          </cell>
        </row>
        <row r="92">
          <cell r="A92" t="str">
            <v>Traded Products</v>
          </cell>
          <cell r="N92">
            <v>0</v>
          </cell>
          <cell r="O92">
            <v>0</v>
          </cell>
          <cell r="P92">
            <v>0</v>
          </cell>
          <cell r="Q92">
            <v>0</v>
          </cell>
          <cell r="R92">
            <v>0</v>
          </cell>
          <cell r="S92">
            <v>0</v>
          </cell>
          <cell r="T92">
            <v>0</v>
          </cell>
          <cell r="U92">
            <v>0</v>
          </cell>
          <cell r="V92">
            <v>0</v>
          </cell>
          <cell r="W92">
            <v>0</v>
          </cell>
          <cell r="X92">
            <v>0</v>
          </cell>
          <cell r="Y92">
            <v>0</v>
          </cell>
          <cell r="Z92">
            <v>0</v>
          </cell>
        </row>
        <row r="93">
          <cell r="A93" t="str">
            <v>Institutional</v>
          </cell>
          <cell r="N93">
            <v>0</v>
          </cell>
          <cell r="O93">
            <v>0</v>
          </cell>
          <cell r="P93">
            <v>0</v>
          </cell>
          <cell r="Q93">
            <v>0</v>
          </cell>
          <cell r="R93">
            <v>0</v>
          </cell>
          <cell r="S93">
            <v>0</v>
          </cell>
          <cell r="T93">
            <v>0</v>
          </cell>
          <cell r="U93">
            <v>0</v>
          </cell>
          <cell r="V93">
            <v>0</v>
          </cell>
          <cell r="W93">
            <v>0</v>
          </cell>
          <cell r="X93">
            <v>0</v>
          </cell>
          <cell r="Y93">
            <v>0</v>
          </cell>
          <cell r="Z93">
            <v>0</v>
          </cell>
        </row>
        <row r="95">
          <cell r="A95" t="str">
            <v>Cost of Sales</v>
          </cell>
          <cell r="B95">
            <v>61.27</v>
          </cell>
          <cell r="C95">
            <v>59.28</v>
          </cell>
          <cell r="D95">
            <v>70.41</v>
          </cell>
          <cell r="E95">
            <v>89.02</v>
          </cell>
          <cell r="F95">
            <v>82.7</v>
          </cell>
          <cell r="G95">
            <v>56.77</v>
          </cell>
          <cell r="H95">
            <v>88.55</v>
          </cell>
          <cell r="I95">
            <v>81.03</v>
          </cell>
          <cell r="J95">
            <v>190.97</v>
          </cell>
          <cell r="K95">
            <v>98.45</v>
          </cell>
          <cell r="L95">
            <v>74.11</v>
          </cell>
          <cell r="M95">
            <v>153.47</v>
          </cell>
          <cell r="N95">
            <v>1106.03</v>
          </cell>
          <cell r="O95">
            <v>61.27</v>
          </cell>
          <cell r="P95">
            <v>120.55000000000001</v>
          </cell>
          <cell r="Q95">
            <v>190.96</v>
          </cell>
          <cell r="R95">
            <v>279.98</v>
          </cell>
          <cell r="S95">
            <v>362.68</v>
          </cell>
          <cell r="T95">
            <v>419.45</v>
          </cell>
          <cell r="U95">
            <v>508</v>
          </cell>
          <cell r="V95">
            <v>589.03</v>
          </cell>
          <cell r="W95">
            <v>780</v>
          </cell>
          <cell r="X95">
            <v>878.45</v>
          </cell>
          <cell r="Y95">
            <v>952.56000000000006</v>
          </cell>
          <cell r="Z95">
            <v>1106.03</v>
          </cell>
        </row>
        <row r="96">
          <cell r="A96" t="str">
            <v>Manufactured Product-cog</v>
          </cell>
          <cell r="B96">
            <v>61.27</v>
          </cell>
          <cell r="C96">
            <v>59.28</v>
          </cell>
          <cell r="D96">
            <v>70.41</v>
          </cell>
          <cell r="E96">
            <v>89.02</v>
          </cell>
          <cell r="F96">
            <v>82.7</v>
          </cell>
          <cell r="G96">
            <v>56.77</v>
          </cell>
          <cell r="H96">
            <v>88.55</v>
          </cell>
          <cell r="I96">
            <v>81.03</v>
          </cell>
          <cell r="J96">
            <v>190.97</v>
          </cell>
          <cell r="K96">
            <v>98.45</v>
          </cell>
          <cell r="L96">
            <v>74.11</v>
          </cell>
          <cell r="M96">
            <v>153.47</v>
          </cell>
          <cell r="N96">
            <v>1106.03</v>
          </cell>
          <cell r="O96">
            <v>61.27</v>
          </cell>
          <cell r="P96">
            <v>120.55000000000001</v>
          </cell>
          <cell r="Q96">
            <v>190.96</v>
          </cell>
          <cell r="R96">
            <v>279.98</v>
          </cell>
          <cell r="S96">
            <v>362.68</v>
          </cell>
          <cell r="T96">
            <v>419.45</v>
          </cell>
          <cell r="U96">
            <v>508</v>
          </cell>
          <cell r="V96">
            <v>589.03</v>
          </cell>
          <cell r="W96">
            <v>780</v>
          </cell>
          <cell r="X96">
            <v>878.45</v>
          </cell>
          <cell r="Y96">
            <v>952.56000000000006</v>
          </cell>
          <cell r="Z96">
            <v>1106.03</v>
          </cell>
        </row>
        <row r="97">
          <cell r="A97" t="str">
            <v>Traded Product-cog</v>
          </cell>
          <cell r="N97">
            <v>0</v>
          </cell>
          <cell r="O97">
            <v>0</v>
          </cell>
          <cell r="P97">
            <v>0</v>
          </cell>
          <cell r="Q97">
            <v>0</v>
          </cell>
          <cell r="R97">
            <v>0</v>
          </cell>
          <cell r="S97">
            <v>0</v>
          </cell>
          <cell r="T97">
            <v>0</v>
          </cell>
          <cell r="U97">
            <v>0</v>
          </cell>
          <cell r="V97">
            <v>0</v>
          </cell>
          <cell r="W97">
            <v>0</v>
          </cell>
          <cell r="X97">
            <v>0</v>
          </cell>
          <cell r="Y97">
            <v>0</v>
          </cell>
          <cell r="Z97">
            <v>0</v>
          </cell>
        </row>
        <row r="98">
          <cell r="A98" t="str">
            <v>Saving from  Prodn/Purchase</v>
          </cell>
          <cell r="O98">
            <v>0</v>
          </cell>
          <cell r="P98">
            <v>0</v>
          </cell>
          <cell r="Q98">
            <v>0</v>
          </cell>
          <cell r="R98">
            <v>0</v>
          </cell>
          <cell r="S98">
            <v>0</v>
          </cell>
          <cell r="T98">
            <v>0</v>
          </cell>
          <cell r="U98">
            <v>0</v>
          </cell>
          <cell r="V98">
            <v>0</v>
          </cell>
          <cell r="W98">
            <v>0</v>
          </cell>
          <cell r="X98">
            <v>0</v>
          </cell>
          <cell r="Y98">
            <v>0</v>
          </cell>
          <cell r="Z98">
            <v>0</v>
          </cell>
        </row>
        <row r="100">
          <cell r="A100" t="str">
            <v>Contribution</v>
          </cell>
          <cell r="B100">
            <v>95.97999999999999</v>
          </cell>
          <cell r="C100">
            <v>36.97</v>
          </cell>
          <cell r="D100">
            <v>46.490000000000009</v>
          </cell>
          <cell r="E100">
            <v>53.750000000000014</v>
          </cell>
          <cell r="F100">
            <v>82.8</v>
          </cell>
          <cell r="G100">
            <v>61.38</v>
          </cell>
          <cell r="H100">
            <v>52.010000000000005</v>
          </cell>
          <cell r="I100">
            <v>86.22</v>
          </cell>
          <cell r="J100">
            <v>196.04999999999998</v>
          </cell>
          <cell r="K100">
            <v>77.089999999999989</v>
          </cell>
          <cell r="L100">
            <v>72.510000000000005</v>
          </cell>
          <cell r="M100">
            <v>155.13000000000002</v>
          </cell>
          <cell r="N100">
            <v>1016.38</v>
          </cell>
          <cell r="O100">
            <v>95.97999999999999</v>
          </cell>
          <cell r="P100">
            <v>132.94999999999999</v>
          </cell>
          <cell r="Q100">
            <v>179.44</v>
          </cell>
          <cell r="R100">
            <v>233.19</v>
          </cell>
          <cell r="S100">
            <v>315.99</v>
          </cell>
          <cell r="T100">
            <v>377.37</v>
          </cell>
          <cell r="U100">
            <v>429.38</v>
          </cell>
          <cell r="V100">
            <v>515.6</v>
          </cell>
          <cell r="W100">
            <v>711.65</v>
          </cell>
          <cell r="X100">
            <v>788.74</v>
          </cell>
          <cell r="Y100">
            <v>861.25</v>
          </cell>
          <cell r="Z100">
            <v>1016.38</v>
          </cell>
        </row>
        <row r="101">
          <cell r="A101" t="str">
            <v>Manufactured Products</v>
          </cell>
          <cell r="B101">
            <v>95.97999999999999</v>
          </cell>
          <cell r="C101">
            <v>36.97</v>
          </cell>
          <cell r="D101">
            <v>46.490000000000009</v>
          </cell>
          <cell r="E101">
            <v>53.750000000000014</v>
          </cell>
          <cell r="F101">
            <v>82.8</v>
          </cell>
          <cell r="G101">
            <v>61.38</v>
          </cell>
          <cell r="H101">
            <v>52.010000000000005</v>
          </cell>
          <cell r="I101">
            <v>86.22</v>
          </cell>
          <cell r="J101">
            <v>196.04999999999998</v>
          </cell>
          <cell r="K101">
            <v>77.089999999999989</v>
          </cell>
          <cell r="L101">
            <v>72.510000000000005</v>
          </cell>
          <cell r="M101">
            <v>155.13000000000002</v>
          </cell>
          <cell r="N101">
            <v>1016.38</v>
          </cell>
          <cell r="O101">
            <v>95.97999999999999</v>
          </cell>
          <cell r="P101">
            <v>132.94999999999999</v>
          </cell>
          <cell r="Q101">
            <v>179.44</v>
          </cell>
          <cell r="R101">
            <v>233.19</v>
          </cell>
          <cell r="S101">
            <v>315.99</v>
          </cell>
          <cell r="T101">
            <v>377.37</v>
          </cell>
          <cell r="U101">
            <v>429.38</v>
          </cell>
          <cell r="V101">
            <v>515.6</v>
          </cell>
          <cell r="W101">
            <v>711.65</v>
          </cell>
          <cell r="X101">
            <v>788.74</v>
          </cell>
          <cell r="Y101">
            <v>861.25</v>
          </cell>
          <cell r="Z101">
            <v>1016.38</v>
          </cell>
        </row>
        <row r="102">
          <cell r="A102" t="str">
            <v>Traded Products</v>
          </cell>
          <cell r="N102">
            <v>0</v>
          </cell>
          <cell r="O102">
            <v>0</v>
          </cell>
          <cell r="P102">
            <v>0</v>
          </cell>
          <cell r="Q102">
            <v>0</v>
          </cell>
          <cell r="R102">
            <v>0</v>
          </cell>
          <cell r="S102">
            <v>0</v>
          </cell>
          <cell r="T102">
            <v>0</v>
          </cell>
          <cell r="U102">
            <v>0</v>
          </cell>
          <cell r="V102">
            <v>0</v>
          </cell>
          <cell r="W102">
            <v>0</v>
          </cell>
          <cell r="X102">
            <v>0</v>
          </cell>
          <cell r="Y102">
            <v>0</v>
          </cell>
          <cell r="Z102">
            <v>0</v>
          </cell>
        </row>
        <row r="103">
          <cell r="A103" t="str">
            <v>Institutional</v>
          </cell>
          <cell r="N103">
            <v>0</v>
          </cell>
          <cell r="O103">
            <v>0</v>
          </cell>
          <cell r="P103">
            <v>0</v>
          </cell>
          <cell r="Q103">
            <v>0</v>
          </cell>
          <cell r="R103">
            <v>0</v>
          </cell>
          <cell r="S103">
            <v>0</v>
          </cell>
          <cell r="T103">
            <v>0</v>
          </cell>
          <cell r="U103">
            <v>0</v>
          </cell>
          <cell r="V103">
            <v>0</v>
          </cell>
          <cell r="W103">
            <v>0</v>
          </cell>
          <cell r="X103">
            <v>0</v>
          </cell>
          <cell r="Y103">
            <v>0</v>
          </cell>
          <cell r="Z103">
            <v>0</v>
          </cell>
        </row>
        <row r="105">
          <cell r="A105" t="str">
            <v>Other Income</v>
          </cell>
          <cell r="B105">
            <v>0</v>
          </cell>
          <cell r="C105">
            <v>0</v>
          </cell>
          <cell r="D105">
            <v>0</v>
          </cell>
          <cell r="E105">
            <v>2.4</v>
          </cell>
          <cell r="F105">
            <v>7.39</v>
          </cell>
          <cell r="G105">
            <v>0</v>
          </cell>
          <cell r="H105">
            <v>0</v>
          </cell>
          <cell r="I105">
            <v>0</v>
          </cell>
          <cell r="J105">
            <v>0</v>
          </cell>
          <cell r="K105">
            <v>0</v>
          </cell>
          <cell r="L105">
            <v>0</v>
          </cell>
          <cell r="M105">
            <v>0</v>
          </cell>
          <cell r="N105">
            <v>0</v>
          </cell>
          <cell r="O105">
            <v>0</v>
          </cell>
          <cell r="P105">
            <v>0</v>
          </cell>
          <cell r="Q105">
            <v>0</v>
          </cell>
          <cell r="R105">
            <v>2.4</v>
          </cell>
          <cell r="S105">
            <v>9.7899999999999991</v>
          </cell>
          <cell r="T105">
            <v>9.7899999999999991</v>
          </cell>
          <cell r="U105">
            <v>9.7899999999999991</v>
          </cell>
          <cell r="V105">
            <v>9.7899999999999991</v>
          </cell>
          <cell r="W105">
            <v>9.7899999999999991</v>
          </cell>
          <cell r="X105">
            <v>9.7899999999999991</v>
          </cell>
          <cell r="Y105">
            <v>9.7899999999999991</v>
          </cell>
          <cell r="Z105">
            <v>9.7899999999999991</v>
          </cell>
        </row>
        <row r="107">
          <cell r="A107" t="str">
            <v>Overheads</v>
          </cell>
          <cell r="B107">
            <v>71.31</v>
          </cell>
          <cell r="C107">
            <v>70.84</v>
          </cell>
          <cell r="D107">
            <v>73.12</v>
          </cell>
          <cell r="E107">
            <v>73.44</v>
          </cell>
          <cell r="F107">
            <v>78.099999999999994</v>
          </cell>
          <cell r="G107">
            <v>78.679999999999993</v>
          </cell>
          <cell r="H107">
            <v>62.319999999999993</v>
          </cell>
          <cell r="I107">
            <v>58.680000000000007</v>
          </cell>
          <cell r="J107">
            <v>73.94</v>
          </cell>
          <cell r="K107">
            <v>66.820000000000007</v>
          </cell>
          <cell r="L107">
            <v>72.31</v>
          </cell>
          <cell r="M107">
            <v>64.75</v>
          </cell>
          <cell r="N107">
            <v>844.31000000000017</v>
          </cell>
          <cell r="O107">
            <v>71.31</v>
          </cell>
          <cell r="P107">
            <v>142.15</v>
          </cell>
          <cell r="Q107">
            <v>215.27</v>
          </cell>
          <cell r="R107">
            <v>288.71000000000004</v>
          </cell>
          <cell r="S107">
            <v>366.81000000000006</v>
          </cell>
          <cell r="T107">
            <v>445.49</v>
          </cell>
          <cell r="U107">
            <v>507.81</v>
          </cell>
          <cell r="V107">
            <v>566.49</v>
          </cell>
          <cell r="W107">
            <v>640.43000000000006</v>
          </cell>
          <cell r="X107">
            <v>707.25000000000011</v>
          </cell>
          <cell r="Y107">
            <v>779.56000000000006</v>
          </cell>
          <cell r="Z107">
            <v>844.31000000000017</v>
          </cell>
        </row>
        <row r="108">
          <cell r="A108" t="str">
            <v>Personal Cost</v>
          </cell>
          <cell r="B108">
            <v>21.12</v>
          </cell>
          <cell r="C108">
            <v>21.16</v>
          </cell>
          <cell r="D108">
            <v>21.48</v>
          </cell>
          <cell r="E108">
            <v>18.8</v>
          </cell>
          <cell r="F108">
            <v>21.16</v>
          </cell>
          <cell r="G108">
            <v>11.24</v>
          </cell>
          <cell r="H108">
            <v>21.16</v>
          </cell>
          <cell r="I108">
            <v>21.16</v>
          </cell>
          <cell r="J108">
            <v>22.01</v>
          </cell>
          <cell r="K108">
            <v>21.16</v>
          </cell>
          <cell r="L108">
            <v>21.16</v>
          </cell>
          <cell r="M108">
            <v>26.08</v>
          </cell>
          <cell r="N108">
            <v>247.69</v>
          </cell>
          <cell r="O108">
            <v>21.12</v>
          </cell>
          <cell r="P108">
            <v>42.28</v>
          </cell>
          <cell r="Q108">
            <v>63.760000000000005</v>
          </cell>
          <cell r="R108">
            <v>82.56</v>
          </cell>
          <cell r="S108">
            <v>103.72</v>
          </cell>
          <cell r="T108">
            <v>114.96</v>
          </cell>
          <cell r="U108">
            <v>136.12</v>
          </cell>
          <cell r="V108">
            <v>157.28</v>
          </cell>
          <cell r="W108">
            <v>179.29</v>
          </cell>
          <cell r="X108">
            <v>200.45</v>
          </cell>
          <cell r="Y108">
            <v>221.60999999999999</v>
          </cell>
          <cell r="Z108">
            <v>247.69</v>
          </cell>
        </row>
        <row r="109">
          <cell r="A109" t="str">
            <v>Charge to Manufacturing SBU</v>
          </cell>
          <cell r="N109">
            <v>0</v>
          </cell>
          <cell r="O109">
            <v>0</v>
          </cell>
          <cell r="P109">
            <v>0</v>
          </cell>
          <cell r="Q109">
            <v>0</v>
          </cell>
          <cell r="R109">
            <v>0</v>
          </cell>
          <cell r="S109">
            <v>0</v>
          </cell>
          <cell r="T109">
            <v>0</v>
          </cell>
          <cell r="U109">
            <v>0</v>
          </cell>
          <cell r="V109">
            <v>0</v>
          </cell>
          <cell r="W109">
            <v>0</v>
          </cell>
          <cell r="X109">
            <v>0</v>
          </cell>
          <cell r="Y109">
            <v>0</v>
          </cell>
          <cell r="Z109">
            <v>0</v>
          </cell>
        </row>
        <row r="110">
          <cell r="A110" t="str">
            <v>Corporate Expenses</v>
          </cell>
          <cell r="N110">
            <v>0</v>
          </cell>
          <cell r="O110">
            <v>0</v>
          </cell>
          <cell r="P110">
            <v>0</v>
          </cell>
          <cell r="Q110">
            <v>0</v>
          </cell>
          <cell r="R110">
            <v>0</v>
          </cell>
          <cell r="S110">
            <v>0</v>
          </cell>
          <cell r="T110">
            <v>0</v>
          </cell>
          <cell r="U110">
            <v>0</v>
          </cell>
          <cell r="V110">
            <v>0</v>
          </cell>
          <cell r="W110">
            <v>0</v>
          </cell>
          <cell r="X110">
            <v>0</v>
          </cell>
          <cell r="Y110">
            <v>0</v>
          </cell>
          <cell r="Z110">
            <v>0</v>
          </cell>
        </row>
        <row r="111">
          <cell r="A111" t="str">
            <v>Administration Expenses</v>
          </cell>
          <cell r="N111">
            <v>0</v>
          </cell>
          <cell r="O111">
            <v>0</v>
          </cell>
          <cell r="P111">
            <v>0</v>
          </cell>
          <cell r="Q111">
            <v>0</v>
          </cell>
          <cell r="R111">
            <v>0</v>
          </cell>
          <cell r="S111">
            <v>0</v>
          </cell>
          <cell r="T111">
            <v>0</v>
          </cell>
          <cell r="U111">
            <v>0</v>
          </cell>
          <cell r="V111">
            <v>0</v>
          </cell>
          <cell r="W111">
            <v>0</v>
          </cell>
          <cell r="X111">
            <v>0</v>
          </cell>
          <cell r="Y111">
            <v>0</v>
          </cell>
          <cell r="Z111">
            <v>0</v>
          </cell>
        </row>
        <row r="112">
          <cell r="A112" t="str">
            <v>Production Expenses</v>
          </cell>
          <cell r="B112">
            <v>48.8</v>
          </cell>
          <cell r="C112">
            <v>47.09</v>
          </cell>
          <cell r="D112">
            <v>48.66</v>
          </cell>
          <cell r="E112">
            <v>51.09</v>
          </cell>
          <cell r="F112">
            <v>53.73</v>
          </cell>
          <cell r="G112">
            <v>64.75</v>
          </cell>
          <cell r="H112">
            <v>37.049999999999997</v>
          </cell>
          <cell r="I112">
            <v>34.85</v>
          </cell>
          <cell r="J112">
            <v>48.61</v>
          </cell>
          <cell r="K112">
            <v>42.29</v>
          </cell>
          <cell r="L112">
            <v>47.12</v>
          </cell>
          <cell r="M112">
            <v>34.619999999999997</v>
          </cell>
          <cell r="N112">
            <v>558.66000000000008</v>
          </cell>
          <cell r="O112">
            <v>48.8</v>
          </cell>
          <cell r="P112">
            <v>95.89</v>
          </cell>
          <cell r="Q112">
            <v>144.55000000000001</v>
          </cell>
          <cell r="R112">
            <v>195.64000000000001</v>
          </cell>
          <cell r="S112">
            <v>249.37</v>
          </cell>
          <cell r="T112">
            <v>314.12</v>
          </cell>
          <cell r="U112">
            <v>351.17</v>
          </cell>
          <cell r="V112">
            <v>386.02000000000004</v>
          </cell>
          <cell r="W112">
            <v>434.63000000000005</v>
          </cell>
          <cell r="X112">
            <v>476.92000000000007</v>
          </cell>
          <cell r="Y112">
            <v>524.04000000000008</v>
          </cell>
          <cell r="Z112">
            <v>558.66000000000008</v>
          </cell>
        </row>
        <row r="113">
          <cell r="A113" t="str">
            <v xml:space="preserve">Research &amp; Development </v>
          </cell>
          <cell r="N113">
            <v>0</v>
          </cell>
          <cell r="O113">
            <v>0</v>
          </cell>
          <cell r="P113">
            <v>0</v>
          </cell>
          <cell r="Q113">
            <v>0</v>
          </cell>
          <cell r="R113">
            <v>0</v>
          </cell>
          <cell r="S113">
            <v>0</v>
          </cell>
          <cell r="T113">
            <v>0</v>
          </cell>
          <cell r="U113">
            <v>0</v>
          </cell>
          <cell r="V113">
            <v>0</v>
          </cell>
          <cell r="W113">
            <v>0</v>
          </cell>
          <cell r="X113">
            <v>0</v>
          </cell>
          <cell r="Y113">
            <v>0</v>
          </cell>
          <cell r="Z113">
            <v>0</v>
          </cell>
        </row>
        <row r="114">
          <cell r="A114" t="str">
            <v>Marketing Expenses</v>
          </cell>
          <cell r="N114">
            <v>0</v>
          </cell>
          <cell r="O114">
            <v>0</v>
          </cell>
          <cell r="P114">
            <v>0</v>
          </cell>
          <cell r="Q114">
            <v>0</v>
          </cell>
          <cell r="R114">
            <v>0</v>
          </cell>
          <cell r="S114">
            <v>0</v>
          </cell>
          <cell r="T114">
            <v>0</v>
          </cell>
          <cell r="U114">
            <v>0</v>
          </cell>
          <cell r="V114">
            <v>0</v>
          </cell>
          <cell r="W114">
            <v>0</v>
          </cell>
          <cell r="X114">
            <v>0</v>
          </cell>
          <cell r="Y114">
            <v>0</v>
          </cell>
          <cell r="Z114">
            <v>0</v>
          </cell>
        </row>
        <row r="115">
          <cell r="A115" t="str">
            <v>Sales &amp; Distribution Expenses</v>
          </cell>
          <cell r="B115">
            <v>1.39</v>
          </cell>
          <cell r="C115">
            <v>2.59</v>
          </cell>
          <cell r="D115">
            <v>2.98</v>
          </cell>
          <cell r="E115">
            <v>3.55</v>
          </cell>
          <cell r="F115">
            <v>3.21</v>
          </cell>
          <cell r="G115">
            <v>2.69</v>
          </cell>
          <cell r="H115">
            <v>4.1100000000000003</v>
          </cell>
          <cell r="I115">
            <v>2.67</v>
          </cell>
          <cell r="J115">
            <v>3.32</v>
          </cell>
          <cell r="K115">
            <v>3.37</v>
          </cell>
          <cell r="L115">
            <v>4.03</v>
          </cell>
          <cell r="M115">
            <v>4.05</v>
          </cell>
          <cell r="N115">
            <v>37.959999999999994</v>
          </cell>
          <cell r="O115">
            <v>1.39</v>
          </cell>
          <cell r="P115">
            <v>3.9799999999999995</v>
          </cell>
          <cell r="Q115">
            <v>6.9599999999999991</v>
          </cell>
          <cell r="R115">
            <v>10.509999999999998</v>
          </cell>
          <cell r="S115">
            <v>13.719999999999999</v>
          </cell>
          <cell r="T115">
            <v>16.41</v>
          </cell>
          <cell r="U115">
            <v>20.52</v>
          </cell>
          <cell r="V115">
            <v>23.189999999999998</v>
          </cell>
          <cell r="W115">
            <v>26.509999999999998</v>
          </cell>
          <cell r="X115">
            <v>29.88</v>
          </cell>
          <cell r="Y115">
            <v>33.909999999999997</v>
          </cell>
          <cell r="Z115">
            <v>37.959999999999994</v>
          </cell>
        </row>
        <row r="117">
          <cell r="A117" t="str">
            <v>Operating Profit</v>
          </cell>
          <cell r="B117">
            <v>24.669999999999987</v>
          </cell>
          <cell r="C117">
            <v>-33.870000000000005</v>
          </cell>
          <cell r="D117">
            <v>-26.629999999999995</v>
          </cell>
          <cell r="E117">
            <v>-17.289999999999985</v>
          </cell>
          <cell r="F117">
            <v>12.090000000000003</v>
          </cell>
          <cell r="G117">
            <v>-17.29999999999999</v>
          </cell>
          <cell r="H117">
            <v>-10.309999999999988</v>
          </cell>
          <cell r="I117">
            <v>27.539999999999992</v>
          </cell>
          <cell r="J117">
            <v>122.10999999999999</v>
          </cell>
          <cell r="K117">
            <v>10.269999999999982</v>
          </cell>
          <cell r="L117">
            <v>0.20000000000000284</v>
          </cell>
          <cell r="M117">
            <v>90.380000000000024</v>
          </cell>
          <cell r="N117">
            <v>181.86</v>
          </cell>
          <cell r="O117">
            <v>24.669999999999987</v>
          </cell>
          <cell r="P117">
            <v>-9.2000000000000171</v>
          </cell>
          <cell r="Q117">
            <v>-35.830000000000013</v>
          </cell>
          <cell r="R117">
            <v>-53.120000000000033</v>
          </cell>
          <cell r="S117">
            <v>-41.03000000000003</v>
          </cell>
          <cell r="T117">
            <v>-58.329999999999984</v>
          </cell>
          <cell r="U117">
            <v>-68.639999999999986</v>
          </cell>
          <cell r="V117">
            <v>-41.100000000000023</v>
          </cell>
          <cell r="W117">
            <v>81.009999999999877</v>
          </cell>
          <cell r="X117">
            <v>91.279999999999859</v>
          </cell>
          <cell r="Y117">
            <v>91.479999999999905</v>
          </cell>
          <cell r="Z117">
            <v>181.8599999999999</v>
          </cell>
        </row>
        <row r="119">
          <cell r="A119" t="str">
            <v>Interest &amp; Depreciation</v>
          </cell>
          <cell r="B119">
            <v>37.229999999999997</v>
          </cell>
          <cell r="C119">
            <v>37.26</v>
          </cell>
          <cell r="D119">
            <v>36.69</v>
          </cell>
          <cell r="E119">
            <v>41.05</v>
          </cell>
          <cell r="F119">
            <v>40.07</v>
          </cell>
          <cell r="G119">
            <v>40.28</v>
          </cell>
          <cell r="H119">
            <v>40.549999999999997</v>
          </cell>
          <cell r="I119">
            <v>42.04</v>
          </cell>
          <cell r="J119">
            <v>42.67</v>
          </cell>
          <cell r="K119">
            <v>43.36</v>
          </cell>
          <cell r="L119">
            <v>43.23</v>
          </cell>
          <cell r="M119">
            <v>43.96</v>
          </cell>
          <cell r="N119">
            <v>488.39000000000004</v>
          </cell>
          <cell r="O119">
            <v>37.229999999999997</v>
          </cell>
          <cell r="P119">
            <v>74.489999999999995</v>
          </cell>
          <cell r="Q119">
            <v>111.18</v>
          </cell>
          <cell r="R119">
            <v>152.22999999999999</v>
          </cell>
          <cell r="S119">
            <v>192.3</v>
          </cell>
          <cell r="T119">
            <v>232.58</v>
          </cell>
          <cell r="U119">
            <v>273.13</v>
          </cell>
          <cell r="V119">
            <v>315.16999999999996</v>
          </cell>
          <cell r="W119">
            <v>357.84</v>
          </cell>
          <cell r="X119">
            <v>401.19999999999993</v>
          </cell>
          <cell r="Y119">
            <v>444.42999999999995</v>
          </cell>
          <cell r="Z119">
            <v>488.38999999999987</v>
          </cell>
        </row>
        <row r="120">
          <cell r="A120" t="str">
            <v>Variable Interest</v>
          </cell>
          <cell r="B120">
            <v>2.17</v>
          </cell>
          <cell r="C120">
            <v>2.2000000000000002</v>
          </cell>
          <cell r="D120">
            <v>1.63</v>
          </cell>
          <cell r="E120">
            <v>2.99</v>
          </cell>
          <cell r="F120">
            <v>2.0099999999999998</v>
          </cell>
          <cell r="G120">
            <v>2.2200000000000002</v>
          </cell>
          <cell r="H120">
            <v>2.4900000000000002</v>
          </cell>
          <cell r="I120">
            <v>3.98</v>
          </cell>
          <cell r="J120">
            <v>4.6100000000000003</v>
          </cell>
          <cell r="K120">
            <v>5.3</v>
          </cell>
          <cell r="L120">
            <v>5.17</v>
          </cell>
          <cell r="M120">
            <v>5.9</v>
          </cell>
          <cell r="N120">
            <v>40.67</v>
          </cell>
          <cell r="O120">
            <v>2.17</v>
          </cell>
          <cell r="P120">
            <v>4.37</v>
          </cell>
          <cell r="Q120">
            <v>6</v>
          </cell>
          <cell r="R120">
            <v>8.99</v>
          </cell>
          <cell r="S120">
            <v>11</v>
          </cell>
          <cell r="T120">
            <v>13.22</v>
          </cell>
          <cell r="U120">
            <v>15.71</v>
          </cell>
          <cell r="V120">
            <v>19.690000000000001</v>
          </cell>
          <cell r="W120">
            <v>24.3</v>
          </cell>
          <cell r="X120">
            <v>29.6</v>
          </cell>
          <cell r="Y120">
            <v>34.770000000000003</v>
          </cell>
          <cell r="Z120">
            <v>40.67</v>
          </cell>
        </row>
        <row r="121">
          <cell r="A121" t="str">
            <v>Fixed Interest</v>
          </cell>
          <cell r="B121">
            <v>19.23</v>
          </cell>
          <cell r="C121">
            <v>19.23</v>
          </cell>
          <cell r="D121">
            <v>19.23</v>
          </cell>
          <cell r="E121">
            <v>19.23</v>
          </cell>
          <cell r="F121">
            <v>19.23</v>
          </cell>
          <cell r="G121">
            <v>19.23</v>
          </cell>
          <cell r="H121">
            <v>19.23</v>
          </cell>
          <cell r="I121">
            <v>19.23</v>
          </cell>
          <cell r="J121">
            <v>19.23</v>
          </cell>
          <cell r="K121">
            <v>19.23</v>
          </cell>
          <cell r="L121">
            <v>19.23</v>
          </cell>
          <cell r="M121">
            <v>19.23</v>
          </cell>
          <cell r="N121">
            <v>230.75999999999996</v>
          </cell>
          <cell r="O121">
            <v>19.23</v>
          </cell>
          <cell r="P121">
            <v>38.46</v>
          </cell>
          <cell r="Q121">
            <v>57.69</v>
          </cell>
          <cell r="R121">
            <v>76.92</v>
          </cell>
          <cell r="S121">
            <v>96.15</v>
          </cell>
          <cell r="T121">
            <v>115.38000000000001</v>
          </cell>
          <cell r="U121">
            <v>134.61000000000001</v>
          </cell>
          <cell r="V121">
            <v>153.84</v>
          </cell>
          <cell r="W121">
            <v>173.07</v>
          </cell>
          <cell r="X121">
            <v>192.29999999999998</v>
          </cell>
          <cell r="Y121">
            <v>211.52999999999997</v>
          </cell>
          <cell r="Z121">
            <v>230.75999999999996</v>
          </cell>
        </row>
        <row r="122">
          <cell r="A122" t="str">
            <v>Total Interest</v>
          </cell>
          <cell r="B122">
            <v>21.4</v>
          </cell>
          <cell r="C122">
            <v>21.43</v>
          </cell>
          <cell r="D122">
            <v>20.86</v>
          </cell>
          <cell r="E122">
            <v>22.22</v>
          </cell>
          <cell r="F122">
            <v>21.240000000000002</v>
          </cell>
          <cell r="G122">
            <v>21.45</v>
          </cell>
          <cell r="H122">
            <v>21.72</v>
          </cell>
          <cell r="I122">
            <v>23.21</v>
          </cell>
          <cell r="J122">
            <v>23.84</v>
          </cell>
          <cell r="K122">
            <v>24.53</v>
          </cell>
          <cell r="L122">
            <v>24.4</v>
          </cell>
          <cell r="M122">
            <v>25.130000000000003</v>
          </cell>
          <cell r="N122">
            <v>271.43</v>
          </cell>
          <cell r="O122">
            <v>21.4</v>
          </cell>
          <cell r="P122">
            <v>42.83</v>
          </cell>
          <cell r="Q122">
            <v>63.69</v>
          </cell>
          <cell r="R122">
            <v>85.91</v>
          </cell>
          <cell r="S122">
            <v>107.15</v>
          </cell>
          <cell r="T122">
            <v>128.60000000000002</v>
          </cell>
          <cell r="U122">
            <v>150.32000000000002</v>
          </cell>
          <cell r="V122">
            <v>173.53</v>
          </cell>
          <cell r="W122">
            <v>197.37</v>
          </cell>
          <cell r="X122">
            <v>221.89999999999998</v>
          </cell>
          <cell r="Y122">
            <v>246.29999999999998</v>
          </cell>
          <cell r="Z122">
            <v>271.42999999999995</v>
          </cell>
        </row>
        <row r="123">
          <cell r="A123" t="str">
            <v>Depreciation</v>
          </cell>
          <cell r="B123">
            <v>15.83</v>
          </cell>
          <cell r="C123">
            <v>15.83</v>
          </cell>
          <cell r="D123">
            <v>15.83</v>
          </cell>
          <cell r="E123">
            <v>18.829999999999998</v>
          </cell>
          <cell r="F123">
            <v>18.829999999999998</v>
          </cell>
          <cell r="G123">
            <v>18.829999999999998</v>
          </cell>
          <cell r="H123">
            <v>18.829999999999998</v>
          </cell>
          <cell r="I123">
            <v>18.829999999999998</v>
          </cell>
          <cell r="J123">
            <v>18.829999999999998</v>
          </cell>
          <cell r="K123">
            <v>18.829999999999998</v>
          </cell>
          <cell r="L123">
            <v>18.829999999999998</v>
          </cell>
          <cell r="M123">
            <v>18.829999999999998</v>
          </cell>
          <cell r="N123">
            <v>216.95999999999992</v>
          </cell>
          <cell r="O123">
            <v>15.83</v>
          </cell>
          <cell r="P123">
            <v>31.66</v>
          </cell>
          <cell r="Q123">
            <v>47.49</v>
          </cell>
          <cell r="R123">
            <v>66.319999999999993</v>
          </cell>
          <cell r="S123">
            <v>85.149999999999991</v>
          </cell>
          <cell r="T123">
            <v>103.97999999999999</v>
          </cell>
          <cell r="U123">
            <v>122.80999999999999</v>
          </cell>
          <cell r="V123">
            <v>141.63999999999999</v>
          </cell>
          <cell r="W123">
            <v>160.46999999999997</v>
          </cell>
          <cell r="X123">
            <v>179.29999999999995</v>
          </cell>
          <cell r="Y123">
            <v>198.12999999999994</v>
          </cell>
          <cell r="Z123">
            <v>216.95999999999992</v>
          </cell>
        </row>
        <row r="125">
          <cell r="A125" t="str">
            <v>Net Profit</v>
          </cell>
          <cell r="B125">
            <v>-12.560000000000009</v>
          </cell>
          <cell r="C125">
            <v>-71.13</v>
          </cell>
          <cell r="D125">
            <v>-63.319999999999993</v>
          </cell>
          <cell r="E125">
            <v>-58.339999999999982</v>
          </cell>
          <cell r="F125">
            <v>-27.979999999999997</v>
          </cell>
          <cell r="G125">
            <v>-57.579999999999991</v>
          </cell>
          <cell r="H125">
            <v>-50.859999999999985</v>
          </cell>
          <cell r="I125">
            <v>-14.500000000000007</v>
          </cell>
          <cell r="J125">
            <v>79.439999999999984</v>
          </cell>
          <cell r="K125">
            <v>-33.090000000000018</v>
          </cell>
          <cell r="L125">
            <v>-43.029999999999994</v>
          </cell>
          <cell r="M125">
            <v>46.420000000000023</v>
          </cell>
          <cell r="N125">
            <v>-306.52999999999997</v>
          </cell>
          <cell r="O125">
            <v>-12.560000000000009</v>
          </cell>
          <cell r="P125">
            <v>-83.690000000000012</v>
          </cell>
          <cell r="Q125">
            <v>-147.01000000000002</v>
          </cell>
          <cell r="R125">
            <v>-205.35000000000002</v>
          </cell>
          <cell r="S125">
            <v>-233.33000000000004</v>
          </cell>
          <cell r="T125">
            <v>-290.90999999999997</v>
          </cell>
          <cell r="U125">
            <v>-341.77</v>
          </cell>
          <cell r="V125">
            <v>-356.27</v>
          </cell>
          <cell r="W125">
            <v>-276.8300000000001</v>
          </cell>
          <cell r="X125">
            <v>-309.92000000000007</v>
          </cell>
          <cell r="Y125">
            <v>-352.95000000000005</v>
          </cell>
          <cell r="Z125">
            <v>-306.52999999999997</v>
          </cell>
        </row>
      </sheetData>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Highlights"/>
      <sheetName val="P&amp;L_New_Format"/>
      <sheetName val="Sheet2"/>
      <sheetName val="Estimated_P&amp;L"/>
      <sheetName val="Sheet1"/>
      <sheetName val="NP"/>
      <sheetName val="exp"/>
      <sheetName val="WC"/>
      <sheetName val="TB Nutralite"/>
      <sheetName val="TB_Nutralite"/>
      <sheetName val="TB_CPD"/>
      <sheetName val="TB_CPd (2)"/>
      <sheetName val="TB_Sikkim (2)"/>
      <sheetName val="TB_Sikkim"/>
      <sheetName val="Brand P&amp;L"/>
      <sheetName val="Performance"/>
      <sheetName val="Mat_Qty"/>
      <sheetName val="GC-Final_Cpd"/>
      <sheetName val="Pivot"/>
      <sheetName val="GC CPD"/>
      <sheetName val="Variances"/>
      <sheetName val="Brand (2)"/>
      <sheetName val="EC PnL Format"/>
      <sheetName val="Sheet3"/>
    </sheetNames>
    <sheetDataSet>
      <sheetData sheetId="0">
        <row r="7">
          <cell r="D7" t="str">
            <v>Particulars</v>
          </cell>
        </row>
        <row r="90">
          <cell r="D90" t="str">
            <v>Particulars</v>
          </cell>
          <cell r="E90">
            <v>41640</v>
          </cell>
          <cell r="F90">
            <v>41671</v>
          </cell>
          <cell r="G90">
            <v>41699</v>
          </cell>
          <cell r="H90">
            <v>41730</v>
          </cell>
          <cell r="I90">
            <v>41760</v>
          </cell>
          <cell r="J90">
            <v>41791</v>
          </cell>
          <cell r="K90">
            <v>41821</v>
          </cell>
          <cell r="L90">
            <v>41852</v>
          </cell>
          <cell r="M90">
            <v>41883</v>
          </cell>
          <cell r="N90">
            <v>41913</v>
          </cell>
          <cell r="O90">
            <v>41944</v>
          </cell>
          <cell r="P90">
            <v>41974</v>
          </cell>
          <cell r="Q90">
            <v>41640</v>
          </cell>
          <cell r="R90">
            <v>41671</v>
          </cell>
          <cell r="S90">
            <v>41699</v>
          </cell>
          <cell r="T90">
            <v>41730</v>
          </cell>
          <cell r="U90">
            <v>41760</v>
          </cell>
          <cell r="V90">
            <v>41791</v>
          </cell>
          <cell r="W90">
            <v>41821</v>
          </cell>
          <cell r="X90">
            <v>41852</v>
          </cell>
          <cell r="Y90">
            <v>41883</v>
          </cell>
          <cell r="Z90">
            <v>41913</v>
          </cell>
          <cell r="AA90">
            <v>41944</v>
          </cell>
          <cell r="AB90">
            <v>41974</v>
          </cell>
        </row>
        <row r="91">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D92" t="str">
            <v>Sales</v>
          </cell>
          <cell r="E92">
            <v>28.766750176429074</v>
          </cell>
          <cell r="F92">
            <v>25.570444601270278</v>
          </cell>
          <cell r="G92">
            <v>28.766750176429074</v>
          </cell>
          <cell r="H92">
            <v>44.748278052222993</v>
          </cell>
          <cell r="I92">
            <v>95.889167254763606</v>
          </cell>
          <cell r="J92">
            <v>57.533500352858148</v>
          </cell>
          <cell r="K92">
            <v>63.926111503175719</v>
          </cell>
          <cell r="L92">
            <v>63.926111503175719</v>
          </cell>
          <cell r="M92">
            <v>191.77833450952721</v>
          </cell>
          <cell r="N92">
            <v>81.186161609033149</v>
          </cell>
          <cell r="O92">
            <v>95.889167254763606</v>
          </cell>
          <cell r="P92">
            <v>127.85222300635144</v>
          </cell>
          <cell r="Q92">
            <v>28.766750176429074</v>
          </cell>
          <cell r="R92">
            <v>54.337194777699352</v>
          </cell>
          <cell r="S92">
            <v>83.103944954128423</v>
          </cell>
          <cell r="T92">
            <v>127.85222300635141</v>
          </cell>
          <cell r="U92">
            <v>223.74139026111501</v>
          </cell>
          <cell r="V92">
            <v>281.27489061397318</v>
          </cell>
          <cell r="W92">
            <v>345.2010021171489</v>
          </cell>
          <cell r="X92">
            <v>409.12711362032462</v>
          </cell>
          <cell r="Y92">
            <v>600.90544812985183</v>
          </cell>
          <cell r="Z92">
            <v>682.09160973888493</v>
          </cell>
          <cell r="AA92">
            <v>777.98077699364853</v>
          </cell>
          <cell r="AB92">
            <v>905.83299999999997</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row>
        <row r="94">
          <cell r="D94" t="str">
            <v>Cost of Goods Sold</v>
          </cell>
          <cell r="E94">
            <v>12.893530422563165</v>
          </cell>
          <cell r="F94">
            <v>11.460915931167253</v>
          </cell>
          <cell r="G94">
            <v>12.893530422563165</v>
          </cell>
          <cell r="H94">
            <v>20.056602879542698</v>
          </cell>
          <cell r="I94">
            <v>42.978434741877187</v>
          </cell>
          <cell r="J94">
            <v>25.78706084512633</v>
          </cell>
          <cell r="K94">
            <v>28.652289827918143</v>
          </cell>
          <cell r="L94">
            <v>28.652289827918143</v>
          </cell>
          <cell r="M94">
            <v>85.956869483754375</v>
          </cell>
          <cell r="N94">
            <v>36.388408081456049</v>
          </cell>
          <cell r="O94">
            <v>42.978434741877187</v>
          </cell>
          <cell r="P94">
            <v>57.304579655836285</v>
          </cell>
          <cell r="Q94">
            <v>12.893530422563165</v>
          </cell>
          <cell r="R94">
            <v>24.354446353730417</v>
          </cell>
          <cell r="S94">
            <v>37.247976776293584</v>
          </cell>
          <cell r="T94">
            <v>57.304579655836278</v>
          </cell>
          <cell r="U94">
            <v>100.28301439771346</v>
          </cell>
          <cell r="V94">
            <v>126.07007524283979</v>
          </cell>
          <cell r="W94">
            <v>154.72236507075795</v>
          </cell>
          <cell r="X94">
            <v>183.37465489867608</v>
          </cell>
          <cell r="Y94">
            <v>269.33152438243047</v>
          </cell>
          <cell r="Z94">
            <v>305.71993246388649</v>
          </cell>
          <cell r="AA94">
            <v>348.6983672057637</v>
          </cell>
          <cell r="AB94">
            <v>406.00294686159998</v>
          </cell>
        </row>
        <row r="95">
          <cell r="D95" t="str">
            <v>Excise Recredit</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D96" t="str">
            <v>PRISM - II Savings</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row>
        <row r="97">
          <cell r="D97" t="str">
            <v>PSM Savings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row>
        <row r="99">
          <cell r="D99" t="str">
            <v>Contribution</v>
          </cell>
          <cell r="E99">
            <v>15.873219753865909</v>
          </cell>
          <cell r="F99">
            <v>14.109528670103025</v>
          </cell>
          <cell r="G99">
            <v>15.873219753865909</v>
          </cell>
          <cell r="H99">
            <v>24.691675172680295</v>
          </cell>
          <cell r="I99">
            <v>52.910732512886419</v>
          </cell>
          <cell r="J99">
            <v>31.746439507731818</v>
          </cell>
          <cell r="K99">
            <v>35.273821675257579</v>
          </cell>
          <cell r="L99">
            <v>35.273821675257579</v>
          </cell>
          <cell r="M99">
            <v>105.82146502577284</v>
          </cell>
          <cell r="N99">
            <v>44.7977535275771</v>
          </cell>
          <cell r="O99">
            <v>52.910732512886419</v>
          </cell>
          <cell r="P99">
            <v>70.547643350515159</v>
          </cell>
          <cell r="Q99">
            <v>15.873219753865909</v>
          </cell>
          <cell r="R99">
            <v>29.982748423968935</v>
          </cell>
          <cell r="S99">
            <v>45.855968177834846</v>
          </cell>
          <cell r="T99">
            <v>70.547643350515145</v>
          </cell>
          <cell r="U99">
            <v>123.45837586340156</v>
          </cell>
          <cell r="V99">
            <v>155.20481537113338</v>
          </cell>
          <cell r="W99">
            <v>190.47863704639096</v>
          </cell>
          <cell r="X99">
            <v>225.75245872164854</v>
          </cell>
          <cell r="Y99">
            <v>331.57392374742136</v>
          </cell>
          <cell r="Z99">
            <v>376.37167727499843</v>
          </cell>
          <cell r="AA99">
            <v>429.28240978788483</v>
          </cell>
          <cell r="AB99">
            <v>499.83005313839999</v>
          </cell>
        </row>
        <row r="100">
          <cell r="E100">
            <v>0.55179051010329705</v>
          </cell>
          <cell r="F100">
            <v>0.55179051010329705</v>
          </cell>
          <cell r="G100">
            <v>0.55179051010329705</v>
          </cell>
          <cell r="H100">
            <v>0.55179051010329705</v>
          </cell>
          <cell r="I100">
            <v>0.55179051010329749</v>
          </cell>
          <cell r="J100">
            <v>0.55179051010329705</v>
          </cell>
          <cell r="K100">
            <v>0.55179051010329716</v>
          </cell>
          <cell r="L100">
            <v>0.55179051010329716</v>
          </cell>
          <cell r="M100">
            <v>0.55179051010329749</v>
          </cell>
          <cell r="N100">
            <v>0.55179051010329694</v>
          </cell>
          <cell r="O100">
            <v>0.55179051010329749</v>
          </cell>
          <cell r="P100">
            <v>0.55179051010329716</v>
          </cell>
          <cell r="Q100">
            <v>0.55179051010329705</v>
          </cell>
          <cell r="R100">
            <v>0.55179051010329705</v>
          </cell>
          <cell r="S100">
            <v>0.55179051010329716</v>
          </cell>
          <cell r="T100">
            <v>0.55179051010329716</v>
          </cell>
          <cell r="U100">
            <v>0.55179051010329727</v>
          </cell>
          <cell r="V100">
            <v>0.55179051010329716</v>
          </cell>
          <cell r="W100">
            <v>0.55179051010329716</v>
          </cell>
          <cell r="X100">
            <v>0.55179051010329716</v>
          </cell>
          <cell r="Y100">
            <v>0.55179051010329727</v>
          </cell>
          <cell r="Z100">
            <v>0.55179051010329716</v>
          </cell>
          <cell r="AA100">
            <v>0.55179051010329716</v>
          </cell>
          <cell r="AB100">
            <v>0.55179051010329716</v>
          </cell>
        </row>
        <row r="101">
          <cell r="D101" t="str">
            <v>Overheads</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t="str">
            <v>Personnel Costs</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t="str">
            <v>Administration Exp</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t="str">
            <v>Regulatory Exp.</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t="str">
            <v>Production Exp</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row>
        <row r="106">
          <cell r="D106" t="str">
            <v xml:space="preserve">Research &amp; Development </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t="str">
            <v>Marketing Exp</v>
          </cell>
          <cell r="E107">
            <v>8.8430820324629487</v>
          </cell>
          <cell r="F107">
            <v>8.2549618066337302</v>
          </cell>
          <cell r="G107">
            <v>8.8430820324629487</v>
          </cell>
          <cell r="H107">
            <v>11.78368316160903</v>
          </cell>
          <cell r="I107">
            <v>21.1936067748765</v>
          </cell>
          <cell r="J107">
            <v>14.136164064925898</v>
          </cell>
          <cell r="K107">
            <v>15.312404516584332</v>
          </cell>
          <cell r="L107">
            <v>15.312404516584332</v>
          </cell>
          <cell r="M107">
            <v>38.837213549753002</v>
          </cell>
          <cell r="N107">
            <v>18.488253736062099</v>
          </cell>
          <cell r="O107">
            <v>21.1936067748765</v>
          </cell>
          <cell r="P107">
            <v>27.074809033168666</v>
          </cell>
          <cell r="Q107">
            <v>8.8430820324629487</v>
          </cell>
          <cell r="R107">
            <v>17.098043839096679</v>
          </cell>
          <cell r="S107">
            <v>25.941125871559628</v>
          </cell>
          <cell r="T107">
            <v>37.724809033168654</v>
          </cell>
          <cell r="U107">
            <v>58.918415808045154</v>
          </cell>
          <cell r="V107">
            <v>73.054579872971047</v>
          </cell>
          <cell r="W107">
            <v>88.366984389555384</v>
          </cell>
          <cell r="X107">
            <v>103.67938890613972</v>
          </cell>
          <cell r="Y107">
            <v>142.51660245589272</v>
          </cell>
          <cell r="Z107">
            <v>161.00485619195481</v>
          </cell>
          <cell r="AA107">
            <v>182.1984629668313</v>
          </cell>
          <cell r="AB107">
            <v>209.27327199999996</v>
          </cell>
        </row>
        <row r="108">
          <cell r="D108" t="str">
            <v>Trade, MRF Schemes &amp; Rate Matching</v>
          </cell>
          <cell r="E108">
            <v>6.5362457762879318</v>
          </cell>
          <cell r="F108">
            <v>6.0599962455892715</v>
          </cell>
          <cell r="G108">
            <v>6.5362457762879318</v>
          </cell>
          <cell r="H108">
            <v>8.9174934297812261</v>
          </cell>
          <cell r="I108">
            <v>16.537485920959774</v>
          </cell>
          <cell r="J108">
            <v>10.822491552575864</v>
          </cell>
          <cell r="K108">
            <v>11.774990613973182</v>
          </cell>
          <cell r="L108">
            <v>11.774990613973182</v>
          </cell>
          <cell r="M108">
            <v>30.824971841919552</v>
          </cell>
          <cell r="N108">
            <v>14.346738079745938</v>
          </cell>
          <cell r="O108">
            <v>16.537485920959774</v>
          </cell>
          <cell r="P108">
            <v>21.299981227946365</v>
          </cell>
          <cell r="Q108">
            <v>6.5362457762879318</v>
          </cell>
          <cell r="R108">
            <v>12.596242021877202</v>
          </cell>
          <cell r="S108">
            <v>19.132487798165133</v>
          </cell>
          <cell r="T108">
            <v>28.049981227946361</v>
          </cell>
          <cell r="U108">
            <v>44.587467148906136</v>
          </cell>
          <cell r="V108">
            <v>55.409958701481997</v>
          </cell>
          <cell r="W108">
            <v>67.184949315455185</v>
          </cell>
          <cell r="X108">
            <v>78.959939929428373</v>
          </cell>
          <cell r="Y108">
            <v>109.78491177134792</v>
          </cell>
          <cell r="Z108">
            <v>124.13164985109385</v>
          </cell>
          <cell r="AA108">
            <v>140.66913577205364</v>
          </cell>
          <cell r="AB108">
            <v>161.96911700000001</v>
          </cell>
        </row>
        <row r="109">
          <cell r="D109" t="str">
            <v>Field Related Costs</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row>
        <row r="110">
          <cell r="D110" t="str">
            <v>Marketing Support (Adv. + SP)</v>
          </cell>
          <cell r="E110">
            <v>0.86300250529287215</v>
          </cell>
          <cell r="F110">
            <v>0.76711333803810833</v>
          </cell>
          <cell r="G110">
            <v>0.86300250529287215</v>
          </cell>
          <cell r="H110">
            <v>1.3424483415666897</v>
          </cell>
          <cell r="I110">
            <v>2.8766750176429081</v>
          </cell>
          <cell r="J110">
            <v>1.7260050105857443</v>
          </cell>
          <cell r="K110">
            <v>1.9177833450952715</v>
          </cell>
          <cell r="L110">
            <v>1.9177833450952715</v>
          </cell>
          <cell r="M110">
            <v>5.7533500352858162</v>
          </cell>
          <cell r="N110">
            <v>2.4355848482709943</v>
          </cell>
          <cell r="O110">
            <v>2.8766750176429081</v>
          </cell>
          <cell r="P110">
            <v>3.835566690190543</v>
          </cell>
          <cell r="Q110">
            <v>0.86300250529287215</v>
          </cell>
          <cell r="R110">
            <v>1.6301158433309806</v>
          </cell>
          <cell r="S110">
            <v>2.4931183486238528</v>
          </cell>
          <cell r="T110">
            <v>3.8355666901905425</v>
          </cell>
          <cell r="U110">
            <v>6.7122417078334511</v>
          </cell>
          <cell r="V110">
            <v>8.4382467184191956</v>
          </cell>
          <cell r="W110">
            <v>10.356030063514467</v>
          </cell>
          <cell r="X110">
            <v>12.273813408609739</v>
          </cell>
          <cell r="Y110">
            <v>18.027163443895553</v>
          </cell>
          <cell r="Z110">
            <v>20.462748292166548</v>
          </cell>
          <cell r="AA110">
            <v>23.339423309809455</v>
          </cell>
          <cell r="AB110">
            <v>27.174989999999998</v>
          </cell>
        </row>
        <row r="111">
          <cell r="D111" t="str">
            <v>Other Mktg. Costs</v>
          </cell>
          <cell r="E111">
            <v>1.4438337508821446</v>
          </cell>
          <cell r="F111">
            <v>1.4278522230063504</v>
          </cell>
          <cell r="G111">
            <v>1.4438337508821446</v>
          </cell>
          <cell r="H111">
            <v>1.5237413902611143</v>
          </cell>
          <cell r="I111">
            <v>1.7794458362738172</v>
          </cell>
          <cell r="J111">
            <v>1.5876675017642905</v>
          </cell>
          <cell r="K111">
            <v>1.6196305575158778</v>
          </cell>
          <cell r="L111">
            <v>1.6196305575158778</v>
          </cell>
          <cell r="M111">
            <v>2.2588916725476338</v>
          </cell>
          <cell r="N111">
            <v>1.7059308080451663</v>
          </cell>
          <cell r="O111">
            <v>1.7794458362738172</v>
          </cell>
          <cell r="P111">
            <v>1.9392611150317585</v>
          </cell>
          <cell r="Q111">
            <v>1.4438337508821446</v>
          </cell>
          <cell r="R111">
            <v>2.871685973888495</v>
          </cell>
          <cell r="S111">
            <v>4.3155197247706401</v>
          </cell>
          <cell r="T111">
            <v>5.8392611150317544</v>
          </cell>
          <cell r="U111">
            <v>7.6187069513055716</v>
          </cell>
          <cell r="V111">
            <v>9.2063744530698628</v>
          </cell>
          <cell r="W111">
            <v>10.826005010585741</v>
          </cell>
          <cell r="X111">
            <v>12.445635568101618</v>
          </cell>
          <cell r="Y111">
            <v>14.704527240649252</v>
          </cell>
          <cell r="Z111">
            <v>16.410458048694419</v>
          </cell>
          <cell r="AA111">
            <v>18.189903884968238</v>
          </cell>
          <cell r="AB111">
            <v>20.129164999999997</v>
          </cell>
        </row>
        <row r="112">
          <cell r="D112" t="str">
            <v>Sales &amp; Distribution Exp</v>
          </cell>
          <cell r="E112">
            <v>1.2709150227946364</v>
          </cell>
          <cell r="F112">
            <v>1.1297022424841208</v>
          </cell>
          <cell r="G112">
            <v>1.2709150227946364</v>
          </cell>
          <cell r="H112">
            <v>2.6436455910138785</v>
          </cell>
          <cell r="I112">
            <v>4.9030500759821232</v>
          </cell>
          <cell r="J112">
            <v>3.2084967122559394</v>
          </cell>
          <cell r="K112">
            <v>3.4909222728769698</v>
          </cell>
          <cell r="L112">
            <v>3.4909222728769698</v>
          </cell>
          <cell r="M112">
            <v>9.1394334852975785</v>
          </cell>
          <cell r="N112">
            <v>4.2534712865537516</v>
          </cell>
          <cell r="O112">
            <v>4.9030500759821232</v>
          </cell>
          <cell r="P112">
            <v>6.3151778790872735</v>
          </cell>
          <cell r="Q112">
            <v>1.2709150227946364</v>
          </cell>
          <cell r="R112">
            <v>2.4006172652787572</v>
          </cell>
          <cell r="S112">
            <v>3.6715322880733936</v>
          </cell>
          <cell r="T112">
            <v>6.3151778790872726</v>
          </cell>
          <cell r="U112">
            <v>11.218227955069395</v>
          </cell>
          <cell r="V112">
            <v>14.426724667325335</v>
          </cell>
          <cell r="W112">
            <v>17.917646940202303</v>
          </cell>
          <cell r="X112">
            <v>21.408569213079272</v>
          </cell>
          <cell r="Y112">
            <v>30.548002698376848</v>
          </cell>
          <cell r="Z112">
            <v>34.801473984930603</v>
          </cell>
          <cell r="AA112">
            <v>39.704524060912725</v>
          </cell>
          <cell r="AB112">
            <v>46.019701939999997</v>
          </cell>
        </row>
        <row r="113">
          <cell r="D113" t="str">
            <v>Slim Savings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t="str">
            <v>Total Overheads (a+b)</v>
          </cell>
          <cell r="E114">
            <v>10.113997055257585</v>
          </cell>
          <cell r="F114">
            <v>9.3846640491178519</v>
          </cell>
          <cell r="G114">
            <v>10.113997055257585</v>
          </cell>
          <cell r="H114">
            <v>14.427328752622913</v>
          </cell>
          <cell r="I114">
            <v>26.096656850858622</v>
          </cell>
          <cell r="J114">
            <v>17.344660777181836</v>
          </cell>
          <cell r="K114">
            <v>18.803326789461302</v>
          </cell>
          <cell r="L114">
            <v>18.803326789461302</v>
          </cell>
          <cell r="M114">
            <v>47.976647035050576</v>
          </cell>
          <cell r="N114">
            <v>22.741725022615853</v>
          </cell>
          <cell r="O114">
            <v>26.096656850858622</v>
          </cell>
          <cell r="P114">
            <v>33.389986912255935</v>
          </cell>
          <cell r="Q114">
            <v>10.113997055257585</v>
          </cell>
          <cell r="R114">
            <v>19.498661104375433</v>
          </cell>
          <cell r="S114">
            <v>29.612658159633021</v>
          </cell>
          <cell r="T114">
            <v>44.039986912255941</v>
          </cell>
          <cell r="U114">
            <v>70.136643763114563</v>
          </cell>
          <cell r="V114">
            <v>87.481304540296421</v>
          </cell>
          <cell r="W114">
            <v>106.28463132975772</v>
          </cell>
          <cell r="X114">
            <v>125.08795811921898</v>
          </cell>
          <cell r="Y114">
            <v>173.0646051542696</v>
          </cell>
          <cell r="Z114">
            <v>195.80633017688544</v>
          </cell>
          <cell r="AA114">
            <v>221.90298702774402</v>
          </cell>
          <cell r="AB114">
            <v>255.29297394000002</v>
          </cell>
        </row>
        <row r="115">
          <cell r="D115" t="str">
            <v>OPERATING PROFIT (LOSS)</v>
          </cell>
          <cell r="E115">
            <v>5.7592226986083244</v>
          </cell>
          <cell r="F115">
            <v>4.7248646209851728</v>
          </cell>
          <cell r="G115">
            <v>5.7592226986083244</v>
          </cell>
          <cell r="H115">
            <v>10.264346420057382</v>
          </cell>
          <cell r="I115">
            <v>26.814075662027797</v>
          </cell>
          <cell r="J115">
            <v>14.401778730549982</v>
          </cell>
          <cell r="K115">
            <v>16.470494885796278</v>
          </cell>
          <cell r="L115">
            <v>16.470494885796278</v>
          </cell>
          <cell r="M115">
            <v>57.844817990722262</v>
          </cell>
          <cell r="N115">
            <v>22.056028504961247</v>
          </cell>
          <cell r="O115">
            <v>26.814075662027797</v>
          </cell>
          <cell r="P115">
            <v>37.157656438259224</v>
          </cell>
          <cell r="Q115">
            <v>5.7592226986083244</v>
          </cell>
          <cell r="R115">
            <v>10.484087319593497</v>
          </cell>
          <cell r="S115">
            <v>16.243310018201822</v>
          </cell>
          <cell r="T115">
            <v>26.507656438259204</v>
          </cell>
          <cell r="U115">
            <v>53.321732100287001</v>
          </cell>
          <cell r="V115">
            <v>67.723510830836986</v>
          </cell>
          <cell r="W115">
            <v>84.194005716633256</v>
          </cell>
          <cell r="X115">
            <v>100.66450060242954</v>
          </cell>
          <cell r="Y115">
            <v>158.50931859315182</v>
          </cell>
          <cell r="Z115">
            <v>180.56534709811308</v>
          </cell>
          <cell r="AA115">
            <v>207.37942276014087</v>
          </cell>
          <cell r="AB115">
            <v>244.53707919840008</v>
          </cell>
        </row>
        <row r="257">
          <cell r="D257" t="str">
            <v>Particulars</v>
          </cell>
          <cell r="E257" t="str">
            <v>Jan'14</v>
          </cell>
          <cell r="F257" t="str">
            <v>Feb'14</v>
          </cell>
          <cell r="G257" t="str">
            <v>Mar'14</v>
          </cell>
          <cell r="H257" t="str">
            <v>Apr'14</v>
          </cell>
          <cell r="I257" t="str">
            <v>May'14</v>
          </cell>
          <cell r="J257" t="str">
            <v>Jun'14</v>
          </cell>
          <cell r="K257" t="str">
            <v>Jul'14</v>
          </cell>
          <cell r="L257" t="str">
            <v>Aug'14</v>
          </cell>
          <cell r="M257" t="str">
            <v>Sep'14</v>
          </cell>
          <cell r="N257" t="str">
            <v>Oct'14</v>
          </cell>
          <cell r="O257" t="str">
            <v>Nov'14</v>
          </cell>
          <cell r="P257" t="str">
            <v>Dec'14</v>
          </cell>
          <cell r="Q257" t="str">
            <v>Jan'14</v>
          </cell>
          <cell r="R257" t="str">
            <v>Feb'14</v>
          </cell>
          <cell r="S257" t="str">
            <v>Mar'14</v>
          </cell>
          <cell r="T257" t="str">
            <v>Apr'14</v>
          </cell>
          <cell r="U257" t="str">
            <v>May'14</v>
          </cell>
          <cell r="V257" t="str">
            <v>Jun'14</v>
          </cell>
          <cell r="W257" t="str">
            <v>Jul'14</v>
          </cell>
          <cell r="X257" t="str">
            <v>Aug'14</v>
          </cell>
          <cell r="Y257" t="str">
            <v>Sep'14</v>
          </cell>
          <cell r="Z257" t="str">
            <v>Oct'14</v>
          </cell>
          <cell r="AA257" t="str">
            <v>Nov'14</v>
          </cell>
          <cell r="AB257" t="str">
            <v>Dec'14</v>
          </cell>
        </row>
        <row r="259">
          <cell r="D259" t="str">
            <v>Sales</v>
          </cell>
          <cell r="E259">
            <v>5.0127749000000001</v>
          </cell>
          <cell r="F259">
            <v>10.536970200000001</v>
          </cell>
          <cell r="G259">
            <v>11.403056000000001</v>
          </cell>
          <cell r="H259">
            <v>11.2988368</v>
          </cell>
          <cell r="I259">
            <v>24.660939200000005</v>
          </cell>
          <cell r="Q259">
            <v>5.0127749000000001</v>
          </cell>
          <cell r="R259">
            <v>15.549745100000001</v>
          </cell>
          <cell r="S259">
            <v>26.952801100000002</v>
          </cell>
          <cell r="T259">
            <v>38.251637900000006</v>
          </cell>
          <cell r="U259">
            <v>62.912577100000007</v>
          </cell>
          <cell r="V259">
            <v>62.912577100000007</v>
          </cell>
          <cell r="W259">
            <v>62.912577100000007</v>
          </cell>
          <cell r="X259">
            <v>62.912577100000007</v>
          </cell>
          <cell r="Y259">
            <v>62.912577100000007</v>
          </cell>
          <cell r="Z259">
            <v>62.912577100000007</v>
          </cell>
          <cell r="AA259">
            <v>62.912577100000007</v>
          </cell>
          <cell r="AB259">
            <v>62.912577100000007</v>
          </cell>
        </row>
        <row r="261">
          <cell r="D261" t="str">
            <v>Cost of Goods Sold</v>
          </cell>
          <cell r="E261">
            <v>1.37</v>
          </cell>
          <cell r="F261">
            <v>2.5025230214255019</v>
          </cell>
          <cell r="G261">
            <v>7.22</v>
          </cell>
          <cell r="H261">
            <v>3.75</v>
          </cell>
          <cell r="I261">
            <v>14.531303132587515</v>
          </cell>
          <cell r="Q261">
            <v>1.37</v>
          </cell>
          <cell r="R261">
            <v>3.872523021425502</v>
          </cell>
          <cell r="S261">
            <v>11.092523021425501</v>
          </cell>
          <cell r="T261">
            <v>14.842523021425501</v>
          </cell>
          <cell r="U261">
            <v>29.373826154013017</v>
          </cell>
          <cell r="V261">
            <v>29.373826154013017</v>
          </cell>
          <cell r="W261">
            <v>29.373826154013017</v>
          </cell>
          <cell r="X261">
            <v>29.373826154013017</v>
          </cell>
          <cell r="Y261">
            <v>29.373826154013017</v>
          </cell>
          <cell r="Z261">
            <v>29.373826154013017</v>
          </cell>
          <cell r="AA261">
            <v>29.373826154013017</v>
          </cell>
          <cell r="AB261">
            <v>29.373826154013017</v>
          </cell>
        </row>
        <row r="262">
          <cell r="D262" t="str">
            <v>Excise Recredit</v>
          </cell>
        </row>
        <row r="263">
          <cell r="D263" t="str">
            <v>PRISM - II Savings</v>
          </cell>
        </row>
        <row r="264">
          <cell r="D264" t="str">
            <v>PSM Savings</v>
          </cell>
        </row>
        <row r="266">
          <cell r="D266" t="str">
            <v>Contribution</v>
          </cell>
          <cell r="E266">
            <v>3.6427749</v>
          </cell>
          <cell r="F266">
            <v>8.0344471785744993</v>
          </cell>
          <cell r="G266">
            <v>4.1830560000000014</v>
          </cell>
          <cell r="H266">
            <v>7.5488368000000001</v>
          </cell>
          <cell r="I266">
            <v>10.129636067412489</v>
          </cell>
          <cell r="J266">
            <v>0</v>
          </cell>
          <cell r="K266">
            <v>0</v>
          </cell>
          <cell r="L266">
            <v>0</v>
          </cell>
          <cell r="M266">
            <v>0</v>
          </cell>
          <cell r="N266">
            <v>0</v>
          </cell>
          <cell r="O266">
            <v>0</v>
          </cell>
          <cell r="P266">
            <v>0</v>
          </cell>
          <cell r="Q266">
            <v>3.6427749</v>
          </cell>
          <cell r="R266">
            <v>11.677222078574498</v>
          </cell>
          <cell r="S266">
            <v>15.860278078574499</v>
          </cell>
          <cell r="T266">
            <v>23.409114878574499</v>
          </cell>
          <cell r="U266">
            <v>33.53875094598699</v>
          </cell>
          <cell r="V266">
            <v>33.53875094598699</v>
          </cell>
          <cell r="W266">
            <v>33.53875094598699</v>
          </cell>
          <cell r="X266">
            <v>33.53875094598699</v>
          </cell>
          <cell r="Y266">
            <v>33.53875094598699</v>
          </cell>
          <cell r="Z266">
            <v>33.53875094598699</v>
          </cell>
          <cell r="AA266">
            <v>33.53875094598699</v>
          </cell>
          <cell r="AB266">
            <v>33.53875094598699</v>
          </cell>
        </row>
        <row r="267">
          <cell r="E267">
            <v>0.72669828042747342</v>
          </cell>
          <cell r="F267">
            <v>0.76250070239113887</v>
          </cell>
          <cell r="G267">
            <v>0.3668363989442831</v>
          </cell>
          <cell r="H267">
            <v>0.66810742854521099</v>
          </cell>
          <cell r="I267">
            <v>0.41075629704372685</v>
          </cell>
          <cell r="J267" t="e">
            <v>#DIV/0!</v>
          </cell>
          <cell r="K267" t="e">
            <v>#DIV/0!</v>
          </cell>
          <cell r="L267" t="e">
            <v>#DIV/0!</v>
          </cell>
          <cell r="M267" t="e">
            <v>#DIV/0!</v>
          </cell>
          <cell r="N267" t="e">
            <v>#DIV/0!</v>
          </cell>
          <cell r="O267" t="e">
            <v>#DIV/0!</v>
          </cell>
          <cell r="P267" t="e">
            <v>#DIV/0!</v>
          </cell>
          <cell r="Q267">
            <v>0.72669828042747342</v>
          </cell>
          <cell r="R267">
            <v>0.75095906739812079</v>
          </cell>
          <cell r="S267">
            <v>0.58844637407926026</v>
          </cell>
          <cell r="T267">
            <v>0.61197679795495752</v>
          </cell>
          <cell r="U267">
            <v>0.53310089161785401</v>
          </cell>
          <cell r="V267">
            <v>0.53310089161785401</v>
          </cell>
          <cell r="W267">
            <v>0.53310089161785401</v>
          </cell>
          <cell r="X267">
            <v>0.53310089161785401</v>
          </cell>
          <cell r="Y267">
            <v>0.53310089161785401</v>
          </cell>
          <cell r="Z267">
            <v>0.53310089161785401</v>
          </cell>
          <cell r="AA267">
            <v>0.53310089161785401</v>
          </cell>
          <cell r="AB267">
            <v>0.53310089161785401</v>
          </cell>
        </row>
        <row r="268">
          <cell r="D268" t="str">
            <v>Overheads</v>
          </cell>
        </row>
        <row r="269">
          <cell r="D269" t="str">
            <v>Personnel Costs</v>
          </cell>
          <cell r="Q269">
            <v>0</v>
          </cell>
          <cell r="R269">
            <v>0</v>
          </cell>
          <cell r="S269">
            <v>0</v>
          </cell>
          <cell r="T269">
            <v>0</v>
          </cell>
          <cell r="U269">
            <v>0</v>
          </cell>
          <cell r="V269">
            <v>0</v>
          </cell>
          <cell r="W269">
            <v>0</v>
          </cell>
          <cell r="X269">
            <v>0</v>
          </cell>
          <cell r="Y269">
            <v>0</v>
          </cell>
          <cell r="Z269">
            <v>0</v>
          </cell>
          <cell r="AA269">
            <v>0</v>
          </cell>
          <cell r="AB269">
            <v>0</v>
          </cell>
        </row>
        <row r="270">
          <cell r="D270" t="str">
            <v>Administration Exp</v>
          </cell>
          <cell r="Q270">
            <v>0</v>
          </cell>
          <cell r="R270">
            <v>0</v>
          </cell>
          <cell r="S270">
            <v>0</v>
          </cell>
          <cell r="T270">
            <v>0</v>
          </cell>
          <cell r="U270">
            <v>0</v>
          </cell>
          <cell r="V270">
            <v>0</v>
          </cell>
          <cell r="W270">
            <v>0</v>
          </cell>
          <cell r="X270">
            <v>0</v>
          </cell>
          <cell r="Y270">
            <v>0</v>
          </cell>
          <cell r="Z270">
            <v>0</v>
          </cell>
          <cell r="AA270">
            <v>0</v>
          </cell>
          <cell r="AB270">
            <v>0</v>
          </cell>
        </row>
        <row r="271">
          <cell r="D271" t="str">
            <v>Regulatory Exp.</v>
          </cell>
          <cell r="Q271">
            <v>0</v>
          </cell>
          <cell r="R271">
            <v>0</v>
          </cell>
          <cell r="S271">
            <v>0</v>
          </cell>
          <cell r="T271">
            <v>0</v>
          </cell>
          <cell r="U271">
            <v>0</v>
          </cell>
          <cell r="V271">
            <v>0</v>
          </cell>
          <cell r="W271">
            <v>0</v>
          </cell>
          <cell r="X271">
            <v>0</v>
          </cell>
          <cell r="Y271">
            <v>0</v>
          </cell>
          <cell r="Z271">
            <v>0</v>
          </cell>
          <cell r="AA271">
            <v>0</v>
          </cell>
          <cell r="AB271">
            <v>0</v>
          </cell>
        </row>
        <row r="272">
          <cell r="D272" t="str">
            <v>Production Exp</v>
          </cell>
          <cell r="Q272">
            <v>0</v>
          </cell>
          <cell r="R272">
            <v>0</v>
          </cell>
          <cell r="S272">
            <v>0</v>
          </cell>
          <cell r="T272">
            <v>0</v>
          </cell>
          <cell r="U272">
            <v>0</v>
          </cell>
          <cell r="V272">
            <v>0</v>
          </cell>
          <cell r="W272">
            <v>0</v>
          </cell>
          <cell r="X272">
            <v>0</v>
          </cell>
          <cell r="Y272">
            <v>0</v>
          </cell>
          <cell r="Z272">
            <v>0</v>
          </cell>
          <cell r="AA272">
            <v>0</v>
          </cell>
          <cell r="AB272">
            <v>0</v>
          </cell>
        </row>
        <row r="273">
          <cell r="D273" t="str">
            <v xml:space="preserve">Research &amp; Development </v>
          </cell>
          <cell r="Q273">
            <v>0</v>
          </cell>
          <cell r="R273">
            <v>0</v>
          </cell>
          <cell r="S273">
            <v>0</v>
          </cell>
          <cell r="T273">
            <v>0</v>
          </cell>
          <cell r="U273">
            <v>0</v>
          </cell>
          <cell r="V273">
            <v>0</v>
          </cell>
          <cell r="W273">
            <v>0</v>
          </cell>
          <cell r="X273">
            <v>0</v>
          </cell>
          <cell r="Y273">
            <v>0</v>
          </cell>
          <cell r="Z273">
            <v>0</v>
          </cell>
          <cell r="AA273">
            <v>0</v>
          </cell>
          <cell r="AB273">
            <v>0</v>
          </cell>
        </row>
        <row r="274">
          <cell r="D274" t="str">
            <v>Marketing Exp</v>
          </cell>
          <cell r="E274">
            <v>1.7492482815808019</v>
          </cell>
          <cell r="F274">
            <v>1.82</v>
          </cell>
          <cell r="G274">
            <v>3.17</v>
          </cell>
          <cell r="H274">
            <v>4.58</v>
          </cell>
          <cell r="I274">
            <v>9.3999999999999986</v>
          </cell>
          <cell r="J274">
            <v>0</v>
          </cell>
          <cell r="K274">
            <v>0</v>
          </cell>
          <cell r="L274">
            <v>0</v>
          </cell>
          <cell r="M274">
            <v>0</v>
          </cell>
          <cell r="N274">
            <v>0</v>
          </cell>
          <cell r="O274">
            <v>0</v>
          </cell>
          <cell r="P274">
            <v>0</v>
          </cell>
          <cell r="Q274">
            <v>1.7492482815808019</v>
          </cell>
          <cell r="R274">
            <v>3.5692482815808022</v>
          </cell>
          <cell r="S274">
            <v>6.7392482815808021</v>
          </cell>
          <cell r="T274">
            <v>11.319248281580801</v>
          </cell>
          <cell r="U274">
            <v>20.7192482815808</v>
          </cell>
          <cell r="V274">
            <v>20.7192482815808</v>
          </cell>
          <cell r="W274">
            <v>20.7192482815808</v>
          </cell>
          <cell r="X274">
            <v>20.7192482815808</v>
          </cell>
          <cell r="Y274">
            <v>20.7192482815808</v>
          </cell>
          <cell r="Z274">
            <v>20.7192482815808</v>
          </cell>
          <cell r="AA274">
            <v>20.7192482815808</v>
          </cell>
          <cell r="AB274">
            <v>20.7192482815808</v>
          </cell>
        </row>
        <row r="275">
          <cell r="D275" t="str">
            <v>Trade, MRF Schemes &amp; Rate Matching</v>
          </cell>
          <cell r="E275">
            <v>8.6245776287929843E-2</v>
          </cell>
          <cell r="F275">
            <v>1</v>
          </cell>
          <cell r="G275">
            <v>2.48</v>
          </cell>
          <cell r="H275">
            <v>3.41</v>
          </cell>
          <cell r="I275">
            <v>7.08</v>
          </cell>
          <cell r="J275">
            <v>0</v>
          </cell>
          <cell r="K275">
            <v>0</v>
          </cell>
          <cell r="L275">
            <v>0</v>
          </cell>
          <cell r="M275">
            <v>0</v>
          </cell>
          <cell r="N275">
            <v>0</v>
          </cell>
          <cell r="O275">
            <v>0</v>
          </cell>
          <cell r="P275">
            <v>0</v>
          </cell>
          <cell r="Q275">
            <v>8.6245776287929843E-2</v>
          </cell>
          <cell r="R275">
            <v>1.0862457762879298</v>
          </cell>
          <cell r="S275">
            <v>3.5662457762879298</v>
          </cell>
          <cell r="T275">
            <v>6.9762457762879304</v>
          </cell>
          <cell r="U275">
            <v>14.05624577628793</v>
          </cell>
          <cell r="V275">
            <v>14.05624577628793</v>
          </cell>
          <cell r="W275">
            <v>14.05624577628793</v>
          </cell>
          <cell r="X275">
            <v>14.05624577628793</v>
          </cell>
          <cell r="Y275">
            <v>14.05624577628793</v>
          </cell>
          <cell r="Z275">
            <v>14.05624577628793</v>
          </cell>
          <cell r="AA275">
            <v>14.05624577628793</v>
          </cell>
          <cell r="AB275">
            <v>14.05624577628793</v>
          </cell>
        </row>
        <row r="276">
          <cell r="D276" t="str">
            <v>Field Related Costs</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t="str">
            <v>Marketing Support (Adv. + SP)</v>
          </cell>
          <cell r="E277">
            <v>0.86300250529287215</v>
          </cell>
          <cell r="F277">
            <v>0</v>
          </cell>
          <cell r="G277">
            <v>0.39</v>
          </cell>
          <cell r="H277">
            <v>0.34</v>
          </cell>
          <cell r="I277">
            <v>1</v>
          </cell>
          <cell r="J277">
            <v>0</v>
          </cell>
          <cell r="K277">
            <v>0</v>
          </cell>
          <cell r="L277">
            <v>0</v>
          </cell>
          <cell r="M277">
            <v>0</v>
          </cell>
          <cell r="N277">
            <v>0</v>
          </cell>
          <cell r="O277">
            <v>0</v>
          </cell>
          <cell r="P277">
            <v>0</v>
          </cell>
          <cell r="Q277">
            <v>0.86300250529287215</v>
          </cell>
          <cell r="R277">
            <v>0.86300250529287215</v>
          </cell>
          <cell r="S277">
            <v>1.2530025052928722</v>
          </cell>
          <cell r="T277">
            <v>1.5930025052928722</v>
          </cell>
          <cell r="U277">
            <v>2.5930025052928722</v>
          </cell>
          <cell r="V277">
            <v>2.5930025052928722</v>
          </cell>
          <cell r="W277">
            <v>2.5930025052928722</v>
          </cell>
          <cell r="X277">
            <v>2.5930025052928722</v>
          </cell>
          <cell r="Y277">
            <v>2.5930025052928722</v>
          </cell>
          <cell r="Z277">
            <v>2.5930025052928722</v>
          </cell>
          <cell r="AA277">
            <v>2.5930025052928722</v>
          </cell>
          <cell r="AB277">
            <v>2.5930025052928722</v>
          </cell>
        </row>
        <row r="278">
          <cell r="D278" t="str">
            <v>Other Mktg. Costs</v>
          </cell>
          <cell r="E278">
            <v>0.79999999999999993</v>
          </cell>
          <cell r="F278">
            <v>0.82000000000000006</v>
          </cell>
          <cell r="G278">
            <v>0.29999999999999993</v>
          </cell>
          <cell r="H278">
            <v>0.82999999999999985</v>
          </cell>
          <cell r="I278">
            <v>1.3199999999999985</v>
          </cell>
          <cell r="J278">
            <v>0</v>
          </cell>
          <cell r="K278">
            <v>0</v>
          </cell>
          <cell r="L278">
            <v>0</v>
          </cell>
          <cell r="M278">
            <v>0</v>
          </cell>
          <cell r="N278">
            <v>0</v>
          </cell>
          <cell r="O278">
            <v>0</v>
          </cell>
          <cell r="P278">
            <v>0</v>
          </cell>
          <cell r="Q278">
            <v>0.79999999999999993</v>
          </cell>
          <cell r="R278">
            <v>1.62</v>
          </cell>
          <cell r="S278">
            <v>1.92</v>
          </cell>
          <cell r="T278">
            <v>2.75</v>
          </cell>
          <cell r="U278">
            <v>4.0699999999999985</v>
          </cell>
          <cell r="V278">
            <v>4.0699999999999985</v>
          </cell>
          <cell r="W278">
            <v>4.0699999999999985</v>
          </cell>
          <cell r="X278">
            <v>4.0699999999999985</v>
          </cell>
          <cell r="Y278">
            <v>4.0699999999999985</v>
          </cell>
          <cell r="Z278">
            <v>4.0699999999999985</v>
          </cell>
          <cell r="AA278">
            <v>4.0699999999999985</v>
          </cell>
          <cell r="AB278">
            <v>4.0699999999999985</v>
          </cell>
        </row>
        <row r="279">
          <cell r="D279" t="str">
            <v>Sales &amp; Distribution Exp</v>
          </cell>
          <cell r="E279">
            <v>0.22091502279464006</v>
          </cell>
          <cell r="F279">
            <v>0.45970999999999995</v>
          </cell>
          <cell r="G279">
            <v>0.6</v>
          </cell>
          <cell r="H279">
            <v>1.5</v>
          </cell>
          <cell r="I279">
            <v>0.59000000000000019</v>
          </cell>
          <cell r="J279">
            <v>0</v>
          </cell>
          <cell r="K279">
            <v>0</v>
          </cell>
          <cell r="L279">
            <v>0</v>
          </cell>
          <cell r="M279">
            <v>0</v>
          </cell>
          <cell r="N279">
            <v>0</v>
          </cell>
          <cell r="O279">
            <v>0</v>
          </cell>
          <cell r="P279">
            <v>0</v>
          </cell>
          <cell r="Q279">
            <v>0.22091502279464006</v>
          </cell>
          <cell r="R279">
            <v>0.68062502279463999</v>
          </cell>
          <cell r="S279">
            <v>1.2806250227946401</v>
          </cell>
          <cell r="T279">
            <v>2.7806250227946401</v>
          </cell>
          <cell r="U279">
            <v>3.3706250227946404</v>
          </cell>
          <cell r="V279">
            <v>3.3706250227946404</v>
          </cell>
          <cell r="W279">
            <v>3.3706250227946404</v>
          </cell>
          <cell r="X279">
            <v>3.3706250227946404</v>
          </cell>
          <cell r="Y279">
            <v>3.3706250227946404</v>
          </cell>
          <cell r="Z279">
            <v>3.3706250227946404</v>
          </cell>
          <cell r="AA279">
            <v>3.3706250227946404</v>
          </cell>
          <cell r="AB279">
            <v>3.3706250227946404</v>
          </cell>
        </row>
        <row r="280">
          <cell r="D280" t="str">
            <v>Slim Savings</v>
          </cell>
        </row>
        <row r="281">
          <cell r="D281" t="str">
            <v>Total Overheads (a+b)</v>
          </cell>
          <cell r="E281">
            <v>1.9701633043754421</v>
          </cell>
          <cell r="F281">
            <v>2.2797100000000006</v>
          </cell>
          <cell r="G281">
            <v>3.7699999999999996</v>
          </cell>
          <cell r="H281">
            <v>6.08</v>
          </cell>
          <cell r="I281">
            <v>9.9899999999999984</v>
          </cell>
          <cell r="J281">
            <v>0</v>
          </cell>
          <cell r="K281">
            <v>0</v>
          </cell>
          <cell r="L281">
            <v>0</v>
          </cell>
          <cell r="M281">
            <v>0</v>
          </cell>
          <cell r="N281">
            <v>0</v>
          </cell>
          <cell r="O281">
            <v>0</v>
          </cell>
          <cell r="P281">
            <v>0</v>
          </cell>
          <cell r="Q281">
            <v>1.9701633043754421</v>
          </cell>
          <cell r="R281">
            <v>4.2498733043754422</v>
          </cell>
          <cell r="S281">
            <v>8.0198733043754409</v>
          </cell>
          <cell r="T281">
            <v>14.099873304375443</v>
          </cell>
          <cell r="U281">
            <v>24.089873304375441</v>
          </cell>
          <cell r="V281">
            <v>24.089873304375441</v>
          </cell>
          <cell r="W281">
            <v>24.089873304375441</v>
          </cell>
          <cell r="X281">
            <v>24.089873304375441</v>
          </cell>
          <cell r="Y281">
            <v>24.089873304375441</v>
          </cell>
          <cell r="Z281">
            <v>24.089873304375441</v>
          </cell>
          <cell r="AA281">
            <v>24.089873304375441</v>
          </cell>
          <cell r="AB281">
            <v>24.089873304375441</v>
          </cell>
        </row>
        <row r="282">
          <cell r="D282" t="str">
            <v>OPERATING PROFIT (LOSS)</v>
          </cell>
          <cell r="E282">
            <v>1.672611595624558</v>
          </cell>
          <cell r="F282">
            <v>5.7547371785744987</v>
          </cell>
          <cell r="G282">
            <v>0.41305600000000187</v>
          </cell>
          <cell r="H282">
            <v>1.4688368000000001</v>
          </cell>
          <cell r="I282">
            <v>0.13963606741249102</v>
          </cell>
          <cell r="J282">
            <v>0</v>
          </cell>
          <cell r="K282">
            <v>0</v>
          </cell>
          <cell r="L282">
            <v>0</v>
          </cell>
          <cell r="M282">
            <v>0</v>
          </cell>
          <cell r="N282">
            <v>0</v>
          </cell>
          <cell r="O282">
            <v>0</v>
          </cell>
          <cell r="P282">
            <v>0</v>
          </cell>
          <cell r="Q282">
            <v>1.672611595624558</v>
          </cell>
          <cell r="R282">
            <v>7.4273487741990571</v>
          </cell>
          <cell r="S282">
            <v>7.840404774199059</v>
          </cell>
          <cell r="T282">
            <v>9.30924157419906</v>
          </cell>
          <cell r="U282">
            <v>9.448877641611551</v>
          </cell>
          <cell r="V282">
            <v>9.448877641611551</v>
          </cell>
          <cell r="W282">
            <v>9.448877641611551</v>
          </cell>
          <cell r="X282">
            <v>9.448877641611551</v>
          </cell>
          <cell r="Y282">
            <v>9.448877641611551</v>
          </cell>
          <cell r="Z282">
            <v>9.448877641611551</v>
          </cell>
          <cell r="AA282">
            <v>9.448877641611551</v>
          </cell>
          <cell r="AB282">
            <v>9.448877641611551</v>
          </cell>
        </row>
        <row r="462">
          <cell r="D462" t="str">
            <v>Particulars</v>
          </cell>
          <cell r="E462" t="str">
            <v>Actual</v>
          </cell>
          <cell r="F462" t="str">
            <v>Actual</v>
          </cell>
          <cell r="G462" t="str">
            <v>Actual</v>
          </cell>
          <cell r="H462" t="str">
            <v>Actual</v>
          </cell>
          <cell r="I462" t="str">
            <v>Actual</v>
          </cell>
          <cell r="J462" t="str">
            <v>Actual</v>
          </cell>
          <cell r="K462" t="str">
            <v>Actual</v>
          </cell>
          <cell r="L462" t="str">
            <v>Actual</v>
          </cell>
          <cell r="M462" t="str">
            <v>Actual</v>
          </cell>
          <cell r="N462" t="str">
            <v>Actual</v>
          </cell>
          <cell r="O462" t="str">
            <v>Actual</v>
          </cell>
          <cell r="P462" t="str">
            <v>Actual</v>
          </cell>
          <cell r="Q462" t="str">
            <v>Cumu Act</v>
          </cell>
          <cell r="R462" t="str">
            <v>Cumu Act</v>
          </cell>
          <cell r="S462" t="str">
            <v>Cumu Act</v>
          </cell>
          <cell r="T462" t="str">
            <v>Cumu Act</v>
          </cell>
          <cell r="U462" t="str">
            <v>Cumu Act</v>
          </cell>
          <cell r="V462" t="str">
            <v>Cumu Act</v>
          </cell>
          <cell r="W462" t="str">
            <v>Cumu Act</v>
          </cell>
          <cell r="X462" t="str">
            <v>Cumu Act</v>
          </cell>
          <cell r="Y462" t="str">
            <v>Cumu Act</v>
          </cell>
          <cell r="Z462" t="str">
            <v>Cumu Act</v>
          </cell>
          <cell r="AA462" t="str">
            <v>Cumu Act</v>
          </cell>
          <cell r="AB462" t="str">
            <v>Cumu Act</v>
          </cell>
        </row>
        <row r="463">
          <cell r="D463">
            <v>0</v>
          </cell>
          <cell r="E463">
            <v>41275</v>
          </cell>
          <cell r="F463">
            <v>41306</v>
          </cell>
          <cell r="G463">
            <v>41334</v>
          </cell>
          <cell r="H463">
            <v>41365</v>
          </cell>
          <cell r="I463">
            <v>41395</v>
          </cell>
          <cell r="J463">
            <v>41426</v>
          </cell>
          <cell r="K463">
            <v>41456</v>
          </cell>
          <cell r="L463">
            <v>41487</v>
          </cell>
          <cell r="M463">
            <v>41518</v>
          </cell>
          <cell r="N463">
            <v>41548</v>
          </cell>
          <cell r="O463">
            <v>41579</v>
          </cell>
          <cell r="P463">
            <v>41609</v>
          </cell>
          <cell r="Q463">
            <v>41275</v>
          </cell>
          <cell r="R463">
            <v>41306</v>
          </cell>
          <cell r="S463">
            <v>41334</v>
          </cell>
          <cell r="T463">
            <v>41365</v>
          </cell>
          <cell r="U463">
            <v>41395</v>
          </cell>
          <cell r="V463">
            <v>41426</v>
          </cell>
          <cell r="W463">
            <v>41456</v>
          </cell>
          <cell r="X463">
            <v>41487</v>
          </cell>
          <cell r="Y463">
            <v>41518</v>
          </cell>
          <cell r="Z463">
            <v>41548</v>
          </cell>
          <cell r="AA463">
            <v>41579</v>
          </cell>
          <cell r="AB463">
            <v>41609</v>
          </cell>
        </row>
        <row r="464">
          <cell r="D464" t="str">
            <v>Sales</v>
          </cell>
          <cell r="E464">
            <v>51.72</v>
          </cell>
          <cell r="F464">
            <v>40.94</v>
          </cell>
          <cell r="G464">
            <v>44.239103300000004</v>
          </cell>
          <cell r="H464">
            <v>0</v>
          </cell>
          <cell r="I464">
            <v>18.84</v>
          </cell>
          <cell r="J464">
            <v>66</v>
          </cell>
          <cell r="K464">
            <v>43</v>
          </cell>
          <cell r="L464">
            <v>30.763556300000001</v>
          </cell>
          <cell r="M464">
            <v>7.08</v>
          </cell>
          <cell r="N464">
            <v>23.421760099999997</v>
          </cell>
          <cell r="O464">
            <v>0</v>
          </cell>
          <cell r="P464">
            <v>8.6215132000000008</v>
          </cell>
          <cell r="Q464">
            <v>51.72</v>
          </cell>
          <cell r="R464">
            <v>92.66</v>
          </cell>
          <cell r="S464">
            <v>136.89910330000001</v>
          </cell>
          <cell r="T464">
            <v>136.89910330000001</v>
          </cell>
          <cell r="U464">
            <v>155.73910330000001</v>
          </cell>
          <cell r="V464">
            <v>221.73910330000001</v>
          </cell>
          <cell r="W464">
            <v>264.73910330000001</v>
          </cell>
          <cell r="X464">
            <v>295.50265960000002</v>
          </cell>
          <cell r="Y464">
            <v>302.5826596</v>
          </cell>
          <cell r="Z464">
            <v>326.00441969999997</v>
          </cell>
          <cell r="AA464">
            <v>326.00441969999997</v>
          </cell>
          <cell r="AB464">
            <v>334.62593289999995</v>
          </cell>
        </row>
        <row r="465">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row>
        <row r="466">
          <cell r="D466" t="str">
            <v>Cost of Goods Sold</v>
          </cell>
          <cell r="E466">
            <v>23.14</v>
          </cell>
          <cell r="F466">
            <v>14.52</v>
          </cell>
          <cell r="G466">
            <v>20.242535792000002</v>
          </cell>
          <cell r="H466">
            <v>0</v>
          </cell>
          <cell r="I466">
            <v>9.420517319597991</v>
          </cell>
          <cell r="J466">
            <v>23.713756146270217</v>
          </cell>
          <cell r="K466">
            <v>16.462724170469791</v>
          </cell>
          <cell r="L466">
            <v>12.028860478620986</v>
          </cell>
          <cell r="M466">
            <v>2</v>
          </cell>
          <cell r="N466">
            <v>9.6803219072720008</v>
          </cell>
          <cell r="O466">
            <v>0</v>
          </cell>
          <cell r="P466">
            <v>3.2336562439999996</v>
          </cell>
          <cell r="Q466">
            <v>23.14</v>
          </cell>
          <cell r="R466">
            <v>37.659999999999997</v>
          </cell>
          <cell r="S466">
            <v>57.902535791999995</v>
          </cell>
          <cell r="T466">
            <v>57.902535791999995</v>
          </cell>
          <cell r="U466">
            <v>67.323053111597986</v>
          </cell>
          <cell r="V466">
            <v>91.0368092578682</v>
          </cell>
          <cell r="W466">
            <v>107.499533428338</v>
          </cell>
          <cell r="X466">
            <v>119.52839390695898</v>
          </cell>
          <cell r="Y466">
            <v>121.52839390695898</v>
          </cell>
          <cell r="Z466">
            <v>131.20871581423097</v>
          </cell>
          <cell r="AA466">
            <v>131.20871581423097</v>
          </cell>
          <cell r="AB466">
            <v>134.44237205823097</v>
          </cell>
        </row>
        <row r="467">
          <cell r="D467" t="str">
            <v>Excise Recredit</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row>
        <row r="468">
          <cell r="D468" t="str">
            <v>PRISM - II Savings</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row>
        <row r="469">
          <cell r="D469" t="str">
            <v>PSM Savings</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row>
        <row r="470">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row>
        <row r="471">
          <cell r="D471" t="str">
            <v>Contribution</v>
          </cell>
          <cell r="E471">
            <v>28.58</v>
          </cell>
          <cell r="F471">
            <v>26.419999999999998</v>
          </cell>
          <cell r="G471">
            <v>23.996567508000002</v>
          </cell>
          <cell r="H471">
            <v>0</v>
          </cell>
          <cell r="I471">
            <v>9.4194826804020089</v>
          </cell>
          <cell r="J471">
            <v>42.286243853729786</v>
          </cell>
          <cell r="K471">
            <v>26.537275829530209</v>
          </cell>
          <cell r="L471">
            <v>18.734695821379013</v>
          </cell>
          <cell r="M471">
            <v>5.08</v>
          </cell>
          <cell r="N471">
            <v>13.741438192727996</v>
          </cell>
          <cell r="O471">
            <v>0</v>
          </cell>
          <cell r="P471">
            <v>5.3878569560000011</v>
          </cell>
          <cell r="Q471">
            <v>28.58</v>
          </cell>
          <cell r="R471">
            <v>55</v>
          </cell>
          <cell r="S471">
            <v>78.996567508000012</v>
          </cell>
          <cell r="T471">
            <v>78.996567508000012</v>
          </cell>
          <cell r="U471">
            <v>88.416050188402025</v>
          </cell>
          <cell r="V471">
            <v>130.70229404213183</v>
          </cell>
          <cell r="W471">
            <v>157.23956987166201</v>
          </cell>
          <cell r="X471">
            <v>175.97426569304105</v>
          </cell>
          <cell r="Y471">
            <v>181.05426569304103</v>
          </cell>
          <cell r="Z471">
            <v>194.795703885769</v>
          </cell>
          <cell r="AA471">
            <v>194.795703885769</v>
          </cell>
          <cell r="AB471">
            <v>200.18356084176898</v>
          </cell>
        </row>
        <row r="472">
          <cell r="D472">
            <v>0</v>
          </cell>
          <cell r="E472">
            <v>0.55259087393658157</v>
          </cell>
          <cell r="F472">
            <v>0.64533463605276009</v>
          </cell>
          <cell r="G472">
            <v>0.54242888571387471</v>
          </cell>
          <cell r="H472" t="e">
            <v>#DIV/0!</v>
          </cell>
          <cell r="I472">
            <v>0.49997254142261194</v>
          </cell>
          <cell r="J472">
            <v>0.64070066445045126</v>
          </cell>
          <cell r="K472">
            <v>0.6171459495239584</v>
          </cell>
          <cell r="L472">
            <v>0.60898992426889909</v>
          </cell>
          <cell r="M472">
            <v>0.71751412429378536</v>
          </cell>
          <cell r="N472">
            <v>0.58669536935134081</v>
          </cell>
          <cell r="O472" t="e">
            <v>#DIV/0!</v>
          </cell>
          <cell r="P472">
            <v>0.62493170642016771</v>
          </cell>
          <cell r="Q472">
            <v>0.55259087393658157</v>
          </cell>
          <cell r="R472">
            <v>0.59356788258148074</v>
          </cell>
          <cell r="S472">
            <v>0.57704225669679754</v>
          </cell>
          <cell r="T472">
            <v>0.57704225669679754</v>
          </cell>
          <cell r="U472">
            <v>0.56771901413921921</v>
          </cell>
          <cell r="V472">
            <v>0.58944179036071631</v>
          </cell>
          <cell r="W472">
            <v>0.59394161237102749</v>
          </cell>
          <cell r="X472">
            <v>0.59550822971016348</v>
          </cell>
          <cell r="Y472">
            <v>0.59836299255346037</v>
          </cell>
          <cell r="Z472">
            <v>0.59752473314633725</v>
          </cell>
          <cell r="AA472">
            <v>0.59752473314633725</v>
          </cell>
          <cell r="AB472">
            <v>0.59823086365990674</v>
          </cell>
        </row>
        <row r="473">
          <cell r="D473" t="str">
            <v>Overheads</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row>
        <row r="474">
          <cell r="D474" t="str">
            <v>Personnel Costs</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row>
        <row r="475">
          <cell r="D475" t="str">
            <v>Administration Exp</v>
          </cell>
          <cell r="E475">
            <v>0</v>
          </cell>
          <cell r="F475">
            <v>0</v>
          </cell>
          <cell r="G475">
            <v>0</v>
          </cell>
          <cell r="H475">
            <v>0</v>
          </cell>
          <cell r="I475">
            <v>0</v>
          </cell>
          <cell r="J475">
            <v>0.25</v>
          </cell>
          <cell r="K475">
            <v>0.25</v>
          </cell>
          <cell r="L475">
            <v>0.25</v>
          </cell>
          <cell r="M475">
            <v>0</v>
          </cell>
          <cell r="N475">
            <v>0</v>
          </cell>
          <cell r="O475">
            <v>0</v>
          </cell>
          <cell r="P475">
            <v>0</v>
          </cell>
          <cell r="Q475">
            <v>0</v>
          </cell>
          <cell r="R475">
            <v>0</v>
          </cell>
          <cell r="S475">
            <v>0</v>
          </cell>
          <cell r="T475">
            <v>0</v>
          </cell>
          <cell r="U475">
            <v>0</v>
          </cell>
          <cell r="V475">
            <v>0.25</v>
          </cell>
          <cell r="W475">
            <v>0.5</v>
          </cell>
          <cell r="X475">
            <v>0.75</v>
          </cell>
          <cell r="Y475">
            <v>0.75</v>
          </cell>
          <cell r="Z475">
            <v>0.75</v>
          </cell>
          <cell r="AA475">
            <v>0.75</v>
          </cell>
          <cell r="AB475">
            <v>0.75</v>
          </cell>
        </row>
        <row r="476">
          <cell r="D476" t="str">
            <v>Regulatory Exp.</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row>
        <row r="477">
          <cell r="D477" t="str">
            <v>Production Exp</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row>
        <row r="478">
          <cell r="D478" t="str">
            <v xml:space="preserve">Research &amp; Development </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row>
        <row r="479">
          <cell r="D479" t="str">
            <v>Marketing Exp</v>
          </cell>
          <cell r="E479">
            <v>12.93</v>
          </cell>
          <cell r="F479">
            <v>10.234999999999999</v>
          </cell>
          <cell r="G479">
            <v>11.059775825000001</v>
          </cell>
          <cell r="H479">
            <v>0</v>
          </cell>
          <cell r="I479">
            <v>4.71</v>
          </cell>
          <cell r="J479">
            <v>16.5</v>
          </cell>
          <cell r="K479">
            <v>10.75</v>
          </cell>
          <cell r="L479">
            <v>7.6908890750000003</v>
          </cell>
          <cell r="M479">
            <v>1.77</v>
          </cell>
          <cell r="N479">
            <v>5.8554400249999992</v>
          </cell>
          <cell r="O479">
            <v>0</v>
          </cell>
          <cell r="P479">
            <v>2.1553783000000002</v>
          </cell>
          <cell r="Q479">
            <v>12.93</v>
          </cell>
          <cell r="R479">
            <v>23.164999999999999</v>
          </cell>
          <cell r="S479">
            <v>34.224775825000002</v>
          </cell>
          <cell r="T479">
            <v>34.224775825000002</v>
          </cell>
          <cell r="U479">
            <v>38.934775825000003</v>
          </cell>
          <cell r="V479">
            <v>55.434775825000003</v>
          </cell>
          <cell r="W479">
            <v>66.184775825000003</v>
          </cell>
          <cell r="X479">
            <v>73.875664900000004</v>
          </cell>
          <cell r="Y479">
            <v>75.6456649</v>
          </cell>
          <cell r="Z479">
            <v>81.501104924999993</v>
          </cell>
          <cell r="AA479">
            <v>81.501104924999993</v>
          </cell>
          <cell r="AB479">
            <v>83.656483224999988</v>
          </cell>
        </row>
        <row r="480">
          <cell r="D480" t="str">
            <v>Trade, MRF Schemes &amp; Rate Matching</v>
          </cell>
          <cell r="E480">
            <v>12.93</v>
          </cell>
          <cell r="F480">
            <v>10.234999999999999</v>
          </cell>
          <cell r="G480">
            <v>11.059775825000001</v>
          </cell>
          <cell r="H480">
            <v>0</v>
          </cell>
          <cell r="I480">
            <v>4.71</v>
          </cell>
          <cell r="J480">
            <v>16.5</v>
          </cell>
          <cell r="K480">
            <v>10.75</v>
          </cell>
          <cell r="L480">
            <v>7.6908890750000003</v>
          </cell>
          <cell r="M480">
            <v>1.77</v>
          </cell>
          <cell r="N480">
            <v>5.8554400249999992</v>
          </cell>
          <cell r="O480">
            <v>0</v>
          </cell>
          <cell r="P480">
            <v>2.1553783000000002</v>
          </cell>
          <cell r="Q480">
            <v>12.93</v>
          </cell>
          <cell r="R480">
            <v>23.164999999999999</v>
          </cell>
          <cell r="S480">
            <v>34.224775825000002</v>
          </cell>
          <cell r="T480">
            <v>34.224775825000002</v>
          </cell>
          <cell r="U480">
            <v>38.934775825000003</v>
          </cell>
          <cell r="V480">
            <v>55.434775825000003</v>
          </cell>
          <cell r="W480">
            <v>66.184775825000003</v>
          </cell>
          <cell r="X480">
            <v>73.875664900000004</v>
          </cell>
          <cell r="Y480">
            <v>75.6456649</v>
          </cell>
          <cell r="Z480">
            <v>81.501104924999993</v>
          </cell>
          <cell r="AA480">
            <v>81.501104924999993</v>
          </cell>
          <cell r="AB480">
            <v>83.656483224999988</v>
          </cell>
        </row>
        <row r="481">
          <cell r="D481" t="str">
            <v>Field Related Costs</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row>
        <row r="482">
          <cell r="D482" t="str">
            <v>Marketing Support (Adv. + SP)</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row>
        <row r="483">
          <cell r="D483" t="str">
            <v>Other Mktg. Costs</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row>
        <row r="484">
          <cell r="D484" t="str">
            <v>Sales &amp; Distribution Exp</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row>
        <row r="486">
          <cell r="D486" t="str">
            <v>Total Overheads (a+b)</v>
          </cell>
          <cell r="E486">
            <v>12.93</v>
          </cell>
          <cell r="F486">
            <v>10.234999999999999</v>
          </cell>
          <cell r="G486">
            <v>11.059775825000001</v>
          </cell>
          <cell r="H486">
            <v>0</v>
          </cell>
          <cell r="I486">
            <v>4.71</v>
          </cell>
          <cell r="J486">
            <v>16.75</v>
          </cell>
          <cell r="K486">
            <v>11</v>
          </cell>
          <cell r="L486">
            <v>7.9408890750000003</v>
          </cell>
          <cell r="M486">
            <v>1.77</v>
          </cell>
          <cell r="N486">
            <v>5.8554400249999992</v>
          </cell>
          <cell r="O486">
            <v>0</v>
          </cell>
          <cell r="P486">
            <v>2.1553783000000002</v>
          </cell>
          <cell r="Q486">
            <v>12.93</v>
          </cell>
          <cell r="R486">
            <v>23.164999999999999</v>
          </cell>
          <cell r="S486">
            <v>34.224775825000002</v>
          </cell>
          <cell r="T486">
            <v>34.224775825000002</v>
          </cell>
          <cell r="U486">
            <v>38.934775825000003</v>
          </cell>
          <cell r="V486">
            <v>55.684775825000003</v>
          </cell>
          <cell r="W486">
            <v>66.684775825000003</v>
          </cell>
          <cell r="X486">
            <v>74.625664900000004</v>
          </cell>
          <cell r="Y486">
            <v>76.3956649</v>
          </cell>
          <cell r="Z486">
            <v>82.251104924999993</v>
          </cell>
          <cell r="AA486">
            <v>82.251104924999993</v>
          </cell>
          <cell r="AB486">
            <v>84.406483224999988</v>
          </cell>
        </row>
        <row r="487">
          <cell r="D487" t="str">
            <v>OPERATING PROFIT (LOSS)</v>
          </cell>
          <cell r="E487">
            <v>15.649999999999999</v>
          </cell>
          <cell r="F487">
            <v>16.184999999999999</v>
          </cell>
          <cell r="G487">
            <v>12.936791683000001</v>
          </cell>
          <cell r="H487">
            <v>0</v>
          </cell>
          <cell r="I487">
            <v>4.7094826804020089</v>
          </cell>
          <cell r="J487">
            <v>25.536243853729786</v>
          </cell>
          <cell r="K487">
            <v>15.537275829530209</v>
          </cell>
          <cell r="L487">
            <v>10.793806746379012</v>
          </cell>
          <cell r="M487">
            <v>3.31</v>
          </cell>
          <cell r="N487">
            <v>7.8859981677279967</v>
          </cell>
          <cell r="O487">
            <v>0</v>
          </cell>
          <cell r="P487">
            <v>3.2324786560000009</v>
          </cell>
          <cell r="Q487">
            <v>15.649999999999999</v>
          </cell>
          <cell r="R487">
            <v>31.834999999999997</v>
          </cell>
          <cell r="S487">
            <v>44.771791682999996</v>
          </cell>
          <cell r="T487">
            <v>44.771791682999996</v>
          </cell>
          <cell r="U487">
            <v>49.481274363402008</v>
          </cell>
          <cell r="V487">
            <v>75.017518217131794</v>
          </cell>
          <cell r="W487">
            <v>90.55479404666201</v>
          </cell>
          <cell r="X487">
            <v>101.34860079304102</v>
          </cell>
          <cell r="Y487">
            <v>104.65860079304102</v>
          </cell>
          <cell r="Z487">
            <v>112.54459896076901</v>
          </cell>
          <cell r="AA487">
            <v>112.54459896076901</v>
          </cell>
          <cell r="AB487">
            <v>115.77707761676901</v>
          </cell>
        </row>
      </sheetData>
      <sheetData sheetId="1"/>
      <sheetData sheetId="2">
        <row r="3">
          <cell r="O3">
            <v>0</v>
          </cell>
        </row>
      </sheetData>
      <sheetData sheetId="3"/>
      <sheetData sheetId="4"/>
      <sheetData sheetId="5"/>
      <sheetData sheetId="6"/>
      <sheetData sheetId="7">
        <row r="6">
          <cell r="BN6" t="str">
            <v>Actual</v>
          </cell>
          <cell r="BO6" t="str">
            <v>Actual</v>
          </cell>
          <cell r="BP6" t="str">
            <v>Actual</v>
          </cell>
          <cell r="BQ6" t="str">
            <v>Actual</v>
          </cell>
          <cell r="BR6" t="str">
            <v>Actual</v>
          </cell>
          <cell r="BS6" t="str">
            <v>Actual</v>
          </cell>
          <cell r="BT6" t="str">
            <v>Actual</v>
          </cell>
          <cell r="BU6" t="str">
            <v>Actual</v>
          </cell>
          <cell r="BV6" t="str">
            <v>Actual</v>
          </cell>
          <cell r="BW6" t="str">
            <v>Actual</v>
          </cell>
          <cell r="BX6" t="str">
            <v>Actual</v>
          </cell>
          <cell r="BY6" t="str">
            <v>Actual</v>
          </cell>
          <cell r="BZ6" t="str">
            <v>Cum_Actu</v>
          </cell>
          <cell r="CA6" t="str">
            <v>Cum_Actu</v>
          </cell>
          <cell r="CB6" t="str">
            <v>Cum_Actu</v>
          </cell>
          <cell r="CC6" t="str">
            <v>Cum_Actu</v>
          </cell>
          <cell r="CD6" t="str">
            <v>Cum_Actu</v>
          </cell>
          <cell r="CE6" t="str">
            <v>Cum_Actu</v>
          </cell>
          <cell r="CF6" t="str">
            <v>Cum_Actu</v>
          </cell>
          <cell r="CG6" t="str">
            <v>Cum_Actu</v>
          </cell>
          <cell r="CH6" t="str">
            <v>Cum_Actu</v>
          </cell>
          <cell r="CI6" t="str">
            <v>Cum_Actu</v>
          </cell>
          <cell r="CJ6" t="str">
            <v>Cum_Actu</v>
          </cell>
          <cell r="CK6" t="str">
            <v>Cum_Actu</v>
          </cell>
        </row>
        <row r="7">
          <cell r="BM7" t="str">
            <v>CODE</v>
          </cell>
          <cell r="BN7">
            <v>41285</v>
          </cell>
          <cell r="BO7">
            <v>41316</v>
          </cell>
          <cell r="BP7">
            <v>41344</v>
          </cell>
          <cell r="BQ7">
            <v>41375</v>
          </cell>
          <cell r="BR7">
            <v>41405</v>
          </cell>
          <cell r="BS7">
            <v>41436</v>
          </cell>
          <cell r="BT7">
            <v>41466</v>
          </cell>
          <cell r="BU7">
            <v>41497</v>
          </cell>
          <cell r="BV7">
            <v>41528</v>
          </cell>
          <cell r="BW7">
            <v>41558</v>
          </cell>
          <cell r="BX7">
            <v>41589</v>
          </cell>
          <cell r="BY7">
            <v>41619</v>
          </cell>
          <cell r="BZ7">
            <v>41285</v>
          </cell>
          <cell r="CA7">
            <v>41316</v>
          </cell>
          <cell r="CB7">
            <v>41344</v>
          </cell>
          <cell r="CC7">
            <v>41375</v>
          </cell>
          <cell r="CD7">
            <v>41405</v>
          </cell>
          <cell r="CE7">
            <v>41436</v>
          </cell>
          <cell r="CF7">
            <v>41466</v>
          </cell>
          <cell r="CG7">
            <v>41497</v>
          </cell>
          <cell r="CH7">
            <v>41528</v>
          </cell>
          <cell r="CI7">
            <v>41558</v>
          </cell>
          <cell r="CJ7">
            <v>41589</v>
          </cell>
          <cell r="CK7">
            <v>41619</v>
          </cell>
        </row>
        <row r="8">
          <cell r="BM8" t="str">
            <v>LM01</v>
          </cell>
          <cell r="BN8">
            <v>0.1125</v>
          </cell>
          <cell r="BO8">
            <v>8.2500000000000004E-2</v>
          </cell>
          <cell r="BP8">
            <v>8.2500000000000004E-2</v>
          </cell>
          <cell r="BQ8">
            <v>0.10250000000000001</v>
          </cell>
          <cell r="BR8">
            <v>9.2499999999999999E-2</v>
          </cell>
          <cell r="BS8">
            <v>9.2499999999999999E-2</v>
          </cell>
          <cell r="BT8">
            <v>9.2499999999999999E-2</v>
          </cell>
          <cell r="BU8">
            <v>9.2499999999999999E-2</v>
          </cell>
          <cell r="BV8">
            <v>9.2499999999999999E-2</v>
          </cell>
          <cell r="BW8">
            <v>9.2499999999999999E-2</v>
          </cell>
          <cell r="BX8">
            <v>9.2499999999999999E-2</v>
          </cell>
          <cell r="BY8">
            <v>9.2499999999999999E-2</v>
          </cell>
          <cell r="BZ8">
            <v>0.1125</v>
          </cell>
          <cell r="CA8">
            <v>0.19500000000000001</v>
          </cell>
          <cell r="CB8">
            <v>0.27750000000000002</v>
          </cell>
          <cell r="CC8">
            <v>0.38</v>
          </cell>
          <cell r="CD8">
            <v>0.47250000000000003</v>
          </cell>
          <cell r="CE8">
            <v>0.56500000000000006</v>
          </cell>
          <cell r="CF8">
            <v>0.65750000000000008</v>
          </cell>
          <cell r="CG8">
            <v>0.75000000000000011</v>
          </cell>
          <cell r="CH8">
            <v>0.84250000000000014</v>
          </cell>
          <cell r="CI8">
            <v>0.93500000000000016</v>
          </cell>
          <cell r="CJ8">
            <v>1.0275000000000001</v>
          </cell>
          <cell r="CK8">
            <v>1.1200000000000001</v>
          </cell>
        </row>
        <row r="9">
          <cell r="BM9" t="str">
            <v>LM02</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BM10" t="str">
            <v>LM03</v>
          </cell>
          <cell r="BN10">
            <v>1.5</v>
          </cell>
          <cell r="BO10">
            <v>1.5</v>
          </cell>
          <cell r="BP10">
            <v>1.5</v>
          </cell>
          <cell r="BQ10">
            <v>1.5</v>
          </cell>
          <cell r="BR10">
            <v>1.5</v>
          </cell>
          <cell r="BS10">
            <v>1.5</v>
          </cell>
          <cell r="BT10">
            <v>1.5</v>
          </cell>
          <cell r="BU10">
            <v>1.5</v>
          </cell>
          <cell r="BV10">
            <v>1.5</v>
          </cell>
          <cell r="BW10">
            <v>1.5</v>
          </cell>
          <cell r="BX10">
            <v>1.5</v>
          </cell>
          <cell r="BY10">
            <v>1.5</v>
          </cell>
          <cell r="BZ10">
            <v>1.5</v>
          </cell>
          <cell r="CA10">
            <v>3</v>
          </cell>
          <cell r="CB10">
            <v>4.5</v>
          </cell>
          <cell r="CC10">
            <v>6</v>
          </cell>
          <cell r="CD10">
            <v>7.5</v>
          </cell>
          <cell r="CE10">
            <v>9</v>
          </cell>
          <cell r="CF10">
            <v>10.5</v>
          </cell>
          <cell r="CG10">
            <v>12</v>
          </cell>
          <cell r="CH10">
            <v>13.5</v>
          </cell>
          <cell r="CI10">
            <v>15</v>
          </cell>
          <cell r="CJ10">
            <v>16.5</v>
          </cell>
          <cell r="CK10">
            <v>18</v>
          </cell>
        </row>
        <row r="11">
          <cell r="BM11" t="str">
            <v>LM04</v>
          </cell>
          <cell r="BN11">
            <v>0.64083333333333325</v>
          </cell>
          <cell r="BO11">
            <v>0.64083333333333325</v>
          </cell>
          <cell r="BP11">
            <v>0.64083333333333325</v>
          </cell>
          <cell r="BQ11">
            <v>0.64083333333333325</v>
          </cell>
          <cell r="BR11">
            <v>0.64083333333333325</v>
          </cell>
          <cell r="BS11">
            <v>0.64083333333333325</v>
          </cell>
          <cell r="BT11">
            <v>1.210833333333333</v>
          </cell>
          <cell r="BU11">
            <v>1.1108333333333329</v>
          </cell>
          <cell r="BV11">
            <v>0.64083333333333325</v>
          </cell>
          <cell r="BW11">
            <v>0.64083333333333325</v>
          </cell>
          <cell r="BX11">
            <v>0.64083333333333325</v>
          </cell>
          <cell r="BY11">
            <v>0.64083333333333325</v>
          </cell>
          <cell r="BZ11">
            <v>0.64083333333333325</v>
          </cell>
          <cell r="CA11">
            <v>1.2816666666666665</v>
          </cell>
          <cell r="CB11">
            <v>1.9224999999999999</v>
          </cell>
          <cell r="CC11">
            <v>2.563333333333333</v>
          </cell>
          <cell r="CD11">
            <v>3.2041666666666662</v>
          </cell>
          <cell r="CE11">
            <v>3.8449999999999993</v>
          </cell>
          <cell r="CF11">
            <v>5.0558333333333323</v>
          </cell>
          <cell r="CG11">
            <v>6.1666666666666652</v>
          </cell>
          <cell r="CH11">
            <v>6.8074999999999983</v>
          </cell>
          <cell r="CI11">
            <v>7.4483333333333315</v>
          </cell>
          <cell r="CJ11">
            <v>8.0891666666666655</v>
          </cell>
          <cell r="CK11">
            <v>8.7299999999999986</v>
          </cell>
        </row>
        <row r="12">
          <cell r="BM12" t="str">
            <v>LM05</v>
          </cell>
          <cell r="BN12">
            <v>0.81166666666666665</v>
          </cell>
          <cell r="BO12">
            <v>0.67166666666666663</v>
          </cell>
          <cell r="BP12">
            <v>0.67166666666666663</v>
          </cell>
          <cell r="BQ12">
            <v>0.67166666666666663</v>
          </cell>
          <cell r="BR12">
            <v>0.67166666666666663</v>
          </cell>
          <cell r="BS12">
            <v>10.941666666666666</v>
          </cell>
          <cell r="BT12">
            <v>0.17166666666666697</v>
          </cell>
          <cell r="BU12">
            <v>0.20166666666666699</v>
          </cell>
          <cell r="BV12">
            <v>0.67166666666666663</v>
          </cell>
          <cell r="BW12">
            <v>0.67166666666666663</v>
          </cell>
          <cell r="BX12">
            <v>0.67166666666666663</v>
          </cell>
          <cell r="BY12">
            <v>0.37</v>
          </cell>
          <cell r="BZ12">
            <v>0.81166666666666665</v>
          </cell>
          <cell r="CA12">
            <v>1.4833333333333334</v>
          </cell>
          <cell r="CB12">
            <v>2.1550000000000002</v>
          </cell>
          <cell r="CC12">
            <v>2.8266666666666671</v>
          </cell>
          <cell r="CD12">
            <v>3.498333333333334</v>
          </cell>
          <cell r="CE12">
            <v>14.440000000000001</v>
          </cell>
          <cell r="CF12">
            <v>14.611666666666668</v>
          </cell>
          <cell r="CG12">
            <v>14.813333333333334</v>
          </cell>
          <cell r="CH12">
            <v>15.485000000000001</v>
          </cell>
          <cell r="CI12">
            <v>16.156666666666666</v>
          </cell>
          <cell r="CJ12">
            <v>16.828333333333333</v>
          </cell>
          <cell r="CK12">
            <v>17.198333333333334</v>
          </cell>
        </row>
        <row r="13">
          <cell r="BM13" t="str">
            <v>LM06</v>
          </cell>
          <cell r="BN13">
            <v>0.58333333333333337</v>
          </cell>
          <cell r="BO13">
            <v>0.58333333333333337</v>
          </cell>
          <cell r="BP13">
            <v>0.58333333333333337</v>
          </cell>
          <cell r="BQ13">
            <v>0.58333333333333337</v>
          </cell>
          <cell r="BR13">
            <v>0.58333333333333337</v>
          </cell>
          <cell r="BS13">
            <v>0.58333333333333337</v>
          </cell>
          <cell r="BT13">
            <v>0.51333333333333298</v>
          </cell>
          <cell r="BU13">
            <v>1.3333333333333086E-2</v>
          </cell>
          <cell r="BV13">
            <v>0.22333333333333305</v>
          </cell>
          <cell r="BW13">
            <v>0.58333333333333337</v>
          </cell>
          <cell r="BX13">
            <v>0.58333333333333337</v>
          </cell>
          <cell r="BY13">
            <v>-0.95000000000000007</v>
          </cell>
          <cell r="BZ13">
            <v>0.58333333333333337</v>
          </cell>
          <cell r="CA13">
            <v>1.1666666666666667</v>
          </cell>
          <cell r="CB13">
            <v>1.75</v>
          </cell>
          <cell r="CC13">
            <v>2.3333333333333335</v>
          </cell>
          <cell r="CD13">
            <v>2.916666666666667</v>
          </cell>
          <cell r="CE13">
            <v>3.5000000000000004</v>
          </cell>
          <cell r="CF13">
            <v>4.0133333333333336</v>
          </cell>
          <cell r="CG13">
            <v>4.0266666666666664</v>
          </cell>
          <cell r="CH13">
            <v>4.2499999999999991</v>
          </cell>
          <cell r="CI13">
            <v>4.8333333333333321</v>
          </cell>
          <cell r="CJ13">
            <v>5.4166666666666652</v>
          </cell>
          <cell r="CK13">
            <v>4.466666666666665</v>
          </cell>
        </row>
        <row r="14">
          <cell r="BM14" t="str">
            <v>LM07</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BM15" t="str">
            <v>LM08</v>
          </cell>
          <cell r="BN15">
            <v>0.59922921208866298</v>
          </cell>
          <cell r="BO15">
            <v>0.56706420705125482</v>
          </cell>
          <cell r="BP15">
            <v>0.50835734694790458</v>
          </cell>
          <cell r="BQ15">
            <v>0.44681534342032619</v>
          </cell>
          <cell r="BR15">
            <v>0.47484408589381183</v>
          </cell>
          <cell r="BS15">
            <v>0.51101911884214202</v>
          </cell>
          <cell r="BT15">
            <v>0.42638555601568207</v>
          </cell>
          <cell r="BU15">
            <v>0.49908250612600402</v>
          </cell>
          <cell r="BV15">
            <v>0.53890857603603293</v>
          </cell>
          <cell r="BW15">
            <v>0.38270556856868398</v>
          </cell>
          <cell r="BX15">
            <v>0.53404650885195193</v>
          </cell>
          <cell r="BY15">
            <v>1.1985722373318699</v>
          </cell>
          <cell r="BZ15">
            <v>0.59922921208866298</v>
          </cell>
          <cell r="CA15">
            <v>1.1662934191399179</v>
          </cell>
          <cell r="CB15">
            <v>1.6746507660878225</v>
          </cell>
          <cell r="CC15">
            <v>2.1214661095081486</v>
          </cell>
          <cell r="CD15">
            <v>2.5963101954019603</v>
          </cell>
          <cell r="CE15">
            <v>3.1073293142441023</v>
          </cell>
          <cell r="CF15">
            <v>3.5337148702597845</v>
          </cell>
          <cell r="CG15">
            <v>4.0327973763857887</v>
          </cell>
          <cell r="CH15">
            <v>4.571705952421822</v>
          </cell>
          <cell r="CI15">
            <v>4.9544115209905062</v>
          </cell>
          <cell r="CJ15">
            <v>5.4884580298424579</v>
          </cell>
          <cell r="CK15">
            <v>6.687030267174328</v>
          </cell>
        </row>
        <row r="16">
          <cell r="BM16" t="str">
            <v>LM09</v>
          </cell>
          <cell r="BN16">
            <v>12.484521597603928</v>
          </cell>
          <cell r="BO16">
            <v>11.796208218061599</v>
          </cell>
          <cell r="BP16">
            <v>-0.58563416993757222</v>
          </cell>
          <cell r="BQ16">
            <v>9.3336655793979588</v>
          </cell>
          <cell r="BR16">
            <v>10.001345510702613</v>
          </cell>
          <cell r="BS16">
            <v>0.48880637581819997</v>
          </cell>
          <cell r="BT16">
            <v>-3.3691158212653995</v>
          </cell>
          <cell r="BU16">
            <v>10.3660594199767</v>
          </cell>
          <cell r="BV16">
            <v>11.2355242428764</v>
          </cell>
          <cell r="BW16">
            <v>7.8902224940008008</v>
          </cell>
          <cell r="BX16">
            <v>11.169024432660201</v>
          </cell>
          <cell r="BY16">
            <v>-15.929907255723801</v>
          </cell>
          <cell r="BZ16">
            <v>12.484521597603928</v>
          </cell>
          <cell r="CA16">
            <v>24.280729815665527</v>
          </cell>
          <cell r="CB16">
            <v>23.695095645727953</v>
          </cell>
          <cell r="CC16">
            <v>33.028761225125912</v>
          </cell>
          <cell r="CD16">
            <v>43.030106735828525</v>
          </cell>
          <cell r="CE16">
            <v>43.518913111646725</v>
          </cell>
          <cell r="CF16">
            <v>40.149797290381329</v>
          </cell>
          <cell r="CG16">
            <v>50.51585671035803</v>
          </cell>
          <cell r="CH16">
            <v>61.751380953234431</v>
          </cell>
          <cell r="CI16">
            <v>69.641603447235227</v>
          </cell>
          <cell r="CJ16">
            <v>80.810627879895435</v>
          </cell>
          <cell r="CK16">
            <v>64.88072062417163</v>
          </cell>
        </row>
        <row r="17">
          <cell r="BM17" t="str">
            <v>LM10</v>
          </cell>
          <cell r="BN17">
            <v>21.87</v>
          </cell>
          <cell r="BO17">
            <v>18.87</v>
          </cell>
          <cell r="BP17">
            <v>15.31</v>
          </cell>
          <cell r="BQ17">
            <v>18.87</v>
          </cell>
          <cell r="BR17">
            <v>18.87</v>
          </cell>
          <cell r="BS17">
            <v>18.87</v>
          </cell>
          <cell r="BT17">
            <v>18.87</v>
          </cell>
          <cell r="BU17">
            <v>20.48</v>
          </cell>
          <cell r="BV17">
            <v>22.79</v>
          </cell>
          <cell r="BW17">
            <v>20.79</v>
          </cell>
          <cell r="BX17">
            <v>20.79</v>
          </cell>
          <cell r="BY17">
            <v>16.660000000000004</v>
          </cell>
          <cell r="BZ17">
            <v>21.87</v>
          </cell>
          <cell r="CA17">
            <v>40.74</v>
          </cell>
          <cell r="CB17">
            <v>56.050000000000004</v>
          </cell>
          <cell r="CC17">
            <v>74.92</v>
          </cell>
          <cell r="CD17">
            <v>93.79</v>
          </cell>
          <cell r="CE17">
            <v>112.66000000000001</v>
          </cell>
          <cell r="CF17">
            <v>131.53</v>
          </cell>
          <cell r="CG17">
            <v>152.01</v>
          </cell>
          <cell r="CH17">
            <v>174.79999999999998</v>
          </cell>
          <cell r="CI17">
            <v>195.58999999999997</v>
          </cell>
          <cell r="CJ17">
            <v>216.37999999999997</v>
          </cell>
          <cell r="CK17">
            <v>233.03999999999996</v>
          </cell>
        </row>
        <row r="18">
          <cell r="BM18" t="str">
            <v>LM11</v>
          </cell>
          <cell r="BN18">
            <v>365</v>
          </cell>
          <cell r="BO18">
            <v>20</v>
          </cell>
          <cell r="BP18">
            <v>-2</v>
          </cell>
          <cell r="BQ18">
            <v>138</v>
          </cell>
          <cell r="BR18">
            <v>4</v>
          </cell>
          <cell r="BS18">
            <v>14</v>
          </cell>
          <cell r="BT18">
            <v>5.3000000000000007</v>
          </cell>
          <cell r="BU18">
            <v>69.5</v>
          </cell>
          <cell r="BV18">
            <v>-22.000000000000007</v>
          </cell>
          <cell r="BW18">
            <v>97</v>
          </cell>
          <cell r="BX18">
            <v>-27</v>
          </cell>
          <cell r="BY18">
            <v>-13.9</v>
          </cell>
          <cell r="BZ18">
            <v>365</v>
          </cell>
          <cell r="CA18">
            <v>385</v>
          </cell>
          <cell r="CB18">
            <v>383</v>
          </cell>
          <cell r="CC18">
            <v>521</v>
          </cell>
          <cell r="CD18">
            <v>525</v>
          </cell>
          <cell r="CE18">
            <v>539</v>
          </cell>
          <cell r="CF18">
            <v>544.29999999999995</v>
          </cell>
          <cell r="CG18">
            <v>613.79999999999995</v>
          </cell>
          <cell r="CH18">
            <v>591.79999999999995</v>
          </cell>
          <cell r="CI18">
            <v>688.8</v>
          </cell>
          <cell r="CJ18">
            <v>661.8</v>
          </cell>
          <cell r="CK18">
            <v>647.9</v>
          </cell>
        </row>
        <row r="19">
          <cell r="BM19" t="str">
            <v>LM12</v>
          </cell>
          <cell r="BN19">
            <v>128.30122981629449</v>
          </cell>
          <cell r="BO19">
            <v>177.9493707851112</v>
          </cell>
          <cell r="BP19">
            <v>137.63064475460763</v>
          </cell>
          <cell r="BQ19">
            <v>116.41021953880147</v>
          </cell>
          <cell r="BR19">
            <v>124.21493099569348</v>
          </cell>
          <cell r="BS19">
            <v>133.60935985654851</v>
          </cell>
          <cell r="BT19">
            <v>50.664228178934003</v>
          </cell>
          <cell r="BU19">
            <v>95.357301643929702</v>
          </cell>
          <cell r="BV19">
            <v>70.449381101809408</v>
          </cell>
          <cell r="BW19">
            <v>57.275557167801601</v>
          </cell>
          <cell r="BX19">
            <v>74.45319578696801</v>
          </cell>
          <cell r="BY19">
            <v>77.87</v>
          </cell>
          <cell r="BZ19">
            <v>128.30122981629449</v>
          </cell>
          <cell r="CA19">
            <v>306.25060060140572</v>
          </cell>
          <cell r="CB19">
            <v>443.88124535601332</v>
          </cell>
          <cell r="CC19">
            <v>560.29146489481479</v>
          </cell>
          <cell r="CD19">
            <v>684.50639589050832</v>
          </cell>
          <cell r="CE19">
            <v>818.11575574705682</v>
          </cell>
          <cell r="CF19">
            <v>868.77998392599079</v>
          </cell>
          <cell r="CG19">
            <v>964.13728556992055</v>
          </cell>
          <cell r="CH19">
            <v>1034.58666667173</v>
          </cell>
          <cell r="CI19">
            <v>1091.8622238395317</v>
          </cell>
          <cell r="CJ19">
            <v>1166.3154196264998</v>
          </cell>
          <cell r="CK19">
            <v>1244.1854196264999</v>
          </cell>
        </row>
        <row r="20">
          <cell r="BM20" t="str">
            <v>LM13</v>
          </cell>
          <cell r="BN20">
            <v>5.2649760640735241</v>
          </cell>
          <cell r="BO20">
            <v>4.9770438072836258</v>
          </cell>
          <cell r="BP20">
            <v>4.4803001553992292</v>
          </cell>
          <cell r="BQ20">
            <v>3.9452927614747328</v>
          </cell>
          <cell r="BR20">
            <v>4.226059376550765</v>
          </cell>
          <cell r="BS20">
            <v>4.5419030297944492</v>
          </cell>
          <cell r="BT20">
            <v>23.349203661872739</v>
          </cell>
          <cell r="BU20">
            <v>4.3211166026681394</v>
          </cell>
          <cell r="BV20">
            <v>30.598433112671579</v>
          </cell>
          <cell r="BW20">
            <v>19.50446678136646</v>
          </cell>
          <cell r="BX20">
            <v>30.101418785987121</v>
          </cell>
          <cell r="BY20">
            <v>63.470000000000006</v>
          </cell>
          <cell r="BZ20">
            <v>5.2649760640735241</v>
          </cell>
          <cell r="CA20">
            <v>10.242019871357151</v>
          </cell>
          <cell r="CB20">
            <v>14.72232002675638</v>
          </cell>
          <cell r="CC20">
            <v>18.667612788231114</v>
          </cell>
          <cell r="CD20">
            <v>22.893672164781879</v>
          </cell>
          <cell r="CE20">
            <v>27.43557519457633</v>
          </cell>
          <cell r="CF20">
            <v>50.784778856449066</v>
          </cell>
          <cell r="CG20">
            <v>55.105895459117207</v>
          </cell>
          <cell r="CH20">
            <v>85.704328571788778</v>
          </cell>
          <cell r="CI20">
            <v>105.20879535315524</v>
          </cell>
          <cell r="CJ20">
            <v>135.31021413914237</v>
          </cell>
          <cell r="CK20">
            <v>198.78021413914237</v>
          </cell>
        </row>
        <row r="21">
          <cell r="BM21" t="str">
            <v>LM14</v>
          </cell>
          <cell r="BN21">
            <v>3.0676366638179156</v>
          </cell>
          <cell r="BO21">
            <v>2.89855964681175</v>
          </cell>
          <cell r="BP21">
            <v>22.613869568405175</v>
          </cell>
          <cell r="BQ21">
            <v>2.2926805237503465</v>
          </cell>
          <cell r="BR21">
            <v>2.4538899983930156</v>
          </cell>
          <cell r="BS21">
            <v>2.6488591940570103</v>
          </cell>
          <cell r="BT21">
            <v>12.996403738841551</v>
          </cell>
          <cell r="BU21">
            <v>17.871573925248509</v>
          </cell>
          <cell r="BV21">
            <v>2.5386457885035298</v>
          </cell>
          <cell r="BW21">
            <v>1.59344451123749</v>
          </cell>
          <cell r="BX21">
            <v>2.5109466826029396</v>
          </cell>
          <cell r="BY21">
            <v>2.8100000000000005</v>
          </cell>
          <cell r="BZ21">
            <v>3.0676366638179156</v>
          </cell>
          <cell r="CA21">
            <v>5.966196310629666</v>
          </cell>
          <cell r="CB21">
            <v>28.580065879034841</v>
          </cell>
          <cell r="CC21">
            <v>30.872746402785186</v>
          </cell>
          <cell r="CD21">
            <v>33.326636401178199</v>
          </cell>
          <cell r="CE21">
            <v>35.975495595235209</v>
          </cell>
          <cell r="CF21">
            <v>48.97189933407676</v>
          </cell>
          <cell r="CG21">
            <v>66.843473259325265</v>
          </cell>
          <cell r="CH21">
            <v>69.382119047828795</v>
          </cell>
          <cell r="CI21">
            <v>70.975563559066288</v>
          </cell>
          <cell r="CJ21">
            <v>73.486510241669222</v>
          </cell>
          <cell r="CK21">
            <v>76.296510241669225</v>
          </cell>
        </row>
        <row r="22">
          <cell r="BM22" t="str">
            <v>LM15</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BM23" t="str">
            <v>LM16</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BM24" t="str">
            <v>LM17</v>
          </cell>
          <cell r="BN24">
            <v>0.29916666666666664</v>
          </cell>
          <cell r="BO24">
            <v>0.29916666666666664</v>
          </cell>
          <cell r="BP24">
            <v>0.29916666666666664</v>
          </cell>
          <cell r="BQ24">
            <v>0.29916666666666664</v>
          </cell>
          <cell r="BR24">
            <v>0.29916666666666664</v>
          </cell>
          <cell r="BS24">
            <v>0.29916666666666664</v>
          </cell>
          <cell r="BT24">
            <v>1.1991666666666672</v>
          </cell>
          <cell r="BU24">
            <v>1.1991666666666672</v>
          </cell>
          <cell r="BV24">
            <v>1.1991666666666672</v>
          </cell>
          <cell r="BW24">
            <v>1.1991666666666672</v>
          </cell>
          <cell r="BX24">
            <v>0.29916666666666664</v>
          </cell>
          <cell r="BY24">
            <v>1.1991666666666672</v>
          </cell>
          <cell r="BZ24">
            <v>0.29916666666666664</v>
          </cell>
          <cell r="CA24">
            <v>0.59833333333333327</v>
          </cell>
          <cell r="CB24">
            <v>0.89749999999999996</v>
          </cell>
          <cell r="CC24">
            <v>1.1966666666666665</v>
          </cell>
          <cell r="CD24">
            <v>1.4958333333333331</v>
          </cell>
          <cell r="CE24">
            <v>1.7949999999999997</v>
          </cell>
          <cell r="CF24">
            <v>2.9941666666666666</v>
          </cell>
          <cell r="CG24">
            <v>4.1933333333333334</v>
          </cell>
          <cell r="CH24">
            <v>5.3925000000000001</v>
          </cell>
          <cell r="CI24">
            <v>6.5916666666666668</v>
          </cell>
          <cell r="CJ24">
            <v>6.8908333333333331</v>
          </cell>
          <cell r="CK24">
            <v>8.09</v>
          </cell>
        </row>
        <row r="25">
          <cell r="BM25" t="str">
            <v>LM18</v>
          </cell>
          <cell r="BN25">
            <v>3.0676366638179156</v>
          </cell>
          <cell r="BO25">
            <v>2.89855964681175</v>
          </cell>
          <cell r="BP25">
            <v>2.6138695684051738</v>
          </cell>
          <cell r="BQ25">
            <v>2.2926805237503465</v>
          </cell>
          <cell r="BR25">
            <v>2.4538899983930156</v>
          </cell>
          <cell r="BS25">
            <v>2.6488591940570103</v>
          </cell>
          <cell r="BT25">
            <v>2.0964037388415502</v>
          </cell>
          <cell r="BU25">
            <v>2.5115739252485101</v>
          </cell>
          <cell r="BV25">
            <v>2.5386457885035298</v>
          </cell>
          <cell r="BW25">
            <v>1.59344451123749</v>
          </cell>
          <cell r="BX25">
            <v>2.5109466826029396</v>
          </cell>
          <cell r="BY25">
            <v>2.52</v>
          </cell>
          <cell r="BZ25">
            <v>3.0676366638179156</v>
          </cell>
          <cell r="CA25">
            <v>5.966196310629666</v>
          </cell>
          <cell r="CB25">
            <v>8.5800658790348407</v>
          </cell>
          <cell r="CC25">
            <v>10.872746402785188</v>
          </cell>
          <cell r="CD25">
            <v>13.326636401178202</v>
          </cell>
          <cell r="CE25">
            <v>15.975495595235213</v>
          </cell>
          <cell r="CF25">
            <v>18.071899334076761</v>
          </cell>
          <cell r="CG25">
            <v>20.58347325932527</v>
          </cell>
          <cell r="CH25">
            <v>23.1221190478288</v>
          </cell>
          <cell r="CI25">
            <v>24.71556355906629</v>
          </cell>
          <cell r="CJ25">
            <v>27.226510241669228</v>
          </cell>
          <cell r="CK25">
            <v>29.746510241669228</v>
          </cell>
        </row>
        <row r="26">
          <cell r="BM26" t="str">
            <v>LM19</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row>
        <row r="27">
          <cell r="BM27" t="str">
            <v>LM20</v>
          </cell>
          <cell r="BN27">
            <v>0.5116666666666666</v>
          </cell>
          <cell r="BO27">
            <v>0.4416666666666666</v>
          </cell>
          <cell r="BP27">
            <v>0.4416666666666666</v>
          </cell>
          <cell r="BQ27">
            <v>0.4416666666666666</v>
          </cell>
          <cell r="BR27">
            <v>0.4416666666666666</v>
          </cell>
          <cell r="BS27">
            <v>0.4416666666666666</v>
          </cell>
          <cell r="BT27">
            <v>0.4416666666666666</v>
          </cell>
          <cell r="BU27">
            <v>0.4416666666666666</v>
          </cell>
          <cell r="BV27">
            <v>0.4416666666666666</v>
          </cell>
          <cell r="BW27">
            <v>0.4416666666666666</v>
          </cell>
          <cell r="BX27">
            <v>0.4416666666666666</v>
          </cell>
          <cell r="BY27">
            <v>-0.44</v>
          </cell>
          <cell r="BZ27">
            <v>0.5116666666666666</v>
          </cell>
          <cell r="CA27">
            <v>0.95333333333333314</v>
          </cell>
          <cell r="CB27">
            <v>1.3949999999999998</v>
          </cell>
          <cell r="CC27">
            <v>1.8366666666666664</v>
          </cell>
          <cell r="CD27">
            <v>2.2783333333333329</v>
          </cell>
          <cell r="CE27">
            <v>2.7199999999999993</v>
          </cell>
          <cell r="CF27">
            <v>3.1616666666666657</v>
          </cell>
          <cell r="CG27">
            <v>3.6033333333333322</v>
          </cell>
          <cell r="CH27">
            <v>4.044999999999999</v>
          </cell>
          <cell r="CI27">
            <v>4.4866666666666655</v>
          </cell>
          <cell r="CJ27">
            <v>4.9283333333333319</v>
          </cell>
          <cell r="CK27">
            <v>4.4883333333333315</v>
          </cell>
        </row>
        <row r="28">
          <cell r="BM28" t="str">
            <v>LM21</v>
          </cell>
          <cell r="BN28">
            <v>0.98809851644569369</v>
          </cell>
          <cell r="BO28">
            <v>0.898977004799144</v>
          </cell>
          <cell r="BP28">
            <v>0.88649460358903132</v>
          </cell>
          <cell r="BQ28">
            <v>0.74092111180613129</v>
          </cell>
          <cell r="BR28">
            <v>0.75243134437873893</v>
          </cell>
          <cell r="BS28">
            <v>0.90464687834006163</v>
          </cell>
          <cell r="BT28">
            <v>0.91234035464195085</v>
          </cell>
          <cell r="BU28">
            <v>0.93054306187975766</v>
          </cell>
          <cell r="BV28">
            <v>1.016311409892366</v>
          </cell>
          <cell r="BW28">
            <v>1.07910001865599</v>
          </cell>
          <cell r="BX28">
            <v>1.1957126941063385</v>
          </cell>
          <cell r="BY28">
            <v>1.2452097561748925</v>
          </cell>
          <cell r="BZ28">
            <v>0.98809851644569369</v>
          </cell>
          <cell r="CA28">
            <v>1.8870755212448378</v>
          </cell>
          <cell r="CB28">
            <v>2.7735701248338689</v>
          </cell>
          <cell r="CC28">
            <v>3.5144912366400001</v>
          </cell>
          <cell r="CD28">
            <v>4.266922581018739</v>
          </cell>
          <cell r="CE28">
            <v>5.1715694593588006</v>
          </cell>
          <cell r="CF28">
            <v>6.0839098140007515</v>
          </cell>
          <cell r="CG28">
            <v>7.0144528758805089</v>
          </cell>
          <cell r="CH28">
            <v>8.0307642857728752</v>
          </cell>
          <cell r="CI28">
            <v>9.1098643044288643</v>
          </cell>
          <cell r="CJ28">
            <v>10.305576998535203</v>
          </cell>
          <cell r="CK28">
            <v>11.550786754710096</v>
          </cell>
        </row>
        <row r="29">
          <cell r="BM29" t="str">
            <v>LM22</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row>
        <row r="30">
          <cell r="BM30" t="str">
            <v>LM23</v>
          </cell>
          <cell r="BN30">
            <v>11.1</v>
          </cell>
          <cell r="BO30">
            <v>0</v>
          </cell>
          <cell r="BP30">
            <v>0</v>
          </cell>
          <cell r="BQ30">
            <v>0</v>
          </cell>
          <cell r="BR30">
            <v>-11.1</v>
          </cell>
          <cell r="BS30">
            <v>0</v>
          </cell>
          <cell r="BT30">
            <v>0</v>
          </cell>
          <cell r="BU30">
            <v>0</v>
          </cell>
          <cell r="BV30">
            <v>0</v>
          </cell>
          <cell r="BW30">
            <v>0</v>
          </cell>
          <cell r="BX30">
            <v>0</v>
          </cell>
          <cell r="BY30">
            <v>0</v>
          </cell>
          <cell r="BZ30">
            <v>11.1</v>
          </cell>
          <cell r="CA30">
            <v>11.1</v>
          </cell>
          <cell r="CB30">
            <v>11.1</v>
          </cell>
          <cell r="CC30">
            <v>11.1</v>
          </cell>
          <cell r="CD30">
            <v>0</v>
          </cell>
          <cell r="CE30">
            <v>0</v>
          </cell>
          <cell r="CF30">
            <v>0</v>
          </cell>
          <cell r="CG30">
            <v>0</v>
          </cell>
          <cell r="CH30">
            <v>0</v>
          </cell>
          <cell r="CI30">
            <v>0</v>
          </cell>
          <cell r="CJ30">
            <v>0</v>
          </cell>
          <cell r="CK30">
            <v>0</v>
          </cell>
        </row>
        <row r="31">
          <cell r="BM31" t="str">
            <v>TTL</v>
          </cell>
          <cell r="BN31">
            <v>556.20249520080881</v>
          </cell>
          <cell r="BO31">
            <v>245.07494998259699</v>
          </cell>
          <cell r="BP31">
            <v>185.67706849408322</v>
          </cell>
          <cell r="BQ31">
            <v>296.57144204906797</v>
          </cell>
          <cell r="BR31">
            <v>160.57655797667215</v>
          </cell>
          <cell r="BS31">
            <v>192.72262031412404</v>
          </cell>
          <cell r="BT31">
            <v>116.37501607454874</v>
          </cell>
          <cell r="BU31">
            <v>226.39641775174394</v>
          </cell>
          <cell r="BV31">
            <v>124.47501668695952</v>
          </cell>
          <cell r="BW31">
            <v>212.23810771953518</v>
          </cell>
          <cell r="BX31">
            <v>120.49445824044615</v>
          </cell>
          <cell r="BY31">
            <v>138.35637473778297</v>
          </cell>
          <cell r="BZ31">
            <v>556.20249520080881</v>
          </cell>
          <cell r="CA31">
            <v>801.27744518340592</v>
          </cell>
          <cell r="CB31">
            <v>986.9545136774891</v>
          </cell>
          <cell r="CC31">
            <v>1283.5259557265567</v>
          </cell>
          <cell r="CD31">
            <v>1444.1025137032291</v>
          </cell>
          <cell r="CE31">
            <v>1636.8251340173535</v>
          </cell>
          <cell r="CF31">
            <v>1753.2001500919018</v>
          </cell>
          <cell r="CG31">
            <v>1979.5965678436457</v>
          </cell>
          <cell r="CH31">
            <v>2104.0715845306054</v>
          </cell>
          <cell r="CI31">
            <v>2316.3096922501409</v>
          </cell>
          <cell r="CJ31">
            <v>2436.8041504905868</v>
          </cell>
          <cell r="CK31">
            <v>2575.1605252283703</v>
          </cell>
        </row>
        <row r="40">
          <cell r="BN40" t="str">
            <v>Actual</v>
          </cell>
          <cell r="BO40" t="str">
            <v>Actual</v>
          </cell>
          <cell r="BP40" t="str">
            <v>Actual</v>
          </cell>
          <cell r="BQ40" t="str">
            <v>Actual</v>
          </cell>
          <cell r="BR40" t="str">
            <v>Actual</v>
          </cell>
          <cell r="BS40" t="str">
            <v>Actual</v>
          </cell>
          <cell r="BT40" t="str">
            <v>Actual</v>
          </cell>
          <cell r="BU40" t="str">
            <v>Actual</v>
          </cell>
          <cell r="BV40" t="str">
            <v>Actual</v>
          </cell>
          <cell r="BW40" t="str">
            <v>Actual</v>
          </cell>
          <cell r="BX40" t="str">
            <v>Actual</v>
          </cell>
          <cell r="BY40" t="str">
            <v>Actual</v>
          </cell>
          <cell r="BZ40" t="str">
            <v>Cum_Actu</v>
          </cell>
          <cell r="CA40" t="str">
            <v>Cum_Actu</v>
          </cell>
          <cell r="CB40" t="str">
            <v>Cum_Actu</v>
          </cell>
          <cell r="CC40" t="str">
            <v>Cum_Actu</v>
          </cell>
          <cell r="CD40" t="str">
            <v>Cum_Actu</v>
          </cell>
          <cell r="CE40" t="str">
            <v>Cum_Actu</v>
          </cell>
          <cell r="CF40" t="str">
            <v>Cum_Actu</v>
          </cell>
          <cell r="CG40" t="str">
            <v>Cum_Actu</v>
          </cell>
          <cell r="CH40" t="str">
            <v>Cum_Actu</v>
          </cell>
          <cell r="CI40" t="str">
            <v>Cum_Actu</v>
          </cell>
          <cell r="CJ40" t="str">
            <v>Cum_Actu</v>
          </cell>
          <cell r="CK40" t="str">
            <v>Cum_Actu</v>
          </cell>
        </row>
        <row r="41">
          <cell r="BM41" t="str">
            <v>CODE</v>
          </cell>
          <cell r="BN41">
            <v>41285</v>
          </cell>
          <cell r="BO41">
            <v>41316</v>
          </cell>
          <cell r="BP41">
            <v>41344</v>
          </cell>
          <cell r="BQ41">
            <v>41375</v>
          </cell>
          <cell r="BR41">
            <v>41405</v>
          </cell>
          <cell r="BS41">
            <v>41436</v>
          </cell>
          <cell r="BT41">
            <v>41466</v>
          </cell>
          <cell r="BU41">
            <v>41497</v>
          </cell>
          <cell r="BV41">
            <v>41528</v>
          </cell>
          <cell r="BW41">
            <v>41558</v>
          </cell>
          <cell r="BX41">
            <v>41589</v>
          </cell>
          <cell r="BY41">
            <v>41619</v>
          </cell>
          <cell r="BZ41">
            <v>41285</v>
          </cell>
          <cell r="CA41">
            <v>41316</v>
          </cell>
          <cell r="CB41">
            <v>41344</v>
          </cell>
          <cell r="CC41">
            <v>41375</v>
          </cell>
          <cell r="CD41">
            <v>41405</v>
          </cell>
          <cell r="CE41">
            <v>41436</v>
          </cell>
          <cell r="CF41">
            <v>41466</v>
          </cell>
          <cell r="CG41">
            <v>41497</v>
          </cell>
          <cell r="CH41">
            <v>41528</v>
          </cell>
          <cell r="CI41">
            <v>41558</v>
          </cell>
          <cell r="CJ41">
            <v>41589</v>
          </cell>
          <cell r="CK41">
            <v>41619</v>
          </cell>
        </row>
        <row r="42">
          <cell r="BM42" t="str">
            <v>LA01</v>
          </cell>
          <cell r="BN42">
            <v>2.4166666666666666E-2</v>
          </cell>
          <cell r="BO42">
            <v>2.4166666666666666E-2</v>
          </cell>
          <cell r="BP42">
            <v>2.4166666666666666E-2</v>
          </cell>
          <cell r="BQ42">
            <v>2.4166666666666666E-2</v>
          </cell>
          <cell r="BR42">
            <v>2.4166666666666666E-2</v>
          </cell>
          <cell r="BS42">
            <v>2.4166666666666666E-2</v>
          </cell>
          <cell r="BT42">
            <v>2.4166666666666666E-2</v>
          </cell>
          <cell r="BU42">
            <v>2.4166666666666666E-2</v>
          </cell>
          <cell r="BV42">
            <v>2.4166666666666666E-2</v>
          </cell>
          <cell r="BW42">
            <v>2.4166666666666666E-2</v>
          </cell>
          <cell r="BX42">
            <v>2.4166666666666666E-2</v>
          </cell>
          <cell r="BY42">
            <v>2.4166666666666666E-2</v>
          </cell>
          <cell r="BZ42">
            <v>2.4166666666666666E-2</v>
          </cell>
          <cell r="CA42">
            <v>4.8333333333333332E-2</v>
          </cell>
          <cell r="CB42">
            <v>7.2499999999999995E-2</v>
          </cell>
          <cell r="CC42">
            <v>9.6666666666666665E-2</v>
          </cell>
          <cell r="CD42">
            <v>0.12083333333333333</v>
          </cell>
          <cell r="CE42">
            <v>0.14499999999999999</v>
          </cell>
          <cell r="CF42">
            <v>0.16916666666666666</v>
          </cell>
          <cell r="CG42">
            <v>0.19333333333333333</v>
          </cell>
          <cell r="CH42">
            <v>0.2175</v>
          </cell>
          <cell r="CI42">
            <v>0.24166666666666667</v>
          </cell>
          <cell r="CJ42">
            <v>0.26583333333333331</v>
          </cell>
          <cell r="CK42">
            <v>0.28999999999999998</v>
          </cell>
        </row>
        <row r="43">
          <cell r="BM43" t="str">
            <v>LA02</v>
          </cell>
          <cell r="BN43">
            <v>0.25</v>
          </cell>
          <cell r="BO43">
            <v>0.25</v>
          </cell>
          <cell r="BP43">
            <v>0.25</v>
          </cell>
          <cell r="BQ43">
            <v>0.25</v>
          </cell>
          <cell r="BR43">
            <v>0.25</v>
          </cell>
          <cell r="BS43">
            <v>0.25</v>
          </cell>
          <cell r="BT43">
            <v>0.25</v>
          </cell>
          <cell r="BU43">
            <v>0.25</v>
          </cell>
          <cell r="BV43">
            <v>0.25</v>
          </cell>
          <cell r="BW43">
            <v>0.25</v>
          </cell>
          <cell r="BX43">
            <v>0.25</v>
          </cell>
          <cell r="BY43">
            <v>0.25</v>
          </cell>
          <cell r="BZ43">
            <v>0.25</v>
          </cell>
          <cell r="CA43">
            <v>0.5</v>
          </cell>
          <cell r="CB43">
            <v>0.75</v>
          </cell>
          <cell r="CC43">
            <v>1</v>
          </cell>
          <cell r="CD43">
            <v>1.25</v>
          </cell>
          <cell r="CE43">
            <v>1.5</v>
          </cell>
          <cell r="CF43">
            <v>1.75</v>
          </cell>
          <cell r="CG43">
            <v>2</v>
          </cell>
          <cell r="CH43">
            <v>2.25</v>
          </cell>
          <cell r="CI43">
            <v>2.5</v>
          </cell>
          <cell r="CJ43">
            <v>2.75</v>
          </cell>
          <cell r="CK43">
            <v>3</v>
          </cell>
        </row>
        <row r="44">
          <cell r="BM44" t="str">
            <v>LA03</v>
          </cell>
          <cell r="BN44">
            <v>0.09</v>
          </cell>
          <cell r="BO44">
            <v>0.09</v>
          </cell>
          <cell r="BP44">
            <v>0.09</v>
          </cell>
          <cell r="BQ44">
            <v>9.0000000000000011E-2</v>
          </cell>
          <cell r="BR44">
            <v>9.0000000000000011E-2</v>
          </cell>
          <cell r="BS44">
            <v>9.0000000000000011E-2</v>
          </cell>
          <cell r="BT44">
            <v>9.0000000000000011E-2</v>
          </cell>
          <cell r="BU44">
            <v>9.0000000000000011E-2</v>
          </cell>
          <cell r="BV44">
            <v>9.0000000000000011E-2</v>
          </cell>
          <cell r="BW44">
            <v>9.0000000000000011E-2</v>
          </cell>
          <cell r="BX44">
            <v>9.0000000000000011E-2</v>
          </cell>
          <cell r="BY44">
            <v>9.0000000000000011E-2</v>
          </cell>
          <cell r="BZ44">
            <v>0.09</v>
          </cell>
          <cell r="CA44">
            <v>0.18</v>
          </cell>
          <cell r="CB44">
            <v>0.27</v>
          </cell>
          <cell r="CC44">
            <v>0.36000000000000004</v>
          </cell>
          <cell r="CD44">
            <v>0.45000000000000007</v>
          </cell>
          <cell r="CE44">
            <v>0.54</v>
          </cell>
          <cell r="CF44">
            <v>0.63</v>
          </cell>
          <cell r="CG44">
            <v>0.72</v>
          </cell>
          <cell r="CH44">
            <v>0.80999999999999994</v>
          </cell>
          <cell r="CI44">
            <v>0.89999999999999991</v>
          </cell>
          <cell r="CJ44">
            <v>0.98999999999999988</v>
          </cell>
          <cell r="CK44">
            <v>1.0799999999999998</v>
          </cell>
        </row>
        <row r="45">
          <cell r="BM45" t="str">
            <v>LA04</v>
          </cell>
          <cell r="BN45">
            <v>0.46</v>
          </cell>
          <cell r="BO45">
            <v>0.4</v>
          </cell>
          <cell r="BP45">
            <v>0.4</v>
          </cell>
          <cell r="BQ45">
            <v>0.39999999999999997</v>
          </cell>
          <cell r="BR45">
            <v>0.39999999999999997</v>
          </cell>
          <cell r="BS45">
            <v>0.39999999999999997</v>
          </cell>
          <cell r="BT45">
            <v>0.39999999999999997</v>
          </cell>
          <cell r="BU45">
            <v>0.39999999999999997</v>
          </cell>
          <cell r="BV45">
            <v>0.39999999999999997</v>
          </cell>
          <cell r="BW45">
            <v>0.39999999999999997</v>
          </cell>
          <cell r="BX45">
            <v>31.779999999999998</v>
          </cell>
          <cell r="BY45">
            <v>3.44</v>
          </cell>
          <cell r="BZ45">
            <v>0.46</v>
          </cell>
          <cell r="CA45">
            <v>0.8600000000000001</v>
          </cell>
          <cell r="CB45">
            <v>1.2600000000000002</v>
          </cell>
          <cell r="CC45">
            <v>1.6600000000000001</v>
          </cell>
          <cell r="CD45">
            <v>2.06</v>
          </cell>
          <cell r="CE45">
            <v>2.46</v>
          </cell>
          <cell r="CF45">
            <v>2.86</v>
          </cell>
          <cell r="CG45">
            <v>3.26</v>
          </cell>
          <cell r="CH45">
            <v>3.6599999999999997</v>
          </cell>
          <cell r="CI45">
            <v>4.0599999999999996</v>
          </cell>
          <cell r="CJ45">
            <v>35.839999999999996</v>
          </cell>
          <cell r="CK45">
            <v>39.279999999999994</v>
          </cell>
        </row>
        <row r="46">
          <cell r="BM46" t="str">
            <v>LA05</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row>
        <row r="47">
          <cell r="BM47" t="str">
            <v>LA06</v>
          </cell>
          <cell r="BN47">
            <v>0.29000000000000004</v>
          </cell>
          <cell r="BO47">
            <v>-0.52</v>
          </cell>
          <cell r="BP47">
            <v>0.27</v>
          </cell>
          <cell r="BQ47">
            <v>8.8333333333333333E-2</v>
          </cell>
          <cell r="BR47">
            <v>8.8333333333333333E-2</v>
          </cell>
          <cell r="BS47">
            <v>8.8333333333333333E-2</v>
          </cell>
          <cell r="BT47">
            <v>8.8333333333333333E-2</v>
          </cell>
          <cell r="BU47">
            <v>8.8333333333333333E-2</v>
          </cell>
          <cell r="BV47">
            <v>8.8333333333333333E-2</v>
          </cell>
          <cell r="BW47">
            <v>8.8333333333333333E-2</v>
          </cell>
          <cell r="BX47">
            <v>8.8333333333333333E-2</v>
          </cell>
          <cell r="BY47">
            <v>0.32999999999999996</v>
          </cell>
          <cell r="BZ47">
            <v>0.29000000000000004</v>
          </cell>
          <cell r="CA47">
            <v>-0.22999999999999998</v>
          </cell>
          <cell r="CB47">
            <v>4.0000000000000036E-2</v>
          </cell>
          <cell r="CC47">
            <v>0.12833333333333335</v>
          </cell>
          <cell r="CD47">
            <v>0.21666666666666667</v>
          </cell>
          <cell r="CE47">
            <v>0.30499999999999999</v>
          </cell>
          <cell r="CF47">
            <v>0.39333333333333331</v>
          </cell>
          <cell r="CG47">
            <v>0.48166666666666663</v>
          </cell>
          <cell r="CH47">
            <v>0.56999999999999995</v>
          </cell>
          <cell r="CI47">
            <v>0.65833333333333333</v>
          </cell>
          <cell r="CJ47">
            <v>0.7466666666666667</v>
          </cell>
          <cell r="CK47">
            <v>1.0766666666666667</v>
          </cell>
        </row>
        <row r="48">
          <cell r="BM48" t="str">
            <v>LA07</v>
          </cell>
          <cell r="BN48">
            <v>2.04</v>
          </cell>
          <cell r="BO48">
            <v>2.0299999999999998</v>
          </cell>
          <cell r="BP48">
            <v>2.04</v>
          </cell>
          <cell r="BQ48">
            <v>1.25</v>
          </cell>
          <cell r="BR48">
            <v>1.25</v>
          </cell>
          <cell r="BS48">
            <v>1.25</v>
          </cell>
          <cell r="BT48">
            <v>1.25</v>
          </cell>
          <cell r="BU48">
            <v>1.25</v>
          </cell>
          <cell r="BV48">
            <v>1.25</v>
          </cell>
          <cell r="BW48">
            <v>1.25</v>
          </cell>
          <cell r="BX48">
            <v>1.25</v>
          </cell>
          <cell r="BY48">
            <v>1.25</v>
          </cell>
          <cell r="BZ48">
            <v>2.04</v>
          </cell>
          <cell r="CA48">
            <v>4.07</v>
          </cell>
          <cell r="CB48">
            <v>6.11</v>
          </cell>
          <cell r="CC48">
            <v>7.36</v>
          </cell>
          <cell r="CD48">
            <v>8.61</v>
          </cell>
          <cell r="CE48">
            <v>9.86</v>
          </cell>
          <cell r="CF48">
            <v>11.11</v>
          </cell>
          <cell r="CG48">
            <v>12.36</v>
          </cell>
          <cell r="CH48">
            <v>13.61</v>
          </cell>
          <cell r="CI48">
            <v>14.86</v>
          </cell>
          <cell r="CJ48">
            <v>16.11</v>
          </cell>
          <cell r="CK48">
            <v>17.36</v>
          </cell>
        </row>
        <row r="49">
          <cell r="BM49" t="str">
            <v>LA08</v>
          </cell>
          <cell r="BN49">
            <v>0.77300000000000002</v>
          </cell>
          <cell r="BO49">
            <v>0.77300000000000002</v>
          </cell>
          <cell r="BP49">
            <v>0.77300000000000002</v>
          </cell>
          <cell r="BQ49">
            <v>0.77300000000000002</v>
          </cell>
          <cell r="BR49">
            <v>0.77300000000000002</v>
          </cell>
          <cell r="BS49">
            <v>0.77300000000000002</v>
          </cell>
          <cell r="BT49">
            <v>0.77300000000000002</v>
          </cell>
          <cell r="BU49">
            <v>0.77300000000000002</v>
          </cell>
          <cell r="BV49">
            <v>0.77300000000000002</v>
          </cell>
          <cell r="BW49">
            <v>0.77300000000000002</v>
          </cell>
          <cell r="BX49">
            <v>0.77300000000000002</v>
          </cell>
          <cell r="BY49">
            <v>0.77300000000000002</v>
          </cell>
          <cell r="BZ49">
            <v>0.77300000000000002</v>
          </cell>
          <cell r="CA49">
            <v>1.546</v>
          </cell>
          <cell r="CB49">
            <v>2.319</v>
          </cell>
          <cell r="CC49">
            <v>3.0920000000000001</v>
          </cell>
          <cell r="CD49">
            <v>3.8650000000000002</v>
          </cell>
          <cell r="CE49">
            <v>4.6379999999999999</v>
          </cell>
          <cell r="CF49">
            <v>5.4109999999999996</v>
          </cell>
          <cell r="CG49">
            <v>6.1839999999999993</v>
          </cell>
          <cell r="CH49">
            <v>6.956999999999999</v>
          </cell>
          <cell r="CI49">
            <v>7.7299999999999986</v>
          </cell>
          <cell r="CJ49">
            <v>8.5029999999999983</v>
          </cell>
          <cell r="CK49">
            <v>9.275999999999998</v>
          </cell>
        </row>
        <row r="50">
          <cell r="BM50" t="str">
            <v>LA09</v>
          </cell>
          <cell r="BN50">
            <v>0.28799999999999998</v>
          </cell>
          <cell r="BO50">
            <v>0.28799999999999998</v>
          </cell>
          <cell r="BP50">
            <v>0.28799999999999998</v>
          </cell>
          <cell r="BQ50">
            <v>0.28799999999999998</v>
          </cell>
          <cell r="BR50">
            <v>0.28799999999999998</v>
          </cell>
          <cell r="BS50">
            <v>0.28799999999999998</v>
          </cell>
          <cell r="BT50">
            <v>0.28799999999999998</v>
          </cell>
          <cell r="BU50">
            <v>0.28799999999999998</v>
          </cell>
          <cell r="BV50">
            <v>0.28799999999999998</v>
          </cell>
          <cell r="BW50">
            <v>0.28799999999999998</v>
          </cell>
          <cell r="BX50">
            <v>0.28799999999999998</v>
          </cell>
          <cell r="BY50">
            <v>0.28799999999999998</v>
          </cell>
          <cell r="BZ50">
            <v>0.28799999999999998</v>
          </cell>
          <cell r="CA50">
            <v>0.57599999999999996</v>
          </cell>
          <cell r="CB50">
            <v>0.86399999999999988</v>
          </cell>
          <cell r="CC50">
            <v>1.1519999999999999</v>
          </cell>
          <cell r="CD50">
            <v>1.44</v>
          </cell>
          <cell r="CE50">
            <v>1.728</v>
          </cell>
          <cell r="CF50">
            <v>2.016</v>
          </cell>
          <cell r="CG50">
            <v>2.3039999999999998</v>
          </cell>
          <cell r="CH50">
            <v>2.5919999999999996</v>
          </cell>
          <cell r="CI50">
            <v>2.8799999999999994</v>
          </cell>
          <cell r="CJ50">
            <v>3.1679999999999993</v>
          </cell>
          <cell r="CK50">
            <v>3.4559999999999991</v>
          </cell>
        </row>
        <row r="51">
          <cell r="BM51" t="str">
            <v>LA10</v>
          </cell>
          <cell r="BN51">
            <v>3.4175000000000004</v>
          </cell>
          <cell r="BO51">
            <v>2.3024999999999998</v>
          </cell>
          <cell r="BP51">
            <v>0.3125</v>
          </cell>
          <cell r="BQ51">
            <v>8.4425000000000008</v>
          </cell>
          <cell r="BR51">
            <v>1.1304999999999998</v>
          </cell>
          <cell r="BS51">
            <v>2.8345000000000002</v>
          </cell>
          <cell r="BT51">
            <v>18.819499999999998</v>
          </cell>
          <cell r="BU51">
            <v>1.0415000000000001</v>
          </cell>
          <cell r="BV51">
            <v>3.7414999999999998</v>
          </cell>
          <cell r="BW51">
            <v>3.4505000000000003</v>
          </cell>
          <cell r="BX51">
            <v>1.1304999999999998</v>
          </cell>
          <cell r="BY51">
            <v>2.0400000000000036</v>
          </cell>
          <cell r="BZ51">
            <v>3.4175000000000004</v>
          </cell>
          <cell r="CA51">
            <v>5.7200000000000006</v>
          </cell>
          <cell r="CB51">
            <v>6.0325000000000006</v>
          </cell>
          <cell r="CC51">
            <v>14.475000000000001</v>
          </cell>
          <cell r="CD51">
            <v>15.605500000000001</v>
          </cell>
          <cell r="CE51">
            <v>18.440000000000001</v>
          </cell>
          <cell r="CF51">
            <v>37.259500000000003</v>
          </cell>
          <cell r="CG51">
            <v>38.301000000000002</v>
          </cell>
          <cell r="CH51">
            <v>42.042500000000004</v>
          </cell>
          <cell r="CI51">
            <v>45.493000000000002</v>
          </cell>
          <cell r="CJ51">
            <v>46.6235</v>
          </cell>
          <cell r="CK51">
            <v>48.663500000000006</v>
          </cell>
        </row>
        <row r="52">
          <cell r="BN52">
            <v>7.6326666666666672</v>
          </cell>
          <cell r="BO52">
            <v>5.6376666666666662</v>
          </cell>
          <cell r="BP52">
            <v>4.4476666666666667</v>
          </cell>
          <cell r="BQ52">
            <v>11.606000000000002</v>
          </cell>
          <cell r="BR52">
            <v>4.2939999999999996</v>
          </cell>
          <cell r="BS52">
            <v>5.9980000000000002</v>
          </cell>
          <cell r="BT52">
            <v>21.982999999999997</v>
          </cell>
          <cell r="BU52">
            <v>4.2050000000000001</v>
          </cell>
          <cell r="BV52">
            <v>6.9049999999999994</v>
          </cell>
          <cell r="BW52">
            <v>6.6140000000000008</v>
          </cell>
          <cell r="BX52">
            <v>35.673999999999992</v>
          </cell>
          <cell r="BY52">
            <v>8.4851666666666699</v>
          </cell>
          <cell r="BZ52">
            <v>7.6326666666666672</v>
          </cell>
          <cell r="CA52">
            <v>13.270333333333333</v>
          </cell>
          <cell r="CB52">
            <v>17.718000000000004</v>
          </cell>
          <cell r="CC52">
            <v>29.324000000000002</v>
          </cell>
          <cell r="CD52">
            <v>33.618000000000002</v>
          </cell>
          <cell r="CE52">
            <v>39.616</v>
          </cell>
          <cell r="CF52">
            <v>61.599000000000004</v>
          </cell>
          <cell r="CG52">
            <v>65.804000000000002</v>
          </cell>
          <cell r="CH52">
            <v>72.709000000000003</v>
          </cell>
          <cell r="CI52">
            <v>79.323000000000008</v>
          </cell>
          <cell r="CJ52">
            <v>114.99700000000001</v>
          </cell>
          <cell r="CK52">
            <v>123.48216666666667</v>
          </cell>
        </row>
        <row r="58">
          <cell r="BN58" t="str">
            <v>Actual</v>
          </cell>
          <cell r="BO58" t="str">
            <v>Actual</v>
          </cell>
          <cell r="BP58" t="str">
            <v>Actual</v>
          </cell>
          <cell r="BQ58" t="str">
            <v>Actual</v>
          </cell>
          <cell r="BR58" t="str">
            <v>Actual</v>
          </cell>
          <cell r="BS58" t="str">
            <v>Actual</v>
          </cell>
          <cell r="BT58" t="str">
            <v>Actual</v>
          </cell>
          <cell r="BU58" t="str">
            <v>Actual</v>
          </cell>
          <cell r="BV58" t="str">
            <v>Actual</v>
          </cell>
          <cell r="BW58" t="str">
            <v>Actual</v>
          </cell>
          <cell r="BX58" t="str">
            <v>Actual</v>
          </cell>
          <cell r="BY58" t="str">
            <v>Actual</v>
          </cell>
          <cell r="BZ58" t="str">
            <v>Cum_Actu</v>
          </cell>
          <cell r="CA58" t="str">
            <v>Cum_Actu</v>
          </cell>
          <cell r="CB58" t="str">
            <v>Cum_Actu</v>
          </cell>
          <cell r="CC58" t="str">
            <v>Cum_Actu</v>
          </cell>
          <cell r="CD58" t="str">
            <v>Cum_Actu</v>
          </cell>
          <cell r="CE58" t="str">
            <v>Cum_Actu</v>
          </cell>
          <cell r="CF58" t="str">
            <v>Cum_Actu</v>
          </cell>
          <cell r="CG58" t="str">
            <v>Cum_Actu</v>
          </cell>
          <cell r="CH58" t="str">
            <v>Cum_Actu</v>
          </cell>
          <cell r="CI58" t="str">
            <v>Cum_Actu</v>
          </cell>
          <cell r="CJ58" t="str">
            <v>Cum_Actu</v>
          </cell>
          <cell r="CK58" t="str">
            <v>Cum_Actu</v>
          </cell>
        </row>
        <row r="59">
          <cell r="BM59" t="str">
            <v>CODE</v>
          </cell>
          <cell r="BN59">
            <v>41285</v>
          </cell>
          <cell r="BO59">
            <v>41316</v>
          </cell>
          <cell r="BP59">
            <v>41344</v>
          </cell>
          <cell r="BQ59">
            <v>41375</v>
          </cell>
          <cell r="BR59">
            <v>41405</v>
          </cell>
          <cell r="BS59">
            <v>41436</v>
          </cell>
          <cell r="BT59">
            <v>41466</v>
          </cell>
          <cell r="BU59">
            <v>41497</v>
          </cell>
          <cell r="BV59">
            <v>41528</v>
          </cell>
          <cell r="BW59">
            <v>41558</v>
          </cell>
          <cell r="BX59">
            <v>41589</v>
          </cell>
          <cell r="BY59">
            <v>41619</v>
          </cell>
          <cell r="BZ59">
            <v>41285</v>
          </cell>
          <cell r="CA59">
            <v>41316</v>
          </cell>
          <cell r="CB59">
            <v>41344</v>
          </cell>
          <cell r="CC59">
            <v>41375</v>
          </cell>
          <cell r="CD59">
            <v>41405</v>
          </cell>
          <cell r="CE59">
            <v>41436</v>
          </cell>
          <cell r="CF59">
            <v>41466</v>
          </cell>
          <cell r="CG59">
            <v>41497</v>
          </cell>
          <cell r="CH59">
            <v>41528</v>
          </cell>
          <cell r="CI59">
            <v>41558</v>
          </cell>
          <cell r="CJ59">
            <v>41589</v>
          </cell>
          <cell r="CK59">
            <v>41619</v>
          </cell>
        </row>
        <row r="60">
          <cell r="BM60" t="str">
            <v>LD01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row>
        <row r="61">
          <cell r="BM61" t="str">
            <v>LD02</v>
          </cell>
          <cell r="BN61">
            <v>8.5</v>
          </cell>
          <cell r="BO61">
            <v>8.5</v>
          </cell>
          <cell r="BP61">
            <v>17.5</v>
          </cell>
          <cell r="BQ61">
            <v>8.5</v>
          </cell>
          <cell r="BR61">
            <v>8.5</v>
          </cell>
          <cell r="BS61">
            <v>13.190000000000001</v>
          </cell>
          <cell r="BT61">
            <v>8.5</v>
          </cell>
          <cell r="BU61">
            <v>8.5</v>
          </cell>
          <cell r="BV61">
            <v>8.5</v>
          </cell>
          <cell r="BW61">
            <v>8.5</v>
          </cell>
          <cell r="BX61">
            <v>8.5</v>
          </cell>
          <cell r="BY61">
            <v>8.5</v>
          </cell>
          <cell r="BZ61">
            <v>8.5</v>
          </cell>
          <cell r="CA61">
            <v>17</v>
          </cell>
          <cell r="CB61">
            <v>34.5</v>
          </cell>
          <cell r="CC61">
            <v>43</v>
          </cell>
          <cell r="CD61">
            <v>51.5</v>
          </cell>
          <cell r="CE61">
            <v>64.69</v>
          </cell>
          <cell r="CF61">
            <v>73.19</v>
          </cell>
          <cell r="CG61">
            <v>81.69</v>
          </cell>
          <cell r="CH61">
            <v>90.19</v>
          </cell>
          <cell r="CI61">
            <v>98.69</v>
          </cell>
          <cell r="CJ61">
            <v>107.19</v>
          </cell>
          <cell r="CK61">
            <v>115.69</v>
          </cell>
        </row>
        <row r="62">
          <cell r="BM62" t="str">
            <v>LD03</v>
          </cell>
          <cell r="BN62">
            <v>51.017961102077066</v>
          </cell>
          <cell r="BO62">
            <v>48.164681026319421</v>
          </cell>
          <cell r="BP62">
            <v>43.281901102458392</v>
          </cell>
          <cell r="BQ62">
            <v>38.10937973957472</v>
          </cell>
          <cell r="BR62">
            <v>40.884309628463221</v>
          </cell>
          <cell r="BS62">
            <v>48.162073501223404</v>
          </cell>
          <cell r="BT62">
            <v>36.069882831780298</v>
          </cell>
          <cell r="BU62">
            <v>42.3430562748201</v>
          </cell>
          <cell r="BV62">
            <v>45.926802415817306</v>
          </cell>
          <cell r="BW62">
            <v>32.243112221257704</v>
          </cell>
          <cell r="BX62">
            <v>45.622286241883302</v>
          </cell>
          <cell r="BY62">
            <v>51.127666972382499</v>
          </cell>
          <cell r="BZ62">
            <v>51.017961102077066</v>
          </cell>
          <cell r="CA62">
            <v>99.182642128396481</v>
          </cell>
          <cell r="CB62">
            <v>142.46454323085487</v>
          </cell>
          <cell r="CC62">
            <v>180.57392297042958</v>
          </cell>
          <cell r="CD62">
            <v>221.45823259889281</v>
          </cell>
          <cell r="CE62">
            <v>269.62030610011618</v>
          </cell>
          <cell r="CF62">
            <v>305.6901889318965</v>
          </cell>
          <cell r="CG62">
            <v>348.03324520671663</v>
          </cell>
          <cell r="CH62">
            <v>393.96004762253392</v>
          </cell>
          <cell r="CI62">
            <v>426.20315984379164</v>
          </cell>
          <cell r="CJ62">
            <v>471.82544608567491</v>
          </cell>
          <cell r="CK62">
            <v>522.9531130580574</v>
          </cell>
        </row>
        <row r="63">
          <cell r="BM63" t="str">
            <v>LD04</v>
          </cell>
          <cell r="BN63">
            <v>35.95038927433567</v>
          </cell>
          <cell r="BO63">
            <v>33.960870892226787</v>
          </cell>
          <cell r="BP63">
            <v>22.587112173196104</v>
          </cell>
          <cell r="BQ63">
            <v>26.91888152929851</v>
          </cell>
          <cell r="BR63">
            <v>28.811848273156258</v>
          </cell>
          <cell r="BS63">
            <v>30.998777497924699</v>
          </cell>
          <cell r="BT63">
            <v>24.541594015751798</v>
          </cell>
          <cell r="BU63">
            <v>28.9553754761683</v>
          </cell>
          <cell r="BV63">
            <v>31.474195873966998</v>
          </cell>
          <cell r="BW63">
            <v>21.838791633404</v>
          </cell>
          <cell r="BX63">
            <v>32.171833003291503</v>
          </cell>
          <cell r="BY63">
            <v>36.048718482970301</v>
          </cell>
          <cell r="BZ63">
            <v>35.95038927433567</v>
          </cell>
          <cell r="CA63">
            <v>69.911260166562457</v>
          </cell>
          <cell r="CB63">
            <v>92.498372339758561</v>
          </cell>
          <cell r="CC63">
            <v>119.41725386905708</v>
          </cell>
          <cell r="CD63">
            <v>148.22910214221332</v>
          </cell>
          <cell r="CE63">
            <v>179.22787964013801</v>
          </cell>
          <cell r="CF63">
            <v>203.76947365588981</v>
          </cell>
          <cell r="CG63">
            <v>232.72484913205813</v>
          </cell>
          <cell r="CH63">
            <v>264.19904500602513</v>
          </cell>
          <cell r="CI63">
            <v>286.03783663942914</v>
          </cell>
          <cell r="CJ63">
            <v>318.20966964272066</v>
          </cell>
          <cell r="CK63">
            <v>354.25838812569094</v>
          </cell>
        </row>
        <row r="64">
          <cell r="BM64" t="str">
            <v>LD05</v>
          </cell>
          <cell r="BN64">
            <v>22</v>
          </cell>
          <cell r="BO64">
            <v>0</v>
          </cell>
          <cell r="BP64">
            <v>0</v>
          </cell>
          <cell r="BQ64">
            <v>0</v>
          </cell>
          <cell r="BR64">
            <v>0</v>
          </cell>
          <cell r="BS64">
            <v>0</v>
          </cell>
          <cell r="BT64">
            <v>0</v>
          </cell>
          <cell r="BU64">
            <v>0</v>
          </cell>
          <cell r="BV64">
            <v>0</v>
          </cell>
          <cell r="BW64">
            <v>0</v>
          </cell>
          <cell r="BX64">
            <v>0</v>
          </cell>
          <cell r="BY64">
            <v>0</v>
          </cell>
          <cell r="BZ64">
            <v>22</v>
          </cell>
          <cell r="CA64">
            <v>22</v>
          </cell>
          <cell r="CB64">
            <v>22</v>
          </cell>
          <cell r="CC64">
            <v>22</v>
          </cell>
          <cell r="CD64">
            <v>22</v>
          </cell>
          <cell r="CE64">
            <v>22</v>
          </cell>
          <cell r="CF64">
            <v>22</v>
          </cell>
          <cell r="CG64">
            <v>22</v>
          </cell>
          <cell r="CH64">
            <v>22</v>
          </cell>
          <cell r="CI64">
            <v>22</v>
          </cell>
          <cell r="CJ64">
            <v>22</v>
          </cell>
          <cell r="CK64">
            <v>22</v>
          </cell>
        </row>
        <row r="65">
          <cell r="BM65" t="str">
            <v>LD06</v>
          </cell>
          <cell r="BN65">
            <v>0</v>
          </cell>
          <cell r="BO65">
            <v>0</v>
          </cell>
          <cell r="BP65">
            <v>0</v>
          </cell>
          <cell r="BQ65">
            <v>0</v>
          </cell>
          <cell r="BR65">
            <v>0</v>
          </cell>
          <cell r="BS65">
            <v>0</v>
          </cell>
          <cell r="BT65">
            <v>0</v>
          </cell>
          <cell r="BU65">
            <v>0</v>
          </cell>
          <cell r="BV65">
            <v>-3.92</v>
          </cell>
          <cell r="BW65">
            <v>0</v>
          </cell>
          <cell r="BX65">
            <v>0</v>
          </cell>
          <cell r="BY65">
            <v>0</v>
          </cell>
          <cell r="BZ65">
            <v>0</v>
          </cell>
          <cell r="CA65">
            <v>0</v>
          </cell>
          <cell r="CB65">
            <v>0</v>
          </cell>
          <cell r="CC65">
            <v>0</v>
          </cell>
          <cell r="CD65">
            <v>0</v>
          </cell>
          <cell r="CE65">
            <v>0</v>
          </cell>
          <cell r="CF65">
            <v>0</v>
          </cell>
          <cell r="CG65">
            <v>0</v>
          </cell>
          <cell r="CH65">
            <v>-3.92</v>
          </cell>
          <cell r="CI65">
            <v>-3.92</v>
          </cell>
          <cell r="CJ65">
            <v>-3.92</v>
          </cell>
          <cell r="CK65">
            <v>-3.92</v>
          </cell>
        </row>
        <row r="66">
          <cell r="BM66" t="str">
            <v>LD07</v>
          </cell>
          <cell r="BN66">
            <v>1.9166666666666667</v>
          </cell>
          <cell r="BO66">
            <v>1.9166666666666667</v>
          </cell>
          <cell r="BP66">
            <v>0.80666666666666664</v>
          </cell>
          <cell r="BQ66">
            <v>1.9166666666666667</v>
          </cell>
          <cell r="BR66">
            <v>1.9166666666666667</v>
          </cell>
          <cell r="BS66">
            <v>1.9166666666666667</v>
          </cell>
          <cell r="BT66">
            <v>1.9166666666666667</v>
          </cell>
          <cell r="BU66">
            <v>0.30666666666666997</v>
          </cell>
          <cell r="BV66">
            <v>1.9166666666666667</v>
          </cell>
          <cell r="BW66">
            <v>-3.3333333333298576E-3</v>
          </cell>
          <cell r="BX66">
            <v>-3.3333333333298576E-3</v>
          </cell>
          <cell r="BY66">
            <v>0</v>
          </cell>
          <cell r="BZ66">
            <v>1.9166666666666667</v>
          </cell>
          <cell r="CA66">
            <v>3.8333333333333335</v>
          </cell>
          <cell r="CB66">
            <v>4.6400000000000006</v>
          </cell>
          <cell r="CC66">
            <v>6.5566666666666675</v>
          </cell>
          <cell r="CD66">
            <v>8.4733333333333345</v>
          </cell>
          <cell r="CE66">
            <v>10.39</v>
          </cell>
          <cell r="CF66">
            <v>12.306666666666667</v>
          </cell>
          <cell r="CG66">
            <v>12.613333333333337</v>
          </cell>
          <cell r="CH66">
            <v>14.530000000000003</v>
          </cell>
          <cell r="CI66">
            <v>14.526666666666673</v>
          </cell>
          <cell r="CJ66">
            <v>14.523333333333342</v>
          </cell>
          <cell r="CK66">
            <v>14.523333333333342</v>
          </cell>
        </row>
        <row r="67">
          <cell r="BN67">
            <v>119.3850170430794</v>
          </cell>
          <cell r="BO67">
            <v>92.542218585212879</v>
          </cell>
          <cell r="BP67">
            <v>84.175679942321167</v>
          </cell>
          <cell r="BQ67">
            <v>75.444927935539894</v>
          </cell>
          <cell r="BR67">
            <v>80.112824568286143</v>
          </cell>
          <cell r="BS67">
            <v>94.267517665814765</v>
          </cell>
          <cell r="BT67">
            <v>71.02814351419876</v>
          </cell>
          <cell r="BU67">
            <v>80.105098417655071</v>
          </cell>
          <cell r="BV67">
            <v>83.897664956450967</v>
          </cell>
          <cell r="BW67">
            <v>62.578570521328373</v>
          </cell>
          <cell r="BX67">
            <v>86.290785911841482</v>
          </cell>
          <cell r="BY67">
            <v>95.676385455352801</v>
          </cell>
          <cell r="BZ67">
            <v>119.3850170430794</v>
          </cell>
          <cell r="CA67">
            <v>211.92723562829227</v>
          </cell>
          <cell r="CB67">
            <v>296.10291557061339</v>
          </cell>
          <cell r="CC67">
            <v>371.54784350615336</v>
          </cell>
          <cell r="CD67">
            <v>451.66066807443946</v>
          </cell>
          <cell r="CE67">
            <v>545.92818574025421</v>
          </cell>
          <cell r="CF67">
            <v>616.95632925445295</v>
          </cell>
          <cell r="CG67">
            <v>697.06142767210815</v>
          </cell>
          <cell r="CH67">
            <v>780.95909262855901</v>
          </cell>
          <cell r="CI67">
            <v>843.53766314988741</v>
          </cell>
          <cell r="CJ67">
            <v>929.82844906172897</v>
          </cell>
          <cell r="CK67">
            <v>1025.5048345170819</v>
          </cell>
        </row>
        <row r="70">
          <cell r="BN70" t="str">
            <v>Actual</v>
          </cell>
          <cell r="BO70" t="str">
            <v>Actual</v>
          </cell>
          <cell r="BP70" t="str">
            <v>Actual</v>
          </cell>
          <cell r="BQ70" t="str">
            <v>Actual</v>
          </cell>
          <cell r="BR70" t="str">
            <v>Actual</v>
          </cell>
          <cell r="BS70" t="str">
            <v>Actual</v>
          </cell>
          <cell r="BT70" t="str">
            <v>Actual</v>
          </cell>
          <cell r="BU70" t="str">
            <v>Actual</v>
          </cell>
          <cell r="BV70" t="str">
            <v>Actual</v>
          </cell>
          <cell r="BW70" t="str">
            <v>Actual</v>
          </cell>
          <cell r="BX70" t="str">
            <v>Actual</v>
          </cell>
          <cell r="BY70" t="str">
            <v>Actual</v>
          </cell>
          <cell r="BZ70" t="str">
            <v>Cum_Actu</v>
          </cell>
          <cell r="CA70" t="str">
            <v>Cum_Actu</v>
          </cell>
          <cell r="CB70" t="str">
            <v>Cum_Actu</v>
          </cell>
          <cell r="CC70" t="str">
            <v>Cum_Actu</v>
          </cell>
          <cell r="CD70" t="str">
            <v>Cum_Actu</v>
          </cell>
          <cell r="CE70" t="str">
            <v>Cum_Actu</v>
          </cell>
          <cell r="CF70" t="str">
            <v>Cum_Actu</v>
          </cell>
          <cell r="CG70" t="str">
            <v>Cum_Actu</v>
          </cell>
          <cell r="CH70" t="str">
            <v>Cum_Actu</v>
          </cell>
          <cell r="CI70" t="str">
            <v>Cum_Actu</v>
          </cell>
          <cell r="CJ70" t="str">
            <v>Cum_Actu</v>
          </cell>
          <cell r="CK70" t="str">
            <v>Cum_Actu</v>
          </cell>
        </row>
        <row r="71">
          <cell r="BM71" t="str">
            <v>CODE</v>
          </cell>
          <cell r="BN71">
            <v>41285</v>
          </cell>
          <cell r="BO71">
            <v>41316</v>
          </cell>
          <cell r="BP71">
            <v>41344</v>
          </cell>
          <cell r="BQ71">
            <v>41375</v>
          </cell>
          <cell r="BR71">
            <v>41405</v>
          </cell>
          <cell r="BS71">
            <v>41436</v>
          </cell>
          <cell r="BT71">
            <v>41466</v>
          </cell>
          <cell r="BU71">
            <v>41497</v>
          </cell>
          <cell r="BV71">
            <v>41528</v>
          </cell>
          <cell r="BW71">
            <v>41558</v>
          </cell>
          <cell r="BX71">
            <v>41589</v>
          </cell>
          <cell r="BY71">
            <v>41619</v>
          </cell>
          <cell r="BZ71">
            <v>41285</v>
          </cell>
          <cell r="CA71">
            <v>41316</v>
          </cell>
          <cell r="CB71">
            <v>41344</v>
          </cell>
          <cell r="CC71">
            <v>41375</v>
          </cell>
          <cell r="CD71">
            <v>41405</v>
          </cell>
          <cell r="CE71">
            <v>41436</v>
          </cell>
          <cell r="CF71">
            <v>41466</v>
          </cell>
          <cell r="CG71">
            <v>41497</v>
          </cell>
          <cell r="CH71">
            <v>41528</v>
          </cell>
          <cell r="CI71">
            <v>41558</v>
          </cell>
          <cell r="CJ71">
            <v>41589</v>
          </cell>
          <cell r="CK71">
            <v>41619</v>
          </cell>
        </row>
        <row r="72">
          <cell r="BM72" t="str">
            <v>LP01</v>
          </cell>
          <cell r="BN72">
            <v>1</v>
          </cell>
          <cell r="BO72">
            <v>1</v>
          </cell>
          <cell r="BP72">
            <v>1</v>
          </cell>
          <cell r="BQ72">
            <v>1</v>
          </cell>
          <cell r="BR72">
            <v>0.7</v>
          </cell>
          <cell r="BS72">
            <v>0.81282999999999994</v>
          </cell>
          <cell r="BT72">
            <v>0.43999999999999995</v>
          </cell>
          <cell r="BU72">
            <v>1.7</v>
          </cell>
          <cell r="BV72">
            <v>1</v>
          </cell>
          <cell r="BW72">
            <v>0.66999999999999993</v>
          </cell>
          <cell r="BX72">
            <v>1</v>
          </cell>
          <cell r="BY72">
            <v>1</v>
          </cell>
          <cell r="BZ72">
            <v>1</v>
          </cell>
          <cell r="CA72">
            <v>2</v>
          </cell>
          <cell r="CB72">
            <v>3</v>
          </cell>
          <cell r="CC72">
            <v>4</v>
          </cell>
          <cell r="CD72">
            <v>4.7</v>
          </cell>
          <cell r="CE72">
            <v>5.5128300000000001</v>
          </cell>
          <cell r="CF72">
            <v>5.9528300000000005</v>
          </cell>
          <cell r="CG72">
            <v>7.6528300000000007</v>
          </cell>
          <cell r="CH72">
            <v>8.6528300000000016</v>
          </cell>
          <cell r="CI72">
            <v>9.3228300000000015</v>
          </cell>
          <cell r="CJ72">
            <v>10.322830000000002</v>
          </cell>
          <cell r="CK72">
            <v>11.322830000000002</v>
          </cell>
        </row>
        <row r="73">
          <cell r="BM73" t="str">
            <v>LP02</v>
          </cell>
          <cell r="BN73">
            <v>0.15</v>
          </cell>
          <cell r="BO73">
            <v>0.03</v>
          </cell>
          <cell r="BP73">
            <v>0.09</v>
          </cell>
          <cell r="BQ73">
            <v>0.09</v>
          </cell>
          <cell r="BR73">
            <v>-6.0000000000000012E-2</v>
          </cell>
          <cell r="BS73">
            <v>-0.13334000000000001</v>
          </cell>
          <cell r="BT73">
            <v>6.9999999999999993E-2</v>
          </cell>
          <cell r="BU73">
            <v>6.9999999999999993E-2</v>
          </cell>
          <cell r="BV73">
            <v>6.9999999999999993E-2</v>
          </cell>
          <cell r="BW73">
            <v>3.9999999999999994E-2</v>
          </cell>
          <cell r="BX73">
            <v>6.9999999999999993E-2</v>
          </cell>
          <cell r="BY73">
            <v>0.06</v>
          </cell>
          <cell r="BZ73">
            <v>0.15</v>
          </cell>
          <cell r="CA73">
            <v>0.18</v>
          </cell>
          <cell r="CB73">
            <v>0.27</v>
          </cell>
          <cell r="CC73">
            <v>0.36</v>
          </cell>
          <cell r="CD73">
            <v>0.3</v>
          </cell>
          <cell r="CE73">
            <v>0.16665999999999997</v>
          </cell>
          <cell r="CF73">
            <v>0.23665999999999998</v>
          </cell>
          <cell r="CG73">
            <v>0.30665999999999999</v>
          </cell>
          <cell r="CH73">
            <v>0.37665999999999999</v>
          </cell>
          <cell r="CI73">
            <v>0.41665999999999997</v>
          </cell>
          <cell r="CJ73">
            <v>0.48665999999999998</v>
          </cell>
          <cell r="CK73">
            <v>0.54665999999999992</v>
          </cell>
        </row>
        <row r="74">
          <cell r="BM74" t="str">
            <v>LP03</v>
          </cell>
          <cell r="BN74">
            <v>1.25</v>
          </cell>
          <cell r="BO74">
            <v>0.91999999999999993</v>
          </cell>
          <cell r="BP74">
            <v>1.085</v>
          </cell>
          <cell r="BQ74">
            <v>1.085</v>
          </cell>
          <cell r="BR74">
            <v>0.40400000000000003</v>
          </cell>
          <cell r="BS74">
            <v>0.52658000000000005</v>
          </cell>
          <cell r="BT74">
            <v>1.08</v>
          </cell>
          <cell r="BU74">
            <v>1.08</v>
          </cell>
          <cell r="BV74">
            <v>1.08</v>
          </cell>
          <cell r="BW74">
            <v>0.12000000000000011</v>
          </cell>
          <cell r="BX74">
            <v>1.08</v>
          </cell>
          <cell r="BY74">
            <v>1.08</v>
          </cell>
          <cell r="BZ74">
            <v>1.25</v>
          </cell>
          <cell r="CA74">
            <v>2.17</v>
          </cell>
          <cell r="CB74">
            <v>3.2549999999999999</v>
          </cell>
          <cell r="CC74">
            <v>4.34</v>
          </cell>
          <cell r="CD74">
            <v>4.7439999999999998</v>
          </cell>
          <cell r="CE74">
            <v>5.2705799999999998</v>
          </cell>
          <cell r="CF74">
            <v>6.3505799999999999</v>
          </cell>
          <cell r="CG74">
            <v>7.43058</v>
          </cell>
          <cell r="CH74">
            <v>8.5105800000000009</v>
          </cell>
          <cell r="CI74">
            <v>8.6305800000000019</v>
          </cell>
          <cell r="CJ74">
            <v>9.710580000000002</v>
          </cell>
          <cell r="CK74">
            <v>10.790580000000002</v>
          </cell>
        </row>
        <row r="75">
          <cell r="BM75" t="str">
            <v>LP04</v>
          </cell>
          <cell r="BN75">
            <v>1.75</v>
          </cell>
          <cell r="BO75">
            <v>1.41</v>
          </cell>
          <cell r="BP75">
            <v>1.58</v>
          </cell>
          <cell r="BQ75">
            <v>1.58</v>
          </cell>
          <cell r="BR75">
            <v>0.6140000000000001</v>
          </cell>
          <cell r="BS75">
            <v>-7.5500000000000324E-3</v>
          </cell>
          <cell r="BT75">
            <v>0.89</v>
          </cell>
          <cell r="BU75">
            <v>1.5</v>
          </cell>
          <cell r="BV75">
            <v>1.58</v>
          </cell>
          <cell r="BW75">
            <v>1.58</v>
          </cell>
          <cell r="BX75">
            <v>1.58</v>
          </cell>
          <cell r="BY75">
            <v>3.3</v>
          </cell>
          <cell r="BZ75">
            <v>1.75</v>
          </cell>
          <cell r="CA75">
            <v>3.16</v>
          </cell>
          <cell r="CB75">
            <v>4.74</v>
          </cell>
          <cell r="CC75">
            <v>6.32</v>
          </cell>
          <cell r="CD75">
            <v>6.9340000000000002</v>
          </cell>
          <cell r="CE75">
            <v>6.92645</v>
          </cell>
          <cell r="CF75">
            <v>7.8164499999999997</v>
          </cell>
          <cell r="CG75">
            <v>9.3164499999999997</v>
          </cell>
          <cell r="CH75">
            <v>10.89645</v>
          </cell>
          <cell r="CI75">
            <v>12.47645</v>
          </cell>
          <cell r="CJ75">
            <v>14.05645</v>
          </cell>
          <cell r="CK75">
            <v>17.356449999999999</v>
          </cell>
        </row>
        <row r="76">
          <cell r="BM76" t="str">
            <v>LP05</v>
          </cell>
          <cell r="BN76">
            <v>0.1</v>
          </cell>
          <cell r="BO76">
            <v>0.1</v>
          </cell>
          <cell r="BP76">
            <v>0.1</v>
          </cell>
          <cell r="BQ76">
            <v>0.1</v>
          </cell>
          <cell r="BR76">
            <v>-7.0000000000000007E-2</v>
          </cell>
          <cell r="BS76">
            <v>0.1</v>
          </cell>
          <cell r="BT76">
            <v>0.1</v>
          </cell>
          <cell r="BU76">
            <v>-0.29000000000000004</v>
          </cell>
          <cell r="BV76">
            <v>0.1</v>
          </cell>
          <cell r="BW76">
            <v>-7.0000000000000007E-2</v>
          </cell>
          <cell r="BX76">
            <v>0.1</v>
          </cell>
          <cell r="BY76">
            <v>0.1</v>
          </cell>
          <cell r="BZ76">
            <v>0.1</v>
          </cell>
          <cell r="CA76">
            <v>0.2</v>
          </cell>
          <cell r="CB76">
            <v>0.30000000000000004</v>
          </cell>
          <cell r="CC76">
            <v>0.4</v>
          </cell>
          <cell r="CD76">
            <v>0.33</v>
          </cell>
          <cell r="CE76">
            <v>0.43000000000000005</v>
          </cell>
          <cell r="CF76">
            <v>0.53</v>
          </cell>
          <cell r="CG76">
            <v>0.24</v>
          </cell>
          <cell r="CH76">
            <v>0.33999999999999997</v>
          </cell>
          <cell r="CI76">
            <v>0.26999999999999996</v>
          </cell>
          <cell r="CJ76">
            <v>0.37</v>
          </cell>
          <cell r="CK76">
            <v>0.47</v>
          </cell>
        </row>
        <row r="77">
          <cell r="BM77" t="str">
            <v>LP06</v>
          </cell>
          <cell r="BN77">
            <v>2.4</v>
          </cell>
          <cell r="BO77">
            <v>1.73</v>
          </cell>
          <cell r="BP77">
            <v>2.0649999999999999</v>
          </cell>
          <cell r="BQ77">
            <v>2.0649999999999999</v>
          </cell>
          <cell r="BR77">
            <v>1.3899999999999997</v>
          </cell>
          <cell r="BS77">
            <v>0.25665999999999967</v>
          </cell>
          <cell r="BT77">
            <v>1.34</v>
          </cell>
          <cell r="BU77">
            <v>1.23</v>
          </cell>
          <cell r="BV77">
            <v>2.0699999999999998</v>
          </cell>
          <cell r="BW77">
            <v>0.46999999999999975</v>
          </cell>
          <cell r="BX77">
            <v>2.0699999999999998</v>
          </cell>
          <cell r="BY77">
            <v>2.06</v>
          </cell>
          <cell r="BZ77">
            <v>2.4</v>
          </cell>
          <cell r="CA77">
            <v>4.13</v>
          </cell>
          <cell r="CB77">
            <v>6.1950000000000003</v>
          </cell>
          <cell r="CC77">
            <v>8.26</v>
          </cell>
          <cell r="CD77">
            <v>9.6499999999999986</v>
          </cell>
          <cell r="CE77">
            <v>9.9066599999999987</v>
          </cell>
          <cell r="CF77">
            <v>11.246659999999999</v>
          </cell>
          <cell r="CG77">
            <v>12.476659999999999</v>
          </cell>
          <cell r="CH77">
            <v>14.546659999999999</v>
          </cell>
          <cell r="CI77">
            <v>15.016659999999998</v>
          </cell>
          <cell r="CJ77">
            <v>17.086659999999998</v>
          </cell>
          <cell r="CK77">
            <v>19.146659999999997</v>
          </cell>
        </row>
        <row r="78">
          <cell r="BM78" t="str">
            <v>LP07</v>
          </cell>
          <cell r="BN78">
            <v>11.99</v>
          </cell>
          <cell r="BO78">
            <v>8.66</v>
          </cell>
          <cell r="BP78">
            <v>10.323</v>
          </cell>
          <cell r="BQ78">
            <v>10.323</v>
          </cell>
          <cell r="BR78">
            <v>8.9730000000000008</v>
          </cell>
          <cell r="BS78">
            <v>8.393320000000001</v>
          </cell>
          <cell r="BT78">
            <v>8.1</v>
          </cell>
          <cell r="BU78">
            <v>10.32</v>
          </cell>
          <cell r="BV78">
            <v>10.040000000000001</v>
          </cell>
          <cell r="BW78">
            <v>6.44</v>
          </cell>
          <cell r="BX78">
            <v>-0.93</v>
          </cell>
          <cell r="BY78">
            <v>12.42</v>
          </cell>
          <cell r="BZ78">
            <v>11.99</v>
          </cell>
          <cell r="CA78">
            <v>20.65</v>
          </cell>
          <cell r="CB78">
            <v>30.972999999999999</v>
          </cell>
          <cell r="CC78">
            <v>41.295999999999999</v>
          </cell>
          <cell r="CD78">
            <v>50.268999999999998</v>
          </cell>
          <cell r="CE78">
            <v>58.662320000000001</v>
          </cell>
          <cell r="CF78">
            <v>66.762320000000003</v>
          </cell>
          <cell r="CG78">
            <v>77.08232000000001</v>
          </cell>
          <cell r="CH78">
            <v>87.122320000000016</v>
          </cell>
          <cell r="CI78">
            <v>93.562320000000014</v>
          </cell>
          <cell r="CJ78">
            <v>92.632320000000007</v>
          </cell>
          <cell r="CK78">
            <v>105.05232000000001</v>
          </cell>
        </row>
        <row r="79">
          <cell r="BM79" t="str">
            <v>LP08</v>
          </cell>
          <cell r="BN79">
            <v>0.1</v>
          </cell>
          <cell r="BO79">
            <v>0</v>
          </cell>
          <cell r="BP79">
            <v>0.05</v>
          </cell>
          <cell r="BQ79">
            <v>0.05</v>
          </cell>
          <cell r="BR79">
            <v>1.3000000000000005E-2</v>
          </cell>
          <cell r="BS79">
            <v>9.6259999999999957E-3</v>
          </cell>
          <cell r="BT79">
            <v>2.0000000000000004E-2</v>
          </cell>
          <cell r="BU79">
            <v>2.0000000000000004E-2</v>
          </cell>
          <cell r="BV79">
            <v>2.0000000000000004E-2</v>
          </cell>
          <cell r="BW79">
            <v>1.0000000000000004E-2</v>
          </cell>
          <cell r="BX79">
            <v>2.0000000000000004E-2</v>
          </cell>
          <cell r="BY79">
            <v>-0.12</v>
          </cell>
          <cell r="BZ79">
            <v>0.1</v>
          </cell>
          <cell r="CA79">
            <v>0.1</v>
          </cell>
          <cell r="CB79">
            <v>0.15000000000000002</v>
          </cell>
          <cell r="CC79">
            <v>0.2</v>
          </cell>
          <cell r="CD79">
            <v>0.21300000000000002</v>
          </cell>
          <cell r="CE79">
            <v>0.22262600000000002</v>
          </cell>
          <cell r="CF79">
            <v>0.24262600000000001</v>
          </cell>
          <cell r="CG79">
            <v>0.26262600000000003</v>
          </cell>
          <cell r="CH79">
            <v>0.28262600000000004</v>
          </cell>
          <cell r="CI79">
            <v>0.29262600000000005</v>
          </cell>
          <cell r="CJ79">
            <v>0.31262600000000007</v>
          </cell>
          <cell r="CK79">
            <v>0.19262600000000007</v>
          </cell>
        </row>
        <row r="80">
          <cell r="BM80" t="str">
            <v>LP09</v>
          </cell>
          <cell r="BN80">
            <v>0.5</v>
          </cell>
          <cell r="BO80">
            <v>0.5</v>
          </cell>
          <cell r="BP80">
            <v>0.5</v>
          </cell>
          <cell r="BQ80">
            <v>0.5</v>
          </cell>
          <cell r="BR80">
            <v>-0.18000000000000005</v>
          </cell>
          <cell r="BS80">
            <v>-0.51967999999999992</v>
          </cell>
          <cell r="BT80">
            <v>0.1</v>
          </cell>
          <cell r="BU80">
            <v>-0.5</v>
          </cell>
          <cell r="BV80">
            <v>0.78</v>
          </cell>
          <cell r="BW80">
            <v>0.14000000000000001</v>
          </cell>
          <cell r="BX80">
            <v>3.75</v>
          </cell>
          <cell r="BY80">
            <v>0.49</v>
          </cell>
          <cell r="BZ80">
            <v>0.5</v>
          </cell>
          <cell r="CA80">
            <v>1</v>
          </cell>
          <cell r="CB80">
            <v>1.5</v>
          </cell>
          <cell r="CC80">
            <v>2</v>
          </cell>
          <cell r="CD80">
            <v>1.8199999999999998</v>
          </cell>
          <cell r="CE80">
            <v>1.3003199999999999</v>
          </cell>
          <cell r="CF80">
            <v>1.40032</v>
          </cell>
          <cell r="CG80">
            <v>0.90032000000000001</v>
          </cell>
          <cell r="CH80">
            <v>1.68032</v>
          </cell>
          <cell r="CI80">
            <v>1.8203200000000002</v>
          </cell>
          <cell r="CJ80">
            <v>5.5703200000000006</v>
          </cell>
          <cell r="CK80">
            <v>6.0603200000000008</v>
          </cell>
        </row>
        <row r="81">
          <cell r="BM81" t="str">
            <v>LP10</v>
          </cell>
          <cell r="BN81">
            <v>10.18</v>
          </cell>
          <cell r="BO81">
            <v>8.51</v>
          </cell>
          <cell r="BP81">
            <v>9.35</v>
          </cell>
          <cell r="BQ81">
            <v>9.35</v>
          </cell>
          <cell r="BR81">
            <v>3.5</v>
          </cell>
          <cell r="BS81">
            <v>3.8711900000000004</v>
          </cell>
          <cell r="BT81">
            <v>9.35</v>
          </cell>
          <cell r="BU81">
            <v>8.14</v>
          </cell>
          <cell r="BV81">
            <v>9.35</v>
          </cell>
          <cell r="BW81">
            <v>8.5599999999999987</v>
          </cell>
          <cell r="BX81">
            <v>4.3499999999999996</v>
          </cell>
          <cell r="BY81">
            <v>6.9499999999999993</v>
          </cell>
          <cell r="BZ81">
            <v>10.18</v>
          </cell>
          <cell r="CA81">
            <v>18.689999999999998</v>
          </cell>
          <cell r="CB81">
            <v>28.04</v>
          </cell>
          <cell r="CC81">
            <v>37.39</v>
          </cell>
          <cell r="CD81">
            <v>40.89</v>
          </cell>
          <cell r="CE81">
            <v>44.761189999999999</v>
          </cell>
          <cell r="CF81">
            <v>54.111190000000001</v>
          </cell>
          <cell r="CG81">
            <v>62.251190000000001</v>
          </cell>
          <cell r="CH81">
            <v>71.601190000000003</v>
          </cell>
          <cell r="CI81">
            <v>80.161190000000005</v>
          </cell>
          <cell r="CJ81">
            <v>84.511189999999999</v>
          </cell>
          <cell r="CK81">
            <v>91.461190000000002</v>
          </cell>
        </row>
        <row r="82">
          <cell r="BM82" t="str">
            <v>LP11</v>
          </cell>
          <cell r="BN82">
            <v>1.75</v>
          </cell>
          <cell r="BO82">
            <v>1.25</v>
          </cell>
          <cell r="BP82">
            <v>1.5</v>
          </cell>
          <cell r="BQ82">
            <v>33.5</v>
          </cell>
          <cell r="BR82">
            <v>1.5</v>
          </cell>
          <cell r="BS82">
            <v>-4.4600000000000035</v>
          </cell>
          <cell r="BT82">
            <v>1.5</v>
          </cell>
          <cell r="BU82">
            <v>-1</v>
          </cell>
          <cell r="BV82">
            <v>1.5</v>
          </cell>
          <cell r="BW82">
            <v>1.5</v>
          </cell>
          <cell r="BX82">
            <v>1.5</v>
          </cell>
          <cell r="BY82">
            <v>1.5</v>
          </cell>
          <cell r="BZ82">
            <v>1.75</v>
          </cell>
          <cell r="CA82">
            <v>3</v>
          </cell>
          <cell r="CB82">
            <v>4.5</v>
          </cell>
          <cell r="CC82">
            <v>38</v>
          </cell>
          <cell r="CD82">
            <v>39.5</v>
          </cell>
          <cell r="CE82">
            <v>35.04</v>
          </cell>
          <cell r="CF82">
            <v>36.54</v>
          </cell>
          <cell r="CG82">
            <v>35.54</v>
          </cell>
          <cell r="CH82">
            <v>37.04</v>
          </cell>
          <cell r="CI82">
            <v>38.54</v>
          </cell>
          <cell r="CJ82">
            <v>40.04</v>
          </cell>
          <cell r="CK82">
            <v>41.54</v>
          </cell>
        </row>
        <row r="83">
          <cell r="BM83" t="str">
            <v>LP12</v>
          </cell>
          <cell r="BN83">
            <v>1.61</v>
          </cell>
          <cell r="BO83">
            <v>1.61</v>
          </cell>
          <cell r="BP83">
            <v>1.61</v>
          </cell>
          <cell r="BQ83">
            <v>1.61</v>
          </cell>
          <cell r="BR83">
            <v>0.77000000000000013</v>
          </cell>
          <cell r="BS83">
            <v>0.24017000000000022</v>
          </cell>
          <cell r="BT83">
            <v>1.36</v>
          </cell>
          <cell r="BU83">
            <v>1.02</v>
          </cell>
          <cell r="BV83">
            <v>1.61</v>
          </cell>
          <cell r="BW83">
            <v>1.1300000000000001</v>
          </cell>
          <cell r="BX83">
            <v>1.61</v>
          </cell>
          <cell r="BY83">
            <v>1.61</v>
          </cell>
          <cell r="BZ83">
            <v>1.61</v>
          </cell>
          <cell r="CA83">
            <v>3.22</v>
          </cell>
          <cell r="CB83">
            <v>4.83</v>
          </cell>
          <cell r="CC83">
            <v>6.44</v>
          </cell>
          <cell r="CD83">
            <v>7.2100000000000009</v>
          </cell>
          <cell r="CE83">
            <v>7.4501700000000008</v>
          </cell>
          <cell r="CF83">
            <v>8.8101700000000012</v>
          </cell>
          <cell r="CG83">
            <v>9.8301700000000007</v>
          </cell>
          <cell r="CH83">
            <v>11.44017</v>
          </cell>
          <cell r="CI83">
            <v>12.570170000000001</v>
          </cell>
          <cell r="CJ83">
            <v>14.18017</v>
          </cell>
          <cell r="CK83">
            <v>15.79017</v>
          </cell>
        </row>
        <row r="84">
          <cell r="BM84" t="str">
            <v>LP13</v>
          </cell>
          <cell r="BN84">
            <v>2</v>
          </cell>
          <cell r="BO84">
            <v>1.67</v>
          </cell>
          <cell r="BP84">
            <v>1.835</v>
          </cell>
          <cell r="BQ84">
            <v>1.835</v>
          </cell>
          <cell r="BR84">
            <v>0.59799999999999986</v>
          </cell>
          <cell r="BS84">
            <v>1.1720000000000002</v>
          </cell>
          <cell r="BT84">
            <v>0.87</v>
          </cell>
          <cell r="BU84">
            <v>-0.75</v>
          </cell>
          <cell r="BV84">
            <v>1.83</v>
          </cell>
          <cell r="BW84">
            <v>1.69</v>
          </cell>
          <cell r="BX84">
            <v>1.83</v>
          </cell>
          <cell r="BY84">
            <v>3.98</v>
          </cell>
          <cell r="BZ84">
            <v>2</v>
          </cell>
          <cell r="CA84">
            <v>3.67</v>
          </cell>
          <cell r="CB84">
            <v>5.5049999999999999</v>
          </cell>
          <cell r="CC84">
            <v>7.34</v>
          </cell>
          <cell r="CD84">
            <v>7.9379999999999997</v>
          </cell>
          <cell r="CE84">
            <v>9.11</v>
          </cell>
          <cell r="CF84">
            <v>9.9799999999999986</v>
          </cell>
          <cell r="CG84">
            <v>9.2299999999999986</v>
          </cell>
          <cell r="CH84">
            <v>11.059999999999999</v>
          </cell>
          <cell r="CI84">
            <v>12.749999999999998</v>
          </cell>
          <cell r="CJ84">
            <v>14.579999999999998</v>
          </cell>
          <cell r="CK84">
            <v>18.559999999999999</v>
          </cell>
        </row>
        <row r="85">
          <cell r="BM85" t="str">
            <v>LP14</v>
          </cell>
          <cell r="BN85">
            <v>1</v>
          </cell>
          <cell r="BO85">
            <v>1</v>
          </cell>
          <cell r="BP85">
            <v>1</v>
          </cell>
          <cell r="BQ85">
            <v>1</v>
          </cell>
          <cell r="BR85">
            <v>0.44999999999999996</v>
          </cell>
          <cell r="BS85">
            <v>-0.55000000000000004</v>
          </cell>
          <cell r="BT85">
            <v>1</v>
          </cell>
          <cell r="BU85">
            <v>-0.39999999999999991</v>
          </cell>
          <cell r="BV85">
            <v>1</v>
          </cell>
          <cell r="BW85">
            <v>1</v>
          </cell>
          <cell r="BX85">
            <v>1</v>
          </cell>
          <cell r="BY85">
            <v>1</v>
          </cell>
          <cell r="BZ85">
            <v>1</v>
          </cell>
          <cell r="CA85">
            <v>2</v>
          </cell>
          <cell r="CB85">
            <v>3</v>
          </cell>
          <cell r="CC85">
            <v>4</v>
          </cell>
          <cell r="CD85">
            <v>4.45</v>
          </cell>
          <cell r="CE85">
            <v>3.9000000000000004</v>
          </cell>
          <cell r="CF85">
            <v>4.9000000000000004</v>
          </cell>
          <cell r="CG85">
            <v>4.5</v>
          </cell>
          <cell r="CH85">
            <v>5.5</v>
          </cell>
          <cell r="CI85">
            <v>6.5</v>
          </cell>
          <cell r="CJ85">
            <v>7.5</v>
          </cell>
          <cell r="CK85">
            <v>8.5</v>
          </cell>
        </row>
        <row r="86">
          <cell r="BM86" t="str">
            <v>LP15</v>
          </cell>
          <cell r="BN86">
            <v>0.08</v>
          </cell>
          <cell r="BO86">
            <v>0.08</v>
          </cell>
          <cell r="BP86">
            <v>0.08</v>
          </cell>
          <cell r="BQ86">
            <v>0.08</v>
          </cell>
          <cell r="BR86">
            <v>-0.08</v>
          </cell>
          <cell r="BS86">
            <v>-0.16</v>
          </cell>
          <cell r="BT86">
            <v>0.08</v>
          </cell>
          <cell r="BU86">
            <v>-0.14000000000000001</v>
          </cell>
          <cell r="BV86">
            <v>0.08</v>
          </cell>
          <cell r="BW86">
            <v>0</v>
          </cell>
          <cell r="BX86">
            <v>0.08</v>
          </cell>
          <cell r="BY86">
            <v>0.08</v>
          </cell>
          <cell r="BZ86">
            <v>0.08</v>
          </cell>
          <cell r="CA86">
            <v>0.16</v>
          </cell>
          <cell r="CB86">
            <v>0.24</v>
          </cell>
          <cell r="CC86">
            <v>0.32</v>
          </cell>
          <cell r="CD86">
            <v>0.24</v>
          </cell>
          <cell r="CE86">
            <v>7.9999999999999988E-2</v>
          </cell>
          <cell r="CF86">
            <v>0.15999999999999998</v>
          </cell>
          <cell r="CG86">
            <v>1.9999999999999962E-2</v>
          </cell>
          <cell r="CH86">
            <v>9.9999999999999964E-2</v>
          </cell>
          <cell r="CI86">
            <v>9.9999999999999964E-2</v>
          </cell>
          <cell r="CJ86">
            <v>0.17999999999999997</v>
          </cell>
          <cell r="CK86">
            <v>0.25999999999999995</v>
          </cell>
        </row>
        <row r="87">
          <cell r="BM87" t="str">
            <v>LP16</v>
          </cell>
          <cell r="BN87">
            <v>0.5</v>
          </cell>
          <cell r="BO87">
            <v>0.5</v>
          </cell>
          <cell r="BP87">
            <v>0.5</v>
          </cell>
          <cell r="BQ87">
            <v>0.5</v>
          </cell>
          <cell r="BR87">
            <v>-0.43999999999999995</v>
          </cell>
          <cell r="BS87">
            <v>0</v>
          </cell>
          <cell r="BT87">
            <v>0.43</v>
          </cell>
          <cell r="BU87">
            <v>-0.29000000000000004</v>
          </cell>
          <cell r="BV87">
            <v>0.5</v>
          </cell>
          <cell r="BW87">
            <v>-0.4</v>
          </cell>
          <cell r="BX87">
            <v>0.5</v>
          </cell>
          <cell r="BY87">
            <v>0.49</v>
          </cell>
          <cell r="BZ87">
            <v>0.5</v>
          </cell>
          <cell r="CA87">
            <v>1</v>
          </cell>
          <cell r="CB87">
            <v>1.5</v>
          </cell>
          <cell r="CC87">
            <v>2</v>
          </cell>
          <cell r="CD87">
            <v>1.56</v>
          </cell>
          <cell r="CE87">
            <v>1.56</v>
          </cell>
          <cell r="CF87">
            <v>1.99</v>
          </cell>
          <cell r="CG87">
            <v>1.7</v>
          </cell>
          <cell r="CH87">
            <v>2.2000000000000002</v>
          </cell>
          <cell r="CI87">
            <v>1.8000000000000003</v>
          </cell>
          <cell r="CJ87">
            <v>2.3000000000000003</v>
          </cell>
          <cell r="CK87">
            <v>2.79</v>
          </cell>
        </row>
        <row r="88">
          <cell r="BM88" t="str">
            <v>LP17</v>
          </cell>
          <cell r="BN88">
            <v>0.25</v>
          </cell>
          <cell r="BO88">
            <v>0.25</v>
          </cell>
          <cell r="BP88">
            <v>0.25</v>
          </cell>
          <cell r="BQ88">
            <v>0.25</v>
          </cell>
          <cell r="BR88">
            <v>-0.15000000000000002</v>
          </cell>
          <cell r="BS88">
            <v>0.15960000000000002</v>
          </cell>
          <cell r="BT88">
            <v>0.25</v>
          </cell>
          <cell r="BU88">
            <v>-4.9999999999999989E-2</v>
          </cell>
          <cell r="BV88">
            <v>0.25</v>
          </cell>
          <cell r="BW88">
            <v>4.0000000000000008E-2</v>
          </cell>
          <cell r="BX88">
            <v>0.25</v>
          </cell>
          <cell r="BY88">
            <v>0.24</v>
          </cell>
          <cell r="BZ88">
            <v>0.25</v>
          </cell>
          <cell r="CA88">
            <v>0.5</v>
          </cell>
          <cell r="CB88">
            <v>0.75</v>
          </cell>
          <cell r="CC88">
            <v>1</v>
          </cell>
          <cell r="CD88">
            <v>0.85</v>
          </cell>
          <cell r="CE88">
            <v>1.0096000000000001</v>
          </cell>
          <cell r="CF88">
            <v>1.2596000000000001</v>
          </cell>
          <cell r="CG88">
            <v>1.2096</v>
          </cell>
          <cell r="CH88">
            <v>1.4596</v>
          </cell>
          <cell r="CI88">
            <v>1.4996</v>
          </cell>
          <cell r="CJ88">
            <v>1.7496</v>
          </cell>
          <cell r="CK88">
            <v>1.9896</v>
          </cell>
        </row>
        <row r="89">
          <cell r="BM89" t="str">
            <v>LP18</v>
          </cell>
          <cell r="BN89">
            <v>0.2</v>
          </cell>
          <cell r="BO89">
            <v>0.2</v>
          </cell>
          <cell r="BP89">
            <v>0.2</v>
          </cell>
          <cell r="BQ89">
            <v>0.2</v>
          </cell>
          <cell r="BR89">
            <v>0</v>
          </cell>
          <cell r="BS89">
            <v>-6.5119999999999983E-2</v>
          </cell>
          <cell r="BT89">
            <v>0.14000000000000001</v>
          </cell>
          <cell r="BU89">
            <v>1.4</v>
          </cell>
          <cell r="BV89">
            <v>0.2</v>
          </cell>
          <cell r="BW89">
            <v>-0.03</v>
          </cell>
          <cell r="BX89">
            <v>0.2</v>
          </cell>
          <cell r="BY89">
            <v>0.19</v>
          </cell>
          <cell r="BZ89">
            <v>0.2</v>
          </cell>
          <cell r="CA89">
            <v>0.4</v>
          </cell>
          <cell r="CB89">
            <v>0.60000000000000009</v>
          </cell>
          <cell r="CC89">
            <v>0.8</v>
          </cell>
          <cell r="CD89">
            <v>0.8</v>
          </cell>
          <cell r="CE89">
            <v>0.73488000000000009</v>
          </cell>
          <cell r="CF89">
            <v>0.8748800000000001</v>
          </cell>
          <cell r="CG89">
            <v>2.27488</v>
          </cell>
          <cell r="CH89">
            <v>2.4748800000000002</v>
          </cell>
          <cell r="CI89">
            <v>2.4448800000000004</v>
          </cell>
          <cell r="CJ89">
            <v>2.6448800000000006</v>
          </cell>
          <cell r="CK89">
            <v>2.8348800000000005</v>
          </cell>
        </row>
        <row r="90">
          <cell r="BM90" t="str">
            <v>LP19</v>
          </cell>
          <cell r="BN90">
            <v>2</v>
          </cell>
          <cell r="BO90">
            <v>2</v>
          </cell>
          <cell r="BP90">
            <v>2</v>
          </cell>
          <cell r="BQ90">
            <v>2</v>
          </cell>
          <cell r="BR90">
            <v>-2</v>
          </cell>
          <cell r="BS90">
            <v>2</v>
          </cell>
          <cell r="BT90">
            <v>1.7</v>
          </cell>
          <cell r="BU90">
            <v>1.19</v>
          </cell>
          <cell r="BV90">
            <v>2</v>
          </cell>
          <cell r="BW90">
            <v>-0.14000000000000012</v>
          </cell>
          <cell r="BX90">
            <v>2</v>
          </cell>
          <cell r="BY90">
            <v>1.99</v>
          </cell>
          <cell r="BZ90">
            <v>2</v>
          </cell>
          <cell r="CA90">
            <v>4</v>
          </cell>
          <cell r="CB90">
            <v>6</v>
          </cell>
          <cell r="CC90">
            <v>8</v>
          </cell>
          <cell r="CD90">
            <v>6</v>
          </cell>
          <cell r="CE90">
            <v>8</v>
          </cell>
          <cell r="CF90">
            <v>9.6999999999999993</v>
          </cell>
          <cell r="CG90">
            <v>10.889999999999999</v>
          </cell>
          <cell r="CH90">
            <v>12.889999999999999</v>
          </cell>
          <cell r="CI90">
            <v>12.749999999999998</v>
          </cell>
          <cell r="CJ90">
            <v>14.749999999999998</v>
          </cell>
          <cell r="CK90">
            <v>16.739999999999998</v>
          </cell>
        </row>
        <row r="91">
          <cell r="BM91" t="str">
            <v>LP20</v>
          </cell>
          <cell r="BN91">
            <v>0</v>
          </cell>
          <cell r="BO91">
            <v>0</v>
          </cell>
          <cell r="BP91">
            <v>-0.98199999999999998</v>
          </cell>
          <cell r="BQ91">
            <v>0</v>
          </cell>
          <cell r="BR91">
            <v>-0.89</v>
          </cell>
          <cell r="BS91">
            <v>-0.24</v>
          </cell>
          <cell r="BT91">
            <v>-0.33</v>
          </cell>
          <cell r="BU91">
            <v>-1.2999999999999998</v>
          </cell>
          <cell r="BV91">
            <v>-1.59</v>
          </cell>
          <cell r="BW91">
            <v>-0.96</v>
          </cell>
          <cell r="BX91">
            <v>-1.1156999999999999</v>
          </cell>
          <cell r="BY91">
            <v>-2.5499999999999998</v>
          </cell>
          <cell r="BZ91">
            <v>0</v>
          </cell>
          <cell r="CA91">
            <v>0</v>
          </cell>
          <cell r="CB91">
            <v>-0.98199999999999998</v>
          </cell>
          <cell r="CC91">
            <v>-0.98199999999999998</v>
          </cell>
          <cell r="CD91">
            <v>-1.8719999999999999</v>
          </cell>
          <cell r="CE91">
            <v>-2.1120000000000001</v>
          </cell>
          <cell r="CF91">
            <v>-2.4420000000000002</v>
          </cell>
          <cell r="CG91">
            <v>-3.742</v>
          </cell>
          <cell r="CH91">
            <v>-5.3319999999999999</v>
          </cell>
          <cell r="CI91">
            <v>-6.2919999999999998</v>
          </cell>
          <cell r="CJ91">
            <v>-7.4077000000000002</v>
          </cell>
          <cell r="CK91">
            <v>-9.9576999999999991</v>
          </cell>
        </row>
        <row r="92">
          <cell r="BN92">
            <v>38.81</v>
          </cell>
          <cell r="BO92">
            <v>31.419999999999998</v>
          </cell>
          <cell r="BP92">
            <v>34.136000000000003</v>
          </cell>
          <cell r="BQ92">
            <v>67.117999999999995</v>
          </cell>
          <cell r="BR92">
            <v>15.041999999999998</v>
          </cell>
          <cell r="BS92">
            <v>11.406286</v>
          </cell>
          <cell r="BT92">
            <v>28.49</v>
          </cell>
          <cell r="BU92">
            <v>22.95</v>
          </cell>
          <cell r="BV92">
            <v>33.47</v>
          </cell>
          <cell r="BW92">
            <v>21.79</v>
          </cell>
          <cell r="BX92">
            <v>20.944299999999998</v>
          </cell>
          <cell r="BY92">
            <v>35.869999999999997</v>
          </cell>
          <cell r="BZ92">
            <v>38.81</v>
          </cell>
          <cell r="CA92">
            <v>70.22999999999999</v>
          </cell>
          <cell r="CB92">
            <v>104.36599999999999</v>
          </cell>
          <cell r="CC92">
            <v>171.48400000000001</v>
          </cell>
          <cell r="CD92">
            <v>186.52599999999995</v>
          </cell>
          <cell r="CE92">
            <v>197.93228600000006</v>
          </cell>
          <cell r="CF92">
            <v>226.42228599999996</v>
          </cell>
          <cell r="CG92">
            <v>249.37228599999997</v>
          </cell>
          <cell r="CH92">
            <v>282.842286</v>
          </cell>
          <cell r="CI92">
            <v>304.63228600000014</v>
          </cell>
          <cell r="CJ92">
            <v>325.57658600000002</v>
          </cell>
          <cell r="CK92">
            <v>361.44658600000002</v>
          </cell>
        </row>
        <row r="97">
          <cell r="BN97" t="str">
            <v>Actual</v>
          </cell>
          <cell r="BO97" t="str">
            <v>Actual</v>
          </cell>
          <cell r="BP97" t="str">
            <v>Actual</v>
          </cell>
          <cell r="BQ97" t="str">
            <v>Actual</v>
          </cell>
          <cell r="BR97" t="str">
            <v>Actual</v>
          </cell>
          <cell r="BS97" t="str">
            <v>Actual</v>
          </cell>
          <cell r="BT97" t="str">
            <v>Actual</v>
          </cell>
          <cell r="BU97" t="str">
            <v>Actual</v>
          </cell>
          <cell r="BV97" t="str">
            <v>Actual</v>
          </cell>
          <cell r="BW97" t="str">
            <v>Actual</v>
          </cell>
          <cell r="BX97" t="str">
            <v>Actual</v>
          </cell>
          <cell r="BY97" t="str">
            <v>Actual</v>
          </cell>
          <cell r="BZ97" t="str">
            <v>Cum_Actu</v>
          </cell>
          <cell r="CA97" t="str">
            <v>Cum_Actu</v>
          </cell>
          <cell r="CB97" t="str">
            <v>Cum_Actu</v>
          </cell>
          <cell r="CC97" t="str">
            <v>Cum_Actu</v>
          </cell>
          <cell r="CD97" t="str">
            <v>Cum_Actu</v>
          </cell>
          <cell r="CE97" t="str">
            <v>Cum_Actu</v>
          </cell>
          <cell r="CF97" t="str">
            <v>Cum_Actu</v>
          </cell>
          <cell r="CG97" t="str">
            <v>Cum_Actu</v>
          </cell>
          <cell r="CH97" t="str">
            <v>Cum_Actu</v>
          </cell>
          <cell r="CI97" t="str">
            <v>Cum_Actu</v>
          </cell>
          <cell r="CJ97" t="str">
            <v>Cum_Actu</v>
          </cell>
          <cell r="CK97" t="str">
            <v>Cum_Actu</v>
          </cell>
        </row>
        <row r="98">
          <cell r="BM98" t="str">
            <v>CODE</v>
          </cell>
          <cell r="BN98">
            <v>41285</v>
          </cell>
          <cell r="BO98">
            <v>41316</v>
          </cell>
          <cell r="BP98">
            <v>41344</v>
          </cell>
          <cell r="BQ98">
            <v>41375</v>
          </cell>
          <cell r="BR98">
            <v>41405</v>
          </cell>
          <cell r="BS98">
            <v>41436</v>
          </cell>
          <cell r="BT98">
            <v>41466</v>
          </cell>
          <cell r="BU98">
            <v>41497</v>
          </cell>
          <cell r="BV98">
            <v>41528</v>
          </cell>
          <cell r="BW98">
            <v>41558</v>
          </cell>
          <cell r="BX98">
            <v>41589</v>
          </cell>
          <cell r="BY98">
            <v>41619</v>
          </cell>
          <cell r="BZ98">
            <v>41285</v>
          </cell>
          <cell r="CA98">
            <v>41316</v>
          </cell>
          <cell r="CB98">
            <v>41344</v>
          </cell>
          <cell r="CC98">
            <v>41375</v>
          </cell>
          <cell r="CD98">
            <v>41405</v>
          </cell>
          <cell r="CE98">
            <v>41436</v>
          </cell>
          <cell r="CF98">
            <v>41466</v>
          </cell>
          <cell r="CG98">
            <v>41497</v>
          </cell>
          <cell r="CH98">
            <v>41528</v>
          </cell>
          <cell r="CI98">
            <v>41558</v>
          </cell>
          <cell r="CJ98">
            <v>41589</v>
          </cell>
          <cell r="CK98">
            <v>41619</v>
          </cell>
        </row>
        <row r="99">
          <cell r="BM99" t="str">
            <v>CM01</v>
          </cell>
          <cell r="BN99">
            <v>0.25</v>
          </cell>
          <cell r="BO99">
            <v>0.23</v>
          </cell>
          <cell r="BP99">
            <v>0.23</v>
          </cell>
          <cell r="BQ99">
            <v>0.23</v>
          </cell>
          <cell r="BR99">
            <v>0.23</v>
          </cell>
          <cell r="BS99">
            <v>0.23</v>
          </cell>
          <cell r="BT99">
            <v>0.23</v>
          </cell>
          <cell r="BU99">
            <v>0.23</v>
          </cell>
          <cell r="BV99">
            <v>0.23</v>
          </cell>
          <cell r="BW99">
            <v>0.23</v>
          </cell>
          <cell r="BX99">
            <v>0.23</v>
          </cell>
          <cell r="BY99">
            <v>0.23</v>
          </cell>
          <cell r="BZ99">
            <v>0.25</v>
          </cell>
          <cell r="CA99">
            <v>0.48</v>
          </cell>
          <cell r="CB99">
            <v>0.71</v>
          </cell>
          <cell r="CC99">
            <v>0.94</v>
          </cell>
          <cell r="CD99">
            <v>1.17</v>
          </cell>
          <cell r="CE99">
            <v>1.4</v>
          </cell>
          <cell r="CF99">
            <v>1.63</v>
          </cell>
          <cell r="CG99">
            <v>1.8599999999999999</v>
          </cell>
          <cell r="CH99">
            <v>2.09</v>
          </cell>
          <cell r="CI99">
            <v>2.3199999999999998</v>
          </cell>
          <cell r="CJ99">
            <v>2.5499999999999998</v>
          </cell>
          <cell r="CK99">
            <v>2.78</v>
          </cell>
        </row>
        <row r="100">
          <cell r="BM100" t="str">
            <v>CM02</v>
          </cell>
          <cell r="BN100">
            <v>0</v>
          </cell>
          <cell r="BO100">
            <v>0</v>
          </cell>
          <cell r="BP100">
            <v>25</v>
          </cell>
          <cell r="BQ100">
            <v>0</v>
          </cell>
          <cell r="BR100">
            <v>0</v>
          </cell>
          <cell r="BS100">
            <v>0</v>
          </cell>
          <cell r="BT100">
            <v>0</v>
          </cell>
          <cell r="BU100">
            <v>0</v>
          </cell>
          <cell r="BV100">
            <v>0</v>
          </cell>
          <cell r="BW100">
            <v>0</v>
          </cell>
          <cell r="BX100">
            <v>0</v>
          </cell>
          <cell r="BY100">
            <v>0</v>
          </cell>
          <cell r="BZ100">
            <v>0</v>
          </cell>
          <cell r="CA100">
            <v>0</v>
          </cell>
          <cell r="CB100">
            <v>25</v>
          </cell>
          <cell r="CC100">
            <v>25</v>
          </cell>
          <cell r="CD100">
            <v>25</v>
          </cell>
          <cell r="CE100">
            <v>25</v>
          </cell>
          <cell r="CF100">
            <v>25</v>
          </cell>
          <cell r="CG100">
            <v>25</v>
          </cell>
          <cell r="CH100">
            <v>25</v>
          </cell>
          <cell r="CI100">
            <v>25</v>
          </cell>
          <cell r="CJ100">
            <v>25</v>
          </cell>
          <cell r="CK100">
            <v>25</v>
          </cell>
        </row>
        <row r="101">
          <cell r="BM101" t="str">
            <v>CM03</v>
          </cell>
          <cell r="BN101">
            <v>1.5</v>
          </cell>
          <cell r="BO101">
            <v>1.5</v>
          </cell>
          <cell r="BP101">
            <v>1</v>
          </cell>
          <cell r="BQ101">
            <v>1.5</v>
          </cell>
          <cell r="BR101">
            <v>1.5</v>
          </cell>
          <cell r="BS101">
            <v>1</v>
          </cell>
          <cell r="BT101">
            <v>1.5</v>
          </cell>
          <cell r="BU101">
            <v>1.5</v>
          </cell>
          <cell r="BV101">
            <v>1</v>
          </cell>
          <cell r="BW101">
            <v>1.5</v>
          </cell>
          <cell r="BX101">
            <v>1.5</v>
          </cell>
          <cell r="BY101">
            <v>1</v>
          </cell>
          <cell r="BZ101">
            <v>1.5</v>
          </cell>
          <cell r="CA101">
            <v>3</v>
          </cell>
          <cell r="CB101">
            <v>4</v>
          </cell>
          <cell r="CC101">
            <v>5.5</v>
          </cell>
          <cell r="CD101">
            <v>7</v>
          </cell>
          <cell r="CE101">
            <v>8</v>
          </cell>
          <cell r="CF101">
            <v>9.5</v>
          </cell>
          <cell r="CG101">
            <v>11</v>
          </cell>
          <cell r="CH101">
            <v>12</v>
          </cell>
          <cell r="CI101">
            <v>13.5</v>
          </cell>
          <cell r="CJ101">
            <v>15</v>
          </cell>
          <cell r="CK101">
            <v>16</v>
          </cell>
        </row>
        <row r="102">
          <cell r="BM102" t="str">
            <v>CM04</v>
          </cell>
          <cell r="BN102">
            <v>3.2</v>
          </cell>
          <cell r="BO102">
            <v>3.2</v>
          </cell>
          <cell r="BP102">
            <v>3.2</v>
          </cell>
          <cell r="BQ102">
            <v>3.2</v>
          </cell>
          <cell r="BR102">
            <v>3.2</v>
          </cell>
          <cell r="BS102">
            <v>3.2</v>
          </cell>
          <cell r="BT102">
            <v>3.7</v>
          </cell>
          <cell r="BU102">
            <v>3.2</v>
          </cell>
          <cell r="BV102">
            <v>3.2</v>
          </cell>
          <cell r="BW102">
            <v>3.2</v>
          </cell>
          <cell r="BX102">
            <v>3.2</v>
          </cell>
          <cell r="BY102">
            <v>8.7899999999999991</v>
          </cell>
          <cell r="BZ102">
            <v>3.2</v>
          </cell>
          <cell r="CA102">
            <v>6.4</v>
          </cell>
          <cell r="CB102">
            <v>9.6000000000000014</v>
          </cell>
          <cell r="CC102">
            <v>12.8</v>
          </cell>
          <cell r="CD102">
            <v>16</v>
          </cell>
          <cell r="CE102">
            <v>19.2</v>
          </cell>
          <cell r="CF102">
            <v>22.9</v>
          </cell>
          <cell r="CG102">
            <v>26.099999999999998</v>
          </cell>
          <cell r="CH102">
            <v>29.299999999999997</v>
          </cell>
          <cell r="CI102">
            <v>32.5</v>
          </cell>
          <cell r="CJ102">
            <v>35.700000000000003</v>
          </cell>
          <cell r="CK102">
            <v>44.49</v>
          </cell>
        </row>
        <row r="103">
          <cell r="BM103" t="str">
            <v>CM05</v>
          </cell>
          <cell r="BN103">
            <v>2</v>
          </cell>
          <cell r="BO103">
            <v>1.69</v>
          </cell>
          <cell r="BP103">
            <v>1.89</v>
          </cell>
          <cell r="BQ103">
            <v>1.69</v>
          </cell>
          <cell r="BR103">
            <v>1.69</v>
          </cell>
          <cell r="BS103">
            <v>21.82</v>
          </cell>
          <cell r="BT103">
            <v>5.7</v>
          </cell>
          <cell r="BU103">
            <v>1.69</v>
          </cell>
          <cell r="BV103">
            <v>1.19</v>
          </cell>
          <cell r="BW103">
            <v>1.69</v>
          </cell>
          <cell r="BX103">
            <v>41.74</v>
          </cell>
          <cell r="BY103">
            <v>-11.67</v>
          </cell>
          <cell r="BZ103">
            <v>2</v>
          </cell>
          <cell r="CA103">
            <v>3.69</v>
          </cell>
          <cell r="CB103">
            <v>5.58</v>
          </cell>
          <cell r="CC103">
            <v>7.27</v>
          </cell>
          <cell r="CD103">
            <v>8.9599999999999991</v>
          </cell>
          <cell r="CE103">
            <v>30.78</v>
          </cell>
          <cell r="CF103">
            <v>36.480000000000004</v>
          </cell>
          <cell r="CG103">
            <v>38.17</v>
          </cell>
          <cell r="CH103">
            <v>39.36</v>
          </cell>
          <cell r="CI103">
            <v>41.05</v>
          </cell>
          <cell r="CJ103">
            <v>82.789999999999992</v>
          </cell>
          <cell r="CK103">
            <v>71.11999999999999</v>
          </cell>
        </row>
        <row r="104">
          <cell r="BM104" t="str">
            <v>CM06</v>
          </cell>
          <cell r="BN104">
            <v>1.5</v>
          </cell>
          <cell r="BO104">
            <v>1.5</v>
          </cell>
          <cell r="BP104">
            <v>1</v>
          </cell>
          <cell r="BQ104">
            <v>1.5</v>
          </cell>
          <cell r="BR104">
            <v>1.5</v>
          </cell>
          <cell r="BS104">
            <v>1.49</v>
          </cell>
          <cell r="BT104">
            <v>0</v>
          </cell>
          <cell r="BU104">
            <v>1.5</v>
          </cell>
          <cell r="BV104">
            <v>1</v>
          </cell>
          <cell r="BW104">
            <v>1.5</v>
          </cell>
          <cell r="BX104">
            <v>1.5</v>
          </cell>
          <cell r="BY104">
            <v>0.09</v>
          </cell>
          <cell r="BZ104">
            <v>1.5</v>
          </cell>
          <cell r="CA104">
            <v>3</v>
          </cell>
          <cell r="CB104">
            <v>4</v>
          </cell>
          <cell r="CC104">
            <v>5.5</v>
          </cell>
          <cell r="CD104">
            <v>7</v>
          </cell>
          <cell r="CE104">
            <v>8.49</v>
          </cell>
          <cell r="CF104">
            <v>8.49</v>
          </cell>
          <cell r="CG104">
            <v>9.99</v>
          </cell>
          <cell r="CH104">
            <v>10.99</v>
          </cell>
          <cell r="CI104">
            <v>12.49</v>
          </cell>
          <cell r="CJ104">
            <v>13.99</v>
          </cell>
          <cell r="CK104">
            <v>14.08</v>
          </cell>
        </row>
        <row r="105">
          <cell r="BM105" t="str">
            <v>CM07</v>
          </cell>
          <cell r="BN105">
            <v>0.16</v>
          </cell>
          <cell r="BO105">
            <v>0.16</v>
          </cell>
          <cell r="BP105">
            <v>0.18</v>
          </cell>
          <cell r="BQ105">
            <v>0.16</v>
          </cell>
          <cell r="BR105">
            <v>0.16</v>
          </cell>
          <cell r="BS105">
            <v>0.18</v>
          </cell>
          <cell r="BT105">
            <v>0.16</v>
          </cell>
          <cell r="BU105">
            <v>0.16</v>
          </cell>
          <cell r="BV105">
            <v>0.18</v>
          </cell>
          <cell r="BW105">
            <v>0.16</v>
          </cell>
          <cell r="BX105">
            <v>0.16</v>
          </cell>
          <cell r="BY105">
            <v>0.18</v>
          </cell>
          <cell r="BZ105">
            <v>0.16</v>
          </cell>
          <cell r="CA105">
            <v>0.32</v>
          </cell>
          <cell r="CB105">
            <v>0.5</v>
          </cell>
          <cell r="CC105">
            <v>0.66</v>
          </cell>
          <cell r="CD105">
            <v>0.82000000000000006</v>
          </cell>
          <cell r="CE105">
            <v>1</v>
          </cell>
          <cell r="CF105">
            <v>1.1599999999999999</v>
          </cell>
          <cell r="CG105">
            <v>1.3199999999999998</v>
          </cell>
          <cell r="CH105">
            <v>1.4999999999999998</v>
          </cell>
          <cell r="CI105">
            <v>1.6599999999999997</v>
          </cell>
          <cell r="CJ105">
            <v>1.8199999999999996</v>
          </cell>
          <cell r="CK105">
            <v>1.9999999999999996</v>
          </cell>
        </row>
        <row r="106">
          <cell r="BM106" t="str">
            <v>CM08</v>
          </cell>
          <cell r="BN106">
            <v>0.36058414701958968</v>
          </cell>
          <cell r="BO106">
            <v>0.35167896273907345</v>
          </cell>
          <cell r="BP106">
            <v>0.28704720617221746</v>
          </cell>
          <cell r="BQ106">
            <v>0.40414540641534485</v>
          </cell>
          <cell r="BR106">
            <v>0.38977570561188946</v>
          </cell>
          <cell r="BS106">
            <v>0.35485762615245703</v>
          </cell>
          <cell r="BT106">
            <v>0.34268565873975199</v>
          </cell>
          <cell r="BU106">
            <v>0.34108188860366601</v>
          </cell>
          <cell r="BV106">
            <v>0.3832673944819</v>
          </cell>
          <cell r="BW106">
            <v>0.29114641212799197</v>
          </cell>
          <cell r="BX106">
            <v>0.31999999999999995</v>
          </cell>
          <cell r="BY106">
            <v>0.35</v>
          </cell>
          <cell r="BZ106">
            <v>0.36058414701958968</v>
          </cell>
          <cell r="CA106">
            <v>0.71226310975866314</v>
          </cell>
          <cell r="CB106">
            <v>0.9993103159308806</v>
          </cell>
          <cell r="CC106">
            <v>1.4034557223462254</v>
          </cell>
          <cell r="CD106">
            <v>1.7932314279581147</v>
          </cell>
          <cell r="CE106">
            <v>2.1480890541105717</v>
          </cell>
          <cell r="CF106">
            <v>2.4907747128503237</v>
          </cell>
          <cell r="CG106">
            <v>2.8318566014539899</v>
          </cell>
          <cell r="CH106">
            <v>3.2151239959358899</v>
          </cell>
          <cell r="CI106">
            <v>3.506270408063882</v>
          </cell>
          <cell r="CJ106">
            <v>3.8262704080638819</v>
          </cell>
          <cell r="CK106">
            <v>4.1762704080638819</v>
          </cell>
        </row>
        <row r="107">
          <cell r="BM107" t="str">
            <v>CM09</v>
          </cell>
          <cell r="BN107">
            <v>33.691293684131047</v>
          </cell>
          <cell r="BO107">
            <v>33.173964993406067</v>
          </cell>
          <cell r="BP107">
            <v>20.128239959106395</v>
          </cell>
          <cell r="BQ107">
            <v>37.501226289428253</v>
          </cell>
          <cell r="BR107">
            <v>36.586046445414325</v>
          </cell>
          <cell r="BS107">
            <v>-0.1183686427328</v>
          </cell>
          <cell r="BT107">
            <v>15.079972851930696</v>
          </cell>
          <cell r="BU107">
            <v>18.862237323879704</v>
          </cell>
          <cell r="BV107">
            <v>18.089965178699902</v>
          </cell>
          <cell r="BW107">
            <v>-39.860218563471498</v>
          </cell>
          <cell r="BX107">
            <v>17.979999999999997</v>
          </cell>
          <cell r="BY107">
            <v>20.439999999999998</v>
          </cell>
          <cell r="BZ107">
            <v>33.691293684131047</v>
          </cell>
          <cell r="CA107">
            <v>66.865258677537113</v>
          </cell>
          <cell r="CB107">
            <v>86.993498636643508</v>
          </cell>
          <cell r="CC107">
            <v>124.49472492607177</v>
          </cell>
          <cell r="CD107">
            <v>161.08077137148609</v>
          </cell>
          <cell r="CE107">
            <v>160.96240272875329</v>
          </cell>
          <cell r="CF107">
            <v>176.04237558068399</v>
          </cell>
          <cell r="CG107">
            <v>194.90461290456369</v>
          </cell>
          <cell r="CH107">
            <v>212.9945780832636</v>
          </cell>
          <cell r="CI107">
            <v>173.1343595197921</v>
          </cell>
          <cell r="CJ107">
            <v>191.11435951979209</v>
          </cell>
          <cell r="CK107">
            <v>211.55435951979209</v>
          </cell>
        </row>
        <row r="108">
          <cell r="BM108" t="str">
            <v>CM10</v>
          </cell>
          <cell r="BN108">
            <v>36.666666666666664</v>
          </cell>
          <cell r="BO108">
            <v>36.666666666666664</v>
          </cell>
          <cell r="BP108">
            <v>36.666666666666664</v>
          </cell>
          <cell r="BQ108">
            <v>36.666666666666664</v>
          </cell>
          <cell r="BR108">
            <v>36.666666666666664</v>
          </cell>
          <cell r="BS108">
            <v>49.176666666666698</v>
          </cell>
          <cell r="BT108">
            <v>51.7366666666667</v>
          </cell>
          <cell r="BU108">
            <v>57.506666666666703</v>
          </cell>
          <cell r="BV108">
            <v>51.256666666666696</v>
          </cell>
          <cell r="BW108">
            <v>51.256666666666696</v>
          </cell>
          <cell r="BX108">
            <v>51.253</v>
          </cell>
          <cell r="BY108">
            <v>51.25</v>
          </cell>
          <cell r="BZ108">
            <v>36.666666666666664</v>
          </cell>
          <cell r="CA108">
            <v>73.333333333333329</v>
          </cell>
          <cell r="CB108">
            <v>110</v>
          </cell>
          <cell r="CC108">
            <v>146.66666666666666</v>
          </cell>
          <cell r="CD108">
            <v>183.33333333333331</v>
          </cell>
          <cell r="CE108">
            <v>232.51000000000002</v>
          </cell>
          <cell r="CF108">
            <v>284.24666666666673</v>
          </cell>
          <cell r="CG108">
            <v>341.75333333333344</v>
          </cell>
          <cell r="CH108">
            <v>393.01000000000016</v>
          </cell>
          <cell r="CI108">
            <v>444.26666666666688</v>
          </cell>
          <cell r="CJ108">
            <v>495.51966666666686</v>
          </cell>
          <cell r="CK108">
            <v>546.76966666666681</v>
          </cell>
        </row>
        <row r="109">
          <cell r="BM109" t="str">
            <v>CM11</v>
          </cell>
          <cell r="BN109">
            <v>1552.5</v>
          </cell>
          <cell r="BO109">
            <v>343.5</v>
          </cell>
          <cell r="BP109">
            <v>-160</v>
          </cell>
          <cell r="BQ109">
            <v>1795.5</v>
          </cell>
          <cell r="BR109">
            <v>392.5</v>
          </cell>
          <cell r="BS109">
            <v>636.98</v>
          </cell>
          <cell r="BT109">
            <v>100.81000000000006</v>
          </cell>
          <cell r="BU109">
            <v>547</v>
          </cell>
          <cell r="BV109">
            <v>1182.5</v>
          </cell>
          <cell r="BW109">
            <v>732.36000000000013</v>
          </cell>
          <cell r="BX109">
            <v>-226.88</v>
          </cell>
          <cell r="BY109">
            <v>-114.22</v>
          </cell>
          <cell r="BZ109">
            <v>1552.5</v>
          </cell>
          <cell r="CA109">
            <v>1896</v>
          </cell>
          <cell r="CB109">
            <v>1736</v>
          </cell>
          <cell r="CC109">
            <v>3531.5</v>
          </cell>
          <cell r="CD109">
            <v>3924</v>
          </cell>
          <cell r="CE109">
            <v>4560.9799999999996</v>
          </cell>
          <cell r="CF109">
            <v>4661.79</v>
          </cell>
          <cell r="CG109">
            <v>5208.79</v>
          </cell>
          <cell r="CH109">
            <v>6391.29</v>
          </cell>
          <cell r="CI109">
            <v>7123.65</v>
          </cell>
          <cell r="CJ109">
            <v>6896.7699999999995</v>
          </cell>
          <cell r="CK109">
            <v>6782.5499999999993</v>
          </cell>
        </row>
        <row r="110">
          <cell r="BM110" t="str">
            <v>CM12</v>
          </cell>
          <cell r="BN110">
            <v>47.715619225638655</v>
          </cell>
          <cell r="BO110">
            <v>47.186479742801922</v>
          </cell>
          <cell r="BP110">
            <v>38.884634653289979</v>
          </cell>
          <cell r="BQ110">
            <v>112.51593776200664</v>
          </cell>
          <cell r="BR110">
            <v>59.989899964631704</v>
          </cell>
          <cell r="BS110">
            <v>44.730612650706007</v>
          </cell>
          <cell r="BT110">
            <v>44.971201527505997</v>
          </cell>
          <cell r="BU110">
            <v>24.416862355864104</v>
          </cell>
          <cell r="BV110">
            <v>41.365736201479201</v>
          </cell>
          <cell r="BW110">
            <v>53.1206846628912</v>
          </cell>
          <cell r="BX110">
            <v>79.12</v>
          </cell>
          <cell r="BY110">
            <v>162.75</v>
          </cell>
          <cell r="BZ110">
            <v>47.715619225638655</v>
          </cell>
          <cell r="CA110">
            <v>94.902098968440583</v>
          </cell>
          <cell r="CB110">
            <v>133.78673362173055</v>
          </cell>
          <cell r="CC110">
            <v>246.30267138373719</v>
          </cell>
          <cell r="CD110">
            <v>306.29257134836888</v>
          </cell>
          <cell r="CE110">
            <v>351.02318399907489</v>
          </cell>
          <cell r="CF110">
            <v>395.99438552658091</v>
          </cell>
          <cell r="CG110">
            <v>420.41124788244502</v>
          </cell>
          <cell r="CH110">
            <v>461.77698408392422</v>
          </cell>
          <cell r="CI110">
            <v>514.89766874681538</v>
          </cell>
          <cell r="CJ110">
            <v>594.01766874681539</v>
          </cell>
          <cell r="CK110">
            <v>756.76766874681539</v>
          </cell>
        </row>
        <row r="111">
          <cell r="BM111" t="str">
            <v>CM12A</v>
          </cell>
          <cell r="BN111">
            <v>52.136022618398421</v>
          </cell>
          <cell r="BO111">
            <v>49.15291734447284</v>
          </cell>
          <cell r="BP111">
            <v>18.839570180341155</v>
          </cell>
          <cell r="BQ111">
            <v>69.166985602360768</v>
          </cell>
          <cell r="BR111">
            <v>70.651647017213762</v>
          </cell>
          <cell r="BS111">
            <v>63.824250177301202</v>
          </cell>
          <cell r="BT111">
            <v>55.713178267654094</v>
          </cell>
          <cell r="BU111">
            <v>53.183367477487096</v>
          </cell>
          <cell r="BV111">
            <v>58.984983766446106</v>
          </cell>
          <cell r="BW111">
            <v>64.460217250460289</v>
          </cell>
          <cell r="BX111">
            <v>58.45</v>
          </cell>
          <cell r="BY111">
            <v>78.16</v>
          </cell>
          <cell r="BZ111">
            <v>52.136022618398421</v>
          </cell>
          <cell r="CA111">
            <v>101.28893996287127</v>
          </cell>
          <cell r="CB111">
            <v>120.12851014321242</v>
          </cell>
          <cell r="CC111">
            <v>189.29549574557319</v>
          </cell>
          <cell r="CD111">
            <v>259.94714276278694</v>
          </cell>
          <cell r="CE111">
            <v>323.77139294008816</v>
          </cell>
          <cell r="CF111">
            <v>379.48457120774225</v>
          </cell>
          <cell r="CG111">
            <v>432.66793868522933</v>
          </cell>
          <cell r="CH111">
            <v>491.65292245167541</v>
          </cell>
          <cell r="CI111">
            <v>556.11313970213564</v>
          </cell>
          <cell r="CJ111">
            <v>614.56313970213569</v>
          </cell>
          <cell r="CK111">
            <v>692.72313970213565</v>
          </cell>
        </row>
        <row r="112">
          <cell r="BM112" t="str">
            <v>CM13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row>
        <row r="113">
          <cell r="BM113" t="str">
            <v>CM14</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row>
        <row r="114">
          <cell r="BM114" t="str">
            <v>CM15</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BM115" t="str">
            <v>CM16</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row>
        <row r="116">
          <cell r="BM116" t="str">
            <v>CM17</v>
          </cell>
          <cell r="BN116">
            <v>1.1000000000000001</v>
          </cell>
          <cell r="BO116">
            <v>1.1000000000000001</v>
          </cell>
          <cell r="BP116">
            <v>1.05</v>
          </cell>
          <cell r="BQ116">
            <v>1.1000000000000001</v>
          </cell>
          <cell r="BR116">
            <v>1.1000000000000001</v>
          </cell>
          <cell r="BS116">
            <v>1.62</v>
          </cell>
          <cell r="BT116">
            <v>1.1000000000000001</v>
          </cell>
          <cell r="BU116">
            <v>1.1000000000000001</v>
          </cell>
          <cell r="BV116">
            <v>1.05</v>
          </cell>
          <cell r="BW116">
            <v>1.1000000000000001</v>
          </cell>
          <cell r="BX116">
            <v>1.1000000000000001</v>
          </cell>
          <cell r="BY116">
            <v>1.05</v>
          </cell>
          <cell r="BZ116">
            <v>1.1000000000000001</v>
          </cell>
          <cell r="CA116">
            <v>2.2000000000000002</v>
          </cell>
          <cell r="CB116">
            <v>3.25</v>
          </cell>
          <cell r="CC116">
            <v>4.3499999999999996</v>
          </cell>
          <cell r="CD116">
            <v>5.4499999999999993</v>
          </cell>
          <cell r="CE116">
            <v>7.0699999999999994</v>
          </cell>
          <cell r="CF116">
            <v>8.17</v>
          </cell>
          <cell r="CG116">
            <v>9.27</v>
          </cell>
          <cell r="CH116">
            <v>10.32</v>
          </cell>
          <cell r="CI116">
            <v>11.42</v>
          </cell>
          <cell r="CJ116">
            <v>12.52</v>
          </cell>
          <cell r="CK116">
            <v>13.57</v>
          </cell>
        </row>
        <row r="117">
          <cell r="BM117" t="str">
            <v>CM18</v>
          </cell>
          <cell r="BN117">
            <v>2.76</v>
          </cell>
          <cell r="BO117">
            <v>2.76</v>
          </cell>
          <cell r="BP117">
            <v>2.0599999999999996</v>
          </cell>
          <cell r="BQ117">
            <v>2.76</v>
          </cell>
          <cell r="BR117">
            <v>2.76</v>
          </cell>
          <cell r="BS117">
            <v>1.592039999999999</v>
          </cell>
          <cell r="BT117">
            <v>2.76</v>
          </cell>
          <cell r="BU117">
            <v>3.0799999999999996</v>
          </cell>
          <cell r="BV117">
            <v>2.76</v>
          </cell>
          <cell r="BW117">
            <v>2.76</v>
          </cell>
          <cell r="BX117">
            <v>2.76</v>
          </cell>
          <cell r="BY117">
            <v>2.76</v>
          </cell>
          <cell r="BZ117">
            <v>2.76</v>
          </cell>
          <cell r="CA117">
            <v>5.52</v>
          </cell>
          <cell r="CB117">
            <v>7.5799999999999992</v>
          </cell>
          <cell r="CC117">
            <v>10.34</v>
          </cell>
          <cell r="CD117">
            <v>13.1</v>
          </cell>
          <cell r="CE117">
            <v>14.692039999999999</v>
          </cell>
          <cell r="CF117">
            <v>17.452039999999997</v>
          </cell>
          <cell r="CG117">
            <v>20.532039999999995</v>
          </cell>
          <cell r="CH117">
            <v>23.292039999999993</v>
          </cell>
          <cell r="CI117">
            <v>26.052039999999991</v>
          </cell>
          <cell r="CJ117">
            <v>28.812039999999989</v>
          </cell>
          <cell r="CK117">
            <v>31.572039999999987</v>
          </cell>
        </row>
        <row r="118">
          <cell r="BM118" t="str">
            <v>CM19</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row>
        <row r="119">
          <cell r="BM119" t="str">
            <v>CM20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row>
        <row r="120">
          <cell r="BM120" t="str">
            <v>CM21</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row>
        <row r="121">
          <cell r="BM121" t="str">
            <v>CM22</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row>
        <row r="122">
          <cell r="BM122" t="str">
            <v>CM23</v>
          </cell>
          <cell r="BN122">
            <v>0</v>
          </cell>
          <cell r="BO122">
            <v>0</v>
          </cell>
          <cell r="BP122">
            <v>0</v>
          </cell>
          <cell r="BQ122">
            <v>0</v>
          </cell>
          <cell r="BR122">
            <v>0</v>
          </cell>
          <cell r="BS122">
            <v>11.24</v>
          </cell>
          <cell r="BT122">
            <v>0</v>
          </cell>
          <cell r="BU122">
            <v>0</v>
          </cell>
          <cell r="BV122">
            <v>0</v>
          </cell>
          <cell r="BW122">
            <v>0</v>
          </cell>
          <cell r="BX122">
            <v>0</v>
          </cell>
          <cell r="BY122">
            <v>0</v>
          </cell>
          <cell r="BZ122">
            <v>0</v>
          </cell>
          <cell r="CA122">
            <v>0</v>
          </cell>
          <cell r="CB122">
            <v>0</v>
          </cell>
          <cell r="CC122">
            <v>0</v>
          </cell>
          <cell r="CD122">
            <v>0</v>
          </cell>
          <cell r="CE122">
            <v>11.24</v>
          </cell>
          <cell r="CF122">
            <v>11.24</v>
          </cell>
          <cell r="CG122">
            <v>11.24</v>
          </cell>
          <cell r="CH122">
            <v>11.24</v>
          </cell>
          <cell r="CI122">
            <v>11.24</v>
          </cell>
          <cell r="CJ122">
            <v>11.24</v>
          </cell>
          <cell r="CK122">
            <v>11.24</v>
          </cell>
        </row>
        <row r="123">
          <cell r="BM123" t="str">
            <v>CM24</v>
          </cell>
          <cell r="BN123">
            <v>25.9</v>
          </cell>
          <cell r="BO123">
            <v>0</v>
          </cell>
          <cell r="BP123">
            <v>0</v>
          </cell>
          <cell r="BQ123">
            <v>0</v>
          </cell>
          <cell r="BR123">
            <v>-25.9</v>
          </cell>
          <cell r="BS123">
            <v>0</v>
          </cell>
          <cell r="BT123">
            <v>0</v>
          </cell>
          <cell r="BU123">
            <v>0</v>
          </cell>
          <cell r="BV123">
            <v>0</v>
          </cell>
          <cell r="BW123">
            <v>0</v>
          </cell>
          <cell r="BX123">
            <v>0</v>
          </cell>
          <cell r="BY123">
            <v>0</v>
          </cell>
          <cell r="BZ123">
            <v>25.9</v>
          </cell>
          <cell r="CA123">
            <v>25.9</v>
          </cell>
          <cell r="CB123">
            <v>25.9</v>
          </cell>
          <cell r="CC123">
            <v>25.9</v>
          </cell>
          <cell r="CD123">
            <v>0</v>
          </cell>
          <cell r="CE123">
            <v>0</v>
          </cell>
          <cell r="CF123">
            <v>0</v>
          </cell>
          <cell r="CG123">
            <v>0</v>
          </cell>
          <cell r="CH123">
            <v>0</v>
          </cell>
          <cell r="CI123">
            <v>0</v>
          </cell>
          <cell r="CJ123">
            <v>0</v>
          </cell>
          <cell r="CK123">
            <v>0</v>
          </cell>
        </row>
        <row r="124">
          <cell r="BM124" t="str">
            <v>CM25</v>
          </cell>
          <cell r="BN124">
            <v>1.6666666666666667</v>
          </cell>
          <cell r="BO124">
            <v>1.6666666666666667</v>
          </cell>
          <cell r="BP124">
            <v>1.6666666666666667</v>
          </cell>
          <cell r="BQ124">
            <v>1.6666666666666667</v>
          </cell>
          <cell r="BR124">
            <v>1.6666666666666667</v>
          </cell>
          <cell r="BS124">
            <v>1.6666666666666701</v>
          </cell>
          <cell r="BT124">
            <v>3.1766666666666703</v>
          </cell>
          <cell r="BU124">
            <v>2.2366666666666699</v>
          </cell>
          <cell r="BV124">
            <v>2.0266666666666699</v>
          </cell>
          <cell r="BW124">
            <v>1.6666666666666667</v>
          </cell>
          <cell r="BX124">
            <v>1.6666666666666667</v>
          </cell>
          <cell r="BY124">
            <v>4.29</v>
          </cell>
          <cell r="BZ124">
            <v>1.6666666666666667</v>
          </cell>
          <cell r="CA124">
            <v>3.3333333333333335</v>
          </cell>
          <cell r="CB124">
            <v>5</v>
          </cell>
          <cell r="CC124">
            <v>6.666666666666667</v>
          </cell>
          <cell r="CD124">
            <v>8.3333333333333339</v>
          </cell>
          <cell r="CE124">
            <v>10.000000000000004</v>
          </cell>
          <cell r="CF124">
            <v>13.176666666666673</v>
          </cell>
          <cell r="CG124">
            <v>15.413333333333343</v>
          </cell>
          <cell r="CH124">
            <v>17.440000000000012</v>
          </cell>
          <cell r="CI124">
            <v>19.10666666666668</v>
          </cell>
          <cell r="CJ124">
            <v>20.773333333333348</v>
          </cell>
          <cell r="CK124">
            <v>25.063333333333347</v>
          </cell>
        </row>
        <row r="125">
          <cell r="BM125" t="str">
            <v>TTL</v>
          </cell>
          <cell r="BN125">
            <v>1763.1068530085211</v>
          </cell>
          <cell r="BO125">
            <v>523.83837437675322</v>
          </cell>
          <cell r="BP125">
            <v>-7.917174667756929</v>
          </cell>
          <cell r="BQ125">
            <v>2065.5616283935442</v>
          </cell>
          <cell r="BR125">
            <v>584.69070246620504</v>
          </cell>
          <cell r="BS125">
            <v>838.98672514476027</v>
          </cell>
          <cell r="BT125">
            <v>286.98037163916399</v>
          </cell>
          <cell r="BU125">
            <v>716.00688237916791</v>
          </cell>
          <cell r="BV125">
            <v>1365.2172858744402</v>
          </cell>
          <cell r="BW125">
            <v>875.43516309534152</v>
          </cell>
          <cell r="BX125">
            <v>34.099666666666671</v>
          </cell>
          <cell r="BY125">
            <v>205.45</v>
          </cell>
          <cell r="BZ125">
            <v>1763.1068530085211</v>
          </cell>
          <cell r="CA125">
            <v>2286.9452273852739</v>
          </cell>
          <cell r="CB125">
            <v>2279.0280527175173</v>
          </cell>
          <cell r="CC125">
            <v>4344.5896811110624</v>
          </cell>
          <cell r="CD125">
            <v>4929.2803835772665</v>
          </cell>
          <cell r="CE125">
            <v>5768.2671087220251</v>
          </cell>
          <cell r="CF125">
            <v>6055.2474803611904</v>
          </cell>
          <cell r="CG125">
            <v>6771.2543627403593</v>
          </cell>
          <cell r="CH125">
            <v>8136.4716486147991</v>
          </cell>
          <cell r="CI125">
            <v>9011.9068117101415</v>
          </cell>
          <cell r="CJ125">
            <v>9046.0064783768066</v>
          </cell>
          <cell r="CK125">
            <v>9251.4564783768037</v>
          </cell>
        </row>
        <row r="136">
          <cell r="BN136" t="str">
            <v>Actual</v>
          </cell>
          <cell r="BO136" t="str">
            <v>Actual</v>
          </cell>
          <cell r="BP136" t="str">
            <v>Actual</v>
          </cell>
          <cell r="BQ136" t="str">
            <v>Actual</v>
          </cell>
          <cell r="BR136" t="str">
            <v>Actual</v>
          </cell>
          <cell r="BS136" t="str">
            <v>Actual</v>
          </cell>
          <cell r="BT136" t="str">
            <v>Actual</v>
          </cell>
          <cell r="BU136" t="str">
            <v>Actual</v>
          </cell>
          <cell r="BV136" t="str">
            <v>Actual</v>
          </cell>
          <cell r="BW136" t="str">
            <v>Actual</v>
          </cell>
          <cell r="BX136" t="str">
            <v>Actual</v>
          </cell>
          <cell r="BY136" t="str">
            <v>Actual</v>
          </cell>
          <cell r="BZ136" t="str">
            <v>Cum_Actu</v>
          </cell>
          <cell r="CA136" t="str">
            <v>Cum_Actu</v>
          </cell>
          <cell r="CB136" t="str">
            <v>Cum_Actu</v>
          </cell>
          <cell r="CC136" t="str">
            <v>Cum_Actu</v>
          </cell>
          <cell r="CD136" t="str">
            <v>Cum_Actu</v>
          </cell>
          <cell r="CE136" t="str">
            <v>Cum_Actu</v>
          </cell>
          <cell r="CF136" t="str">
            <v>Cum_Actu</v>
          </cell>
          <cell r="CG136" t="str">
            <v>Cum_Actu</v>
          </cell>
          <cell r="CH136" t="str">
            <v>Cum_Actu</v>
          </cell>
          <cell r="CI136" t="str">
            <v>Cum_Actu</v>
          </cell>
          <cell r="CJ136" t="str">
            <v>Cum_Actu</v>
          </cell>
          <cell r="CK136" t="str">
            <v>Cum_Actu</v>
          </cell>
        </row>
        <row r="137">
          <cell r="BM137" t="str">
            <v>CODE</v>
          </cell>
          <cell r="BN137">
            <v>41285</v>
          </cell>
          <cell r="BO137">
            <v>41316</v>
          </cell>
          <cell r="BP137">
            <v>41344</v>
          </cell>
          <cell r="BQ137">
            <v>41375</v>
          </cell>
          <cell r="BR137">
            <v>41405</v>
          </cell>
          <cell r="BS137">
            <v>41436</v>
          </cell>
          <cell r="BT137">
            <v>41466</v>
          </cell>
          <cell r="BU137">
            <v>41497</v>
          </cell>
          <cell r="BV137">
            <v>41528</v>
          </cell>
          <cell r="BW137">
            <v>41558</v>
          </cell>
          <cell r="BX137">
            <v>41589</v>
          </cell>
          <cell r="BY137">
            <v>41619</v>
          </cell>
          <cell r="BZ137">
            <v>41285</v>
          </cell>
          <cell r="CA137">
            <v>41316</v>
          </cell>
          <cell r="CB137">
            <v>41344</v>
          </cell>
          <cell r="CC137">
            <v>41375</v>
          </cell>
          <cell r="CD137">
            <v>41405</v>
          </cell>
          <cell r="CE137">
            <v>41436</v>
          </cell>
          <cell r="CF137">
            <v>41466</v>
          </cell>
          <cell r="CG137">
            <v>41497</v>
          </cell>
          <cell r="CH137">
            <v>41528</v>
          </cell>
          <cell r="CI137">
            <v>41558</v>
          </cell>
          <cell r="CJ137">
            <v>41589</v>
          </cell>
          <cell r="CK137">
            <v>41619</v>
          </cell>
        </row>
        <row r="138">
          <cell r="BM138" t="str">
            <v>CA01</v>
          </cell>
          <cell r="BN138">
            <v>0.09</v>
          </cell>
          <cell r="BO138">
            <v>0.09</v>
          </cell>
          <cell r="BP138">
            <v>7.0000000000000007E-2</v>
          </cell>
          <cell r="BQ138">
            <v>0.09</v>
          </cell>
          <cell r="BR138">
            <v>0.09</v>
          </cell>
          <cell r="BS138">
            <v>-0.10999999999999999</v>
          </cell>
          <cell r="BT138">
            <v>0.09</v>
          </cell>
          <cell r="BU138">
            <v>0.09</v>
          </cell>
          <cell r="BV138">
            <v>7.0000000000000007E-2</v>
          </cell>
          <cell r="BW138">
            <v>0.09</v>
          </cell>
          <cell r="BX138">
            <v>0.09</v>
          </cell>
          <cell r="BY138">
            <v>7.0000000000000007E-2</v>
          </cell>
          <cell r="BZ138">
            <v>0.09</v>
          </cell>
          <cell r="CA138">
            <v>0.18</v>
          </cell>
          <cell r="CB138">
            <v>0.25</v>
          </cell>
          <cell r="CC138">
            <v>0.33999999999999997</v>
          </cell>
          <cell r="CD138">
            <v>0.42999999999999994</v>
          </cell>
          <cell r="CE138">
            <v>0.31999999999999995</v>
          </cell>
          <cell r="CF138">
            <v>0.40999999999999992</v>
          </cell>
          <cell r="CG138">
            <v>0.49999999999999989</v>
          </cell>
          <cell r="CH138">
            <v>0.56999999999999984</v>
          </cell>
          <cell r="CI138">
            <v>0.65999999999999981</v>
          </cell>
          <cell r="CJ138">
            <v>0.74999999999999978</v>
          </cell>
          <cell r="CK138">
            <v>0.81999999999999984</v>
          </cell>
        </row>
        <row r="139">
          <cell r="BM139" t="str">
            <v>CA02</v>
          </cell>
          <cell r="BN139">
            <v>0.375</v>
          </cell>
          <cell r="BO139">
            <v>0.375</v>
          </cell>
          <cell r="BP139">
            <v>0.375</v>
          </cell>
          <cell r="BQ139">
            <v>0.375</v>
          </cell>
          <cell r="BR139">
            <v>0.375</v>
          </cell>
          <cell r="BS139">
            <v>0.375</v>
          </cell>
          <cell r="BT139">
            <v>0.375</v>
          </cell>
          <cell r="BU139">
            <v>0.375</v>
          </cell>
          <cell r="BV139">
            <v>0.375</v>
          </cell>
          <cell r="BW139">
            <v>0.375</v>
          </cell>
          <cell r="BX139">
            <v>0.375</v>
          </cell>
          <cell r="BY139">
            <v>0.375</v>
          </cell>
          <cell r="BZ139">
            <v>0.375</v>
          </cell>
          <cell r="CA139">
            <v>0.75</v>
          </cell>
          <cell r="CB139">
            <v>1.125</v>
          </cell>
          <cell r="CC139">
            <v>1.5</v>
          </cell>
          <cell r="CD139">
            <v>1.875</v>
          </cell>
          <cell r="CE139">
            <v>2.25</v>
          </cell>
          <cell r="CF139">
            <v>2.625</v>
          </cell>
          <cell r="CG139">
            <v>3</v>
          </cell>
          <cell r="CH139">
            <v>3.375</v>
          </cell>
          <cell r="CI139">
            <v>3.75</v>
          </cell>
          <cell r="CJ139">
            <v>4.125</v>
          </cell>
          <cell r="CK139">
            <v>4.5</v>
          </cell>
        </row>
        <row r="140">
          <cell r="BM140" t="str">
            <v>CA03</v>
          </cell>
          <cell r="BN140">
            <v>3.25</v>
          </cell>
          <cell r="BO140">
            <v>3.25</v>
          </cell>
          <cell r="BP140">
            <v>3.25</v>
          </cell>
          <cell r="BQ140">
            <v>3.25</v>
          </cell>
          <cell r="BR140">
            <v>3.25</v>
          </cell>
          <cell r="BS140">
            <v>3.25</v>
          </cell>
          <cell r="BT140">
            <v>3.25</v>
          </cell>
          <cell r="BU140">
            <v>3.25</v>
          </cell>
          <cell r="BV140">
            <v>3.25</v>
          </cell>
          <cell r="BW140">
            <v>3.25</v>
          </cell>
          <cell r="BX140">
            <v>3.25</v>
          </cell>
          <cell r="BY140">
            <v>3.25</v>
          </cell>
          <cell r="BZ140">
            <v>3.25</v>
          </cell>
          <cell r="CA140">
            <v>6.5</v>
          </cell>
          <cell r="CB140">
            <v>9.75</v>
          </cell>
          <cell r="CC140">
            <v>13</v>
          </cell>
          <cell r="CD140">
            <v>16.25</v>
          </cell>
          <cell r="CE140">
            <v>19.5</v>
          </cell>
          <cell r="CF140">
            <v>22.75</v>
          </cell>
          <cell r="CG140">
            <v>26</v>
          </cell>
          <cell r="CH140">
            <v>29.25</v>
          </cell>
          <cell r="CI140">
            <v>32.5</v>
          </cell>
          <cell r="CJ140">
            <v>35.75</v>
          </cell>
          <cell r="CK140">
            <v>39</v>
          </cell>
        </row>
        <row r="141">
          <cell r="BM141" t="str">
            <v>CA04</v>
          </cell>
          <cell r="BN141">
            <v>3.6483333333333334</v>
          </cell>
          <cell r="BO141">
            <v>3.3483333333333336</v>
          </cell>
          <cell r="BP141">
            <v>3.3483333333333336</v>
          </cell>
          <cell r="BQ141">
            <v>3.3483333333333336</v>
          </cell>
          <cell r="BR141">
            <v>8.1483333333333334</v>
          </cell>
          <cell r="BS141">
            <v>3.6483333333333334</v>
          </cell>
          <cell r="BT141">
            <v>3.6483333333333334</v>
          </cell>
          <cell r="BU141">
            <v>3.6483333333333334</v>
          </cell>
          <cell r="BV141">
            <v>3.6483333333333334</v>
          </cell>
          <cell r="BW141">
            <v>3.6483333333333334</v>
          </cell>
          <cell r="BX141">
            <v>3.6483333333333334</v>
          </cell>
          <cell r="BY141">
            <v>8.1283333333333303</v>
          </cell>
          <cell r="BZ141">
            <v>3.6483333333333334</v>
          </cell>
          <cell r="CA141">
            <v>6.996666666666667</v>
          </cell>
          <cell r="CB141">
            <v>10.345000000000001</v>
          </cell>
          <cell r="CC141">
            <v>13.693333333333335</v>
          </cell>
          <cell r="CD141">
            <v>21.841666666666669</v>
          </cell>
          <cell r="CE141">
            <v>25.490000000000002</v>
          </cell>
          <cell r="CF141">
            <v>29.138333333333335</v>
          </cell>
          <cell r="CG141">
            <v>32.786666666666669</v>
          </cell>
          <cell r="CH141">
            <v>36.435000000000002</v>
          </cell>
          <cell r="CI141">
            <v>40.083333333333336</v>
          </cell>
          <cell r="CJ141">
            <v>43.731666666666669</v>
          </cell>
          <cell r="CK141">
            <v>51.86</v>
          </cell>
        </row>
        <row r="142">
          <cell r="BM142" t="str">
            <v>CA05</v>
          </cell>
          <cell r="BN142">
            <v>4.1666666666666664E-2</v>
          </cell>
          <cell r="BO142">
            <v>4.1666666666666664E-2</v>
          </cell>
          <cell r="BP142">
            <v>0.06</v>
          </cell>
          <cell r="BQ142">
            <v>4.1666666666666664E-2</v>
          </cell>
          <cell r="BR142">
            <v>4.1666666666666664E-2</v>
          </cell>
          <cell r="BS142">
            <v>-4.5013333333333294E-2</v>
          </cell>
          <cell r="BT142">
            <v>4.1666666666666664E-2</v>
          </cell>
          <cell r="BU142">
            <v>4.1666666666666664E-2</v>
          </cell>
          <cell r="BV142">
            <v>4.1666666666666664E-2</v>
          </cell>
          <cell r="BW142">
            <v>4.1666666666666664E-2</v>
          </cell>
          <cell r="BX142">
            <v>4.1666666666666664E-2</v>
          </cell>
          <cell r="BY142">
            <v>0.53</v>
          </cell>
          <cell r="BZ142">
            <v>4.1666666666666664E-2</v>
          </cell>
          <cell r="CA142">
            <v>8.3333333333333329E-2</v>
          </cell>
          <cell r="CB142">
            <v>0.14333333333333331</v>
          </cell>
          <cell r="CC142">
            <v>0.18499999999999997</v>
          </cell>
          <cell r="CD142">
            <v>0.22666666666666663</v>
          </cell>
          <cell r="CE142">
            <v>0.18165333333333333</v>
          </cell>
          <cell r="CF142">
            <v>0.22331999999999999</v>
          </cell>
          <cell r="CG142">
            <v>0.26498666666666665</v>
          </cell>
          <cell r="CH142">
            <v>0.30665333333333333</v>
          </cell>
          <cell r="CI142">
            <v>0.34832000000000002</v>
          </cell>
          <cell r="CJ142">
            <v>0.3899866666666667</v>
          </cell>
          <cell r="CK142">
            <v>0.91998666666666673</v>
          </cell>
        </row>
        <row r="143">
          <cell r="BM143" t="str">
            <v>CA06</v>
          </cell>
          <cell r="BN143">
            <v>0.18333333333333329</v>
          </cell>
          <cell r="BO143">
            <v>0.18333333333333329</v>
          </cell>
          <cell r="BP143">
            <v>0.18333333333333329</v>
          </cell>
          <cell r="BQ143">
            <v>0.18333333333333329</v>
          </cell>
          <cell r="BR143">
            <v>0.18333333333333329</v>
          </cell>
          <cell r="BS143">
            <v>8.3333333333332982E-2</v>
          </cell>
          <cell r="BT143">
            <v>0.18333333333333329</v>
          </cell>
          <cell r="BU143">
            <v>0.18333333333333329</v>
          </cell>
          <cell r="BV143">
            <v>0.18333333333333329</v>
          </cell>
          <cell r="BW143">
            <v>0.18333333333333329</v>
          </cell>
          <cell r="BX143">
            <v>0.18333333333333329</v>
          </cell>
          <cell r="BY143">
            <v>0.18333333333333329</v>
          </cell>
          <cell r="BZ143">
            <v>0.18333333333333329</v>
          </cell>
          <cell r="CA143">
            <v>0.36666666666666659</v>
          </cell>
          <cell r="CB143">
            <v>0.54999999999999982</v>
          </cell>
          <cell r="CC143">
            <v>0.73333333333333317</v>
          </cell>
          <cell r="CD143">
            <v>0.91666666666666652</v>
          </cell>
          <cell r="CE143">
            <v>0.99999999999999956</v>
          </cell>
          <cell r="CF143">
            <v>1.1833333333333329</v>
          </cell>
          <cell r="CG143">
            <v>1.3666666666666663</v>
          </cell>
          <cell r="CH143">
            <v>1.5499999999999996</v>
          </cell>
          <cell r="CI143">
            <v>1.7333333333333329</v>
          </cell>
          <cell r="CJ143">
            <v>1.9166666666666663</v>
          </cell>
          <cell r="CK143">
            <v>2.0999999999999996</v>
          </cell>
        </row>
        <row r="144">
          <cell r="BM144" t="str">
            <v>CA07</v>
          </cell>
          <cell r="BN144">
            <v>0.16666666666666666</v>
          </cell>
          <cell r="BO144">
            <v>0.14666666666666667</v>
          </cell>
          <cell r="BP144">
            <v>0.14666666666666667</v>
          </cell>
          <cell r="BQ144">
            <v>0.14666666666666667</v>
          </cell>
          <cell r="BR144">
            <v>0.16666666666666666</v>
          </cell>
          <cell r="BS144">
            <v>0.16666666666666666</v>
          </cell>
          <cell r="BT144">
            <v>0.16666666666666666</v>
          </cell>
          <cell r="BU144">
            <v>0.16666666666666666</v>
          </cell>
          <cell r="BV144">
            <v>0.16666666666666666</v>
          </cell>
          <cell r="BW144">
            <v>0.16666666666666666</v>
          </cell>
          <cell r="BX144">
            <v>0.16666666666666666</v>
          </cell>
          <cell r="BY144">
            <v>0.16666666666666666</v>
          </cell>
          <cell r="BZ144">
            <v>0.16666666666666666</v>
          </cell>
          <cell r="CA144">
            <v>0.31333333333333335</v>
          </cell>
          <cell r="CB144">
            <v>0.46</v>
          </cell>
          <cell r="CC144">
            <v>0.60666666666666669</v>
          </cell>
          <cell r="CD144">
            <v>0.77333333333333332</v>
          </cell>
          <cell r="CE144">
            <v>0.94</v>
          </cell>
          <cell r="CF144">
            <v>1.1066666666666667</v>
          </cell>
          <cell r="CG144">
            <v>1.2733333333333334</v>
          </cell>
          <cell r="CH144">
            <v>1.4400000000000002</v>
          </cell>
          <cell r="CI144">
            <v>1.6066666666666669</v>
          </cell>
          <cell r="CJ144">
            <v>1.7733333333333337</v>
          </cell>
          <cell r="CK144">
            <v>1.9400000000000004</v>
          </cell>
        </row>
        <row r="145">
          <cell r="BM145" t="str">
            <v>CA08</v>
          </cell>
          <cell r="BN145">
            <v>0.77099999999999991</v>
          </cell>
          <cell r="BO145">
            <v>0.77099999999999991</v>
          </cell>
          <cell r="BP145">
            <v>0.77099999999999991</v>
          </cell>
          <cell r="BQ145">
            <v>0.77099999999999991</v>
          </cell>
          <cell r="BR145">
            <v>0.77099999999999991</v>
          </cell>
          <cell r="BS145">
            <v>0.77099999999999991</v>
          </cell>
          <cell r="BT145">
            <v>0.77099999999999991</v>
          </cell>
          <cell r="BU145">
            <v>0.77099999999999991</v>
          </cell>
          <cell r="BV145">
            <v>0.77099999999999991</v>
          </cell>
          <cell r="BW145">
            <v>0.77099999999999991</v>
          </cell>
          <cell r="BX145">
            <v>0.77099999999999991</v>
          </cell>
          <cell r="BY145">
            <v>0.77099999999999991</v>
          </cell>
          <cell r="BZ145">
            <v>0.77099999999999991</v>
          </cell>
          <cell r="CA145">
            <v>1.5419999999999998</v>
          </cell>
          <cell r="CB145">
            <v>2.3129999999999997</v>
          </cell>
          <cell r="CC145">
            <v>3.0839999999999996</v>
          </cell>
          <cell r="CD145">
            <v>3.8549999999999995</v>
          </cell>
          <cell r="CE145">
            <v>4.6259999999999994</v>
          </cell>
          <cell r="CF145">
            <v>5.3969999999999994</v>
          </cell>
          <cell r="CG145">
            <v>6.1679999999999993</v>
          </cell>
          <cell r="CH145">
            <v>6.9389999999999992</v>
          </cell>
          <cell r="CI145">
            <v>7.7099999999999991</v>
          </cell>
          <cell r="CJ145">
            <v>8.4809999999999981</v>
          </cell>
          <cell r="CK145">
            <v>9.2519999999999989</v>
          </cell>
        </row>
        <row r="146">
          <cell r="BM146" t="str">
            <v>CA09</v>
          </cell>
          <cell r="BN146">
            <v>0.70000000000000007</v>
          </cell>
          <cell r="BO146">
            <v>0.70000000000000007</v>
          </cell>
          <cell r="BP146">
            <v>0.70000000000000007</v>
          </cell>
          <cell r="BQ146">
            <v>0.70000000000000007</v>
          </cell>
          <cell r="BR146">
            <v>0.70000000000000007</v>
          </cell>
          <cell r="BS146">
            <v>0.70000000000000007</v>
          </cell>
          <cell r="BT146">
            <v>0.70000000000000007</v>
          </cell>
          <cell r="BU146">
            <v>0.70000000000000007</v>
          </cell>
          <cell r="BV146">
            <v>0.70000000000000007</v>
          </cell>
          <cell r="BW146">
            <v>0.70000000000000007</v>
          </cell>
          <cell r="BX146">
            <v>0.70000000000000007</v>
          </cell>
          <cell r="BY146">
            <v>0.70000000000000007</v>
          </cell>
          <cell r="BZ146">
            <v>0.70000000000000007</v>
          </cell>
          <cell r="CA146">
            <v>1.4000000000000001</v>
          </cell>
          <cell r="CB146">
            <v>2.1</v>
          </cell>
          <cell r="CC146">
            <v>2.8000000000000003</v>
          </cell>
          <cell r="CD146">
            <v>3.5000000000000004</v>
          </cell>
          <cell r="CE146">
            <v>4.2</v>
          </cell>
          <cell r="CF146">
            <v>4.9000000000000004</v>
          </cell>
          <cell r="CG146">
            <v>5.6000000000000005</v>
          </cell>
          <cell r="CH146">
            <v>6.3000000000000007</v>
          </cell>
          <cell r="CI146">
            <v>7.0000000000000009</v>
          </cell>
          <cell r="CJ146">
            <v>7.7000000000000011</v>
          </cell>
          <cell r="CK146">
            <v>8.4</v>
          </cell>
        </row>
        <row r="147">
          <cell r="BM147" t="str">
            <v>CA10</v>
          </cell>
          <cell r="BN147">
            <v>0</v>
          </cell>
          <cell r="BO147">
            <v>0</v>
          </cell>
          <cell r="BP147">
            <v>6.74</v>
          </cell>
          <cell r="BQ147">
            <v>6.74</v>
          </cell>
          <cell r="BR147">
            <v>6.74</v>
          </cell>
          <cell r="BS147">
            <v>6.74</v>
          </cell>
          <cell r="BT147">
            <v>6.74</v>
          </cell>
          <cell r="BU147">
            <v>9.26</v>
          </cell>
          <cell r="BV147">
            <v>6.74</v>
          </cell>
          <cell r="BW147">
            <v>6.74</v>
          </cell>
          <cell r="BX147">
            <v>6.74</v>
          </cell>
          <cell r="BY147">
            <v>6.74</v>
          </cell>
          <cell r="BZ147">
            <v>0</v>
          </cell>
          <cell r="CA147">
            <v>0</v>
          </cell>
          <cell r="CB147">
            <v>6.74</v>
          </cell>
          <cell r="CC147">
            <v>13.48</v>
          </cell>
          <cell r="CD147">
            <v>20.22</v>
          </cell>
          <cell r="CE147">
            <v>26.96</v>
          </cell>
          <cell r="CF147">
            <v>33.700000000000003</v>
          </cell>
          <cell r="CG147">
            <v>42.96</v>
          </cell>
          <cell r="CH147">
            <v>49.7</v>
          </cell>
          <cell r="CI147">
            <v>56.440000000000005</v>
          </cell>
          <cell r="CJ147">
            <v>63.180000000000007</v>
          </cell>
          <cell r="CK147">
            <v>69.92</v>
          </cell>
        </row>
        <row r="148">
          <cell r="BN148">
            <v>9.2259999999999991</v>
          </cell>
          <cell r="BO148">
            <v>8.9059999999999988</v>
          </cell>
          <cell r="BP148">
            <v>15.644333333333332</v>
          </cell>
          <cell r="BQ148">
            <v>15.645999999999999</v>
          </cell>
          <cell r="BR148">
            <v>20.466000000000001</v>
          </cell>
          <cell r="BS148">
            <v>15.579320000000001</v>
          </cell>
          <cell r="BT148">
            <v>15.965999999999999</v>
          </cell>
          <cell r="BU148">
            <v>18.485999999999997</v>
          </cell>
          <cell r="BV148">
            <v>15.946</v>
          </cell>
          <cell r="BW148">
            <v>15.965999999999999</v>
          </cell>
          <cell r="BX148">
            <v>15.965999999999999</v>
          </cell>
          <cell r="BY148">
            <v>20.914333333333332</v>
          </cell>
          <cell r="BZ148">
            <v>9.2259999999999991</v>
          </cell>
          <cell r="CA148">
            <v>18.131999999999998</v>
          </cell>
          <cell r="CB148">
            <v>33.776333333333334</v>
          </cell>
          <cell r="CC148">
            <v>49.422333333333327</v>
          </cell>
          <cell r="CD148">
            <v>69.888333333333321</v>
          </cell>
          <cell r="CE148">
            <v>85.467653333333345</v>
          </cell>
          <cell r="CF148">
            <v>101.43365333333334</v>
          </cell>
          <cell r="CG148">
            <v>119.91965333333334</v>
          </cell>
          <cell r="CH148">
            <v>135.86565333333331</v>
          </cell>
          <cell r="CI148">
            <v>151.83165333333335</v>
          </cell>
          <cell r="CJ148">
            <v>167.79765333333336</v>
          </cell>
          <cell r="CK148">
            <v>188.71198666666669</v>
          </cell>
        </row>
        <row r="162">
          <cell r="BN162" t="str">
            <v>Actual</v>
          </cell>
          <cell r="BO162" t="str">
            <v>Actual</v>
          </cell>
          <cell r="BP162" t="str">
            <v>Actual</v>
          </cell>
          <cell r="BQ162" t="str">
            <v>Actual</v>
          </cell>
          <cell r="BR162" t="str">
            <v>Actual</v>
          </cell>
          <cell r="BS162" t="str">
            <v>Actual</v>
          </cell>
          <cell r="BT162" t="str">
            <v>Actual</v>
          </cell>
          <cell r="BU162" t="str">
            <v>Actual</v>
          </cell>
          <cell r="BV162" t="str">
            <v>Actual</v>
          </cell>
          <cell r="BW162" t="str">
            <v>Actual</v>
          </cell>
          <cell r="BX162" t="str">
            <v>Actual</v>
          </cell>
          <cell r="BY162" t="str">
            <v>Actual</v>
          </cell>
          <cell r="BZ162" t="str">
            <v>Cum_Actu</v>
          </cell>
          <cell r="CA162" t="str">
            <v>Cum_Actu</v>
          </cell>
          <cell r="CB162" t="str">
            <v>Cum_Actu</v>
          </cell>
          <cell r="CC162" t="str">
            <v>Cum_Actu</v>
          </cell>
          <cell r="CD162" t="str">
            <v>Cum_Actu</v>
          </cell>
          <cell r="CE162" t="str">
            <v>Cum_Actu</v>
          </cell>
          <cell r="CF162" t="str">
            <v>Cum_Actu</v>
          </cell>
          <cell r="CG162" t="str">
            <v>Cum_Actu</v>
          </cell>
          <cell r="CH162" t="str">
            <v>Cum_Actu</v>
          </cell>
          <cell r="CI162" t="str">
            <v>Cum_Actu</v>
          </cell>
          <cell r="CJ162" t="str">
            <v>Cum_Actu</v>
          </cell>
          <cell r="CK162" t="str">
            <v>Cum_Actu</v>
          </cell>
        </row>
        <row r="163">
          <cell r="BM163" t="str">
            <v>CODE</v>
          </cell>
          <cell r="BN163">
            <v>41285</v>
          </cell>
          <cell r="BO163">
            <v>41316</v>
          </cell>
          <cell r="BP163">
            <v>41344</v>
          </cell>
          <cell r="BQ163">
            <v>41375</v>
          </cell>
          <cell r="BR163">
            <v>41405</v>
          </cell>
          <cell r="BS163">
            <v>41436</v>
          </cell>
          <cell r="BT163">
            <v>41466</v>
          </cell>
          <cell r="BU163">
            <v>41497</v>
          </cell>
          <cell r="BV163">
            <v>41528</v>
          </cell>
          <cell r="BW163">
            <v>41558</v>
          </cell>
          <cell r="BX163">
            <v>41589</v>
          </cell>
          <cell r="BY163">
            <v>41619</v>
          </cell>
          <cell r="BZ163">
            <v>41285</v>
          </cell>
          <cell r="CA163">
            <v>41316</v>
          </cell>
          <cell r="CB163">
            <v>41344</v>
          </cell>
          <cell r="CC163">
            <v>41375</v>
          </cell>
          <cell r="CD163">
            <v>41405</v>
          </cell>
          <cell r="CE163">
            <v>41436</v>
          </cell>
          <cell r="CF163">
            <v>41466</v>
          </cell>
          <cell r="CG163">
            <v>41497</v>
          </cell>
          <cell r="CH163">
            <v>41528</v>
          </cell>
          <cell r="CI163">
            <v>41558</v>
          </cell>
          <cell r="CJ163">
            <v>41589</v>
          </cell>
          <cell r="CK163">
            <v>41619</v>
          </cell>
        </row>
        <row r="164">
          <cell r="BM164" t="str">
            <v>CD01</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row>
        <row r="165">
          <cell r="BM165" t="str">
            <v>CD02</v>
          </cell>
          <cell r="BN165">
            <v>2.0833333333333335</v>
          </cell>
          <cell r="BO165">
            <v>2.0833333333333335</v>
          </cell>
          <cell r="BP165">
            <v>2.0833333333333335</v>
          </cell>
          <cell r="BQ165">
            <v>2.0833333333333335</v>
          </cell>
          <cell r="BR165">
            <v>2.0833333333333335</v>
          </cell>
          <cell r="BS165">
            <v>2.0833333333333335</v>
          </cell>
          <cell r="BT165">
            <v>-0.46666666666666989</v>
          </cell>
          <cell r="BU165">
            <v>-6.2466666666666697</v>
          </cell>
          <cell r="BV165">
            <v>3.3333333333298576E-3</v>
          </cell>
          <cell r="BW165">
            <v>3.3333333333298576E-3</v>
          </cell>
          <cell r="BX165">
            <v>0</v>
          </cell>
          <cell r="BY165">
            <v>0</v>
          </cell>
          <cell r="BZ165">
            <v>2.0833333333333335</v>
          </cell>
          <cell r="CA165">
            <v>4.166666666666667</v>
          </cell>
          <cell r="CB165">
            <v>6.25</v>
          </cell>
          <cell r="CC165">
            <v>8.3333333333333339</v>
          </cell>
          <cell r="CD165">
            <v>10.416666666666668</v>
          </cell>
          <cell r="CE165">
            <v>12.500000000000002</v>
          </cell>
          <cell r="CF165">
            <v>12.033333333333331</v>
          </cell>
          <cell r="CG165">
            <v>5.7866666666666617</v>
          </cell>
          <cell r="CH165">
            <v>5.789999999999992</v>
          </cell>
          <cell r="CI165">
            <v>5.7933333333333223</v>
          </cell>
          <cell r="CJ165">
            <v>5.7933333333333223</v>
          </cell>
          <cell r="CK165">
            <v>5.7933333333333223</v>
          </cell>
        </row>
        <row r="166">
          <cell r="BM166" t="str">
            <v>CD03</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row>
        <row r="167">
          <cell r="BM167" t="str">
            <v>CD04</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row>
        <row r="168">
          <cell r="BM168" t="str">
            <v>CD05</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row>
        <row r="169">
          <cell r="BM169" t="str">
            <v>CD06</v>
          </cell>
          <cell r="BN169">
            <v>1.38</v>
          </cell>
          <cell r="BO169">
            <v>1.38</v>
          </cell>
          <cell r="BP169">
            <v>1.38</v>
          </cell>
          <cell r="BQ169">
            <v>1.38</v>
          </cell>
          <cell r="BR169">
            <v>1.38</v>
          </cell>
          <cell r="BS169">
            <v>1.38</v>
          </cell>
          <cell r="BT169">
            <v>1.38</v>
          </cell>
          <cell r="BU169">
            <v>1.38</v>
          </cell>
          <cell r="BV169">
            <v>1.38</v>
          </cell>
          <cell r="BW169">
            <v>1.38</v>
          </cell>
          <cell r="BX169">
            <v>1.38</v>
          </cell>
          <cell r="BY169">
            <v>1.3</v>
          </cell>
          <cell r="BZ169">
            <v>1.38</v>
          </cell>
          <cell r="CA169">
            <v>2.76</v>
          </cell>
          <cell r="CB169">
            <v>4.1399999999999997</v>
          </cell>
          <cell r="CC169">
            <v>5.52</v>
          </cell>
          <cell r="CD169">
            <v>6.8999999999999995</v>
          </cell>
          <cell r="CE169">
            <v>8.2799999999999994</v>
          </cell>
          <cell r="CF169">
            <v>9.66</v>
          </cell>
          <cell r="CG169">
            <v>11.04</v>
          </cell>
          <cell r="CH169">
            <v>12.419999999999998</v>
          </cell>
          <cell r="CI169">
            <v>13.799999999999997</v>
          </cell>
          <cell r="CJ169">
            <v>15.179999999999996</v>
          </cell>
          <cell r="CK169">
            <v>16.479999999999997</v>
          </cell>
        </row>
        <row r="170">
          <cell r="BM170" t="str">
            <v>CD07</v>
          </cell>
          <cell r="BN170">
            <v>6</v>
          </cell>
          <cell r="BO170">
            <v>6</v>
          </cell>
          <cell r="BP170">
            <v>6</v>
          </cell>
          <cell r="BQ170">
            <v>6</v>
          </cell>
          <cell r="BR170">
            <v>6</v>
          </cell>
          <cell r="BS170">
            <v>6</v>
          </cell>
          <cell r="BT170">
            <v>4</v>
          </cell>
          <cell r="BU170">
            <v>6</v>
          </cell>
          <cell r="BV170">
            <v>6</v>
          </cell>
          <cell r="BW170">
            <v>6</v>
          </cell>
          <cell r="BX170">
            <v>6</v>
          </cell>
          <cell r="BY170">
            <v>6</v>
          </cell>
          <cell r="BZ170">
            <v>6</v>
          </cell>
          <cell r="CA170">
            <v>12</v>
          </cell>
          <cell r="CB170">
            <v>18</v>
          </cell>
          <cell r="CC170">
            <v>24</v>
          </cell>
          <cell r="CD170">
            <v>30</v>
          </cell>
          <cell r="CE170">
            <v>36</v>
          </cell>
          <cell r="CF170">
            <v>40</v>
          </cell>
          <cell r="CG170">
            <v>46</v>
          </cell>
          <cell r="CH170">
            <v>52</v>
          </cell>
          <cell r="CI170">
            <v>58</v>
          </cell>
          <cell r="CJ170">
            <v>64</v>
          </cell>
          <cell r="CK170">
            <v>70</v>
          </cell>
        </row>
        <row r="171">
          <cell r="BM171" t="str">
            <v>CD08</v>
          </cell>
          <cell r="BN171">
            <v>1.4</v>
          </cell>
          <cell r="BO171">
            <v>1.4</v>
          </cell>
          <cell r="BP171">
            <v>1.4</v>
          </cell>
          <cell r="BQ171">
            <v>1.4</v>
          </cell>
          <cell r="BR171">
            <v>1.4</v>
          </cell>
          <cell r="BS171">
            <v>6.1300000000000008</v>
          </cell>
          <cell r="BT171">
            <v>1.4</v>
          </cell>
          <cell r="BU171">
            <v>1.4</v>
          </cell>
          <cell r="BV171">
            <v>1.4</v>
          </cell>
          <cell r="BW171">
            <v>1.4</v>
          </cell>
          <cell r="BX171">
            <v>1.4</v>
          </cell>
          <cell r="BY171">
            <v>3.4</v>
          </cell>
          <cell r="BZ171">
            <v>1.4</v>
          </cell>
          <cell r="CA171">
            <v>2.8</v>
          </cell>
          <cell r="CB171">
            <v>4.1999999999999993</v>
          </cell>
          <cell r="CC171">
            <v>5.6</v>
          </cell>
          <cell r="CD171">
            <v>7</v>
          </cell>
          <cell r="CE171">
            <v>13.13</v>
          </cell>
          <cell r="CF171">
            <v>14.530000000000001</v>
          </cell>
          <cell r="CG171">
            <v>15.930000000000001</v>
          </cell>
          <cell r="CH171">
            <v>17.330000000000002</v>
          </cell>
          <cell r="CI171">
            <v>18.73</v>
          </cell>
          <cell r="CJ171">
            <v>20.13</v>
          </cell>
          <cell r="CK171">
            <v>23.529999999999998</v>
          </cell>
        </row>
        <row r="172">
          <cell r="BM172" t="str">
            <v>CD09</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row>
        <row r="173">
          <cell r="BM173" t="str">
            <v>CD10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row>
        <row r="174">
          <cell r="BM174" t="str">
            <v>CD11</v>
          </cell>
          <cell r="BN174">
            <v>78.9173440502706</v>
          </cell>
          <cell r="BO174">
            <v>77.69601387711802</v>
          </cell>
          <cell r="BP174">
            <v>56.796290945543397</v>
          </cell>
          <cell r="BQ174">
            <v>81.083698598545013</v>
          </cell>
          <cell r="BR174">
            <v>78.941103823392012</v>
          </cell>
          <cell r="BS174">
            <v>23.638962501235696</v>
          </cell>
          <cell r="BT174">
            <v>68.705473605265894</v>
          </cell>
          <cell r="BU174">
            <v>52.335851715599311</v>
          </cell>
          <cell r="BV174">
            <v>57.515091997054093</v>
          </cell>
          <cell r="BW174">
            <v>49.92991784390221</v>
          </cell>
          <cell r="BX174">
            <v>58.660000000000011</v>
          </cell>
          <cell r="BY174">
            <v>24.4</v>
          </cell>
          <cell r="BZ174">
            <v>78.9173440502706</v>
          </cell>
          <cell r="CA174">
            <v>156.61335792738862</v>
          </cell>
          <cell r="CB174">
            <v>213.40964887293202</v>
          </cell>
          <cell r="CC174">
            <v>294.49334747147702</v>
          </cell>
          <cell r="CD174">
            <v>373.43445129486906</v>
          </cell>
          <cell r="CE174">
            <v>397.07341379610477</v>
          </cell>
          <cell r="CF174">
            <v>465.77888740137064</v>
          </cell>
          <cell r="CG174">
            <v>518.11473911696999</v>
          </cell>
          <cell r="CH174">
            <v>575.62983111402411</v>
          </cell>
          <cell r="CI174">
            <v>625.55974895792633</v>
          </cell>
          <cell r="CJ174">
            <v>684.2197489579263</v>
          </cell>
          <cell r="CK174">
            <v>708.61974895792628</v>
          </cell>
        </row>
        <row r="175">
          <cell r="BM175" t="str">
            <v>CD12</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row>
        <row r="176">
          <cell r="BM176" t="str">
            <v>CD13</v>
          </cell>
          <cell r="BN176">
            <v>1.5</v>
          </cell>
          <cell r="BO176">
            <v>1.5</v>
          </cell>
          <cell r="BP176">
            <v>1.5</v>
          </cell>
          <cell r="BQ176">
            <v>1.5</v>
          </cell>
          <cell r="BR176">
            <v>1.5</v>
          </cell>
          <cell r="BS176">
            <v>1.5</v>
          </cell>
          <cell r="BT176">
            <v>1.5</v>
          </cell>
          <cell r="BU176">
            <v>1.5</v>
          </cell>
          <cell r="BV176">
            <v>1.5</v>
          </cell>
          <cell r="BW176">
            <v>1.5</v>
          </cell>
          <cell r="BX176">
            <v>1.5</v>
          </cell>
          <cell r="BY176">
            <v>-0.5</v>
          </cell>
          <cell r="BZ176">
            <v>1.5</v>
          </cell>
          <cell r="CA176">
            <v>3</v>
          </cell>
          <cell r="CB176">
            <v>4.5</v>
          </cell>
          <cell r="CC176">
            <v>6</v>
          </cell>
          <cell r="CD176">
            <v>7.5</v>
          </cell>
          <cell r="CE176">
            <v>9</v>
          </cell>
          <cell r="CF176">
            <v>10.5</v>
          </cell>
          <cell r="CG176">
            <v>12</v>
          </cell>
          <cell r="CH176">
            <v>13.5</v>
          </cell>
          <cell r="CI176">
            <v>15</v>
          </cell>
          <cell r="CJ176">
            <v>16.5</v>
          </cell>
          <cell r="CK176">
            <v>16</v>
          </cell>
        </row>
        <row r="177">
          <cell r="BM177" t="str">
            <v>CD14</v>
          </cell>
          <cell r="BN177">
            <v>51.069332741071349</v>
          </cell>
          <cell r="BO177">
            <v>50.284555204881592</v>
          </cell>
          <cell r="BP177">
            <v>41.116505855372836</v>
          </cell>
          <cell r="BQ177">
            <v>56.830205797364805</v>
          </cell>
          <cell r="BR177">
            <v>55.445280314785016</v>
          </cell>
          <cell r="BS177">
            <v>50.206837412585202</v>
          </cell>
          <cell r="BT177">
            <v>48.8188844714388</v>
          </cell>
          <cell r="BU177">
            <v>47.7041679768557</v>
          </cell>
          <cell r="BV177">
            <v>45.467600113831097</v>
          </cell>
          <cell r="BW177">
            <v>41.134809218672103</v>
          </cell>
          <cell r="BX177">
            <v>46.21</v>
          </cell>
          <cell r="BY177">
            <v>32.47</v>
          </cell>
          <cell r="BZ177">
            <v>51.069332741071349</v>
          </cell>
          <cell r="CA177">
            <v>101.35388794595295</v>
          </cell>
          <cell r="CB177">
            <v>142.47039380132577</v>
          </cell>
          <cell r="CC177">
            <v>199.30059959869058</v>
          </cell>
          <cell r="CD177">
            <v>254.74587991347559</v>
          </cell>
          <cell r="CE177">
            <v>304.95271732606079</v>
          </cell>
          <cell r="CF177">
            <v>353.77160179749961</v>
          </cell>
          <cell r="CG177">
            <v>401.47576977435529</v>
          </cell>
          <cell r="CH177">
            <v>446.9433698881864</v>
          </cell>
          <cell r="CI177">
            <v>488.0781791068585</v>
          </cell>
          <cell r="CJ177">
            <v>534.28817910685848</v>
          </cell>
          <cell r="CK177">
            <v>566.75817910685851</v>
          </cell>
        </row>
        <row r="178">
          <cell r="BM178" t="str">
            <v>CD15</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row>
        <row r="179">
          <cell r="BM179" t="str">
            <v>CD16</v>
          </cell>
          <cell r="BN179">
            <v>2.8667170318957034</v>
          </cell>
          <cell r="BO179">
            <v>2.9574390381791509</v>
          </cell>
          <cell r="BP179">
            <v>2.4289469231572185</v>
          </cell>
          <cell r="BQ179">
            <v>3.7953043603328518</v>
          </cell>
          <cell r="BR179">
            <v>3.923112891612095</v>
          </cell>
          <cell r="BS179">
            <v>3.3922795220875073</v>
          </cell>
          <cell r="BT179">
            <v>3.2109799477827727</v>
          </cell>
          <cell r="BU179">
            <v>3.3614054188768936</v>
          </cell>
          <cell r="BV179">
            <v>3.5395449077286405</v>
          </cell>
          <cell r="BW179">
            <v>3.5254724818432108</v>
          </cell>
          <cell r="BX179">
            <v>3.4671008917573163</v>
          </cell>
          <cell r="BY179">
            <v>3.3683559749766285</v>
          </cell>
          <cell r="BZ179">
            <v>2.8667170318957034</v>
          </cell>
          <cell r="CA179">
            <v>5.8241560700748547</v>
          </cell>
          <cell r="CB179">
            <v>8.2531029932320727</v>
          </cell>
          <cell r="CC179">
            <v>12.048407353564924</v>
          </cell>
          <cell r="CD179">
            <v>15.971520245177018</v>
          </cell>
          <cell r="CE179">
            <v>19.363799767264524</v>
          </cell>
          <cell r="CF179">
            <v>22.574779715047296</v>
          </cell>
          <cell r="CG179">
            <v>25.936185133924191</v>
          </cell>
          <cell r="CH179">
            <v>29.475730041652831</v>
          </cell>
          <cell r="CI179">
            <v>33.00120252349604</v>
          </cell>
          <cell r="CJ179">
            <v>36.468303415253359</v>
          </cell>
          <cell r="CK179">
            <v>39.83665939022999</v>
          </cell>
        </row>
        <row r="180">
          <cell r="BM180" t="str">
            <v>CD17</v>
          </cell>
          <cell r="BN180">
            <v>0.70166666666666666</v>
          </cell>
          <cell r="BO180">
            <v>0.70166666666666666</v>
          </cell>
          <cell r="BP180">
            <v>0.70166666666666666</v>
          </cell>
          <cell r="BQ180">
            <v>0.70166666666666666</v>
          </cell>
          <cell r="BR180">
            <v>0.70166666666666666</v>
          </cell>
          <cell r="BS180">
            <v>7.1666666666666989E-2</v>
          </cell>
          <cell r="BT180">
            <v>0.70166666666666666</v>
          </cell>
          <cell r="BU180">
            <v>0.70166666666666666</v>
          </cell>
          <cell r="BV180">
            <v>0.70166666666666666</v>
          </cell>
          <cell r="BW180">
            <v>0.70166666666666666</v>
          </cell>
          <cell r="BX180">
            <v>0.70166666666666666</v>
          </cell>
          <cell r="BY180">
            <v>0.06</v>
          </cell>
          <cell r="BZ180">
            <v>0.70166666666666666</v>
          </cell>
          <cell r="CA180">
            <v>1.4033333333333333</v>
          </cell>
          <cell r="CB180">
            <v>2.105</v>
          </cell>
          <cell r="CC180">
            <v>2.8066666666666666</v>
          </cell>
          <cell r="CD180">
            <v>3.5083333333333333</v>
          </cell>
          <cell r="CE180">
            <v>3.58</v>
          </cell>
          <cell r="CF180">
            <v>4.2816666666666663</v>
          </cell>
          <cell r="CG180">
            <v>4.9833333333333325</v>
          </cell>
          <cell r="CH180">
            <v>5.6849999999999987</v>
          </cell>
          <cell r="CI180">
            <v>6.3866666666666649</v>
          </cell>
          <cell r="CJ180">
            <v>7.0883333333333312</v>
          </cell>
          <cell r="CK180">
            <v>7.1483333333333308</v>
          </cell>
        </row>
        <row r="181">
          <cell r="BN181">
            <v>145.91839382323764</v>
          </cell>
          <cell r="BO181">
            <v>144.00300812017875</v>
          </cell>
          <cell r="BP181">
            <v>113.40674372407345</v>
          </cell>
          <cell r="BQ181">
            <v>154.77420875624267</v>
          </cell>
          <cell r="BR181">
            <v>151.37449702978913</v>
          </cell>
          <cell r="BS181">
            <v>94.40307943590841</v>
          </cell>
          <cell r="BT181">
            <v>129.25033802448743</v>
          </cell>
          <cell r="BU181">
            <v>108.13642511133192</v>
          </cell>
          <cell r="BV181">
            <v>117.50723701861382</v>
          </cell>
          <cell r="BW181">
            <v>105.57519954441753</v>
          </cell>
          <cell r="BX181">
            <v>119.31876755842399</v>
          </cell>
          <cell r="BY181">
            <v>70.498355974976619</v>
          </cell>
          <cell r="BZ181">
            <v>145.91839382323764</v>
          </cell>
          <cell r="CA181">
            <v>289.92140194341641</v>
          </cell>
          <cell r="CB181">
            <v>403.32814566748988</v>
          </cell>
          <cell r="CC181">
            <v>558.10235442373244</v>
          </cell>
          <cell r="CD181">
            <v>709.47685145352159</v>
          </cell>
          <cell r="CE181">
            <v>803.87993088943006</v>
          </cell>
          <cell r="CF181">
            <v>933.13026891391758</v>
          </cell>
          <cell r="CG181">
            <v>1041.2666940252495</v>
          </cell>
          <cell r="CH181">
            <v>1158.7739310438633</v>
          </cell>
          <cell r="CI181">
            <v>1264.3491305882808</v>
          </cell>
          <cell r="CJ181">
            <v>1383.6678981467048</v>
          </cell>
          <cell r="CK181">
            <v>1454.1662541216813</v>
          </cell>
        </row>
        <row r="186">
          <cell r="BN186" t="str">
            <v>Actual</v>
          </cell>
          <cell r="BO186" t="str">
            <v>Actual</v>
          </cell>
          <cell r="BP186" t="str">
            <v>Actual</v>
          </cell>
          <cell r="BQ186" t="str">
            <v>Actual</v>
          </cell>
          <cell r="BR186" t="str">
            <v>Actual</v>
          </cell>
          <cell r="BS186" t="str">
            <v>Actual</v>
          </cell>
          <cell r="BT186" t="str">
            <v>Actual</v>
          </cell>
          <cell r="BU186" t="str">
            <v>Actual</v>
          </cell>
          <cell r="BV186" t="str">
            <v>Actual</v>
          </cell>
          <cell r="BW186" t="str">
            <v>Actual</v>
          </cell>
          <cell r="BX186" t="str">
            <v>Actual</v>
          </cell>
          <cell r="BY186" t="str">
            <v>Actual</v>
          </cell>
          <cell r="BZ186" t="str">
            <v>Cum_Actu</v>
          </cell>
          <cell r="CA186" t="str">
            <v>Cum_Actu</v>
          </cell>
          <cell r="CB186" t="str">
            <v>Cum_Actu</v>
          </cell>
          <cell r="CC186" t="str">
            <v>Cum_Actu</v>
          </cell>
          <cell r="CD186" t="str">
            <v>Cum_Actu</v>
          </cell>
          <cell r="CE186" t="str">
            <v>Cum_Actu</v>
          </cell>
          <cell r="CF186" t="str">
            <v>Cum_Actu</v>
          </cell>
          <cell r="CG186" t="str">
            <v>Cum_Actu</v>
          </cell>
          <cell r="CH186" t="str">
            <v>Cum_Actu</v>
          </cell>
          <cell r="CI186" t="str">
            <v>Cum_Actu</v>
          </cell>
          <cell r="CJ186" t="str">
            <v>Cum_Actu</v>
          </cell>
          <cell r="CK186" t="str">
            <v>Cum_Actu</v>
          </cell>
        </row>
        <row r="187">
          <cell r="BM187" t="str">
            <v>CODE</v>
          </cell>
          <cell r="BN187">
            <v>41285</v>
          </cell>
          <cell r="BO187">
            <v>41316</v>
          </cell>
          <cell r="BP187">
            <v>41344</v>
          </cell>
          <cell r="BQ187">
            <v>41375</v>
          </cell>
          <cell r="BR187">
            <v>41405</v>
          </cell>
          <cell r="BS187">
            <v>41436</v>
          </cell>
          <cell r="BT187">
            <v>41466</v>
          </cell>
          <cell r="BU187">
            <v>41497</v>
          </cell>
          <cell r="BV187">
            <v>41528</v>
          </cell>
          <cell r="BW187">
            <v>41558</v>
          </cell>
          <cell r="BX187">
            <v>41589</v>
          </cell>
          <cell r="BY187">
            <v>41619</v>
          </cell>
          <cell r="BZ187">
            <v>41285</v>
          </cell>
          <cell r="CA187">
            <v>41316</v>
          </cell>
          <cell r="CB187">
            <v>41344</v>
          </cell>
          <cell r="CC187">
            <v>41375</v>
          </cell>
          <cell r="CD187">
            <v>41405</v>
          </cell>
          <cell r="CE187">
            <v>41436</v>
          </cell>
          <cell r="CF187">
            <v>41466</v>
          </cell>
          <cell r="CG187">
            <v>41497</v>
          </cell>
          <cell r="CH187">
            <v>41528</v>
          </cell>
          <cell r="CI187">
            <v>41558</v>
          </cell>
          <cell r="CJ187">
            <v>41589</v>
          </cell>
          <cell r="CK187">
            <v>41619</v>
          </cell>
        </row>
        <row r="188">
          <cell r="BM188" t="str">
            <v>E01</v>
          </cell>
          <cell r="BN188">
            <v>8</v>
          </cell>
          <cell r="BO188">
            <v>8</v>
          </cell>
          <cell r="BP188">
            <v>8</v>
          </cell>
          <cell r="BQ188">
            <v>8</v>
          </cell>
          <cell r="BR188">
            <v>3.5590000000000002</v>
          </cell>
          <cell r="BS188">
            <v>14.399999999999999</v>
          </cell>
          <cell r="BT188">
            <v>10.54</v>
          </cell>
          <cell r="BU188">
            <v>12.260000000000002</v>
          </cell>
          <cell r="BV188">
            <v>11.96</v>
          </cell>
          <cell r="BW188">
            <v>10.55</v>
          </cell>
          <cell r="BX188">
            <v>11.54</v>
          </cell>
          <cell r="BY188">
            <v>10.079999999999998</v>
          </cell>
          <cell r="BZ188">
            <v>8</v>
          </cell>
          <cell r="CA188">
            <v>16</v>
          </cell>
          <cell r="CB188">
            <v>24</v>
          </cell>
          <cell r="CC188">
            <v>32</v>
          </cell>
          <cell r="CD188">
            <v>35.558999999999997</v>
          </cell>
          <cell r="CE188">
            <v>49.958999999999996</v>
          </cell>
          <cell r="CF188">
            <v>60.498999999999995</v>
          </cell>
          <cell r="CG188">
            <v>72.759</v>
          </cell>
          <cell r="CH188">
            <v>84.718999999999994</v>
          </cell>
          <cell r="CI188">
            <v>95.268999999999991</v>
          </cell>
          <cell r="CJ188">
            <v>106.809</v>
          </cell>
          <cell r="CK188">
            <v>116.889</v>
          </cell>
        </row>
        <row r="189">
          <cell r="BM189" t="str">
            <v>E02</v>
          </cell>
          <cell r="BN189">
            <v>3</v>
          </cell>
          <cell r="BO189">
            <v>3</v>
          </cell>
          <cell r="BP189">
            <v>3</v>
          </cell>
          <cell r="BQ189">
            <v>3</v>
          </cell>
          <cell r="BR189">
            <v>2.76</v>
          </cell>
          <cell r="BS189">
            <v>2.89</v>
          </cell>
          <cell r="BT189">
            <v>2.8</v>
          </cell>
          <cell r="BU189">
            <v>8.5</v>
          </cell>
          <cell r="BV189">
            <v>6.26</v>
          </cell>
          <cell r="BW189">
            <v>5.45</v>
          </cell>
          <cell r="BX189">
            <v>3.65</v>
          </cell>
          <cell r="BY189">
            <v>5.7799999999999994</v>
          </cell>
          <cell r="BZ189">
            <v>3</v>
          </cell>
          <cell r="CA189">
            <v>6</v>
          </cell>
          <cell r="CB189">
            <v>9</v>
          </cell>
          <cell r="CC189">
            <v>12</v>
          </cell>
          <cell r="CD189">
            <v>14.76</v>
          </cell>
          <cell r="CE189">
            <v>17.649999999999999</v>
          </cell>
          <cell r="CF189">
            <v>20.45</v>
          </cell>
          <cell r="CG189">
            <v>28.95</v>
          </cell>
          <cell r="CH189">
            <v>35.21</v>
          </cell>
          <cell r="CI189">
            <v>40.660000000000004</v>
          </cell>
          <cell r="CJ189">
            <v>44.31</v>
          </cell>
          <cell r="CK189">
            <v>50.09</v>
          </cell>
        </row>
        <row r="190">
          <cell r="BM190" t="str">
            <v>E03</v>
          </cell>
          <cell r="BN190">
            <v>5</v>
          </cell>
          <cell r="BO190">
            <v>5</v>
          </cell>
          <cell r="BP190">
            <v>5</v>
          </cell>
          <cell r="BQ190">
            <v>5</v>
          </cell>
          <cell r="BR190">
            <v>3.36</v>
          </cell>
          <cell r="BS190">
            <v>6.28</v>
          </cell>
          <cell r="BT190">
            <v>3.11</v>
          </cell>
          <cell r="BU190">
            <v>6.28</v>
          </cell>
          <cell r="BV190">
            <v>3.18</v>
          </cell>
          <cell r="BW190">
            <v>4.92</v>
          </cell>
          <cell r="BX190">
            <v>4.97</v>
          </cell>
          <cell r="BY190">
            <v>5.03</v>
          </cell>
          <cell r="BZ190">
            <v>5</v>
          </cell>
          <cell r="CA190">
            <v>10</v>
          </cell>
          <cell r="CB190">
            <v>15</v>
          </cell>
          <cell r="CC190">
            <v>20</v>
          </cell>
          <cell r="CD190">
            <v>23.36</v>
          </cell>
          <cell r="CE190">
            <v>29.64</v>
          </cell>
          <cell r="CF190">
            <v>32.75</v>
          </cell>
          <cell r="CG190">
            <v>39.03</v>
          </cell>
          <cell r="CH190">
            <v>42.21</v>
          </cell>
          <cell r="CI190">
            <v>47.13</v>
          </cell>
          <cell r="CJ190">
            <v>52.1</v>
          </cell>
          <cell r="CK190">
            <v>57.13</v>
          </cell>
        </row>
        <row r="191">
          <cell r="BM191" t="str">
            <v>E04</v>
          </cell>
          <cell r="BN191">
            <v>0.8</v>
          </cell>
          <cell r="BO191">
            <v>0.6</v>
          </cell>
          <cell r="BP191">
            <v>0.8</v>
          </cell>
          <cell r="BQ191">
            <v>0.6</v>
          </cell>
          <cell r="BR191">
            <v>2.0379999999999998</v>
          </cell>
          <cell r="BS191">
            <v>0.44</v>
          </cell>
          <cell r="BT191">
            <v>0.78</v>
          </cell>
          <cell r="BU191">
            <v>0.28999999999999998</v>
          </cell>
          <cell r="BV191">
            <v>0.73</v>
          </cell>
          <cell r="BW191">
            <v>0.60000000000000009</v>
          </cell>
          <cell r="BX191">
            <v>7.81</v>
          </cell>
          <cell r="BY191">
            <v>0.4</v>
          </cell>
          <cell r="BZ191">
            <v>0.8</v>
          </cell>
          <cell r="CA191">
            <v>1.4</v>
          </cell>
          <cell r="CB191">
            <v>2.2000000000000002</v>
          </cell>
          <cell r="CC191">
            <v>2.8000000000000003</v>
          </cell>
          <cell r="CD191">
            <v>4.8380000000000001</v>
          </cell>
          <cell r="CE191">
            <v>5.2780000000000005</v>
          </cell>
          <cell r="CF191">
            <v>6.0580000000000007</v>
          </cell>
          <cell r="CG191">
            <v>6.3480000000000008</v>
          </cell>
          <cell r="CH191">
            <v>7.0780000000000012</v>
          </cell>
          <cell r="CI191">
            <v>7.6780000000000008</v>
          </cell>
          <cell r="CJ191">
            <v>15.488</v>
          </cell>
          <cell r="CK191">
            <v>15.888</v>
          </cell>
        </row>
        <row r="192">
          <cell r="BM192" t="str">
            <v>E05</v>
          </cell>
          <cell r="BN192">
            <v>5</v>
          </cell>
          <cell r="BO192">
            <v>0</v>
          </cell>
          <cell r="BP192">
            <v>0</v>
          </cell>
          <cell r="BQ192">
            <v>0</v>
          </cell>
          <cell r="BR192">
            <v>10.345000000000001</v>
          </cell>
          <cell r="BS192">
            <v>0</v>
          </cell>
          <cell r="BT192">
            <v>12.8</v>
          </cell>
          <cell r="BU192">
            <v>0</v>
          </cell>
          <cell r="BV192">
            <v>0</v>
          </cell>
          <cell r="BW192">
            <v>0</v>
          </cell>
          <cell r="BX192">
            <v>0</v>
          </cell>
          <cell r="BY192">
            <v>-3.05</v>
          </cell>
          <cell r="BZ192">
            <v>5</v>
          </cell>
          <cell r="CA192">
            <v>5</v>
          </cell>
          <cell r="CB192">
            <v>5</v>
          </cell>
          <cell r="CC192">
            <v>5</v>
          </cell>
          <cell r="CD192">
            <v>15.345000000000001</v>
          </cell>
          <cell r="CE192">
            <v>15.345000000000001</v>
          </cell>
          <cell r="CF192">
            <v>28.145000000000003</v>
          </cell>
          <cell r="CG192">
            <v>28.145000000000003</v>
          </cell>
          <cell r="CH192">
            <v>28.145000000000003</v>
          </cell>
          <cell r="CI192">
            <v>28.145000000000003</v>
          </cell>
          <cell r="CJ192">
            <v>28.145000000000003</v>
          </cell>
          <cell r="CK192">
            <v>25.095000000000002</v>
          </cell>
        </row>
        <row r="193">
          <cell r="BM193" t="str">
            <v>E06</v>
          </cell>
          <cell r="BN193">
            <v>0.5</v>
          </cell>
          <cell r="BO193">
            <v>0.4</v>
          </cell>
          <cell r="BP193">
            <v>0.4</v>
          </cell>
          <cell r="BQ193">
            <v>0.4</v>
          </cell>
          <cell r="BR193">
            <v>-7.5999999999999998E-2</v>
          </cell>
          <cell r="BS193">
            <v>0.4</v>
          </cell>
          <cell r="BT193">
            <v>0.13</v>
          </cell>
          <cell r="BU193">
            <v>0.4</v>
          </cell>
          <cell r="BV193">
            <v>0.15</v>
          </cell>
          <cell r="BW193">
            <v>0.39</v>
          </cell>
          <cell r="BX193">
            <v>0.34</v>
          </cell>
          <cell r="BY193">
            <v>0.17</v>
          </cell>
          <cell r="BZ193">
            <v>0.5</v>
          </cell>
          <cell r="CA193">
            <v>0.9</v>
          </cell>
          <cell r="CB193">
            <v>1.3</v>
          </cell>
          <cell r="CC193">
            <v>1.7000000000000002</v>
          </cell>
          <cell r="CD193">
            <v>1.6240000000000001</v>
          </cell>
          <cell r="CE193">
            <v>2.024</v>
          </cell>
          <cell r="CF193">
            <v>2.1539999999999999</v>
          </cell>
          <cell r="CG193">
            <v>2.5539999999999998</v>
          </cell>
          <cell r="CH193">
            <v>2.7039999999999997</v>
          </cell>
          <cell r="CI193">
            <v>3.0939999999999999</v>
          </cell>
          <cell r="CJ193">
            <v>3.4339999999999997</v>
          </cell>
          <cell r="CK193">
            <v>3.6039999999999996</v>
          </cell>
        </row>
        <row r="194">
          <cell r="BM194" t="str">
            <v>E07</v>
          </cell>
          <cell r="BN194">
            <v>8</v>
          </cell>
          <cell r="BO194">
            <v>0</v>
          </cell>
          <cell r="BP194">
            <v>0</v>
          </cell>
          <cell r="BQ194">
            <v>0</v>
          </cell>
          <cell r="BR194">
            <v>23.36</v>
          </cell>
          <cell r="BS194">
            <v>0</v>
          </cell>
          <cell r="BT194">
            <v>0</v>
          </cell>
          <cell r="BU194">
            <v>0</v>
          </cell>
          <cell r="BV194">
            <v>0</v>
          </cell>
          <cell r="BW194">
            <v>0</v>
          </cell>
          <cell r="BX194">
            <v>0</v>
          </cell>
          <cell r="BY194">
            <v>-5.92</v>
          </cell>
          <cell r="BZ194">
            <v>8</v>
          </cell>
          <cell r="CA194">
            <v>8</v>
          </cell>
          <cell r="CB194">
            <v>8</v>
          </cell>
          <cell r="CC194">
            <v>8</v>
          </cell>
          <cell r="CD194">
            <v>31.36</v>
          </cell>
          <cell r="CE194">
            <v>31.36</v>
          </cell>
          <cell r="CF194">
            <v>31.36</v>
          </cell>
          <cell r="CG194">
            <v>31.36</v>
          </cell>
          <cell r="CH194">
            <v>31.36</v>
          </cell>
          <cell r="CI194">
            <v>31.36</v>
          </cell>
          <cell r="CJ194">
            <v>31.36</v>
          </cell>
          <cell r="CK194">
            <v>25.439999999999998</v>
          </cell>
        </row>
        <row r="195">
          <cell r="BM195" t="str">
            <v>E08</v>
          </cell>
          <cell r="BN195">
            <v>0.15</v>
          </cell>
          <cell r="BO195">
            <v>0.15</v>
          </cell>
          <cell r="BP195">
            <v>0.15</v>
          </cell>
          <cell r="BQ195">
            <v>0.15</v>
          </cell>
          <cell r="BR195">
            <v>0.15</v>
          </cell>
          <cell r="BS195">
            <v>0.15</v>
          </cell>
          <cell r="BT195">
            <v>0.15</v>
          </cell>
          <cell r="BU195">
            <v>0.15</v>
          </cell>
          <cell r="BV195">
            <v>0.15</v>
          </cell>
          <cell r="BW195">
            <v>0.15</v>
          </cell>
          <cell r="BX195">
            <v>0.15</v>
          </cell>
          <cell r="BY195">
            <v>0.15</v>
          </cell>
          <cell r="BZ195">
            <v>0.15</v>
          </cell>
          <cell r="CA195">
            <v>0.3</v>
          </cell>
          <cell r="CB195">
            <v>0.44999999999999996</v>
          </cell>
          <cell r="CC195">
            <v>0.6</v>
          </cell>
          <cell r="CD195">
            <v>0.75</v>
          </cell>
          <cell r="CE195">
            <v>0.9</v>
          </cell>
          <cell r="CF195">
            <v>1.05</v>
          </cell>
          <cell r="CG195">
            <v>1.2</v>
          </cell>
          <cell r="CH195">
            <v>1.3499999999999999</v>
          </cell>
          <cell r="CI195">
            <v>1.4999999999999998</v>
          </cell>
          <cell r="CJ195">
            <v>1.6499999999999997</v>
          </cell>
          <cell r="CK195">
            <v>1.7999999999999996</v>
          </cell>
        </row>
        <row r="196">
          <cell r="BM196" t="str">
            <v>E09</v>
          </cell>
          <cell r="BN196">
            <v>8</v>
          </cell>
          <cell r="BO196">
            <v>0</v>
          </cell>
          <cell r="BP196">
            <v>0</v>
          </cell>
          <cell r="BQ196">
            <v>0</v>
          </cell>
          <cell r="BR196">
            <v>0</v>
          </cell>
          <cell r="BS196">
            <v>0</v>
          </cell>
          <cell r="BT196">
            <v>0</v>
          </cell>
          <cell r="BU196">
            <v>0</v>
          </cell>
          <cell r="BV196">
            <v>0</v>
          </cell>
          <cell r="BW196">
            <v>0</v>
          </cell>
          <cell r="BX196">
            <v>0</v>
          </cell>
          <cell r="BY196">
            <v>0</v>
          </cell>
          <cell r="BZ196">
            <v>8</v>
          </cell>
          <cell r="CA196">
            <v>8</v>
          </cell>
          <cell r="CB196">
            <v>8</v>
          </cell>
          <cell r="CC196">
            <v>8</v>
          </cell>
          <cell r="CD196">
            <v>8</v>
          </cell>
          <cell r="CE196">
            <v>8</v>
          </cell>
          <cell r="CF196">
            <v>8</v>
          </cell>
          <cell r="CG196">
            <v>8</v>
          </cell>
          <cell r="CH196">
            <v>8</v>
          </cell>
          <cell r="CI196">
            <v>8</v>
          </cell>
          <cell r="CJ196">
            <v>8</v>
          </cell>
          <cell r="CK196">
            <v>8</v>
          </cell>
        </row>
        <row r="197">
          <cell r="BM197" t="str">
            <v>E10</v>
          </cell>
          <cell r="BN197">
            <v>1.5</v>
          </cell>
          <cell r="BO197">
            <v>0</v>
          </cell>
          <cell r="BP197">
            <v>0</v>
          </cell>
          <cell r="BQ197">
            <v>0</v>
          </cell>
          <cell r="BR197">
            <v>0</v>
          </cell>
          <cell r="BS197">
            <v>0</v>
          </cell>
          <cell r="BT197">
            <v>0</v>
          </cell>
          <cell r="BU197">
            <v>0</v>
          </cell>
          <cell r="BV197">
            <v>0</v>
          </cell>
          <cell r="BW197">
            <v>0</v>
          </cell>
          <cell r="BX197">
            <v>0</v>
          </cell>
          <cell r="BY197">
            <v>0</v>
          </cell>
          <cell r="BZ197">
            <v>1.5</v>
          </cell>
          <cell r="CA197">
            <v>1.5</v>
          </cell>
          <cell r="CB197">
            <v>1.5</v>
          </cell>
          <cell r="CC197">
            <v>1.5</v>
          </cell>
          <cell r="CD197">
            <v>1.5</v>
          </cell>
          <cell r="CE197">
            <v>1.5</v>
          </cell>
          <cell r="CF197">
            <v>1.5</v>
          </cell>
          <cell r="CG197">
            <v>1.5</v>
          </cell>
          <cell r="CH197">
            <v>1.5</v>
          </cell>
          <cell r="CI197">
            <v>1.5</v>
          </cell>
          <cell r="CJ197">
            <v>1.5</v>
          </cell>
          <cell r="CK197">
            <v>1.5</v>
          </cell>
        </row>
        <row r="198">
          <cell r="BM198" t="str">
            <v>E11</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row>
        <row r="199">
          <cell r="BM199" t="str">
            <v>E12</v>
          </cell>
          <cell r="BN199">
            <v>0</v>
          </cell>
          <cell r="BO199">
            <v>0</v>
          </cell>
          <cell r="BP199">
            <v>0</v>
          </cell>
          <cell r="BQ199">
            <v>33</v>
          </cell>
          <cell r="BR199">
            <v>0</v>
          </cell>
          <cell r="BS199">
            <v>0</v>
          </cell>
          <cell r="BT199">
            <v>0</v>
          </cell>
          <cell r="BU199">
            <v>0</v>
          </cell>
          <cell r="BV199">
            <v>0</v>
          </cell>
          <cell r="BW199">
            <v>0</v>
          </cell>
          <cell r="BX199">
            <v>0</v>
          </cell>
          <cell r="BY199">
            <v>0</v>
          </cell>
          <cell r="BZ199">
            <v>0</v>
          </cell>
          <cell r="CA199">
            <v>0</v>
          </cell>
          <cell r="CB199">
            <v>0</v>
          </cell>
          <cell r="CC199">
            <v>33</v>
          </cell>
          <cell r="CD199">
            <v>33</v>
          </cell>
          <cell r="CE199">
            <v>33</v>
          </cell>
          <cell r="CF199">
            <v>33</v>
          </cell>
          <cell r="CG199">
            <v>33</v>
          </cell>
          <cell r="CH199">
            <v>33</v>
          </cell>
          <cell r="CI199">
            <v>33</v>
          </cell>
          <cell r="CJ199">
            <v>33</v>
          </cell>
          <cell r="CK199">
            <v>33</v>
          </cell>
        </row>
        <row r="200">
          <cell r="BM200" t="str">
            <v>E13</v>
          </cell>
          <cell r="BN200">
            <v>4</v>
          </cell>
          <cell r="BO200">
            <v>0</v>
          </cell>
          <cell r="BP200">
            <v>0</v>
          </cell>
          <cell r="BQ200">
            <v>0</v>
          </cell>
          <cell r="BR200">
            <v>0</v>
          </cell>
          <cell r="BS200">
            <v>0</v>
          </cell>
          <cell r="BT200">
            <v>0</v>
          </cell>
          <cell r="BU200">
            <v>0</v>
          </cell>
          <cell r="BV200">
            <v>0</v>
          </cell>
          <cell r="BW200">
            <v>0</v>
          </cell>
          <cell r="BX200">
            <v>0</v>
          </cell>
          <cell r="BY200">
            <v>-0.87</v>
          </cell>
          <cell r="BZ200">
            <v>4</v>
          </cell>
          <cell r="CA200">
            <v>4</v>
          </cell>
          <cell r="CB200">
            <v>4</v>
          </cell>
          <cell r="CC200">
            <v>4</v>
          </cell>
          <cell r="CD200">
            <v>4</v>
          </cell>
          <cell r="CE200">
            <v>4</v>
          </cell>
          <cell r="CF200">
            <v>4</v>
          </cell>
          <cell r="CG200">
            <v>4</v>
          </cell>
          <cell r="CH200">
            <v>4</v>
          </cell>
          <cell r="CI200">
            <v>4</v>
          </cell>
          <cell r="CJ200">
            <v>4</v>
          </cell>
          <cell r="CK200">
            <v>3.13</v>
          </cell>
        </row>
        <row r="201">
          <cell r="BM201" t="str">
            <v>E14</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row>
        <row r="202">
          <cell r="BM202" t="str">
            <v>PR1</v>
          </cell>
          <cell r="BN202">
            <v>3</v>
          </cell>
          <cell r="BO202">
            <v>3</v>
          </cell>
          <cell r="BP202">
            <v>3</v>
          </cell>
          <cell r="BQ202">
            <v>3</v>
          </cell>
          <cell r="BR202">
            <v>3.149</v>
          </cell>
          <cell r="BS202">
            <v>2.91</v>
          </cell>
          <cell r="BT202">
            <v>2.69</v>
          </cell>
          <cell r="BU202">
            <v>2.94</v>
          </cell>
          <cell r="BV202">
            <v>3</v>
          </cell>
          <cell r="BW202">
            <v>3</v>
          </cell>
          <cell r="BX202">
            <v>2.77</v>
          </cell>
          <cell r="BY202">
            <v>1.92</v>
          </cell>
          <cell r="BZ202">
            <v>3</v>
          </cell>
          <cell r="CA202">
            <v>6</v>
          </cell>
          <cell r="CB202">
            <v>9</v>
          </cell>
          <cell r="CC202">
            <v>12</v>
          </cell>
          <cell r="CD202">
            <v>15.149000000000001</v>
          </cell>
          <cell r="CE202">
            <v>18.059000000000001</v>
          </cell>
          <cell r="CF202">
            <v>20.749000000000002</v>
          </cell>
          <cell r="CG202">
            <v>23.689000000000004</v>
          </cell>
          <cell r="CH202">
            <v>26.689000000000004</v>
          </cell>
          <cell r="CI202">
            <v>29.689000000000004</v>
          </cell>
          <cell r="CJ202">
            <v>32.459000000000003</v>
          </cell>
          <cell r="CK202">
            <v>34.379000000000005</v>
          </cell>
        </row>
        <row r="203">
          <cell r="BM203" t="str">
            <v>PR2</v>
          </cell>
          <cell r="BN203">
            <v>0</v>
          </cell>
          <cell r="BO203">
            <v>0</v>
          </cell>
          <cell r="BP203">
            <v>0</v>
          </cell>
          <cell r="BQ203">
            <v>0</v>
          </cell>
          <cell r="BR203">
            <v>0</v>
          </cell>
          <cell r="BS203">
            <v>0.6</v>
          </cell>
          <cell r="BT203">
            <v>0</v>
          </cell>
          <cell r="BU203">
            <v>0</v>
          </cell>
          <cell r="BV203">
            <v>0</v>
          </cell>
          <cell r="BW203">
            <v>0</v>
          </cell>
          <cell r="BX203">
            <v>0</v>
          </cell>
          <cell r="BY203">
            <v>0</v>
          </cell>
          <cell r="BZ203">
            <v>0</v>
          </cell>
          <cell r="CA203">
            <v>0</v>
          </cell>
          <cell r="CB203">
            <v>0</v>
          </cell>
          <cell r="CC203">
            <v>0</v>
          </cell>
          <cell r="CD203">
            <v>0</v>
          </cell>
          <cell r="CE203">
            <v>0.6</v>
          </cell>
          <cell r="CF203">
            <v>0.6</v>
          </cell>
          <cell r="CG203">
            <v>0.6</v>
          </cell>
          <cell r="CH203">
            <v>0.6</v>
          </cell>
          <cell r="CI203">
            <v>0.6</v>
          </cell>
          <cell r="CJ203">
            <v>0.6</v>
          </cell>
          <cell r="CK203">
            <v>0.6</v>
          </cell>
        </row>
        <row r="204">
          <cell r="BM204" t="str">
            <v>PR3</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row>
        <row r="205">
          <cell r="BM205" t="str">
            <v>PR4</v>
          </cell>
          <cell r="BN205">
            <v>0.1</v>
          </cell>
          <cell r="BO205">
            <v>0.1</v>
          </cell>
          <cell r="BP205">
            <v>0.1</v>
          </cell>
          <cell r="BQ205">
            <v>0.1</v>
          </cell>
          <cell r="BR205">
            <v>0.1</v>
          </cell>
          <cell r="BS205">
            <v>0.1</v>
          </cell>
          <cell r="BT205">
            <v>0.1</v>
          </cell>
          <cell r="BU205">
            <v>0.1</v>
          </cell>
          <cell r="BV205">
            <v>0.1</v>
          </cell>
          <cell r="BW205">
            <v>0.1</v>
          </cell>
          <cell r="BX205">
            <v>0.1</v>
          </cell>
          <cell r="BY205">
            <v>0.06</v>
          </cell>
          <cell r="BZ205">
            <v>0.1</v>
          </cell>
          <cell r="CA205">
            <v>0.2</v>
          </cell>
          <cell r="CB205">
            <v>0.30000000000000004</v>
          </cell>
          <cell r="CC205">
            <v>0.4</v>
          </cell>
          <cell r="CD205">
            <v>0.5</v>
          </cell>
          <cell r="CE205">
            <v>0.6</v>
          </cell>
          <cell r="CF205">
            <v>0.7</v>
          </cell>
          <cell r="CG205">
            <v>0.79999999999999993</v>
          </cell>
          <cell r="CH205">
            <v>0.89999999999999991</v>
          </cell>
          <cell r="CI205">
            <v>0.99999999999999989</v>
          </cell>
          <cell r="CJ205">
            <v>1.0999999999999999</v>
          </cell>
          <cell r="CK205">
            <v>1.1599999999999999</v>
          </cell>
        </row>
        <row r="206">
          <cell r="BM206" t="str">
            <v>QC1</v>
          </cell>
          <cell r="BN206">
            <v>0.75</v>
          </cell>
          <cell r="BO206">
            <v>0.75</v>
          </cell>
          <cell r="BP206">
            <v>0.75</v>
          </cell>
          <cell r="BQ206">
            <v>0.75</v>
          </cell>
          <cell r="BR206">
            <v>0.73599999999999999</v>
          </cell>
          <cell r="BS206">
            <v>0.75</v>
          </cell>
          <cell r="BT206">
            <v>0.55000000000000004</v>
          </cell>
          <cell r="BU206">
            <v>0.75</v>
          </cell>
          <cell r="BV206">
            <v>0.75</v>
          </cell>
          <cell r="BW206">
            <v>0.75</v>
          </cell>
          <cell r="BX206">
            <v>0.75</v>
          </cell>
          <cell r="BY206">
            <v>0.66</v>
          </cell>
          <cell r="BZ206">
            <v>0.75</v>
          </cell>
          <cell r="CA206">
            <v>1.5</v>
          </cell>
          <cell r="CB206">
            <v>2.25</v>
          </cell>
          <cell r="CC206">
            <v>3</v>
          </cell>
          <cell r="CD206">
            <v>3.7359999999999998</v>
          </cell>
          <cell r="CE206">
            <v>4.4859999999999998</v>
          </cell>
          <cell r="CF206">
            <v>5.0359999999999996</v>
          </cell>
          <cell r="CG206">
            <v>5.7859999999999996</v>
          </cell>
          <cell r="CH206">
            <v>6.5359999999999996</v>
          </cell>
          <cell r="CI206">
            <v>7.2859999999999996</v>
          </cell>
          <cell r="CJ206">
            <v>8.0359999999999996</v>
          </cell>
          <cell r="CK206">
            <v>8.6959999999999997</v>
          </cell>
        </row>
        <row r="207">
          <cell r="BM207" t="str">
            <v>QC2</v>
          </cell>
          <cell r="BN207">
            <v>0.3</v>
          </cell>
          <cell r="BO207">
            <v>0</v>
          </cell>
          <cell r="BP207">
            <v>0</v>
          </cell>
          <cell r="BQ207">
            <v>0</v>
          </cell>
          <cell r="BR207">
            <v>0</v>
          </cell>
          <cell r="BS207">
            <v>0</v>
          </cell>
          <cell r="BT207">
            <v>0</v>
          </cell>
          <cell r="BU207">
            <v>0</v>
          </cell>
          <cell r="BV207">
            <v>0</v>
          </cell>
          <cell r="BW207">
            <v>0</v>
          </cell>
          <cell r="BX207">
            <v>0</v>
          </cell>
          <cell r="BY207">
            <v>0</v>
          </cell>
          <cell r="BZ207">
            <v>0.3</v>
          </cell>
          <cell r="CA207">
            <v>0.3</v>
          </cell>
          <cell r="CB207">
            <v>0.3</v>
          </cell>
          <cell r="CC207">
            <v>0.3</v>
          </cell>
          <cell r="CD207">
            <v>0.3</v>
          </cell>
          <cell r="CE207">
            <v>0.3</v>
          </cell>
          <cell r="CF207">
            <v>0.3</v>
          </cell>
          <cell r="CG207">
            <v>0.3</v>
          </cell>
          <cell r="CH207">
            <v>0.3</v>
          </cell>
          <cell r="CI207">
            <v>0.3</v>
          </cell>
          <cell r="CJ207">
            <v>0.3</v>
          </cell>
          <cell r="CK207">
            <v>0.3</v>
          </cell>
        </row>
        <row r="208">
          <cell r="BM208" t="str">
            <v>QC3</v>
          </cell>
          <cell r="BN208">
            <v>0.5</v>
          </cell>
          <cell r="BO208">
            <v>0</v>
          </cell>
          <cell r="BP208">
            <v>0</v>
          </cell>
          <cell r="BQ208">
            <v>0.5</v>
          </cell>
          <cell r="BR208">
            <v>-0.23599999999999999</v>
          </cell>
          <cell r="BS208">
            <v>0</v>
          </cell>
          <cell r="BT208">
            <v>0</v>
          </cell>
          <cell r="BU208">
            <v>0</v>
          </cell>
          <cell r="BV208">
            <v>0</v>
          </cell>
          <cell r="BW208">
            <v>0</v>
          </cell>
          <cell r="BX208">
            <v>0.5</v>
          </cell>
          <cell r="BY208">
            <v>0</v>
          </cell>
          <cell r="BZ208">
            <v>0.5</v>
          </cell>
          <cell r="CA208">
            <v>0.5</v>
          </cell>
          <cell r="CB208">
            <v>0.5</v>
          </cell>
          <cell r="CC208">
            <v>1</v>
          </cell>
          <cell r="CD208">
            <v>0.76400000000000001</v>
          </cell>
          <cell r="CE208">
            <v>0.76400000000000001</v>
          </cell>
          <cell r="CF208">
            <v>0.76400000000000001</v>
          </cell>
          <cell r="CG208">
            <v>0.76400000000000001</v>
          </cell>
          <cell r="CH208">
            <v>0.76400000000000001</v>
          </cell>
          <cell r="CI208">
            <v>0.76400000000000001</v>
          </cell>
          <cell r="CJ208">
            <v>1.264</v>
          </cell>
          <cell r="CK208">
            <v>1.264</v>
          </cell>
        </row>
        <row r="209">
          <cell r="BM209" t="str">
            <v>QC4</v>
          </cell>
          <cell r="BN209">
            <v>0.5</v>
          </cell>
          <cell r="BO209">
            <v>0</v>
          </cell>
          <cell r="BP209">
            <v>0.45</v>
          </cell>
          <cell r="BQ209">
            <v>0</v>
          </cell>
          <cell r="BR209">
            <v>-0.21</v>
          </cell>
          <cell r="BS209">
            <v>0</v>
          </cell>
          <cell r="BT209">
            <v>0.45</v>
          </cell>
          <cell r="BU209">
            <v>0</v>
          </cell>
          <cell r="BV209">
            <v>0.45</v>
          </cell>
          <cell r="BW209">
            <v>0</v>
          </cell>
          <cell r="BX209">
            <v>0.45</v>
          </cell>
          <cell r="BY209">
            <v>0</v>
          </cell>
          <cell r="BZ209">
            <v>0.5</v>
          </cell>
          <cell r="CA209">
            <v>0.5</v>
          </cell>
          <cell r="CB209">
            <v>0.95</v>
          </cell>
          <cell r="CC209">
            <v>0.95</v>
          </cell>
          <cell r="CD209">
            <v>0.74</v>
          </cell>
          <cell r="CE209">
            <v>0.74</v>
          </cell>
          <cell r="CF209">
            <v>1.19</v>
          </cell>
          <cell r="CG209">
            <v>1.19</v>
          </cell>
          <cell r="CH209">
            <v>1.64</v>
          </cell>
          <cell r="CI209">
            <v>1.64</v>
          </cell>
          <cell r="CJ209">
            <v>2.09</v>
          </cell>
          <cell r="CK209">
            <v>2.09</v>
          </cell>
        </row>
        <row r="210">
          <cell r="BM210" t="str">
            <v>QC5</v>
          </cell>
          <cell r="BN210">
            <v>1.5</v>
          </cell>
          <cell r="BO210">
            <v>0</v>
          </cell>
          <cell r="BP210">
            <v>0</v>
          </cell>
          <cell r="BQ210">
            <v>1.5</v>
          </cell>
          <cell r="BR210">
            <v>0</v>
          </cell>
          <cell r="BS210">
            <v>0</v>
          </cell>
          <cell r="BT210">
            <v>1.5</v>
          </cell>
          <cell r="BU210">
            <v>0</v>
          </cell>
          <cell r="BV210">
            <v>0</v>
          </cell>
          <cell r="BW210">
            <v>1.5</v>
          </cell>
          <cell r="BX210">
            <v>0</v>
          </cell>
          <cell r="BY210">
            <v>0</v>
          </cell>
          <cell r="BZ210">
            <v>1.5</v>
          </cell>
          <cell r="CA210">
            <v>1.5</v>
          </cell>
          <cell r="CB210">
            <v>1.5</v>
          </cell>
          <cell r="CC210">
            <v>3</v>
          </cell>
          <cell r="CD210">
            <v>3</v>
          </cell>
          <cell r="CE210">
            <v>3</v>
          </cell>
          <cell r="CF210">
            <v>4.5</v>
          </cell>
          <cell r="CG210">
            <v>4.5</v>
          </cell>
          <cell r="CH210">
            <v>4.5</v>
          </cell>
          <cell r="CI210">
            <v>6</v>
          </cell>
          <cell r="CJ210">
            <v>6</v>
          </cell>
          <cell r="CK210">
            <v>6</v>
          </cell>
        </row>
        <row r="211">
          <cell r="BM211" t="str">
            <v>QC6</v>
          </cell>
          <cell r="BN211">
            <v>0.5</v>
          </cell>
          <cell r="BO211">
            <v>0</v>
          </cell>
          <cell r="BP211">
            <v>0</v>
          </cell>
          <cell r="BQ211">
            <v>0</v>
          </cell>
          <cell r="BR211">
            <v>-0.26</v>
          </cell>
          <cell r="BS211">
            <v>0</v>
          </cell>
          <cell r="BT211">
            <v>0</v>
          </cell>
          <cell r="BU211">
            <v>0</v>
          </cell>
          <cell r="BV211">
            <v>0</v>
          </cell>
          <cell r="BW211">
            <v>0</v>
          </cell>
          <cell r="BX211">
            <v>0</v>
          </cell>
          <cell r="BY211">
            <v>0</v>
          </cell>
          <cell r="BZ211">
            <v>0.5</v>
          </cell>
          <cell r="CA211">
            <v>0.5</v>
          </cell>
          <cell r="CB211">
            <v>0.5</v>
          </cell>
          <cell r="CC211">
            <v>0.5</v>
          </cell>
          <cell r="CD211">
            <v>0.24</v>
          </cell>
          <cell r="CE211">
            <v>0.24</v>
          </cell>
          <cell r="CF211">
            <v>0.24</v>
          </cell>
          <cell r="CG211">
            <v>0.24</v>
          </cell>
          <cell r="CH211">
            <v>0.24</v>
          </cell>
          <cell r="CI211">
            <v>0.24</v>
          </cell>
          <cell r="CJ211">
            <v>0.24</v>
          </cell>
          <cell r="CK211">
            <v>0.24</v>
          </cell>
        </row>
        <row r="212">
          <cell r="BM212" t="str">
            <v>QC7</v>
          </cell>
          <cell r="BN212">
            <v>1</v>
          </cell>
          <cell r="BO212">
            <v>0</v>
          </cell>
          <cell r="BP212">
            <v>0</v>
          </cell>
          <cell r="BQ212">
            <v>0</v>
          </cell>
          <cell r="BR212">
            <v>0</v>
          </cell>
          <cell r="BS212">
            <v>0</v>
          </cell>
          <cell r="BT212">
            <v>0</v>
          </cell>
          <cell r="BU212">
            <v>0</v>
          </cell>
          <cell r="BV212">
            <v>0</v>
          </cell>
          <cell r="BW212">
            <v>0</v>
          </cell>
          <cell r="BX212">
            <v>0</v>
          </cell>
          <cell r="BY212">
            <v>0</v>
          </cell>
          <cell r="BZ212">
            <v>1</v>
          </cell>
          <cell r="CA212">
            <v>1</v>
          </cell>
          <cell r="CB212">
            <v>1</v>
          </cell>
          <cell r="CC212">
            <v>1</v>
          </cell>
          <cell r="CD212">
            <v>1</v>
          </cell>
          <cell r="CE212">
            <v>1</v>
          </cell>
          <cell r="CF212">
            <v>1</v>
          </cell>
          <cell r="CG212">
            <v>1</v>
          </cell>
          <cell r="CH212">
            <v>1</v>
          </cell>
          <cell r="CI212">
            <v>1</v>
          </cell>
          <cell r="CJ212">
            <v>1</v>
          </cell>
          <cell r="CK212">
            <v>1</v>
          </cell>
        </row>
        <row r="213">
          <cell r="BM213" t="str">
            <v>QC8</v>
          </cell>
          <cell r="BN213">
            <v>4</v>
          </cell>
          <cell r="BO213">
            <v>0</v>
          </cell>
          <cell r="BP213">
            <v>0</v>
          </cell>
          <cell r="BQ213">
            <v>0</v>
          </cell>
          <cell r="BR213">
            <v>0</v>
          </cell>
          <cell r="BS213">
            <v>0</v>
          </cell>
          <cell r="BT213">
            <v>0</v>
          </cell>
          <cell r="BU213">
            <v>0</v>
          </cell>
          <cell r="BV213">
            <v>0</v>
          </cell>
          <cell r="BW213">
            <v>0</v>
          </cell>
          <cell r="BX213">
            <v>0</v>
          </cell>
          <cell r="BY213">
            <v>0</v>
          </cell>
          <cell r="BZ213">
            <v>4</v>
          </cell>
          <cell r="CA213">
            <v>4</v>
          </cell>
          <cell r="CB213">
            <v>4</v>
          </cell>
          <cell r="CC213">
            <v>4</v>
          </cell>
          <cell r="CD213">
            <v>4</v>
          </cell>
          <cell r="CE213">
            <v>4</v>
          </cell>
          <cell r="CF213">
            <v>4</v>
          </cell>
          <cell r="CG213">
            <v>4</v>
          </cell>
          <cell r="CH213">
            <v>4</v>
          </cell>
          <cell r="CI213">
            <v>4</v>
          </cell>
          <cell r="CJ213">
            <v>4</v>
          </cell>
          <cell r="CK213">
            <v>4</v>
          </cell>
        </row>
        <row r="214">
          <cell r="BM214" t="str">
            <v>QC9</v>
          </cell>
          <cell r="BN214">
            <v>0.25</v>
          </cell>
          <cell r="BO214">
            <v>0.25</v>
          </cell>
          <cell r="BP214">
            <v>0.25</v>
          </cell>
          <cell r="BQ214">
            <v>0.25</v>
          </cell>
          <cell r="BR214">
            <v>-0.04</v>
          </cell>
          <cell r="BS214">
            <v>0.25</v>
          </cell>
          <cell r="BT214">
            <v>0.8</v>
          </cell>
          <cell r="BU214">
            <v>0.25</v>
          </cell>
          <cell r="BV214">
            <v>0.25</v>
          </cell>
          <cell r="BW214">
            <v>0.25</v>
          </cell>
          <cell r="BX214">
            <v>0.25</v>
          </cell>
          <cell r="BY214">
            <v>0</v>
          </cell>
          <cell r="BZ214">
            <v>0.25</v>
          </cell>
          <cell r="CA214">
            <v>0.5</v>
          </cell>
          <cell r="CB214">
            <v>0.75</v>
          </cell>
          <cell r="CC214">
            <v>1</v>
          </cell>
          <cell r="CD214">
            <v>0.96</v>
          </cell>
          <cell r="CE214">
            <v>1.21</v>
          </cell>
          <cell r="CF214">
            <v>2.0099999999999998</v>
          </cell>
          <cell r="CG214">
            <v>2.2599999999999998</v>
          </cell>
          <cell r="CH214">
            <v>2.5099999999999998</v>
          </cell>
          <cell r="CI214">
            <v>2.76</v>
          </cell>
          <cell r="CJ214">
            <v>3.01</v>
          </cell>
          <cell r="CK214">
            <v>3.01</v>
          </cell>
        </row>
        <row r="215">
          <cell r="BM215" t="str">
            <v>QC10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row>
        <row r="216">
          <cell r="BM216" t="str">
            <v>QC11</v>
          </cell>
          <cell r="BN216">
            <v>1</v>
          </cell>
          <cell r="BO216">
            <v>1</v>
          </cell>
          <cell r="BP216">
            <v>1</v>
          </cell>
          <cell r="BQ216">
            <v>18</v>
          </cell>
          <cell r="BR216">
            <v>-15.715</v>
          </cell>
          <cell r="BS216">
            <v>0</v>
          </cell>
          <cell r="BT216">
            <v>0</v>
          </cell>
          <cell r="BU216">
            <v>0</v>
          </cell>
          <cell r="BV216">
            <v>0</v>
          </cell>
          <cell r="BW216">
            <v>0</v>
          </cell>
          <cell r="BX216">
            <v>0</v>
          </cell>
          <cell r="BY216">
            <v>0</v>
          </cell>
          <cell r="BZ216">
            <v>1</v>
          </cell>
          <cell r="CA216">
            <v>2</v>
          </cell>
          <cell r="CB216">
            <v>3</v>
          </cell>
          <cell r="CC216">
            <v>21</v>
          </cell>
          <cell r="CD216">
            <v>5.2850000000000001</v>
          </cell>
          <cell r="CE216">
            <v>5.2850000000000001</v>
          </cell>
          <cell r="CF216">
            <v>5.2850000000000001</v>
          </cell>
          <cell r="CG216">
            <v>5.2850000000000001</v>
          </cell>
          <cell r="CH216">
            <v>5.2850000000000001</v>
          </cell>
          <cell r="CI216">
            <v>5.2850000000000001</v>
          </cell>
          <cell r="CJ216">
            <v>5.2850000000000001</v>
          </cell>
          <cell r="CK216">
            <v>5.2850000000000001</v>
          </cell>
        </row>
        <row r="217">
          <cell r="BM217" t="str">
            <v>QC12</v>
          </cell>
          <cell r="BN217">
            <v>0.5</v>
          </cell>
          <cell r="BO217">
            <v>0</v>
          </cell>
          <cell r="BP217">
            <v>0</v>
          </cell>
          <cell r="BQ217">
            <v>0</v>
          </cell>
          <cell r="BR217">
            <v>-1.14E-2</v>
          </cell>
          <cell r="BS217">
            <v>0</v>
          </cell>
          <cell r="BT217">
            <v>0</v>
          </cell>
          <cell r="BU217">
            <v>0</v>
          </cell>
          <cell r="BV217">
            <v>0</v>
          </cell>
          <cell r="BW217">
            <v>0</v>
          </cell>
          <cell r="BX217">
            <v>0</v>
          </cell>
          <cell r="BY217">
            <v>0</v>
          </cell>
          <cell r="BZ217">
            <v>0.5</v>
          </cell>
          <cell r="CA217">
            <v>0.5</v>
          </cell>
          <cell r="CB217">
            <v>0.5</v>
          </cell>
          <cell r="CC217">
            <v>0.5</v>
          </cell>
          <cell r="CD217">
            <v>0.48859999999999998</v>
          </cell>
          <cell r="CE217">
            <v>0.48859999999999998</v>
          </cell>
          <cell r="CF217">
            <v>0.48859999999999998</v>
          </cell>
          <cell r="CG217">
            <v>0.48859999999999998</v>
          </cell>
          <cell r="CH217">
            <v>0.48859999999999998</v>
          </cell>
          <cell r="CI217">
            <v>0.48859999999999998</v>
          </cell>
          <cell r="CJ217">
            <v>0.48859999999999998</v>
          </cell>
          <cell r="CK217">
            <v>0.48859999999999998</v>
          </cell>
        </row>
        <row r="218">
          <cell r="BM218" t="str">
            <v>QC13</v>
          </cell>
          <cell r="BN218">
            <v>0.3</v>
          </cell>
          <cell r="BO218">
            <v>0</v>
          </cell>
          <cell r="BP218">
            <v>0.3</v>
          </cell>
          <cell r="BQ218">
            <v>0</v>
          </cell>
          <cell r="BR218">
            <v>-0.04</v>
          </cell>
          <cell r="BS218">
            <v>0</v>
          </cell>
          <cell r="BT218">
            <v>0.04</v>
          </cell>
          <cell r="BU218">
            <v>0</v>
          </cell>
          <cell r="BV218">
            <v>0.30000000000000004</v>
          </cell>
          <cell r="BW218">
            <v>0</v>
          </cell>
          <cell r="BX218">
            <v>0.3</v>
          </cell>
          <cell r="BY218">
            <v>0</v>
          </cell>
          <cell r="BZ218">
            <v>0.3</v>
          </cell>
          <cell r="CA218">
            <v>0.3</v>
          </cell>
          <cell r="CB218">
            <v>0.6</v>
          </cell>
          <cell r="CC218">
            <v>0.6</v>
          </cell>
          <cell r="CD218">
            <v>0.55999999999999994</v>
          </cell>
          <cell r="CE218">
            <v>0.55999999999999994</v>
          </cell>
          <cell r="CF218">
            <v>0.6</v>
          </cell>
          <cell r="CG218">
            <v>0.6</v>
          </cell>
          <cell r="CH218">
            <v>0.9</v>
          </cell>
          <cell r="CI218">
            <v>0.9</v>
          </cell>
          <cell r="CJ218">
            <v>1.2</v>
          </cell>
          <cell r="CK218">
            <v>1.2</v>
          </cell>
        </row>
        <row r="219">
          <cell r="BM219" t="str">
            <v>QC14</v>
          </cell>
          <cell r="BN219">
            <v>0.5</v>
          </cell>
          <cell r="BO219">
            <v>0</v>
          </cell>
          <cell r="BP219">
            <v>0</v>
          </cell>
          <cell r="BQ219">
            <v>0</v>
          </cell>
          <cell r="BR219">
            <v>0</v>
          </cell>
          <cell r="BS219">
            <v>0</v>
          </cell>
          <cell r="BT219">
            <v>0</v>
          </cell>
          <cell r="BU219">
            <v>0</v>
          </cell>
          <cell r="BV219">
            <v>0</v>
          </cell>
          <cell r="BW219">
            <v>0</v>
          </cell>
          <cell r="BX219">
            <v>0</v>
          </cell>
          <cell r="BY219">
            <v>0</v>
          </cell>
          <cell r="BZ219">
            <v>0.5</v>
          </cell>
          <cell r="CA219">
            <v>0.5</v>
          </cell>
          <cell r="CB219">
            <v>0.5</v>
          </cell>
          <cell r="CC219">
            <v>0.5</v>
          </cell>
          <cell r="CD219">
            <v>0.5</v>
          </cell>
          <cell r="CE219">
            <v>0.5</v>
          </cell>
          <cell r="CF219">
            <v>0.5</v>
          </cell>
          <cell r="CG219">
            <v>0.5</v>
          </cell>
          <cell r="CH219">
            <v>0.5</v>
          </cell>
          <cell r="CI219">
            <v>0.5</v>
          </cell>
          <cell r="CJ219">
            <v>0.5</v>
          </cell>
          <cell r="CK219">
            <v>0.5</v>
          </cell>
        </row>
        <row r="220">
          <cell r="BM220" t="str">
            <v>QC15</v>
          </cell>
          <cell r="BN220">
            <v>1.5</v>
          </cell>
          <cell r="BO220">
            <v>0</v>
          </cell>
          <cell r="BP220">
            <v>0</v>
          </cell>
          <cell r="BQ220">
            <v>0</v>
          </cell>
          <cell r="BR220">
            <v>0</v>
          </cell>
          <cell r="BS220">
            <v>0</v>
          </cell>
          <cell r="BT220">
            <v>0</v>
          </cell>
          <cell r="BU220">
            <v>0</v>
          </cell>
          <cell r="BV220">
            <v>0</v>
          </cell>
          <cell r="BW220">
            <v>0</v>
          </cell>
          <cell r="BX220">
            <v>0</v>
          </cell>
          <cell r="BY220">
            <v>0</v>
          </cell>
          <cell r="BZ220">
            <v>1.5</v>
          </cell>
          <cell r="CA220">
            <v>1.5</v>
          </cell>
          <cell r="CB220">
            <v>1.5</v>
          </cell>
          <cell r="CC220">
            <v>1.5</v>
          </cell>
          <cell r="CD220">
            <v>1.5</v>
          </cell>
          <cell r="CE220">
            <v>1.5</v>
          </cell>
          <cell r="CF220">
            <v>1.5</v>
          </cell>
          <cell r="CG220">
            <v>1.5</v>
          </cell>
          <cell r="CH220">
            <v>1.5</v>
          </cell>
          <cell r="CI220">
            <v>1.5</v>
          </cell>
          <cell r="CJ220">
            <v>1.5</v>
          </cell>
          <cell r="CK220">
            <v>1.5</v>
          </cell>
        </row>
        <row r="221">
          <cell r="BM221" t="str">
            <v>QC16</v>
          </cell>
          <cell r="BN221">
            <v>0.04</v>
          </cell>
          <cell r="BO221">
            <v>0.04</v>
          </cell>
          <cell r="BP221">
            <v>0.04</v>
          </cell>
          <cell r="BQ221">
            <v>0.04</v>
          </cell>
          <cell r="BR221">
            <v>0.04</v>
          </cell>
          <cell r="BS221">
            <v>0.04</v>
          </cell>
          <cell r="BT221">
            <v>0</v>
          </cell>
          <cell r="BU221">
            <v>0.04</v>
          </cell>
          <cell r="BV221">
            <v>0.04</v>
          </cell>
          <cell r="BW221">
            <v>0.04</v>
          </cell>
          <cell r="BX221">
            <v>0.04</v>
          </cell>
          <cell r="BY221">
            <v>-0.04</v>
          </cell>
          <cell r="BZ221">
            <v>0.04</v>
          </cell>
          <cell r="CA221">
            <v>0.08</v>
          </cell>
          <cell r="CB221">
            <v>0.12</v>
          </cell>
          <cell r="CC221">
            <v>0.16</v>
          </cell>
          <cell r="CD221">
            <v>0.2</v>
          </cell>
          <cell r="CE221">
            <v>0.24000000000000002</v>
          </cell>
          <cell r="CF221">
            <v>0.24000000000000002</v>
          </cell>
          <cell r="CG221">
            <v>0.28000000000000003</v>
          </cell>
          <cell r="CH221">
            <v>0.32</v>
          </cell>
          <cell r="CI221">
            <v>0.36</v>
          </cell>
          <cell r="CJ221">
            <v>0.39999999999999997</v>
          </cell>
          <cell r="CK221">
            <v>0.36</v>
          </cell>
        </row>
        <row r="222">
          <cell r="BM222" t="str">
            <v>F1</v>
          </cell>
          <cell r="BN222">
            <v>0.02</v>
          </cell>
          <cell r="BO222">
            <v>0.02</v>
          </cell>
          <cell r="BP222">
            <v>0.02</v>
          </cell>
          <cell r="BQ222">
            <v>0.02</v>
          </cell>
          <cell r="BR222">
            <v>7.0000000000000001E-3</v>
          </cell>
          <cell r="BS222">
            <v>0.02</v>
          </cell>
          <cell r="BT222">
            <v>0.02</v>
          </cell>
          <cell r="BU222">
            <v>0.02</v>
          </cell>
          <cell r="BV222">
            <v>0</v>
          </cell>
          <cell r="BW222">
            <v>0.02</v>
          </cell>
          <cell r="BX222">
            <v>0.02</v>
          </cell>
          <cell r="BY222">
            <v>-0.05</v>
          </cell>
          <cell r="BZ222">
            <v>0.02</v>
          </cell>
          <cell r="CA222">
            <v>0.04</v>
          </cell>
          <cell r="CB222">
            <v>0.06</v>
          </cell>
          <cell r="CC222">
            <v>0.08</v>
          </cell>
          <cell r="CD222">
            <v>8.7000000000000008E-2</v>
          </cell>
          <cell r="CE222">
            <v>0.10700000000000001</v>
          </cell>
          <cell r="CF222">
            <v>0.127</v>
          </cell>
          <cell r="CG222">
            <v>0.14699999999999999</v>
          </cell>
          <cell r="CH222">
            <v>0.14699999999999999</v>
          </cell>
          <cell r="CI222">
            <v>0.16699999999999998</v>
          </cell>
          <cell r="CJ222">
            <v>0.18699999999999997</v>
          </cell>
          <cell r="CK222">
            <v>0.13699999999999996</v>
          </cell>
        </row>
        <row r="223">
          <cell r="BM223" t="str">
            <v>F2</v>
          </cell>
          <cell r="BN223">
            <v>0.25</v>
          </cell>
          <cell r="BO223">
            <v>0.25</v>
          </cell>
          <cell r="BP223">
            <v>0.25</v>
          </cell>
          <cell r="BQ223">
            <v>0.25</v>
          </cell>
          <cell r="BR223">
            <v>-9.8000000000000004E-2</v>
          </cell>
          <cell r="BS223">
            <v>0.25</v>
          </cell>
          <cell r="BT223">
            <v>0.23</v>
          </cell>
          <cell r="BU223">
            <v>0.25</v>
          </cell>
          <cell r="BV223">
            <v>0.25</v>
          </cell>
          <cell r="BW223">
            <v>0.19</v>
          </cell>
          <cell r="BX223">
            <v>0.25</v>
          </cell>
          <cell r="BY223">
            <v>-0.28999999999999998</v>
          </cell>
          <cell r="BZ223">
            <v>0.25</v>
          </cell>
          <cell r="CA223">
            <v>0.5</v>
          </cell>
          <cell r="CB223">
            <v>0.75</v>
          </cell>
          <cell r="CC223">
            <v>1</v>
          </cell>
          <cell r="CD223">
            <v>0.90200000000000002</v>
          </cell>
          <cell r="CE223">
            <v>1.1520000000000001</v>
          </cell>
          <cell r="CF223">
            <v>1.3820000000000001</v>
          </cell>
          <cell r="CG223">
            <v>1.6320000000000001</v>
          </cell>
          <cell r="CH223">
            <v>1.8820000000000001</v>
          </cell>
          <cell r="CI223">
            <v>2.0720000000000001</v>
          </cell>
          <cell r="CJ223">
            <v>2.3220000000000001</v>
          </cell>
          <cell r="CK223">
            <v>2.032</v>
          </cell>
        </row>
        <row r="224">
          <cell r="BM224" t="str">
            <v>F3</v>
          </cell>
          <cell r="BN224">
            <v>0.03</v>
          </cell>
          <cell r="BO224">
            <v>0.02</v>
          </cell>
          <cell r="BP224">
            <v>0.02</v>
          </cell>
          <cell r="BQ224">
            <v>0.02</v>
          </cell>
          <cell r="BR224">
            <v>-4.8000000000000001E-2</v>
          </cell>
          <cell r="BS224">
            <v>0.02</v>
          </cell>
          <cell r="BT224">
            <v>0.02</v>
          </cell>
          <cell r="BU224">
            <v>0.02</v>
          </cell>
          <cell r="BV224">
            <v>0.02</v>
          </cell>
          <cell r="BW224">
            <v>0</v>
          </cell>
          <cell r="BX224">
            <v>0.02</v>
          </cell>
          <cell r="BY224">
            <v>0.01</v>
          </cell>
          <cell r="BZ224">
            <v>0.03</v>
          </cell>
          <cell r="CA224">
            <v>0.05</v>
          </cell>
          <cell r="CB224">
            <v>7.0000000000000007E-2</v>
          </cell>
          <cell r="CC224">
            <v>9.0000000000000011E-2</v>
          </cell>
          <cell r="CD224">
            <v>4.200000000000001E-2</v>
          </cell>
          <cell r="CE224">
            <v>6.2000000000000013E-2</v>
          </cell>
          <cell r="CF224">
            <v>8.2000000000000017E-2</v>
          </cell>
          <cell r="CG224">
            <v>0.10200000000000002</v>
          </cell>
          <cell r="CH224">
            <v>0.12200000000000003</v>
          </cell>
          <cell r="CI224">
            <v>0.12200000000000003</v>
          </cell>
          <cell r="CJ224">
            <v>0.14200000000000002</v>
          </cell>
          <cell r="CK224">
            <v>0.15200000000000002</v>
          </cell>
        </row>
        <row r="225">
          <cell r="BM225" t="str">
            <v>S1</v>
          </cell>
          <cell r="BN225">
            <v>0.25</v>
          </cell>
          <cell r="BO225">
            <v>0</v>
          </cell>
          <cell r="BP225">
            <v>0</v>
          </cell>
          <cell r="BQ225">
            <v>0</v>
          </cell>
          <cell r="BR225">
            <v>0</v>
          </cell>
          <cell r="BS225">
            <v>0</v>
          </cell>
          <cell r="BT225">
            <v>0</v>
          </cell>
          <cell r="BU225">
            <v>0</v>
          </cell>
          <cell r="BV225">
            <v>0</v>
          </cell>
          <cell r="BW225">
            <v>0</v>
          </cell>
          <cell r="BX225">
            <v>0</v>
          </cell>
          <cell r="BY225">
            <v>0</v>
          </cell>
          <cell r="BZ225">
            <v>0.25</v>
          </cell>
          <cell r="CA225">
            <v>0.25</v>
          </cell>
          <cell r="CB225">
            <v>0.25</v>
          </cell>
          <cell r="CC225">
            <v>0.25</v>
          </cell>
          <cell r="CD225">
            <v>0.25</v>
          </cell>
          <cell r="CE225">
            <v>0.25</v>
          </cell>
          <cell r="CF225">
            <v>0.25</v>
          </cell>
          <cell r="CG225">
            <v>0.25</v>
          </cell>
          <cell r="CH225">
            <v>0.25</v>
          </cell>
          <cell r="CI225">
            <v>0.25</v>
          </cell>
          <cell r="CJ225">
            <v>0.25</v>
          </cell>
          <cell r="CK225">
            <v>0.25</v>
          </cell>
        </row>
        <row r="226">
          <cell r="BM226" t="str">
            <v>S2</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row>
        <row r="227">
          <cell r="BM227" t="str">
            <v>S3</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row>
        <row r="228">
          <cell r="BM228" t="str">
            <v>S4</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row>
        <row r="229">
          <cell r="BM229" t="str">
            <v>S5</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row>
        <row r="230">
          <cell r="BM230" t="str">
            <v>S6</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row>
        <row r="231">
          <cell r="BM231" t="str">
            <v>IT1</v>
          </cell>
          <cell r="BN231">
            <v>2</v>
          </cell>
          <cell r="BO231">
            <v>0</v>
          </cell>
          <cell r="BP231">
            <v>0</v>
          </cell>
          <cell r="BQ231">
            <v>0</v>
          </cell>
          <cell r="BR231">
            <v>0</v>
          </cell>
          <cell r="BS231">
            <v>0</v>
          </cell>
          <cell r="BT231">
            <v>0</v>
          </cell>
          <cell r="BU231">
            <v>0</v>
          </cell>
          <cell r="BV231">
            <v>0</v>
          </cell>
          <cell r="BW231">
            <v>0</v>
          </cell>
          <cell r="BX231">
            <v>0</v>
          </cell>
          <cell r="BY231">
            <v>0</v>
          </cell>
          <cell r="BZ231">
            <v>2</v>
          </cell>
          <cell r="CA231">
            <v>2</v>
          </cell>
          <cell r="CB231">
            <v>2</v>
          </cell>
          <cell r="CC231">
            <v>2</v>
          </cell>
          <cell r="CD231">
            <v>2</v>
          </cell>
          <cell r="CE231">
            <v>2</v>
          </cell>
          <cell r="CF231">
            <v>2</v>
          </cell>
          <cell r="CG231">
            <v>2</v>
          </cell>
          <cell r="CH231">
            <v>2</v>
          </cell>
          <cell r="CI231">
            <v>2</v>
          </cell>
          <cell r="CJ231">
            <v>2</v>
          </cell>
          <cell r="CK231">
            <v>2</v>
          </cell>
        </row>
        <row r="232">
          <cell r="BM232" t="str">
            <v>IT2</v>
          </cell>
          <cell r="BN232">
            <v>1</v>
          </cell>
          <cell r="BO232">
            <v>1</v>
          </cell>
          <cell r="BP232">
            <v>1</v>
          </cell>
          <cell r="BQ232">
            <v>15</v>
          </cell>
          <cell r="BR232">
            <v>0</v>
          </cell>
          <cell r="BS232">
            <v>0</v>
          </cell>
          <cell r="BT232">
            <v>0</v>
          </cell>
          <cell r="BU232">
            <v>0</v>
          </cell>
          <cell r="BV232">
            <v>0</v>
          </cell>
          <cell r="BW232">
            <v>0</v>
          </cell>
          <cell r="BX232">
            <v>0</v>
          </cell>
          <cell r="BY232">
            <v>0</v>
          </cell>
          <cell r="BZ232">
            <v>1</v>
          </cell>
          <cell r="CA232">
            <v>2</v>
          </cell>
          <cell r="CB232">
            <v>3</v>
          </cell>
          <cell r="CC232">
            <v>18</v>
          </cell>
          <cell r="CD232">
            <v>18</v>
          </cell>
          <cell r="CE232">
            <v>18</v>
          </cell>
          <cell r="CF232">
            <v>18</v>
          </cell>
          <cell r="CG232">
            <v>18</v>
          </cell>
          <cell r="CH232">
            <v>18</v>
          </cell>
          <cell r="CI232">
            <v>18</v>
          </cell>
          <cell r="CJ232">
            <v>18</v>
          </cell>
          <cell r="CK232">
            <v>18</v>
          </cell>
        </row>
        <row r="233">
          <cell r="BM233" t="str">
            <v>IT3</v>
          </cell>
          <cell r="BN233">
            <v>0.2</v>
          </cell>
          <cell r="BO233">
            <v>0.2</v>
          </cell>
          <cell r="BP233">
            <v>0.2</v>
          </cell>
          <cell r="BQ233">
            <v>0.2</v>
          </cell>
          <cell r="BR233">
            <v>0.2</v>
          </cell>
          <cell r="BS233">
            <v>0.2</v>
          </cell>
          <cell r="BT233">
            <v>0.13</v>
          </cell>
          <cell r="BU233">
            <v>0.2</v>
          </cell>
          <cell r="BV233">
            <v>0.18</v>
          </cell>
          <cell r="BW233">
            <v>0.02</v>
          </cell>
          <cell r="BX233">
            <v>0.2</v>
          </cell>
          <cell r="BY233">
            <v>0.15</v>
          </cell>
          <cell r="BZ233">
            <v>0.2</v>
          </cell>
          <cell r="CA233">
            <v>0.4</v>
          </cell>
          <cell r="CB233">
            <v>0.60000000000000009</v>
          </cell>
          <cell r="CC233">
            <v>0.8</v>
          </cell>
          <cell r="CD233">
            <v>1</v>
          </cell>
          <cell r="CE233">
            <v>1.2</v>
          </cell>
          <cell r="CF233">
            <v>1.33</v>
          </cell>
          <cell r="CG233">
            <v>1.53</v>
          </cell>
          <cell r="CH233">
            <v>1.71</v>
          </cell>
          <cell r="CI233">
            <v>1.73</v>
          </cell>
          <cell r="CJ233">
            <v>1.93</v>
          </cell>
          <cell r="CK233">
            <v>2.08</v>
          </cell>
        </row>
        <row r="234">
          <cell r="BM234" t="str">
            <v>WH1</v>
          </cell>
          <cell r="BN234">
            <v>0.04</v>
          </cell>
          <cell r="BO234">
            <v>0.04</v>
          </cell>
          <cell r="BP234">
            <v>0.04</v>
          </cell>
          <cell r="BQ234">
            <v>0.04</v>
          </cell>
          <cell r="BR234">
            <v>-3.5999999999999997E-2</v>
          </cell>
          <cell r="BS234">
            <v>0.06</v>
          </cell>
          <cell r="BT234">
            <v>0.01</v>
          </cell>
          <cell r="BU234">
            <v>0.04</v>
          </cell>
          <cell r="BV234">
            <v>0.04</v>
          </cell>
          <cell r="BW234">
            <v>0.04</v>
          </cell>
          <cell r="BX234">
            <v>0.04</v>
          </cell>
          <cell r="BY234">
            <v>-0.04</v>
          </cell>
          <cell r="BZ234">
            <v>0.04</v>
          </cell>
          <cell r="CA234">
            <v>0.08</v>
          </cell>
          <cell r="CB234">
            <v>0.12</v>
          </cell>
          <cell r="CC234">
            <v>0.16</v>
          </cell>
          <cell r="CD234">
            <v>0.124</v>
          </cell>
          <cell r="CE234">
            <v>0.184</v>
          </cell>
          <cell r="CF234">
            <v>0.19400000000000001</v>
          </cell>
          <cell r="CG234">
            <v>0.23400000000000001</v>
          </cell>
          <cell r="CH234">
            <v>0.27400000000000002</v>
          </cell>
          <cell r="CI234">
            <v>0.314</v>
          </cell>
          <cell r="CJ234">
            <v>0.35399999999999998</v>
          </cell>
          <cell r="CK234">
            <v>0.314</v>
          </cell>
        </row>
        <row r="235">
          <cell r="BM235" t="str">
            <v>WH2</v>
          </cell>
          <cell r="BN235">
            <v>0.17</v>
          </cell>
          <cell r="BO235">
            <v>0.17</v>
          </cell>
          <cell r="BP235">
            <v>-3.999999999999998E-2</v>
          </cell>
          <cell r="BQ235">
            <v>0.17</v>
          </cell>
          <cell r="BR235">
            <v>-0.313</v>
          </cell>
          <cell r="BS235">
            <v>3.1E-2</v>
          </cell>
          <cell r="BT235">
            <v>0.15</v>
          </cell>
          <cell r="BU235">
            <v>0.17</v>
          </cell>
          <cell r="BV235">
            <v>0.14000000000000001</v>
          </cell>
          <cell r="BW235">
            <v>0.08</v>
          </cell>
          <cell r="BX235">
            <v>0</v>
          </cell>
          <cell r="BY235">
            <v>-0.01</v>
          </cell>
          <cell r="BZ235">
            <v>0.17</v>
          </cell>
          <cell r="CA235">
            <v>0.34</v>
          </cell>
          <cell r="CB235">
            <v>0.30000000000000004</v>
          </cell>
          <cell r="CC235">
            <v>0.47000000000000008</v>
          </cell>
          <cell r="CD235">
            <v>0.15700000000000008</v>
          </cell>
          <cell r="CE235">
            <v>0.18800000000000008</v>
          </cell>
          <cell r="CF235">
            <v>0.33800000000000008</v>
          </cell>
          <cell r="CG235">
            <v>0.50800000000000012</v>
          </cell>
          <cell r="CH235">
            <v>0.64800000000000013</v>
          </cell>
          <cell r="CI235">
            <v>0.72800000000000009</v>
          </cell>
          <cell r="CJ235">
            <v>0.72800000000000009</v>
          </cell>
          <cell r="CK235">
            <v>0.71800000000000008</v>
          </cell>
        </row>
        <row r="236">
          <cell r="BM236" t="str">
            <v>BR1</v>
          </cell>
          <cell r="BN236">
            <v>0.24</v>
          </cell>
          <cell r="BO236">
            <v>0</v>
          </cell>
          <cell r="BP236">
            <v>0</v>
          </cell>
          <cell r="BQ236">
            <v>0</v>
          </cell>
          <cell r="BR236">
            <v>0</v>
          </cell>
          <cell r="BS236">
            <v>0</v>
          </cell>
          <cell r="BT236">
            <v>0</v>
          </cell>
          <cell r="BU236">
            <v>0</v>
          </cell>
          <cell r="BV236">
            <v>0</v>
          </cell>
          <cell r="BW236">
            <v>0</v>
          </cell>
          <cell r="BX236">
            <v>0</v>
          </cell>
          <cell r="BY236">
            <v>0</v>
          </cell>
          <cell r="BZ236">
            <v>0.24</v>
          </cell>
          <cell r="CA236">
            <v>0.24</v>
          </cell>
          <cell r="CB236">
            <v>0.24</v>
          </cell>
          <cell r="CC236">
            <v>0.24</v>
          </cell>
          <cell r="CD236">
            <v>0.24</v>
          </cell>
          <cell r="CE236">
            <v>0.24</v>
          </cell>
          <cell r="CF236">
            <v>0.24</v>
          </cell>
          <cell r="CG236">
            <v>0.24</v>
          </cell>
          <cell r="CH236">
            <v>0.24</v>
          </cell>
          <cell r="CI236">
            <v>0.24</v>
          </cell>
          <cell r="CJ236">
            <v>0.24</v>
          </cell>
          <cell r="CK236">
            <v>0.24</v>
          </cell>
        </row>
        <row r="237">
          <cell r="BM237" t="str">
            <v>BR2</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row>
        <row r="238">
          <cell r="BM238" t="str">
            <v>BR3</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row>
        <row r="239">
          <cell r="BM239" t="str">
            <v>BR4</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row>
        <row r="240">
          <cell r="BM240" t="str">
            <v>PHR1</v>
          </cell>
          <cell r="BN240">
            <v>6</v>
          </cell>
          <cell r="BO240">
            <v>7.5</v>
          </cell>
          <cell r="BP240">
            <v>0.87999999999999989</v>
          </cell>
          <cell r="BQ240">
            <v>5.65</v>
          </cell>
          <cell r="BR240">
            <v>4.28</v>
          </cell>
          <cell r="BS240">
            <v>2</v>
          </cell>
          <cell r="BT240">
            <v>3.75</v>
          </cell>
          <cell r="BU240">
            <v>0.89</v>
          </cell>
          <cell r="BV240">
            <v>3.25</v>
          </cell>
          <cell r="BW240">
            <v>5.0999999999999996</v>
          </cell>
          <cell r="BX240">
            <v>3.71</v>
          </cell>
          <cell r="BY240">
            <v>4.21</v>
          </cell>
          <cell r="BZ240">
            <v>6</v>
          </cell>
          <cell r="CA240">
            <v>13.5</v>
          </cell>
          <cell r="CB240">
            <v>14.379999999999999</v>
          </cell>
          <cell r="CC240">
            <v>20.03</v>
          </cell>
          <cell r="CD240">
            <v>24.310000000000002</v>
          </cell>
          <cell r="CE240">
            <v>26.310000000000002</v>
          </cell>
          <cell r="CF240">
            <v>30.060000000000002</v>
          </cell>
          <cell r="CG240">
            <v>30.950000000000003</v>
          </cell>
          <cell r="CH240">
            <v>34.200000000000003</v>
          </cell>
          <cell r="CI240">
            <v>39.300000000000004</v>
          </cell>
          <cell r="CJ240">
            <v>43.010000000000005</v>
          </cell>
          <cell r="CK240">
            <v>47.220000000000006</v>
          </cell>
        </row>
        <row r="241">
          <cell r="BM241" t="str">
            <v>PHR2</v>
          </cell>
          <cell r="BN241">
            <v>0</v>
          </cell>
          <cell r="BO241">
            <v>0</v>
          </cell>
          <cell r="BP241">
            <v>0.05</v>
          </cell>
          <cell r="BQ241">
            <v>0</v>
          </cell>
          <cell r="BR241">
            <v>-0.01</v>
          </cell>
          <cell r="BS241">
            <v>0</v>
          </cell>
          <cell r="BT241">
            <v>0</v>
          </cell>
          <cell r="BU241">
            <v>0</v>
          </cell>
          <cell r="BV241">
            <v>0</v>
          </cell>
          <cell r="BW241">
            <v>0</v>
          </cell>
          <cell r="BX241">
            <v>0</v>
          </cell>
          <cell r="BY241">
            <v>0</v>
          </cell>
          <cell r="BZ241">
            <v>0</v>
          </cell>
          <cell r="CA241">
            <v>0</v>
          </cell>
          <cell r="CB241">
            <v>0.05</v>
          </cell>
          <cell r="CC241">
            <v>0.05</v>
          </cell>
          <cell r="CD241">
            <v>0.04</v>
          </cell>
          <cell r="CE241">
            <v>0.04</v>
          </cell>
          <cell r="CF241">
            <v>0.04</v>
          </cell>
          <cell r="CG241">
            <v>0.04</v>
          </cell>
          <cell r="CH241">
            <v>0.04</v>
          </cell>
          <cell r="CI241">
            <v>0.04</v>
          </cell>
          <cell r="CJ241">
            <v>0.04</v>
          </cell>
          <cell r="CK241">
            <v>0.04</v>
          </cell>
        </row>
        <row r="242">
          <cell r="BM242" t="str">
            <v>PHR3</v>
          </cell>
          <cell r="BN242">
            <v>0.15</v>
          </cell>
          <cell r="BO242">
            <v>0.15</v>
          </cell>
          <cell r="BP242">
            <v>0.15</v>
          </cell>
          <cell r="BQ242">
            <v>0.15</v>
          </cell>
          <cell r="BR242">
            <v>0.15</v>
          </cell>
          <cell r="BS242">
            <v>0.15</v>
          </cell>
          <cell r="BT242">
            <v>0.16</v>
          </cell>
          <cell r="BU242">
            <v>0.15</v>
          </cell>
          <cell r="BV242">
            <v>0.15</v>
          </cell>
          <cell r="BW242">
            <v>0.15</v>
          </cell>
          <cell r="BX242">
            <v>0.15</v>
          </cell>
          <cell r="BY242">
            <v>0.15</v>
          </cell>
          <cell r="BZ242">
            <v>0.15</v>
          </cell>
          <cell r="CA242">
            <v>0.3</v>
          </cell>
          <cell r="CB242">
            <v>0.44999999999999996</v>
          </cell>
          <cell r="CC242">
            <v>0.6</v>
          </cell>
          <cell r="CD242">
            <v>0.75</v>
          </cell>
          <cell r="CE242">
            <v>0.9</v>
          </cell>
          <cell r="CF242">
            <v>1.06</v>
          </cell>
          <cell r="CG242">
            <v>1.21</v>
          </cell>
          <cell r="CH242">
            <v>1.3599999999999999</v>
          </cell>
          <cell r="CI242">
            <v>1.5099999999999998</v>
          </cell>
          <cell r="CJ242">
            <v>1.6599999999999997</v>
          </cell>
          <cell r="CK242">
            <v>1.8099999999999996</v>
          </cell>
        </row>
        <row r="243">
          <cell r="BM243" t="str">
            <v>PHR4</v>
          </cell>
          <cell r="BN243">
            <v>1</v>
          </cell>
          <cell r="BO243">
            <v>1</v>
          </cell>
          <cell r="BP243">
            <v>1</v>
          </cell>
          <cell r="BQ243">
            <v>1</v>
          </cell>
          <cell r="BR243">
            <v>0.39</v>
          </cell>
          <cell r="BS243">
            <v>0.69</v>
          </cell>
          <cell r="BT243">
            <v>1</v>
          </cell>
          <cell r="BU243">
            <v>1</v>
          </cell>
          <cell r="BV243">
            <v>0.8</v>
          </cell>
          <cell r="BW243">
            <v>0.67</v>
          </cell>
          <cell r="BX243">
            <v>0.95</v>
          </cell>
          <cell r="BY243">
            <v>1</v>
          </cell>
          <cell r="BZ243">
            <v>1</v>
          </cell>
          <cell r="CA243">
            <v>2</v>
          </cell>
          <cell r="CB243">
            <v>3</v>
          </cell>
          <cell r="CC243">
            <v>4</v>
          </cell>
          <cell r="CD243">
            <v>4.3899999999999997</v>
          </cell>
          <cell r="CE243">
            <v>5.08</v>
          </cell>
          <cell r="CF243">
            <v>6.08</v>
          </cell>
          <cell r="CG243">
            <v>7.08</v>
          </cell>
          <cell r="CH243">
            <v>7.88</v>
          </cell>
          <cell r="CI243">
            <v>8.5500000000000007</v>
          </cell>
          <cell r="CJ243">
            <v>9.5</v>
          </cell>
          <cell r="CK243">
            <v>10.5</v>
          </cell>
        </row>
        <row r="244">
          <cell r="BM244" t="str">
            <v>PHR5</v>
          </cell>
          <cell r="BN244">
            <v>0</v>
          </cell>
          <cell r="BO244">
            <v>0</v>
          </cell>
          <cell r="BP244">
            <v>0.12</v>
          </cell>
          <cell r="BQ244">
            <v>0</v>
          </cell>
          <cell r="BR244">
            <v>-0.12</v>
          </cell>
          <cell r="BS244">
            <v>0</v>
          </cell>
          <cell r="BT244">
            <v>0</v>
          </cell>
          <cell r="BU244">
            <v>0</v>
          </cell>
          <cell r="BV244">
            <v>0</v>
          </cell>
          <cell r="BW244">
            <v>0</v>
          </cell>
          <cell r="BX244">
            <v>0</v>
          </cell>
          <cell r="BY244">
            <v>0</v>
          </cell>
          <cell r="BZ244">
            <v>0</v>
          </cell>
          <cell r="CA244">
            <v>0</v>
          </cell>
          <cell r="CB244">
            <v>0.12</v>
          </cell>
          <cell r="CC244">
            <v>0.12</v>
          </cell>
          <cell r="CD244">
            <v>0</v>
          </cell>
          <cell r="CE244">
            <v>0</v>
          </cell>
          <cell r="CF244">
            <v>0</v>
          </cell>
          <cell r="CG244">
            <v>0</v>
          </cell>
          <cell r="CH244">
            <v>0</v>
          </cell>
          <cell r="CI244">
            <v>0</v>
          </cell>
          <cell r="CJ244">
            <v>0</v>
          </cell>
          <cell r="CK244">
            <v>0</v>
          </cell>
        </row>
        <row r="245">
          <cell r="BM245" t="str">
            <v>PHR6</v>
          </cell>
          <cell r="BN245">
            <v>0.02</v>
          </cell>
          <cell r="BO245">
            <v>0.02</v>
          </cell>
          <cell r="BP245">
            <v>0.02</v>
          </cell>
          <cell r="BQ245">
            <v>0.02</v>
          </cell>
          <cell r="BR245">
            <v>-2.1999999999999999E-2</v>
          </cell>
          <cell r="BS245">
            <v>0.02</v>
          </cell>
          <cell r="BT245">
            <v>0.02</v>
          </cell>
          <cell r="BU245">
            <v>0.02</v>
          </cell>
          <cell r="BV245">
            <v>0</v>
          </cell>
          <cell r="BW245">
            <v>0.02</v>
          </cell>
          <cell r="BX245">
            <v>0.02</v>
          </cell>
          <cell r="BY245">
            <v>-0.04</v>
          </cell>
          <cell r="BZ245">
            <v>0.02</v>
          </cell>
          <cell r="CA245">
            <v>0.04</v>
          </cell>
          <cell r="CB245">
            <v>0.06</v>
          </cell>
          <cell r="CC245">
            <v>0.08</v>
          </cell>
          <cell r="CD245">
            <v>5.8000000000000003E-2</v>
          </cell>
          <cell r="CE245">
            <v>7.8E-2</v>
          </cell>
          <cell r="CF245">
            <v>9.8000000000000004E-2</v>
          </cell>
          <cell r="CG245">
            <v>0.11800000000000001</v>
          </cell>
          <cell r="CH245">
            <v>0.11800000000000001</v>
          </cell>
          <cell r="CI245">
            <v>0.13800000000000001</v>
          </cell>
          <cell r="CJ245">
            <v>0.158</v>
          </cell>
          <cell r="CK245">
            <v>0.11799999999999999</v>
          </cell>
        </row>
        <row r="246">
          <cell r="BM246" t="str">
            <v>PHR7</v>
          </cell>
          <cell r="BN246">
            <v>0.33</v>
          </cell>
          <cell r="BO246">
            <v>0.33</v>
          </cell>
          <cell r="BP246">
            <v>0.19</v>
          </cell>
          <cell r="BQ246">
            <v>0.33</v>
          </cell>
          <cell r="BR246">
            <v>0.17699999999999999</v>
          </cell>
          <cell r="BS246">
            <v>0.32</v>
          </cell>
          <cell r="BT246">
            <v>0.3</v>
          </cell>
          <cell r="BU246">
            <v>0.25</v>
          </cell>
          <cell r="BV246">
            <v>0.33</v>
          </cell>
          <cell r="BW246">
            <v>0.33</v>
          </cell>
          <cell r="BX246">
            <v>0.3</v>
          </cell>
          <cell r="BY246">
            <v>7.0000000000000007E-2</v>
          </cell>
          <cell r="BZ246">
            <v>0.33</v>
          </cell>
          <cell r="CA246">
            <v>0.66</v>
          </cell>
          <cell r="CB246">
            <v>0.85000000000000009</v>
          </cell>
          <cell r="CC246">
            <v>1.1800000000000002</v>
          </cell>
          <cell r="CD246">
            <v>1.3570000000000002</v>
          </cell>
          <cell r="CE246">
            <v>1.6770000000000003</v>
          </cell>
          <cell r="CF246">
            <v>1.9770000000000003</v>
          </cell>
          <cell r="CG246">
            <v>2.2270000000000003</v>
          </cell>
          <cell r="CH246">
            <v>2.5570000000000004</v>
          </cell>
          <cell r="CI246">
            <v>2.8870000000000005</v>
          </cell>
          <cell r="CJ246">
            <v>3.1870000000000003</v>
          </cell>
          <cell r="CK246">
            <v>3.2570000000000001</v>
          </cell>
        </row>
        <row r="247">
          <cell r="BM247" t="str">
            <v>PHR8</v>
          </cell>
          <cell r="BN247">
            <v>0.42</v>
          </cell>
          <cell r="BO247">
            <v>0.4</v>
          </cell>
          <cell r="BP247">
            <v>0.18</v>
          </cell>
          <cell r="BQ247">
            <v>0.42</v>
          </cell>
          <cell r="BR247">
            <v>-0.439</v>
          </cell>
          <cell r="BS247">
            <v>4.07</v>
          </cell>
          <cell r="BT247">
            <v>0.25</v>
          </cell>
          <cell r="BU247">
            <v>0.87</v>
          </cell>
          <cell r="BV247">
            <v>0.2</v>
          </cell>
          <cell r="BW247">
            <v>0.13</v>
          </cell>
          <cell r="BX247">
            <v>0.24</v>
          </cell>
          <cell r="BY247">
            <v>-0.77</v>
          </cell>
          <cell r="BZ247">
            <v>0.42</v>
          </cell>
          <cell r="CA247">
            <v>0.82000000000000006</v>
          </cell>
          <cell r="CB247">
            <v>1</v>
          </cell>
          <cell r="CC247">
            <v>1.42</v>
          </cell>
          <cell r="CD247">
            <v>0.98099999999999987</v>
          </cell>
          <cell r="CE247">
            <v>5.0510000000000002</v>
          </cell>
          <cell r="CF247">
            <v>5.3010000000000002</v>
          </cell>
          <cell r="CG247">
            <v>6.1710000000000003</v>
          </cell>
          <cell r="CH247">
            <v>6.3710000000000004</v>
          </cell>
          <cell r="CI247">
            <v>6.5010000000000003</v>
          </cell>
          <cell r="CJ247">
            <v>6.7410000000000005</v>
          </cell>
          <cell r="CK247">
            <v>5.9710000000000001</v>
          </cell>
        </row>
        <row r="248">
          <cell r="BM248" t="str">
            <v>PHR9</v>
          </cell>
          <cell r="BN248">
            <v>0.33</v>
          </cell>
          <cell r="BO248">
            <v>0.43</v>
          </cell>
          <cell r="BP248">
            <v>0.93</v>
          </cell>
          <cell r="BQ248">
            <v>0.33</v>
          </cell>
          <cell r="BR248">
            <v>0.33</v>
          </cell>
          <cell r="BS248">
            <v>0.32</v>
          </cell>
          <cell r="BT248">
            <v>0.13</v>
          </cell>
          <cell r="BU248">
            <v>0.33</v>
          </cell>
          <cell r="BV248">
            <v>0.35</v>
          </cell>
          <cell r="BW248">
            <v>0.33</v>
          </cell>
          <cell r="BX248">
            <v>0.33</v>
          </cell>
          <cell r="BY248">
            <v>0.43</v>
          </cell>
          <cell r="BZ248">
            <v>0.33</v>
          </cell>
          <cell r="CA248">
            <v>0.76</v>
          </cell>
          <cell r="CB248">
            <v>1.69</v>
          </cell>
          <cell r="CC248">
            <v>2.02</v>
          </cell>
          <cell r="CD248">
            <v>2.35</v>
          </cell>
          <cell r="CE248">
            <v>2.67</v>
          </cell>
          <cell r="CF248">
            <v>2.8</v>
          </cell>
          <cell r="CG248">
            <v>3.13</v>
          </cell>
          <cell r="CH248">
            <v>3.48</v>
          </cell>
          <cell r="CI248">
            <v>3.81</v>
          </cell>
          <cell r="CJ248">
            <v>4.1399999999999997</v>
          </cell>
          <cell r="CK248">
            <v>4.5699999999999994</v>
          </cell>
        </row>
        <row r="249">
          <cell r="BM249" t="str">
            <v>PHR10</v>
          </cell>
          <cell r="BN249">
            <v>0.4</v>
          </cell>
          <cell r="BO249">
            <v>0.4</v>
          </cell>
          <cell r="BP249">
            <v>1.4</v>
          </cell>
          <cell r="BQ249">
            <v>0.4</v>
          </cell>
          <cell r="BR249">
            <v>-0.16400000000000001</v>
          </cell>
          <cell r="BS249">
            <v>0.38</v>
          </cell>
          <cell r="BT249">
            <v>0.39</v>
          </cell>
          <cell r="BU249">
            <v>0.39</v>
          </cell>
          <cell r="BV249">
            <v>1.4</v>
          </cell>
          <cell r="BW249">
            <v>0.4</v>
          </cell>
          <cell r="BX249">
            <v>0.4</v>
          </cell>
          <cell r="BY249">
            <v>1.5</v>
          </cell>
          <cell r="BZ249">
            <v>0.4</v>
          </cell>
          <cell r="CA249">
            <v>0.8</v>
          </cell>
          <cell r="CB249">
            <v>2.2000000000000002</v>
          </cell>
          <cell r="CC249">
            <v>2.6</v>
          </cell>
          <cell r="CD249">
            <v>2.4359999999999999</v>
          </cell>
          <cell r="CE249">
            <v>2.8159999999999998</v>
          </cell>
          <cell r="CF249">
            <v>3.206</v>
          </cell>
          <cell r="CG249">
            <v>3.5960000000000001</v>
          </cell>
          <cell r="CH249">
            <v>4.9960000000000004</v>
          </cell>
          <cell r="CI249">
            <v>5.3960000000000008</v>
          </cell>
          <cell r="CJ249">
            <v>5.7960000000000012</v>
          </cell>
          <cell r="CK249">
            <v>7.2960000000000012</v>
          </cell>
        </row>
        <row r="250">
          <cell r="BM250" t="str">
            <v>PHR11</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row>
        <row r="251">
          <cell r="BM251" t="str">
            <v>PHR12</v>
          </cell>
          <cell r="BN251">
            <v>0.8</v>
          </cell>
          <cell r="BO251">
            <v>0.8</v>
          </cell>
          <cell r="BP251">
            <v>0.8</v>
          </cell>
          <cell r="BQ251">
            <v>0.9</v>
          </cell>
          <cell r="BR251">
            <v>0.8</v>
          </cell>
          <cell r="BS251">
            <v>0.87</v>
          </cell>
          <cell r="BT251">
            <v>0.9</v>
          </cell>
          <cell r="BU251">
            <v>0.8</v>
          </cell>
          <cell r="BV251">
            <v>0.8</v>
          </cell>
          <cell r="BW251">
            <v>0.9</v>
          </cell>
          <cell r="BX251">
            <v>0.8</v>
          </cell>
          <cell r="BY251">
            <v>0.86</v>
          </cell>
          <cell r="BZ251">
            <v>0.8</v>
          </cell>
          <cell r="CA251">
            <v>1.6</v>
          </cell>
          <cell r="CB251">
            <v>2.4000000000000004</v>
          </cell>
          <cell r="CC251">
            <v>3.3000000000000003</v>
          </cell>
          <cell r="CD251">
            <v>4.1000000000000005</v>
          </cell>
          <cell r="CE251">
            <v>4.9700000000000006</v>
          </cell>
          <cell r="CF251">
            <v>5.870000000000001</v>
          </cell>
          <cell r="CG251">
            <v>6.6700000000000008</v>
          </cell>
          <cell r="CH251">
            <v>7.4700000000000006</v>
          </cell>
          <cell r="CI251">
            <v>8.370000000000001</v>
          </cell>
          <cell r="CJ251">
            <v>9.1700000000000017</v>
          </cell>
          <cell r="CK251">
            <v>10.030000000000001</v>
          </cell>
        </row>
        <row r="252">
          <cell r="BM252" t="str">
            <v>PHR13</v>
          </cell>
          <cell r="BN252">
            <v>0.2</v>
          </cell>
          <cell r="BO252">
            <v>0.2</v>
          </cell>
          <cell r="BP252">
            <v>0.2</v>
          </cell>
          <cell r="BQ252">
            <v>0.2</v>
          </cell>
          <cell r="BR252">
            <v>0.10299999999999999</v>
          </cell>
          <cell r="BS252">
            <v>0.18</v>
          </cell>
          <cell r="BT252">
            <v>0.18</v>
          </cell>
          <cell r="BU252">
            <v>0.16</v>
          </cell>
          <cell r="BV252">
            <v>0.2</v>
          </cell>
          <cell r="BW252">
            <v>0.14000000000000001</v>
          </cell>
          <cell r="BX252">
            <v>0.16</v>
          </cell>
          <cell r="BY252">
            <v>0.16</v>
          </cell>
          <cell r="BZ252">
            <v>0.2</v>
          </cell>
          <cell r="CA252">
            <v>0.4</v>
          </cell>
          <cell r="CB252">
            <v>0.60000000000000009</v>
          </cell>
          <cell r="CC252">
            <v>0.8</v>
          </cell>
          <cell r="CD252">
            <v>0.90300000000000002</v>
          </cell>
          <cell r="CE252">
            <v>1.083</v>
          </cell>
          <cell r="CF252">
            <v>1.2629999999999999</v>
          </cell>
          <cell r="CG252">
            <v>1.4229999999999998</v>
          </cell>
          <cell r="CH252">
            <v>1.6229999999999998</v>
          </cell>
          <cell r="CI252">
            <v>1.7629999999999999</v>
          </cell>
          <cell r="CJ252">
            <v>1.9229999999999998</v>
          </cell>
          <cell r="CK252">
            <v>2.0829999999999997</v>
          </cell>
        </row>
        <row r="253">
          <cell r="BM253" t="str">
            <v>PHR14</v>
          </cell>
          <cell r="BN253">
            <v>0.5</v>
          </cell>
          <cell r="BO253">
            <v>0.5</v>
          </cell>
          <cell r="BP253">
            <v>0.5</v>
          </cell>
          <cell r="BQ253">
            <v>0.5</v>
          </cell>
          <cell r="BR253">
            <v>-1.99</v>
          </cell>
          <cell r="BS253">
            <v>0.05</v>
          </cell>
          <cell r="BT253">
            <v>0.21</v>
          </cell>
          <cell r="BU253">
            <v>0</v>
          </cell>
          <cell r="BV253">
            <v>0.5</v>
          </cell>
          <cell r="BW253">
            <v>0.18</v>
          </cell>
          <cell r="BX253">
            <v>0.5</v>
          </cell>
          <cell r="BY253">
            <v>0.34</v>
          </cell>
          <cell r="BZ253">
            <v>0.5</v>
          </cell>
          <cell r="CA253">
            <v>1</v>
          </cell>
          <cell r="CB253">
            <v>1.5</v>
          </cell>
          <cell r="CC253">
            <v>2</v>
          </cell>
          <cell r="CD253">
            <v>1.0000000000000009E-2</v>
          </cell>
          <cell r="CE253">
            <v>6.0000000000000012E-2</v>
          </cell>
          <cell r="CF253">
            <v>0.27</v>
          </cell>
          <cell r="CG253">
            <v>0.27</v>
          </cell>
          <cell r="CH253">
            <v>0.77</v>
          </cell>
          <cell r="CI253">
            <v>0.95</v>
          </cell>
          <cell r="CJ253">
            <v>1.45</v>
          </cell>
          <cell r="CK253">
            <v>1.79</v>
          </cell>
        </row>
        <row r="254">
          <cell r="BM254" t="str">
            <v>PHR15</v>
          </cell>
          <cell r="BN254">
            <v>0.1</v>
          </cell>
          <cell r="BO254">
            <v>0.1</v>
          </cell>
          <cell r="BP254">
            <v>7.0000000000000007E-2</v>
          </cell>
          <cell r="BQ254">
            <v>0.1</v>
          </cell>
          <cell r="BR254">
            <v>1E-3</v>
          </cell>
          <cell r="BS254">
            <v>0.09</v>
          </cell>
          <cell r="BT254">
            <v>0.11</v>
          </cell>
          <cell r="BU254">
            <v>0.09</v>
          </cell>
          <cell r="BV254">
            <v>0.09</v>
          </cell>
          <cell r="BW254">
            <v>0.05</v>
          </cell>
          <cell r="BX254">
            <v>0.1</v>
          </cell>
          <cell r="BY254">
            <v>-0.13</v>
          </cell>
          <cell r="BZ254">
            <v>0.1</v>
          </cell>
          <cell r="CA254">
            <v>0.2</v>
          </cell>
          <cell r="CB254">
            <v>0.27</v>
          </cell>
          <cell r="CC254">
            <v>0.37</v>
          </cell>
          <cell r="CD254">
            <v>0.371</v>
          </cell>
          <cell r="CE254">
            <v>0.46099999999999997</v>
          </cell>
          <cell r="CF254">
            <v>0.57099999999999995</v>
          </cell>
          <cell r="CG254">
            <v>0.66099999999999992</v>
          </cell>
          <cell r="CH254">
            <v>0.75099999999999989</v>
          </cell>
          <cell r="CI254">
            <v>0.80099999999999993</v>
          </cell>
          <cell r="CJ254">
            <v>0.90099999999999991</v>
          </cell>
          <cell r="CK254">
            <v>0.77099999999999991</v>
          </cell>
        </row>
        <row r="255">
          <cell r="BM255" t="str">
            <v>PHR16</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row>
        <row r="256">
          <cell r="BM256" t="str">
            <v>PHR17</v>
          </cell>
          <cell r="BN256">
            <v>0.04</v>
          </cell>
          <cell r="BO256">
            <v>0.04</v>
          </cell>
          <cell r="BP256">
            <v>0.06</v>
          </cell>
          <cell r="BQ256">
            <v>0.04</v>
          </cell>
          <cell r="BR256">
            <v>-0.10299999999999999</v>
          </cell>
          <cell r="BS256">
            <v>5.0000000000000001E-3</v>
          </cell>
          <cell r="BT256">
            <v>0</v>
          </cell>
          <cell r="BU256">
            <v>1.1400000000000001</v>
          </cell>
          <cell r="BV256">
            <v>0.04</v>
          </cell>
          <cell r="BW256">
            <v>0.03</v>
          </cell>
          <cell r="BX256">
            <v>0.04</v>
          </cell>
          <cell r="BY256">
            <v>-0.04</v>
          </cell>
          <cell r="BZ256">
            <v>0.04</v>
          </cell>
          <cell r="CA256">
            <v>0.08</v>
          </cell>
          <cell r="CB256">
            <v>0.14000000000000001</v>
          </cell>
          <cell r="CC256">
            <v>0.18000000000000002</v>
          </cell>
          <cell r="CD256">
            <v>7.7000000000000027E-2</v>
          </cell>
          <cell r="CE256">
            <v>8.2000000000000031E-2</v>
          </cell>
          <cell r="CF256">
            <v>8.2000000000000031E-2</v>
          </cell>
          <cell r="CG256">
            <v>1.2220000000000002</v>
          </cell>
          <cell r="CH256">
            <v>1.2620000000000002</v>
          </cell>
          <cell r="CI256">
            <v>1.2920000000000003</v>
          </cell>
          <cell r="CJ256">
            <v>1.3320000000000003</v>
          </cell>
          <cell r="CK256">
            <v>1.2920000000000003</v>
          </cell>
        </row>
        <row r="257">
          <cell r="BM257" t="str">
            <v>PHR18</v>
          </cell>
          <cell r="BN257">
            <v>0.02</v>
          </cell>
          <cell r="BO257">
            <v>0.02</v>
          </cell>
          <cell r="BP257">
            <v>-3.9999999999999994E-2</v>
          </cell>
          <cell r="BQ257">
            <v>0.02</v>
          </cell>
          <cell r="BR257">
            <v>7.5999999999999998E-2</v>
          </cell>
          <cell r="BS257">
            <v>4.0000000000000001E-3</v>
          </cell>
          <cell r="BT257">
            <v>0</v>
          </cell>
          <cell r="BU257">
            <v>0</v>
          </cell>
          <cell r="BV257">
            <v>0</v>
          </cell>
          <cell r="BW257">
            <v>0</v>
          </cell>
          <cell r="BX257">
            <v>0</v>
          </cell>
          <cell r="BY257">
            <v>0</v>
          </cell>
          <cell r="BZ257">
            <v>0.02</v>
          </cell>
          <cell r="CA257">
            <v>0.04</v>
          </cell>
          <cell r="CB257">
            <v>0</v>
          </cell>
          <cell r="CC257">
            <v>0.02</v>
          </cell>
          <cell r="CD257">
            <v>9.6000000000000002E-2</v>
          </cell>
          <cell r="CE257">
            <v>0.1</v>
          </cell>
          <cell r="CF257">
            <v>0.1</v>
          </cell>
          <cell r="CG257">
            <v>0.1</v>
          </cell>
          <cell r="CH257">
            <v>0.1</v>
          </cell>
          <cell r="CI257">
            <v>0.1</v>
          </cell>
          <cell r="CJ257">
            <v>0.1</v>
          </cell>
          <cell r="CK257">
            <v>0.1</v>
          </cell>
        </row>
        <row r="258">
          <cell r="BM258" t="str">
            <v>PHR19</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row>
        <row r="259">
          <cell r="BM259" t="str">
            <v>PHR20</v>
          </cell>
          <cell r="BN259">
            <v>0.09</v>
          </cell>
          <cell r="BO259">
            <v>0.09</v>
          </cell>
          <cell r="BP259">
            <v>0.1</v>
          </cell>
          <cell r="BQ259">
            <v>0.09</v>
          </cell>
          <cell r="BR259">
            <v>-0.37</v>
          </cell>
          <cell r="BS259">
            <v>0.09</v>
          </cell>
          <cell r="BT259">
            <v>0.09</v>
          </cell>
          <cell r="BU259">
            <v>0.08</v>
          </cell>
          <cell r="BV259">
            <v>0.08</v>
          </cell>
          <cell r="BW259">
            <v>0.1</v>
          </cell>
          <cell r="BX259">
            <v>0.01</v>
          </cell>
          <cell r="BY259">
            <v>7.0000000000000007E-2</v>
          </cell>
          <cell r="BZ259">
            <v>0.09</v>
          </cell>
          <cell r="CA259">
            <v>0.18</v>
          </cell>
          <cell r="CB259">
            <v>0.28000000000000003</v>
          </cell>
          <cell r="CC259">
            <v>0.37</v>
          </cell>
          <cell r="CD259">
            <v>0</v>
          </cell>
          <cell r="CE259">
            <v>0.09</v>
          </cell>
          <cell r="CF259">
            <v>0.18</v>
          </cell>
          <cell r="CG259">
            <v>0.26</v>
          </cell>
          <cell r="CH259">
            <v>0.34</v>
          </cell>
          <cell r="CI259">
            <v>0.44000000000000006</v>
          </cell>
          <cell r="CJ259">
            <v>0.45000000000000007</v>
          </cell>
          <cell r="CK259">
            <v>0.52</v>
          </cell>
        </row>
        <row r="260">
          <cell r="BM260" t="str">
            <v>PHR21</v>
          </cell>
          <cell r="BN260">
            <v>0.02</v>
          </cell>
          <cell r="BO260">
            <v>0.02</v>
          </cell>
          <cell r="BP260">
            <v>0.02</v>
          </cell>
          <cell r="BQ260">
            <v>0.02</v>
          </cell>
          <cell r="BR260">
            <v>0.02</v>
          </cell>
          <cell r="BS260">
            <v>0.02</v>
          </cell>
          <cell r="BT260">
            <v>0.02</v>
          </cell>
          <cell r="BU260">
            <v>0.02</v>
          </cell>
          <cell r="BV260">
            <v>0.02</v>
          </cell>
          <cell r="BW260">
            <v>0.02</v>
          </cell>
          <cell r="BX260">
            <v>0.02</v>
          </cell>
          <cell r="BY260">
            <v>0.02</v>
          </cell>
          <cell r="BZ260">
            <v>0.02</v>
          </cell>
          <cell r="CA260">
            <v>0.04</v>
          </cell>
          <cell r="CB260">
            <v>0.06</v>
          </cell>
          <cell r="CC260">
            <v>0.08</v>
          </cell>
          <cell r="CD260">
            <v>0.1</v>
          </cell>
          <cell r="CE260">
            <v>0.12000000000000001</v>
          </cell>
          <cell r="CF260">
            <v>0.14000000000000001</v>
          </cell>
          <cell r="CG260">
            <v>0.16</v>
          </cell>
          <cell r="CH260">
            <v>0.18</v>
          </cell>
          <cell r="CI260">
            <v>0.19999999999999998</v>
          </cell>
          <cell r="CJ260">
            <v>0.21999999999999997</v>
          </cell>
          <cell r="CK260">
            <v>0.23999999999999996</v>
          </cell>
        </row>
        <row r="261">
          <cell r="BM261" t="str">
            <v>PHR22</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row>
        <row r="262">
          <cell r="BM262" t="str">
            <v>PHR23</v>
          </cell>
          <cell r="BN262">
            <v>0</v>
          </cell>
          <cell r="BO262">
            <v>0</v>
          </cell>
          <cell r="BP262">
            <v>0</v>
          </cell>
          <cell r="BQ262">
            <v>0</v>
          </cell>
          <cell r="BR262">
            <v>0</v>
          </cell>
          <cell r="BS262">
            <v>0</v>
          </cell>
          <cell r="BT262">
            <v>0</v>
          </cell>
          <cell r="BU262">
            <v>0</v>
          </cell>
          <cell r="BV262">
            <v>0</v>
          </cell>
          <cell r="BW262">
            <v>1.75</v>
          </cell>
          <cell r="BX262">
            <v>0</v>
          </cell>
          <cell r="BY262">
            <v>0</v>
          </cell>
          <cell r="BZ262">
            <v>0</v>
          </cell>
          <cell r="CA262">
            <v>0</v>
          </cell>
          <cell r="CB262">
            <v>0</v>
          </cell>
          <cell r="CC262">
            <v>0</v>
          </cell>
          <cell r="CD262">
            <v>0</v>
          </cell>
          <cell r="CE262">
            <v>0</v>
          </cell>
          <cell r="CF262">
            <v>0</v>
          </cell>
          <cell r="CG262">
            <v>0</v>
          </cell>
          <cell r="CH262">
            <v>0</v>
          </cell>
          <cell r="CI262">
            <v>1.75</v>
          </cell>
          <cell r="CJ262">
            <v>1.75</v>
          </cell>
          <cell r="CK262">
            <v>1.75</v>
          </cell>
        </row>
        <row r="263">
          <cell r="BM263" t="str">
            <v>PHR24</v>
          </cell>
          <cell r="BN263">
            <v>0</v>
          </cell>
          <cell r="BO263">
            <v>0</v>
          </cell>
          <cell r="BP263">
            <v>0</v>
          </cell>
          <cell r="BQ263">
            <v>0</v>
          </cell>
          <cell r="BR263">
            <v>0.5</v>
          </cell>
          <cell r="BS263">
            <v>0</v>
          </cell>
          <cell r="BT263">
            <v>0</v>
          </cell>
          <cell r="BU263">
            <v>0</v>
          </cell>
          <cell r="BV263">
            <v>0</v>
          </cell>
          <cell r="BW263">
            <v>0</v>
          </cell>
          <cell r="BX263">
            <v>0</v>
          </cell>
          <cell r="BY263">
            <v>0</v>
          </cell>
          <cell r="BZ263">
            <v>0</v>
          </cell>
          <cell r="CA263">
            <v>0</v>
          </cell>
          <cell r="CB263">
            <v>0</v>
          </cell>
          <cell r="CC263">
            <v>0</v>
          </cell>
          <cell r="CD263">
            <v>0.5</v>
          </cell>
          <cell r="CE263">
            <v>0.5</v>
          </cell>
          <cell r="CF263">
            <v>0.5</v>
          </cell>
          <cell r="CG263">
            <v>0.5</v>
          </cell>
          <cell r="CH263">
            <v>0.5</v>
          </cell>
          <cell r="CI263">
            <v>0.5</v>
          </cell>
          <cell r="CJ263">
            <v>0.5</v>
          </cell>
          <cell r="CK263">
            <v>0.5</v>
          </cell>
        </row>
        <row r="264">
          <cell r="BM264" t="str">
            <v>PHR25</v>
          </cell>
          <cell r="BN264">
            <v>0</v>
          </cell>
          <cell r="BO264">
            <v>0</v>
          </cell>
          <cell r="BP264">
            <v>0</v>
          </cell>
          <cell r="BQ264">
            <v>0</v>
          </cell>
          <cell r="BR264">
            <v>0.65</v>
          </cell>
          <cell r="BS264">
            <v>0</v>
          </cell>
          <cell r="BT264">
            <v>0</v>
          </cell>
          <cell r="BU264">
            <v>0</v>
          </cell>
          <cell r="BV264">
            <v>0</v>
          </cell>
          <cell r="BW264">
            <v>0.9</v>
          </cell>
          <cell r="BX264">
            <v>0</v>
          </cell>
          <cell r="BY264">
            <v>-0.05</v>
          </cell>
          <cell r="BZ264">
            <v>0</v>
          </cell>
          <cell r="CA264">
            <v>0</v>
          </cell>
          <cell r="CB264">
            <v>0</v>
          </cell>
          <cell r="CC264">
            <v>0</v>
          </cell>
          <cell r="CD264">
            <v>0.65</v>
          </cell>
          <cell r="CE264">
            <v>0.65</v>
          </cell>
          <cell r="CF264">
            <v>0.65</v>
          </cell>
          <cell r="CG264">
            <v>0.65</v>
          </cell>
          <cell r="CH264">
            <v>0.65</v>
          </cell>
          <cell r="CI264">
            <v>1.55</v>
          </cell>
          <cell r="CJ264">
            <v>1.55</v>
          </cell>
          <cell r="CK264">
            <v>1.5</v>
          </cell>
        </row>
        <row r="265">
          <cell r="BM265" t="str">
            <v>PHR26</v>
          </cell>
          <cell r="BN265">
            <v>0.08</v>
          </cell>
          <cell r="BO265">
            <v>0.08</v>
          </cell>
          <cell r="BP265">
            <v>0.09</v>
          </cell>
          <cell r="BQ265">
            <v>0.08</v>
          </cell>
          <cell r="BR265">
            <v>3.6999999999999998E-2</v>
          </cell>
          <cell r="BS265">
            <v>7.0000000000000007E-2</v>
          </cell>
          <cell r="BT265">
            <v>0.09</v>
          </cell>
          <cell r="BU265">
            <v>7.0000000000000007E-2</v>
          </cell>
          <cell r="BV265">
            <v>7.0000000000000007E-2</v>
          </cell>
          <cell r="BW265">
            <v>1.6</v>
          </cell>
          <cell r="BX265">
            <v>0</v>
          </cell>
          <cell r="BY265">
            <v>0.02</v>
          </cell>
          <cell r="BZ265">
            <v>0.08</v>
          </cell>
          <cell r="CA265">
            <v>0.16</v>
          </cell>
          <cell r="CB265">
            <v>0.25</v>
          </cell>
          <cell r="CC265">
            <v>0.33</v>
          </cell>
          <cell r="CD265">
            <v>0.36699999999999999</v>
          </cell>
          <cell r="CE265">
            <v>0.437</v>
          </cell>
          <cell r="CF265">
            <v>0.52700000000000002</v>
          </cell>
          <cell r="CG265">
            <v>0.59699999999999998</v>
          </cell>
          <cell r="CH265">
            <v>0.66700000000000004</v>
          </cell>
          <cell r="CI265">
            <v>2.2670000000000003</v>
          </cell>
          <cell r="CJ265">
            <v>2.2670000000000003</v>
          </cell>
          <cell r="CK265">
            <v>2.2870000000000004</v>
          </cell>
        </row>
        <row r="266">
          <cell r="BM266" t="str">
            <v>OTH1</v>
          </cell>
          <cell r="BN266">
            <v>0</v>
          </cell>
          <cell r="BO266">
            <v>0</v>
          </cell>
          <cell r="BP266">
            <v>0</v>
          </cell>
          <cell r="BQ266">
            <v>24</v>
          </cell>
          <cell r="BR266">
            <v>0</v>
          </cell>
          <cell r="BS266">
            <v>0</v>
          </cell>
          <cell r="BT266">
            <v>7</v>
          </cell>
          <cell r="BU266">
            <v>0</v>
          </cell>
          <cell r="BV266">
            <v>0</v>
          </cell>
          <cell r="BW266">
            <v>0</v>
          </cell>
          <cell r="BX266">
            <v>0</v>
          </cell>
          <cell r="BY266">
            <v>0</v>
          </cell>
          <cell r="BZ266">
            <v>0</v>
          </cell>
          <cell r="CA266">
            <v>0</v>
          </cell>
          <cell r="CB266">
            <v>0</v>
          </cell>
          <cell r="CC266">
            <v>24</v>
          </cell>
          <cell r="CD266">
            <v>24</v>
          </cell>
          <cell r="CE266">
            <v>24</v>
          </cell>
          <cell r="CF266">
            <v>31</v>
          </cell>
          <cell r="CG266">
            <v>31</v>
          </cell>
          <cell r="CH266">
            <v>31</v>
          </cell>
          <cell r="CI266">
            <v>31</v>
          </cell>
          <cell r="CJ266">
            <v>31</v>
          </cell>
          <cell r="CK266">
            <v>31</v>
          </cell>
        </row>
        <row r="267">
          <cell r="BM267" t="str">
            <v>OTH2</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row>
        <row r="268">
          <cell r="BM268" t="str">
            <v>OTH3</v>
          </cell>
          <cell r="BN268">
            <v>41</v>
          </cell>
          <cell r="BO268">
            <v>40</v>
          </cell>
          <cell r="BP268">
            <v>38</v>
          </cell>
          <cell r="BQ268">
            <v>38</v>
          </cell>
          <cell r="BR268">
            <v>31.27</v>
          </cell>
          <cell r="BS268">
            <v>43.75</v>
          </cell>
          <cell r="BT268">
            <v>33</v>
          </cell>
          <cell r="BU268">
            <v>43</v>
          </cell>
          <cell r="BV268">
            <v>48.12</v>
          </cell>
          <cell r="BW268">
            <v>45.5</v>
          </cell>
          <cell r="BX268">
            <v>36.549999999999997</v>
          </cell>
          <cell r="BY268">
            <v>33.909999999999997</v>
          </cell>
          <cell r="BZ268">
            <v>41</v>
          </cell>
          <cell r="CA268">
            <v>81</v>
          </cell>
          <cell r="CB268">
            <v>119</v>
          </cell>
          <cell r="CC268">
            <v>157</v>
          </cell>
          <cell r="CD268">
            <v>188.27</v>
          </cell>
          <cell r="CE268">
            <v>232.02</v>
          </cell>
          <cell r="CF268">
            <v>265.02</v>
          </cell>
          <cell r="CG268">
            <v>308.02</v>
          </cell>
          <cell r="CH268">
            <v>356.14</v>
          </cell>
          <cell r="CI268">
            <v>401.64</v>
          </cell>
          <cell r="CJ268">
            <v>438.19</v>
          </cell>
          <cell r="CK268">
            <v>472.1</v>
          </cell>
        </row>
        <row r="269">
          <cell r="BM269" t="str">
            <v>OTH4</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row>
        <row r="270">
          <cell r="BM270" t="str">
            <v>OTH5</v>
          </cell>
          <cell r="BN270">
            <v>2</v>
          </cell>
          <cell r="BO270">
            <v>2</v>
          </cell>
          <cell r="BP270">
            <v>2</v>
          </cell>
          <cell r="BQ270">
            <v>2</v>
          </cell>
          <cell r="BR270">
            <v>0</v>
          </cell>
          <cell r="BS270">
            <v>2</v>
          </cell>
          <cell r="BT270">
            <v>2</v>
          </cell>
          <cell r="BU270">
            <v>2</v>
          </cell>
          <cell r="BV270">
            <v>2</v>
          </cell>
          <cell r="BW270">
            <v>2</v>
          </cell>
          <cell r="BX270">
            <v>2</v>
          </cell>
          <cell r="BY270">
            <v>2</v>
          </cell>
          <cell r="BZ270">
            <v>2</v>
          </cell>
          <cell r="CA270">
            <v>4</v>
          </cell>
          <cell r="CB270">
            <v>6</v>
          </cell>
          <cell r="CC270">
            <v>8</v>
          </cell>
          <cell r="CD270">
            <v>8</v>
          </cell>
          <cell r="CE270">
            <v>10</v>
          </cell>
          <cell r="CF270">
            <v>12</v>
          </cell>
          <cell r="CG270">
            <v>14</v>
          </cell>
          <cell r="CH270">
            <v>16</v>
          </cell>
          <cell r="CI270">
            <v>18</v>
          </cell>
          <cell r="CJ270">
            <v>20</v>
          </cell>
          <cell r="CK270">
            <v>22</v>
          </cell>
        </row>
        <row r="271">
          <cell r="BM271" t="str">
            <v>OTH6</v>
          </cell>
          <cell r="BN271">
            <v>0</v>
          </cell>
          <cell r="BO271">
            <v>0</v>
          </cell>
          <cell r="BP271">
            <v>-24.24</v>
          </cell>
          <cell r="BQ271">
            <v>0</v>
          </cell>
          <cell r="BR271">
            <v>-4.66</v>
          </cell>
          <cell r="BS271">
            <v>-32.6</v>
          </cell>
          <cell r="BT271">
            <v>-6.31</v>
          </cell>
          <cell r="BU271">
            <v>-7.96</v>
          </cell>
          <cell r="BV271">
            <v>-10.92</v>
          </cell>
          <cell r="BW271">
            <v>-11.148</v>
          </cell>
          <cell r="BX271">
            <v>-4.9669999999999996</v>
          </cell>
          <cell r="BY271">
            <v>-10.4</v>
          </cell>
          <cell r="BZ271">
            <v>0</v>
          </cell>
          <cell r="CA271">
            <v>0</v>
          </cell>
          <cell r="CB271">
            <v>-24.24</v>
          </cell>
          <cell r="CC271">
            <v>-24.24</v>
          </cell>
          <cell r="CD271">
            <v>-28.9</v>
          </cell>
          <cell r="CE271">
            <v>-61.5</v>
          </cell>
          <cell r="CF271">
            <v>-67.81</v>
          </cell>
          <cell r="CG271">
            <v>-75.77</v>
          </cell>
          <cell r="CH271">
            <v>-86.69</v>
          </cell>
          <cell r="CI271">
            <v>-97.837999999999994</v>
          </cell>
          <cell r="CJ271">
            <v>-102.80499999999999</v>
          </cell>
          <cell r="CK271">
            <v>-113.205</v>
          </cell>
        </row>
        <row r="272">
          <cell r="BM272">
            <v>0</v>
          </cell>
          <cell r="BN272">
            <v>117.89</v>
          </cell>
          <cell r="BO272">
            <v>78.070000000000007</v>
          </cell>
          <cell r="BP272">
            <v>47.209999999999994</v>
          </cell>
          <cell r="BQ272">
            <v>164.24</v>
          </cell>
          <cell r="BR272">
            <v>63.62660000000001</v>
          </cell>
          <cell r="BS272">
            <v>52.27</v>
          </cell>
          <cell r="BT272">
            <v>80.290000000000006</v>
          </cell>
          <cell r="BU272">
            <v>75.960000000000022</v>
          </cell>
          <cell r="BV272">
            <v>75.429999999999993</v>
          </cell>
          <cell r="BW272">
            <v>77.201999999999998</v>
          </cell>
          <cell r="BX272">
            <v>75.463000000000008</v>
          </cell>
          <cell r="BY272">
            <v>47.449999999999996</v>
          </cell>
          <cell r="BZ272">
            <v>117.89</v>
          </cell>
          <cell r="CA272">
            <v>195.96</v>
          </cell>
          <cell r="CB272">
            <v>243.16999999999996</v>
          </cell>
          <cell r="CC272">
            <v>407.41000000000008</v>
          </cell>
          <cell r="CD272">
            <v>471.03660000000013</v>
          </cell>
          <cell r="CE272">
            <v>523.30660000000012</v>
          </cell>
          <cell r="CF272">
            <v>603.59660000000008</v>
          </cell>
          <cell r="CG272">
            <v>679.55659999999989</v>
          </cell>
          <cell r="CH272">
            <v>754.98659999999995</v>
          </cell>
          <cell r="CI272">
            <v>832.18860000000018</v>
          </cell>
          <cell r="CJ272">
            <v>907.65160000000026</v>
          </cell>
          <cell r="CK272">
            <v>955.1016000000003</v>
          </cell>
        </row>
        <row r="295">
          <cell r="N295">
            <v>0</v>
          </cell>
          <cell r="O295" t="str">
            <v>Budget</v>
          </cell>
          <cell r="P295" t="str">
            <v>Budget</v>
          </cell>
          <cell r="Q295" t="str">
            <v>Budget</v>
          </cell>
          <cell r="R295" t="str">
            <v>Budget</v>
          </cell>
          <cell r="S295" t="str">
            <v>Budget</v>
          </cell>
          <cell r="T295" t="str">
            <v>Budget</v>
          </cell>
          <cell r="U295" t="str">
            <v>Budget</v>
          </cell>
          <cell r="V295" t="str">
            <v>Budget</v>
          </cell>
          <cell r="W295" t="str">
            <v>Budget</v>
          </cell>
          <cell r="X295" t="str">
            <v>Budget</v>
          </cell>
          <cell r="Y295" t="str">
            <v>Budget</v>
          </cell>
          <cell r="Z295" t="str">
            <v>Budget</v>
          </cell>
          <cell r="AA295" t="str">
            <v>Cum_bud</v>
          </cell>
          <cell r="AB295" t="str">
            <v>Cum_bud</v>
          </cell>
          <cell r="AC295" t="str">
            <v>Cum_bud</v>
          </cell>
          <cell r="AD295" t="str">
            <v>Cum_bud</v>
          </cell>
          <cell r="AE295" t="str">
            <v>Cum_bud</v>
          </cell>
          <cell r="AF295" t="str">
            <v>Cum_bud</v>
          </cell>
          <cell r="AG295" t="str">
            <v>Cum_bud</v>
          </cell>
          <cell r="AH295" t="str">
            <v>Cum_bud</v>
          </cell>
          <cell r="AI295" t="str">
            <v>Cum_bud</v>
          </cell>
          <cell r="AJ295" t="str">
            <v>Cum_bud</v>
          </cell>
          <cell r="AK295" t="str">
            <v>Cum_bud</v>
          </cell>
          <cell r="AL295" t="str">
            <v>Cum_bud</v>
          </cell>
          <cell r="AM295">
            <v>0</v>
          </cell>
          <cell r="AN295" t="str">
            <v>Actual</v>
          </cell>
          <cell r="AO295" t="str">
            <v>Actual</v>
          </cell>
          <cell r="AP295" t="str">
            <v>Actual</v>
          </cell>
          <cell r="AQ295" t="str">
            <v>Actual</v>
          </cell>
          <cell r="AR295" t="str">
            <v>Actual</v>
          </cell>
          <cell r="AS295" t="str">
            <v>Actual</v>
          </cell>
          <cell r="AT295" t="str">
            <v>Actual</v>
          </cell>
          <cell r="AU295" t="str">
            <v>Actual</v>
          </cell>
          <cell r="AV295" t="str">
            <v>Actual</v>
          </cell>
          <cell r="AW295" t="str">
            <v>Actual</v>
          </cell>
          <cell r="AX295" t="str">
            <v>Actual</v>
          </cell>
          <cell r="AY295" t="str">
            <v>Actual</v>
          </cell>
          <cell r="AZ295" t="str">
            <v>Cum_Actu</v>
          </cell>
          <cell r="BA295" t="str">
            <v>Cum_Actu</v>
          </cell>
          <cell r="BB295" t="str">
            <v>Cum_Actu</v>
          </cell>
          <cell r="BC295" t="str">
            <v>Cum_Actu</v>
          </cell>
          <cell r="BD295" t="str">
            <v>Cum_Actu</v>
          </cell>
          <cell r="BE295" t="str">
            <v>Cum_Actu</v>
          </cell>
          <cell r="BF295" t="str">
            <v>Cum_Actu</v>
          </cell>
          <cell r="BG295" t="str">
            <v>Cum_Actu</v>
          </cell>
          <cell r="BH295" t="str">
            <v>Cum_Actu</v>
          </cell>
          <cell r="BI295" t="str">
            <v>Cum_Actu</v>
          </cell>
          <cell r="BJ295" t="str">
            <v>Cum_Actu</v>
          </cell>
          <cell r="BK295" t="str">
            <v>Cum_Actu</v>
          </cell>
          <cell r="BN295" t="str">
            <v>Actual</v>
          </cell>
          <cell r="BO295" t="str">
            <v>Actual</v>
          </cell>
          <cell r="BP295" t="str">
            <v>Actual</v>
          </cell>
          <cell r="BQ295" t="str">
            <v>Actual</v>
          </cell>
          <cell r="BR295" t="str">
            <v>Actual</v>
          </cell>
          <cell r="BS295" t="str">
            <v>Actual</v>
          </cell>
          <cell r="BT295" t="str">
            <v>Actual</v>
          </cell>
          <cell r="BU295" t="str">
            <v>Actual</v>
          </cell>
          <cell r="BV295" t="str">
            <v>Actual</v>
          </cell>
          <cell r="BW295" t="str">
            <v>Actual</v>
          </cell>
          <cell r="BX295" t="str">
            <v>Actual</v>
          </cell>
          <cell r="BY295" t="str">
            <v>Actual</v>
          </cell>
          <cell r="BZ295" t="str">
            <v>Cum_Actu</v>
          </cell>
          <cell r="CA295" t="str">
            <v>Cum_Actu</v>
          </cell>
          <cell r="CB295" t="str">
            <v>Cum_Actu</v>
          </cell>
          <cell r="CC295" t="str">
            <v>Cum_Actu</v>
          </cell>
          <cell r="CD295" t="str">
            <v>Cum_Actu</v>
          </cell>
          <cell r="CE295" t="str">
            <v>Cum_Actu</v>
          </cell>
          <cell r="CF295" t="str">
            <v>Cum_Actu</v>
          </cell>
          <cell r="CG295" t="str">
            <v>Cum_Actu</v>
          </cell>
          <cell r="CH295" t="str">
            <v>Cum_Actu</v>
          </cell>
          <cell r="CI295" t="str">
            <v>Cum_Actu</v>
          </cell>
          <cell r="CJ295" t="str">
            <v>Cum_Actu</v>
          </cell>
          <cell r="CK295" t="str">
            <v>Cum_Actu</v>
          </cell>
        </row>
        <row r="296">
          <cell r="N296" t="str">
            <v>Code</v>
          </cell>
          <cell r="O296">
            <v>41640</v>
          </cell>
          <cell r="P296">
            <v>41671</v>
          </cell>
          <cell r="Q296">
            <v>41699</v>
          </cell>
          <cell r="R296">
            <v>41730</v>
          </cell>
          <cell r="S296">
            <v>41760</v>
          </cell>
          <cell r="T296">
            <v>41791</v>
          </cell>
          <cell r="U296">
            <v>41821</v>
          </cell>
          <cell r="V296">
            <v>41852</v>
          </cell>
          <cell r="W296">
            <v>41883</v>
          </cell>
          <cell r="X296">
            <v>41913</v>
          </cell>
          <cell r="Y296">
            <v>41944</v>
          </cell>
          <cell r="Z296">
            <v>41974</v>
          </cell>
          <cell r="AA296">
            <v>41640</v>
          </cell>
          <cell r="AB296">
            <v>41671</v>
          </cell>
          <cell r="AC296">
            <v>41699</v>
          </cell>
          <cell r="AD296">
            <v>41730</v>
          </cell>
          <cell r="AE296">
            <v>41760</v>
          </cell>
          <cell r="AF296">
            <v>41791</v>
          </cell>
          <cell r="AG296">
            <v>41821</v>
          </cell>
          <cell r="AH296">
            <v>41852</v>
          </cell>
          <cell r="AI296">
            <v>41883</v>
          </cell>
          <cell r="AJ296">
            <v>41913</v>
          </cell>
          <cell r="AK296">
            <v>41944</v>
          </cell>
          <cell r="AL296">
            <v>41974</v>
          </cell>
          <cell r="AM296" t="str">
            <v>Code</v>
          </cell>
          <cell r="AN296">
            <v>41640</v>
          </cell>
          <cell r="AO296">
            <v>41671</v>
          </cell>
          <cell r="AP296">
            <v>41699</v>
          </cell>
          <cell r="AQ296">
            <v>41730</v>
          </cell>
          <cell r="AR296">
            <v>41760</v>
          </cell>
          <cell r="AS296">
            <v>41791</v>
          </cell>
          <cell r="AT296">
            <v>41821</v>
          </cell>
          <cell r="AU296">
            <v>41852</v>
          </cell>
          <cell r="AV296">
            <v>41883</v>
          </cell>
          <cell r="AW296">
            <v>41913</v>
          </cell>
          <cell r="AX296">
            <v>41944</v>
          </cell>
          <cell r="AY296">
            <v>41974</v>
          </cell>
          <cell r="AZ296">
            <v>41640</v>
          </cell>
          <cell r="BA296">
            <v>41671</v>
          </cell>
          <cell r="BB296">
            <v>41699</v>
          </cell>
          <cell r="BC296">
            <v>41730</v>
          </cell>
          <cell r="BD296">
            <v>41760</v>
          </cell>
          <cell r="BE296">
            <v>41791</v>
          </cell>
          <cell r="BF296">
            <v>41821</v>
          </cell>
          <cell r="BG296">
            <v>41852</v>
          </cell>
          <cell r="BH296">
            <v>41883</v>
          </cell>
          <cell r="BI296">
            <v>41913</v>
          </cell>
          <cell r="BJ296">
            <v>41944</v>
          </cell>
          <cell r="BK296">
            <v>41974</v>
          </cell>
          <cell r="BM296" t="str">
            <v>CODE</v>
          </cell>
          <cell r="BN296">
            <v>41285</v>
          </cell>
          <cell r="BO296">
            <v>41316</v>
          </cell>
          <cell r="BP296">
            <v>41344</v>
          </cell>
          <cell r="BQ296">
            <v>41375</v>
          </cell>
          <cell r="BR296">
            <v>41405</v>
          </cell>
          <cell r="BS296">
            <v>41436</v>
          </cell>
          <cell r="BT296">
            <v>41466</v>
          </cell>
          <cell r="BU296">
            <v>41497</v>
          </cell>
          <cell r="BV296">
            <v>41528</v>
          </cell>
          <cell r="BW296">
            <v>41558</v>
          </cell>
          <cell r="BX296">
            <v>41589</v>
          </cell>
          <cell r="BY296">
            <v>41619</v>
          </cell>
          <cell r="BZ296">
            <v>41285</v>
          </cell>
          <cell r="CA296">
            <v>41316</v>
          </cell>
          <cell r="CB296">
            <v>41344</v>
          </cell>
          <cell r="CC296">
            <v>41375</v>
          </cell>
          <cell r="CD296">
            <v>41405</v>
          </cell>
          <cell r="CE296">
            <v>41436</v>
          </cell>
          <cell r="CF296">
            <v>41466</v>
          </cell>
          <cell r="CG296">
            <v>41497</v>
          </cell>
          <cell r="CH296">
            <v>41528</v>
          </cell>
          <cell r="CI296">
            <v>41558</v>
          </cell>
          <cell r="CJ296">
            <v>41589</v>
          </cell>
          <cell r="CK296">
            <v>41619</v>
          </cell>
        </row>
        <row r="297">
          <cell r="N297" t="str">
            <v>CD1</v>
          </cell>
          <cell r="O297">
            <v>1.0154662812279462</v>
          </cell>
          <cell r="P297">
            <v>0.90263669442484074</v>
          </cell>
          <cell r="Q297">
            <v>1.0154662812279462</v>
          </cell>
          <cell r="R297">
            <v>1.5796142152434716</v>
          </cell>
          <cell r="S297">
            <v>3.384887604093155</v>
          </cell>
          <cell r="T297">
            <v>2.0309325624558925</v>
          </cell>
          <cell r="U297">
            <v>2.2565917360621026</v>
          </cell>
          <cell r="V297">
            <v>2.2565917360621026</v>
          </cell>
          <cell r="W297">
            <v>6.7697752081863101</v>
          </cell>
          <cell r="X297">
            <v>2.8658715047988701</v>
          </cell>
          <cell r="Y297">
            <v>3.384887604093155</v>
          </cell>
          <cell r="Z297">
            <v>4.5131834721242052</v>
          </cell>
          <cell r="AA297">
            <v>1.0154662812279462</v>
          </cell>
          <cell r="AB297">
            <v>1.918102975652787</v>
          </cell>
          <cell r="AC297">
            <v>2.933569256880733</v>
          </cell>
          <cell r="AD297">
            <v>4.5131834721242043</v>
          </cell>
          <cell r="AE297">
            <v>7.8980710762173594</v>
          </cell>
          <cell r="AF297">
            <v>9.929003638673251</v>
          </cell>
          <cell r="AG297">
            <v>12.185595374735353</v>
          </cell>
          <cell r="AH297">
            <v>14.442187110797455</v>
          </cell>
          <cell r="AI297">
            <v>21.211962318983765</v>
          </cell>
          <cell r="AJ297">
            <v>24.077833823782637</v>
          </cell>
          <cell r="AK297">
            <v>27.462721427875792</v>
          </cell>
          <cell r="AL297">
            <v>31.975904899999996</v>
          </cell>
          <cell r="AM297" t="str">
            <v>CD1</v>
          </cell>
          <cell r="AN297">
            <v>0.17546628122795005</v>
          </cell>
          <cell r="AO297">
            <v>0.37263999999999997</v>
          </cell>
          <cell r="AP297">
            <v>-0.13</v>
          </cell>
          <cell r="AQ297">
            <v>1.25</v>
          </cell>
          <cell r="AR297">
            <v>2.0000000000000129E-2</v>
          </cell>
          <cell r="AZ297">
            <v>0.17546628122795005</v>
          </cell>
          <cell r="BA297">
            <v>0.54810628122795002</v>
          </cell>
          <cell r="BB297">
            <v>0.41810628122795002</v>
          </cell>
          <cell r="BC297">
            <v>1.6681062812279501</v>
          </cell>
          <cell r="BD297">
            <v>1.6881062812279501</v>
          </cell>
          <cell r="BE297">
            <v>1.6881062812279501</v>
          </cell>
          <cell r="BF297">
            <v>1.6881062812279501</v>
          </cell>
          <cell r="BG297">
            <v>1.6881062812279501</v>
          </cell>
          <cell r="BH297">
            <v>1.6881062812279501</v>
          </cell>
          <cell r="BI297">
            <v>1.6881062812279501</v>
          </cell>
          <cell r="BJ297">
            <v>1.6881062812279501</v>
          </cell>
          <cell r="BK297">
            <v>1.6881062812279501</v>
          </cell>
          <cell r="BM297" t="str">
            <v>CD1</v>
          </cell>
          <cell r="BZ297">
            <v>0</v>
          </cell>
          <cell r="CA297">
            <v>0</v>
          </cell>
          <cell r="CB297">
            <v>0</v>
          </cell>
          <cell r="CC297">
            <v>0</v>
          </cell>
          <cell r="CD297">
            <v>0</v>
          </cell>
          <cell r="CE297">
            <v>0</v>
          </cell>
          <cell r="CF297">
            <v>0</v>
          </cell>
          <cell r="CG297">
            <v>0</v>
          </cell>
          <cell r="CH297">
            <v>0</v>
          </cell>
          <cell r="CI297">
            <v>0</v>
          </cell>
          <cell r="CJ297">
            <v>0</v>
          </cell>
          <cell r="CK297">
            <v>0</v>
          </cell>
        </row>
        <row r="298">
          <cell r="N298" t="str">
            <v>CD2</v>
          </cell>
          <cell r="O298">
            <v>0.25544874156669017</v>
          </cell>
          <cell r="P298">
            <v>0.22706554805928009</v>
          </cell>
          <cell r="Q298">
            <v>0.25544874156669017</v>
          </cell>
          <cell r="R298">
            <v>0.39736470910374022</v>
          </cell>
          <cell r="S298">
            <v>0.85149580522230095</v>
          </cell>
          <cell r="T298">
            <v>0.51089748313338035</v>
          </cell>
          <cell r="U298">
            <v>0.56766387014820041</v>
          </cell>
          <cell r="V298">
            <v>0.56766387014820041</v>
          </cell>
          <cell r="W298">
            <v>1.7029916104446019</v>
          </cell>
          <cell r="X298">
            <v>0.72093311508821445</v>
          </cell>
          <cell r="Y298">
            <v>0.85149580522230095</v>
          </cell>
          <cell r="Z298">
            <v>1.1353277402964008</v>
          </cell>
          <cell r="AA298">
            <v>0.25544874156669017</v>
          </cell>
          <cell r="AB298">
            <v>0.48251428962597026</v>
          </cell>
          <cell r="AC298">
            <v>0.73796303119266038</v>
          </cell>
          <cell r="AD298">
            <v>1.1353277402964006</v>
          </cell>
          <cell r="AE298">
            <v>1.9868235455187016</v>
          </cell>
          <cell r="AF298">
            <v>2.4977210286520819</v>
          </cell>
          <cell r="AG298">
            <v>3.0653848988002821</v>
          </cell>
          <cell r="AH298">
            <v>3.6330487689484823</v>
          </cell>
          <cell r="AI298">
            <v>5.3360403793930846</v>
          </cell>
          <cell r="AJ298">
            <v>6.0569734944812987</v>
          </cell>
          <cell r="AK298">
            <v>6.9084692997035999</v>
          </cell>
          <cell r="AL298">
            <v>8.0437970400000012</v>
          </cell>
          <cell r="AM298" t="str">
            <v>CD2</v>
          </cell>
          <cell r="AN298">
            <v>4.5448741566690015E-2</v>
          </cell>
          <cell r="AO298">
            <v>8.7069999999999981E-2</v>
          </cell>
          <cell r="AP298">
            <v>0.73</v>
          </cell>
          <cell r="AQ298">
            <v>0.25</v>
          </cell>
          <cell r="AR298">
            <v>7.0000000000000034E-2</v>
          </cell>
          <cell r="AZ298">
            <v>4.5448741566690015E-2</v>
          </cell>
          <cell r="BA298">
            <v>0.13251874156669</v>
          </cell>
          <cell r="BB298">
            <v>0.86251874156668995</v>
          </cell>
          <cell r="BC298">
            <v>1.11251874156669</v>
          </cell>
          <cell r="BD298">
            <v>1.18251874156669</v>
          </cell>
          <cell r="BE298">
            <v>1.18251874156669</v>
          </cell>
          <cell r="BF298">
            <v>1.18251874156669</v>
          </cell>
          <cell r="BG298">
            <v>1.18251874156669</v>
          </cell>
          <cell r="BH298">
            <v>1.18251874156669</v>
          </cell>
          <cell r="BI298">
            <v>1.18251874156669</v>
          </cell>
          <cell r="BJ298">
            <v>1.18251874156669</v>
          </cell>
          <cell r="BK298">
            <v>1.18251874156669</v>
          </cell>
          <cell r="BM298" t="str">
            <v>CD2</v>
          </cell>
          <cell r="BZ298">
            <v>0</v>
          </cell>
          <cell r="CA298">
            <v>0</v>
          </cell>
          <cell r="CB298">
            <v>0</v>
          </cell>
          <cell r="CC298">
            <v>0</v>
          </cell>
          <cell r="CD298">
            <v>0</v>
          </cell>
          <cell r="CE298">
            <v>0</v>
          </cell>
          <cell r="CF298">
            <v>0</v>
          </cell>
          <cell r="CG298">
            <v>0</v>
          </cell>
          <cell r="CH298">
            <v>0</v>
          </cell>
          <cell r="CI298">
            <v>0</v>
          </cell>
          <cell r="CJ298">
            <v>0</v>
          </cell>
          <cell r="CK298">
            <v>0</v>
          </cell>
        </row>
        <row r="299">
          <cell r="N299" t="str">
            <v>CD3</v>
          </cell>
          <cell r="O299">
            <v>0</v>
          </cell>
          <cell r="P299">
            <v>0</v>
          </cell>
          <cell r="Q299">
            <v>0</v>
          </cell>
          <cell r="R299">
            <v>0.66666666666666663</v>
          </cell>
          <cell r="S299">
            <v>0.66666666666666663</v>
          </cell>
          <cell r="T299">
            <v>0.66666666666666663</v>
          </cell>
          <cell r="U299">
            <v>0.66666666666666663</v>
          </cell>
          <cell r="V299">
            <v>0.66666666666666663</v>
          </cell>
          <cell r="W299">
            <v>0.66666666666666663</v>
          </cell>
          <cell r="X299">
            <v>0.66666666666666663</v>
          </cell>
          <cell r="Y299">
            <v>0.66666666666666663</v>
          </cell>
          <cell r="Z299">
            <v>0.66666666666666663</v>
          </cell>
          <cell r="AA299">
            <v>0</v>
          </cell>
          <cell r="AB299">
            <v>0</v>
          </cell>
          <cell r="AC299">
            <v>0</v>
          </cell>
          <cell r="AD299">
            <v>0.66666666666666663</v>
          </cell>
          <cell r="AE299">
            <v>1.3333333333333333</v>
          </cell>
          <cell r="AF299">
            <v>2</v>
          </cell>
          <cell r="AG299">
            <v>2.6666666666666665</v>
          </cell>
          <cell r="AH299">
            <v>3.333333333333333</v>
          </cell>
          <cell r="AI299">
            <v>3.9999999999999996</v>
          </cell>
          <cell r="AJ299">
            <v>4.6666666666666661</v>
          </cell>
          <cell r="AK299">
            <v>5.333333333333333</v>
          </cell>
          <cell r="AL299">
            <v>6</v>
          </cell>
          <cell r="AM299" t="str">
            <v>CD3</v>
          </cell>
          <cell r="AN299">
            <v>0</v>
          </cell>
          <cell r="AR299">
            <v>0.5</v>
          </cell>
          <cell r="AZ299">
            <v>0</v>
          </cell>
          <cell r="BA299">
            <v>0</v>
          </cell>
          <cell r="BB299">
            <v>0</v>
          </cell>
          <cell r="BC299">
            <v>0</v>
          </cell>
          <cell r="BD299">
            <v>0.5</v>
          </cell>
          <cell r="BE299">
            <v>0.5</v>
          </cell>
          <cell r="BF299">
            <v>0.5</v>
          </cell>
          <cell r="BG299">
            <v>0.5</v>
          </cell>
          <cell r="BH299">
            <v>0.5</v>
          </cell>
          <cell r="BI299">
            <v>0.5</v>
          </cell>
          <cell r="BJ299">
            <v>0.5</v>
          </cell>
          <cell r="BK299">
            <v>0.5</v>
          </cell>
          <cell r="BM299" t="str">
            <v>CD3</v>
          </cell>
          <cell r="BZ299">
            <v>0</v>
          </cell>
          <cell r="CA299">
            <v>0</v>
          </cell>
          <cell r="CB299">
            <v>0</v>
          </cell>
          <cell r="CC299">
            <v>0</v>
          </cell>
          <cell r="CD299">
            <v>0</v>
          </cell>
          <cell r="CE299">
            <v>0</v>
          </cell>
          <cell r="CF299">
            <v>0</v>
          </cell>
          <cell r="CG299">
            <v>0</v>
          </cell>
          <cell r="CH299">
            <v>0</v>
          </cell>
          <cell r="CI299">
            <v>0</v>
          </cell>
          <cell r="CJ299">
            <v>0</v>
          </cell>
          <cell r="CK299">
            <v>0</v>
          </cell>
        </row>
        <row r="300">
          <cell r="N300" t="str">
            <v>TTL</v>
          </cell>
          <cell r="O300">
            <v>1.2709150227946364</v>
          </cell>
          <cell r="P300">
            <v>1.1297022424841208</v>
          </cell>
          <cell r="Q300">
            <v>1.2709150227946364</v>
          </cell>
          <cell r="R300">
            <v>2.6436455910138785</v>
          </cell>
          <cell r="S300">
            <v>4.9030500759821232</v>
          </cell>
          <cell r="T300">
            <v>3.2084967122559394</v>
          </cell>
          <cell r="U300">
            <v>3.4909222728769698</v>
          </cell>
          <cell r="V300">
            <v>3.4909222728769698</v>
          </cell>
          <cell r="W300">
            <v>9.1394334852975785</v>
          </cell>
          <cell r="X300">
            <v>4.2534712865537516</v>
          </cell>
          <cell r="Y300">
            <v>4.9030500759821232</v>
          </cell>
          <cell r="Z300">
            <v>6.3151778790872735</v>
          </cell>
          <cell r="AA300">
            <v>1.2709150227946364</v>
          </cell>
          <cell r="AB300">
            <v>2.4006172652787572</v>
          </cell>
          <cell r="AC300">
            <v>3.6715322880733936</v>
          </cell>
          <cell r="AD300">
            <v>6.3151778790872717</v>
          </cell>
          <cell r="AE300">
            <v>11.218227955069395</v>
          </cell>
          <cell r="AF300">
            <v>14.426724667325333</v>
          </cell>
          <cell r="AG300">
            <v>17.917646940202303</v>
          </cell>
          <cell r="AH300">
            <v>21.408569213079272</v>
          </cell>
          <cell r="AI300">
            <v>30.548002698376848</v>
          </cell>
          <cell r="AJ300">
            <v>34.801473984930603</v>
          </cell>
          <cell r="AK300">
            <v>39.704524060912725</v>
          </cell>
          <cell r="AL300">
            <v>46.019701939999997</v>
          </cell>
          <cell r="AN300">
            <v>0.22091502279464006</v>
          </cell>
          <cell r="AO300">
            <v>0.45970999999999995</v>
          </cell>
          <cell r="AP300">
            <v>0.6</v>
          </cell>
          <cell r="AQ300">
            <v>1.5</v>
          </cell>
          <cell r="AR300">
            <v>0.59000000000000019</v>
          </cell>
          <cell r="AS300">
            <v>0</v>
          </cell>
          <cell r="AT300">
            <v>0</v>
          </cell>
          <cell r="AU300">
            <v>0</v>
          </cell>
          <cell r="AV300">
            <v>0</v>
          </cell>
          <cell r="AW300">
            <v>0</v>
          </cell>
          <cell r="AX300">
            <v>0</v>
          </cell>
          <cell r="AY300">
            <v>0</v>
          </cell>
          <cell r="AZ300">
            <v>0.22091502279464006</v>
          </cell>
          <cell r="BA300">
            <v>0.68062502279463999</v>
          </cell>
          <cell r="BB300">
            <v>1.2806250227946401</v>
          </cell>
          <cell r="BC300">
            <v>2.7806250227946401</v>
          </cell>
          <cell r="BD300">
            <v>3.3706250227946404</v>
          </cell>
          <cell r="BE300">
            <v>3.3706250227946404</v>
          </cell>
          <cell r="BF300">
            <v>3.3706250227946404</v>
          </cell>
          <cell r="BG300">
            <v>3.3706250227946404</v>
          </cell>
          <cell r="BH300">
            <v>3.3706250227946404</v>
          </cell>
          <cell r="BI300">
            <v>3.3706250227946404</v>
          </cell>
          <cell r="BJ300">
            <v>3.3706250227946404</v>
          </cell>
          <cell r="BK300">
            <v>3.3706250227946404</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4">
          <cell r="N304">
            <v>0</v>
          </cell>
          <cell r="O304" t="str">
            <v>Budget</v>
          </cell>
          <cell r="P304" t="str">
            <v>Budget</v>
          </cell>
          <cell r="Q304" t="str">
            <v>Budget</v>
          </cell>
          <cell r="R304" t="str">
            <v>Budget</v>
          </cell>
          <cell r="S304" t="str">
            <v>Budget</v>
          </cell>
          <cell r="T304" t="str">
            <v>Budget</v>
          </cell>
          <cell r="U304" t="str">
            <v>Budget</v>
          </cell>
          <cell r="V304" t="str">
            <v>Budget</v>
          </cell>
          <cell r="W304" t="str">
            <v>Budget</v>
          </cell>
          <cell r="X304" t="str">
            <v>Budget</v>
          </cell>
          <cell r="Y304" t="str">
            <v>Budget</v>
          </cell>
          <cell r="Z304" t="str">
            <v>Budget</v>
          </cell>
          <cell r="AA304" t="str">
            <v>Cum_bud</v>
          </cell>
          <cell r="AB304" t="str">
            <v>Cum_bud</v>
          </cell>
          <cell r="AC304" t="str">
            <v>Cum_bud</v>
          </cell>
          <cell r="AD304" t="str">
            <v>Cum_bud</v>
          </cell>
          <cell r="AE304" t="str">
            <v>Cum_bud</v>
          </cell>
          <cell r="AF304" t="str">
            <v>Cum_bud</v>
          </cell>
          <cell r="AG304" t="str">
            <v>Cum_bud</v>
          </cell>
          <cell r="AH304" t="str">
            <v>Cum_bud</v>
          </cell>
          <cell r="AI304" t="str">
            <v>Cum_bud</v>
          </cell>
          <cell r="AJ304" t="str">
            <v>Cum_bud</v>
          </cell>
          <cell r="AK304" t="str">
            <v>Cum_bud</v>
          </cell>
          <cell r="AL304" t="str">
            <v>Cum_bud</v>
          </cell>
          <cell r="AM304">
            <v>0</v>
          </cell>
          <cell r="AN304" t="str">
            <v>Actual</v>
          </cell>
          <cell r="AO304" t="str">
            <v>Actual</v>
          </cell>
          <cell r="AP304" t="str">
            <v>Actual</v>
          </cell>
          <cell r="AQ304" t="str">
            <v>Actual</v>
          </cell>
          <cell r="AR304" t="str">
            <v>Actual</v>
          </cell>
          <cell r="AS304" t="str">
            <v>Actual</v>
          </cell>
          <cell r="AT304" t="str">
            <v>Actual</v>
          </cell>
          <cell r="AU304" t="str">
            <v>Actual</v>
          </cell>
          <cell r="AV304" t="str">
            <v>Actual</v>
          </cell>
          <cell r="AW304" t="str">
            <v>Actual</v>
          </cell>
          <cell r="AX304" t="str">
            <v>Actual</v>
          </cell>
          <cell r="AY304" t="str">
            <v>Actual</v>
          </cell>
          <cell r="AZ304" t="str">
            <v>Cum_Actu</v>
          </cell>
          <cell r="BA304" t="str">
            <v>Cum_Actu</v>
          </cell>
          <cell r="BB304" t="str">
            <v>Cum_Actu</v>
          </cell>
          <cell r="BC304" t="str">
            <v>Cum_Actu</v>
          </cell>
          <cell r="BD304" t="str">
            <v>Cum_Actu</v>
          </cell>
          <cell r="BE304" t="str">
            <v>Cum_Actu</v>
          </cell>
          <cell r="BF304" t="str">
            <v>Cum_Actu</v>
          </cell>
          <cell r="BG304" t="str">
            <v>Cum_Actu</v>
          </cell>
          <cell r="BH304" t="str">
            <v>Cum_Actu</v>
          </cell>
          <cell r="BI304" t="str">
            <v>Cum_Actu</v>
          </cell>
          <cell r="BJ304" t="str">
            <v>Cum_Actu</v>
          </cell>
          <cell r="BK304" t="str">
            <v>Cum_Actu</v>
          </cell>
          <cell r="BN304" t="str">
            <v>Actual</v>
          </cell>
          <cell r="BO304" t="str">
            <v>Actual</v>
          </cell>
          <cell r="BP304" t="str">
            <v>Actual</v>
          </cell>
          <cell r="BQ304" t="str">
            <v>Actual</v>
          </cell>
          <cell r="BR304" t="str">
            <v>Actual</v>
          </cell>
          <cell r="BS304" t="str">
            <v>Actual</v>
          </cell>
          <cell r="BT304" t="str">
            <v>Actual</v>
          </cell>
          <cell r="BU304" t="str">
            <v>Actual</v>
          </cell>
          <cell r="BV304" t="str">
            <v>Actual</v>
          </cell>
          <cell r="BW304" t="str">
            <v>Actual</v>
          </cell>
          <cell r="BX304" t="str">
            <v>Actual</v>
          </cell>
          <cell r="BY304" t="str">
            <v>Actual</v>
          </cell>
          <cell r="BZ304" t="str">
            <v>Cum_Actu</v>
          </cell>
          <cell r="CA304" t="str">
            <v>Cum_Actu</v>
          </cell>
          <cell r="CB304" t="str">
            <v>Cum_Actu</v>
          </cell>
          <cell r="CC304" t="str">
            <v>Cum_Actu</v>
          </cell>
          <cell r="CD304" t="str">
            <v>Cum_Actu</v>
          </cell>
          <cell r="CE304" t="str">
            <v>Cum_Actu</v>
          </cell>
          <cell r="CF304" t="str">
            <v>Cum_Actu</v>
          </cell>
          <cell r="CG304" t="str">
            <v>Cum_Actu</v>
          </cell>
          <cell r="CH304" t="str">
            <v>Cum_Actu</v>
          </cell>
          <cell r="CI304" t="str">
            <v>Cum_Actu</v>
          </cell>
          <cell r="CJ304" t="str">
            <v>Cum_Actu</v>
          </cell>
          <cell r="CK304" t="str">
            <v>Cum_Actu</v>
          </cell>
        </row>
        <row r="305">
          <cell r="N305" t="str">
            <v>Code</v>
          </cell>
          <cell r="O305">
            <v>41640</v>
          </cell>
          <cell r="P305">
            <v>41671</v>
          </cell>
          <cell r="Q305">
            <v>41699</v>
          </cell>
          <cell r="R305">
            <v>41730</v>
          </cell>
          <cell r="S305">
            <v>41760</v>
          </cell>
          <cell r="T305">
            <v>41791</v>
          </cell>
          <cell r="U305">
            <v>41821</v>
          </cell>
          <cell r="V305">
            <v>41852</v>
          </cell>
          <cell r="W305">
            <v>41883</v>
          </cell>
          <cell r="X305">
            <v>41913</v>
          </cell>
          <cell r="Y305">
            <v>41944</v>
          </cell>
          <cell r="Z305">
            <v>41974</v>
          </cell>
          <cell r="AA305">
            <v>41640</v>
          </cell>
          <cell r="AB305">
            <v>41671</v>
          </cell>
          <cell r="AC305">
            <v>41699</v>
          </cell>
          <cell r="AD305">
            <v>41730</v>
          </cell>
          <cell r="AE305">
            <v>41760</v>
          </cell>
          <cell r="AF305">
            <v>41791</v>
          </cell>
          <cell r="AG305">
            <v>41821</v>
          </cell>
          <cell r="AH305">
            <v>41852</v>
          </cell>
          <cell r="AI305">
            <v>41883</v>
          </cell>
          <cell r="AJ305">
            <v>41913</v>
          </cell>
          <cell r="AK305">
            <v>41944</v>
          </cell>
          <cell r="AL305">
            <v>41974</v>
          </cell>
          <cell r="AM305" t="str">
            <v>Code</v>
          </cell>
          <cell r="AN305">
            <v>41640</v>
          </cell>
          <cell r="AO305">
            <v>41671</v>
          </cell>
          <cell r="AP305">
            <v>41699</v>
          </cell>
          <cell r="AQ305">
            <v>41730</v>
          </cell>
          <cell r="AR305">
            <v>41760</v>
          </cell>
          <cell r="AS305">
            <v>41791</v>
          </cell>
          <cell r="AT305">
            <v>41821</v>
          </cell>
          <cell r="AU305">
            <v>41852</v>
          </cell>
          <cell r="AV305">
            <v>41883</v>
          </cell>
          <cell r="AW305">
            <v>41913</v>
          </cell>
          <cell r="AX305">
            <v>41944</v>
          </cell>
          <cell r="AY305">
            <v>41974</v>
          </cell>
          <cell r="AZ305">
            <v>41640</v>
          </cell>
          <cell r="BA305">
            <v>41671</v>
          </cell>
          <cell r="BB305">
            <v>41699</v>
          </cell>
          <cell r="BC305">
            <v>41730</v>
          </cell>
          <cell r="BD305">
            <v>41760</v>
          </cell>
          <cell r="BE305">
            <v>41791</v>
          </cell>
          <cell r="BF305">
            <v>41821</v>
          </cell>
          <cell r="BG305">
            <v>41852</v>
          </cell>
          <cell r="BH305">
            <v>41883</v>
          </cell>
          <cell r="BI305">
            <v>41913</v>
          </cell>
          <cell r="BJ305">
            <v>41944</v>
          </cell>
          <cell r="BK305">
            <v>41974</v>
          </cell>
          <cell r="BM305" t="str">
            <v>CODE</v>
          </cell>
          <cell r="BN305">
            <v>41285</v>
          </cell>
          <cell r="BO305">
            <v>41316</v>
          </cell>
          <cell r="BP305">
            <v>41344</v>
          </cell>
          <cell r="BQ305">
            <v>41375</v>
          </cell>
          <cell r="BR305">
            <v>41405</v>
          </cell>
          <cell r="BS305">
            <v>41436</v>
          </cell>
          <cell r="BT305">
            <v>41466</v>
          </cell>
          <cell r="BU305">
            <v>41497</v>
          </cell>
          <cell r="BV305">
            <v>41528</v>
          </cell>
          <cell r="BW305">
            <v>41558</v>
          </cell>
          <cell r="BX305">
            <v>41589</v>
          </cell>
          <cell r="BY305">
            <v>41619</v>
          </cell>
          <cell r="BZ305">
            <v>41285</v>
          </cell>
          <cell r="CA305">
            <v>41316</v>
          </cell>
          <cell r="CB305">
            <v>41344</v>
          </cell>
          <cell r="CC305">
            <v>41375</v>
          </cell>
          <cell r="CD305">
            <v>41405</v>
          </cell>
          <cell r="CE305">
            <v>41436</v>
          </cell>
          <cell r="CF305">
            <v>41466</v>
          </cell>
          <cell r="CG305">
            <v>41497</v>
          </cell>
          <cell r="CH305">
            <v>41528</v>
          </cell>
          <cell r="CI305">
            <v>41558</v>
          </cell>
          <cell r="CJ305">
            <v>41589</v>
          </cell>
          <cell r="CK305">
            <v>41619</v>
          </cell>
        </row>
        <row r="306">
          <cell r="N306" t="str">
            <v>EM01</v>
          </cell>
          <cell r="O306">
            <v>2.25</v>
          </cell>
          <cell r="P306">
            <v>2.25</v>
          </cell>
          <cell r="Q306">
            <v>2.25</v>
          </cell>
          <cell r="R306">
            <v>2.25</v>
          </cell>
          <cell r="S306">
            <v>2.25</v>
          </cell>
          <cell r="T306">
            <v>2.25</v>
          </cell>
          <cell r="U306">
            <v>2.25</v>
          </cell>
          <cell r="V306">
            <v>2.25</v>
          </cell>
          <cell r="W306">
            <v>2.25</v>
          </cell>
          <cell r="X306">
            <v>2.25</v>
          </cell>
          <cell r="Y306">
            <v>2.25</v>
          </cell>
          <cell r="Z306">
            <v>2.25</v>
          </cell>
          <cell r="AA306">
            <v>2.25</v>
          </cell>
          <cell r="AB306">
            <v>4.5</v>
          </cell>
          <cell r="AC306">
            <v>6.75</v>
          </cell>
          <cell r="AD306">
            <v>9</v>
          </cell>
          <cell r="AE306">
            <v>11.25</v>
          </cell>
          <cell r="AF306">
            <v>13.5</v>
          </cell>
          <cell r="AG306">
            <v>15.75</v>
          </cell>
          <cell r="AH306">
            <v>18</v>
          </cell>
          <cell r="AI306">
            <v>20.25</v>
          </cell>
          <cell r="AJ306">
            <v>22.5</v>
          </cell>
          <cell r="AK306">
            <v>24.75</v>
          </cell>
          <cell r="AL306">
            <v>27</v>
          </cell>
          <cell r="AM306" t="str">
            <v>EM01</v>
          </cell>
          <cell r="AN306">
            <v>0</v>
          </cell>
          <cell r="AO306">
            <v>0</v>
          </cell>
          <cell r="AZ306">
            <v>0</v>
          </cell>
          <cell r="BA306">
            <v>0</v>
          </cell>
          <cell r="BB306">
            <v>0</v>
          </cell>
          <cell r="BC306">
            <v>0</v>
          </cell>
          <cell r="BD306">
            <v>0</v>
          </cell>
          <cell r="BE306">
            <v>0</v>
          </cell>
          <cell r="BF306">
            <v>0</v>
          </cell>
          <cell r="BG306">
            <v>0</v>
          </cell>
          <cell r="BH306">
            <v>0</v>
          </cell>
          <cell r="BI306">
            <v>0</v>
          </cell>
          <cell r="BJ306">
            <v>0</v>
          </cell>
          <cell r="BK306">
            <v>0</v>
          </cell>
          <cell r="BM306" t="str">
            <v>EM01</v>
          </cell>
          <cell r="BZ306">
            <v>0</v>
          </cell>
          <cell r="CA306">
            <v>0</v>
          </cell>
          <cell r="CB306">
            <v>0</v>
          </cell>
          <cell r="CC306">
            <v>0</v>
          </cell>
          <cell r="CD306">
            <v>0</v>
          </cell>
          <cell r="CE306">
            <v>0</v>
          </cell>
          <cell r="CF306">
            <v>0</v>
          </cell>
          <cell r="CG306">
            <v>0</v>
          </cell>
          <cell r="CH306">
            <v>0</v>
          </cell>
          <cell r="CI306">
            <v>0</v>
          </cell>
          <cell r="CJ306">
            <v>0</v>
          </cell>
          <cell r="CK306">
            <v>0</v>
          </cell>
        </row>
        <row r="307">
          <cell r="N307" t="str">
            <v>EM02</v>
          </cell>
          <cell r="O307">
            <v>0.79999999999999993</v>
          </cell>
          <cell r="P307">
            <v>0.79999999999999993</v>
          </cell>
          <cell r="Q307">
            <v>0.79999999999999993</v>
          </cell>
          <cell r="R307">
            <v>0.79999999999999993</v>
          </cell>
          <cell r="S307">
            <v>0.79999999999999993</v>
          </cell>
          <cell r="T307">
            <v>0.79999999999999993</v>
          </cell>
          <cell r="U307">
            <v>0.79999999999999993</v>
          </cell>
          <cell r="V307">
            <v>0.79999999999999993</v>
          </cell>
          <cell r="W307">
            <v>0.79999999999999993</v>
          </cell>
          <cell r="X307">
            <v>0.79999999999999993</v>
          </cell>
          <cell r="Y307">
            <v>0.79999999999999993</v>
          </cell>
          <cell r="Z307">
            <v>0.79999999999999993</v>
          </cell>
          <cell r="AA307">
            <v>0.79999999999999993</v>
          </cell>
          <cell r="AB307">
            <v>1.5999999999999999</v>
          </cell>
          <cell r="AC307">
            <v>2.4</v>
          </cell>
          <cell r="AD307">
            <v>3.1999999999999997</v>
          </cell>
          <cell r="AE307">
            <v>3.9999999999999996</v>
          </cell>
          <cell r="AF307">
            <v>4.8</v>
          </cell>
          <cell r="AG307">
            <v>5.6</v>
          </cell>
          <cell r="AH307">
            <v>6.3999999999999995</v>
          </cell>
          <cell r="AI307">
            <v>7.1999999999999993</v>
          </cell>
          <cell r="AJ307">
            <v>7.9999999999999991</v>
          </cell>
          <cell r="AK307">
            <v>8.7999999999999989</v>
          </cell>
          <cell r="AL307">
            <v>9.6</v>
          </cell>
          <cell r="AM307" t="str">
            <v>EM02</v>
          </cell>
          <cell r="AN307">
            <v>0.79999999999999993</v>
          </cell>
          <cell r="AO307">
            <v>0.8</v>
          </cell>
          <cell r="AP307">
            <v>0.2</v>
          </cell>
          <cell r="AQ307">
            <v>0.8</v>
          </cell>
          <cell r="AR307">
            <v>0.8</v>
          </cell>
          <cell r="AZ307">
            <v>0.79999999999999993</v>
          </cell>
          <cell r="BA307">
            <v>1.6</v>
          </cell>
          <cell r="BB307">
            <v>1.8</v>
          </cell>
          <cell r="BC307">
            <v>2.6</v>
          </cell>
          <cell r="BD307">
            <v>3.4000000000000004</v>
          </cell>
          <cell r="BE307">
            <v>3.4000000000000004</v>
          </cell>
          <cell r="BF307">
            <v>3.4000000000000004</v>
          </cell>
          <cell r="BG307">
            <v>3.4000000000000004</v>
          </cell>
          <cell r="BH307">
            <v>3.4000000000000004</v>
          </cell>
          <cell r="BI307">
            <v>3.4000000000000004</v>
          </cell>
          <cell r="BJ307">
            <v>3.4000000000000004</v>
          </cell>
          <cell r="BK307">
            <v>3.4000000000000004</v>
          </cell>
          <cell r="BM307" t="str">
            <v>EM02</v>
          </cell>
          <cell r="BZ307">
            <v>0</v>
          </cell>
          <cell r="CA307">
            <v>0</v>
          </cell>
          <cell r="CB307">
            <v>0</v>
          </cell>
          <cell r="CC307">
            <v>0</v>
          </cell>
          <cell r="CD307">
            <v>0</v>
          </cell>
          <cell r="CE307">
            <v>0</v>
          </cell>
          <cell r="CF307">
            <v>0</v>
          </cell>
          <cell r="CG307">
            <v>0</v>
          </cell>
          <cell r="CH307">
            <v>0</v>
          </cell>
          <cell r="CI307">
            <v>0</v>
          </cell>
          <cell r="CJ307">
            <v>0</v>
          </cell>
          <cell r="CK307">
            <v>0</v>
          </cell>
        </row>
        <row r="308">
          <cell r="N308" t="str">
            <v>EM03</v>
          </cell>
          <cell r="O308">
            <v>4.2862457762879318</v>
          </cell>
          <cell r="P308">
            <v>3.8099962455892711</v>
          </cell>
          <cell r="Q308">
            <v>4.2862457762879318</v>
          </cell>
          <cell r="R308">
            <v>6.6674934297812261</v>
          </cell>
          <cell r="S308">
            <v>14.287485920959776</v>
          </cell>
          <cell r="T308">
            <v>8.5724915525758636</v>
          </cell>
          <cell r="U308">
            <v>9.5249906139731824</v>
          </cell>
          <cell r="V308">
            <v>9.5249906139731824</v>
          </cell>
          <cell r="W308">
            <v>28.574971841919552</v>
          </cell>
          <cell r="X308">
            <v>12.096738079745938</v>
          </cell>
          <cell r="Y308">
            <v>14.287485920959776</v>
          </cell>
          <cell r="Z308">
            <v>19.049981227946365</v>
          </cell>
          <cell r="AA308">
            <v>4.2862457762879318</v>
          </cell>
          <cell r="AB308">
            <v>8.0962420218772024</v>
          </cell>
          <cell r="AC308">
            <v>12.382487798165133</v>
          </cell>
          <cell r="AD308">
            <v>19.049981227946361</v>
          </cell>
          <cell r="AE308">
            <v>33.337467148906136</v>
          </cell>
          <cell r="AF308">
            <v>41.909958701481997</v>
          </cell>
          <cell r="AG308">
            <v>51.434949315455178</v>
          </cell>
          <cell r="AH308">
            <v>60.959939929428359</v>
          </cell>
          <cell r="AI308">
            <v>89.534911771347907</v>
          </cell>
          <cell r="AJ308">
            <v>101.63164985109384</v>
          </cell>
          <cell r="AK308">
            <v>115.91913577205362</v>
          </cell>
          <cell r="AL308">
            <v>134.96911699999998</v>
          </cell>
          <cell r="AM308" t="str">
            <v>EM03</v>
          </cell>
          <cell r="AN308">
            <v>8.6245776287929843E-2</v>
          </cell>
          <cell r="AO308">
            <v>1</v>
          </cell>
          <cell r="AP308">
            <v>2.48</v>
          </cell>
          <cell r="AQ308">
            <v>3.41</v>
          </cell>
          <cell r="AR308">
            <v>7.08</v>
          </cell>
          <cell r="AZ308">
            <v>8.6245776287929843E-2</v>
          </cell>
          <cell r="BA308">
            <v>1.0862457762879298</v>
          </cell>
          <cell r="BB308">
            <v>3.5662457762879298</v>
          </cell>
          <cell r="BC308">
            <v>6.9762457762879304</v>
          </cell>
          <cell r="BD308">
            <v>14.05624577628793</v>
          </cell>
          <cell r="BE308">
            <v>14.05624577628793</v>
          </cell>
          <cell r="BF308">
            <v>14.05624577628793</v>
          </cell>
          <cell r="BG308">
            <v>14.05624577628793</v>
          </cell>
          <cell r="BH308">
            <v>14.05624577628793</v>
          </cell>
          <cell r="BI308">
            <v>14.05624577628793</v>
          </cell>
          <cell r="BJ308">
            <v>14.05624577628793</v>
          </cell>
          <cell r="BK308">
            <v>14.05624577628793</v>
          </cell>
          <cell r="BM308" t="str">
            <v>EM03</v>
          </cell>
          <cell r="BZ308">
            <v>0</v>
          </cell>
          <cell r="CA308">
            <v>0</v>
          </cell>
          <cell r="CB308">
            <v>0</v>
          </cell>
          <cell r="CC308">
            <v>0</v>
          </cell>
          <cell r="CD308">
            <v>0</v>
          </cell>
          <cell r="CE308">
            <v>0</v>
          </cell>
          <cell r="CF308">
            <v>0</v>
          </cell>
          <cell r="CG308">
            <v>0</v>
          </cell>
          <cell r="CH308">
            <v>0</v>
          </cell>
          <cell r="CI308">
            <v>0</v>
          </cell>
          <cell r="CJ308">
            <v>0</v>
          </cell>
          <cell r="CK308">
            <v>0</v>
          </cell>
        </row>
        <row r="309">
          <cell r="N309" t="str">
            <v>EM04</v>
          </cell>
          <cell r="O309">
            <v>0.86300250529287215</v>
          </cell>
          <cell r="P309">
            <v>0.76711333803810833</v>
          </cell>
          <cell r="Q309">
            <v>0.86300250529287215</v>
          </cell>
          <cell r="R309">
            <v>1.3424483415666897</v>
          </cell>
          <cell r="S309">
            <v>2.8766750176429081</v>
          </cell>
          <cell r="T309">
            <v>1.7260050105857443</v>
          </cell>
          <cell r="U309">
            <v>1.9177833450952715</v>
          </cell>
          <cell r="V309">
            <v>1.9177833450952715</v>
          </cell>
          <cell r="W309">
            <v>5.7533500352858162</v>
          </cell>
          <cell r="X309">
            <v>2.4355848482709943</v>
          </cell>
          <cell r="Y309">
            <v>2.8766750176429081</v>
          </cell>
          <cell r="Z309">
            <v>3.835566690190543</v>
          </cell>
          <cell r="AA309">
            <v>0.86300250529287215</v>
          </cell>
          <cell r="AB309">
            <v>1.6301158433309806</v>
          </cell>
          <cell r="AC309">
            <v>2.4931183486238528</v>
          </cell>
          <cell r="AD309">
            <v>3.8355666901905425</v>
          </cell>
          <cell r="AE309">
            <v>6.7122417078334511</v>
          </cell>
          <cell r="AF309">
            <v>8.4382467184191956</v>
          </cell>
          <cell r="AG309">
            <v>10.356030063514467</v>
          </cell>
          <cell r="AH309">
            <v>12.273813408609739</v>
          </cell>
          <cell r="AI309">
            <v>18.027163443895553</v>
          </cell>
          <cell r="AJ309">
            <v>20.462748292166548</v>
          </cell>
          <cell r="AK309">
            <v>23.339423309809455</v>
          </cell>
          <cell r="AL309">
            <v>27.174989999999998</v>
          </cell>
          <cell r="AM309" t="str">
            <v>EM04</v>
          </cell>
          <cell r="AN309">
            <v>0.86300250529287215</v>
          </cell>
          <cell r="AO309">
            <v>0</v>
          </cell>
          <cell r="AP309">
            <v>0.39</v>
          </cell>
          <cell r="AQ309">
            <v>0.34</v>
          </cell>
          <cell r="AR309">
            <v>1</v>
          </cell>
          <cell r="AZ309">
            <v>0.86300250529287215</v>
          </cell>
          <cell r="BA309">
            <v>0.86300250529287215</v>
          </cell>
          <cell r="BB309">
            <v>1.2530025052928722</v>
          </cell>
          <cell r="BC309">
            <v>1.5930025052928722</v>
          </cell>
          <cell r="BD309">
            <v>2.5930025052928722</v>
          </cell>
          <cell r="BE309">
            <v>2.5930025052928722</v>
          </cell>
          <cell r="BF309">
            <v>2.5930025052928722</v>
          </cell>
          <cell r="BG309">
            <v>2.5930025052928722</v>
          </cell>
          <cell r="BH309">
            <v>2.5930025052928722</v>
          </cell>
          <cell r="BI309">
            <v>2.5930025052928722</v>
          </cell>
          <cell r="BJ309">
            <v>2.5930025052928722</v>
          </cell>
          <cell r="BK309">
            <v>2.5930025052928722</v>
          </cell>
          <cell r="BM309" t="str">
            <v>EM04</v>
          </cell>
          <cell r="BZ309">
            <v>0</v>
          </cell>
          <cell r="CA309">
            <v>0</v>
          </cell>
          <cell r="CB309">
            <v>0</v>
          </cell>
          <cell r="CC309">
            <v>0</v>
          </cell>
          <cell r="CD309">
            <v>0</v>
          </cell>
          <cell r="CE309">
            <v>0</v>
          </cell>
          <cell r="CF309">
            <v>0</v>
          </cell>
          <cell r="CG309">
            <v>0</v>
          </cell>
          <cell r="CH309">
            <v>0</v>
          </cell>
          <cell r="CI309">
            <v>0</v>
          </cell>
          <cell r="CJ309">
            <v>0</v>
          </cell>
          <cell r="CK309">
            <v>0</v>
          </cell>
        </row>
        <row r="310">
          <cell r="N310" t="str">
            <v>EM05</v>
          </cell>
          <cell r="O310">
            <v>0.14383375088214537</v>
          </cell>
          <cell r="P310">
            <v>0.12785222300635141</v>
          </cell>
          <cell r="Q310">
            <v>0.14383375088214537</v>
          </cell>
          <cell r="R310">
            <v>0.22374139026111498</v>
          </cell>
          <cell r="S310">
            <v>0.47944583627381804</v>
          </cell>
          <cell r="T310">
            <v>0.28766750176429073</v>
          </cell>
          <cell r="U310">
            <v>0.3196305575158786</v>
          </cell>
          <cell r="V310">
            <v>0.3196305575158786</v>
          </cell>
          <cell r="W310">
            <v>0.95889167254763608</v>
          </cell>
          <cell r="X310">
            <v>0.40593080804516574</v>
          </cell>
          <cell r="Y310">
            <v>0.47944583627381804</v>
          </cell>
          <cell r="Z310">
            <v>0.6392611150317572</v>
          </cell>
          <cell r="AA310">
            <v>0.14383375088214537</v>
          </cell>
          <cell r="AB310">
            <v>0.2716859738884968</v>
          </cell>
          <cell r="AC310">
            <v>0.41551972477064214</v>
          </cell>
          <cell r="AD310">
            <v>0.63926111503175709</v>
          </cell>
          <cell r="AE310">
            <v>1.1187069513055752</v>
          </cell>
          <cell r="AF310">
            <v>1.4063744530698659</v>
          </cell>
          <cell r="AG310">
            <v>1.7260050105857445</v>
          </cell>
          <cell r="AH310">
            <v>2.0456355681016229</v>
          </cell>
          <cell r="AI310">
            <v>3.0045272406492591</v>
          </cell>
          <cell r="AJ310">
            <v>3.4104580486944247</v>
          </cell>
          <cell r="AK310">
            <v>3.8899038849682426</v>
          </cell>
          <cell r="AL310">
            <v>4.5291649999999999</v>
          </cell>
          <cell r="AM310" t="str">
            <v>EM05</v>
          </cell>
          <cell r="AN310">
            <v>0</v>
          </cell>
          <cell r="AO310">
            <v>0</v>
          </cell>
          <cell r="AR310">
            <v>0.02</v>
          </cell>
          <cell r="AZ310">
            <v>0</v>
          </cell>
          <cell r="BA310">
            <v>0</v>
          </cell>
          <cell r="BB310">
            <v>0</v>
          </cell>
          <cell r="BC310">
            <v>0</v>
          </cell>
          <cell r="BD310">
            <v>0.02</v>
          </cell>
          <cell r="BE310">
            <v>0.02</v>
          </cell>
          <cell r="BF310">
            <v>0.02</v>
          </cell>
          <cell r="BG310">
            <v>0.02</v>
          </cell>
          <cell r="BH310">
            <v>0.02</v>
          </cell>
          <cell r="BI310">
            <v>0.02</v>
          </cell>
          <cell r="BJ310">
            <v>0.02</v>
          </cell>
          <cell r="BK310">
            <v>0.02</v>
          </cell>
          <cell r="BM310" t="str">
            <v>EM05</v>
          </cell>
          <cell r="BZ310">
            <v>0</v>
          </cell>
          <cell r="CA310">
            <v>0</v>
          </cell>
          <cell r="CB310">
            <v>0</v>
          </cell>
          <cell r="CC310">
            <v>0</v>
          </cell>
          <cell r="CD310">
            <v>0</v>
          </cell>
          <cell r="CE310">
            <v>0</v>
          </cell>
          <cell r="CF310">
            <v>0</v>
          </cell>
          <cell r="CG310">
            <v>0</v>
          </cell>
          <cell r="CH310">
            <v>0</v>
          </cell>
          <cell r="CI310">
            <v>0</v>
          </cell>
          <cell r="CJ310">
            <v>0</v>
          </cell>
          <cell r="CK310">
            <v>0</v>
          </cell>
        </row>
        <row r="311">
          <cell r="N311" t="str">
            <v>EM06</v>
          </cell>
          <cell r="O311">
            <v>0.41666666666666669</v>
          </cell>
          <cell r="P311">
            <v>0.41666666666666669</v>
          </cell>
          <cell r="Q311">
            <v>0.41666666666666669</v>
          </cell>
          <cell r="R311">
            <v>0.41666666666666669</v>
          </cell>
          <cell r="S311">
            <v>0.41666666666666669</v>
          </cell>
          <cell r="T311">
            <v>0.41666666666666669</v>
          </cell>
          <cell r="U311">
            <v>0.41666666666666669</v>
          </cell>
          <cell r="V311">
            <v>0.41666666666666669</v>
          </cell>
          <cell r="W311">
            <v>0.41666666666666669</v>
          </cell>
          <cell r="X311">
            <v>0.41666666666666669</v>
          </cell>
          <cell r="Y311">
            <v>0.41666666666666669</v>
          </cell>
          <cell r="Z311">
            <v>0.41666666666666669</v>
          </cell>
          <cell r="AA311">
            <v>0.41666666666666669</v>
          </cell>
          <cell r="AB311">
            <v>0.83333333333333337</v>
          </cell>
          <cell r="AC311">
            <v>1.25</v>
          </cell>
          <cell r="AD311">
            <v>1.6666666666666667</v>
          </cell>
          <cell r="AE311">
            <v>2.0833333333333335</v>
          </cell>
          <cell r="AF311">
            <v>2.5</v>
          </cell>
          <cell r="AG311">
            <v>2.9166666666666665</v>
          </cell>
          <cell r="AH311">
            <v>3.333333333333333</v>
          </cell>
          <cell r="AI311">
            <v>3.7499999999999996</v>
          </cell>
          <cell r="AJ311">
            <v>4.1666666666666661</v>
          </cell>
          <cell r="AK311">
            <v>4.583333333333333</v>
          </cell>
          <cell r="AL311">
            <v>5</v>
          </cell>
          <cell r="AM311" t="str">
            <v>EM06</v>
          </cell>
          <cell r="AN311">
            <v>0</v>
          </cell>
          <cell r="AO311">
            <v>0</v>
          </cell>
          <cell r="AP311">
            <v>7.0000000000000007E-2</v>
          </cell>
          <cell r="AQ311">
            <v>0.03</v>
          </cell>
          <cell r="AR311">
            <v>0.42</v>
          </cell>
          <cell r="AZ311">
            <v>0</v>
          </cell>
          <cell r="BA311">
            <v>0</v>
          </cell>
          <cell r="BB311">
            <v>7.0000000000000007E-2</v>
          </cell>
          <cell r="BC311">
            <v>0.1</v>
          </cell>
          <cell r="BD311">
            <v>0.52</v>
          </cell>
          <cell r="BE311">
            <v>0.52</v>
          </cell>
          <cell r="BF311">
            <v>0.52</v>
          </cell>
          <cell r="BG311">
            <v>0.52</v>
          </cell>
          <cell r="BH311">
            <v>0.52</v>
          </cell>
          <cell r="BI311">
            <v>0.52</v>
          </cell>
          <cell r="BJ311">
            <v>0.52</v>
          </cell>
          <cell r="BK311">
            <v>0.52</v>
          </cell>
          <cell r="BM311" t="str">
            <v>EM06</v>
          </cell>
          <cell r="BZ311">
            <v>0</v>
          </cell>
          <cell r="CA311">
            <v>0</v>
          </cell>
          <cell r="CB311">
            <v>0</v>
          </cell>
          <cell r="CC311">
            <v>0</v>
          </cell>
          <cell r="CD311">
            <v>0</v>
          </cell>
          <cell r="CE311">
            <v>0</v>
          </cell>
          <cell r="CF311">
            <v>0</v>
          </cell>
          <cell r="CG311">
            <v>0</v>
          </cell>
          <cell r="CH311">
            <v>0</v>
          </cell>
          <cell r="CI311">
            <v>0</v>
          </cell>
          <cell r="CJ311">
            <v>0</v>
          </cell>
          <cell r="CK311">
            <v>0</v>
          </cell>
        </row>
        <row r="312">
          <cell r="N312" t="str">
            <v>EM07</v>
          </cell>
          <cell r="O312">
            <v>8.3333333333333329E-2</v>
          </cell>
          <cell r="P312">
            <v>8.3333333333333329E-2</v>
          </cell>
          <cell r="Q312">
            <v>8.3333333333333329E-2</v>
          </cell>
          <cell r="R312">
            <v>8.3333333333333329E-2</v>
          </cell>
          <cell r="S312">
            <v>8.3333333333333329E-2</v>
          </cell>
          <cell r="T312">
            <v>8.3333333333333329E-2</v>
          </cell>
          <cell r="U312">
            <v>8.3333333333333329E-2</v>
          </cell>
          <cell r="V312">
            <v>8.3333333333333329E-2</v>
          </cell>
          <cell r="W312">
            <v>8.3333333333333329E-2</v>
          </cell>
          <cell r="X312">
            <v>8.3333333333333329E-2</v>
          </cell>
          <cell r="Y312">
            <v>8.3333333333333329E-2</v>
          </cell>
          <cell r="Z312">
            <v>8.3333333333333329E-2</v>
          </cell>
          <cell r="AA312">
            <v>8.3333333333333329E-2</v>
          </cell>
          <cell r="AB312">
            <v>0.16666666666666666</v>
          </cell>
          <cell r="AC312">
            <v>0.25</v>
          </cell>
          <cell r="AD312">
            <v>0.33333333333333331</v>
          </cell>
          <cell r="AE312">
            <v>0.41666666666666663</v>
          </cell>
          <cell r="AF312">
            <v>0.49999999999999994</v>
          </cell>
          <cell r="AG312">
            <v>0.58333333333333326</v>
          </cell>
          <cell r="AH312">
            <v>0.66666666666666663</v>
          </cell>
          <cell r="AI312">
            <v>0.75</v>
          </cell>
          <cell r="AJ312">
            <v>0.83333333333333337</v>
          </cell>
          <cell r="AK312">
            <v>0.91666666666666674</v>
          </cell>
          <cell r="AL312">
            <v>1</v>
          </cell>
          <cell r="AM312" t="str">
            <v>EM07</v>
          </cell>
          <cell r="AN312">
            <v>0</v>
          </cell>
          <cell r="AO312">
            <v>0.02</v>
          </cell>
          <cell r="AP312">
            <v>0.03</v>
          </cell>
          <cell r="AR312">
            <v>0.08</v>
          </cell>
          <cell r="AZ312">
            <v>0</v>
          </cell>
          <cell r="BA312">
            <v>0.02</v>
          </cell>
          <cell r="BB312">
            <v>0.05</v>
          </cell>
          <cell r="BC312">
            <v>0.05</v>
          </cell>
          <cell r="BD312">
            <v>0.13</v>
          </cell>
          <cell r="BE312">
            <v>0.13</v>
          </cell>
          <cell r="BF312">
            <v>0.13</v>
          </cell>
          <cell r="BG312">
            <v>0.13</v>
          </cell>
          <cell r="BH312">
            <v>0.13</v>
          </cell>
          <cell r="BI312">
            <v>0.13</v>
          </cell>
          <cell r="BJ312">
            <v>0.13</v>
          </cell>
          <cell r="BK312">
            <v>0.13</v>
          </cell>
          <cell r="BM312" t="str">
            <v>EM07</v>
          </cell>
          <cell r="BZ312">
            <v>0</v>
          </cell>
          <cell r="CA312">
            <v>0</v>
          </cell>
          <cell r="CB312">
            <v>0</v>
          </cell>
          <cell r="CC312">
            <v>0</v>
          </cell>
          <cell r="CD312">
            <v>0</v>
          </cell>
          <cell r="CE312">
            <v>0</v>
          </cell>
          <cell r="CF312">
            <v>0</v>
          </cell>
          <cell r="CG312">
            <v>0</v>
          </cell>
          <cell r="CH312">
            <v>0</v>
          </cell>
          <cell r="CI312">
            <v>0</v>
          </cell>
          <cell r="CJ312">
            <v>0</v>
          </cell>
          <cell r="CK312">
            <v>0</v>
          </cell>
        </row>
        <row r="313">
          <cell r="N313" t="str">
            <v>TTL</v>
          </cell>
          <cell r="O313">
            <v>8.8430820324629487</v>
          </cell>
          <cell r="P313">
            <v>8.2549618066337302</v>
          </cell>
          <cell r="Q313">
            <v>8.8430820324629487</v>
          </cell>
          <cell r="R313">
            <v>11.78368316160903</v>
          </cell>
          <cell r="S313">
            <v>21.1936067748765</v>
          </cell>
          <cell r="T313">
            <v>14.136164064925898</v>
          </cell>
          <cell r="U313">
            <v>15.312404516584332</v>
          </cell>
          <cell r="V313">
            <v>15.312404516584332</v>
          </cell>
          <cell r="W313">
            <v>38.837213549753002</v>
          </cell>
          <cell r="X313">
            <v>18.488253736062099</v>
          </cell>
          <cell r="Y313">
            <v>21.1936067748765</v>
          </cell>
          <cell r="Z313">
            <v>27.074809033168666</v>
          </cell>
          <cell r="AA313">
            <v>8.8430820324629487</v>
          </cell>
          <cell r="AB313">
            <v>17.098043839096679</v>
          </cell>
          <cell r="AC313">
            <v>25.941125871559631</v>
          </cell>
          <cell r="AD313">
            <v>37.724809033168661</v>
          </cell>
          <cell r="AE313">
            <v>58.918415808045161</v>
          </cell>
          <cell r="AF313">
            <v>73.054579872971061</v>
          </cell>
          <cell r="AG313">
            <v>88.366984389555398</v>
          </cell>
          <cell r="AH313">
            <v>103.67938890613971</v>
          </cell>
          <cell r="AI313">
            <v>142.51660245589272</v>
          </cell>
          <cell r="AJ313">
            <v>161.00485619195481</v>
          </cell>
          <cell r="AK313">
            <v>182.19846296683133</v>
          </cell>
          <cell r="AL313">
            <v>209.27327199999999</v>
          </cell>
          <cell r="AN313">
            <v>1.7492482815808019</v>
          </cell>
          <cell r="AO313">
            <v>1.82</v>
          </cell>
          <cell r="AP313">
            <v>3.17</v>
          </cell>
          <cell r="AQ313">
            <v>4.58</v>
          </cell>
          <cell r="AR313">
            <v>9.3999999999999986</v>
          </cell>
          <cell r="AS313">
            <v>0</v>
          </cell>
          <cell r="AT313">
            <v>0</v>
          </cell>
          <cell r="AU313">
            <v>0</v>
          </cell>
          <cell r="AV313">
            <v>0</v>
          </cell>
          <cell r="AW313">
            <v>0</v>
          </cell>
          <cell r="AX313">
            <v>0</v>
          </cell>
          <cell r="AY313">
            <v>0</v>
          </cell>
          <cell r="AZ313">
            <v>1.7492482815808019</v>
          </cell>
          <cell r="BA313">
            <v>3.5692482815808022</v>
          </cell>
          <cell r="BB313">
            <v>6.7392482815808021</v>
          </cell>
          <cell r="BC313">
            <v>11.319248281580803</v>
          </cell>
          <cell r="BD313">
            <v>20.7192482815808</v>
          </cell>
          <cell r="BE313">
            <v>20.7192482815808</v>
          </cell>
          <cell r="BF313">
            <v>20.7192482815808</v>
          </cell>
          <cell r="BG313">
            <v>20.7192482815808</v>
          </cell>
          <cell r="BH313">
            <v>20.7192482815808</v>
          </cell>
          <cell r="BI313">
            <v>20.7192482815808</v>
          </cell>
          <cell r="BJ313">
            <v>20.7192482815808</v>
          </cell>
          <cell r="BK313">
            <v>20.7192482815808</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row>
        <row r="6">
          <cell r="E6" t="str">
            <v>Budget</v>
          </cell>
          <cell r="F6" t="str">
            <v>Budget</v>
          </cell>
          <cell r="G6" t="str">
            <v>Budget</v>
          </cell>
          <cell r="H6" t="str">
            <v>Budget</v>
          </cell>
          <cell r="I6" t="str">
            <v>Budget</v>
          </cell>
          <cell r="J6" t="str">
            <v>Budget</v>
          </cell>
          <cell r="K6" t="str">
            <v>Budget</v>
          </cell>
          <cell r="L6" t="str">
            <v>Budget</v>
          </cell>
          <cell r="M6" t="str">
            <v>Budget</v>
          </cell>
          <cell r="N6" t="str">
            <v>Budget</v>
          </cell>
          <cell r="O6" t="str">
            <v>Budget</v>
          </cell>
          <cell r="P6" t="str">
            <v>Budget</v>
          </cell>
          <cell r="Q6" t="str">
            <v>Budget</v>
          </cell>
          <cell r="R6" t="str">
            <v>Budget</v>
          </cell>
          <cell r="S6" t="str">
            <v>Budget</v>
          </cell>
          <cell r="T6" t="str">
            <v>Budget</v>
          </cell>
          <cell r="U6" t="str">
            <v>Cumu Bud</v>
          </cell>
          <cell r="V6" t="str">
            <v>Cumu Bud</v>
          </cell>
          <cell r="W6" t="str">
            <v>Cumu Bud</v>
          </cell>
          <cell r="X6" t="str">
            <v>Cumu Bud</v>
          </cell>
          <cell r="Y6" t="str">
            <v>Cumu Bud</v>
          </cell>
          <cell r="Z6" t="str">
            <v>Cumu Bud</v>
          </cell>
          <cell r="AA6" t="str">
            <v>Cumu Bud</v>
          </cell>
          <cell r="AB6" t="str">
            <v>Cumu Bud</v>
          </cell>
          <cell r="AC6" t="str">
            <v>Cumu Bud</v>
          </cell>
          <cell r="AD6" t="str">
            <v>Cumu Bud</v>
          </cell>
          <cell r="AE6" t="str">
            <v>Cumu Bud</v>
          </cell>
          <cell r="AF6" t="str">
            <v>Cumu Bud</v>
          </cell>
        </row>
        <row r="7">
          <cell r="D7" t="str">
            <v>Particulars</v>
          </cell>
          <cell r="E7">
            <v>41651</v>
          </cell>
          <cell r="F7">
            <v>41682</v>
          </cell>
          <cell r="G7">
            <v>41710</v>
          </cell>
          <cell r="H7" t="str">
            <v>Q-1</v>
          </cell>
          <cell r="I7">
            <v>41741</v>
          </cell>
          <cell r="J7">
            <v>41771</v>
          </cell>
          <cell r="K7">
            <v>41802</v>
          </cell>
          <cell r="L7" t="str">
            <v>Q-2</v>
          </cell>
          <cell r="M7">
            <v>41832</v>
          </cell>
          <cell r="N7">
            <v>41863</v>
          </cell>
          <cell r="O7">
            <v>41894</v>
          </cell>
          <cell r="P7" t="str">
            <v>Q-3</v>
          </cell>
          <cell r="Q7">
            <v>41924</v>
          </cell>
          <cell r="R7">
            <v>41955</v>
          </cell>
          <cell r="S7">
            <v>41985</v>
          </cell>
          <cell r="T7" t="str">
            <v>Q-4</v>
          </cell>
          <cell r="U7">
            <v>41651</v>
          </cell>
          <cell r="V7">
            <v>41682</v>
          </cell>
          <cell r="W7">
            <v>41710</v>
          </cell>
          <cell r="X7">
            <v>41741</v>
          </cell>
          <cell r="Y7">
            <v>41771</v>
          </cell>
          <cell r="Z7">
            <v>41802</v>
          </cell>
          <cell r="AA7">
            <v>41832</v>
          </cell>
          <cell r="AB7">
            <v>41863</v>
          </cell>
          <cell r="AC7">
            <v>41894</v>
          </cell>
          <cell r="AD7">
            <v>41924</v>
          </cell>
          <cell r="AE7">
            <v>41955</v>
          </cell>
          <cell r="AF7">
            <v>41985</v>
          </cell>
        </row>
        <row r="9">
          <cell r="D9" t="str">
            <v>Sales</v>
          </cell>
          <cell r="E9">
            <v>1948.6082754197653</v>
          </cell>
          <cell r="F9">
            <v>2110.1810583275137</v>
          </cell>
          <cell r="G9">
            <v>1927.3985728649122</v>
          </cell>
          <cell r="H9">
            <v>5986.187906612191</v>
          </cell>
          <cell r="I9">
            <v>2310.6505029252098</v>
          </cell>
          <cell r="J9">
            <v>2320.7068897575164</v>
          </cell>
          <cell r="K9">
            <v>2315.8848269415921</v>
          </cell>
          <cell r="L9">
            <v>6947.2422196243187</v>
          </cell>
          <cell r="M9">
            <v>2056.5626409876186</v>
          </cell>
          <cell r="N9">
            <v>2162.923123713214</v>
          </cell>
          <cell r="O9">
            <v>2219.3170100860357</v>
          </cell>
          <cell r="P9">
            <v>6438.8027747868673</v>
          </cell>
          <cell r="Q9">
            <v>1965.158884007134</v>
          </cell>
          <cell r="R9">
            <v>2109.0855758434127</v>
          </cell>
          <cell r="S9">
            <v>2159.0412186626149</v>
          </cell>
          <cell r="T9">
            <v>6233.2856785131617</v>
          </cell>
          <cell r="U9">
            <v>1948.6082754197653</v>
          </cell>
          <cell r="V9">
            <v>4058.7893337472788</v>
          </cell>
          <cell r="W9">
            <v>5986.187906612191</v>
          </cell>
          <cell r="X9">
            <v>8296.8384095374004</v>
          </cell>
          <cell r="Y9">
            <v>10617.545299294918</v>
          </cell>
          <cell r="Z9">
            <v>12933.43012623651</v>
          </cell>
          <cell r="AA9">
            <v>14989.992767224128</v>
          </cell>
          <cell r="AB9">
            <v>17152.915890937344</v>
          </cell>
          <cell r="AC9">
            <v>19372.232901023381</v>
          </cell>
          <cell r="AD9">
            <v>21337.391785030515</v>
          </cell>
          <cell r="AE9">
            <v>23446.477360873927</v>
          </cell>
          <cell r="AF9">
            <v>25605.518579536543</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row>
        <row r="11">
          <cell r="D11" t="str">
            <v>Cost of Goods Sold</v>
          </cell>
          <cell r="E11">
            <v>642.68434266447059</v>
          </cell>
          <cell r="F11">
            <v>689.90816384348227</v>
          </cell>
          <cell r="G11">
            <v>628.56657746447058</v>
          </cell>
          <cell r="H11">
            <v>1961.1590839724233</v>
          </cell>
          <cell r="I11">
            <v>754.77369754550136</v>
          </cell>
          <cell r="J11">
            <v>757.75101298287041</v>
          </cell>
          <cell r="K11">
            <v>742.66971793355287</v>
          </cell>
          <cell r="L11">
            <v>2255.1944284619249</v>
          </cell>
          <cell r="M11">
            <v>669.00426672941182</v>
          </cell>
          <cell r="N11">
            <v>705.95487396141175</v>
          </cell>
          <cell r="O11">
            <v>722.94466455788233</v>
          </cell>
          <cell r="P11">
            <v>2097.9038052487058</v>
          </cell>
          <cell r="Q11">
            <v>645.88972302459774</v>
          </cell>
          <cell r="R11">
            <v>685.66609758688571</v>
          </cell>
          <cell r="S11">
            <v>705.15694629681536</v>
          </cell>
          <cell r="T11">
            <v>2036.7127669082988</v>
          </cell>
          <cell r="U11">
            <v>642.68434266447059</v>
          </cell>
          <cell r="V11">
            <v>1332.5925065079527</v>
          </cell>
          <cell r="W11">
            <v>1961.1590839724233</v>
          </cell>
          <cell r="X11">
            <v>2715.9327815179249</v>
          </cell>
          <cell r="Y11">
            <v>3473.6837945007956</v>
          </cell>
          <cell r="Z11">
            <v>4216.3535124343489</v>
          </cell>
          <cell r="AA11">
            <v>4885.3577791637608</v>
          </cell>
          <cell r="AB11">
            <v>5591.3126531251728</v>
          </cell>
          <cell r="AC11">
            <v>6314.2573176830556</v>
          </cell>
          <cell r="AD11">
            <v>6960.1470407076531</v>
          </cell>
          <cell r="AE11">
            <v>7645.8131382945385</v>
          </cell>
          <cell r="AF11">
            <v>8350.970084591354</v>
          </cell>
        </row>
        <row r="12">
          <cell r="D12" t="str">
            <v>ED Savings</v>
          </cell>
          <cell r="E12">
            <v>81.842173986041487</v>
          </cell>
          <cell r="F12">
            <v>88.670011757206368</v>
          </cell>
          <cell r="G12">
            <v>80.805930553457173</v>
          </cell>
          <cell r="H12">
            <v>251.31811629670506</v>
          </cell>
          <cell r="I12">
            <v>96.616226803434145</v>
          </cell>
          <cell r="J12">
            <v>96.467188021848813</v>
          </cell>
          <cell r="K12">
            <v>95.71992808632838</v>
          </cell>
          <cell r="L12">
            <v>288.80334291161131</v>
          </cell>
          <cell r="M12">
            <v>83.833313855541135</v>
          </cell>
          <cell r="N12">
            <v>88.732762635714991</v>
          </cell>
          <cell r="O12">
            <v>92.194271848947992</v>
          </cell>
          <cell r="P12">
            <v>264.76034834020413</v>
          </cell>
          <cell r="Q12">
            <v>76.249217855078427</v>
          </cell>
          <cell r="R12">
            <v>82.732048783805908</v>
          </cell>
          <cell r="S12">
            <v>84.636763089695691</v>
          </cell>
          <cell r="T12">
            <v>243.61802972858004</v>
          </cell>
          <cell r="U12">
            <v>81.842173986041487</v>
          </cell>
          <cell r="V12">
            <v>170.51218574324787</v>
          </cell>
          <cell r="W12">
            <v>251.31811629670506</v>
          </cell>
          <cell r="X12">
            <v>347.93434310013919</v>
          </cell>
          <cell r="Y12">
            <v>444.401531121988</v>
          </cell>
          <cell r="Z12">
            <v>540.12145920831642</v>
          </cell>
          <cell r="AA12">
            <v>623.9547730638576</v>
          </cell>
          <cell r="AB12">
            <v>712.68753569957255</v>
          </cell>
          <cell r="AC12">
            <v>804.88180754852056</v>
          </cell>
          <cell r="AD12">
            <v>881.13102540359898</v>
          </cell>
          <cell r="AE12">
            <v>963.86307418740489</v>
          </cell>
          <cell r="AF12">
            <v>1048.4998372771006</v>
          </cell>
        </row>
        <row r="13">
          <cell r="D13" t="str">
            <v>PRISM II &amp; PSM Savings</v>
          </cell>
          <cell r="E13">
            <v>3.5</v>
          </cell>
          <cell r="F13">
            <v>3.5</v>
          </cell>
          <cell r="G13">
            <v>5.5</v>
          </cell>
          <cell r="H13">
            <v>12.5</v>
          </cell>
          <cell r="I13">
            <v>5</v>
          </cell>
          <cell r="J13">
            <v>5</v>
          </cell>
          <cell r="K13">
            <v>5</v>
          </cell>
          <cell r="L13">
            <v>15</v>
          </cell>
          <cell r="M13">
            <v>5</v>
          </cell>
          <cell r="N13">
            <v>5</v>
          </cell>
          <cell r="O13">
            <v>6.5</v>
          </cell>
          <cell r="P13">
            <v>16.5</v>
          </cell>
          <cell r="Q13">
            <v>10</v>
          </cell>
          <cell r="R13">
            <v>7</v>
          </cell>
          <cell r="S13">
            <v>8.5</v>
          </cell>
          <cell r="T13">
            <v>25.5</v>
          </cell>
          <cell r="U13">
            <v>3.5</v>
          </cell>
          <cell r="V13">
            <v>7</v>
          </cell>
          <cell r="W13">
            <v>12.5</v>
          </cell>
          <cell r="X13">
            <v>17.5</v>
          </cell>
          <cell r="Y13">
            <v>22.5</v>
          </cell>
          <cell r="Z13">
            <v>27.5</v>
          </cell>
          <cell r="AA13">
            <v>32.5</v>
          </cell>
          <cell r="AB13">
            <v>37.5</v>
          </cell>
          <cell r="AC13">
            <v>44</v>
          </cell>
          <cell r="AD13">
            <v>54</v>
          </cell>
          <cell r="AE13">
            <v>61</v>
          </cell>
          <cell r="AF13">
            <v>69.5</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D16" t="str">
            <v>Contribution</v>
          </cell>
          <cell r="E16">
            <v>1391.266106741336</v>
          </cell>
          <cell r="F16">
            <v>1512.4429062412378</v>
          </cell>
          <cell r="G16">
            <v>1385.1379259538987</v>
          </cell>
          <cell r="H16">
            <v>4288.8469389364727</v>
          </cell>
          <cell r="I16">
            <v>1657.4930321831425</v>
          </cell>
          <cell r="J16">
            <v>1664.4230647964948</v>
          </cell>
          <cell r="K16">
            <v>1673.9350370943675</v>
          </cell>
          <cell r="L16">
            <v>4995.8511340740051</v>
          </cell>
          <cell r="M16">
            <v>1476.3916881137477</v>
          </cell>
          <cell r="N16">
            <v>1550.7010123875173</v>
          </cell>
          <cell r="O16">
            <v>1595.0666173771012</v>
          </cell>
          <cell r="P16">
            <v>4622.159317878366</v>
          </cell>
          <cell r="Q16">
            <v>1405.5183788376148</v>
          </cell>
          <cell r="R16">
            <v>1513.1515270403329</v>
          </cell>
          <cell r="S16">
            <v>1547.0210354554952</v>
          </cell>
          <cell r="T16">
            <v>4465.6909413334424</v>
          </cell>
          <cell r="U16">
            <v>1391.266106741336</v>
          </cell>
          <cell r="V16">
            <v>2903.7090129825738</v>
          </cell>
          <cell r="W16">
            <v>4288.8469389364727</v>
          </cell>
          <cell r="X16">
            <v>5946.3399711196153</v>
          </cell>
          <cell r="Y16">
            <v>7610.7630359161103</v>
          </cell>
          <cell r="Z16">
            <v>9284.6980730104769</v>
          </cell>
          <cell r="AA16">
            <v>10761.089761124225</v>
          </cell>
          <cell r="AB16">
            <v>12311.790773511742</v>
          </cell>
          <cell r="AC16">
            <v>13906.857390888843</v>
          </cell>
          <cell r="AD16">
            <v>15312.375769726457</v>
          </cell>
          <cell r="AE16">
            <v>16825.527296766792</v>
          </cell>
          <cell r="AF16">
            <v>18372.548332222286</v>
          </cell>
        </row>
        <row r="17">
          <cell r="D17">
            <v>0</v>
          </cell>
          <cell r="E17">
            <v>0.71397936891222136</v>
          </cell>
          <cell r="F17">
            <v>0.71673608303543823</v>
          </cell>
          <cell r="G17">
            <v>0.7186567145242877</v>
          </cell>
          <cell r="H17">
            <v>0.71645711859447669</v>
          </cell>
          <cell r="I17">
            <v>0.71732744960123096</v>
          </cell>
          <cell r="J17">
            <v>0.71720520680248656</v>
          </cell>
          <cell r="K17">
            <v>0.72280582247477421</v>
          </cell>
          <cell r="L17">
            <v>0.71911284739171832</v>
          </cell>
          <cell r="M17">
            <v>0.71789288528782347</v>
          </cell>
          <cell r="N17">
            <v>0.71694689255776234</v>
          </cell>
          <cell r="O17">
            <v>0.71871959261703933</v>
          </cell>
          <cell r="P17">
            <v>0.7178600555957183</v>
          </cell>
          <cell r="Q17">
            <v>0.71521869823148221</v>
          </cell>
          <cell r="R17">
            <v>0.71744434857046102</v>
          </cell>
          <cell r="S17">
            <v>0.71653149651944748</v>
          </cell>
          <cell r="T17">
            <v>0.71642648382492435</v>
          </cell>
          <cell r="U17">
            <v>0.71397936891222136</v>
          </cell>
          <cell r="V17">
            <v>0.71541259578055594</v>
          </cell>
          <cell r="W17">
            <v>0.71645711859447669</v>
          </cell>
          <cell r="X17">
            <v>0.71669950378739034</v>
          </cell>
          <cell r="Y17">
            <v>0.71681003672492172</v>
          </cell>
          <cell r="Z17">
            <v>0.71788365363150763</v>
          </cell>
          <cell r="AA17">
            <v>0.71788492017511374</v>
          </cell>
          <cell r="AB17">
            <v>0.71776663815022934</v>
          </cell>
          <cell r="AC17">
            <v>0.71787581028690728</v>
          </cell>
          <cell r="AD17">
            <v>0.71763109212200082</v>
          </cell>
          <cell r="AE17">
            <v>0.71761429394268927</v>
          </cell>
          <cell r="AF17">
            <v>0.71752299314512957</v>
          </cell>
        </row>
        <row r="18">
          <cell r="D18" t="str">
            <v>Overheads</v>
          </cell>
        </row>
        <row r="19">
          <cell r="D19" t="str">
            <v>Advertisement Exp.</v>
          </cell>
          <cell r="E19">
            <v>452.5</v>
          </cell>
          <cell r="F19">
            <v>207</v>
          </cell>
          <cell r="G19">
            <v>82</v>
          </cell>
          <cell r="H19">
            <v>741.5</v>
          </cell>
          <cell r="I19">
            <v>507.5</v>
          </cell>
          <cell r="J19">
            <v>142</v>
          </cell>
          <cell r="K19">
            <v>72</v>
          </cell>
          <cell r="L19">
            <v>721.5</v>
          </cell>
          <cell r="M19">
            <v>196</v>
          </cell>
          <cell r="N19">
            <v>81</v>
          </cell>
          <cell r="O19">
            <v>82</v>
          </cell>
          <cell r="P19">
            <v>359</v>
          </cell>
          <cell r="Q19">
            <v>406</v>
          </cell>
          <cell r="R19">
            <v>260</v>
          </cell>
          <cell r="S19">
            <v>72</v>
          </cell>
          <cell r="T19">
            <v>738</v>
          </cell>
          <cell r="U19">
            <v>452.5</v>
          </cell>
          <cell r="V19">
            <v>659.5</v>
          </cell>
          <cell r="W19">
            <v>741.5</v>
          </cell>
          <cell r="X19">
            <v>1249</v>
          </cell>
          <cell r="Y19">
            <v>1391</v>
          </cell>
          <cell r="Z19">
            <v>1463</v>
          </cell>
          <cell r="AA19">
            <v>1659</v>
          </cell>
          <cell r="AB19">
            <v>1740</v>
          </cell>
          <cell r="AC19">
            <v>1822</v>
          </cell>
          <cell r="AD19">
            <v>2228</v>
          </cell>
          <cell r="AE19">
            <v>2488</v>
          </cell>
          <cell r="AF19">
            <v>2560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D21" t="str">
            <v>Total Overheads (a+b)</v>
          </cell>
          <cell r="E21">
            <v>452.5</v>
          </cell>
          <cell r="F21">
            <v>207</v>
          </cell>
          <cell r="G21">
            <v>82</v>
          </cell>
          <cell r="H21">
            <v>741.5</v>
          </cell>
          <cell r="I21">
            <v>507.5</v>
          </cell>
          <cell r="J21">
            <v>142</v>
          </cell>
          <cell r="K21">
            <v>72</v>
          </cell>
          <cell r="L21">
            <v>721.5</v>
          </cell>
          <cell r="M21">
            <v>196</v>
          </cell>
          <cell r="N21">
            <v>81</v>
          </cell>
          <cell r="O21">
            <v>82</v>
          </cell>
          <cell r="P21">
            <v>359</v>
          </cell>
          <cell r="Q21">
            <v>406</v>
          </cell>
          <cell r="R21">
            <v>260</v>
          </cell>
          <cell r="S21">
            <v>72</v>
          </cell>
          <cell r="T21">
            <v>738</v>
          </cell>
          <cell r="U21">
            <v>452.5</v>
          </cell>
          <cell r="V21">
            <v>659.5</v>
          </cell>
          <cell r="W21">
            <v>741.5</v>
          </cell>
          <cell r="X21">
            <v>1249</v>
          </cell>
          <cell r="Y21">
            <v>1391</v>
          </cell>
          <cell r="Z21">
            <v>1463</v>
          </cell>
          <cell r="AA21">
            <v>1659</v>
          </cell>
          <cell r="AB21">
            <v>1740</v>
          </cell>
          <cell r="AC21">
            <v>1822</v>
          </cell>
          <cell r="AD21">
            <v>2228</v>
          </cell>
          <cell r="AE21">
            <v>2488</v>
          </cell>
          <cell r="AF21">
            <v>2560</v>
          </cell>
        </row>
        <row r="22">
          <cell r="D22" t="str">
            <v>OPERATING PROFIT (LOSS)</v>
          </cell>
          <cell r="E22">
            <v>938.76610674133599</v>
          </cell>
          <cell r="F22">
            <v>1305.4429062412378</v>
          </cell>
          <cell r="G22">
            <v>1303.1379259538987</v>
          </cell>
          <cell r="H22">
            <v>3547.3469389364727</v>
          </cell>
          <cell r="I22">
            <v>1149.9930321831425</v>
          </cell>
          <cell r="J22">
            <v>1522.4230647964948</v>
          </cell>
          <cell r="K22">
            <v>1601.9350370943675</v>
          </cell>
          <cell r="L22">
            <v>4274.3511340740051</v>
          </cell>
          <cell r="M22">
            <v>1280.3916881137477</v>
          </cell>
          <cell r="N22">
            <v>1469.7010123875173</v>
          </cell>
          <cell r="O22">
            <v>1513.0666173771012</v>
          </cell>
          <cell r="P22">
            <v>4263.159317878366</v>
          </cell>
          <cell r="Q22">
            <v>999.51837883761482</v>
          </cell>
          <cell r="R22">
            <v>1253.1515270403329</v>
          </cell>
          <cell r="S22">
            <v>1475.0210354554952</v>
          </cell>
          <cell r="T22">
            <v>3727.6909413334424</v>
          </cell>
          <cell r="U22">
            <v>938.76610674133599</v>
          </cell>
          <cell r="V22">
            <v>2244.2090129825738</v>
          </cell>
          <cell r="W22">
            <v>3547.3469389364727</v>
          </cell>
          <cell r="X22">
            <v>4697.3399711196153</v>
          </cell>
          <cell r="Y22">
            <v>6219.7630359161103</v>
          </cell>
          <cell r="Z22">
            <v>7821.6980730104779</v>
          </cell>
          <cell r="AA22">
            <v>9102.0897611242253</v>
          </cell>
          <cell r="AB22">
            <v>10571.790773511742</v>
          </cell>
          <cell r="AC22">
            <v>12084.857390888843</v>
          </cell>
          <cell r="AD22">
            <v>13084.375769726457</v>
          </cell>
          <cell r="AE22">
            <v>14337.52729676679</v>
          </cell>
          <cell r="AF22">
            <v>15812.548332222284</v>
          </cell>
        </row>
        <row r="25">
          <cell r="D25">
            <v>4</v>
          </cell>
          <cell r="E25">
            <v>5</v>
          </cell>
          <cell r="F25">
            <v>6</v>
          </cell>
          <cell r="G25">
            <v>7</v>
          </cell>
          <cell r="H25">
            <v>8</v>
          </cell>
          <cell r="I25">
            <v>9</v>
          </cell>
          <cell r="J25">
            <v>10</v>
          </cell>
          <cell r="K25">
            <v>11</v>
          </cell>
          <cell r="L25">
            <v>12</v>
          </cell>
          <cell r="M25">
            <v>13</v>
          </cell>
          <cell r="N25">
            <v>14</v>
          </cell>
          <cell r="O25">
            <v>15</v>
          </cell>
          <cell r="P25">
            <v>16</v>
          </cell>
          <cell r="Q25">
            <v>17</v>
          </cell>
          <cell r="R25">
            <v>18</v>
          </cell>
          <cell r="S25">
            <v>19</v>
          </cell>
          <cell r="T25">
            <v>20</v>
          </cell>
          <cell r="U25">
            <v>21</v>
          </cell>
          <cell r="V25">
            <v>22</v>
          </cell>
          <cell r="W25">
            <v>23</v>
          </cell>
          <cell r="X25">
            <v>24</v>
          </cell>
          <cell r="Y25">
            <v>25</v>
          </cell>
          <cell r="Z25">
            <v>26</v>
          </cell>
          <cell r="AA25">
            <v>27</v>
          </cell>
          <cell r="AB25">
            <v>28</v>
          </cell>
          <cell r="AC25">
            <v>29</v>
          </cell>
          <cell r="AD25">
            <v>30</v>
          </cell>
          <cell r="AE25">
            <v>31</v>
          </cell>
          <cell r="AF25">
            <v>32</v>
          </cell>
        </row>
        <row r="26">
          <cell r="E26" t="str">
            <v>Budget</v>
          </cell>
          <cell r="F26" t="str">
            <v>Budget</v>
          </cell>
          <cell r="G26" t="str">
            <v>Budget</v>
          </cell>
          <cell r="H26" t="str">
            <v>Budget</v>
          </cell>
          <cell r="I26" t="str">
            <v>Budget</v>
          </cell>
          <cell r="J26" t="str">
            <v>Budget</v>
          </cell>
          <cell r="K26" t="str">
            <v>Budget</v>
          </cell>
          <cell r="L26" t="str">
            <v>Budget</v>
          </cell>
          <cell r="M26" t="str">
            <v>Budget</v>
          </cell>
          <cell r="N26" t="str">
            <v>Budget</v>
          </cell>
          <cell r="O26" t="str">
            <v>Budget</v>
          </cell>
          <cell r="P26" t="str">
            <v>Budget</v>
          </cell>
          <cell r="Q26" t="str">
            <v>Budget</v>
          </cell>
          <cell r="R26" t="str">
            <v>Budget</v>
          </cell>
          <cell r="S26" t="str">
            <v>Budget</v>
          </cell>
          <cell r="T26" t="str">
            <v>Budget</v>
          </cell>
          <cell r="U26" t="str">
            <v>Cumu Bud</v>
          </cell>
          <cell r="V26" t="str">
            <v>Cumu Bud</v>
          </cell>
          <cell r="W26" t="str">
            <v>Cumu Bud</v>
          </cell>
          <cell r="X26" t="str">
            <v>Cumu Bud</v>
          </cell>
          <cell r="Y26" t="str">
            <v>Cumu Bud</v>
          </cell>
          <cell r="Z26" t="str">
            <v>Cumu Bud</v>
          </cell>
          <cell r="AA26" t="str">
            <v>Cumu Bud</v>
          </cell>
          <cell r="AB26" t="str">
            <v>Cumu Bud</v>
          </cell>
          <cell r="AC26" t="str">
            <v>Cumu Bud</v>
          </cell>
          <cell r="AD26" t="str">
            <v>Cumu Bud</v>
          </cell>
          <cell r="AE26" t="str">
            <v>Cumu Bud</v>
          </cell>
          <cell r="AF26" t="str">
            <v>Cumu Bud</v>
          </cell>
        </row>
        <row r="27">
          <cell r="D27" t="str">
            <v>Particulars</v>
          </cell>
          <cell r="E27">
            <v>41651</v>
          </cell>
          <cell r="F27">
            <v>41682</v>
          </cell>
          <cell r="G27">
            <v>41710</v>
          </cell>
          <cell r="H27" t="str">
            <v>Q-1</v>
          </cell>
          <cell r="I27">
            <v>41741</v>
          </cell>
          <cell r="J27">
            <v>41771</v>
          </cell>
          <cell r="K27">
            <v>41802</v>
          </cell>
          <cell r="L27" t="str">
            <v>Q-2</v>
          </cell>
          <cell r="M27">
            <v>41832</v>
          </cell>
          <cell r="N27">
            <v>41863</v>
          </cell>
          <cell r="O27">
            <v>41894</v>
          </cell>
          <cell r="P27" t="str">
            <v>Q-3</v>
          </cell>
          <cell r="Q27">
            <v>41924</v>
          </cell>
          <cell r="R27">
            <v>41955</v>
          </cell>
          <cell r="S27">
            <v>41985</v>
          </cell>
          <cell r="T27" t="str">
            <v>Q-4</v>
          </cell>
          <cell r="U27">
            <v>41651</v>
          </cell>
          <cell r="V27">
            <v>41682</v>
          </cell>
          <cell r="W27">
            <v>41710</v>
          </cell>
          <cell r="X27">
            <v>41741</v>
          </cell>
          <cell r="Y27">
            <v>41771</v>
          </cell>
          <cell r="Z27">
            <v>41802</v>
          </cell>
          <cell r="AA27">
            <v>41832</v>
          </cell>
          <cell r="AB27">
            <v>41863</v>
          </cell>
          <cell r="AC27">
            <v>41894</v>
          </cell>
          <cell r="AD27">
            <v>41924</v>
          </cell>
          <cell r="AE27">
            <v>41955</v>
          </cell>
          <cell r="AF27">
            <v>41985</v>
          </cell>
        </row>
        <row r="29">
          <cell r="D29" t="str">
            <v>Sales</v>
          </cell>
          <cell r="E29">
            <v>0</v>
          </cell>
          <cell r="F29">
            <v>0</v>
          </cell>
          <cell r="G29">
            <v>0</v>
          </cell>
          <cell r="H29">
            <v>0</v>
          </cell>
          <cell r="I29">
            <v>72</v>
          </cell>
          <cell r="J29">
            <v>36</v>
          </cell>
          <cell r="K29">
            <v>36</v>
          </cell>
          <cell r="L29">
            <v>144</v>
          </cell>
          <cell r="M29">
            <v>36</v>
          </cell>
          <cell r="N29">
            <v>36</v>
          </cell>
          <cell r="O29">
            <v>36</v>
          </cell>
          <cell r="P29">
            <v>108</v>
          </cell>
          <cell r="Q29">
            <v>36</v>
          </cell>
          <cell r="R29">
            <v>36</v>
          </cell>
          <cell r="S29">
            <v>36</v>
          </cell>
          <cell r="T29">
            <v>108</v>
          </cell>
          <cell r="U29">
            <v>0</v>
          </cell>
          <cell r="V29">
            <v>0</v>
          </cell>
          <cell r="W29">
            <v>0</v>
          </cell>
          <cell r="X29">
            <v>72</v>
          </cell>
          <cell r="Y29">
            <v>108</v>
          </cell>
          <cell r="Z29">
            <v>144</v>
          </cell>
          <cell r="AA29">
            <v>180</v>
          </cell>
          <cell r="AB29">
            <v>216</v>
          </cell>
          <cell r="AC29">
            <v>252</v>
          </cell>
          <cell r="AD29">
            <v>288</v>
          </cell>
          <cell r="AE29">
            <v>324</v>
          </cell>
          <cell r="AF29">
            <v>360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D31" t="str">
            <v>Cost of Goods Sold</v>
          </cell>
          <cell r="E31">
            <v>0</v>
          </cell>
          <cell r="F31">
            <v>0</v>
          </cell>
          <cell r="G31">
            <v>0</v>
          </cell>
          <cell r="H31">
            <v>0</v>
          </cell>
          <cell r="I31">
            <v>43.2</v>
          </cell>
          <cell r="J31">
            <v>21.6</v>
          </cell>
          <cell r="K31">
            <v>21.6</v>
          </cell>
          <cell r="L31">
            <v>86.4</v>
          </cell>
          <cell r="M31">
            <v>21.6</v>
          </cell>
          <cell r="N31">
            <v>21.6</v>
          </cell>
          <cell r="O31">
            <v>21.6</v>
          </cell>
          <cell r="P31">
            <v>64.800000000000011</v>
          </cell>
          <cell r="Q31">
            <v>21.6</v>
          </cell>
          <cell r="R31">
            <v>21.6</v>
          </cell>
          <cell r="S31">
            <v>21.6</v>
          </cell>
          <cell r="T31">
            <v>64.800000000000011</v>
          </cell>
          <cell r="U31">
            <v>0</v>
          </cell>
          <cell r="V31">
            <v>0</v>
          </cell>
          <cell r="W31">
            <v>0</v>
          </cell>
          <cell r="X31">
            <v>43.2</v>
          </cell>
          <cell r="Y31">
            <v>64.800000000000011</v>
          </cell>
          <cell r="Z31">
            <v>86.4</v>
          </cell>
          <cell r="AA31">
            <v>108</v>
          </cell>
          <cell r="AB31">
            <v>129.6</v>
          </cell>
          <cell r="AC31">
            <v>151.19999999999999</v>
          </cell>
          <cell r="AD31">
            <v>172.79999999999998</v>
          </cell>
          <cell r="AE31">
            <v>194.39999999999998</v>
          </cell>
          <cell r="AF31">
            <v>215.99999999999997</v>
          </cell>
        </row>
        <row r="32">
          <cell r="D32" t="str">
            <v>ED Savings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D33" t="str">
            <v>PRISM II &amp; PSM Savings</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D36" t="str">
            <v>Contribution</v>
          </cell>
          <cell r="E36">
            <v>0</v>
          </cell>
          <cell r="F36">
            <v>0</v>
          </cell>
          <cell r="G36">
            <v>0</v>
          </cell>
          <cell r="H36">
            <v>0</v>
          </cell>
          <cell r="I36">
            <v>28.799999999999997</v>
          </cell>
          <cell r="J36">
            <v>14.399999999999999</v>
          </cell>
          <cell r="K36">
            <v>14.399999999999999</v>
          </cell>
          <cell r="L36">
            <v>57.599999999999994</v>
          </cell>
          <cell r="M36">
            <v>14.399999999999999</v>
          </cell>
          <cell r="N36">
            <v>14.399999999999999</v>
          </cell>
          <cell r="O36">
            <v>14.399999999999999</v>
          </cell>
          <cell r="P36">
            <v>43.199999999999989</v>
          </cell>
          <cell r="Q36">
            <v>14.399999999999999</v>
          </cell>
          <cell r="R36">
            <v>14.399999999999999</v>
          </cell>
          <cell r="S36">
            <v>14.399999999999999</v>
          </cell>
          <cell r="T36">
            <v>43.199999999999989</v>
          </cell>
          <cell r="U36">
            <v>0</v>
          </cell>
          <cell r="V36">
            <v>0</v>
          </cell>
          <cell r="W36">
            <v>0</v>
          </cell>
          <cell r="X36">
            <v>28.799999999999997</v>
          </cell>
          <cell r="Y36">
            <v>43.199999999999996</v>
          </cell>
          <cell r="Z36">
            <v>57.599999999999994</v>
          </cell>
          <cell r="AA36">
            <v>72</v>
          </cell>
          <cell r="AB36">
            <v>86.4</v>
          </cell>
          <cell r="AC36">
            <v>100.80000000000001</v>
          </cell>
          <cell r="AD36">
            <v>115.20000000000002</v>
          </cell>
          <cell r="AE36">
            <v>129.60000000000002</v>
          </cell>
          <cell r="AF36">
            <v>144.00000000000003</v>
          </cell>
        </row>
        <row r="37">
          <cell r="D37">
            <v>0</v>
          </cell>
          <cell r="E37" t="e">
            <v>#DIV/0!</v>
          </cell>
          <cell r="F37" t="e">
            <v>#DIV/0!</v>
          </cell>
          <cell r="G37" t="e">
            <v>#DIV/0!</v>
          </cell>
          <cell r="H37" t="e">
            <v>#DIV/0!</v>
          </cell>
          <cell r="I37">
            <v>0.39999999999999997</v>
          </cell>
          <cell r="J37">
            <v>0.39999999999999997</v>
          </cell>
          <cell r="K37">
            <v>0.39999999999999997</v>
          </cell>
          <cell r="L37">
            <v>0.39999999999999997</v>
          </cell>
          <cell r="M37">
            <v>0.39999999999999997</v>
          </cell>
          <cell r="N37">
            <v>0.39999999999999997</v>
          </cell>
          <cell r="O37">
            <v>0.39999999999999997</v>
          </cell>
          <cell r="P37">
            <v>0.39999999999999991</v>
          </cell>
          <cell r="Q37">
            <v>0.39999999999999997</v>
          </cell>
          <cell r="R37">
            <v>0.39999999999999997</v>
          </cell>
          <cell r="S37">
            <v>0.39999999999999997</v>
          </cell>
          <cell r="T37">
            <v>0.39999999999999991</v>
          </cell>
          <cell r="U37" t="e">
            <v>#DIV/0!</v>
          </cell>
          <cell r="V37" t="e">
            <v>#DIV/0!</v>
          </cell>
          <cell r="W37" t="e">
            <v>#DIV/0!</v>
          </cell>
          <cell r="X37">
            <v>0.39999999999999997</v>
          </cell>
          <cell r="Y37">
            <v>0.39999999999999997</v>
          </cell>
          <cell r="Z37">
            <v>0.39999999999999997</v>
          </cell>
          <cell r="AA37">
            <v>0.4</v>
          </cell>
          <cell r="AB37">
            <v>0.4</v>
          </cell>
          <cell r="AC37">
            <v>0.4</v>
          </cell>
          <cell r="AD37">
            <v>0.40000000000000008</v>
          </cell>
          <cell r="AE37">
            <v>0.40000000000000008</v>
          </cell>
          <cell r="AF37">
            <v>0.40000000000000008</v>
          </cell>
        </row>
        <row r="38">
          <cell r="D38" t="str">
            <v>Overheads</v>
          </cell>
        </row>
        <row r="39">
          <cell r="D39" t="str">
            <v>Advertisement Exp.</v>
          </cell>
          <cell r="E39">
            <v>0</v>
          </cell>
          <cell r="F39">
            <v>0</v>
          </cell>
          <cell r="G39">
            <v>0</v>
          </cell>
          <cell r="H39">
            <v>0</v>
          </cell>
          <cell r="I39">
            <v>10</v>
          </cell>
          <cell r="J39">
            <v>5</v>
          </cell>
          <cell r="K39">
            <v>0</v>
          </cell>
          <cell r="L39">
            <v>15</v>
          </cell>
          <cell r="M39">
            <v>0</v>
          </cell>
          <cell r="N39">
            <v>25</v>
          </cell>
          <cell r="O39">
            <v>60</v>
          </cell>
          <cell r="P39">
            <v>85</v>
          </cell>
          <cell r="Q39">
            <v>45</v>
          </cell>
          <cell r="R39">
            <v>0</v>
          </cell>
          <cell r="S39">
            <v>0</v>
          </cell>
          <cell r="T39">
            <v>45</v>
          </cell>
          <cell r="U39">
            <v>0</v>
          </cell>
          <cell r="V39">
            <v>0</v>
          </cell>
          <cell r="W39">
            <v>0</v>
          </cell>
          <cell r="X39">
            <v>10</v>
          </cell>
          <cell r="Y39">
            <v>15</v>
          </cell>
          <cell r="Z39">
            <v>15</v>
          </cell>
          <cell r="AA39">
            <v>15</v>
          </cell>
          <cell r="AB39">
            <v>40</v>
          </cell>
          <cell r="AC39">
            <v>100</v>
          </cell>
          <cell r="AD39">
            <v>145</v>
          </cell>
          <cell r="AE39">
            <v>145</v>
          </cell>
          <cell r="AF39">
            <v>145</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D41" t="str">
            <v>Total Overheads (a+b)</v>
          </cell>
          <cell r="E41">
            <v>0</v>
          </cell>
          <cell r="F41">
            <v>0</v>
          </cell>
          <cell r="G41">
            <v>0</v>
          </cell>
          <cell r="H41">
            <v>0</v>
          </cell>
          <cell r="I41">
            <v>10</v>
          </cell>
          <cell r="J41">
            <v>5</v>
          </cell>
          <cell r="K41">
            <v>0</v>
          </cell>
          <cell r="L41">
            <v>15</v>
          </cell>
          <cell r="M41">
            <v>0</v>
          </cell>
          <cell r="N41">
            <v>25</v>
          </cell>
          <cell r="O41">
            <v>60</v>
          </cell>
          <cell r="P41">
            <v>85</v>
          </cell>
          <cell r="Q41">
            <v>45</v>
          </cell>
          <cell r="R41">
            <v>0</v>
          </cell>
          <cell r="S41">
            <v>0</v>
          </cell>
          <cell r="T41">
            <v>45</v>
          </cell>
          <cell r="U41">
            <v>0</v>
          </cell>
          <cell r="V41">
            <v>0</v>
          </cell>
          <cell r="W41">
            <v>0</v>
          </cell>
          <cell r="X41">
            <v>10</v>
          </cell>
          <cell r="Y41">
            <v>15</v>
          </cell>
          <cell r="Z41">
            <v>15</v>
          </cell>
          <cell r="AA41">
            <v>15</v>
          </cell>
          <cell r="AB41">
            <v>40</v>
          </cell>
          <cell r="AC41">
            <v>100</v>
          </cell>
          <cell r="AD41">
            <v>145</v>
          </cell>
          <cell r="AE41">
            <v>145</v>
          </cell>
          <cell r="AF41">
            <v>145</v>
          </cell>
        </row>
        <row r="42">
          <cell r="D42" t="str">
            <v>OPERATING PROFIT (LOSS)</v>
          </cell>
          <cell r="E42">
            <v>0</v>
          </cell>
          <cell r="F42">
            <v>0</v>
          </cell>
          <cell r="G42">
            <v>0</v>
          </cell>
          <cell r="H42">
            <v>0</v>
          </cell>
          <cell r="I42">
            <v>18.799999999999997</v>
          </cell>
          <cell r="J42">
            <v>9.3999999999999986</v>
          </cell>
          <cell r="K42">
            <v>14.399999999999999</v>
          </cell>
          <cell r="L42">
            <v>42.599999999999994</v>
          </cell>
          <cell r="M42">
            <v>14.399999999999999</v>
          </cell>
          <cell r="N42">
            <v>-10.600000000000001</v>
          </cell>
          <cell r="O42">
            <v>-45.6</v>
          </cell>
          <cell r="P42">
            <v>-41.800000000000011</v>
          </cell>
          <cell r="Q42">
            <v>-30.6</v>
          </cell>
          <cell r="R42">
            <v>14.399999999999999</v>
          </cell>
          <cell r="S42">
            <v>14.399999999999999</v>
          </cell>
          <cell r="T42">
            <v>-1.8000000000000114</v>
          </cell>
          <cell r="U42">
            <v>0</v>
          </cell>
          <cell r="V42">
            <v>0</v>
          </cell>
          <cell r="W42">
            <v>0</v>
          </cell>
          <cell r="X42">
            <v>18.799999999999997</v>
          </cell>
          <cell r="Y42">
            <v>28.199999999999996</v>
          </cell>
          <cell r="Z42">
            <v>42.599999999999994</v>
          </cell>
          <cell r="AA42">
            <v>56.999999999999993</v>
          </cell>
          <cell r="AB42">
            <v>46.399999999999991</v>
          </cell>
          <cell r="AC42">
            <v>0.79999999999999005</v>
          </cell>
          <cell r="AD42">
            <v>-29.800000000000011</v>
          </cell>
          <cell r="AE42">
            <v>-15.400000000000013</v>
          </cell>
          <cell r="AF42">
            <v>-1.0000000000000142</v>
          </cell>
        </row>
        <row r="45">
          <cell r="D45">
            <v>4</v>
          </cell>
          <cell r="E45">
            <v>5</v>
          </cell>
          <cell r="F45">
            <v>6</v>
          </cell>
          <cell r="G45">
            <v>7</v>
          </cell>
          <cell r="H45">
            <v>8</v>
          </cell>
          <cell r="I45">
            <v>9</v>
          </cell>
          <cell r="J45">
            <v>10</v>
          </cell>
          <cell r="K45">
            <v>11</v>
          </cell>
          <cell r="L45">
            <v>12</v>
          </cell>
          <cell r="M45">
            <v>13</v>
          </cell>
          <cell r="N45">
            <v>14</v>
          </cell>
          <cell r="O45">
            <v>15</v>
          </cell>
          <cell r="P45">
            <v>16</v>
          </cell>
          <cell r="Q45">
            <v>17</v>
          </cell>
          <cell r="R45">
            <v>18</v>
          </cell>
          <cell r="S45">
            <v>19</v>
          </cell>
          <cell r="T45">
            <v>20</v>
          </cell>
          <cell r="U45">
            <v>21</v>
          </cell>
          <cell r="V45">
            <v>22</v>
          </cell>
          <cell r="W45">
            <v>23</v>
          </cell>
          <cell r="X45">
            <v>24</v>
          </cell>
          <cell r="Y45">
            <v>25</v>
          </cell>
          <cell r="Z45">
            <v>26</v>
          </cell>
          <cell r="AA45">
            <v>27</v>
          </cell>
          <cell r="AB45">
            <v>28</v>
          </cell>
          <cell r="AC45">
            <v>29</v>
          </cell>
          <cell r="AD45">
            <v>30</v>
          </cell>
          <cell r="AE45">
            <v>31</v>
          </cell>
          <cell r="AF45">
            <v>32</v>
          </cell>
        </row>
        <row r="46">
          <cell r="E46" t="str">
            <v>Budget</v>
          </cell>
          <cell r="F46" t="str">
            <v>Budget</v>
          </cell>
          <cell r="G46" t="str">
            <v>Budget</v>
          </cell>
          <cell r="H46" t="str">
            <v>Budget</v>
          </cell>
          <cell r="I46" t="str">
            <v>Budget</v>
          </cell>
          <cell r="J46" t="str">
            <v>Budget</v>
          </cell>
          <cell r="K46" t="str">
            <v>Budget</v>
          </cell>
          <cell r="L46" t="str">
            <v>Budget</v>
          </cell>
          <cell r="M46" t="str">
            <v>Budget</v>
          </cell>
          <cell r="N46" t="str">
            <v>Budget</v>
          </cell>
          <cell r="O46" t="str">
            <v>Budget</v>
          </cell>
          <cell r="P46" t="str">
            <v>Budget</v>
          </cell>
          <cell r="Q46" t="str">
            <v>Budget</v>
          </cell>
          <cell r="R46" t="str">
            <v>Budget</v>
          </cell>
          <cell r="S46" t="str">
            <v>Budget</v>
          </cell>
          <cell r="T46" t="str">
            <v>Budget</v>
          </cell>
          <cell r="U46" t="str">
            <v>Cumu Bud</v>
          </cell>
          <cell r="V46" t="str">
            <v>Cumu Bud</v>
          </cell>
          <cell r="W46" t="str">
            <v>Cumu Bud</v>
          </cell>
          <cell r="X46" t="str">
            <v>Cumu Bud</v>
          </cell>
          <cell r="Y46" t="str">
            <v>Cumu Bud</v>
          </cell>
          <cell r="Z46" t="str">
            <v>Cumu Bud</v>
          </cell>
          <cell r="AA46" t="str">
            <v>Cumu Bud</v>
          </cell>
          <cell r="AB46" t="str">
            <v>Cumu Bud</v>
          </cell>
          <cell r="AC46" t="str">
            <v>Cumu Bud</v>
          </cell>
          <cell r="AD46" t="str">
            <v>Cumu Bud</v>
          </cell>
          <cell r="AE46" t="str">
            <v>Cumu Bud</v>
          </cell>
          <cell r="AF46" t="str">
            <v>Cumu Bud</v>
          </cell>
        </row>
        <row r="47">
          <cell r="D47" t="str">
            <v>Particulars</v>
          </cell>
          <cell r="E47">
            <v>41651</v>
          </cell>
          <cell r="F47">
            <v>41682</v>
          </cell>
          <cell r="G47">
            <v>41710</v>
          </cell>
          <cell r="H47" t="str">
            <v>Q-1</v>
          </cell>
          <cell r="I47">
            <v>41741</v>
          </cell>
          <cell r="J47">
            <v>41771</v>
          </cell>
          <cell r="K47">
            <v>41802</v>
          </cell>
          <cell r="L47" t="str">
            <v>Q-2</v>
          </cell>
          <cell r="M47">
            <v>41832</v>
          </cell>
          <cell r="N47">
            <v>41863</v>
          </cell>
          <cell r="O47">
            <v>41894</v>
          </cell>
          <cell r="P47" t="str">
            <v>Q-3</v>
          </cell>
          <cell r="Q47">
            <v>41924</v>
          </cell>
          <cell r="R47">
            <v>41955</v>
          </cell>
          <cell r="S47">
            <v>41985</v>
          </cell>
          <cell r="T47" t="str">
            <v>Q-4</v>
          </cell>
          <cell r="U47">
            <v>41651</v>
          </cell>
          <cell r="V47">
            <v>41682</v>
          </cell>
          <cell r="W47">
            <v>41710</v>
          </cell>
          <cell r="X47">
            <v>41741</v>
          </cell>
          <cell r="Y47">
            <v>41771</v>
          </cell>
          <cell r="Z47">
            <v>41802</v>
          </cell>
          <cell r="AA47">
            <v>41832</v>
          </cell>
          <cell r="AB47">
            <v>41863</v>
          </cell>
          <cell r="AC47">
            <v>41894</v>
          </cell>
          <cell r="AD47">
            <v>41924</v>
          </cell>
          <cell r="AE47">
            <v>41955</v>
          </cell>
          <cell r="AF47">
            <v>41985</v>
          </cell>
        </row>
        <row r="49">
          <cell r="D49" t="str">
            <v>Sales</v>
          </cell>
          <cell r="E49">
            <v>1.9080267462010352</v>
          </cell>
          <cell r="F49">
            <v>1.9080267462010352</v>
          </cell>
          <cell r="G49">
            <v>1.9080267462010352</v>
          </cell>
          <cell r="H49">
            <v>5.724080238603106</v>
          </cell>
          <cell r="I49">
            <v>1.9080267462010352</v>
          </cell>
          <cell r="J49">
            <v>1.9080267462010352</v>
          </cell>
          <cell r="K49">
            <v>0</v>
          </cell>
          <cell r="L49">
            <v>3.8160534924020704</v>
          </cell>
          <cell r="M49">
            <v>39.71080665530905</v>
          </cell>
          <cell r="N49">
            <v>99.09813913081625</v>
          </cell>
          <cell r="O49">
            <v>119.37092330920227</v>
          </cell>
          <cell r="P49">
            <v>258.17986909532755</v>
          </cell>
          <cell r="Q49">
            <v>33.032713043605419</v>
          </cell>
          <cell r="R49">
            <v>33.032713043605419</v>
          </cell>
          <cell r="S49">
            <v>33.032713043605419</v>
          </cell>
          <cell r="T49">
            <v>99.098139130816264</v>
          </cell>
          <cell r="U49">
            <v>1.9080267462010352</v>
          </cell>
          <cell r="V49">
            <v>3.8160534924020704</v>
          </cell>
          <cell r="W49">
            <v>5.724080238603106</v>
          </cell>
          <cell r="X49">
            <v>7.6321069848041407</v>
          </cell>
          <cell r="Y49">
            <v>9.5401337310051755</v>
          </cell>
          <cell r="Z49">
            <v>9.5401337310051755</v>
          </cell>
          <cell r="AA49">
            <v>49.250940386314227</v>
          </cell>
          <cell r="AB49">
            <v>148.34907951713046</v>
          </cell>
          <cell r="AC49">
            <v>267.72000282633275</v>
          </cell>
          <cell r="AD49">
            <v>300.75271586993819</v>
          </cell>
          <cell r="AE49">
            <v>333.78542891354363</v>
          </cell>
          <cell r="AF49">
            <v>366.81814195714907</v>
          </cell>
        </row>
        <row r="50">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D51" t="str">
            <v>Cost of Goods Sold</v>
          </cell>
          <cell r="E51">
            <v>1.52</v>
          </cell>
          <cell r="F51">
            <v>1.52</v>
          </cell>
          <cell r="G51">
            <v>1.52</v>
          </cell>
          <cell r="H51">
            <v>4.5600000000000005</v>
          </cell>
          <cell r="I51">
            <v>1.52</v>
          </cell>
          <cell r="J51">
            <v>1.52</v>
          </cell>
          <cell r="K51">
            <v>0</v>
          </cell>
          <cell r="L51">
            <v>3.04</v>
          </cell>
          <cell r="M51">
            <v>31.635000000000005</v>
          </cell>
          <cell r="N51">
            <v>78.944999999999993</v>
          </cell>
          <cell r="O51">
            <v>95.094999999999999</v>
          </cell>
          <cell r="P51">
            <v>205.67500000000001</v>
          </cell>
          <cell r="Q51">
            <v>26.315000000000001</v>
          </cell>
          <cell r="R51">
            <v>26.315000000000001</v>
          </cell>
          <cell r="S51">
            <v>26.315000000000001</v>
          </cell>
          <cell r="T51">
            <v>78.945000000000007</v>
          </cell>
          <cell r="U51">
            <v>1.52</v>
          </cell>
          <cell r="V51">
            <v>3.04</v>
          </cell>
          <cell r="W51">
            <v>4.5600000000000005</v>
          </cell>
          <cell r="X51">
            <v>6.08</v>
          </cell>
          <cell r="Y51">
            <v>7.6</v>
          </cell>
          <cell r="Z51">
            <v>7.6</v>
          </cell>
          <cell r="AA51">
            <v>39.235000000000007</v>
          </cell>
          <cell r="AB51">
            <v>118.18</v>
          </cell>
          <cell r="AC51">
            <v>213.27500000000001</v>
          </cell>
          <cell r="AD51">
            <v>239.59</v>
          </cell>
          <cell r="AE51">
            <v>265.90500000000003</v>
          </cell>
          <cell r="AF51">
            <v>292.22000000000003</v>
          </cell>
        </row>
        <row r="52">
          <cell r="D52" t="str">
            <v>ED Savings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D53" t="str">
            <v>PRISM II &amp; PSM Savings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row>
        <row r="56">
          <cell r="D56" t="str">
            <v>Contribution</v>
          </cell>
          <cell r="E56">
            <v>0.38802674620103517</v>
          </cell>
          <cell r="F56">
            <v>0.38802674620103517</v>
          </cell>
          <cell r="G56">
            <v>0.38802674620103517</v>
          </cell>
          <cell r="H56">
            <v>1.1640802386031055</v>
          </cell>
          <cell r="I56">
            <v>0.38802674620103517</v>
          </cell>
          <cell r="J56">
            <v>0.38802674620103517</v>
          </cell>
          <cell r="K56">
            <v>0</v>
          </cell>
          <cell r="L56">
            <v>0.77605349240207033</v>
          </cell>
          <cell r="M56">
            <v>8.0758066553090444</v>
          </cell>
          <cell r="N56">
            <v>20.153139130816257</v>
          </cell>
          <cell r="O56">
            <v>24.27592330920227</v>
          </cell>
          <cell r="P56">
            <v>52.504869095327535</v>
          </cell>
          <cell r="Q56">
            <v>6.7177130436054178</v>
          </cell>
          <cell r="R56">
            <v>6.7177130436054178</v>
          </cell>
          <cell r="S56">
            <v>6.7177130436054178</v>
          </cell>
          <cell r="T56">
            <v>20.153139130816257</v>
          </cell>
          <cell r="U56">
            <v>0.38802674620103517</v>
          </cell>
          <cell r="V56">
            <v>0.77605349240207033</v>
          </cell>
          <cell r="W56">
            <v>1.1640802386031055</v>
          </cell>
          <cell r="X56">
            <v>1.5521069848041407</v>
          </cell>
          <cell r="Y56">
            <v>1.9401337310051758</v>
          </cell>
          <cell r="Z56">
            <v>1.9401337310051758</v>
          </cell>
          <cell r="AA56">
            <v>10.01594038631422</v>
          </cell>
          <cell r="AB56">
            <v>30.169079517130477</v>
          </cell>
          <cell r="AC56">
            <v>54.445002826332747</v>
          </cell>
          <cell r="AD56">
            <v>61.162715869938168</v>
          </cell>
          <cell r="AE56">
            <v>67.880428913543582</v>
          </cell>
          <cell r="AF56">
            <v>74.598141957148997</v>
          </cell>
        </row>
        <row r="57">
          <cell r="D57">
            <v>0</v>
          </cell>
          <cell r="E57">
            <v>0.20336546485714282</v>
          </cell>
          <cell r="F57">
            <v>0.20336546485714282</v>
          </cell>
          <cell r="G57">
            <v>0.20336546485714282</v>
          </cell>
          <cell r="H57">
            <v>0.2033654648571428</v>
          </cell>
          <cell r="I57">
            <v>0.20336546485714282</v>
          </cell>
          <cell r="J57">
            <v>0.20336546485714282</v>
          </cell>
          <cell r="K57" t="e">
            <v>#DIV/0!</v>
          </cell>
          <cell r="L57">
            <v>0.20336546485714282</v>
          </cell>
          <cell r="M57">
            <v>0.2033654648571428</v>
          </cell>
          <cell r="N57">
            <v>0.20336546485714277</v>
          </cell>
          <cell r="O57">
            <v>0.20336546485714285</v>
          </cell>
          <cell r="P57">
            <v>0.20336546485714269</v>
          </cell>
          <cell r="Q57">
            <v>0.20336546485714271</v>
          </cell>
          <cell r="R57">
            <v>0.20336546485714271</v>
          </cell>
          <cell r="S57">
            <v>0.20336546485714271</v>
          </cell>
          <cell r="T57">
            <v>0.20336546485714274</v>
          </cell>
          <cell r="U57">
            <v>0.20336546485714282</v>
          </cell>
          <cell r="V57">
            <v>0.20336546485714282</v>
          </cell>
          <cell r="W57">
            <v>0.2033654648571428</v>
          </cell>
          <cell r="X57">
            <v>0.20336546485714282</v>
          </cell>
          <cell r="Y57">
            <v>0.20336546485714282</v>
          </cell>
          <cell r="Z57">
            <v>0.20336546485714282</v>
          </cell>
          <cell r="AA57">
            <v>0.2033654648571428</v>
          </cell>
          <cell r="AB57">
            <v>0.2033654648571428</v>
          </cell>
          <cell r="AC57">
            <v>0.20336546485714282</v>
          </cell>
          <cell r="AD57">
            <v>0.2033654648571428</v>
          </cell>
          <cell r="AE57">
            <v>0.20336546485714277</v>
          </cell>
          <cell r="AF57">
            <v>0.20336546485714274</v>
          </cell>
        </row>
        <row r="58">
          <cell r="D58" t="str">
            <v>Overheads</v>
          </cell>
        </row>
        <row r="59">
          <cell r="D59" t="str">
            <v>Advertisement Exp.</v>
          </cell>
          <cell r="E59">
            <v>10</v>
          </cell>
          <cell r="F59">
            <v>20</v>
          </cell>
          <cell r="G59">
            <v>30</v>
          </cell>
          <cell r="H59">
            <v>60</v>
          </cell>
          <cell r="I59">
            <v>30</v>
          </cell>
          <cell r="J59">
            <v>30</v>
          </cell>
          <cell r="K59">
            <v>15</v>
          </cell>
          <cell r="L59">
            <v>75</v>
          </cell>
          <cell r="M59">
            <v>0</v>
          </cell>
          <cell r="N59">
            <v>5</v>
          </cell>
          <cell r="O59">
            <v>5</v>
          </cell>
          <cell r="P59">
            <v>10</v>
          </cell>
          <cell r="Q59">
            <v>20</v>
          </cell>
          <cell r="R59">
            <v>15</v>
          </cell>
          <cell r="S59">
            <v>15</v>
          </cell>
          <cell r="T59">
            <v>50</v>
          </cell>
          <cell r="U59">
            <v>10</v>
          </cell>
          <cell r="V59">
            <v>30</v>
          </cell>
          <cell r="W59">
            <v>60</v>
          </cell>
          <cell r="X59">
            <v>90</v>
          </cell>
          <cell r="Y59">
            <v>120</v>
          </cell>
          <cell r="Z59">
            <v>135</v>
          </cell>
          <cell r="AA59">
            <v>135</v>
          </cell>
          <cell r="AB59">
            <v>140</v>
          </cell>
          <cell r="AC59">
            <v>145</v>
          </cell>
          <cell r="AD59">
            <v>165</v>
          </cell>
          <cell r="AE59">
            <v>180</v>
          </cell>
          <cell r="AF59">
            <v>195</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D61" t="str">
            <v>Total Overheads (a+b)</v>
          </cell>
          <cell r="E61">
            <v>10</v>
          </cell>
          <cell r="F61">
            <v>20</v>
          </cell>
          <cell r="G61">
            <v>30</v>
          </cell>
          <cell r="H61">
            <v>60</v>
          </cell>
          <cell r="I61">
            <v>30</v>
          </cell>
          <cell r="J61">
            <v>30</v>
          </cell>
          <cell r="K61">
            <v>15</v>
          </cell>
          <cell r="L61">
            <v>75</v>
          </cell>
          <cell r="M61">
            <v>0</v>
          </cell>
          <cell r="N61">
            <v>5</v>
          </cell>
          <cell r="O61">
            <v>5</v>
          </cell>
          <cell r="P61">
            <v>10</v>
          </cell>
          <cell r="Q61">
            <v>20</v>
          </cell>
          <cell r="R61">
            <v>15</v>
          </cell>
          <cell r="S61">
            <v>15</v>
          </cell>
          <cell r="T61">
            <v>50</v>
          </cell>
          <cell r="U61">
            <v>10</v>
          </cell>
          <cell r="V61">
            <v>30</v>
          </cell>
          <cell r="W61">
            <v>60</v>
          </cell>
          <cell r="X61">
            <v>90</v>
          </cell>
          <cell r="Y61">
            <v>120</v>
          </cell>
          <cell r="Z61">
            <v>135</v>
          </cell>
          <cell r="AA61">
            <v>135</v>
          </cell>
          <cell r="AB61">
            <v>140</v>
          </cell>
          <cell r="AC61">
            <v>145</v>
          </cell>
          <cell r="AD61">
            <v>165</v>
          </cell>
          <cell r="AE61">
            <v>180</v>
          </cell>
          <cell r="AF61">
            <v>195</v>
          </cell>
        </row>
        <row r="62">
          <cell r="D62" t="str">
            <v>OPERATING PROFIT (LOSS)</v>
          </cell>
          <cell r="E62">
            <v>-9.6119732537989648</v>
          </cell>
          <cell r="F62">
            <v>-19.611973253798965</v>
          </cell>
          <cell r="G62">
            <v>-29.611973253798965</v>
          </cell>
          <cell r="H62">
            <v>-58.835919761396895</v>
          </cell>
          <cell r="I62">
            <v>-29.611973253798965</v>
          </cell>
          <cell r="J62">
            <v>-29.611973253798965</v>
          </cell>
          <cell r="K62">
            <v>-15</v>
          </cell>
          <cell r="L62">
            <v>-74.22394650759793</v>
          </cell>
          <cell r="M62">
            <v>8.0758066553090444</v>
          </cell>
          <cell r="N62">
            <v>15.153139130816257</v>
          </cell>
          <cell r="O62">
            <v>19.27592330920227</v>
          </cell>
          <cell r="P62">
            <v>42.504869095327535</v>
          </cell>
          <cell r="Q62">
            <v>-13.282286956394582</v>
          </cell>
          <cell r="R62">
            <v>-8.2822869563945822</v>
          </cell>
          <cell r="S62">
            <v>-8.2822869563945822</v>
          </cell>
          <cell r="T62">
            <v>-29.846860869183743</v>
          </cell>
          <cell r="U62">
            <v>-9.6119732537989648</v>
          </cell>
          <cell r="V62">
            <v>-29.22394650759793</v>
          </cell>
          <cell r="W62">
            <v>-58.835919761396895</v>
          </cell>
          <cell r="X62">
            <v>-88.447893015195859</v>
          </cell>
          <cell r="Y62">
            <v>-118.05986626899482</v>
          </cell>
          <cell r="Z62">
            <v>-133.05986626899482</v>
          </cell>
          <cell r="AA62">
            <v>-124.98405961368579</v>
          </cell>
          <cell r="AB62">
            <v>-109.83092048286953</v>
          </cell>
          <cell r="AC62">
            <v>-90.55499717366726</v>
          </cell>
          <cell r="AD62">
            <v>-103.83728413006185</v>
          </cell>
          <cell r="AE62">
            <v>-112.11957108645643</v>
          </cell>
          <cell r="AF62">
            <v>-120.40185804285102</v>
          </cell>
        </row>
        <row r="65">
          <cell r="D65">
            <v>4</v>
          </cell>
          <cell r="E65">
            <v>5</v>
          </cell>
          <cell r="F65">
            <v>6</v>
          </cell>
          <cell r="G65">
            <v>7</v>
          </cell>
          <cell r="H65">
            <v>8</v>
          </cell>
          <cell r="I65">
            <v>9</v>
          </cell>
          <cell r="J65">
            <v>10</v>
          </cell>
          <cell r="K65">
            <v>11</v>
          </cell>
          <cell r="L65">
            <v>12</v>
          </cell>
          <cell r="M65">
            <v>13</v>
          </cell>
          <cell r="N65">
            <v>14</v>
          </cell>
          <cell r="O65">
            <v>15</v>
          </cell>
          <cell r="P65">
            <v>16</v>
          </cell>
          <cell r="Q65">
            <v>17</v>
          </cell>
          <cell r="R65">
            <v>18</v>
          </cell>
          <cell r="S65">
            <v>19</v>
          </cell>
          <cell r="T65">
            <v>20</v>
          </cell>
          <cell r="U65">
            <v>21</v>
          </cell>
          <cell r="V65">
            <v>22</v>
          </cell>
          <cell r="W65">
            <v>23</v>
          </cell>
          <cell r="X65">
            <v>24</v>
          </cell>
          <cell r="Y65">
            <v>25</v>
          </cell>
          <cell r="Z65">
            <v>26</v>
          </cell>
          <cell r="AA65">
            <v>27</v>
          </cell>
          <cell r="AB65">
            <v>28</v>
          </cell>
          <cell r="AC65">
            <v>29</v>
          </cell>
          <cell r="AD65">
            <v>30</v>
          </cell>
          <cell r="AE65">
            <v>31</v>
          </cell>
          <cell r="AF65">
            <v>32</v>
          </cell>
        </row>
        <row r="66">
          <cell r="E66" t="str">
            <v>Budget</v>
          </cell>
          <cell r="F66" t="str">
            <v>Budget</v>
          </cell>
          <cell r="G66" t="str">
            <v>Budget</v>
          </cell>
          <cell r="H66" t="str">
            <v>Budget</v>
          </cell>
          <cell r="I66" t="str">
            <v>Budget</v>
          </cell>
          <cell r="J66" t="str">
            <v>Budget</v>
          </cell>
          <cell r="K66" t="str">
            <v>Budget</v>
          </cell>
          <cell r="L66" t="str">
            <v>Budget</v>
          </cell>
          <cell r="M66" t="str">
            <v>Budget</v>
          </cell>
          <cell r="N66" t="str">
            <v>Budget</v>
          </cell>
          <cell r="O66" t="str">
            <v>Budget</v>
          </cell>
          <cell r="P66" t="str">
            <v>Budget</v>
          </cell>
          <cell r="Q66" t="str">
            <v>Budget</v>
          </cell>
          <cell r="R66" t="str">
            <v>Budget</v>
          </cell>
          <cell r="S66" t="str">
            <v>Budget</v>
          </cell>
          <cell r="T66" t="str">
            <v>Budget</v>
          </cell>
          <cell r="U66" t="str">
            <v>Cumu Bud</v>
          </cell>
          <cell r="V66" t="str">
            <v>Cumu Bud</v>
          </cell>
          <cell r="W66" t="str">
            <v>Cumu Bud</v>
          </cell>
          <cell r="X66" t="str">
            <v>Cumu Bud</v>
          </cell>
          <cell r="Y66" t="str">
            <v>Cumu Bud</v>
          </cell>
          <cell r="Z66" t="str">
            <v>Cumu Bud</v>
          </cell>
          <cell r="AA66" t="str">
            <v>Cumu Bud</v>
          </cell>
          <cell r="AB66" t="str">
            <v>Cumu Bud</v>
          </cell>
          <cell r="AC66" t="str">
            <v>Cumu Bud</v>
          </cell>
          <cell r="AD66" t="str">
            <v>Cumu Bud</v>
          </cell>
          <cell r="AE66" t="str">
            <v>Cumu Bud</v>
          </cell>
          <cell r="AF66" t="str">
            <v>Cumu Bud</v>
          </cell>
        </row>
        <row r="67">
          <cell r="D67" t="str">
            <v>Particulars</v>
          </cell>
          <cell r="E67">
            <v>41651</v>
          </cell>
          <cell r="F67">
            <v>41682</v>
          </cell>
          <cell r="G67">
            <v>41710</v>
          </cell>
          <cell r="H67" t="str">
            <v>Q-1</v>
          </cell>
          <cell r="I67">
            <v>41741</v>
          </cell>
          <cell r="J67">
            <v>41771</v>
          </cell>
          <cell r="K67">
            <v>41802</v>
          </cell>
          <cell r="L67" t="str">
            <v>Q-2</v>
          </cell>
          <cell r="M67">
            <v>41832</v>
          </cell>
          <cell r="N67">
            <v>41863</v>
          </cell>
          <cell r="O67">
            <v>41894</v>
          </cell>
          <cell r="P67" t="str">
            <v>Q-3</v>
          </cell>
          <cell r="Q67">
            <v>41924</v>
          </cell>
          <cell r="R67">
            <v>41955</v>
          </cell>
          <cell r="S67">
            <v>41985</v>
          </cell>
          <cell r="T67" t="str">
            <v>Q-4</v>
          </cell>
          <cell r="U67">
            <v>41651</v>
          </cell>
          <cell r="V67">
            <v>41682</v>
          </cell>
          <cell r="W67">
            <v>41710</v>
          </cell>
          <cell r="X67">
            <v>41741</v>
          </cell>
          <cell r="Y67">
            <v>41771</v>
          </cell>
          <cell r="Z67">
            <v>41802</v>
          </cell>
          <cell r="AA67">
            <v>41832</v>
          </cell>
          <cell r="AB67">
            <v>41863</v>
          </cell>
          <cell r="AC67">
            <v>41894</v>
          </cell>
          <cell r="AD67">
            <v>41924</v>
          </cell>
          <cell r="AE67">
            <v>41955</v>
          </cell>
          <cell r="AF67">
            <v>41985</v>
          </cell>
        </row>
        <row r="69">
          <cell r="D69" t="str">
            <v>Sales</v>
          </cell>
          <cell r="E69">
            <v>1009.4004933273026</v>
          </cell>
          <cell r="F69">
            <v>1106.5192916582675</v>
          </cell>
          <cell r="G69">
            <v>843.35129414803714</v>
          </cell>
          <cell r="H69">
            <v>2959.2710791336071</v>
          </cell>
          <cell r="I69">
            <v>983.22480812091214</v>
          </cell>
          <cell r="J69">
            <v>985.27742859615114</v>
          </cell>
          <cell r="K69">
            <v>1005.863947594024</v>
          </cell>
          <cell r="L69">
            <v>2974.3661843110872</v>
          </cell>
          <cell r="M69">
            <v>1105.5311183033537</v>
          </cell>
          <cell r="N69">
            <v>999.94150013902197</v>
          </cell>
          <cell r="O69">
            <v>880.7048837722906</v>
          </cell>
          <cell r="P69">
            <v>2986.1775022146662</v>
          </cell>
          <cell r="Q69">
            <v>1228.4360284242757</v>
          </cell>
          <cell r="R69">
            <v>1235.5305828374294</v>
          </cell>
          <cell r="S69">
            <v>1163.5058068766555</v>
          </cell>
          <cell r="T69">
            <v>3627.4724181383608</v>
          </cell>
          <cell r="U69">
            <v>1009.4004933273026</v>
          </cell>
          <cell r="V69">
            <v>2115.91978498557</v>
          </cell>
          <cell r="W69">
            <v>2959.2710791336071</v>
          </cell>
          <cell r="X69">
            <v>3942.4958872545194</v>
          </cell>
          <cell r="Y69">
            <v>4927.7733158506708</v>
          </cell>
          <cell r="Z69">
            <v>5933.6372634446943</v>
          </cell>
          <cell r="AA69">
            <v>7039.168381748048</v>
          </cell>
          <cell r="AB69">
            <v>8039.1098818870696</v>
          </cell>
          <cell r="AC69">
            <v>8919.814765659361</v>
          </cell>
          <cell r="AD69">
            <v>10148.250794083637</v>
          </cell>
          <cell r="AE69">
            <v>11383.781376921066</v>
          </cell>
          <cell r="AF69">
            <v>12547.287183797722</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D71" t="str">
            <v>Cost of Goods Sold</v>
          </cell>
          <cell r="E71">
            <v>341.10666915691166</v>
          </cell>
          <cell r="F71">
            <v>370.99711184264709</v>
          </cell>
          <cell r="G71">
            <v>277.03170584674331</v>
          </cell>
          <cell r="H71">
            <v>989.135486846302</v>
          </cell>
          <cell r="I71">
            <v>335.52226481181373</v>
          </cell>
          <cell r="J71">
            <v>334.2772598743627</v>
          </cell>
          <cell r="K71">
            <v>357.42769957275493</v>
          </cell>
          <cell r="L71">
            <v>1027.2272242589315</v>
          </cell>
          <cell r="M71">
            <v>405.47718398199027</v>
          </cell>
          <cell r="N71">
            <v>367.01327890866673</v>
          </cell>
          <cell r="O71">
            <v>300.92977522986268</v>
          </cell>
          <cell r="P71">
            <v>1073.4202381205196</v>
          </cell>
          <cell r="Q71">
            <v>462.72050655669898</v>
          </cell>
          <cell r="R71">
            <v>489.5870940687667</v>
          </cell>
          <cell r="S71">
            <v>454.26315337408107</v>
          </cell>
          <cell r="T71">
            <v>1406.5707539995469</v>
          </cell>
          <cell r="U71">
            <v>341.10666915691166</v>
          </cell>
          <cell r="V71">
            <v>712.10378099955869</v>
          </cell>
          <cell r="W71">
            <v>989.135486846302</v>
          </cell>
          <cell r="X71">
            <v>1324.6577516581158</v>
          </cell>
          <cell r="Y71">
            <v>1658.9350115324785</v>
          </cell>
          <cell r="Z71">
            <v>2016.3627111052333</v>
          </cell>
          <cell r="AA71">
            <v>2421.8398950872233</v>
          </cell>
          <cell r="AB71">
            <v>2788.8531739958898</v>
          </cell>
          <cell r="AC71">
            <v>3089.7829492257524</v>
          </cell>
          <cell r="AD71">
            <v>3552.5034557824515</v>
          </cell>
          <cell r="AE71">
            <v>4042.0905498512184</v>
          </cell>
          <cell r="AF71">
            <v>4496.3537032252998</v>
          </cell>
        </row>
        <row r="72">
          <cell r="D72" t="str">
            <v>ED Savings</v>
          </cell>
          <cell r="E72">
            <v>43.155705413120316</v>
          </cell>
          <cell r="F72">
            <v>47.256965739930109</v>
          </cell>
          <cell r="G72">
            <v>35.915045346629284</v>
          </cell>
          <cell r="H72">
            <v>126.32771649967971</v>
          </cell>
          <cell r="I72">
            <v>42.182544488888809</v>
          </cell>
          <cell r="J72">
            <v>42.810081159147813</v>
          </cell>
          <cell r="K72">
            <v>47.34722282717739</v>
          </cell>
          <cell r="L72">
            <v>132.33984847521401</v>
          </cell>
          <cell r="M72">
            <v>48.466778296529711</v>
          </cell>
          <cell r="N72">
            <v>44.300466917740337</v>
          </cell>
          <cell r="O72">
            <v>38.623022157318346</v>
          </cell>
          <cell r="P72">
            <v>131.39026737158838</v>
          </cell>
          <cell r="Q72">
            <v>49.483024968437348</v>
          </cell>
          <cell r="R72">
            <v>50.19044921200495</v>
          </cell>
          <cell r="S72">
            <v>47.323283432827239</v>
          </cell>
          <cell r="T72">
            <v>146.99675761326955</v>
          </cell>
          <cell r="U72">
            <v>43.155705413120316</v>
          </cell>
          <cell r="V72">
            <v>90.412671153050425</v>
          </cell>
          <cell r="W72">
            <v>126.32771649967971</v>
          </cell>
          <cell r="X72">
            <v>168.51026098856852</v>
          </cell>
          <cell r="Y72">
            <v>211.32034214771633</v>
          </cell>
          <cell r="Z72">
            <v>258.66756497489371</v>
          </cell>
          <cell r="AA72">
            <v>307.1343432714234</v>
          </cell>
          <cell r="AB72">
            <v>351.43481018916373</v>
          </cell>
          <cell r="AC72">
            <v>390.05783234648209</v>
          </cell>
          <cell r="AD72">
            <v>439.54085731491944</v>
          </cell>
          <cell r="AE72">
            <v>489.73130652692441</v>
          </cell>
          <cell r="AF72">
            <v>537.05458995975164</v>
          </cell>
        </row>
        <row r="73">
          <cell r="D73" t="str">
            <v>PRISM II &amp; PSM Savings</v>
          </cell>
          <cell r="E73">
            <v>3.5</v>
          </cell>
          <cell r="F73">
            <v>3.5</v>
          </cell>
          <cell r="G73">
            <v>5.5</v>
          </cell>
          <cell r="H73">
            <v>12.5</v>
          </cell>
          <cell r="I73">
            <v>5</v>
          </cell>
          <cell r="J73">
            <v>5</v>
          </cell>
          <cell r="K73">
            <v>5</v>
          </cell>
          <cell r="L73">
            <v>15</v>
          </cell>
          <cell r="M73">
            <v>5</v>
          </cell>
          <cell r="N73">
            <v>5</v>
          </cell>
          <cell r="O73">
            <v>6.5</v>
          </cell>
          <cell r="P73">
            <v>16.5</v>
          </cell>
          <cell r="Q73">
            <v>10</v>
          </cell>
          <cell r="R73">
            <v>7</v>
          </cell>
          <cell r="S73">
            <v>8.5</v>
          </cell>
          <cell r="T73">
            <v>25.5</v>
          </cell>
          <cell r="U73">
            <v>3.5</v>
          </cell>
          <cell r="V73">
            <v>7</v>
          </cell>
          <cell r="W73">
            <v>12.5</v>
          </cell>
          <cell r="X73">
            <v>17.5</v>
          </cell>
          <cell r="Y73">
            <v>22.5</v>
          </cell>
          <cell r="Z73">
            <v>27.5</v>
          </cell>
          <cell r="AA73">
            <v>32.5</v>
          </cell>
          <cell r="AB73">
            <v>37.5</v>
          </cell>
          <cell r="AC73">
            <v>44</v>
          </cell>
          <cell r="AD73">
            <v>54</v>
          </cell>
          <cell r="AE73">
            <v>61</v>
          </cell>
          <cell r="AF73">
            <v>69.5</v>
          </cell>
        </row>
        <row r="74">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row>
        <row r="76">
          <cell r="D76" t="str">
            <v>Contribution</v>
          </cell>
          <cell r="E76">
            <v>714.94952958351132</v>
          </cell>
          <cell r="F76">
            <v>786.2791455555506</v>
          </cell>
          <cell r="G76">
            <v>607.73463364792315</v>
          </cell>
          <cell r="H76">
            <v>2108.9633087869847</v>
          </cell>
          <cell r="I76">
            <v>694.88508779798724</v>
          </cell>
          <cell r="J76">
            <v>698.81024988093623</v>
          </cell>
          <cell r="K76">
            <v>700.78347084844643</v>
          </cell>
          <cell r="L76">
            <v>2094.4788085273694</v>
          </cell>
          <cell r="M76">
            <v>753.52071261789308</v>
          </cell>
          <cell r="N76">
            <v>682.22868814809556</v>
          </cell>
          <cell r="O76">
            <v>624.89813069974628</v>
          </cell>
          <cell r="P76">
            <v>2060.647531465735</v>
          </cell>
          <cell r="Q76">
            <v>825.19854683601409</v>
          </cell>
          <cell r="R76">
            <v>803.13393798066772</v>
          </cell>
          <cell r="S76">
            <v>765.06593693540162</v>
          </cell>
          <cell r="T76">
            <v>2393.3984217520833</v>
          </cell>
          <cell r="U76">
            <v>714.94952958351132</v>
          </cell>
          <cell r="V76">
            <v>1501.228675139062</v>
          </cell>
          <cell r="W76">
            <v>2108.9633087869852</v>
          </cell>
          <cell r="X76">
            <v>2803.8483965849723</v>
          </cell>
          <cell r="Y76">
            <v>3502.6586464659085</v>
          </cell>
          <cell r="Z76">
            <v>4203.4421173143546</v>
          </cell>
          <cell r="AA76">
            <v>4956.9628299322476</v>
          </cell>
          <cell r="AB76">
            <v>5639.1915180803435</v>
          </cell>
          <cell r="AC76">
            <v>6264.0896487800901</v>
          </cell>
          <cell r="AD76">
            <v>7089.2881956161045</v>
          </cell>
          <cell r="AE76">
            <v>7892.4221335967723</v>
          </cell>
          <cell r="AF76">
            <v>8657.4880705321739</v>
          </cell>
        </row>
        <row r="77">
          <cell r="D77">
            <v>0</v>
          </cell>
          <cell r="E77">
            <v>0.70829124248474662</v>
          </cell>
          <cell r="F77">
            <v>0.71058783293078054</v>
          </cell>
          <cell r="G77">
            <v>0.72061860563321178</v>
          </cell>
          <cell r="H77">
            <v>0.7126631026328385</v>
          </cell>
          <cell r="I77">
            <v>0.70674080033234243</v>
          </cell>
          <cell r="J77">
            <v>0.70925226702556177</v>
          </cell>
          <cell r="K77">
            <v>0.69669806987782523</v>
          </cell>
          <cell r="L77">
            <v>0.70417651315938612</v>
          </cell>
          <cell r="M77">
            <v>0.6815915899086703</v>
          </cell>
          <cell r="N77">
            <v>0.68226860076639007</v>
          </cell>
          <cell r="O77">
            <v>0.70954316504200965</v>
          </cell>
          <cell r="P77">
            <v>0.69006197050827622</v>
          </cell>
          <cell r="Q77">
            <v>0.67174726867503431</v>
          </cell>
          <cell r="R77">
            <v>0.65003161324930459</v>
          </cell>
          <cell r="S77">
            <v>0.65755231509257706</v>
          </cell>
          <cell r="T77">
            <v>0.65979782776139995</v>
          </cell>
          <cell r="U77">
            <v>0.70829124248474662</v>
          </cell>
          <cell r="V77">
            <v>0.70949224341663786</v>
          </cell>
          <cell r="W77">
            <v>0.71266310263283872</v>
          </cell>
          <cell r="X77">
            <v>0.71118613101141881</v>
          </cell>
          <cell r="Y77">
            <v>0.71079946701266883</v>
          </cell>
          <cell r="Z77">
            <v>0.70840901300294556</v>
          </cell>
          <cell r="AA77">
            <v>0.70419722346537716</v>
          </cell>
          <cell r="AB77">
            <v>0.70146964041205784</v>
          </cell>
          <cell r="AC77">
            <v>0.70226678617771077</v>
          </cell>
          <cell r="AD77">
            <v>0.6985724278462957</v>
          </cell>
          <cell r="AE77">
            <v>0.69330408519593423</v>
          </cell>
          <cell r="AF77">
            <v>0.68998883533259403</v>
          </cell>
        </row>
        <row r="78">
          <cell r="D78" t="str">
            <v>Overheads</v>
          </cell>
        </row>
        <row r="79">
          <cell r="D79" t="str">
            <v>Advertisement Exp.</v>
          </cell>
          <cell r="E79">
            <v>826.80000000000007</v>
          </cell>
          <cell r="F79">
            <v>375.8</v>
          </cell>
          <cell r="G79">
            <v>127.79999999999998</v>
          </cell>
          <cell r="H79">
            <v>1330.4</v>
          </cell>
          <cell r="I79">
            <v>720.8</v>
          </cell>
          <cell r="J79">
            <v>577.79999999999995</v>
          </cell>
          <cell r="K79">
            <v>219.79999999999998</v>
          </cell>
          <cell r="L79">
            <v>1518.3999999999999</v>
          </cell>
          <cell r="M79">
            <v>687.8</v>
          </cell>
          <cell r="N79">
            <v>247.8</v>
          </cell>
          <cell r="O79">
            <v>248.79999999999998</v>
          </cell>
          <cell r="P79">
            <v>1184.3999999999999</v>
          </cell>
          <cell r="Q79">
            <v>371.79999999999995</v>
          </cell>
          <cell r="R79">
            <v>89.800000000000011</v>
          </cell>
          <cell r="S79">
            <v>34.799999999999997</v>
          </cell>
          <cell r="T79">
            <v>496.4</v>
          </cell>
          <cell r="U79">
            <v>826.80000000000007</v>
          </cell>
          <cell r="V79">
            <v>1202.6000000000001</v>
          </cell>
          <cell r="W79">
            <v>1330.4</v>
          </cell>
          <cell r="X79">
            <v>2051.1999999999998</v>
          </cell>
          <cell r="Y79">
            <v>2629</v>
          </cell>
          <cell r="Z79">
            <v>2848.8</v>
          </cell>
          <cell r="AA79">
            <v>3536.6000000000004</v>
          </cell>
          <cell r="AB79">
            <v>3784.4000000000005</v>
          </cell>
          <cell r="AC79">
            <v>4033.2000000000007</v>
          </cell>
          <cell r="AD79">
            <v>4405.0000000000009</v>
          </cell>
          <cell r="AE79">
            <v>4494.8000000000011</v>
          </cell>
          <cell r="AF79">
            <v>4529.6000000000013</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row>
        <row r="81">
          <cell r="D81" t="str">
            <v>Total Overheads (a+b)</v>
          </cell>
          <cell r="E81">
            <v>826.80000000000007</v>
          </cell>
          <cell r="F81">
            <v>375.8</v>
          </cell>
          <cell r="G81">
            <v>127.79999999999998</v>
          </cell>
          <cell r="H81">
            <v>1330.4</v>
          </cell>
          <cell r="I81">
            <v>720.8</v>
          </cell>
          <cell r="J81">
            <v>577.79999999999995</v>
          </cell>
          <cell r="K81">
            <v>219.79999999999998</v>
          </cell>
          <cell r="L81">
            <v>1518.3999999999999</v>
          </cell>
          <cell r="M81">
            <v>687.8</v>
          </cell>
          <cell r="N81">
            <v>247.8</v>
          </cell>
          <cell r="O81">
            <v>248.79999999999998</v>
          </cell>
          <cell r="P81">
            <v>1184.3999999999999</v>
          </cell>
          <cell r="Q81">
            <v>371.79999999999995</v>
          </cell>
          <cell r="R81">
            <v>89.800000000000011</v>
          </cell>
          <cell r="S81">
            <v>34.799999999999997</v>
          </cell>
          <cell r="T81">
            <v>496.4</v>
          </cell>
          <cell r="U81">
            <v>826.80000000000007</v>
          </cell>
          <cell r="V81">
            <v>1202.6000000000001</v>
          </cell>
          <cell r="W81">
            <v>1330.4</v>
          </cell>
          <cell r="X81">
            <v>2051.1999999999998</v>
          </cell>
          <cell r="Y81">
            <v>2629</v>
          </cell>
          <cell r="Z81">
            <v>2848.8</v>
          </cell>
          <cell r="AA81">
            <v>3536.6000000000004</v>
          </cell>
          <cell r="AB81">
            <v>3784.4000000000005</v>
          </cell>
          <cell r="AC81">
            <v>4033.2000000000007</v>
          </cell>
          <cell r="AD81">
            <v>4405.0000000000009</v>
          </cell>
          <cell r="AE81">
            <v>4494.8000000000011</v>
          </cell>
          <cell r="AF81">
            <v>4529.6000000000013</v>
          </cell>
        </row>
        <row r="82">
          <cell r="D82" t="str">
            <v>OPERATING PROFIT (LOSS)</v>
          </cell>
          <cell r="E82">
            <v>-111.85047041648875</v>
          </cell>
          <cell r="F82">
            <v>410.47914555555059</v>
          </cell>
          <cell r="G82">
            <v>479.93463364792319</v>
          </cell>
          <cell r="H82">
            <v>778.56330878698463</v>
          </cell>
          <cell r="I82">
            <v>-25.914912202012715</v>
          </cell>
          <cell r="J82">
            <v>121.01024988093627</v>
          </cell>
          <cell r="K82">
            <v>480.98347084844647</v>
          </cell>
          <cell r="L82">
            <v>576.07880852736957</v>
          </cell>
          <cell r="M82">
            <v>65.720712617893128</v>
          </cell>
          <cell r="N82">
            <v>434.42868814809555</v>
          </cell>
          <cell r="O82">
            <v>376.09813069974632</v>
          </cell>
          <cell r="P82">
            <v>876.24753146573516</v>
          </cell>
          <cell r="Q82">
            <v>453.39854683601413</v>
          </cell>
          <cell r="R82">
            <v>713.33393798066777</v>
          </cell>
          <cell r="S82">
            <v>730.26593693540167</v>
          </cell>
          <cell r="T82">
            <v>1896.9984217520832</v>
          </cell>
          <cell r="U82">
            <v>-111.85047041648875</v>
          </cell>
          <cell r="V82">
            <v>298.62867513906184</v>
          </cell>
          <cell r="W82">
            <v>778.56330878698509</v>
          </cell>
          <cell r="X82">
            <v>752.64839658497237</v>
          </cell>
          <cell r="Y82">
            <v>873.65864646590865</v>
          </cell>
          <cell r="Z82">
            <v>1354.6421173143551</v>
          </cell>
          <cell r="AA82">
            <v>1420.3628299322481</v>
          </cell>
          <cell r="AB82">
            <v>1854.7915180803436</v>
          </cell>
          <cell r="AC82">
            <v>2230.8896487800898</v>
          </cell>
          <cell r="AD82">
            <v>2684.2881956161041</v>
          </cell>
          <cell r="AE82">
            <v>3397.6221335967721</v>
          </cell>
          <cell r="AF82">
            <v>4127.8880705321735</v>
          </cell>
        </row>
        <row r="85">
          <cell r="D85">
            <v>4</v>
          </cell>
          <cell r="E85">
            <v>5</v>
          </cell>
          <cell r="F85">
            <v>6</v>
          </cell>
          <cell r="G85">
            <v>7</v>
          </cell>
          <cell r="H85">
            <v>8</v>
          </cell>
          <cell r="I85">
            <v>9</v>
          </cell>
          <cell r="J85">
            <v>10</v>
          </cell>
          <cell r="K85">
            <v>11</v>
          </cell>
          <cell r="L85">
            <v>12</v>
          </cell>
          <cell r="M85">
            <v>13</v>
          </cell>
          <cell r="N85">
            <v>14</v>
          </cell>
          <cell r="O85">
            <v>15</v>
          </cell>
          <cell r="P85">
            <v>16</v>
          </cell>
          <cell r="Q85">
            <v>17</v>
          </cell>
          <cell r="R85">
            <v>18</v>
          </cell>
          <cell r="S85">
            <v>19</v>
          </cell>
          <cell r="T85">
            <v>20</v>
          </cell>
          <cell r="U85">
            <v>21</v>
          </cell>
          <cell r="V85">
            <v>22</v>
          </cell>
          <cell r="W85">
            <v>23</v>
          </cell>
          <cell r="X85">
            <v>24</v>
          </cell>
          <cell r="Y85">
            <v>25</v>
          </cell>
          <cell r="Z85">
            <v>26</v>
          </cell>
          <cell r="AA85">
            <v>27</v>
          </cell>
          <cell r="AB85">
            <v>28</v>
          </cell>
          <cell r="AC85">
            <v>29</v>
          </cell>
          <cell r="AD85">
            <v>30</v>
          </cell>
          <cell r="AE85">
            <v>31</v>
          </cell>
          <cell r="AF85">
            <v>32</v>
          </cell>
        </row>
        <row r="86">
          <cell r="E86" t="str">
            <v>Budget</v>
          </cell>
          <cell r="F86" t="str">
            <v>Budget</v>
          </cell>
          <cell r="G86" t="str">
            <v>Budget</v>
          </cell>
          <cell r="H86" t="str">
            <v>Budget</v>
          </cell>
          <cell r="I86" t="str">
            <v>Budget</v>
          </cell>
          <cell r="J86" t="str">
            <v>Budget</v>
          </cell>
          <cell r="K86" t="str">
            <v>Budget</v>
          </cell>
          <cell r="L86" t="str">
            <v>Budget</v>
          </cell>
          <cell r="M86" t="str">
            <v>Budget</v>
          </cell>
          <cell r="N86" t="str">
            <v>Budget</v>
          </cell>
          <cell r="O86" t="str">
            <v>Budget</v>
          </cell>
          <cell r="P86" t="str">
            <v>Budget</v>
          </cell>
          <cell r="Q86" t="str">
            <v>Budget</v>
          </cell>
          <cell r="R86" t="str">
            <v>Budget</v>
          </cell>
          <cell r="S86" t="str">
            <v>Budget</v>
          </cell>
          <cell r="T86" t="str">
            <v>Budget</v>
          </cell>
          <cell r="U86" t="str">
            <v>Cumu Bud</v>
          </cell>
          <cell r="V86" t="str">
            <v>Cumu Bud</v>
          </cell>
          <cell r="W86" t="str">
            <v>Cumu Bud</v>
          </cell>
          <cell r="X86" t="str">
            <v>Cumu Bud</v>
          </cell>
          <cell r="Y86" t="str">
            <v>Cumu Bud</v>
          </cell>
          <cell r="Z86" t="str">
            <v>Cumu Bud</v>
          </cell>
          <cell r="AA86" t="str">
            <v>Cumu Bud</v>
          </cell>
          <cell r="AB86" t="str">
            <v>Cumu Bud</v>
          </cell>
          <cell r="AC86" t="str">
            <v>Cumu Bud</v>
          </cell>
          <cell r="AD86" t="str">
            <v>Cumu Bud</v>
          </cell>
          <cell r="AE86" t="str">
            <v>Cumu Bud</v>
          </cell>
          <cell r="AF86" t="str">
            <v>Cumu Bud</v>
          </cell>
        </row>
        <row r="87">
          <cell r="D87" t="str">
            <v>Particulars</v>
          </cell>
          <cell r="E87">
            <v>41651</v>
          </cell>
          <cell r="F87">
            <v>41682</v>
          </cell>
          <cell r="G87">
            <v>41710</v>
          </cell>
          <cell r="H87" t="str">
            <v>Q-1</v>
          </cell>
          <cell r="I87">
            <v>41741</v>
          </cell>
          <cell r="J87">
            <v>41771</v>
          </cell>
          <cell r="K87">
            <v>41802</v>
          </cell>
          <cell r="L87" t="str">
            <v>Q-2</v>
          </cell>
          <cell r="M87">
            <v>41832</v>
          </cell>
          <cell r="N87">
            <v>41863</v>
          </cell>
          <cell r="O87">
            <v>41894</v>
          </cell>
          <cell r="P87" t="str">
            <v>Q-3</v>
          </cell>
          <cell r="Q87">
            <v>41924</v>
          </cell>
          <cell r="R87">
            <v>41955</v>
          </cell>
          <cell r="S87">
            <v>41985</v>
          </cell>
          <cell r="T87" t="str">
            <v>Q-4</v>
          </cell>
          <cell r="U87">
            <v>41651</v>
          </cell>
          <cell r="V87">
            <v>41682</v>
          </cell>
          <cell r="W87">
            <v>41710</v>
          </cell>
          <cell r="X87">
            <v>41741</v>
          </cell>
          <cell r="Y87">
            <v>41771</v>
          </cell>
          <cell r="Z87">
            <v>41802</v>
          </cell>
          <cell r="AA87">
            <v>41832</v>
          </cell>
          <cell r="AB87">
            <v>41863</v>
          </cell>
          <cell r="AC87">
            <v>41894</v>
          </cell>
          <cell r="AD87">
            <v>41924</v>
          </cell>
          <cell r="AE87">
            <v>41955</v>
          </cell>
          <cell r="AF87">
            <v>41985</v>
          </cell>
        </row>
        <row r="89">
          <cell r="D89" t="str">
            <v>Sales</v>
          </cell>
          <cell r="E89">
            <v>18.108437629569387</v>
          </cell>
          <cell r="F89">
            <v>18.108437629569387</v>
          </cell>
          <cell r="G89">
            <v>13.301264288595211</v>
          </cell>
          <cell r="H89">
            <v>49.518139547733988</v>
          </cell>
          <cell r="I89">
            <v>25.602806687695793</v>
          </cell>
          <cell r="J89">
            <v>44.602806687695796</v>
          </cell>
          <cell r="K89">
            <v>139.67300730621736</v>
          </cell>
          <cell r="L89">
            <v>209.87862068160894</v>
          </cell>
          <cell r="M89">
            <v>83.434950071674919</v>
          </cell>
          <cell r="N89">
            <v>79.91335213293722</v>
          </cell>
          <cell r="O89">
            <v>49.03541717726975</v>
          </cell>
          <cell r="P89">
            <v>212.38371938188189</v>
          </cell>
          <cell r="Q89">
            <v>46.88205167842915</v>
          </cell>
          <cell r="R89">
            <v>43.972995694296948</v>
          </cell>
          <cell r="S89">
            <v>43.687330054250609</v>
          </cell>
          <cell r="T89">
            <v>134.54237742697671</v>
          </cell>
          <cell r="U89">
            <v>18.108437629569387</v>
          </cell>
          <cell r="V89">
            <v>36.216875259138774</v>
          </cell>
          <cell r="W89">
            <v>49.518139547733988</v>
          </cell>
          <cell r="X89">
            <v>75.120946235429784</v>
          </cell>
          <cell r="Y89">
            <v>119.72375292312557</v>
          </cell>
          <cell r="Z89">
            <v>259.39676022934293</v>
          </cell>
          <cell r="AA89">
            <v>342.83171030101784</v>
          </cell>
          <cell r="AB89">
            <v>422.74506243395507</v>
          </cell>
          <cell r="AC89">
            <v>471.78047961122479</v>
          </cell>
          <cell r="AD89">
            <v>518.662531289654</v>
          </cell>
          <cell r="AE89">
            <v>562.63552698395097</v>
          </cell>
          <cell r="AF89">
            <v>606.32285703820162</v>
          </cell>
        </row>
        <row r="90">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D91" t="str">
            <v>Cost of Goods Sold</v>
          </cell>
          <cell r="E91">
            <v>7.2722882188235296</v>
          </cell>
          <cell r="F91">
            <v>7.2722882188235296</v>
          </cell>
          <cell r="G91">
            <v>5.3030536870588234</v>
          </cell>
          <cell r="H91">
            <v>19.847630124705884</v>
          </cell>
          <cell r="I91">
            <v>10.266288822352941</v>
          </cell>
          <cell r="J91">
            <v>19.006288822352943</v>
          </cell>
          <cell r="K91">
            <v>57.38079439470588</v>
          </cell>
          <cell r="L91">
            <v>86.653372039411764</v>
          </cell>
          <cell r="M91">
            <v>34.311582944117646</v>
          </cell>
          <cell r="N91">
            <v>32.496363647058821</v>
          </cell>
          <cell r="O91">
            <v>19.99588753529412</v>
          </cell>
          <cell r="P91">
            <v>86.803834126470576</v>
          </cell>
          <cell r="Q91">
            <v>19.143232504257647</v>
          </cell>
          <cell r="R91">
            <v>17.998622034117645</v>
          </cell>
          <cell r="S91">
            <v>17.861567008836484</v>
          </cell>
          <cell r="T91">
            <v>55.003421547211772</v>
          </cell>
          <cell r="U91">
            <v>7.2722882188235296</v>
          </cell>
          <cell r="V91">
            <v>14.544576437647059</v>
          </cell>
          <cell r="W91">
            <v>19.847630124705884</v>
          </cell>
          <cell r="X91">
            <v>30.113918947058824</v>
          </cell>
          <cell r="Y91">
            <v>49.120207769411763</v>
          </cell>
          <cell r="Z91">
            <v>106.50100216411764</v>
          </cell>
          <cell r="AA91">
            <v>140.81258510823528</v>
          </cell>
          <cell r="AB91">
            <v>173.3089487552941</v>
          </cell>
          <cell r="AC91">
            <v>193.30483629058821</v>
          </cell>
          <cell r="AD91">
            <v>212.44806879484585</v>
          </cell>
          <cell r="AE91">
            <v>230.44669082896348</v>
          </cell>
          <cell r="AF91">
            <v>248.30825783779997</v>
          </cell>
        </row>
        <row r="92">
          <cell r="D92" t="str">
            <v>ED Savings</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D93" t="str">
            <v>PRISM II &amp; PSM Savings</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D96" t="str">
            <v>Contribution</v>
          </cell>
          <cell r="E96">
            <v>10.836149410745858</v>
          </cell>
          <cell r="F96">
            <v>10.836149410745858</v>
          </cell>
          <cell r="G96">
            <v>7.9982106015363881</v>
          </cell>
          <cell r="H96">
            <v>29.670509423028104</v>
          </cell>
          <cell r="I96">
            <v>15.336517865342852</v>
          </cell>
          <cell r="J96">
            <v>25.596517865342854</v>
          </cell>
          <cell r="K96">
            <v>82.292212911511484</v>
          </cell>
          <cell r="L96">
            <v>123.22524864219717</v>
          </cell>
          <cell r="M96">
            <v>49.123367127557273</v>
          </cell>
          <cell r="N96">
            <v>47.416988485878399</v>
          </cell>
          <cell r="O96">
            <v>29.03952964197563</v>
          </cell>
          <cell r="P96">
            <v>125.57988525541131</v>
          </cell>
          <cell r="Q96">
            <v>27.738819174171503</v>
          </cell>
          <cell r="R96">
            <v>25.974373660179303</v>
          </cell>
          <cell r="S96">
            <v>25.825763045414124</v>
          </cell>
          <cell r="T96">
            <v>79.538955879764941</v>
          </cell>
          <cell r="U96">
            <v>10.836149410745858</v>
          </cell>
          <cell r="V96">
            <v>21.672298821491715</v>
          </cell>
          <cell r="W96">
            <v>29.670509423028104</v>
          </cell>
          <cell r="X96">
            <v>45.007027288370956</v>
          </cell>
          <cell r="Y96">
            <v>70.60354515371381</v>
          </cell>
          <cell r="Z96">
            <v>152.89575806522529</v>
          </cell>
          <cell r="AA96">
            <v>202.01912519278255</v>
          </cell>
          <cell r="AB96">
            <v>249.43611367866094</v>
          </cell>
          <cell r="AC96">
            <v>278.47564332063655</v>
          </cell>
          <cell r="AD96">
            <v>306.21446249480806</v>
          </cell>
          <cell r="AE96">
            <v>332.18883615498737</v>
          </cell>
          <cell r="AF96">
            <v>358.01459920040151</v>
          </cell>
        </row>
        <row r="97">
          <cell r="D97">
            <v>0</v>
          </cell>
          <cell r="E97">
            <v>0.59840333177344007</v>
          </cell>
          <cell r="F97">
            <v>0.59840333177344007</v>
          </cell>
          <cell r="G97">
            <v>0.60131205786161435</v>
          </cell>
          <cell r="H97">
            <v>0.59918465624958772</v>
          </cell>
          <cell r="I97">
            <v>0.59901705513846193</v>
          </cell>
          <cell r="J97">
            <v>0.57387684242758541</v>
          </cell>
          <cell r="K97">
            <v>0.58917764068110212</v>
          </cell>
          <cell r="L97">
            <v>0.58712625536610952</v>
          </cell>
          <cell r="M97">
            <v>0.58876246807072785</v>
          </cell>
          <cell r="N97">
            <v>0.59335501790738843</v>
          </cell>
          <cell r="O97">
            <v>0.59221540905818648</v>
          </cell>
          <cell r="P97">
            <v>0.59128772026828125</v>
          </cell>
          <cell r="Q97">
            <v>0.59167246699090992</v>
          </cell>
          <cell r="R97">
            <v>0.59068920027088434</v>
          </cell>
          <cell r="S97">
            <v>0.59114995156133088</v>
          </cell>
          <cell r="T97">
            <v>0.59118143592293038</v>
          </cell>
          <cell r="U97">
            <v>0.59840333177344007</v>
          </cell>
          <cell r="V97">
            <v>0.59840333177344007</v>
          </cell>
          <cell r="W97">
            <v>0.59918465624958772</v>
          </cell>
          <cell r="X97">
            <v>0.59912753424748522</v>
          </cell>
          <cell r="Y97">
            <v>0.58972044752930719</v>
          </cell>
          <cell r="Z97">
            <v>0.5894281714622962</v>
          </cell>
          <cell r="AA97">
            <v>0.58926615923422876</v>
          </cell>
          <cell r="AB97">
            <v>0.59003909411154865</v>
          </cell>
          <cell r="AC97">
            <v>0.59026529361731339</v>
          </cell>
          <cell r="AD97">
            <v>0.59039248841323866</v>
          </cell>
          <cell r="AE97">
            <v>0.59041567804242656</v>
          </cell>
          <cell r="AF97">
            <v>0.59046858459080764</v>
          </cell>
        </row>
        <row r="98">
          <cell r="D98" t="str">
            <v>Overheads</v>
          </cell>
        </row>
        <row r="99">
          <cell r="D99" t="str">
            <v>Advertisement Exp.</v>
          </cell>
          <cell r="E99">
            <v>6</v>
          </cell>
          <cell r="F99">
            <v>1</v>
          </cell>
          <cell r="G99">
            <v>5</v>
          </cell>
          <cell r="H99">
            <v>12</v>
          </cell>
          <cell r="I99">
            <v>126</v>
          </cell>
          <cell r="J99">
            <v>71</v>
          </cell>
          <cell r="K99">
            <v>25</v>
          </cell>
          <cell r="L99">
            <v>222</v>
          </cell>
          <cell r="M99">
            <v>106</v>
          </cell>
          <cell r="N99">
            <v>51</v>
          </cell>
          <cell r="O99">
            <v>6</v>
          </cell>
          <cell r="P99">
            <v>163</v>
          </cell>
          <cell r="Q99">
            <v>3</v>
          </cell>
          <cell r="R99">
            <v>0</v>
          </cell>
          <cell r="S99">
            <v>0</v>
          </cell>
          <cell r="T99">
            <v>3</v>
          </cell>
          <cell r="U99">
            <v>6</v>
          </cell>
          <cell r="V99">
            <v>7</v>
          </cell>
          <cell r="W99">
            <v>12</v>
          </cell>
          <cell r="X99">
            <v>138</v>
          </cell>
          <cell r="Y99">
            <v>209</v>
          </cell>
          <cell r="Z99">
            <v>234</v>
          </cell>
          <cell r="AA99">
            <v>340</v>
          </cell>
          <cell r="AB99">
            <v>391</v>
          </cell>
          <cell r="AC99">
            <v>397</v>
          </cell>
          <cell r="AD99">
            <v>400</v>
          </cell>
          <cell r="AE99">
            <v>400</v>
          </cell>
          <cell r="AF99">
            <v>400</v>
          </cell>
        </row>
        <row r="100">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D101" t="str">
            <v>Total Overheads (a+b)</v>
          </cell>
          <cell r="E101">
            <v>6</v>
          </cell>
          <cell r="F101">
            <v>1</v>
          </cell>
          <cell r="G101">
            <v>5</v>
          </cell>
          <cell r="H101">
            <v>12</v>
          </cell>
          <cell r="I101">
            <v>126</v>
          </cell>
          <cell r="J101">
            <v>71</v>
          </cell>
          <cell r="K101">
            <v>25</v>
          </cell>
          <cell r="L101">
            <v>222</v>
          </cell>
          <cell r="M101">
            <v>106</v>
          </cell>
          <cell r="N101">
            <v>51</v>
          </cell>
          <cell r="O101">
            <v>6</v>
          </cell>
          <cell r="P101">
            <v>163</v>
          </cell>
          <cell r="Q101">
            <v>3</v>
          </cell>
          <cell r="R101">
            <v>0</v>
          </cell>
          <cell r="S101">
            <v>0</v>
          </cell>
          <cell r="T101">
            <v>3</v>
          </cell>
          <cell r="U101">
            <v>6</v>
          </cell>
          <cell r="V101">
            <v>7</v>
          </cell>
          <cell r="W101">
            <v>12</v>
          </cell>
          <cell r="X101">
            <v>138</v>
          </cell>
          <cell r="Y101">
            <v>209</v>
          </cell>
          <cell r="Z101">
            <v>234</v>
          </cell>
          <cell r="AA101">
            <v>340</v>
          </cell>
          <cell r="AB101">
            <v>391</v>
          </cell>
          <cell r="AC101">
            <v>397</v>
          </cell>
          <cell r="AD101">
            <v>400</v>
          </cell>
          <cell r="AE101">
            <v>400</v>
          </cell>
          <cell r="AF101">
            <v>400</v>
          </cell>
        </row>
        <row r="102">
          <cell r="D102" t="str">
            <v>OPERATING PROFIT (LOSS)</v>
          </cell>
          <cell r="E102">
            <v>4.8361494107458576</v>
          </cell>
          <cell r="F102">
            <v>9.8361494107458576</v>
          </cell>
          <cell r="G102">
            <v>2.9982106015363881</v>
          </cell>
          <cell r="H102">
            <v>17.670509423028104</v>
          </cell>
          <cell r="I102">
            <v>-110.66348213465714</v>
          </cell>
          <cell r="J102">
            <v>-45.403482134657146</v>
          </cell>
          <cell r="K102">
            <v>57.292212911511484</v>
          </cell>
          <cell r="L102">
            <v>-98.774751357802828</v>
          </cell>
          <cell r="M102">
            <v>-56.876632872442727</v>
          </cell>
          <cell r="N102">
            <v>-3.5830115141216012</v>
          </cell>
          <cell r="O102">
            <v>23.03952964197563</v>
          </cell>
          <cell r="P102">
            <v>-37.420114744588687</v>
          </cell>
          <cell r="Q102">
            <v>24.738819174171503</v>
          </cell>
          <cell r="R102">
            <v>25.974373660179303</v>
          </cell>
          <cell r="S102">
            <v>25.825763045414124</v>
          </cell>
          <cell r="T102">
            <v>76.538955879764941</v>
          </cell>
          <cell r="U102">
            <v>4.8361494107458576</v>
          </cell>
          <cell r="V102">
            <v>14.672298821491715</v>
          </cell>
          <cell r="W102">
            <v>17.670509423028104</v>
          </cell>
          <cell r="X102">
            <v>-92.992972711629037</v>
          </cell>
          <cell r="Y102">
            <v>-138.39645484628619</v>
          </cell>
          <cell r="Z102">
            <v>-81.104241934774706</v>
          </cell>
          <cell r="AA102">
            <v>-137.98087480721745</v>
          </cell>
          <cell r="AB102">
            <v>-141.56388632133906</v>
          </cell>
          <cell r="AC102">
            <v>-118.52435667936342</v>
          </cell>
          <cell r="AD102">
            <v>-93.785537505191911</v>
          </cell>
          <cell r="AE102">
            <v>-67.811163845012601</v>
          </cell>
          <cell r="AF102">
            <v>-41.98540079959848</v>
          </cell>
        </row>
        <row r="105">
          <cell r="D105">
            <v>4</v>
          </cell>
          <cell r="E105">
            <v>5</v>
          </cell>
          <cell r="F105">
            <v>6</v>
          </cell>
          <cell r="G105">
            <v>7</v>
          </cell>
          <cell r="H105">
            <v>8</v>
          </cell>
          <cell r="I105">
            <v>9</v>
          </cell>
          <cell r="J105">
            <v>10</v>
          </cell>
          <cell r="K105">
            <v>11</v>
          </cell>
          <cell r="L105">
            <v>12</v>
          </cell>
          <cell r="M105">
            <v>13</v>
          </cell>
          <cell r="N105">
            <v>14</v>
          </cell>
          <cell r="O105">
            <v>15</v>
          </cell>
          <cell r="P105">
            <v>16</v>
          </cell>
          <cell r="Q105">
            <v>17</v>
          </cell>
          <cell r="R105">
            <v>18</v>
          </cell>
          <cell r="S105">
            <v>19</v>
          </cell>
          <cell r="T105">
            <v>20</v>
          </cell>
          <cell r="U105">
            <v>21</v>
          </cell>
          <cell r="V105">
            <v>22</v>
          </cell>
          <cell r="W105">
            <v>23</v>
          </cell>
          <cell r="X105">
            <v>24</v>
          </cell>
          <cell r="Y105">
            <v>25</v>
          </cell>
          <cell r="Z105">
            <v>26</v>
          </cell>
          <cell r="AA105">
            <v>27</v>
          </cell>
          <cell r="AB105">
            <v>28</v>
          </cell>
          <cell r="AC105">
            <v>29</v>
          </cell>
          <cell r="AD105">
            <v>30</v>
          </cell>
          <cell r="AE105">
            <v>31</v>
          </cell>
          <cell r="AF105">
            <v>32</v>
          </cell>
        </row>
        <row r="106">
          <cell r="E106" t="str">
            <v>Budget</v>
          </cell>
          <cell r="F106" t="str">
            <v>Budget</v>
          </cell>
          <cell r="G106" t="str">
            <v>Budget</v>
          </cell>
          <cell r="H106" t="str">
            <v>Budget</v>
          </cell>
          <cell r="I106" t="str">
            <v>Budget</v>
          </cell>
          <cell r="J106" t="str">
            <v>Budget</v>
          </cell>
          <cell r="K106" t="str">
            <v>Budget</v>
          </cell>
          <cell r="L106" t="str">
            <v>Budget</v>
          </cell>
          <cell r="M106" t="str">
            <v>Budget</v>
          </cell>
          <cell r="N106" t="str">
            <v>Budget</v>
          </cell>
          <cell r="O106" t="str">
            <v>Budget</v>
          </cell>
          <cell r="P106" t="str">
            <v>Budget</v>
          </cell>
          <cell r="Q106" t="str">
            <v>Budget</v>
          </cell>
          <cell r="R106" t="str">
            <v>Budget</v>
          </cell>
          <cell r="S106" t="str">
            <v>Budget</v>
          </cell>
          <cell r="T106" t="str">
            <v>Budget</v>
          </cell>
          <cell r="U106" t="str">
            <v>Cumu Bud</v>
          </cell>
          <cell r="V106" t="str">
            <v>Cumu Bud</v>
          </cell>
          <cell r="W106" t="str">
            <v>Cumu Bud</v>
          </cell>
          <cell r="X106" t="str">
            <v>Cumu Bud</v>
          </cell>
          <cell r="Y106" t="str">
            <v>Cumu Bud</v>
          </cell>
          <cell r="Z106" t="str">
            <v>Cumu Bud</v>
          </cell>
          <cell r="AA106" t="str">
            <v>Cumu Bud</v>
          </cell>
          <cell r="AB106" t="str">
            <v>Cumu Bud</v>
          </cell>
          <cell r="AC106" t="str">
            <v>Cumu Bud</v>
          </cell>
          <cell r="AD106" t="str">
            <v>Cumu Bud</v>
          </cell>
          <cell r="AE106" t="str">
            <v>Cumu Bud</v>
          </cell>
          <cell r="AF106" t="str">
            <v>Cumu Bud</v>
          </cell>
        </row>
        <row r="107">
          <cell r="D107" t="str">
            <v>Particulars</v>
          </cell>
          <cell r="E107">
            <v>41651</v>
          </cell>
          <cell r="F107">
            <v>41682</v>
          </cell>
          <cell r="G107">
            <v>41710</v>
          </cell>
          <cell r="H107" t="str">
            <v>Q-1</v>
          </cell>
          <cell r="I107">
            <v>41741</v>
          </cell>
          <cell r="J107">
            <v>41771</v>
          </cell>
          <cell r="K107">
            <v>41802</v>
          </cell>
          <cell r="L107" t="str">
            <v>Q-2</v>
          </cell>
          <cell r="M107">
            <v>41832</v>
          </cell>
          <cell r="N107">
            <v>41863</v>
          </cell>
          <cell r="O107">
            <v>41894</v>
          </cell>
          <cell r="P107" t="str">
            <v>Q-3</v>
          </cell>
          <cell r="Q107">
            <v>41924</v>
          </cell>
          <cell r="R107">
            <v>41955</v>
          </cell>
          <cell r="S107">
            <v>41985</v>
          </cell>
          <cell r="T107" t="str">
            <v>Q-4</v>
          </cell>
          <cell r="U107">
            <v>41651</v>
          </cell>
          <cell r="V107">
            <v>41682</v>
          </cell>
          <cell r="W107">
            <v>41710</v>
          </cell>
          <cell r="X107">
            <v>41741</v>
          </cell>
          <cell r="Y107">
            <v>41771</v>
          </cell>
          <cell r="Z107">
            <v>41802</v>
          </cell>
          <cell r="AA107">
            <v>41832</v>
          </cell>
          <cell r="AB107">
            <v>41863</v>
          </cell>
          <cell r="AC107">
            <v>41894</v>
          </cell>
          <cell r="AD107">
            <v>41924</v>
          </cell>
          <cell r="AE107">
            <v>41955</v>
          </cell>
          <cell r="AF107">
            <v>41985</v>
          </cell>
        </row>
        <row r="109">
          <cell r="D109" t="str">
            <v>Sales</v>
          </cell>
          <cell r="E109">
            <v>31.052787143336008</v>
          </cell>
          <cell r="F109">
            <v>28.669349533650131</v>
          </cell>
          <cell r="G109">
            <v>21.723331356851286</v>
          </cell>
          <cell r="H109">
            <v>81.445468033837429</v>
          </cell>
          <cell r="I109">
            <v>32.142358622049557</v>
          </cell>
          <cell r="J109">
            <v>32.142358622049557</v>
          </cell>
          <cell r="K109">
            <v>32.993586339794504</v>
          </cell>
          <cell r="L109">
            <v>97.278303583893617</v>
          </cell>
          <cell r="M109">
            <v>40.484390255950125</v>
          </cell>
          <cell r="N109">
            <v>54.580721261806602</v>
          </cell>
          <cell r="O109">
            <v>33.436224753021889</v>
          </cell>
          <cell r="P109">
            <v>128.50133627077861</v>
          </cell>
          <cell r="Q109">
            <v>45.948659319915969</v>
          </cell>
          <cell r="R109">
            <v>44.842676170804303</v>
          </cell>
          <cell r="S109">
            <v>25.162291336540907</v>
          </cell>
          <cell r="T109">
            <v>115.95362682726117</v>
          </cell>
          <cell r="U109">
            <v>31.052787143336008</v>
          </cell>
          <cell r="V109">
            <v>59.722136676986139</v>
          </cell>
          <cell r="W109">
            <v>81.445468033837429</v>
          </cell>
          <cell r="X109">
            <v>113.58782665588699</v>
          </cell>
          <cell r="Y109">
            <v>145.73018527793653</v>
          </cell>
          <cell r="Z109">
            <v>178.72377161773102</v>
          </cell>
          <cell r="AA109">
            <v>219.20816187368115</v>
          </cell>
          <cell r="AB109">
            <v>273.78888313548777</v>
          </cell>
          <cell r="AC109">
            <v>307.22510788850968</v>
          </cell>
          <cell r="AD109">
            <v>353.17376720842566</v>
          </cell>
          <cell r="AE109">
            <v>398.01644337922994</v>
          </cell>
          <cell r="AF109">
            <v>423.17873471577087</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D111" t="str">
            <v>Cost of Goods Sold</v>
          </cell>
          <cell r="E111">
            <v>15.667337</v>
          </cell>
          <cell r="F111">
            <v>14.462836500000002</v>
          </cell>
          <cell r="G111">
            <v>10.957229500000002</v>
          </cell>
          <cell r="H111">
            <v>41.087403000000002</v>
          </cell>
          <cell r="I111">
            <v>16.21564</v>
          </cell>
          <cell r="J111">
            <v>16.21564</v>
          </cell>
          <cell r="K111">
            <v>15.813141750000003</v>
          </cell>
          <cell r="L111">
            <v>48.244421750000001</v>
          </cell>
          <cell r="M111">
            <v>19.859693</v>
          </cell>
          <cell r="N111">
            <v>25.642249500000002</v>
          </cell>
          <cell r="O111">
            <v>17.276112000000001</v>
          </cell>
          <cell r="P111">
            <v>62.778054499999996</v>
          </cell>
          <cell r="Q111">
            <v>22.422799115499998</v>
          </cell>
          <cell r="R111">
            <v>21.709885750000002</v>
          </cell>
          <cell r="S111">
            <v>12.70561775</v>
          </cell>
          <cell r="T111">
            <v>56.838302615499998</v>
          </cell>
          <cell r="U111">
            <v>15.667337</v>
          </cell>
          <cell r="V111">
            <v>30.130173500000001</v>
          </cell>
          <cell r="W111">
            <v>41.087403000000002</v>
          </cell>
          <cell r="X111">
            <v>57.303043000000002</v>
          </cell>
          <cell r="Y111">
            <v>73.51868300000001</v>
          </cell>
          <cell r="Z111">
            <v>89.33182475000001</v>
          </cell>
          <cell r="AA111">
            <v>109.19151775</v>
          </cell>
          <cell r="AB111">
            <v>134.83376724999999</v>
          </cell>
          <cell r="AC111">
            <v>152.10987925000001</v>
          </cell>
          <cell r="AD111">
            <v>174.5326783655</v>
          </cell>
          <cell r="AE111">
            <v>196.24256411550002</v>
          </cell>
          <cell r="AF111">
            <v>208.9481818655</v>
          </cell>
        </row>
        <row r="112">
          <cell r="D112" t="str">
            <v>ED Savings</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D113" t="str">
            <v>PRISM II &amp; PSM Savings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row>
        <row r="115">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row>
        <row r="116">
          <cell r="D116" t="str">
            <v>Contribution</v>
          </cell>
          <cell r="E116">
            <v>15.385450143336008</v>
          </cell>
          <cell r="F116">
            <v>14.206513033650129</v>
          </cell>
          <cell r="G116">
            <v>10.766101856851284</v>
          </cell>
          <cell r="H116">
            <v>40.358065033837427</v>
          </cell>
          <cell r="I116">
            <v>15.926718622049556</v>
          </cell>
          <cell r="J116">
            <v>15.926718622049556</v>
          </cell>
          <cell r="K116">
            <v>17.180444589794501</v>
          </cell>
          <cell r="L116">
            <v>49.033881833893616</v>
          </cell>
          <cell r="M116">
            <v>20.624697255950124</v>
          </cell>
          <cell r="N116">
            <v>28.9384717618066</v>
          </cell>
          <cell r="O116">
            <v>16.160112753021888</v>
          </cell>
          <cell r="P116">
            <v>65.723281770778613</v>
          </cell>
          <cell r="Q116">
            <v>23.52586020441597</v>
          </cell>
          <cell r="R116">
            <v>23.132790420804302</v>
          </cell>
          <cell r="S116">
            <v>12.456673586540907</v>
          </cell>
          <cell r="T116">
            <v>59.115324211761177</v>
          </cell>
          <cell r="U116">
            <v>15.385450143336008</v>
          </cell>
          <cell r="V116">
            <v>29.591963176986138</v>
          </cell>
          <cell r="W116">
            <v>40.35806503383742</v>
          </cell>
          <cell r="X116">
            <v>56.284783655886976</v>
          </cell>
          <cell r="Y116">
            <v>72.211502277936532</v>
          </cell>
          <cell r="Z116">
            <v>89.391946867731036</v>
          </cell>
          <cell r="AA116">
            <v>110.01664412368116</v>
          </cell>
          <cell r="AB116">
            <v>138.95511588548777</v>
          </cell>
          <cell r="AC116">
            <v>155.11522863850965</v>
          </cell>
          <cell r="AD116">
            <v>178.64108884292563</v>
          </cell>
          <cell r="AE116">
            <v>201.77387926372992</v>
          </cell>
          <cell r="AF116">
            <v>214.23055285027084</v>
          </cell>
        </row>
        <row r="117">
          <cell r="D117">
            <v>0</v>
          </cell>
          <cell r="E117">
            <v>0.49546116657157319</v>
          </cell>
          <cell r="F117">
            <v>0.49552966023786105</v>
          </cell>
          <cell r="G117">
            <v>0.49560086710438089</v>
          </cell>
          <cell r="H117">
            <v>0.49552253806277125</v>
          </cell>
          <cell r="I117">
            <v>0.49550559774800962</v>
          </cell>
          <cell r="J117">
            <v>0.49550559774800962</v>
          </cell>
          <cell r="K117">
            <v>0.5207207368382587</v>
          </cell>
          <cell r="L117">
            <v>0.50405773977756907</v>
          </cell>
          <cell r="M117">
            <v>0.50944813854319682</v>
          </cell>
          <cell r="N117">
            <v>0.53019584741282233</v>
          </cell>
          <cell r="O117">
            <v>0.48331152432397062</v>
          </cell>
          <cell r="P117">
            <v>0.51145990911943673</v>
          </cell>
          <cell r="Q117">
            <v>0.51200319122736471</v>
          </cell>
          <cell r="R117">
            <v>0.51586551910265688</v>
          </cell>
          <cell r="S117">
            <v>0.49505322945097663</v>
          </cell>
          <cell r="T117">
            <v>0.50981867345837018</v>
          </cell>
          <cell r="U117">
            <v>0.49546116657157319</v>
          </cell>
          <cell r="V117">
            <v>0.49549404665538982</v>
          </cell>
          <cell r="W117">
            <v>0.49552253806277119</v>
          </cell>
          <cell r="X117">
            <v>0.49551774440056046</v>
          </cell>
          <cell r="Y117">
            <v>0.49551506532579231</v>
          </cell>
          <cell r="Z117">
            <v>0.50016819843601901</v>
          </cell>
          <cell r="AA117">
            <v>0.5018820612486059</v>
          </cell>
          <cell r="AB117">
            <v>0.50752650835981583</v>
          </cell>
          <cell r="AC117">
            <v>0.50489111942895015</v>
          </cell>
          <cell r="AD117">
            <v>0.50581641511754893</v>
          </cell>
          <cell r="AE117">
            <v>0.50694860129554953</v>
          </cell>
          <cell r="AF117">
            <v>0.50624130013092306</v>
          </cell>
        </row>
        <row r="118">
          <cell r="D118" t="str">
            <v>Overheads</v>
          </cell>
        </row>
        <row r="119">
          <cell r="D119" t="str">
            <v>Advertisement Exp.</v>
          </cell>
          <cell r="E119">
            <v>5</v>
          </cell>
          <cell r="F119">
            <v>5</v>
          </cell>
          <cell r="G119">
            <v>5</v>
          </cell>
          <cell r="H119">
            <v>15</v>
          </cell>
          <cell r="I119">
            <v>8.8888888888888893</v>
          </cell>
          <cell r="J119">
            <v>8.8888888888888893</v>
          </cell>
          <cell r="K119">
            <v>8.8888888888888893</v>
          </cell>
          <cell r="L119">
            <v>26.666666666666668</v>
          </cell>
          <cell r="M119">
            <v>8.8888888888888893</v>
          </cell>
          <cell r="N119">
            <v>8.8888888888888893</v>
          </cell>
          <cell r="O119">
            <v>8.8888888888888893</v>
          </cell>
          <cell r="P119">
            <v>26.666666666666668</v>
          </cell>
          <cell r="Q119">
            <v>8.8888888888888893</v>
          </cell>
          <cell r="R119">
            <v>8.8888888888888893</v>
          </cell>
          <cell r="S119">
            <v>8.8888888888888893</v>
          </cell>
          <cell r="T119">
            <v>26.666666666666668</v>
          </cell>
          <cell r="U119">
            <v>5</v>
          </cell>
          <cell r="V119">
            <v>10</v>
          </cell>
          <cell r="W119">
            <v>15</v>
          </cell>
          <cell r="X119">
            <v>23.888888888888889</v>
          </cell>
          <cell r="Y119">
            <v>32.777777777777779</v>
          </cell>
          <cell r="Z119">
            <v>41.666666666666671</v>
          </cell>
          <cell r="AA119">
            <v>50.555555555555557</v>
          </cell>
          <cell r="AB119">
            <v>59.444444444444443</v>
          </cell>
          <cell r="AC119">
            <v>68.333333333333329</v>
          </cell>
          <cell r="AD119">
            <v>77.222222222222214</v>
          </cell>
          <cell r="AE119">
            <v>86.1111111111111</v>
          </cell>
          <cell r="AF119">
            <v>94.999999999999986</v>
          </cell>
        </row>
        <row r="120">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D121" t="str">
            <v>Total Overheads (a+b)</v>
          </cell>
          <cell r="E121">
            <v>5</v>
          </cell>
          <cell r="F121">
            <v>5</v>
          </cell>
          <cell r="G121">
            <v>5</v>
          </cell>
          <cell r="H121">
            <v>15</v>
          </cell>
          <cell r="I121">
            <v>8.8888888888888893</v>
          </cell>
          <cell r="J121">
            <v>8.8888888888888893</v>
          </cell>
          <cell r="K121">
            <v>8.8888888888888893</v>
          </cell>
          <cell r="L121">
            <v>26.666666666666668</v>
          </cell>
          <cell r="M121">
            <v>8.8888888888888893</v>
          </cell>
          <cell r="N121">
            <v>8.8888888888888893</v>
          </cell>
          <cell r="O121">
            <v>8.8888888888888893</v>
          </cell>
          <cell r="P121">
            <v>26.666666666666668</v>
          </cell>
          <cell r="Q121">
            <v>8.8888888888888893</v>
          </cell>
          <cell r="R121">
            <v>8.8888888888888893</v>
          </cell>
          <cell r="S121">
            <v>8.8888888888888893</v>
          </cell>
          <cell r="T121">
            <v>26.666666666666668</v>
          </cell>
          <cell r="U121">
            <v>5</v>
          </cell>
          <cell r="V121">
            <v>10</v>
          </cell>
          <cell r="W121">
            <v>15</v>
          </cell>
          <cell r="X121">
            <v>23.888888888888889</v>
          </cell>
          <cell r="Y121">
            <v>32.777777777777779</v>
          </cell>
          <cell r="Z121">
            <v>41.666666666666671</v>
          </cell>
          <cell r="AA121">
            <v>50.555555555555557</v>
          </cell>
          <cell r="AB121">
            <v>59.444444444444443</v>
          </cell>
          <cell r="AC121">
            <v>68.333333333333329</v>
          </cell>
          <cell r="AD121">
            <v>77.222222222222214</v>
          </cell>
          <cell r="AE121">
            <v>86.1111111111111</v>
          </cell>
          <cell r="AF121">
            <v>94.999999999999986</v>
          </cell>
        </row>
        <row r="122">
          <cell r="D122" t="str">
            <v>OPERATING PROFIT (LOSS)</v>
          </cell>
          <cell r="E122">
            <v>10.385450143336008</v>
          </cell>
          <cell r="F122">
            <v>9.2065130336501291</v>
          </cell>
          <cell r="G122">
            <v>5.7661018568512841</v>
          </cell>
          <cell r="H122">
            <v>25.358065033837427</v>
          </cell>
          <cell r="I122">
            <v>7.0378297331606667</v>
          </cell>
          <cell r="J122">
            <v>7.0378297331606667</v>
          </cell>
          <cell r="K122">
            <v>8.2915557009056116</v>
          </cell>
          <cell r="L122">
            <v>22.367215167226949</v>
          </cell>
          <cell r="M122">
            <v>11.735808367061235</v>
          </cell>
          <cell r="N122">
            <v>20.049582872917711</v>
          </cell>
          <cell r="O122">
            <v>7.2712238641329989</v>
          </cell>
          <cell r="P122">
            <v>39.056615104111941</v>
          </cell>
          <cell r="Q122">
            <v>14.636971315527081</v>
          </cell>
          <cell r="R122">
            <v>14.243901531915412</v>
          </cell>
          <cell r="S122">
            <v>3.5677846976520176</v>
          </cell>
          <cell r="T122">
            <v>32.448657545094505</v>
          </cell>
          <cell r="U122">
            <v>10.385450143336008</v>
          </cell>
          <cell r="V122">
            <v>19.591963176986138</v>
          </cell>
          <cell r="W122">
            <v>25.35806503383742</v>
          </cell>
          <cell r="X122">
            <v>32.395894766998083</v>
          </cell>
          <cell r="Y122">
            <v>39.433724500158746</v>
          </cell>
          <cell r="Z122">
            <v>47.725280201064358</v>
          </cell>
          <cell r="AA122">
            <v>59.461088568125589</v>
          </cell>
          <cell r="AB122">
            <v>79.5106714410433</v>
          </cell>
          <cell r="AC122">
            <v>86.781895305176306</v>
          </cell>
          <cell r="AD122">
            <v>101.41886662070338</v>
          </cell>
          <cell r="AE122">
            <v>115.6627681526188</v>
          </cell>
          <cell r="AF122">
            <v>119.23055285027081</v>
          </cell>
        </row>
        <row r="125">
          <cell r="D125">
            <v>4</v>
          </cell>
          <cell r="E125">
            <v>5</v>
          </cell>
          <cell r="F125">
            <v>6</v>
          </cell>
          <cell r="G125">
            <v>7</v>
          </cell>
          <cell r="H125">
            <v>8</v>
          </cell>
          <cell r="I125">
            <v>9</v>
          </cell>
          <cell r="J125">
            <v>10</v>
          </cell>
          <cell r="K125">
            <v>11</v>
          </cell>
          <cell r="L125">
            <v>12</v>
          </cell>
          <cell r="M125">
            <v>13</v>
          </cell>
          <cell r="N125">
            <v>14</v>
          </cell>
          <cell r="O125">
            <v>15</v>
          </cell>
          <cell r="P125">
            <v>16</v>
          </cell>
          <cell r="Q125">
            <v>17</v>
          </cell>
          <cell r="R125">
            <v>18</v>
          </cell>
          <cell r="S125">
            <v>19</v>
          </cell>
          <cell r="T125">
            <v>20</v>
          </cell>
          <cell r="U125">
            <v>21</v>
          </cell>
          <cell r="V125">
            <v>22</v>
          </cell>
          <cell r="W125">
            <v>23</v>
          </cell>
          <cell r="X125">
            <v>24</v>
          </cell>
          <cell r="Y125">
            <v>25</v>
          </cell>
          <cell r="Z125">
            <v>26</v>
          </cell>
          <cell r="AA125">
            <v>27</v>
          </cell>
          <cell r="AB125">
            <v>28</v>
          </cell>
          <cell r="AC125">
            <v>29</v>
          </cell>
          <cell r="AD125">
            <v>30</v>
          </cell>
          <cell r="AE125">
            <v>31</v>
          </cell>
          <cell r="AF125">
            <v>32</v>
          </cell>
        </row>
        <row r="126">
          <cell r="E126" t="str">
            <v>Budget</v>
          </cell>
          <cell r="F126" t="str">
            <v>Budget</v>
          </cell>
          <cell r="G126" t="str">
            <v>Budget</v>
          </cell>
          <cell r="H126" t="str">
            <v>Budget</v>
          </cell>
          <cell r="I126" t="str">
            <v>Budget</v>
          </cell>
          <cell r="J126" t="str">
            <v>Budget</v>
          </cell>
          <cell r="K126" t="str">
            <v>Budget</v>
          </cell>
          <cell r="L126" t="str">
            <v>Budget</v>
          </cell>
          <cell r="M126" t="str">
            <v>Budget</v>
          </cell>
          <cell r="N126" t="str">
            <v>Budget</v>
          </cell>
          <cell r="O126" t="str">
            <v>Budget</v>
          </cell>
          <cell r="P126" t="str">
            <v>Budget</v>
          </cell>
          <cell r="Q126" t="str">
            <v>Budget</v>
          </cell>
          <cell r="R126" t="str">
            <v>Budget</v>
          </cell>
          <cell r="S126" t="str">
            <v>Budget</v>
          </cell>
          <cell r="T126" t="str">
            <v>Budget</v>
          </cell>
          <cell r="U126" t="str">
            <v>Cumu Bud</v>
          </cell>
          <cell r="V126" t="str">
            <v>Cumu Bud</v>
          </cell>
          <cell r="W126" t="str">
            <v>Cumu Bud</v>
          </cell>
          <cell r="X126" t="str">
            <v>Cumu Bud</v>
          </cell>
          <cell r="Y126" t="str">
            <v>Cumu Bud</v>
          </cell>
          <cell r="Z126" t="str">
            <v>Cumu Bud</v>
          </cell>
          <cell r="AA126" t="str">
            <v>Cumu Bud</v>
          </cell>
          <cell r="AB126" t="str">
            <v>Cumu Bud</v>
          </cell>
          <cell r="AC126" t="str">
            <v>Cumu Bud</v>
          </cell>
          <cell r="AD126" t="str">
            <v>Cumu Bud</v>
          </cell>
          <cell r="AE126" t="str">
            <v>Cumu Bud</v>
          </cell>
          <cell r="AF126" t="str">
            <v>Cumu Bud</v>
          </cell>
        </row>
        <row r="127">
          <cell r="D127" t="str">
            <v>Particulars</v>
          </cell>
          <cell r="E127">
            <v>41651</v>
          </cell>
          <cell r="F127">
            <v>41682</v>
          </cell>
          <cell r="G127">
            <v>41710</v>
          </cell>
          <cell r="H127" t="str">
            <v>Q-1</v>
          </cell>
          <cell r="I127">
            <v>41741</v>
          </cell>
          <cell r="J127">
            <v>41771</v>
          </cell>
          <cell r="K127">
            <v>41802</v>
          </cell>
          <cell r="L127" t="str">
            <v>Q-2</v>
          </cell>
          <cell r="M127">
            <v>41832</v>
          </cell>
          <cell r="N127">
            <v>41863</v>
          </cell>
          <cell r="O127">
            <v>41894</v>
          </cell>
          <cell r="P127" t="str">
            <v>Q-3</v>
          </cell>
          <cell r="Q127">
            <v>41924</v>
          </cell>
          <cell r="R127">
            <v>41955</v>
          </cell>
          <cell r="S127">
            <v>41985</v>
          </cell>
          <cell r="T127" t="str">
            <v>Q-4</v>
          </cell>
          <cell r="U127">
            <v>41651</v>
          </cell>
          <cell r="V127">
            <v>41682</v>
          </cell>
          <cell r="W127">
            <v>41710</v>
          </cell>
          <cell r="X127">
            <v>41741</v>
          </cell>
          <cell r="Y127">
            <v>41771</v>
          </cell>
          <cell r="Z127">
            <v>41802</v>
          </cell>
          <cell r="AA127">
            <v>41832</v>
          </cell>
          <cell r="AB127">
            <v>41863</v>
          </cell>
          <cell r="AC127">
            <v>41894</v>
          </cell>
          <cell r="AD127">
            <v>41924</v>
          </cell>
          <cell r="AE127">
            <v>41955</v>
          </cell>
          <cell r="AF127">
            <v>41985</v>
          </cell>
        </row>
        <row r="129">
          <cell r="D129" t="str">
            <v>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D131" t="str">
            <v>Cost of Goods Sold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D132" t="str">
            <v>ED Savings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D133" t="str">
            <v>PRISM II &amp; PSM Savings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row>
        <row r="136">
          <cell r="D136" t="str">
            <v>Contribution</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D137">
            <v>0</v>
          </cell>
          <cell r="E137" t="e">
            <v>#DIV/0!</v>
          </cell>
          <cell r="F137" t="e">
            <v>#DIV/0!</v>
          </cell>
          <cell r="G137" t="e">
            <v>#DIV/0!</v>
          </cell>
          <cell r="H137" t="e">
            <v>#DIV/0!</v>
          </cell>
          <cell r="I137" t="e">
            <v>#DIV/0!</v>
          </cell>
          <cell r="J137" t="e">
            <v>#DIV/0!</v>
          </cell>
          <cell r="K137" t="e">
            <v>#DIV/0!</v>
          </cell>
          <cell r="L137" t="e">
            <v>#DIV/0!</v>
          </cell>
          <cell r="M137" t="e">
            <v>#DIV/0!</v>
          </cell>
          <cell r="N137" t="e">
            <v>#DIV/0!</v>
          </cell>
          <cell r="O137" t="e">
            <v>#DIV/0!</v>
          </cell>
          <cell r="P137" t="e">
            <v>#DIV/0!</v>
          </cell>
          <cell r="Q137" t="e">
            <v>#DIV/0!</v>
          </cell>
          <cell r="R137" t="e">
            <v>#DIV/0!</v>
          </cell>
          <cell r="S137" t="e">
            <v>#DIV/0!</v>
          </cell>
          <cell r="T137" t="e">
            <v>#DIV/0!</v>
          </cell>
          <cell r="U137" t="e">
            <v>#DIV/0!</v>
          </cell>
          <cell r="V137" t="e">
            <v>#DIV/0!</v>
          </cell>
          <cell r="W137" t="e">
            <v>#DIV/0!</v>
          </cell>
          <cell r="X137" t="e">
            <v>#DIV/0!</v>
          </cell>
          <cell r="Y137" t="e">
            <v>#DIV/0!</v>
          </cell>
          <cell r="Z137" t="e">
            <v>#DIV/0!</v>
          </cell>
          <cell r="AA137" t="e">
            <v>#DIV/0!</v>
          </cell>
          <cell r="AB137" t="e">
            <v>#DIV/0!</v>
          </cell>
          <cell r="AC137" t="e">
            <v>#DIV/0!</v>
          </cell>
          <cell r="AD137" t="e">
            <v>#DIV/0!</v>
          </cell>
          <cell r="AE137" t="e">
            <v>#DIV/0!</v>
          </cell>
          <cell r="AF137" t="e">
            <v>#DIV/0!</v>
          </cell>
        </row>
        <row r="138">
          <cell r="D138" t="str">
            <v>Overheads</v>
          </cell>
        </row>
        <row r="139">
          <cell r="D139" t="str">
            <v>Advertisement Exp.</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D141" t="str">
            <v>Total Overheads (a+b)</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D142" t="str">
            <v>OPERATING PROFIT (LOSS)</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68">
          <cell r="D168">
            <v>4</v>
          </cell>
          <cell r="E168">
            <v>5</v>
          </cell>
          <cell r="F168">
            <v>6</v>
          </cell>
          <cell r="G168">
            <v>7</v>
          </cell>
          <cell r="H168">
            <v>8</v>
          </cell>
          <cell r="I168">
            <v>9</v>
          </cell>
          <cell r="J168">
            <v>10</v>
          </cell>
          <cell r="K168">
            <v>11</v>
          </cell>
          <cell r="L168">
            <v>12</v>
          </cell>
          <cell r="M168">
            <v>13</v>
          </cell>
          <cell r="N168">
            <v>14</v>
          </cell>
          <cell r="O168">
            <v>15</v>
          </cell>
          <cell r="P168">
            <v>16</v>
          </cell>
          <cell r="Q168">
            <v>17</v>
          </cell>
          <cell r="R168">
            <v>18</v>
          </cell>
          <cell r="S168">
            <v>19</v>
          </cell>
          <cell r="T168">
            <v>20</v>
          </cell>
          <cell r="U168">
            <v>21</v>
          </cell>
          <cell r="V168">
            <v>22</v>
          </cell>
          <cell r="W168">
            <v>23</v>
          </cell>
          <cell r="X168">
            <v>24</v>
          </cell>
          <cell r="Y168">
            <v>25</v>
          </cell>
          <cell r="Z168">
            <v>26</v>
          </cell>
          <cell r="AA168">
            <v>27</v>
          </cell>
          <cell r="AB168">
            <v>28</v>
          </cell>
          <cell r="AC168">
            <v>29</v>
          </cell>
          <cell r="AD168">
            <v>30</v>
          </cell>
          <cell r="AE168">
            <v>31</v>
          </cell>
          <cell r="AF168">
            <v>32</v>
          </cell>
        </row>
        <row r="169">
          <cell r="E169" t="str">
            <v>Actual</v>
          </cell>
          <cell r="F169" t="str">
            <v>Actual</v>
          </cell>
          <cell r="G169" t="str">
            <v>Actual</v>
          </cell>
          <cell r="H169" t="str">
            <v>Actual</v>
          </cell>
          <cell r="I169" t="str">
            <v>Actual</v>
          </cell>
          <cell r="J169" t="str">
            <v>Actual</v>
          </cell>
          <cell r="K169" t="str">
            <v>Actual</v>
          </cell>
          <cell r="L169" t="str">
            <v>Actual</v>
          </cell>
          <cell r="M169" t="str">
            <v>Actual</v>
          </cell>
          <cell r="N169" t="str">
            <v>Actual</v>
          </cell>
          <cell r="O169" t="str">
            <v>Actual</v>
          </cell>
          <cell r="P169" t="str">
            <v>Actual</v>
          </cell>
          <cell r="Q169" t="str">
            <v>Actual</v>
          </cell>
          <cell r="R169" t="str">
            <v>Actual</v>
          </cell>
          <cell r="S169" t="str">
            <v>Actual</v>
          </cell>
          <cell r="T169" t="str">
            <v>Actual</v>
          </cell>
          <cell r="U169" t="str">
            <v>Cumu Act</v>
          </cell>
          <cell r="V169" t="str">
            <v>Cumu Act</v>
          </cell>
          <cell r="W169" t="str">
            <v>Cumu Act</v>
          </cell>
          <cell r="X169" t="str">
            <v>Cumu Act</v>
          </cell>
          <cell r="Y169" t="str">
            <v>Cumu Act</v>
          </cell>
          <cell r="Z169" t="str">
            <v>Cumu Act</v>
          </cell>
          <cell r="AA169" t="str">
            <v>Cumu Act</v>
          </cell>
          <cell r="AB169" t="str">
            <v>Cumu Act</v>
          </cell>
          <cell r="AC169" t="str">
            <v>Cumu Act</v>
          </cell>
          <cell r="AD169" t="str">
            <v>Cumu Act</v>
          </cell>
          <cell r="AE169" t="str">
            <v>Cumu Act</v>
          </cell>
          <cell r="AF169" t="str">
            <v>Cumu Act</v>
          </cell>
        </row>
        <row r="170">
          <cell r="D170" t="str">
            <v>Particulars</v>
          </cell>
          <cell r="E170">
            <v>41651</v>
          </cell>
          <cell r="F170">
            <v>41682</v>
          </cell>
          <cell r="G170">
            <v>41710</v>
          </cell>
          <cell r="H170" t="str">
            <v>Q-1</v>
          </cell>
          <cell r="I170">
            <v>41741</v>
          </cell>
          <cell r="J170">
            <v>41771</v>
          </cell>
          <cell r="K170">
            <v>41802</v>
          </cell>
          <cell r="L170" t="str">
            <v>Q-2</v>
          </cell>
          <cell r="M170">
            <v>41832</v>
          </cell>
          <cell r="N170">
            <v>41863</v>
          </cell>
          <cell r="O170">
            <v>41894</v>
          </cell>
          <cell r="P170" t="str">
            <v>Q-3</v>
          </cell>
          <cell r="Q170">
            <v>41924</v>
          </cell>
          <cell r="R170">
            <v>41955</v>
          </cell>
          <cell r="S170">
            <v>41985</v>
          </cell>
          <cell r="T170" t="str">
            <v>Q-4</v>
          </cell>
          <cell r="U170">
            <v>41651</v>
          </cell>
          <cell r="V170">
            <v>41682</v>
          </cell>
          <cell r="W170">
            <v>41710</v>
          </cell>
          <cell r="X170">
            <v>41741</v>
          </cell>
          <cell r="Y170">
            <v>41771</v>
          </cell>
          <cell r="Z170">
            <v>41802</v>
          </cell>
          <cell r="AA170">
            <v>41832</v>
          </cell>
          <cell r="AB170">
            <v>41863</v>
          </cell>
          <cell r="AC170">
            <v>41894</v>
          </cell>
          <cell r="AD170">
            <v>41924</v>
          </cell>
          <cell r="AE170">
            <v>41955</v>
          </cell>
          <cell r="AF170">
            <v>41985</v>
          </cell>
        </row>
        <row r="172">
          <cell r="D172" t="str">
            <v>Sales</v>
          </cell>
          <cell r="E172">
            <v>1976.41</v>
          </cell>
          <cell r="F172">
            <v>1823.2</v>
          </cell>
          <cell r="G172">
            <v>1737.8</v>
          </cell>
          <cell r="H172">
            <v>5537.41</v>
          </cell>
          <cell r="I172">
            <v>1900.22</v>
          </cell>
          <cell r="J172">
            <v>1876.2</v>
          </cell>
          <cell r="K172">
            <v>0</v>
          </cell>
          <cell r="L172">
            <v>3776.42</v>
          </cell>
          <cell r="M172">
            <v>0</v>
          </cell>
          <cell r="N172">
            <v>0</v>
          </cell>
          <cell r="O172">
            <v>0</v>
          </cell>
          <cell r="P172">
            <v>0</v>
          </cell>
          <cell r="Q172">
            <v>0</v>
          </cell>
          <cell r="R172">
            <v>0</v>
          </cell>
          <cell r="S172">
            <v>0</v>
          </cell>
          <cell r="T172">
            <v>0</v>
          </cell>
          <cell r="U172">
            <v>1976.41</v>
          </cell>
          <cell r="V172">
            <v>3799.61</v>
          </cell>
          <cell r="W172">
            <v>5537.41</v>
          </cell>
          <cell r="X172">
            <v>7437.63</v>
          </cell>
          <cell r="Y172">
            <v>9313.83</v>
          </cell>
          <cell r="Z172">
            <v>9313.83</v>
          </cell>
          <cell r="AA172">
            <v>9313.83</v>
          </cell>
          <cell r="AB172">
            <v>9313.83</v>
          </cell>
          <cell r="AC172">
            <v>9313.83</v>
          </cell>
          <cell r="AD172">
            <v>9313.83</v>
          </cell>
          <cell r="AE172">
            <v>9313.83</v>
          </cell>
          <cell r="AF172">
            <v>9313.83</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D174" t="str">
            <v>Cost of Goods Sold</v>
          </cell>
          <cell r="E174">
            <v>654.23</v>
          </cell>
          <cell r="F174">
            <v>604.59</v>
          </cell>
          <cell r="G174">
            <v>577.11</v>
          </cell>
          <cell r="H174">
            <v>1835.9300000000003</v>
          </cell>
          <cell r="I174">
            <v>639.66</v>
          </cell>
          <cell r="J174">
            <v>621.54</v>
          </cell>
          <cell r="K174">
            <v>0</v>
          </cell>
          <cell r="L174">
            <v>1261.1999999999998</v>
          </cell>
          <cell r="M174">
            <v>0</v>
          </cell>
          <cell r="N174">
            <v>0</v>
          </cell>
          <cell r="O174">
            <v>0</v>
          </cell>
          <cell r="P174">
            <v>0</v>
          </cell>
          <cell r="Q174">
            <v>0</v>
          </cell>
          <cell r="R174">
            <v>0</v>
          </cell>
          <cell r="S174">
            <v>0</v>
          </cell>
          <cell r="T174">
            <v>0</v>
          </cell>
          <cell r="U174">
            <v>654.23</v>
          </cell>
          <cell r="V174">
            <v>1258.8200000000002</v>
          </cell>
          <cell r="W174">
            <v>1835.9300000000003</v>
          </cell>
          <cell r="X174">
            <v>2475.59</v>
          </cell>
          <cell r="Y174">
            <v>3097.13</v>
          </cell>
          <cell r="Z174">
            <v>3097.13</v>
          </cell>
          <cell r="AA174">
            <v>3097.13</v>
          </cell>
          <cell r="AB174">
            <v>3097.13</v>
          </cell>
          <cell r="AC174">
            <v>3097.13</v>
          </cell>
          <cell r="AD174">
            <v>3097.13</v>
          </cell>
          <cell r="AE174">
            <v>3097.13</v>
          </cell>
          <cell r="AF174">
            <v>3097.13</v>
          </cell>
        </row>
        <row r="175">
          <cell r="D175" t="str">
            <v>ED Savings</v>
          </cell>
          <cell r="E175">
            <v>89.6424510599999</v>
          </cell>
          <cell r="F175">
            <v>82.624115340000003</v>
          </cell>
          <cell r="G175">
            <v>77.319999999999993</v>
          </cell>
          <cell r="H175">
            <v>249.5865663999999</v>
          </cell>
          <cell r="I175">
            <v>95.86</v>
          </cell>
          <cell r="J175">
            <v>71.67</v>
          </cell>
          <cell r="K175">
            <v>0</v>
          </cell>
          <cell r="L175">
            <v>167.53</v>
          </cell>
          <cell r="M175">
            <v>0</v>
          </cell>
          <cell r="N175">
            <v>0</v>
          </cell>
          <cell r="O175">
            <v>0</v>
          </cell>
          <cell r="P175">
            <v>0</v>
          </cell>
          <cell r="Q175">
            <v>0</v>
          </cell>
          <cell r="R175">
            <v>0</v>
          </cell>
          <cell r="S175">
            <v>0</v>
          </cell>
          <cell r="T175">
            <v>0</v>
          </cell>
          <cell r="U175">
            <v>89.6424510599999</v>
          </cell>
          <cell r="V175">
            <v>172.2665663999999</v>
          </cell>
          <cell r="W175">
            <v>249.5865663999999</v>
          </cell>
          <cell r="X175">
            <v>345.44656639999988</v>
          </cell>
          <cell r="Y175">
            <v>417.1165663999999</v>
          </cell>
          <cell r="Z175">
            <v>417.1165663999999</v>
          </cell>
          <cell r="AA175">
            <v>417.1165663999999</v>
          </cell>
          <cell r="AB175">
            <v>417.1165663999999</v>
          </cell>
          <cell r="AC175">
            <v>417.1165663999999</v>
          </cell>
          <cell r="AD175">
            <v>417.1165663999999</v>
          </cell>
          <cell r="AE175">
            <v>417.1165663999999</v>
          </cell>
          <cell r="AF175">
            <v>417.1165663999999</v>
          </cell>
        </row>
        <row r="176">
          <cell r="D176" t="str">
            <v>PRISM II &amp; PSM Savings</v>
          </cell>
          <cell r="E176">
            <v>29.631296716191162</v>
          </cell>
          <cell r="F176">
            <v>30.820565941706075</v>
          </cell>
          <cell r="G176">
            <v>35.536570175920751</v>
          </cell>
          <cell r="H176">
            <v>95.988432833817996</v>
          </cell>
          <cell r="I176">
            <v>42.32060252894982</v>
          </cell>
          <cell r="J176">
            <v>46.056064808828694</v>
          </cell>
          <cell r="K176">
            <v>0</v>
          </cell>
          <cell r="L176">
            <v>88.376667337778514</v>
          </cell>
          <cell r="M176">
            <v>0</v>
          </cell>
          <cell r="N176">
            <v>0</v>
          </cell>
          <cell r="O176">
            <v>0</v>
          </cell>
          <cell r="P176">
            <v>0</v>
          </cell>
          <cell r="Q176">
            <v>0</v>
          </cell>
          <cell r="R176">
            <v>0</v>
          </cell>
          <cell r="S176">
            <v>0</v>
          </cell>
          <cell r="T176">
            <v>0</v>
          </cell>
          <cell r="U176">
            <v>29.631296716191162</v>
          </cell>
          <cell r="V176">
            <v>60.451862657897237</v>
          </cell>
          <cell r="W176">
            <v>95.988432833817996</v>
          </cell>
          <cell r="X176">
            <v>138.30903536276782</v>
          </cell>
          <cell r="Y176">
            <v>184.36510017159651</v>
          </cell>
          <cell r="Z176">
            <v>184.36510017159651</v>
          </cell>
          <cell r="AA176">
            <v>184.36510017159651</v>
          </cell>
          <cell r="AB176">
            <v>184.36510017159651</v>
          </cell>
          <cell r="AC176">
            <v>184.36510017159651</v>
          </cell>
          <cell r="AD176">
            <v>184.36510017159651</v>
          </cell>
          <cell r="AE176">
            <v>184.36510017159651</v>
          </cell>
          <cell r="AF176">
            <v>184.36510017159651</v>
          </cell>
        </row>
        <row r="177">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8">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row>
        <row r="179">
          <cell r="D179" t="str">
            <v>Contribution</v>
          </cell>
          <cell r="E179">
            <v>1441.4537477761912</v>
          </cell>
          <cell r="F179">
            <v>1332.0546812817063</v>
          </cell>
          <cell r="G179">
            <v>1273.5465701759208</v>
          </cell>
          <cell r="H179">
            <v>4047.0549992338174</v>
          </cell>
          <cell r="I179">
            <v>1398.7406025289497</v>
          </cell>
          <cell r="J179">
            <v>1372.3860648088289</v>
          </cell>
          <cell r="K179">
            <v>0</v>
          </cell>
          <cell r="L179">
            <v>2771.1266673377791</v>
          </cell>
          <cell r="M179">
            <v>0</v>
          </cell>
          <cell r="N179">
            <v>0</v>
          </cell>
          <cell r="O179">
            <v>0</v>
          </cell>
          <cell r="P179">
            <v>0</v>
          </cell>
          <cell r="Q179">
            <v>0</v>
          </cell>
          <cell r="R179">
            <v>0</v>
          </cell>
          <cell r="S179">
            <v>0</v>
          </cell>
          <cell r="T179">
            <v>0</v>
          </cell>
          <cell r="U179">
            <v>1441.4537477761912</v>
          </cell>
          <cell r="V179">
            <v>2773.5084290578975</v>
          </cell>
          <cell r="W179">
            <v>4047.0549992338183</v>
          </cell>
          <cell r="X179">
            <v>5445.7956017627675</v>
          </cell>
          <cell r="Y179">
            <v>6818.181666571596</v>
          </cell>
          <cell r="Z179">
            <v>6818.181666571596</v>
          </cell>
          <cell r="AA179">
            <v>6818.181666571596</v>
          </cell>
          <cell r="AB179">
            <v>6818.181666571596</v>
          </cell>
          <cell r="AC179">
            <v>6818.181666571596</v>
          </cell>
          <cell r="AD179">
            <v>6818.181666571596</v>
          </cell>
          <cell r="AE179">
            <v>6818.181666571596</v>
          </cell>
          <cell r="AF179">
            <v>6818.181666571596</v>
          </cell>
        </row>
        <row r="180">
          <cell r="D180">
            <v>0</v>
          </cell>
          <cell r="E180">
            <v>0.72932931313654104</v>
          </cell>
          <cell r="F180">
            <v>0.73061358122076914</v>
          </cell>
          <cell r="G180">
            <v>0.73284990803079808</v>
          </cell>
          <cell r="H180">
            <v>0.73085702507739492</v>
          </cell>
          <cell r="I180">
            <v>0.73609403254831007</v>
          </cell>
          <cell r="J180">
            <v>0.73147109306514702</v>
          </cell>
          <cell r="K180" t="e">
            <v>#DIV/0!</v>
          </cell>
          <cell r="L180">
            <v>0.73379726495934749</v>
          </cell>
          <cell r="M180" t="e">
            <v>#DIV/0!</v>
          </cell>
          <cell r="N180" t="e">
            <v>#DIV/0!</v>
          </cell>
          <cell r="O180" t="e">
            <v>#DIV/0!</v>
          </cell>
          <cell r="P180" t="e">
            <v>#DIV/0!</v>
          </cell>
          <cell r="Q180" t="e">
            <v>#DIV/0!</v>
          </cell>
          <cell r="R180" t="e">
            <v>#DIV/0!</v>
          </cell>
          <cell r="S180" t="e">
            <v>#DIV/0!</v>
          </cell>
          <cell r="T180" t="e">
            <v>#DIV/0!</v>
          </cell>
          <cell r="U180">
            <v>0.72932931313654104</v>
          </cell>
          <cell r="V180">
            <v>0.72994555469058597</v>
          </cell>
          <cell r="W180">
            <v>0.73085702507739514</v>
          </cell>
          <cell r="X180">
            <v>0.73219501397122033</v>
          </cell>
          <cell r="Y180">
            <v>0.73204918562735155</v>
          </cell>
          <cell r="Z180">
            <v>0.73204918562735155</v>
          </cell>
          <cell r="AA180">
            <v>0.73204918562735155</v>
          </cell>
          <cell r="AB180">
            <v>0.73204918562735155</v>
          </cell>
          <cell r="AC180">
            <v>0.73204918562735155</v>
          </cell>
          <cell r="AD180">
            <v>0.73204918562735155</v>
          </cell>
          <cell r="AE180">
            <v>0.73204918562735155</v>
          </cell>
          <cell r="AF180">
            <v>0.73204918562735155</v>
          </cell>
        </row>
        <row r="181">
          <cell r="D181" t="str">
            <v>Overheads</v>
          </cell>
        </row>
        <row r="182">
          <cell r="D182" t="str">
            <v>Advertisement Exp.</v>
          </cell>
          <cell r="E182">
            <v>434.5</v>
          </cell>
          <cell r="F182">
            <v>207</v>
          </cell>
          <cell r="G182">
            <v>82</v>
          </cell>
          <cell r="H182">
            <v>723.5</v>
          </cell>
          <cell r="I182">
            <v>507.5</v>
          </cell>
          <cell r="J182">
            <v>155</v>
          </cell>
          <cell r="K182">
            <v>72</v>
          </cell>
          <cell r="L182">
            <v>734.5</v>
          </cell>
          <cell r="M182">
            <v>196</v>
          </cell>
          <cell r="N182">
            <v>81</v>
          </cell>
          <cell r="O182">
            <v>82</v>
          </cell>
          <cell r="P182">
            <v>359</v>
          </cell>
          <cell r="Q182">
            <v>406</v>
          </cell>
          <cell r="R182">
            <v>260</v>
          </cell>
          <cell r="S182">
            <v>72</v>
          </cell>
          <cell r="T182">
            <v>738</v>
          </cell>
          <cell r="U182">
            <v>434.5</v>
          </cell>
          <cell r="V182">
            <v>641.5</v>
          </cell>
          <cell r="W182">
            <v>723.5</v>
          </cell>
          <cell r="X182">
            <v>1231</v>
          </cell>
          <cell r="Y182">
            <v>1386</v>
          </cell>
          <cell r="Z182">
            <v>1458</v>
          </cell>
          <cell r="AA182">
            <v>1654</v>
          </cell>
          <cell r="AB182">
            <v>1735</v>
          </cell>
          <cell r="AC182">
            <v>1817</v>
          </cell>
          <cell r="AD182">
            <v>2223</v>
          </cell>
          <cell r="AE182">
            <v>2483</v>
          </cell>
          <cell r="AF182">
            <v>2555</v>
          </cell>
        </row>
        <row r="183">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D184" t="str">
            <v>Total Overheads (a+b)</v>
          </cell>
          <cell r="E184">
            <v>434.5</v>
          </cell>
          <cell r="F184">
            <v>207</v>
          </cell>
          <cell r="G184">
            <v>82</v>
          </cell>
          <cell r="H184">
            <v>723.5</v>
          </cell>
          <cell r="I184">
            <v>507.5</v>
          </cell>
          <cell r="J184">
            <v>155</v>
          </cell>
          <cell r="K184">
            <v>72</v>
          </cell>
          <cell r="L184">
            <v>734.5</v>
          </cell>
          <cell r="M184">
            <v>196</v>
          </cell>
          <cell r="N184">
            <v>81</v>
          </cell>
          <cell r="O184">
            <v>82</v>
          </cell>
          <cell r="P184">
            <v>359</v>
          </cell>
          <cell r="Q184">
            <v>406</v>
          </cell>
          <cell r="R184">
            <v>260</v>
          </cell>
          <cell r="S184">
            <v>72</v>
          </cell>
          <cell r="T184">
            <v>738</v>
          </cell>
          <cell r="U184">
            <v>434.5</v>
          </cell>
          <cell r="V184">
            <v>641.5</v>
          </cell>
          <cell r="W184">
            <v>723.5</v>
          </cell>
          <cell r="X184">
            <v>1231</v>
          </cell>
          <cell r="Y184">
            <v>1386</v>
          </cell>
          <cell r="Z184">
            <v>1458</v>
          </cell>
          <cell r="AA184">
            <v>1654</v>
          </cell>
          <cell r="AB184">
            <v>1735</v>
          </cell>
          <cell r="AC184">
            <v>1817</v>
          </cell>
          <cell r="AD184">
            <v>2223</v>
          </cell>
          <cell r="AE184">
            <v>2483</v>
          </cell>
          <cell r="AF184">
            <v>2555</v>
          </cell>
        </row>
        <row r="185">
          <cell r="D185" t="str">
            <v>OPERATING PROFIT (LOSS)</v>
          </cell>
          <cell r="E185">
            <v>1006.9537477761912</v>
          </cell>
          <cell r="F185">
            <v>1125.0546812817063</v>
          </cell>
          <cell r="G185">
            <v>1191.5465701759208</v>
          </cell>
          <cell r="H185">
            <v>3323.5549992338174</v>
          </cell>
          <cell r="I185">
            <v>891.24060252894969</v>
          </cell>
          <cell r="J185">
            <v>1217.3860648088289</v>
          </cell>
          <cell r="K185">
            <v>-72</v>
          </cell>
          <cell r="L185">
            <v>2036.6266673377791</v>
          </cell>
          <cell r="M185">
            <v>-196</v>
          </cell>
          <cell r="N185">
            <v>-81</v>
          </cell>
          <cell r="O185">
            <v>-82</v>
          </cell>
          <cell r="P185">
            <v>-359</v>
          </cell>
          <cell r="Q185">
            <v>-406</v>
          </cell>
          <cell r="R185">
            <v>-260</v>
          </cell>
          <cell r="S185">
            <v>-72</v>
          </cell>
          <cell r="T185">
            <v>-738</v>
          </cell>
          <cell r="U185">
            <v>1006.9537477761912</v>
          </cell>
          <cell r="V185">
            <v>2132.0084290578975</v>
          </cell>
          <cell r="W185">
            <v>3323.5549992338183</v>
          </cell>
          <cell r="X185">
            <v>4214.7956017627675</v>
          </cell>
          <cell r="Y185">
            <v>5432.181666571596</v>
          </cell>
          <cell r="Z185">
            <v>5360.181666571596</v>
          </cell>
          <cell r="AA185">
            <v>5164.181666571596</v>
          </cell>
          <cell r="AB185">
            <v>5083.181666571596</v>
          </cell>
          <cell r="AC185">
            <v>5001.181666571596</v>
          </cell>
          <cell r="AD185">
            <v>4595.181666571596</v>
          </cell>
          <cell r="AE185">
            <v>4335.181666571596</v>
          </cell>
          <cell r="AF185">
            <v>4263.181666571596</v>
          </cell>
        </row>
        <row r="188">
          <cell r="D188">
            <v>4</v>
          </cell>
          <cell r="E188">
            <v>5</v>
          </cell>
          <cell r="F188">
            <v>6</v>
          </cell>
          <cell r="G188">
            <v>7</v>
          </cell>
          <cell r="H188">
            <v>8</v>
          </cell>
          <cell r="I188">
            <v>9</v>
          </cell>
          <cell r="J188">
            <v>10</v>
          </cell>
          <cell r="K188">
            <v>11</v>
          </cell>
          <cell r="L188">
            <v>12</v>
          </cell>
          <cell r="M188">
            <v>13</v>
          </cell>
          <cell r="N188">
            <v>14</v>
          </cell>
          <cell r="O188">
            <v>15</v>
          </cell>
          <cell r="P188">
            <v>16</v>
          </cell>
          <cell r="Q188">
            <v>17</v>
          </cell>
          <cell r="R188">
            <v>18</v>
          </cell>
          <cell r="S188">
            <v>19</v>
          </cell>
          <cell r="T188">
            <v>20</v>
          </cell>
          <cell r="U188">
            <v>21</v>
          </cell>
          <cell r="V188">
            <v>22</v>
          </cell>
          <cell r="W188">
            <v>23</v>
          </cell>
          <cell r="X188">
            <v>24</v>
          </cell>
          <cell r="Y188">
            <v>25</v>
          </cell>
          <cell r="Z188">
            <v>26</v>
          </cell>
          <cell r="AA188">
            <v>27</v>
          </cell>
          <cell r="AB188">
            <v>28</v>
          </cell>
          <cell r="AC188">
            <v>29</v>
          </cell>
          <cell r="AD188">
            <v>30</v>
          </cell>
          <cell r="AE188">
            <v>31</v>
          </cell>
          <cell r="AF188">
            <v>32</v>
          </cell>
        </row>
        <row r="189">
          <cell r="E189" t="str">
            <v>Actual</v>
          </cell>
          <cell r="F189" t="str">
            <v>Actual</v>
          </cell>
          <cell r="G189" t="str">
            <v>Actual</v>
          </cell>
          <cell r="H189" t="str">
            <v>Actual</v>
          </cell>
          <cell r="I189" t="str">
            <v>Actual</v>
          </cell>
          <cell r="J189" t="str">
            <v>Actual</v>
          </cell>
          <cell r="K189" t="str">
            <v>Actual</v>
          </cell>
          <cell r="L189" t="str">
            <v>Actual</v>
          </cell>
          <cell r="M189" t="str">
            <v>Actual</v>
          </cell>
          <cell r="N189" t="str">
            <v>Actual</v>
          </cell>
          <cell r="O189" t="str">
            <v>Actual</v>
          </cell>
          <cell r="P189" t="str">
            <v>Actual</v>
          </cell>
          <cell r="Q189" t="str">
            <v>Actual</v>
          </cell>
          <cell r="R189" t="str">
            <v>Actual</v>
          </cell>
          <cell r="S189" t="str">
            <v>Actual</v>
          </cell>
          <cell r="T189" t="str">
            <v>Actual</v>
          </cell>
          <cell r="U189" t="str">
            <v>Cumu Act</v>
          </cell>
          <cell r="V189" t="str">
            <v>Cumu Act</v>
          </cell>
          <cell r="W189" t="str">
            <v>Cumu Act</v>
          </cell>
          <cell r="X189" t="str">
            <v>Cumu Act</v>
          </cell>
          <cell r="Y189" t="str">
            <v>Cumu Act</v>
          </cell>
          <cell r="Z189" t="str">
            <v>Cumu Act</v>
          </cell>
          <cell r="AA189" t="str">
            <v>Cumu Act</v>
          </cell>
          <cell r="AB189" t="str">
            <v>Cumu Act</v>
          </cell>
          <cell r="AC189" t="str">
            <v>Cumu Act</v>
          </cell>
          <cell r="AD189" t="str">
            <v>Cumu Act</v>
          </cell>
          <cell r="AE189" t="str">
            <v>Cumu Act</v>
          </cell>
          <cell r="AF189" t="str">
            <v>Cumu Act</v>
          </cell>
        </row>
        <row r="190">
          <cell r="D190" t="str">
            <v>Particulars</v>
          </cell>
          <cell r="E190">
            <v>41651</v>
          </cell>
          <cell r="F190">
            <v>41682</v>
          </cell>
          <cell r="G190">
            <v>41710</v>
          </cell>
          <cell r="H190" t="str">
            <v>Q-1</v>
          </cell>
          <cell r="I190">
            <v>41741</v>
          </cell>
          <cell r="J190">
            <v>41771</v>
          </cell>
          <cell r="K190">
            <v>41802</v>
          </cell>
          <cell r="L190" t="str">
            <v>Q-2</v>
          </cell>
          <cell r="M190">
            <v>41832</v>
          </cell>
          <cell r="N190">
            <v>41863</v>
          </cell>
          <cell r="O190">
            <v>41894</v>
          </cell>
          <cell r="P190" t="str">
            <v>Q-3</v>
          </cell>
          <cell r="Q190">
            <v>41924</v>
          </cell>
          <cell r="R190">
            <v>41955</v>
          </cell>
          <cell r="S190">
            <v>41985</v>
          </cell>
          <cell r="T190" t="str">
            <v>Q-4</v>
          </cell>
          <cell r="U190">
            <v>41651</v>
          </cell>
          <cell r="V190">
            <v>41682</v>
          </cell>
          <cell r="W190">
            <v>41710</v>
          </cell>
          <cell r="X190">
            <v>41741</v>
          </cell>
          <cell r="Y190">
            <v>41771</v>
          </cell>
          <cell r="Z190">
            <v>41802</v>
          </cell>
          <cell r="AA190">
            <v>41832</v>
          </cell>
          <cell r="AB190">
            <v>41863</v>
          </cell>
          <cell r="AC190">
            <v>41894</v>
          </cell>
          <cell r="AD190">
            <v>41924</v>
          </cell>
          <cell r="AE190">
            <v>41955</v>
          </cell>
          <cell r="AF190">
            <v>41985</v>
          </cell>
        </row>
        <row r="192">
          <cell r="D192" t="str">
            <v>Sales</v>
          </cell>
          <cell r="E192">
            <v>-2.21</v>
          </cell>
          <cell r="F192">
            <v>-1.6</v>
          </cell>
          <cell r="G192">
            <v>-1.0900000000000001</v>
          </cell>
          <cell r="H192">
            <v>-4.9000000000000004</v>
          </cell>
          <cell r="I192">
            <v>-1.29</v>
          </cell>
          <cell r="J192">
            <v>-0.7</v>
          </cell>
          <cell r="K192">
            <v>0</v>
          </cell>
          <cell r="L192">
            <v>-1.99</v>
          </cell>
          <cell r="M192">
            <v>0</v>
          </cell>
          <cell r="N192">
            <v>0</v>
          </cell>
          <cell r="O192">
            <v>0</v>
          </cell>
          <cell r="P192">
            <v>0</v>
          </cell>
          <cell r="Q192">
            <v>0</v>
          </cell>
          <cell r="R192">
            <v>0</v>
          </cell>
          <cell r="S192">
            <v>0</v>
          </cell>
          <cell r="T192">
            <v>0</v>
          </cell>
          <cell r="U192">
            <v>-2.21</v>
          </cell>
          <cell r="V192">
            <v>-3.81</v>
          </cell>
          <cell r="W192">
            <v>-4.9000000000000004</v>
          </cell>
          <cell r="X192">
            <v>-6.19</v>
          </cell>
          <cell r="Y192">
            <v>-6.8900000000000006</v>
          </cell>
          <cell r="Z192">
            <v>-6.8900000000000006</v>
          </cell>
          <cell r="AA192">
            <v>-6.8900000000000006</v>
          </cell>
          <cell r="AB192">
            <v>-6.8900000000000006</v>
          </cell>
          <cell r="AC192">
            <v>-6.8900000000000006</v>
          </cell>
          <cell r="AD192">
            <v>-6.8900000000000006</v>
          </cell>
          <cell r="AE192">
            <v>-6.8900000000000006</v>
          </cell>
          <cell r="AF192">
            <v>-6.8900000000000006</v>
          </cell>
        </row>
        <row r="193">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D194" t="str">
            <v>Cost of Goods Sold</v>
          </cell>
          <cell r="E194">
            <v>-1.67</v>
          </cell>
          <cell r="F194">
            <v>-1.1000000000000001</v>
          </cell>
          <cell r="G194">
            <v>-0.74</v>
          </cell>
          <cell r="H194">
            <v>-3.51</v>
          </cell>
          <cell r="I194">
            <v>-0.84</v>
          </cell>
          <cell r="J194">
            <v>-0.52</v>
          </cell>
          <cell r="K194">
            <v>0</v>
          </cell>
          <cell r="L194">
            <v>-1.3599999999999999</v>
          </cell>
          <cell r="M194">
            <v>0</v>
          </cell>
          <cell r="N194">
            <v>0</v>
          </cell>
          <cell r="O194">
            <v>0</v>
          </cell>
          <cell r="P194">
            <v>0</v>
          </cell>
          <cell r="Q194">
            <v>0</v>
          </cell>
          <cell r="R194">
            <v>0</v>
          </cell>
          <cell r="S194">
            <v>0</v>
          </cell>
          <cell r="T194">
            <v>0</v>
          </cell>
          <cell r="U194">
            <v>-1.67</v>
          </cell>
          <cell r="V194">
            <v>-2.77</v>
          </cell>
          <cell r="W194">
            <v>-3.51</v>
          </cell>
          <cell r="X194">
            <v>-4.3499999999999996</v>
          </cell>
          <cell r="Y194">
            <v>-4.8699999999999992</v>
          </cell>
          <cell r="Z194">
            <v>-4.8699999999999992</v>
          </cell>
          <cell r="AA194">
            <v>-4.8699999999999992</v>
          </cell>
          <cell r="AB194">
            <v>-4.8699999999999992</v>
          </cell>
          <cell r="AC194">
            <v>-4.8699999999999992</v>
          </cell>
          <cell r="AD194">
            <v>-4.8699999999999992</v>
          </cell>
          <cell r="AE194">
            <v>-4.8699999999999992</v>
          </cell>
          <cell r="AF194">
            <v>-4.8699999999999992</v>
          </cell>
        </row>
        <row r="195">
          <cell r="D195" t="str">
            <v>ED Savings</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D196" t="str">
            <v>PRISM II &amp; PSM Savings</v>
          </cell>
          <cell r="E196">
            <v>-3.3133391220841052E-2</v>
          </cell>
          <cell r="F196">
            <v>-2.7047447074774966E-2</v>
          </cell>
          <cell r="G196">
            <v>-2.2289596899386362E-2</v>
          </cell>
          <cell r="H196">
            <v>-8.2470435195002384E-2</v>
          </cell>
          <cell r="I196">
            <v>-2.8730135069805218E-2</v>
          </cell>
          <cell r="J196">
            <v>-1.718326690447718E-2</v>
          </cell>
          <cell r="K196">
            <v>0</v>
          </cell>
          <cell r="L196">
            <v>-4.5913401974282397E-2</v>
          </cell>
          <cell r="M196">
            <v>0</v>
          </cell>
          <cell r="N196">
            <v>0</v>
          </cell>
          <cell r="O196">
            <v>0</v>
          </cell>
          <cell r="P196">
            <v>0</v>
          </cell>
          <cell r="Q196">
            <v>0</v>
          </cell>
          <cell r="R196">
            <v>0</v>
          </cell>
          <cell r="S196">
            <v>0</v>
          </cell>
          <cell r="T196">
            <v>0</v>
          </cell>
          <cell r="U196">
            <v>-3.3133391220841052E-2</v>
          </cell>
          <cell r="V196">
            <v>-6.0180838295616018E-2</v>
          </cell>
          <cell r="W196">
            <v>-8.2470435195002384E-2</v>
          </cell>
          <cell r="X196">
            <v>-0.1112005702648076</v>
          </cell>
          <cell r="Y196">
            <v>-0.12838383716928478</v>
          </cell>
          <cell r="Z196">
            <v>-0.12838383716928478</v>
          </cell>
          <cell r="AA196">
            <v>-0.12838383716928478</v>
          </cell>
          <cell r="AB196">
            <v>-0.12838383716928478</v>
          </cell>
          <cell r="AC196">
            <v>-0.12838383716928478</v>
          </cell>
          <cell r="AD196">
            <v>-0.12838383716928478</v>
          </cell>
          <cell r="AE196">
            <v>-0.12838383716928478</v>
          </cell>
          <cell r="AF196">
            <v>-0.12838383716928478</v>
          </cell>
        </row>
        <row r="197">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D199" t="str">
            <v>Contribution</v>
          </cell>
          <cell r="E199">
            <v>-0.57313339122084106</v>
          </cell>
          <cell r="F199">
            <v>-0.52704744707477502</v>
          </cell>
          <cell r="G199">
            <v>-0.37228959689938645</v>
          </cell>
          <cell r="H199">
            <v>-1.4724704351950029</v>
          </cell>
          <cell r="I199">
            <v>-0.47873013506980527</v>
          </cell>
          <cell r="J199">
            <v>-0.19718326690447713</v>
          </cell>
          <cell r="K199">
            <v>0</v>
          </cell>
          <cell r="L199">
            <v>-0.67591340197428251</v>
          </cell>
          <cell r="M199">
            <v>0</v>
          </cell>
          <cell r="N199">
            <v>0</v>
          </cell>
          <cell r="O199">
            <v>0</v>
          </cell>
          <cell r="P199">
            <v>0</v>
          </cell>
          <cell r="Q199">
            <v>0</v>
          </cell>
          <cell r="R199">
            <v>0</v>
          </cell>
          <cell r="S199">
            <v>0</v>
          </cell>
          <cell r="T199">
            <v>0</v>
          </cell>
          <cell r="U199">
            <v>-0.57313339122084106</v>
          </cell>
          <cell r="V199">
            <v>-1.100180838295616</v>
          </cell>
          <cell r="W199">
            <v>-1.4724704351950024</v>
          </cell>
          <cell r="X199">
            <v>-1.9512005702648076</v>
          </cell>
          <cell r="Y199">
            <v>-2.1483838371692849</v>
          </cell>
          <cell r="Z199">
            <v>-2.1483838371692849</v>
          </cell>
          <cell r="AA199">
            <v>-2.1483838371692849</v>
          </cell>
          <cell r="AB199">
            <v>-2.1483838371692849</v>
          </cell>
          <cell r="AC199">
            <v>-2.1483838371692849</v>
          </cell>
          <cell r="AD199">
            <v>-2.1483838371692849</v>
          </cell>
          <cell r="AE199">
            <v>-2.1483838371692849</v>
          </cell>
          <cell r="AF199">
            <v>-2.1483838371692849</v>
          </cell>
        </row>
        <row r="200">
          <cell r="D200">
            <v>0</v>
          </cell>
          <cell r="E200">
            <v>0.25933637611802762</v>
          </cell>
          <cell r="F200">
            <v>0.32940465442173439</v>
          </cell>
          <cell r="G200">
            <v>0.34155008889851968</v>
          </cell>
          <cell r="H200">
            <v>0.30050417044795974</v>
          </cell>
          <cell r="I200">
            <v>0.37110863183705833</v>
          </cell>
          <cell r="J200">
            <v>0.28169038129211021</v>
          </cell>
          <cell r="K200" t="e">
            <v>#DIV/0!</v>
          </cell>
          <cell r="L200">
            <v>0.33965497586647364</v>
          </cell>
          <cell r="M200" t="e">
            <v>#DIV/0!</v>
          </cell>
          <cell r="N200" t="e">
            <v>#DIV/0!</v>
          </cell>
          <cell r="O200" t="e">
            <v>#DIV/0!</v>
          </cell>
          <cell r="P200" t="e">
            <v>#DIV/0!</v>
          </cell>
          <cell r="Q200" t="e">
            <v>#DIV/0!</v>
          </cell>
          <cell r="R200" t="e">
            <v>#DIV/0!</v>
          </cell>
          <cell r="S200" t="e">
            <v>#DIV/0!</v>
          </cell>
          <cell r="T200" t="e">
            <v>#DIV/0!</v>
          </cell>
          <cell r="U200">
            <v>0.25933637611802762</v>
          </cell>
          <cell r="V200">
            <v>0.28876137488073911</v>
          </cell>
          <cell r="W200">
            <v>0.30050417044795968</v>
          </cell>
          <cell r="X200">
            <v>0.31521818582630168</v>
          </cell>
          <cell r="Y200">
            <v>0.31181187767333596</v>
          </cell>
          <cell r="Z200">
            <v>0.31181187767333596</v>
          </cell>
          <cell r="AA200">
            <v>0.31181187767333596</v>
          </cell>
          <cell r="AB200">
            <v>0.31181187767333596</v>
          </cell>
          <cell r="AC200">
            <v>0.31181187767333596</v>
          </cell>
          <cell r="AD200">
            <v>0.31181187767333596</v>
          </cell>
          <cell r="AE200">
            <v>0.31181187767333596</v>
          </cell>
          <cell r="AF200">
            <v>0.31181187767333596</v>
          </cell>
        </row>
        <row r="201">
          <cell r="D201" t="str">
            <v>Overheads</v>
          </cell>
        </row>
        <row r="202">
          <cell r="D202" t="str">
            <v>Advertisement Exp.</v>
          </cell>
          <cell r="E202">
            <v>0</v>
          </cell>
          <cell r="F202">
            <v>0</v>
          </cell>
          <cell r="G202">
            <v>0</v>
          </cell>
          <cell r="H202">
            <v>0</v>
          </cell>
          <cell r="I202">
            <v>10</v>
          </cell>
          <cell r="J202">
            <v>5</v>
          </cell>
          <cell r="K202">
            <v>0</v>
          </cell>
          <cell r="L202">
            <v>15</v>
          </cell>
          <cell r="M202">
            <v>0</v>
          </cell>
          <cell r="N202">
            <v>25</v>
          </cell>
          <cell r="O202">
            <v>60</v>
          </cell>
          <cell r="P202">
            <v>85</v>
          </cell>
          <cell r="Q202">
            <v>45</v>
          </cell>
          <cell r="R202">
            <v>0</v>
          </cell>
          <cell r="S202">
            <v>0</v>
          </cell>
          <cell r="T202">
            <v>45</v>
          </cell>
          <cell r="U202">
            <v>0</v>
          </cell>
          <cell r="V202">
            <v>0</v>
          </cell>
          <cell r="W202">
            <v>0</v>
          </cell>
          <cell r="X202">
            <v>10</v>
          </cell>
          <cell r="Y202">
            <v>15</v>
          </cell>
          <cell r="Z202">
            <v>15</v>
          </cell>
          <cell r="AA202">
            <v>15</v>
          </cell>
          <cell r="AB202">
            <v>40</v>
          </cell>
          <cell r="AC202">
            <v>100</v>
          </cell>
          <cell r="AD202">
            <v>145</v>
          </cell>
          <cell r="AE202">
            <v>145</v>
          </cell>
          <cell r="AF202">
            <v>145</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row>
        <row r="204">
          <cell r="D204" t="str">
            <v>Total Overheads (a+b)</v>
          </cell>
          <cell r="E204">
            <v>0</v>
          </cell>
          <cell r="F204">
            <v>0</v>
          </cell>
          <cell r="G204">
            <v>0</v>
          </cell>
          <cell r="H204">
            <v>0</v>
          </cell>
          <cell r="I204">
            <v>10</v>
          </cell>
          <cell r="J204">
            <v>5</v>
          </cell>
          <cell r="K204">
            <v>0</v>
          </cell>
          <cell r="L204">
            <v>15</v>
          </cell>
          <cell r="M204">
            <v>0</v>
          </cell>
          <cell r="N204">
            <v>25</v>
          </cell>
          <cell r="O204">
            <v>60</v>
          </cell>
          <cell r="P204">
            <v>85</v>
          </cell>
          <cell r="Q204">
            <v>45</v>
          </cell>
          <cell r="R204">
            <v>0</v>
          </cell>
          <cell r="S204">
            <v>0</v>
          </cell>
          <cell r="T204">
            <v>45</v>
          </cell>
          <cell r="U204">
            <v>0</v>
          </cell>
          <cell r="V204">
            <v>0</v>
          </cell>
          <cell r="W204">
            <v>0</v>
          </cell>
          <cell r="X204">
            <v>10</v>
          </cell>
          <cell r="Y204">
            <v>15</v>
          </cell>
          <cell r="Z204">
            <v>15</v>
          </cell>
          <cell r="AA204">
            <v>15</v>
          </cell>
          <cell r="AB204">
            <v>40</v>
          </cell>
          <cell r="AC204">
            <v>100</v>
          </cell>
          <cell r="AD204">
            <v>145</v>
          </cell>
          <cell r="AE204">
            <v>145</v>
          </cell>
          <cell r="AF204">
            <v>145</v>
          </cell>
        </row>
        <row r="205">
          <cell r="D205" t="str">
            <v>OPERATING PROFIT (LOSS)</v>
          </cell>
          <cell r="E205">
            <v>-0.57313339122084106</v>
          </cell>
          <cell r="F205">
            <v>-0.52704744707477502</v>
          </cell>
          <cell r="G205">
            <v>-0.37228959689938645</v>
          </cell>
          <cell r="H205">
            <v>-1.4724704351950029</v>
          </cell>
          <cell r="I205">
            <v>-10.478730135069805</v>
          </cell>
          <cell r="J205">
            <v>-5.1971832669044771</v>
          </cell>
          <cell r="K205">
            <v>0</v>
          </cell>
          <cell r="L205">
            <v>-15.675913401974283</v>
          </cell>
          <cell r="M205">
            <v>0</v>
          </cell>
          <cell r="N205">
            <v>-25</v>
          </cell>
          <cell r="O205">
            <v>-60</v>
          </cell>
          <cell r="P205">
            <v>-85</v>
          </cell>
          <cell r="Q205">
            <v>-45</v>
          </cell>
          <cell r="R205">
            <v>0</v>
          </cell>
          <cell r="S205">
            <v>0</v>
          </cell>
          <cell r="T205">
            <v>-45</v>
          </cell>
          <cell r="U205">
            <v>-0.57313339122084106</v>
          </cell>
          <cell r="V205">
            <v>-1.100180838295616</v>
          </cell>
          <cell r="W205">
            <v>-1.4724704351950024</v>
          </cell>
          <cell r="X205">
            <v>-11.951200570264808</v>
          </cell>
          <cell r="Y205">
            <v>-17.148383837169284</v>
          </cell>
          <cell r="Z205">
            <v>-17.148383837169284</v>
          </cell>
          <cell r="AA205">
            <v>-17.148383837169284</v>
          </cell>
          <cell r="AB205">
            <v>-42.148383837169284</v>
          </cell>
          <cell r="AC205">
            <v>-102.14838383716929</v>
          </cell>
          <cell r="AD205">
            <v>-147.14838383716929</v>
          </cell>
          <cell r="AE205">
            <v>-147.14838383716929</v>
          </cell>
          <cell r="AF205">
            <v>-147.14838383716929</v>
          </cell>
        </row>
        <row r="208">
          <cell r="D208">
            <v>4</v>
          </cell>
          <cell r="E208">
            <v>5</v>
          </cell>
          <cell r="F208">
            <v>6</v>
          </cell>
          <cell r="G208">
            <v>7</v>
          </cell>
          <cell r="H208">
            <v>8</v>
          </cell>
          <cell r="I208">
            <v>9</v>
          </cell>
          <cell r="J208">
            <v>10</v>
          </cell>
          <cell r="K208">
            <v>11</v>
          </cell>
          <cell r="L208">
            <v>12</v>
          </cell>
          <cell r="M208">
            <v>13</v>
          </cell>
          <cell r="N208">
            <v>14</v>
          </cell>
          <cell r="O208">
            <v>15</v>
          </cell>
          <cell r="P208">
            <v>16</v>
          </cell>
          <cell r="Q208">
            <v>17</v>
          </cell>
          <cell r="R208">
            <v>18</v>
          </cell>
          <cell r="S208">
            <v>19</v>
          </cell>
          <cell r="T208">
            <v>20</v>
          </cell>
          <cell r="U208">
            <v>21</v>
          </cell>
          <cell r="V208">
            <v>22</v>
          </cell>
          <cell r="W208">
            <v>23</v>
          </cell>
          <cell r="X208">
            <v>24</v>
          </cell>
          <cell r="Y208">
            <v>25</v>
          </cell>
          <cell r="Z208">
            <v>26</v>
          </cell>
          <cell r="AA208">
            <v>27</v>
          </cell>
          <cell r="AB208">
            <v>28</v>
          </cell>
          <cell r="AC208">
            <v>29</v>
          </cell>
          <cell r="AD208">
            <v>30</v>
          </cell>
          <cell r="AE208">
            <v>31</v>
          </cell>
          <cell r="AF208">
            <v>32</v>
          </cell>
        </row>
        <row r="209">
          <cell r="E209" t="str">
            <v>Actual</v>
          </cell>
          <cell r="F209" t="str">
            <v>Actual</v>
          </cell>
          <cell r="G209" t="str">
            <v>Actual</v>
          </cell>
          <cell r="H209" t="str">
            <v>Actual</v>
          </cell>
          <cell r="I209" t="str">
            <v>Actual</v>
          </cell>
          <cell r="J209" t="str">
            <v>Actual</v>
          </cell>
          <cell r="K209" t="str">
            <v>Actual</v>
          </cell>
          <cell r="L209" t="str">
            <v>Actual</v>
          </cell>
          <cell r="M209" t="str">
            <v>Actual</v>
          </cell>
          <cell r="N209" t="str">
            <v>Actual</v>
          </cell>
          <cell r="O209" t="str">
            <v>Actual</v>
          </cell>
          <cell r="P209" t="str">
            <v>Actual</v>
          </cell>
          <cell r="Q209" t="str">
            <v>Actual</v>
          </cell>
          <cell r="R209" t="str">
            <v>Actual</v>
          </cell>
          <cell r="S209" t="str">
            <v>Actual</v>
          </cell>
          <cell r="T209" t="str">
            <v>Actual</v>
          </cell>
          <cell r="U209" t="str">
            <v>Cumu Act</v>
          </cell>
          <cell r="V209" t="str">
            <v>Cumu Act</v>
          </cell>
          <cell r="W209" t="str">
            <v>Cumu Act</v>
          </cell>
          <cell r="X209" t="str">
            <v>Cumu Act</v>
          </cell>
          <cell r="Y209" t="str">
            <v>Cumu Act</v>
          </cell>
          <cell r="Z209" t="str">
            <v>Cumu Act</v>
          </cell>
          <cell r="AA209" t="str">
            <v>Cumu Act</v>
          </cell>
          <cell r="AB209" t="str">
            <v>Cumu Act</v>
          </cell>
          <cell r="AC209" t="str">
            <v>Cumu Act</v>
          </cell>
          <cell r="AD209" t="str">
            <v>Cumu Act</v>
          </cell>
          <cell r="AE209" t="str">
            <v>Cumu Act</v>
          </cell>
          <cell r="AF209" t="str">
            <v>Cumu Act</v>
          </cell>
        </row>
        <row r="210">
          <cell r="D210" t="str">
            <v>Particulars</v>
          </cell>
          <cell r="E210">
            <v>41651</v>
          </cell>
          <cell r="F210">
            <v>41682</v>
          </cell>
          <cell r="G210">
            <v>41710</v>
          </cell>
          <cell r="H210" t="str">
            <v>Q-1</v>
          </cell>
          <cell r="I210">
            <v>41741</v>
          </cell>
          <cell r="J210">
            <v>41771</v>
          </cell>
          <cell r="K210">
            <v>41802</v>
          </cell>
          <cell r="L210" t="str">
            <v>Q-2</v>
          </cell>
          <cell r="M210">
            <v>41832</v>
          </cell>
          <cell r="N210">
            <v>41863</v>
          </cell>
          <cell r="O210">
            <v>41894</v>
          </cell>
          <cell r="P210" t="str">
            <v>Q-3</v>
          </cell>
          <cell r="Q210">
            <v>41924</v>
          </cell>
          <cell r="R210">
            <v>41955</v>
          </cell>
          <cell r="S210">
            <v>41985</v>
          </cell>
          <cell r="T210" t="str">
            <v>Q-4</v>
          </cell>
          <cell r="U210">
            <v>41651</v>
          </cell>
          <cell r="V210">
            <v>41682</v>
          </cell>
          <cell r="W210">
            <v>41710</v>
          </cell>
          <cell r="X210">
            <v>41741</v>
          </cell>
          <cell r="Y210">
            <v>41771</v>
          </cell>
          <cell r="Z210">
            <v>41802</v>
          </cell>
          <cell r="AA210">
            <v>41832</v>
          </cell>
          <cell r="AB210">
            <v>41863</v>
          </cell>
          <cell r="AC210">
            <v>41894</v>
          </cell>
          <cell r="AD210">
            <v>41924</v>
          </cell>
          <cell r="AE210">
            <v>41955</v>
          </cell>
          <cell r="AF210">
            <v>41985</v>
          </cell>
        </row>
        <row r="212">
          <cell r="D212" t="str">
            <v>Sales</v>
          </cell>
          <cell r="E212">
            <v>-0.37</v>
          </cell>
          <cell r="F212">
            <v>0</v>
          </cell>
          <cell r="G212">
            <v>0</v>
          </cell>
          <cell r="H212">
            <v>-0.37</v>
          </cell>
          <cell r="I212">
            <v>0</v>
          </cell>
          <cell r="J212">
            <v>-0.4</v>
          </cell>
          <cell r="K212">
            <v>0</v>
          </cell>
          <cell r="L212">
            <v>-0.4</v>
          </cell>
          <cell r="M212">
            <v>0</v>
          </cell>
          <cell r="N212">
            <v>0</v>
          </cell>
          <cell r="O212">
            <v>0</v>
          </cell>
          <cell r="P212">
            <v>0</v>
          </cell>
          <cell r="Q212">
            <v>0</v>
          </cell>
          <cell r="R212">
            <v>0</v>
          </cell>
          <cell r="S212">
            <v>0</v>
          </cell>
          <cell r="T212">
            <v>0</v>
          </cell>
          <cell r="U212">
            <v>-0.37</v>
          </cell>
          <cell r="V212">
            <v>-0.37</v>
          </cell>
          <cell r="W212">
            <v>-0.37</v>
          </cell>
          <cell r="X212">
            <v>-0.37</v>
          </cell>
          <cell r="Y212">
            <v>-0.77</v>
          </cell>
          <cell r="Z212">
            <v>-0.77</v>
          </cell>
          <cell r="AA212">
            <v>-0.77</v>
          </cell>
          <cell r="AB212">
            <v>-0.77</v>
          </cell>
          <cell r="AC212">
            <v>-0.77</v>
          </cell>
          <cell r="AD212">
            <v>-0.77</v>
          </cell>
          <cell r="AE212">
            <v>-0.77</v>
          </cell>
          <cell r="AF212">
            <v>-0.77</v>
          </cell>
        </row>
        <row r="213">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row>
        <row r="214">
          <cell r="D214" t="str">
            <v>Cost of Goods Sold</v>
          </cell>
          <cell r="E214">
            <v>2.34</v>
          </cell>
          <cell r="F214">
            <v>0</v>
          </cell>
          <cell r="G214">
            <v>0</v>
          </cell>
          <cell r="H214">
            <v>2.34</v>
          </cell>
          <cell r="I214">
            <v>0</v>
          </cell>
          <cell r="J214">
            <v>-0.27</v>
          </cell>
          <cell r="K214">
            <v>0</v>
          </cell>
          <cell r="L214">
            <v>-0.27</v>
          </cell>
          <cell r="M214">
            <v>0</v>
          </cell>
          <cell r="N214">
            <v>0</v>
          </cell>
          <cell r="O214">
            <v>0</v>
          </cell>
          <cell r="P214">
            <v>0</v>
          </cell>
          <cell r="Q214">
            <v>0</v>
          </cell>
          <cell r="R214">
            <v>0</v>
          </cell>
          <cell r="S214">
            <v>0</v>
          </cell>
          <cell r="T214">
            <v>0</v>
          </cell>
          <cell r="U214">
            <v>2.34</v>
          </cell>
          <cell r="V214">
            <v>2.34</v>
          </cell>
          <cell r="W214">
            <v>2.34</v>
          </cell>
          <cell r="X214">
            <v>2.34</v>
          </cell>
          <cell r="Y214">
            <v>2.0699999999999998</v>
          </cell>
          <cell r="Z214">
            <v>2.0699999999999998</v>
          </cell>
          <cell r="AA214">
            <v>2.0699999999999998</v>
          </cell>
          <cell r="AB214">
            <v>2.0699999999999998</v>
          </cell>
          <cell r="AC214">
            <v>2.0699999999999998</v>
          </cell>
          <cell r="AD214">
            <v>2.0699999999999998</v>
          </cell>
          <cell r="AE214">
            <v>2.0699999999999998</v>
          </cell>
          <cell r="AF214">
            <v>2.0699999999999998</v>
          </cell>
        </row>
        <row r="215">
          <cell r="D215" t="str">
            <v>ED Savings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D216" t="str">
            <v>PRISM II &amp; PSM Savings</v>
          </cell>
          <cell r="E216">
            <v>-5.5472193446656961E-3</v>
          </cell>
          <cell r="F216">
            <v>0</v>
          </cell>
          <cell r="G216">
            <v>0</v>
          </cell>
          <cell r="H216">
            <v>-5.5472193446656961E-3</v>
          </cell>
          <cell r="I216">
            <v>0</v>
          </cell>
          <cell r="J216">
            <v>0</v>
          </cell>
          <cell r="K216">
            <v>0</v>
          </cell>
          <cell r="L216">
            <v>0</v>
          </cell>
          <cell r="M216">
            <v>0</v>
          </cell>
          <cell r="N216">
            <v>0</v>
          </cell>
          <cell r="O216">
            <v>0</v>
          </cell>
          <cell r="P216">
            <v>0</v>
          </cell>
          <cell r="Q216">
            <v>0</v>
          </cell>
          <cell r="R216">
            <v>0</v>
          </cell>
          <cell r="S216">
            <v>0</v>
          </cell>
          <cell r="T216">
            <v>0</v>
          </cell>
          <cell r="U216">
            <v>-5.5472193446656961E-3</v>
          </cell>
          <cell r="V216">
            <v>-5.5472193446656961E-3</v>
          </cell>
          <cell r="W216">
            <v>-5.5472193446656961E-3</v>
          </cell>
          <cell r="X216">
            <v>-5.5472193446656961E-3</v>
          </cell>
          <cell r="Y216">
            <v>-5.5472193446656961E-3</v>
          </cell>
          <cell r="Z216">
            <v>-5.5472193446656961E-3</v>
          </cell>
          <cell r="AA216">
            <v>-5.5472193446656961E-3</v>
          </cell>
          <cell r="AB216">
            <v>-5.5472193446656961E-3</v>
          </cell>
          <cell r="AC216">
            <v>-5.5472193446656961E-3</v>
          </cell>
          <cell r="AD216">
            <v>-5.5472193446656961E-3</v>
          </cell>
          <cell r="AE216">
            <v>-5.5472193446656961E-3</v>
          </cell>
          <cell r="AF216">
            <v>-5.5472193446656961E-3</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D219" t="str">
            <v>Contribution</v>
          </cell>
          <cell r="E219">
            <v>-2.7155472193446655</v>
          </cell>
          <cell r="F219">
            <v>0</v>
          </cell>
          <cell r="G219">
            <v>0</v>
          </cell>
          <cell r="H219">
            <v>-2.7155472193446655</v>
          </cell>
          <cell r="I219">
            <v>0</v>
          </cell>
          <cell r="J219">
            <v>-0.13</v>
          </cell>
          <cell r="K219">
            <v>0</v>
          </cell>
          <cell r="L219">
            <v>-0.13</v>
          </cell>
          <cell r="M219">
            <v>0</v>
          </cell>
          <cell r="N219">
            <v>0</v>
          </cell>
          <cell r="O219">
            <v>0</v>
          </cell>
          <cell r="P219">
            <v>0</v>
          </cell>
          <cell r="Q219">
            <v>0</v>
          </cell>
          <cell r="R219">
            <v>0</v>
          </cell>
          <cell r="S219">
            <v>0</v>
          </cell>
          <cell r="T219">
            <v>0</v>
          </cell>
          <cell r="U219">
            <v>-2.7155472193446655</v>
          </cell>
          <cell r="V219">
            <v>-2.7155472193446655</v>
          </cell>
          <cell r="W219">
            <v>-2.7155472193446655</v>
          </cell>
          <cell r="X219">
            <v>-2.7155472193446655</v>
          </cell>
          <cell r="Y219">
            <v>-2.8455472193446654</v>
          </cell>
          <cell r="Z219">
            <v>-2.8455472193446654</v>
          </cell>
          <cell r="AA219">
            <v>-2.8455472193446654</v>
          </cell>
          <cell r="AB219">
            <v>-2.8455472193446654</v>
          </cell>
          <cell r="AC219">
            <v>-2.8455472193446654</v>
          </cell>
          <cell r="AD219">
            <v>-2.8455472193446654</v>
          </cell>
          <cell r="AE219">
            <v>-2.8455472193446654</v>
          </cell>
          <cell r="AF219">
            <v>-2.8455472193446654</v>
          </cell>
        </row>
        <row r="220">
          <cell r="D220">
            <v>0</v>
          </cell>
          <cell r="E220">
            <v>7.3393168090396363</v>
          </cell>
          <cell r="F220" t="e">
            <v>#DIV/0!</v>
          </cell>
          <cell r="G220" t="e">
            <v>#DIV/0!</v>
          </cell>
          <cell r="H220">
            <v>7.3393168090396363</v>
          </cell>
          <cell r="I220" t="e">
            <v>#DIV/0!</v>
          </cell>
          <cell r="J220">
            <v>0.32500000000000001</v>
          </cell>
          <cell r="K220" t="e">
            <v>#DIV/0!</v>
          </cell>
          <cell r="L220">
            <v>0.32500000000000001</v>
          </cell>
          <cell r="M220" t="e">
            <v>#DIV/0!</v>
          </cell>
          <cell r="N220" t="e">
            <v>#DIV/0!</v>
          </cell>
          <cell r="O220" t="e">
            <v>#DIV/0!</v>
          </cell>
          <cell r="P220" t="e">
            <v>#DIV/0!</v>
          </cell>
          <cell r="Q220" t="e">
            <v>#DIV/0!</v>
          </cell>
          <cell r="R220" t="e">
            <v>#DIV/0!</v>
          </cell>
          <cell r="S220" t="e">
            <v>#DIV/0!</v>
          </cell>
          <cell r="T220" t="e">
            <v>#DIV/0!</v>
          </cell>
          <cell r="U220">
            <v>7.3393168090396363</v>
          </cell>
          <cell r="V220">
            <v>7.3393168090396363</v>
          </cell>
          <cell r="W220">
            <v>7.3393168090396363</v>
          </cell>
          <cell r="X220">
            <v>7.3393168090396363</v>
          </cell>
          <cell r="Y220">
            <v>3.6955158692787862</v>
          </cell>
          <cell r="Z220">
            <v>3.6955158692787862</v>
          </cell>
          <cell r="AA220">
            <v>3.6955158692787862</v>
          </cell>
          <cell r="AB220">
            <v>3.6955158692787862</v>
          </cell>
          <cell r="AC220">
            <v>3.6955158692787862</v>
          </cell>
          <cell r="AD220">
            <v>3.6955158692787862</v>
          </cell>
          <cell r="AE220">
            <v>3.6955158692787862</v>
          </cell>
          <cell r="AF220">
            <v>3.6955158692787862</v>
          </cell>
        </row>
        <row r="221">
          <cell r="D221" t="str">
            <v>Overheads</v>
          </cell>
        </row>
        <row r="222">
          <cell r="D222" t="str">
            <v>Advertisement Exp.</v>
          </cell>
          <cell r="E222">
            <v>10</v>
          </cell>
          <cell r="F222">
            <v>20</v>
          </cell>
          <cell r="G222">
            <v>-30</v>
          </cell>
          <cell r="H222">
            <v>0</v>
          </cell>
          <cell r="I222">
            <v>0</v>
          </cell>
          <cell r="J222">
            <v>0</v>
          </cell>
          <cell r="K222">
            <v>15</v>
          </cell>
          <cell r="L222">
            <v>15</v>
          </cell>
          <cell r="M222">
            <v>0</v>
          </cell>
          <cell r="N222">
            <v>5</v>
          </cell>
          <cell r="O222">
            <v>5</v>
          </cell>
          <cell r="P222">
            <v>10</v>
          </cell>
          <cell r="Q222">
            <v>20</v>
          </cell>
          <cell r="R222">
            <v>15</v>
          </cell>
          <cell r="S222">
            <v>15</v>
          </cell>
          <cell r="T222">
            <v>50</v>
          </cell>
          <cell r="U222">
            <v>10</v>
          </cell>
          <cell r="V222">
            <v>30</v>
          </cell>
          <cell r="W222">
            <v>0</v>
          </cell>
          <cell r="X222">
            <v>0</v>
          </cell>
          <cell r="Y222">
            <v>0</v>
          </cell>
          <cell r="Z222">
            <v>15</v>
          </cell>
          <cell r="AA222">
            <v>15</v>
          </cell>
          <cell r="AB222">
            <v>20</v>
          </cell>
          <cell r="AC222">
            <v>25</v>
          </cell>
          <cell r="AD222">
            <v>45</v>
          </cell>
          <cell r="AE222">
            <v>60</v>
          </cell>
          <cell r="AF222">
            <v>75</v>
          </cell>
        </row>
        <row r="223">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D224" t="str">
            <v>Total Overheads (a+b)</v>
          </cell>
          <cell r="E224">
            <v>10</v>
          </cell>
          <cell r="F224">
            <v>20</v>
          </cell>
          <cell r="G224">
            <v>-30</v>
          </cell>
          <cell r="H224">
            <v>0</v>
          </cell>
          <cell r="I224">
            <v>0</v>
          </cell>
          <cell r="J224">
            <v>0</v>
          </cell>
          <cell r="K224">
            <v>15</v>
          </cell>
          <cell r="L224">
            <v>15</v>
          </cell>
          <cell r="M224">
            <v>0</v>
          </cell>
          <cell r="N224">
            <v>5</v>
          </cell>
          <cell r="O224">
            <v>5</v>
          </cell>
          <cell r="P224">
            <v>10</v>
          </cell>
          <cell r="Q224">
            <v>20</v>
          </cell>
          <cell r="R224">
            <v>15</v>
          </cell>
          <cell r="S224">
            <v>15</v>
          </cell>
          <cell r="T224">
            <v>50</v>
          </cell>
          <cell r="U224">
            <v>10</v>
          </cell>
          <cell r="V224">
            <v>30</v>
          </cell>
          <cell r="W224">
            <v>0</v>
          </cell>
          <cell r="X224">
            <v>0</v>
          </cell>
          <cell r="Y224">
            <v>0</v>
          </cell>
          <cell r="Z224">
            <v>15</v>
          </cell>
          <cell r="AA224">
            <v>15</v>
          </cell>
          <cell r="AB224">
            <v>20</v>
          </cell>
          <cell r="AC224">
            <v>25</v>
          </cell>
          <cell r="AD224">
            <v>45</v>
          </cell>
          <cell r="AE224">
            <v>60</v>
          </cell>
          <cell r="AF224">
            <v>75</v>
          </cell>
        </row>
        <row r="225">
          <cell r="D225" t="str">
            <v>OPERATING PROFIT (LOSS)</v>
          </cell>
          <cell r="E225">
            <v>-12.715547219344666</v>
          </cell>
          <cell r="F225">
            <v>-20</v>
          </cell>
          <cell r="G225">
            <v>30</v>
          </cell>
          <cell r="H225">
            <v>-2.7155472193446655</v>
          </cell>
          <cell r="I225">
            <v>0</v>
          </cell>
          <cell r="J225">
            <v>-0.13</v>
          </cell>
          <cell r="K225">
            <v>-15</v>
          </cell>
          <cell r="L225">
            <v>-15.13</v>
          </cell>
          <cell r="M225">
            <v>0</v>
          </cell>
          <cell r="N225">
            <v>-5</v>
          </cell>
          <cell r="O225">
            <v>-5</v>
          </cell>
          <cell r="P225">
            <v>-10</v>
          </cell>
          <cell r="Q225">
            <v>-20</v>
          </cell>
          <cell r="R225">
            <v>-15</v>
          </cell>
          <cell r="S225">
            <v>-15</v>
          </cell>
          <cell r="T225">
            <v>-50</v>
          </cell>
          <cell r="U225">
            <v>-12.715547219344666</v>
          </cell>
          <cell r="V225">
            <v>-32.715547219344664</v>
          </cell>
          <cell r="W225">
            <v>-2.7155472193446641</v>
          </cell>
          <cell r="X225">
            <v>-2.7155472193446641</v>
          </cell>
          <cell r="Y225">
            <v>-2.845547219344664</v>
          </cell>
          <cell r="Z225">
            <v>-17.845547219344663</v>
          </cell>
          <cell r="AA225">
            <v>-17.845547219344663</v>
          </cell>
          <cell r="AB225">
            <v>-22.845547219344663</v>
          </cell>
          <cell r="AC225">
            <v>-27.845547219344663</v>
          </cell>
          <cell r="AD225">
            <v>-47.845547219344667</v>
          </cell>
          <cell r="AE225">
            <v>-62.845547219344667</v>
          </cell>
          <cell r="AF225">
            <v>-77.845547219344667</v>
          </cell>
        </row>
        <row r="228">
          <cell r="D228">
            <v>4</v>
          </cell>
          <cell r="E228">
            <v>5</v>
          </cell>
          <cell r="F228">
            <v>6</v>
          </cell>
          <cell r="G228">
            <v>7</v>
          </cell>
          <cell r="H228">
            <v>8</v>
          </cell>
          <cell r="I228">
            <v>9</v>
          </cell>
          <cell r="J228">
            <v>10</v>
          </cell>
          <cell r="K228">
            <v>11</v>
          </cell>
          <cell r="L228">
            <v>12</v>
          </cell>
          <cell r="M228">
            <v>13</v>
          </cell>
          <cell r="N228">
            <v>14</v>
          </cell>
          <cell r="O228">
            <v>15</v>
          </cell>
          <cell r="P228">
            <v>16</v>
          </cell>
          <cell r="Q228">
            <v>17</v>
          </cell>
          <cell r="R228">
            <v>18</v>
          </cell>
          <cell r="S228">
            <v>19</v>
          </cell>
          <cell r="T228">
            <v>20</v>
          </cell>
          <cell r="U228">
            <v>21</v>
          </cell>
          <cell r="V228">
            <v>22</v>
          </cell>
          <cell r="W228">
            <v>23</v>
          </cell>
          <cell r="X228">
            <v>24</v>
          </cell>
          <cell r="Y228">
            <v>25</v>
          </cell>
          <cell r="Z228">
            <v>26</v>
          </cell>
          <cell r="AA228">
            <v>27</v>
          </cell>
          <cell r="AB228">
            <v>28</v>
          </cell>
          <cell r="AC228">
            <v>29</v>
          </cell>
          <cell r="AD228">
            <v>30</v>
          </cell>
          <cell r="AE228">
            <v>31</v>
          </cell>
          <cell r="AF228">
            <v>32</v>
          </cell>
        </row>
        <row r="229">
          <cell r="E229" t="str">
            <v>Actual</v>
          </cell>
          <cell r="F229" t="str">
            <v>Actual</v>
          </cell>
          <cell r="G229" t="str">
            <v>Actual</v>
          </cell>
          <cell r="H229" t="str">
            <v>Actual</v>
          </cell>
          <cell r="I229" t="str">
            <v>Actual</v>
          </cell>
          <cell r="J229" t="str">
            <v>Actual</v>
          </cell>
          <cell r="K229" t="str">
            <v>Actual</v>
          </cell>
          <cell r="L229" t="str">
            <v>Actual</v>
          </cell>
          <cell r="M229" t="str">
            <v>Actual</v>
          </cell>
          <cell r="N229" t="str">
            <v>Actual</v>
          </cell>
          <cell r="O229" t="str">
            <v>Actual</v>
          </cell>
          <cell r="P229" t="str">
            <v>Actual</v>
          </cell>
          <cell r="Q229" t="str">
            <v>Actual</v>
          </cell>
          <cell r="R229" t="str">
            <v>Actual</v>
          </cell>
          <cell r="S229" t="str">
            <v>Actual</v>
          </cell>
          <cell r="T229" t="str">
            <v>Actual</v>
          </cell>
          <cell r="U229" t="str">
            <v>Cumu Act</v>
          </cell>
          <cell r="V229" t="str">
            <v>Cumu Act</v>
          </cell>
          <cell r="W229" t="str">
            <v>Cumu Act</v>
          </cell>
          <cell r="X229" t="str">
            <v>Cumu Act</v>
          </cell>
          <cell r="Y229" t="str">
            <v>Cumu Act</v>
          </cell>
          <cell r="Z229" t="str">
            <v>Cumu Act</v>
          </cell>
          <cell r="AA229" t="str">
            <v>Cumu Act</v>
          </cell>
          <cell r="AB229" t="str">
            <v>Cumu Act</v>
          </cell>
          <cell r="AC229" t="str">
            <v>Cumu Act</v>
          </cell>
          <cell r="AD229" t="str">
            <v>Cumu Act</v>
          </cell>
          <cell r="AE229" t="str">
            <v>Cumu Act</v>
          </cell>
          <cell r="AF229" t="str">
            <v>Cumu Act</v>
          </cell>
        </row>
        <row r="230">
          <cell r="D230" t="str">
            <v>Particulars</v>
          </cell>
          <cell r="E230">
            <v>41651</v>
          </cell>
          <cell r="F230">
            <v>41682</v>
          </cell>
          <cell r="G230">
            <v>41710</v>
          </cell>
          <cell r="H230" t="str">
            <v>Q-1</v>
          </cell>
          <cell r="I230">
            <v>41741</v>
          </cell>
          <cell r="J230">
            <v>41771</v>
          </cell>
          <cell r="K230">
            <v>41802</v>
          </cell>
          <cell r="L230" t="str">
            <v>Q-2</v>
          </cell>
          <cell r="M230">
            <v>41832</v>
          </cell>
          <cell r="N230">
            <v>41863</v>
          </cell>
          <cell r="O230">
            <v>41894</v>
          </cell>
          <cell r="P230" t="str">
            <v>Q-3</v>
          </cell>
          <cell r="Q230">
            <v>41924</v>
          </cell>
          <cell r="R230">
            <v>41955</v>
          </cell>
          <cell r="S230">
            <v>41985</v>
          </cell>
          <cell r="T230" t="str">
            <v>Q-4</v>
          </cell>
          <cell r="U230">
            <v>41651</v>
          </cell>
          <cell r="V230">
            <v>41682</v>
          </cell>
          <cell r="W230">
            <v>41710</v>
          </cell>
          <cell r="X230">
            <v>41741</v>
          </cell>
          <cell r="Y230">
            <v>41771</v>
          </cell>
          <cell r="Z230">
            <v>41802</v>
          </cell>
          <cell r="AA230">
            <v>41832</v>
          </cell>
          <cell r="AB230">
            <v>41863</v>
          </cell>
          <cell r="AC230">
            <v>41894</v>
          </cell>
          <cell r="AD230">
            <v>41924</v>
          </cell>
          <cell r="AE230">
            <v>41955</v>
          </cell>
          <cell r="AF230">
            <v>41985</v>
          </cell>
        </row>
        <row r="232">
          <cell r="D232" t="str">
            <v>Sales</v>
          </cell>
          <cell r="E232">
            <v>673.49</v>
          </cell>
          <cell r="F232">
            <v>845.3</v>
          </cell>
          <cell r="G232">
            <v>810.2</v>
          </cell>
          <cell r="H232">
            <v>2328.9899999999998</v>
          </cell>
          <cell r="I232">
            <v>916.78</v>
          </cell>
          <cell r="J232">
            <v>928.03</v>
          </cell>
          <cell r="K232">
            <v>0</v>
          </cell>
          <cell r="L232">
            <v>1844.81</v>
          </cell>
          <cell r="M232">
            <v>0</v>
          </cell>
          <cell r="N232">
            <v>0</v>
          </cell>
          <cell r="O232">
            <v>0</v>
          </cell>
          <cell r="P232">
            <v>0</v>
          </cell>
          <cell r="Q232">
            <v>0</v>
          </cell>
          <cell r="R232">
            <v>0</v>
          </cell>
          <cell r="S232">
            <v>0</v>
          </cell>
          <cell r="T232">
            <v>0</v>
          </cell>
          <cell r="U232">
            <v>673.49</v>
          </cell>
          <cell r="V232">
            <v>1518.79</v>
          </cell>
          <cell r="W232">
            <v>2328.9899999999998</v>
          </cell>
          <cell r="X232">
            <v>3245.7699999999995</v>
          </cell>
          <cell r="Y232">
            <v>4173.7999999999993</v>
          </cell>
          <cell r="Z232">
            <v>4173.7999999999993</v>
          </cell>
          <cell r="AA232">
            <v>4173.7999999999993</v>
          </cell>
          <cell r="AB232">
            <v>4173.7999999999993</v>
          </cell>
          <cell r="AC232">
            <v>4173.7999999999993</v>
          </cell>
          <cell r="AD232">
            <v>4173.7999999999993</v>
          </cell>
          <cell r="AE232">
            <v>4173.7999999999993</v>
          </cell>
          <cell r="AF232">
            <v>4173.7999999999993</v>
          </cell>
        </row>
        <row r="233">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D234" t="str">
            <v>Cost of Goods Sold</v>
          </cell>
          <cell r="E234">
            <v>221.35</v>
          </cell>
          <cell r="F234">
            <v>304.91000000000003</v>
          </cell>
          <cell r="G234">
            <v>319.83</v>
          </cell>
          <cell r="H234">
            <v>846.08999999999992</v>
          </cell>
          <cell r="I234">
            <v>327.14999999999998</v>
          </cell>
          <cell r="J234">
            <v>337.15</v>
          </cell>
          <cell r="K234">
            <v>0</v>
          </cell>
          <cell r="L234">
            <v>664.3</v>
          </cell>
          <cell r="M234">
            <v>0</v>
          </cell>
          <cell r="N234">
            <v>0</v>
          </cell>
          <cell r="O234">
            <v>0</v>
          </cell>
          <cell r="P234">
            <v>0</v>
          </cell>
          <cell r="Q234">
            <v>0</v>
          </cell>
          <cell r="R234">
            <v>0</v>
          </cell>
          <cell r="S234">
            <v>0</v>
          </cell>
          <cell r="T234">
            <v>0</v>
          </cell>
          <cell r="U234">
            <v>221.35</v>
          </cell>
          <cell r="V234">
            <v>526.26</v>
          </cell>
          <cell r="W234">
            <v>846.08999999999992</v>
          </cell>
          <cell r="X234">
            <v>1173.2399999999998</v>
          </cell>
          <cell r="Y234">
            <v>1510.3899999999999</v>
          </cell>
          <cell r="Z234">
            <v>1510.3899999999999</v>
          </cell>
          <cell r="AA234">
            <v>1510.3899999999999</v>
          </cell>
          <cell r="AB234">
            <v>1510.3899999999999</v>
          </cell>
          <cell r="AC234">
            <v>1510.3899999999999</v>
          </cell>
          <cell r="AD234">
            <v>1510.3899999999999</v>
          </cell>
          <cell r="AE234">
            <v>1510.3899999999999</v>
          </cell>
          <cell r="AF234">
            <v>1510.3899999999999</v>
          </cell>
        </row>
        <row r="235">
          <cell r="D235" t="str">
            <v>ED Savings</v>
          </cell>
          <cell r="E235">
            <v>27.169879463999997</v>
          </cell>
          <cell r="F235">
            <v>30.111976888000001</v>
          </cell>
          <cell r="G235">
            <v>43.32</v>
          </cell>
          <cell r="H235">
            <v>100.601856352</v>
          </cell>
          <cell r="I235">
            <v>44.55</v>
          </cell>
          <cell r="J235">
            <v>47.51</v>
          </cell>
          <cell r="K235">
            <v>0</v>
          </cell>
          <cell r="L235">
            <v>92.06</v>
          </cell>
          <cell r="M235">
            <v>0</v>
          </cell>
          <cell r="N235">
            <v>0</v>
          </cell>
          <cell r="O235">
            <v>0</v>
          </cell>
          <cell r="P235">
            <v>0</v>
          </cell>
          <cell r="Q235">
            <v>0</v>
          </cell>
          <cell r="R235">
            <v>0</v>
          </cell>
          <cell r="S235">
            <v>0</v>
          </cell>
          <cell r="T235">
            <v>0</v>
          </cell>
          <cell r="U235">
            <v>27.169879463999997</v>
          </cell>
          <cell r="V235">
            <v>57.281856351999998</v>
          </cell>
          <cell r="W235">
            <v>100.601856352</v>
          </cell>
          <cell r="X235">
            <v>145.15185635199998</v>
          </cell>
          <cell r="Y235">
            <v>192.66185635199997</v>
          </cell>
          <cell r="Z235">
            <v>192.66185635199997</v>
          </cell>
          <cell r="AA235">
            <v>192.66185635199997</v>
          </cell>
          <cell r="AB235">
            <v>192.66185635199997</v>
          </cell>
          <cell r="AC235">
            <v>192.66185635199997</v>
          </cell>
          <cell r="AD235">
            <v>192.66185635199997</v>
          </cell>
          <cell r="AE235">
            <v>192.66185635199997</v>
          </cell>
          <cell r="AF235">
            <v>192.66185635199997</v>
          </cell>
        </row>
        <row r="236">
          <cell r="D236" t="str">
            <v>PRISM II &amp; PSM Savings</v>
          </cell>
          <cell r="E236">
            <v>10.097288530915947</v>
          </cell>
          <cell r="F236">
            <v>14.289504382692048</v>
          </cell>
          <cell r="G236">
            <v>16.567918722828285</v>
          </cell>
          <cell r="H236">
            <v>40.954711636436279</v>
          </cell>
          <cell r="I236">
            <v>20.417994751392268</v>
          </cell>
          <cell r="J236">
            <v>22.780838836231368</v>
          </cell>
          <cell r="K236">
            <v>0</v>
          </cell>
          <cell r="L236">
            <v>43.198833587623639</v>
          </cell>
          <cell r="M236">
            <v>0</v>
          </cell>
          <cell r="N236">
            <v>0</v>
          </cell>
          <cell r="O236">
            <v>0</v>
          </cell>
          <cell r="P236">
            <v>0</v>
          </cell>
          <cell r="Q236">
            <v>0</v>
          </cell>
          <cell r="R236">
            <v>0</v>
          </cell>
          <cell r="S236">
            <v>0</v>
          </cell>
          <cell r="T236">
            <v>0</v>
          </cell>
          <cell r="U236">
            <v>10.097288530915947</v>
          </cell>
          <cell r="V236">
            <v>24.386792913607994</v>
          </cell>
          <cell r="W236">
            <v>40.954711636436279</v>
          </cell>
          <cell r="X236">
            <v>61.372706387828543</v>
          </cell>
          <cell r="Y236">
            <v>84.153545224059911</v>
          </cell>
          <cell r="Z236">
            <v>84.153545224059911</v>
          </cell>
          <cell r="AA236">
            <v>84.153545224059911</v>
          </cell>
          <cell r="AB236">
            <v>84.153545224059911</v>
          </cell>
          <cell r="AC236">
            <v>84.153545224059911</v>
          </cell>
          <cell r="AD236">
            <v>84.153545224059911</v>
          </cell>
          <cell r="AE236">
            <v>84.153545224059911</v>
          </cell>
          <cell r="AF236">
            <v>84.153545224059911</v>
          </cell>
        </row>
        <row r="237">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D239" t="str">
            <v>Contribution</v>
          </cell>
          <cell r="E239">
            <v>489.40716799491594</v>
          </cell>
          <cell r="F239">
            <v>584.79148127069186</v>
          </cell>
          <cell r="G239">
            <v>550.25791872282832</v>
          </cell>
          <cell r="H239">
            <v>1624.4565679884361</v>
          </cell>
          <cell r="I239">
            <v>654.59799475139221</v>
          </cell>
          <cell r="J239">
            <v>661.17083883623138</v>
          </cell>
          <cell r="K239">
            <v>0</v>
          </cell>
          <cell r="L239">
            <v>1315.7688335876235</v>
          </cell>
          <cell r="M239">
            <v>0</v>
          </cell>
          <cell r="N239">
            <v>0</v>
          </cell>
          <cell r="O239">
            <v>0</v>
          </cell>
          <cell r="P239">
            <v>0</v>
          </cell>
          <cell r="Q239">
            <v>0</v>
          </cell>
          <cell r="R239">
            <v>0</v>
          </cell>
          <cell r="S239">
            <v>0</v>
          </cell>
          <cell r="T239">
            <v>0</v>
          </cell>
          <cell r="U239">
            <v>489.40716799491594</v>
          </cell>
          <cell r="V239">
            <v>1074.1986492656079</v>
          </cell>
          <cell r="W239">
            <v>1624.4565679884363</v>
          </cell>
          <cell r="X239">
            <v>2279.0545627398287</v>
          </cell>
          <cell r="Y239">
            <v>2940.22540157606</v>
          </cell>
          <cell r="Z239">
            <v>2940.22540157606</v>
          </cell>
          <cell r="AA239">
            <v>2940.22540157606</v>
          </cell>
          <cell r="AB239">
            <v>2940.22540157606</v>
          </cell>
          <cell r="AC239">
            <v>2940.22540157606</v>
          </cell>
          <cell r="AD239">
            <v>2940.22540157606</v>
          </cell>
          <cell r="AE239">
            <v>2940.22540157606</v>
          </cell>
          <cell r="AF239">
            <v>2940.22540157606</v>
          </cell>
        </row>
        <row r="240">
          <cell r="D240">
            <v>0</v>
          </cell>
          <cell r="E240">
            <v>0.72667325126566973</v>
          </cell>
          <cell r="F240">
            <v>0.69181530967785621</v>
          </cell>
          <cell r="G240">
            <v>0.67916306927033854</v>
          </cell>
          <cell r="H240">
            <v>0.69749400726857402</v>
          </cell>
          <cell r="I240">
            <v>0.71401862469882871</v>
          </cell>
          <cell r="J240">
            <v>0.7124455446873823</v>
          </cell>
          <cell r="K240" t="e">
            <v>#DIV/0!</v>
          </cell>
          <cell r="L240">
            <v>0.71322728822351544</v>
          </cell>
          <cell r="M240" t="e">
            <v>#DIV/0!</v>
          </cell>
          <cell r="N240" t="e">
            <v>#DIV/0!</v>
          </cell>
          <cell r="O240" t="e">
            <v>#DIV/0!</v>
          </cell>
          <cell r="P240" t="e">
            <v>#DIV/0!</v>
          </cell>
          <cell r="Q240" t="e">
            <v>#DIV/0!</v>
          </cell>
          <cell r="R240" t="e">
            <v>#DIV/0!</v>
          </cell>
          <cell r="S240" t="e">
            <v>#DIV/0!</v>
          </cell>
          <cell r="T240" t="e">
            <v>#DIV/0!</v>
          </cell>
          <cell r="U240">
            <v>0.72667325126566973</v>
          </cell>
          <cell r="V240">
            <v>0.70727266394011545</v>
          </cell>
          <cell r="W240">
            <v>0.69749400726857413</v>
          </cell>
          <cell r="X240">
            <v>0.70216144789674839</v>
          </cell>
          <cell r="Y240">
            <v>0.70444808126313208</v>
          </cell>
          <cell r="Z240">
            <v>0.70444808126313208</v>
          </cell>
          <cell r="AA240">
            <v>0.70444808126313208</v>
          </cell>
          <cell r="AB240">
            <v>0.70444808126313208</v>
          </cell>
          <cell r="AC240">
            <v>0.70444808126313208</v>
          </cell>
          <cell r="AD240">
            <v>0.70444808126313208</v>
          </cell>
          <cell r="AE240">
            <v>0.70444808126313208</v>
          </cell>
          <cell r="AF240">
            <v>0.70444808126313208</v>
          </cell>
        </row>
        <row r="241">
          <cell r="D241" t="str">
            <v>Overheads</v>
          </cell>
        </row>
        <row r="242">
          <cell r="D242" t="str">
            <v>Advertisement Exp.</v>
          </cell>
          <cell r="E242">
            <v>826.80000000000007</v>
          </cell>
          <cell r="F242">
            <v>375.79999999999995</v>
          </cell>
          <cell r="G242">
            <v>147.48999999999998</v>
          </cell>
          <cell r="H242">
            <v>1350.09</v>
          </cell>
          <cell r="I242">
            <v>846.8</v>
          </cell>
          <cell r="J242">
            <v>479.79999999999995</v>
          </cell>
          <cell r="K242">
            <v>219.79999999999998</v>
          </cell>
          <cell r="L242">
            <v>1546.3999999999999</v>
          </cell>
          <cell r="M242">
            <v>687.8</v>
          </cell>
          <cell r="N242">
            <v>247.8</v>
          </cell>
          <cell r="O242">
            <v>248.79999999999998</v>
          </cell>
          <cell r="P242">
            <v>1184.3999999999999</v>
          </cell>
          <cell r="Q242">
            <v>371.79999999999995</v>
          </cell>
          <cell r="R242">
            <v>89.800000000000011</v>
          </cell>
          <cell r="S242">
            <v>34.799999999999997</v>
          </cell>
          <cell r="T242">
            <v>496.4</v>
          </cell>
          <cell r="U242">
            <v>826.80000000000007</v>
          </cell>
          <cell r="V242">
            <v>1202.5999999999999</v>
          </cell>
          <cell r="W242">
            <v>1350.09</v>
          </cell>
          <cell r="X242">
            <v>2196.89</v>
          </cell>
          <cell r="Y242">
            <v>2676.6899999999996</v>
          </cell>
          <cell r="Z242">
            <v>2896.49</v>
          </cell>
          <cell r="AA242">
            <v>3584.29</v>
          </cell>
          <cell r="AB242">
            <v>3832.09</v>
          </cell>
          <cell r="AC242">
            <v>4080.8900000000003</v>
          </cell>
          <cell r="AD242">
            <v>4452.6900000000005</v>
          </cell>
          <cell r="AE242">
            <v>4542.4900000000007</v>
          </cell>
          <cell r="AF242">
            <v>4577.2900000000009</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D244" t="str">
            <v>Total Overheads (a+b)</v>
          </cell>
          <cell r="E244">
            <v>826.80000000000007</v>
          </cell>
          <cell r="F244">
            <v>375.79999999999995</v>
          </cell>
          <cell r="G244">
            <v>147.48999999999998</v>
          </cell>
          <cell r="H244">
            <v>1350.09</v>
          </cell>
          <cell r="I244">
            <v>846.8</v>
          </cell>
          <cell r="J244">
            <v>479.79999999999995</v>
          </cell>
          <cell r="K244">
            <v>219.79999999999998</v>
          </cell>
          <cell r="L244">
            <v>1546.3999999999999</v>
          </cell>
          <cell r="M244">
            <v>687.8</v>
          </cell>
          <cell r="N244">
            <v>247.8</v>
          </cell>
          <cell r="O244">
            <v>248.79999999999998</v>
          </cell>
          <cell r="P244">
            <v>1184.3999999999999</v>
          </cell>
          <cell r="Q244">
            <v>371.79999999999995</v>
          </cell>
          <cell r="R244">
            <v>89.800000000000011</v>
          </cell>
          <cell r="S244">
            <v>34.799999999999997</v>
          </cell>
          <cell r="T244">
            <v>496.4</v>
          </cell>
          <cell r="U244">
            <v>826.80000000000007</v>
          </cell>
          <cell r="V244">
            <v>1202.5999999999999</v>
          </cell>
          <cell r="W244">
            <v>1350.09</v>
          </cell>
          <cell r="X244">
            <v>2196.89</v>
          </cell>
          <cell r="Y244">
            <v>2676.6899999999996</v>
          </cell>
          <cell r="Z244">
            <v>2896.49</v>
          </cell>
          <cell r="AA244">
            <v>3584.29</v>
          </cell>
          <cell r="AB244">
            <v>3832.09</v>
          </cell>
          <cell r="AC244">
            <v>4080.8900000000003</v>
          </cell>
          <cell r="AD244">
            <v>4452.6900000000005</v>
          </cell>
          <cell r="AE244">
            <v>4542.4900000000007</v>
          </cell>
          <cell r="AF244">
            <v>4577.2900000000009</v>
          </cell>
        </row>
        <row r="245">
          <cell r="D245" t="str">
            <v>OPERATING PROFIT (LOSS)</v>
          </cell>
          <cell r="E245">
            <v>-337.39283200508413</v>
          </cell>
          <cell r="F245">
            <v>208.99148127069191</v>
          </cell>
          <cell r="G245">
            <v>402.76791872282831</v>
          </cell>
          <cell r="H245">
            <v>274.36656798843615</v>
          </cell>
          <cell r="I245">
            <v>-192.20200524860775</v>
          </cell>
          <cell r="J245">
            <v>181.37083883623143</v>
          </cell>
          <cell r="K245">
            <v>-219.79999999999998</v>
          </cell>
          <cell r="L245">
            <v>-230.63116641237639</v>
          </cell>
          <cell r="M245">
            <v>-687.8</v>
          </cell>
          <cell r="N245">
            <v>-247.8</v>
          </cell>
          <cell r="O245">
            <v>-248.79999999999998</v>
          </cell>
          <cell r="P245">
            <v>-1184.3999999999999</v>
          </cell>
          <cell r="Q245">
            <v>-371.79999999999995</v>
          </cell>
          <cell r="R245">
            <v>-89.800000000000011</v>
          </cell>
          <cell r="S245">
            <v>-34.799999999999997</v>
          </cell>
          <cell r="T245">
            <v>-496.4</v>
          </cell>
          <cell r="U245">
            <v>-337.39283200508413</v>
          </cell>
          <cell r="V245">
            <v>-128.40135073439222</v>
          </cell>
          <cell r="W245">
            <v>274.36656798843609</v>
          </cell>
          <cell r="X245">
            <v>82.164562739828341</v>
          </cell>
          <cell r="Y245">
            <v>263.53540157605977</v>
          </cell>
          <cell r="Z245">
            <v>43.735401576059786</v>
          </cell>
          <cell r="AA245">
            <v>-644.0645984239402</v>
          </cell>
          <cell r="AB245">
            <v>-891.86459842394015</v>
          </cell>
          <cell r="AC245">
            <v>-1140.6645984239401</v>
          </cell>
          <cell r="AD245">
            <v>-1512.4645984239401</v>
          </cell>
          <cell r="AE245">
            <v>-1602.26459842394</v>
          </cell>
          <cell r="AF245">
            <v>-1637.06459842394</v>
          </cell>
        </row>
        <row r="248">
          <cell r="D248">
            <v>4</v>
          </cell>
          <cell r="E248">
            <v>5</v>
          </cell>
          <cell r="F248">
            <v>6</v>
          </cell>
          <cell r="G248">
            <v>7</v>
          </cell>
          <cell r="H248">
            <v>8</v>
          </cell>
          <cell r="I248">
            <v>9</v>
          </cell>
          <cell r="J248">
            <v>10</v>
          </cell>
          <cell r="K248">
            <v>11</v>
          </cell>
          <cell r="L248">
            <v>12</v>
          </cell>
          <cell r="M248">
            <v>13</v>
          </cell>
          <cell r="N248">
            <v>14</v>
          </cell>
          <cell r="O248">
            <v>15</v>
          </cell>
          <cell r="P248">
            <v>16</v>
          </cell>
          <cell r="Q248">
            <v>17</v>
          </cell>
          <cell r="R248">
            <v>18</v>
          </cell>
          <cell r="S248">
            <v>19</v>
          </cell>
          <cell r="T248">
            <v>20</v>
          </cell>
          <cell r="U248">
            <v>21</v>
          </cell>
          <cell r="V248">
            <v>22</v>
          </cell>
          <cell r="W248">
            <v>23</v>
          </cell>
          <cell r="X248">
            <v>24</v>
          </cell>
          <cell r="Y248">
            <v>25</v>
          </cell>
          <cell r="Z248">
            <v>26</v>
          </cell>
          <cell r="AA248">
            <v>27</v>
          </cell>
          <cell r="AB248">
            <v>28</v>
          </cell>
          <cell r="AC248">
            <v>29</v>
          </cell>
          <cell r="AD248">
            <v>30</v>
          </cell>
          <cell r="AE248">
            <v>31</v>
          </cell>
          <cell r="AF248">
            <v>32</v>
          </cell>
        </row>
        <row r="249">
          <cell r="E249" t="str">
            <v>Actual</v>
          </cell>
          <cell r="F249" t="str">
            <v>Actual</v>
          </cell>
          <cell r="G249" t="str">
            <v>Actual</v>
          </cell>
          <cell r="H249" t="str">
            <v>Actual</v>
          </cell>
          <cell r="I249" t="str">
            <v>Actual</v>
          </cell>
          <cell r="J249" t="str">
            <v>Actual</v>
          </cell>
          <cell r="K249" t="str">
            <v>Actual</v>
          </cell>
          <cell r="L249" t="str">
            <v>Actual</v>
          </cell>
          <cell r="M249" t="str">
            <v>Actual</v>
          </cell>
          <cell r="N249" t="str">
            <v>Actual</v>
          </cell>
          <cell r="O249" t="str">
            <v>Actual</v>
          </cell>
          <cell r="P249" t="str">
            <v>Actual</v>
          </cell>
          <cell r="Q249" t="str">
            <v>Actual</v>
          </cell>
          <cell r="R249" t="str">
            <v>Actual</v>
          </cell>
          <cell r="S249" t="str">
            <v>Actual</v>
          </cell>
          <cell r="T249" t="str">
            <v>Actual</v>
          </cell>
          <cell r="U249" t="str">
            <v>Cumu Act</v>
          </cell>
          <cell r="V249" t="str">
            <v>Cumu Act</v>
          </cell>
          <cell r="W249" t="str">
            <v>Cumu Act</v>
          </cell>
          <cell r="X249" t="str">
            <v>Cumu Act</v>
          </cell>
          <cell r="Y249" t="str">
            <v>Cumu Act</v>
          </cell>
          <cell r="Z249" t="str">
            <v>Cumu Act</v>
          </cell>
          <cell r="AA249" t="str">
            <v>Cumu Act</v>
          </cell>
          <cell r="AB249" t="str">
            <v>Cumu Act</v>
          </cell>
          <cell r="AC249" t="str">
            <v>Cumu Act</v>
          </cell>
          <cell r="AD249" t="str">
            <v>Cumu Act</v>
          </cell>
          <cell r="AE249" t="str">
            <v>Cumu Act</v>
          </cell>
          <cell r="AF249" t="str">
            <v>Cumu Act</v>
          </cell>
        </row>
        <row r="250">
          <cell r="D250" t="str">
            <v>Particulars</v>
          </cell>
          <cell r="E250">
            <v>41651</v>
          </cell>
          <cell r="F250">
            <v>41682</v>
          </cell>
          <cell r="G250">
            <v>41710</v>
          </cell>
          <cell r="H250" t="str">
            <v>Q-1</v>
          </cell>
          <cell r="I250">
            <v>41741</v>
          </cell>
          <cell r="J250">
            <v>41771</v>
          </cell>
          <cell r="K250">
            <v>41802</v>
          </cell>
          <cell r="L250" t="str">
            <v>Q-2</v>
          </cell>
          <cell r="M250">
            <v>41832</v>
          </cell>
          <cell r="N250">
            <v>41863</v>
          </cell>
          <cell r="O250">
            <v>41894</v>
          </cell>
          <cell r="P250" t="str">
            <v>Q-3</v>
          </cell>
          <cell r="Q250">
            <v>41924</v>
          </cell>
          <cell r="R250">
            <v>41955</v>
          </cell>
          <cell r="S250">
            <v>41985</v>
          </cell>
          <cell r="T250" t="str">
            <v>Q-4</v>
          </cell>
          <cell r="U250">
            <v>41651</v>
          </cell>
          <cell r="V250">
            <v>41682</v>
          </cell>
          <cell r="W250">
            <v>41710</v>
          </cell>
          <cell r="X250">
            <v>41741</v>
          </cell>
          <cell r="Y250">
            <v>41771</v>
          </cell>
          <cell r="Z250">
            <v>41802</v>
          </cell>
          <cell r="AA250">
            <v>41832</v>
          </cell>
          <cell r="AB250">
            <v>41863</v>
          </cell>
          <cell r="AC250">
            <v>41894</v>
          </cell>
          <cell r="AD250">
            <v>41924</v>
          </cell>
          <cell r="AE250">
            <v>41955</v>
          </cell>
          <cell r="AF250">
            <v>41985</v>
          </cell>
        </row>
        <row r="252">
          <cell r="D252" t="str">
            <v>Sales</v>
          </cell>
          <cell r="E252">
            <v>4.1301157999999996</v>
          </cell>
          <cell r="F252">
            <v>3.3463172999999995</v>
          </cell>
          <cell r="G252">
            <v>7.1556499999998135E-2</v>
          </cell>
          <cell r="H252">
            <v>7.5479895999999975</v>
          </cell>
          <cell r="I252">
            <v>1.195262600000002</v>
          </cell>
          <cell r="J252">
            <v>-0.72549070000000049</v>
          </cell>
          <cell r="K252">
            <v>0</v>
          </cell>
          <cell r="L252">
            <v>0.46977190000000146</v>
          </cell>
          <cell r="M252">
            <v>0</v>
          </cell>
          <cell r="N252">
            <v>0</v>
          </cell>
          <cell r="O252">
            <v>0</v>
          </cell>
          <cell r="P252">
            <v>0</v>
          </cell>
          <cell r="Q252">
            <v>0</v>
          </cell>
          <cell r="R252">
            <v>0</v>
          </cell>
          <cell r="S252">
            <v>0</v>
          </cell>
          <cell r="T252">
            <v>0</v>
          </cell>
          <cell r="U252">
            <v>4.1301157999999996</v>
          </cell>
          <cell r="V252">
            <v>7.4764330999999995</v>
          </cell>
          <cell r="W252">
            <v>7.5479895999999975</v>
          </cell>
          <cell r="X252">
            <v>8.7432521999999988</v>
          </cell>
          <cell r="Y252">
            <v>8.0177614999999989</v>
          </cell>
          <cell r="Z252">
            <v>8.0177614999999989</v>
          </cell>
          <cell r="AA252">
            <v>8.0177614999999989</v>
          </cell>
          <cell r="AB252">
            <v>8.0177614999999989</v>
          </cell>
          <cell r="AC252">
            <v>8.0177614999999989</v>
          </cell>
          <cell r="AD252">
            <v>8.0177614999999989</v>
          </cell>
          <cell r="AE252">
            <v>8.0177614999999989</v>
          </cell>
          <cell r="AF252">
            <v>8.0177614999999989</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D254" t="str">
            <v>Cost of Goods Sold</v>
          </cell>
          <cell r="E254">
            <v>1.7093602377925694</v>
          </cell>
          <cell r="F254">
            <v>1.5436402669898173</v>
          </cell>
          <cell r="G254">
            <v>0.35534341516950257</v>
          </cell>
          <cell r="H254">
            <v>3.6083439199518894</v>
          </cell>
          <cell r="I254">
            <v>0.59092042795417021</v>
          </cell>
          <cell r="J254">
            <v>-0.30911856048762454</v>
          </cell>
          <cell r="K254">
            <v>0</v>
          </cell>
          <cell r="L254">
            <v>0.28180186746654567</v>
          </cell>
          <cell r="M254">
            <v>0</v>
          </cell>
          <cell r="N254">
            <v>0</v>
          </cell>
          <cell r="O254">
            <v>0</v>
          </cell>
          <cell r="P254">
            <v>0</v>
          </cell>
          <cell r="Q254">
            <v>0</v>
          </cell>
          <cell r="R254">
            <v>0</v>
          </cell>
          <cell r="S254">
            <v>0</v>
          </cell>
          <cell r="T254">
            <v>0</v>
          </cell>
          <cell r="U254">
            <v>1.7093602377925694</v>
          </cell>
          <cell r="V254">
            <v>3.2530005047823867</v>
          </cell>
          <cell r="W254">
            <v>3.6083439199518894</v>
          </cell>
          <cell r="X254">
            <v>4.1992643479060598</v>
          </cell>
          <cell r="Y254">
            <v>3.8901457874184353</v>
          </cell>
          <cell r="Z254">
            <v>3.8901457874184353</v>
          </cell>
          <cell r="AA254">
            <v>3.8901457874184353</v>
          </cell>
          <cell r="AB254">
            <v>3.8901457874184353</v>
          </cell>
          <cell r="AC254">
            <v>3.8901457874184353</v>
          </cell>
          <cell r="AD254">
            <v>3.8901457874184353</v>
          </cell>
          <cell r="AE254">
            <v>3.8901457874184353</v>
          </cell>
          <cell r="AF254">
            <v>3.8901457874184353</v>
          </cell>
        </row>
        <row r="255">
          <cell r="D255" t="str">
            <v>ED Savings</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D256" t="str">
            <v>PRISM II &amp; PSM Savings</v>
          </cell>
          <cell r="E256">
            <v>6.1920698003971451E-2</v>
          </cell>
          <cell r="F256">
            <v>5.6568337541971159E-2</v>
          </cell>
          <cell r="G256">
            <v>1.4632711381017418E-3</v>
          </cell>
          <cell r="H256">
            <v>0.11995230668404436</v>
          </cell>
          <cell r="I256">
            <v>2.6620198404563273E-2</v>
          </cell>
          <cell r="J256">
            <v>-1.7809000478308558E-2</v>
          </cell>
          <cell r="K256">
            <v>0</v>
          </cell>
          <cell r="L256">
            <v>8.8111979262547151E-3</v>
          </cell>
          <cell r="M256">
            <v>0</v>
          </cell>
          <cell r="N256">
            <v>0</v>
          </cell>
          <cell r="O256">
            <v>0</v>
          </cell>
          <cell r="P256">
            <v>0</v>
          </cell>
          <cell r="Q256">
            <v>0</v>
          </cell>
          <cell r="R256">
            <v>0</v>
          </cell>
          <cell r="S256">
            <v>0</v>
          </cell>
          <cell r="T256">
            <v>0</v>
          </cell>
          <cell r="U256">
            <v>6.1920698003971451E-2</v>
          </cell>
          <cell r="V256">
            <v>0.11848903554594262</v>
          </cell>
          <cell r="W256">
            <v>0.11995230668404436</v>
          </cell>
          <cell r="X256">
            <v>0.14657250508860764</v>
          </cell>
          <cell r="Y256">
            <v>0.12876350461029909</v>
          </cell>
          <cell r="Z256">
            <v>0.12876350461029909</v>
          </cell>
          <cell r="AA256">
            <v>0.12876350461029909</v>
          </cell>
          <cell r="AB256">
            <v>0.12876350461029909</v>
          </cell>
          <cell r="AC256">
            <v>0.12876350461029909</v>
          </cell>
          <cell r="AD256">
            <v>0.12876350461029909</v>
          </cell>
          <cell r="AE256">
            <v>0.12876350461029909</v>
          </cell>
          <cell r="AF256">
            <v>0.12876350461029909</v>
          </cell>
        </row>
        <row r="257">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D259" t="str">
            <v>Contribution</v>
          </cell>
          <cell r="E259">
            <v>2.4826762602114014</v>
          </cell>
          <cell r="F259">
            <v>1.8592453705521534</v>
          </cell>
          <cell r="G259">
            <v>-0.2823236440314027</v>
          </cell>
          <cell r="H259">
            <v>4.0595979867321521</v>
          </cell>
          <cell r="I259">
            <v>0.63096237045039505</v>
          </cell>
          <cell r="J259">
            <v>-0.43418113999068453</v>
          </cell>
          <cell r="K259">
            <v>0</v>
          </cell>
          <cell r="L259">
            <v>0.19678123045971049</v>
          </cell>
          <cell r="M259">
            <v>0</v>
          </cell>
          <cell r="N259">
            <v>0</v>
          </cell>
          <cell r="O259">
            <v>0</v>
          </cell>
          <cell r="P259">
            <v>0</v>
          </cell>
          <cell r="Q259">
            <v>0</v>
          </cell>
          <cell r="R259">
            <v>0</v>
          </cell>
          <cell r="S259">
            <v>0</v>
          </cell>
          <cell r="T259">
            <v>0</v>
          </cell>
          <cell r="U259">
            <v>2.4826762602114014</v>
          </cell>
          <cell r="V259">
            <v>4.3419216307635544</v>
          </cell>
          <cell r="W259">
            <v>4.0595979867321521</v>
          </cell>
          <cell r="X259">
            <v>4.6905603571825472</v>
          </cell>
          <cell r="Y259">
            <v>4.2563792171918626</v>
          </cell>
          <cell r="Z259">
            <v>4.2563792171918626</v>
          </cell>
          <cell r="AA259">
            <v>4.2563792171918626</v>
          </cell>
          <cell r="AB259">
            <v>4.2563792171918626</v>
          </cell>
          <cell r="AC259">
            <v>4.2563792171918626</v>
          </cell>
          <cell r="AD259">
            <v>4.2563792171918626</v>
          </cell>
          <cell r="AE259">
            <v>4.2563792171918626</v>
          </cell>
          <cell r="AF259">
            <v>4.2563792171918626</v>
          </cell>
        </row>
        <row r="260">
          <cell r="D260">
            <v>0</v>
          </cell>
          <cell r="E260">
            <v>0.60111541187571582</v>
          </cell>
          <cell r="F260">
            <v>0.55560940695975058</v>
          </cell>
          <cell r="G260">
            <v>-3.9454646891814167</v>
          </cell>
          <cell r="H260">
            <v>0.53783831216886591</v>
          </cell>
          <cell r="I260">
            <v>0.52788598124829977</v>
          </cell>
          <cell r="J260">
            <v>0.59846547997194754</v>
          </cell>
          <cell r="K260" t="e">
            <v>#DIV/0!</v>
          </cell>
          <cell r="L260">
            <v>0.41888676283045001</v>
          </cell>
          <cell r="M260" t="e">
            <v>#DIV/0!</v>
          </cell>
          <cell r="N260" t="e">
            <v>#DIV/0!</v>
          </cell>
          <cell r="O260" t="e">
            <v>#DIV/0!</v>
          </cell>
          <cell r="P260" t="e">
            <v>#DIV/0!</v>
          </cell>
          <cell r="Q260" t="e">
            <v>#DIV/0!</v>
          </cell>
          <cell r="R260" t="e">
            <v>#DIV/0!</v>
          </cell>
          <cell r="S260" t="e">
            <v>#DIV/0!</v>
          </cell>
          <cell r="T260" t="e">
            <v>#DIV/0!</v>
          </cell>
          <cell r="U260">
            <v>0.60111541187571582</v>
          </cell>
          <cell r="V260">
            <v>0.58074774062561396</v>
          </cell>
          <cell r="W260">
            <v>0.53783831216886591</v>
          </cell>
          <cell r="X260">
            <v>0.53647776020718563</v>
          </cell>
          <cell r="Y260">
            <v>0.53086877393295662</v>
          </cell>
          <cell r="Z260">
            <v>0.53086877393295662</v>
          </cell>
          <cell r="AA260">
            <v>0.53086877393295662</v>
          </cell>
          <cell r="AB260">
            <v>0.53086877393295662</v>
          </cell>
          <cell r="AC260">
            <v>0.53086877393295662</v>
          </cell>
          <cell r="AD260">
            <v>0.53086877393295662</v>
          </cell>
          <cell r="AE260">
            <v>0.53086877393295662</v>
          </cell>
          <cell r="AF260">
            <v>0.53086877393295662</v>
          </cell>
        </row>
        <row r="261">
          <cell r="D261" t="str">
            <v>Overheads</v>
          </cell>
        </row>
        <row r="262">
          <cell r="D262" t="str">
            <v>Advertisement Exp.</v>
          </cell>
          <cell r="E262">
            <v>6</v>
          </cell>
          <cell r="F262">
            <v>1</v>
          </cell>
          <cell r="G262">
            <v>-6.98</v>
          </cell>
          <cell r="H262">
            <v>1.9999999999999574E-2</v>
          </cell>
          <cell r="I262">
            <v>0</v>
          </cell>
          <cell r="J262">
            <v>177</v>
          </cell>
          <cell r="K262">
            <v>25</v>
          </cell>
          <cell r="L262">
            <v>202</v>
          </cell>
          <cell r="M262">
            <v>106</v>
          </cell>
          <cell r="N262">
            <v>51</v>
          </cell>
          <cell r="O262">
            <v>6</v>
          </cell>
          <cell r="P262">
            <v>163</v>
          </cell>
          <cell r="Q262">
            <v>3</v>
          </cell>
          <cell r="R262">
            <v>0</v>
          </cell>
          <cell r="S262">
            <v>0</v>
          </cell>
          <cell r="T262">
            <v>3</v>
          </cell>
          <cell r="U262">
            <v>6</v>
          </cell>
          <cell r="V262">
            <v>7</v>
          </cell>
          <cell r="W262">
            <v>1.9999999999999574E-2</v>
          </cell>
          <cell r="X262">
            <v>1.9999999999999574E-2</v>
          </cell>
          <cell r="Y262">
            <v>177.02</v>
          </cell>
          <cell r="Z262">
            <v>202.02</v>
          </cell>
          <cell r="AA262">
            <v>308.02</v>
          </cell>
          <cell r="AB262">
            <v>359.02</v>
          </cell>
          <cell r="AC262">
            <v>365.02</v>
          </cell>
          <cell r="AD262">
            <v>368.02</v>
          </cell>
          <cell r="AE262">
            <v>368.02</v>
          </cell>
          <cell r="AF262">
            <v>368.02</v>
          </cell>
        </row>
        <row r="263">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D264" t="str">
            <v>Total Overheads (a+b)</v>
          </cell>
          <cell r="E264">
            <v>6</v>
          </cell>
          <cell r="F264">
            <v>1</v>
          </cell>
          <cell r="G264">
            <v>-6.98</v>
          </cell>
          <cell r="H264">
            <v>1.9999999999999574E-2</v>
          </cell>
          <cell r="I264">
            <v>0</v>
          </cell>
          <cell r="J264">
            <v>177</v>
          </cell>
          <cell r="K264">
            <v>25</v>
          </cell>
          <cell r="L264">
            <v>202</v>
          </cell>
          <cell r="M264">
            <v>106</v>
          </cell>
          <cell r="N264">
            <v>51</v>
          </cell>
          <cell r="O264">
            <v>6</v>
          </cell>
          <cell r="P264">
            <v>163</v>
          </cell>
          <cell r="Q264">
            <v>3</v>
          </cell>
          <cell r="R264">
            <v>0</v>
          </cell>
          <cell r="S264">
            <v>0</v>
          </cell>
          <cell r="T264">
            <v>3</v>
          </cell>
          <cell r="U264">
            <v>6</v>
          </cell>
          <cell r="V264">
            <v>7</v>
          </cell>
          <cell r="W264">
            <v>1.9999999999999574E-2</v>
          </cell>
          <cell r="X264">
            <v>1.9999999999999574E-2</v>
          </cell>
          <cell r="Y264">
            <v>177.02</v>
          </cell>
          <cell r="Z264">
            <v>202.02</v>
          </cell>
          <cell r="AA264">
            <v>308.02</v>
          </cell>
          <cell r="AB264">
            <v>359.02</v>
          </cell>
          <cell r="AC264">
            <v>365.02</v>
          </cell>
          <cell r="AD264">
            <v>368.02</v>
          </cell>
          <cell r="AE264">
            <v>368.02</v>
          </cell>
          <cell r="AF264">
            <v>368.02</v>
          </cell>
        </row>
        <row r="265">
          <cell r="D265" t="str">
            <v>OPERATING PROFIT (LOSS)</v>
          </cell>
          <cell r="E265">
            <v>-3.5173237397885986</v>
          </cell>
          <cell r="F265">
            <v>0.85924537055215344</v>
          </cell>
          <cell r="G265">
            <v>6.6976763559685981</v>
          </cell>
          <cell r="H265">
            <v>4.0395979867321525</v>
          </cell>
          <cell r="I265">
            <v>0.63096237045039505</v>
          </cell>
          <cell r="J265">
            <v>-177.4341811399907</v>
          </cell>
          <cell r="K265">
            <v>-25</v>
          </cell>
          <cell r="L265">
            <v>-201.80321876954028</v>
          </cell>
          <cell r="M265">
            <v>-106</v>
          </cell>
          <cell r="N265">
            <v>-51</v>
          </cell>
          <cell r="O265">
            <v>-6</v>
          </cell>
          <cell r="P265">
            <v>-163</v>
          </cell>
          <cell r="Q265">
            <v>-3</v>
          </cell>
          <cell r="R265">
            <v>0</v>
          </cell>
          <cell r="S265">
            <v>0</v>
          </cell>
          <cell r="T265">
            <v>-3</v>
          </cell>
          <cell r="U265">
            <v>-3.5173237397885986</v>
          </cell>
          <cell r="V265">
            <v>-2.6580783692364451</v>
          </cell>
          <cell r="W265">
            <v>4.0395979867321525</v>
          </cell>
          <cell r="X265">
            <v>4.6705603571825476</v>
          </cell>
          <cell r="Y265">
            <v>-172.76362078280815</v>
          </cell>
          <cell r="Z265">
            <v>-197.76362078280815</v>
          </cell>
          <cell r="AA265">
            <v>-303.76362078280818</v>
          </cell>
          <cell r="AB265">
            <v>-354.76362078280818</v>
          </cell>
          <cell r="AC265">
            <v>-360.76362078280818</v>
          </cell>
          <cell r="AD265">
            <v>-363.76362078280818</v>
          </cell>
          <cell r="AE265">
            <v>-363.76362078280818</v>
          </cell>
          <cell r="AF265">
            <v>-363.76362078280818</v>
          </cell>
        </row>
        <row r="268">
          <cell r="D268">
            <v>4</v>
          </cell>
          <cell r="E268">
            <v>5</v>
          </cell>
          <cell r="F268">
            <v>6</v>
          </cell>
          <cell r="G268">
            <v>7</v>
          </cell>
          <cell r="H268">
            <v>8</v>
          </cell>
          <cell r="I268">
            <v>9</v>
          </cell>
          <cell r="J268">
            <v>10</v>
          </cell>
          <cell r="K268">
            <v>11</v>
          </cell>
          <cell r="L268">
            <v>12</v>
          </cell>
          <cell r="M268">
            <v>13</v>
          </cell>
          <cell r="N268">
            <v>14</v>
          </cell>
          <cell r="O268">
            <v>15</v>
          </cell>
          <cell r="P268">
            <v>16</v>
          </cell>
          <cell r="Q268">
            <v>17</v>
          </cell>
          <cell r="R268">
            <v>18</v>
          </cell>
          <cell r="S268">
            <v>19</v>
          </cell>
          <cell r="T268">
            <v>20</v>
          </cell>
          <cell r="U268">
            <v>21</v>
          </cell>
          <cell r="V268">
            <v>22</v>
          </cell>
          <cell r="W268">
            <v>23</v>
          </cell>
          <cell r="X268">
            <v>24</v>
          </cell>
          <cell r="Y268">
            <v>25</v>
          </cell>
          <cell r="Z268">
            <v>26</v>
          </cell>
          <cell r="AA268">
            <v>27</v>
          </cell>
          <cell r="AB268">
            <v>28</v>
          </cell>
          <cell r="AC268">
            <v>29</v>
          </cell>
          <cell r="AD268">
            <v>30</v>
          </cell>
          <cell r="AE268">
            <v>31</v>
          </cell>
          <cell r="AF268">
            <v>32</v>
          </cell>
        </row>
        <row r="269">
          <cell r="E269" t="str">
            <v>Actual</v>
          </cell>
          <cell r="F269" t="str">
            <v>Actual</v>
          </cell>
          <cell r="G269" t="str">
            <v>Actual</v>
          </cell>
          <cell r="H269" t="str">
            <v>Actual</v>
          </cell>
          <cell r="I269" t="str">
            <v>Actual</v>
          </cell>
          <cell r="J269" t="str">
            <v>Actual</v>
          </cell>
          <cell r="K269" t="str">
            <v>Actual</v>
          </cell>
          <cell r="L269" t="str">
            <v>Actual</v>
          </cell>
          <cell r="M269" t="str">
            <v>Actual</v>
          </cell>
          <cell r="N269" t="str">
            <v>Actual</v>
          </cell>
          <cell r="O269" t="str">
            <v>Actual</v>
          </cell>
          <cell r="P269" t="str">
            <v>Actual</v>
          </cell>
          <cell r="Q269" t="str">
            <v>Actual</v>
          </cell>
          <cell r="R269" t="str">
            <v>Actual</v>
          </cell>
          <cell r="S269" t="str">
            <v>Actual</v>
          </cell>
          <cell r="T269" t="str">
            <v>Actual</v>
          </cell>
          <cell r="U269" t="str">
            <v>Cumu Act</v>
          </cell>
          <cell r="V269" t="str">
            <v>Cumu Act</v>
          </cell>
          <cell r="W269" t="str">
            <v>Cumu Act</v>
          </cell>
          <cell r="X269" t="str">
            <v>Cumu Act</v>
          </cell>
          <cell r="Y269" t="str">
            <v>Cumu Act</v>
          </cell>
          <cell r="Z269" t="str">
            <v>Cumu Act</v>
          </cell>
          <cell r="AA269" t="str">
            <v>Cumu Act</v>
          </cell>
          <cell r="AB269" t="str">
            <v>Cumu Act</v>
          </cell>
          <cell r="AC269" t="str">
            <v>Cumu Act</v>
          </cell>
          <cell r="AD269" t="str">
            <v>Cumu Act</v>
          </cell>
          <cell r="AE269" t="str">
            <v>Cumu Act</v>
          </cell>
          <cell r="AF269" t="str">
            <v>Cumu Act</v>
          </cell>
        </row>
        <row r="270">
          <cell r="D270" t="str">
            <v>Particulars</v>
          </cell>
          <cell r="E270">
            <v>41651</v>
          </cell>
          <cell r="F270">
            <v>41682</v>
          </cell>
          <cell r="G270">
            <v>41710</v>
          </cell>
          <cell r="H270" t="str">
            <v>Q-1</v>
          </cell>
          <cell r="I270">
            <v>41741</v>
          </cell>
          <cell r="J270">
            <v>41771</v>
          </cell>
          <cell r="K270">
            <v>41802</v>
          </cell>
          <cell r="L270" t="str">
            <v>Q-2</v>
          </cell>
          <cell r="M270">
            <v>41832</v>
          </cell>
          <cell r="N270">
            <v>41863</v>
          </cell>
          <cell r="O270">
            <v>41894</v>
          </cell>
          <cell r="P270" t="str">
            <v>Q-3</v>
          </cell>
          <cell r="Q270">
            <v>41924</v>
          </cell>
          <cell r="R270">
            <v>41955</v>
          </cell>
          <cell r="S270">
            <v>41985</v>
          </cell>
          <cell r="T270" t="str">
            <v>Q-4</v>
          </cell>
          <cell r="U270">
            <v>41651</v>
          </cell>
          <cell r="V270">
            <v>41682</v>
          </cell>
          <cell r="W270">
            <v>41710</v>
          </cell>
          <cell r="X270">
            <v>41741</v>
          </cell>
          <cell r="Y270">
            <v>41771</v>
          </cell>
          <cell r="Z270">
            <v>41802</v>
          </cell>
          <cell r="AA270">
            <v>41832</v>
          </cell>
          <cell r="AB270">
            <v>41863</v>
          </cell>
          <cell r="AC270">
            <v>41894</v>
          </cell>
          <cell r="AD270">
            <v>41924</v>
          </cell>
          <cell r="AE270">
            <v>41955</v>
          </cell>
          <cell r="AF270">
            <v>41985</v>
          </cell>
        </row>
        <row r="272">
          <cell r="D272" t="str">
            <v>Sales</v>
          </cell>
          <cell r="E272">
            <v>16.603844899999967</v>
          </cell>
          <cell r="F272">
            <v>18.146883699999979</v>
          </cell>
          <cell r="G272">
            <v>31.58361620000008</v>
          </cell>
          <cell r="H272">
            <v>66.334344800000025</v>
          </cell>
          <cell r="I272">
            <v>11.931040499999993</v>
          </cell>
          <cell r="J272">
            <v>8.5088565999999854</v>
          </cell>
          <cell r="K272">
            <v>0</v>
          </cell>
          <cell r="L272">
            <v>20.439897099999978</v>
          </cell>
          <cell r="M272">
            <v>0</v>
          </cell>
          <cell r="N272">
            <v>0</v>
          </cell>
          <cell r="O272">
            <v>0</v>
          </cell>
          <cell r="P272">
            <v>0</v>
          </cell>
          <cell r="Q272">
            <v>0</v>
          </cell>
          <cell r="R272">
            <v>0</v>
          </cell>
          <cell r="S272">
            <v>0</v>
          </cell>
          <cell r="T272">
            <v>0</v>
          </cell>
          <cell r="U272">
            <v>16.603844899999967</v>
          </cell>
          <cell r="V272">
            <v>34.750728599999945</v>
          </cell>
          <cell r="W272">
            <v>66.334344800000025</v>
          </cell>
          <cell r="X272">
            <v>78.26538530000002</v>
          </cell>
          <cell r="Y272">
            <v>86.774241900000007</v>
          </cell>
          <cell r="Z272">
            <v>86.774241900000007</v>
          </cell>
          <cell r="AA272">
            <v>86.774241900000007</v>
          </cell>
          <cell r="AB272">
            <v>86.774241900000007</v>
          </cell>
          <cell r="AC272">
            <v>86.774241900000007</v>
          </cell>
          <cell r="AD272">
            <v>86.774241900000007</v>
          </cell>
          <cell r="AE272">
            <v>86.774241900000007</v>
          </cell>
          <cell r="AF272">
            <v>86.774241900000007</v>
          </cell>
        </row>
        <row r="273">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D274" t="str">
            <v>Cost of Goods Sold</v>
          </cell>
          <cell r="E274">
            <v>10.626590801500003</v>
          </cell>
          <cell r="F274">
            <v>10.405383408499999</v>
          </cell>
          <cell r="G274">
            <v>18.023497708999997</v>
          </cell>
          <cell r="H274">
            <v>39.055471918999999</v>
          </cell>
          <cell r="I274">
            <v>7.2246574364999994</v>
          </cell>
          <cell r="J274">
            <v>5.0725277645000002</v>
          </cell>
          <cell r="K274">
            <v>0</v>
          </cell>
          <cell r="L274">
            <v>12.297185201</v>
          </cell>
          <cell r="M274">
            <v>0</v>
          </cell>
          <cell r="N274">
            <v>0</v>
          </cell>
          <cell r="O274">
            <v>0</v>
          </cell>
          <cell r="P274">
            <v>0</v>
          </cell>
          <cell r="Q274">
            <v>0</v>
          </cell>
          <cell r="R274">
            <v>0</v>
          </cell>
          <cell r="S274">
            <v>0</v>
          </cell>
          <cell r="T274">
            <v>0</v>
          </cell>
          <cell r="U274">
            <v>10.626590801500003</v>
          </cell>
          <cell r="V274">
            <v>21.031974210000001</v>
          </cell>
          <cell r="W274">
            <v>39.055471918999999</v>
          </cell>
          <cell r="X274">
            <v>46.280129355499994</v>
          </cell>
          <cell r="Y274">
            <v>51.352657119999996</v>
          </cell>
          <cell r="Z274">
            <v>51.352657119999996</v>
          </cell>
          <cell r="AA274">
            <v>51.352657119999996</v>
          </cell>
          <cell r="AB274">
            <v>51.352657119999996</v>
          </cell>
          <cell r="AC274">
            <v>51.352657119999996</v>
          </cell>
          <cell r="AD274">
            <v>51.352657119999996</v>
          </cell>
          <cell r="AE274">
            <v>51.352657119999996</v>
          </cell>
          <cell r="AF274">
            <v>51.352657119999996</v>
          </cell>
        </row>
        <row r="275">
          <cell r="D275" t="str">
            <v>ED Savings</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D276" t="str">
            <v>PRISM II &amp; PSM Savings</v>
          </cell>
          <cell r="E276">
            <v>0.2489328908786721</v>
          </cell>
          <cell r="F276">
            <v>0.30676679777990373</v>
          </cell>
          <cell r="G276">
            <v>0.64585878323204637</v>
          </cell>
          <cell r="H276">
            <v>1.2015584718906223</v>
          </cell>
          <cell r="I276">
            <v>0.26572124425450866</v>
          </cell>
          <cell r="J276">
            <v>0.20887136287103139</v>
          </cell>
          <cell r="K276">
            <v>0</v>
          </cell>
          <cell r="L276">
            <v>0.47459260712554008</v>
          </cell>
          <cell r="M276">
            <v>0</v>
          </cell>
          <cell r="N276">
            <v>0</v>
          </cell>
          <cell r="O276">
            <v>0</v>
          </cell>
          <cell r="P276">
            <v>0</v>
          </cell>
          <cell r="Q276">
            <v>0</v>
          </cell>
          <cell r="R276">
            <v>0</v>
          </cell>
          <cell r="S276">
            <v>0</v>
          </cell>
          <cell r="T276">
            <v>0</v>
          </cell>
          <cell r="U276">
            <v>0.2489328908786721</v>
          </cell>
          <cell r="V276">
            <v>0.55569968865857589</v>
          </cell>
          <cell r="W276">
            <v>1.2015584718906223</v>
          </cell>
          <cell r="X276">
            <v>1.467279716145131</v>
          </cell>
          <cell r="Y276">
            <v>1.6761510790161624</v>
          </cell>
          <cell r="Z276">
            <v>1.6761510790161624</v>
          </cell>
          <cell r="AA276">
            <v>1.6761510790161624</v>
          </cell>
          <cell r="AB276">
            <v>1.6761510790161624</v>
          </cell>
          <cell r="AC276">
            <v>1.6761510790161624</v>
          </cell>
          <cell r="AD276">
            <v>1.6761510790161624</v>
          </cell>
          <cell r="AE276">
            <v>1.6761510790161624</v>
          </cell>
          <cell r="AF276">
            <v>1.6761510790161624</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row>
        <row r="279">
          <cell r="D279" t="str">
            <v>Contribution</v>
          </cell>
          <cell r="E279">
            <v>6.2261869893786361</v>
          </cell>
          <cell r="F279">
            <v>8.048267089279884</v>
          </cell>
          <cell r="G279">
            <v>14.205977274232129</v>
          </cell>
          <cell r="H279">
            <v>28.480431352890648</v>
          </cell>
          <cell r="I279">
            <v>4.9721043077545017</v>
          </cell>
          <cell r="J279">
            <v>3.6452001983710165</v>
          </cell>
          <cell r="K279">
            <v>0</v>
          </cell>
          <cell r="L279">
            <v>8.6173045061255191</v>
          </cell>
          <cell r="M279">
            <v>0</v>
          </cell>
          <cell r="N279">
            <v>0</v>
          </cell>
          <cell r="O279">
            <v>0</v>
          </cell>
          <cell r="P279">
            <v>0</v>
          </cell>
          <cell r="Q279">
            <v>0</v>
          </cell>
          <cell r="R279">
            <v>0</v>
          </cell>
          <cell r="S279">
            <v>0</v>
          </cell>
          <cell r="T279">
            <v>0</v>
          </cell>
          <cell r="U279">
            <v>6.2261869893786361</v>
          </cell>
          <cell r="V279">
            <v>14.27445407865852</v>
          </cell>
          <cell r="W279">
            <v>28.480431352890648</v>
          </cell>
          <cell r="X279">
            <v>33.452535660645147</v>
          </cell>
          <cell r="Y279">
            <v>37.097735859016161</v>
          </cell>
          <cell r="Z279">
            <v>37.097735859016161</v>
          </cell>
          <cell r="AA279">
            <v>37.097735859016161</v>
          </cell>
          <cell r="AB279">
            <v>37.097735859016161</v>
          </cell>
          <cell r="AC279">
            <v>37.097735859016161</v>
          </cell>
          <cell r="AD279">
            <v>37.097735859016161</v>
          </cell>
          <cell r="AE279">
            <v>37.097735859016161</v>
          </cell>
          <cell r="AF279">
            <v>37.097735859016161</v>
          </cell>
        </row>
        <row r="280">
          <cell r="D280">
            <v>0</v>
          </cell>
          <cell r="E280">
            <v>0.37498465125861591</v>
          </cell>
          <cell r="F280">
            <v>0.4435068424051174</v>
          </cell>
          <cell r="G280">
            <v>0.44978944729679476</v>
          </cell>
          <cell r="H280">
            <v>0.42934668969385276</v>
          </cell>
          <cell r="I280">
            <v>0.41673685608178973</v>
          </cell>
          <cell r="J280">
            <v>0.42840070878277847</v>
          </cell>
          <cell r="K280" t="e">
            <v>#DIV/0!</v>
          </cell>
          <cell r="L280">
            <v>0.42159236242561748</v>
          </cell>
          <cell r="M280" t="e">
            <v>#DIV/0!</v>
          </cell>
          <cell r="N280" t="e">
            <v>#DIV/0!</v>
          </cell>
          <cell r="O280" t="e">
            <v>#DIV/0!</v>
          </cell>
          <cell r="P280" t="e">
            <v>#DIV/0!</v>
          </cell>
          <cell r="Q280" t="e">
            <v>#DIV/0!</v>
          </cell>
          <cell r="R280" t="e">
            <v>#DIV/0!</v>
          </cell>
          <cell r="S280" t="e">
            <v>#DIV/0!</v>
          </cell>
          <cell r="T280" t="e">
            <v>#DIV/0!</v>
          </cell>
          <cell r="U280">
            <v>0.37498465125861591</v>
          </cell>
          <cell r="V280">
            <v>0.41076704442561074</v>
          </cell>
          <cell r="W280">
            <v>0.42934668969385276</v>
          </cell>
          <cell r="X280">
            <v>0.4274244039356328</v>
          </cell>
          <cell r="Y280">
            <v>0.4275201378511399</v>
          </cell>
          <cell r="Z280">
            <v>0.4275201378511399</v>
          </cell>
          <cell r="AA280">
            <v>0.4275201378511399</v>
          </cell>
          <cell r="AB280">
            <v>0.4275201378511399</v>
          </cell>
          <cell r="AC280">
            <v>0.4275201378511399</v>
          </cell>
          <cell r="AD280">
            <v>0.4275201378511399</v>
          </cell>
          <cell r="AE280">
            <v>0.4275201378511399</v>
          </cell>
          <cell r="AF280">
            <v>0.4275201378511399</v>
          </cell>
        </row>
        <row r="281">
          <cell r="D281" t="str">
            <v>Overheads</v>
          </cell>
        </row>
        <row r="282">
          <cell r="D282" t="str">
            <v>Advertisement Exp.</v>
          </cell>
          <cell r="E282">
            <v>23</v>
          </cell>
          <cell r="F282">
            <v>5</v>
          </cell>
          <cell r="G282">
            <v>5</v>
          </cell>
          <cell r="H282">
            <v>33</v>
          </cell>
          <cell r="I282">
            <v>8.8888888888888893</v>
          </cell>
          <cell r="J282">
            <v>8.8888888888888893</v>
          </cell>
          <cell r="K282">
            <v>8.8888888888888893</v>
          </cell>
          <cell r="L282">
            <v>26.666666666666668</v>
          </cell>
          <cell r="M282">
            <v>8.8888888888888893</v>
          </cell>
          <cell r="N282">
            <v>8.8888888888888893</v>
          </cell>
          <cell r="O282">
            <v>8.8888888888888893</v>
          </cell>
          <cell r="P282">
            <v>26.666666666666668</v>
          </cell>
          <cell r="Q282">
            <v>8.8888888888888893</v>
          </cell>
          <cell r="R282">
            <v>8.8888888888888893</v>
          </cell>
          <cell r="S282">
            <v>8.8888888888888893</v>
          </cell>
          <cell r="T282">
            <v>26.666666666666668</v>
          </cell>
          <cell r="U282">
            <v>23</v>
          </cell>
          <cell r="V282">
            <v>28</v>
          </cell>
          <cell r="W282">
            <v>33</v>
          </cell>
          <cell r="X282">
            <v>41.888888888888886</v>
          </cell>
          <cell r="Y282">
            <v>50.777777777777771</v>
          </cell>
          <cell r="Z282">
            <v>59.666666666666657</v>
          </cell>
          <cell r="AA282">
            <v>68.555555555555543</v>
          </cell>
          <cell r="AB282">
            <v>77.444444444444429</v>
          </cell>
          <cell r="AC282">
            <v>86.333333333333314</v>
          </cell>
          <cell r="AD282">
            <v>95.2222222222222</v>
          </cell>
          <cell r="AE282">
            <v>104.11111111111109</v>
          </cell>
          <cell r="AF282">
            <v>112.99999999999997</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row>
        <row r="284">
          <cell r="D284" t="str">
            <v>Total Overheads (a+b)</v>
          </cell>
          <cell r="E284">
            <v>23</v>
          </cell>
          <cell r="F284">
            <v>5</v>
          </cell>
          <cell r="G284">
            <v>5</v>
          </cell>
          <cell r="H284">
            <v>33</v>
          </cell>
          <cell r="I284">
            <v>8.8888888888888893</v>
          </cell>
          <cell r="J284">
            <v>8.8888888888888893</v>
          </cell>
          <cell r="K284">
            <v>8.8888888888888893</v>
          </cell>
          <cell r="L284">
            <v>26.666666666666668</v>
          </cell>
          <cell r="M284">
            <v>8.8888888888888893</v>
          </cell>
          <cell r="N284">
            <v>8.8888888888888893</v>
          </cell>
          <cell r="O284">
            <v>8.8888888888888893</v>
          </cell>
          <cell r="P284">
            <v>26.666666666666668</v>
          </cell>
          <cell r="Q284">
            <v>8.8888888888888893</v>
          </cell>
          <cell r="R284">
            <v>8.8888888888888893</v>
          </cell>
          <cell r="S284">
            <v>8.8888888888888893</v>
          </cell>
          <cell r="T284">
            <v>26.666666666666668</v>
          </cell>
          <cell r="U284">
            <v>23</v>
          </cell>
          <cell r="V284">
            <v>28</v>
          </cell>
          <cell r="W284">
            <v>33</v>
          </cell>
          <cell r="X284">
            <v>41.888888888888886</v>
          </cell>
          <cell r="Y284">
            <v>50.777777777777771</v>
          </cell>
          <cell r="Z284">
            <v>59.666666666666657</v>
          </cell>
          <cell r="AA284">
            <v>68.555555555555543</v>
          </cell>
          <cell r="AB284">
            <v>77.444444444444429</v>
          </cell>
          <cell r="AC284">
            <v>86.333333333333314</v>
          </cell>
          <cell r="AD284">
            <v>95.2222222222222</v>
          </cell>
          <cell r="AE284">
            <v>104.11111111111109</v>
          </cell>
          <cell r="AF284">
            <v>112.99999999999997</v>
          </cell>
        </row>
        <row r="285">
          <cell r="D285" t="str">
            <v>OPERATING PROFIT (LOSS)</v>
          </cell>
          <cell r="E285">
            <v>-16.773813010621364</v>
          </cell>
          <cell r="F285">
            <v>3.048267089279884</v>
          </cell>
          <cell r="G285">
            <v>9.2059772742321293</v>
          </cell>
          <cell r="H285">
            <v>-4.5195686471093524</v>
          </cell>
          <cell r="I285">
            <v>-3.9167845811343875</v>
          </cell>
          <cell r="J285">
            <v>-5.2436886905178728</v>
          </cell>
          <cell r="K285">
            <v>-8.8888888888888893</v>
          </cell>
          <cell r="L285">
            <v>-18.049362160541151</v>
          </cell>
          <cell r="M285">
            <v>-8.8888888888888893</v>
          </cell>
          <cell r="N285">
            <v>-8.8888888888888893</v>
          </cell>
          <cell r="O285">
            <v>-8.8888888888888893</v>
          </cell>
          <cell r="P285">
            <v>-26.666666666666668</v>
          </cell>
          <cell r="Q285">
            <v>-8.8888888888888893</v>
          </cell>
          <cell r="R285">
            <v>-8.8888888888888893</v>
          </cell>
          <cell r="S285">
            <v>-8.8888888888888893</v>
          </cell>
          <cell r="T285">
            <v>-26.666666666666668</v>
          </cell>
          <cell r="U285">
            <v>-16.773813010621364</v>
          </cell>
          <cell r="V285">
            <v>-13.72554592134148</v>
          </cell>
          <cell r="W285">
            <v>-4.5195686471093506</v>
          </cell>
          <cell r="X285">
            <v>-8.436353228243739</v>
          </cell>
          <cell r="Y285">
            <v>-13.680041918761612</v>
          </cell>
          <cell r="Z285">
            <v>-22.568930807650503</v>
          </cell>
          <cell r="AA285">
            <v>-31.457819696539392</v>
          </cell>
          <cell r="AB285">
            <v>-40.346708585428281</v>
          </cell>
          <cell r="AC285">
            <v>-49.235597474317174</v>
          </cell>
          <cell r="AD285">
            <v>-58.12448636320606</v>
          </cell>
          <cell r="AE285">
            <v>-67.013375252094946</v>
          </cell>
          <cell r="AF285">
            <v>-75.902264140983831</v>
          </cell>
        </row>
        <row r="288">
          <cell r="D288">
            <v>4</v>
          </cell>
          <cell r="E288">
            <v>5</v>
          </cell>
          <cell r="F288">
            <v>6</v>
          </cell>
          <cell r="G288">
            <v>7</v>
          </cell>
          <cell r="H288">
            <v>8</v>
          </cell>
          <cell r="I288">
            <v>9</v>
          </cell>
          <cell r="J288">
            <v>10</v>
          </cell>
          <cell r="K288">
            <v>11</v>
          </cell>
          <cell r="L288">
            <v>12</v>
          </cell>
          <cell r="M288">
            <v>13</v>
          </cell>
          <cell r="N288">
            <v>14</v>
          </cell>
          <cell r="O288">
            <v>15</v>
          </cell>
          <cell r="P288">
            <v>16</v>
          </cell>
          <cell r="Q288">
            <v>17</v>
          </cell>
          <cell r="R288">
            <v>18</v>
          </cell>
          <cell r="S288">
            <v>19</v>
          </cell>
          <cell r="T288">
            <v>20</v>
          </cell>
          <cell r="U288">
            <v>21</v>
          </cell>
          <cell r="V288">
            <v>22</v>
          </cell>
          <cell r="W288">
            <v>23</v>
          </cell>
          <cell r="X288">
            <v>24</v>
          </cell>
          <cell r="Y288">
            <v>25</v>
          </cell>
          <cell r="Z288">
            <v>26</v>
          </cell>
          <cell r="AA288">
            <v>27</v>
          </cell>
          <cell r="AB288">
            <v>28</v>
          </cell>
          <cell r="AC288">
            <v>29</v>
          </cell>
          <cell r="AD288">
            <v>30</v>
          </cell>
          <cell r="AE288">
            <v>31</v>
          </cell>
          <cell r="AF288">
            <v>32</v>
          </cell>
        </row>
        <row r="289">
          <cell r="E289" t="str">
            <v>Actual</v>
          </cell>
          <cell r="F289" t="str">
            <v>Actual</v>
          </cell>
          <cell r="G289" t="str">
            <v>Actual</v>
          </cell>
          <cell r="H289" t="str">
            <v>Actual</v>
          </cell>
          <cell r="I289" t="str">
            <v>Actual</v>
          </cell>
          <cell r="J289" t="str">
            <v>Actual</v>
          </cell>
          <cell r="K289" t="str">
            <v>Actual</v>
          </cell>
          <cell r="L289" t="str">
            <v>Actual</v>
          </cell>
          <cell r="M289" t="str">
            <v>Actual</v>
          </cell>
          <cell r="N289" t="str">
            <v>Actual</v>
          </cell>
          <cell r="O289" t="str">
            <v>Actual</v>
          </cell>
          <cell r="P289" t="str">
            <v>Actual</v>
          </cell>
          <cell r="Q289" t="str">
            <v>Actual</v>
          </cell>
          <cell r="R289" t="str">
            <v>Actual</v>
          </cell>
          <cell r="S289" t="str">
            <v>Actual</v>
          </cell>
          <cell r="T289" t="str">
            <v>Actual</v>
          </cell>
          <cell r="U289" t="str">
            <v>Cumu Act</v>
          </cell>
          <cell r="V289" t="str">
            <v>Cumu Act</v>
          </cell>
          <cell r="W289" t="str">
            <v>Cumu Act</v>
          </cell>
          <cell r="X289" t="str">
            <v>Cumu Act</v>
          </cell>
          <cell r="Y289" t="str">
            <v>Cumu Act</v>
          </cell>
          <cell r="Z289" t="str">
            <v>Cumu Act</v>
          </cell>
          <cell r="AA289" t="str">
            <v>Cumu Act</v>
          </cell>
          <cell r="AB289" t="str">
            <v>Cumu Act</v>
          </cell>
          <cell r="AC289" t="str">
            <v>Cumu Act</v>
          </cell>
          <cell r="AD289" t="str">
            <v>Cumu Act</v>
          </cell>
          <cell r="AE289" t="str">
            <v>Cumu Act</v>
          </cell>
          <cell r="AF289" t="str">
            <v>Cumu Act</v>
          </cell>
        </row>
        <row r="290">
          <cell r="D290" t="str">
            <v>Particulars</v>
          </cell>
          <cell r="E290">
            <v>41651</v>
          </cell>
          <cell r="F290">
            <v>41682</v>
          </cell>
          <cell r="G290">
            <v>41710</v>
          </cell>
          <cell r="H290" t="str">
            <v>Q-1</v>
          </cell>
          <cell r="I290">
            <v>41741</v>
          </cell>
          <cell r="J290">
            <v>41771</v>
          </cell>
          <cell r="K290">
            <v>41802</v>
          </cell>
          <cell r="L290" t="str">
            <v>Q-2</v>
          </cell>
          <cell r="M290">
            <v>41832</v>
          </cell>
          <cell r="N290">
            <v>41863</v>
          </cell>
          <cell r="O290">
            <v>41894</v>
          </cell>
          <cell r="P290" t="str">
            <v>Q-3</v>
          </cell>
          <cell r="Q290">
            <v>41924</v>
          </cell>
          <cell r="R290">
            <v>41955</v>
          </cell>
          <cell r="S290">
            <v>41985</v>
          </cell>
          <cell r="T290" t="str">
            <v>Q-4</v>
          </cell>
          <cell r="U290">
            <v>41651</v>
          </cell>
          <cell r="V290">
            <v>41682</v>
          </cell>
          <cell r="W290">
            <v>41710</v>
          </cell>
          <cell r="X290">
            <v>41741</v>
          </cell>
          <cell r="Y290">
            <v>41771</v>
          </cell>
          <cell r="Z290">
            <v>41802</v>
          </cell>
          <cell r="AA290">
            <v>41832</v>
          </cell>
          <cell r="AB290">
            <v>41863</v>
          </cell>
          <cell r="AC290">
            <v>41894</v>
          </cell>
          <cell r="AD290">
            <v>41924</v>
          </cell>
          <cell r="AE290">
            <v>41955</v>
          </cell>
          <cell r="AF290">
            <v>41985</v>
          </cell>
        </row>
        <row r="292">
          <cell r="D292" t="str">
            <v>Sales</v>
          </cell>
          <cell r="E292">
            <v>-5.0573700000000006E-2</v>
          </cell>
          <cell r="F292">
            <v>-6.9395499999999999E-2</v>
          </cell>
          <cell r="G292">
            <v>-1.8683399999999999E-2</v>
          </cell>
          <cell r="H292">
            <v>-0.13865259999999999</v>
          </cell>
          <cell r="I292">
            <v>-9.916690000000003E-2</v>
          </cell>
          <cell r="J292">
            <v>-3.9259800000000004E-2</v>
          </cell>
          <cell r="K292">
            <v>0</v>
          </cell>
          <cell r="L292">
            <v>-0.13842670000000004</v>
          </cell>
          <cell r="M292">
            <v>0</v>
          </cell>
          <cell r="N292">
            <v>0</v>
          </cell>
          <cell r="O292">
            <v>0</v>
          </cell>
          <cell r="P292">
            <v>0</v>
          </cell>
          <cell r="Q292">
            <v>0</v>
          </cell>
          <cell r="R292">
            <v>0</v>
          </cell>
          <cell r="S292">
            <v>0</v>
          </cell>
          <cell r="T292">
            <v>0</v>
          </cell>
          <cell r="U292">
            <v>-5.0573700000000006E-2</v>
          </cell>
          <cell r="V292">
            <v>-0.1199692</v>
          </cell>
          <cell r="W292">
            <v>-0.13865259999999999</v>
          </cell>
          <cell r="X292">
            <v>-0.23781950000000002</v>
          </cell>
          <cell r="Y292">
            <v>-0.27707930000000003</v>
          </cell>
          <cell r="Z292">
            <v>-0.27707930000000003</v>
          </cell>
          <cell r="AA292">
            <v>-0.27707930000000003</v>
          </cell>
          <cell r="AB292">
            <v>-0.27707930000000003</v>
          </cell>
          <cell r="AC292">
            <v>-0.27707930000000003</v>
          </cell>
          <cell r="AD292">
            <v>-0.27707930000000003</v>
          </cell>
          <cell r="AE292">
            <v>-0.27707930000000003</v>
          </cell>
          <cell r="AF292">
            <v>-0.27707930000000003</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row>
        <row r="294">
          <cell r="D294" t="str">
            <v>Cost of Goods Sold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row>
        <row r="295">
          <cell r="D295" t="str">
            <v>ED Savings</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row>
        <row r="296">
          <cell r="D296" t="str">
            <v>PRISM II &amp; PSM Savings</v>
          </cell>
          <cell r="E296">
            <v>-7.5822542424680962E-4</v>
          </cell>
          <cell r="F296">
            <v>-1.1731069459234664E-3</v>
          </cell>
          <cell r="G296">
            <v>-3.8206005019265606E-4</v>
          </cell>
          <cell r="H296">
            <v>-2.313392420362932E-3</v>
          </cell>
          <cell r="I296">
            <v>-2.2085879313595872E-3</v>
          </cell>
          <cell r="J296">
            <v>0</v>
          </cell>
          <cell r="K296">
            <v>0</v>
          </cell>
          <cell r="L296">
            <v>-2.2085879313595872E-3</v>
          </cell>
          <cell r="M296">
            <v>0</v>
          </cell>
          <cell r="N296">
            <v>0</v>
          </cell>
          <cell r="O296">
            <v>0</v>
          </cell>
          <cell r="P296">
            <v>0</v>
          </cell>
          <cell r="Q296">
            <v>0</v>
          </cell>
          <cell r="R296">
            <v>0</v>
          </cell>
          <cell r="S296">
            <v>0</v>
          </cell>
          <cell r="T296">
            <v>0</v>
          </cell>
          <cell r="U296">
            <v>-7.5822542424680962E-4</v>
          </cell>
          <cell r="V296">
            <v>-1.931332370170276E-3</v>
          </cell>
          <cell r="W296">
            <v>-2.313392420362932E-3</v>
          </cell>
          <cell r="X296">
            <v>-4.5219803517225193E-3</v>
          </cell>
          <cell r="Y296">
            <v>-4.5219803517225193E-3</v>
          </cell>
          <cell r="Z296">
            <v>-4.5219803517225193E-3</v>
          </cell>
          <cell r="AA296">
            <v>-4.5219803517225193E-3</v>
          </cell>
          <cell r="AB296">
            <v>-4.5219803517225193E-3</v>
          </cell>
          <cell r="AC296">
            <v>-4.5219803517225193E-3</v>
          </cell>
          <cell r="AD296">
            <v>-4.5219803517225193E-3</v>
          </cell>
          <cell r="AE296">
            <v>-4.5219803517225193E-3</v>
          </cell>
          <cell r="AF296">
            <v>-4.5219803517225193E-3</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row>
        <row r="298">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299">
          <cell r="D299" t="str">
            <v>Contribution</v>
          </cell>
          <cell r="E299">
            <v>-5.1331925424246819E-2</v>
          </cell>
          <cell r="F299">
            <v>-7.056860694592347E-2</v>
          </cell>
          <cell r="G299">
            <v>-1.9065460050192655E-2</v>
          </cell>
          <cell r="H299">
            <v>-0.14096599242036292</v>
          </cell>
          <cell r="I299">
            <v>-0.10137548793135961</v>
          </cell>
          <cell r="J299">
            <v>-3.9259800000000004E-2</v>
          </cell>
          <cell r="K299">
            <v>0</v>
          </cell>
          <cell r="L299">
            <v>-0.14063528793135963</v>
          </cell>
          <cell r="M299">
            <v>0</v>
          </cell>
          <cell r="N299">
            <v>0</v>
          </cell>
          <cell r="O299">
            <v>0</v>
          </cell>
          <cell r="P299">
            <v>0</v>
          </cell>
          <cell r="Q299">
            <v>0</v>
          </cell>
          <cell r="R299">
            <v>0</v>
          </cell>
          <cell r="S299">
            <v>0</v>
          </cell>
          <cell r="T299">
            <v>0</v>
          </cell>
          <cell r="U299">
            <v>-5.1331925424246819E-2</v>
          </cell>
          <cell r="V299">
            <v>-0.12190053237017029</v>
          </cell>
          <cell r="W299">
            <v>-0.14096599242036295</v>
          </cell>
          <cell r="X299">
            <v>-0.24234148035172257</v>
          </cell>
          <cell r="Y299">
            <v>-0.28160128035172255</v>
          </cell>
          <cell r="Z299">
            <v>-0.28160128035172255</v>
          </cell>
          <cell r="AA299">
            <v>-0.28160128035172255</v>
          </cell>
          <cell r="AB299">
            <v>-0.28160128035172255</v>
          </cell>
          <cell r="AC299">
            <v>-0.28160128035172255</v>
          </cell>
          <cell r="AD299">
            <v>-0.28160128035172255</v>
          </cell>
          <cell r="AE299">
            <v>-0.28160128035172255</v>
          </cell>
          <cell r="AF299">
            <v>-0.28160128035172255</v>
          </cell>
        </row>
        <row r="300">
          <cell r="D300">
            <v>0</v>
          </cell>
          <cell r="E300">
            <v>1.0149924847153127</v>
          </cell>
          <cell r="F300">
            <v>1.0169046544217344</v>
          </cell>
          <cell r="G300">
            <v>1.0204491714673269</v>
          </cell>
          <cell r="H300">
            <v>1.0166848109618063</v>
          </cell>
          <cell r="I300">
            <v>1.0222714225347327</v>
          </cell>
          <cell r="J300">
            <v>1</v>
          </cell>
          <cell r="K300" t="e">
            <v>#DIV/0!</v>
          </cell>
          <cell r="L300">
            <v>1.0159549272745763</v>
          </cell>
          <cell r="M300" t="e">
            <v>#DIV/0!</v>
          </cell>
          <cell r="N300" t="e">
            <v>#DIV/0!</v>
          </cell>
          <cell r="O300" t="e">
            <v>#DIV/0!</v>
          </cell>
          <cell r="P300" t="e">
            <v>#DIV/0!</v>
          </cell>
          <cell r="Q300" t="e">
            <v>#DIV/0!</v>
          </cell>
          <cell r="R300" t="e">
            <v>#DIV/0!</v>
          </cell>
          <cell r="S300" t="e">
            <v>#DIV/0!</v>
          </cell>
          <cell r="T300" t="e">
            <v>#DIV/0!</v>
          </cell>
          <cell r="U300">
            <v>1.0149924847153127</v>
          </cell>
          <cell r="V300">
            <v>1.0160985683839709</v>
          </cell>
          <cell r="W300">
            <v>1.0166848109618065</v>
          </cell>
          <cell r="X300">
            <v>1.0190143379820518</v>
          </cell>
          <cell r="Y300">
            <v>1.0163201666516499</v>
          </cell>
          <cell r="Z300">
            <v>1.0163201666516499</v>
          </cell>
          <cell r="AA300">
            <v>1.0163201666516499</v>
          </cell>
          <cell r="AB300">
            <v>1.0163201666516499</v>
          </cell>
          <cell r="AC300">
            <v>1.0163201666516499</v>
          </cell>
          <cell r="AD300">
            <v>1.0163201666516499</v>
          </cell>
          <cell r="AE300">
            <v>1.0163201666516499</v>
          </cell>
          <cell r="AF300">
            <v>1.0163201666516499</v>
          </cell>
        </row>
        <row r="301">
          <cell r="D301" t="str">
            <v>Overheads</v>
          </cell>
        </row>
        <row r="302">
          <cell r="D302" t="str">
            <v>Advertisement Exp.</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row>
        <row r="304">
          <cell r="D304" t="str">
            <v>Total Overheads (a+b)</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row>
        <row r="305">
          <cell r="D305" t="str">
            <v>OPERATING PROFIT (LOSS)</v>
          </cell>
          <cell r="E305">
            <v>-5.1331925424246819E-2</v>
          </cell>
          <cell r="F305">
            <v>-7.056860694592347E-2</v>
          </cell>
          <cell r="G305">
            <v>-1.9065460050192655E-2</v>
          </cell>
          <cell r="H305">
            <v>-0.14096599242036292</v>
          </cell>
          <cell r="I305">
            <v>-0.10137548793135961</v>
          </cell>
          <cell r="J305">
            <v>-3.9259800000000004E-2</v>
          </cell>
          <cell r="K305">
            <v>0</v>
          </cell>
          <cell r="L305">
            <v>-0.14063528793135963</v>
          </cell>
          <cell r="M305">
            <v>0</v>
          </cell>
          <cell r="N305">
            <v>0</v>
          </cell>
          <cell r="O305">
            <v>0</v>
          </cell>
          <cell r="P305">
            <v>0</v>
          </cell>
          <cell r="Q305">
            <v>0</v>
          </cell>
          <cell r="R305">
            <v>0</v>
          </cell>
          <cell r="S305">
            <v>0</v>
          </cell>
          <cell r="T305">
            <v>0</v>
          </cell>
          <cell r="U305">
            <v>-5.1331925424246819E-2</v>
          </cell>
          <cell r="V305">
            <v>-0.12190053237017029</v>
          </cell>
          <cell r="W305">
            <v>-0.14096599242036295</v>
          </cell>
          <cell r="X305">
            <v>-0.24234148035172257</v>
          </cell>
          <cell r="Y305">
            <v>-0.28160128035172255</v>
          </cell>
          <cell r="Z305">
            <v>-0.28160128035172255</v>
          </cell>
          <cell r="AA305">
            <v>-0.28160128035172255</v>
          </cell>
          <cell r="AB305">
            <v>-0.28160128035172255</v>
          </cell>
          <cell r="AC305">
            <v>-0.28160128035172255</v>
          </cell>
          <cell r="AD305">
            <v>-0.28160128035172255</v>
          </cell>
          <cell r="AE305">
            <v>-0.28160128035172255</v>
          </cell>
          <cell r="AF305">
            <v>-0.28160128035172255</v>
          </cell>
        </row>
        <row r="328">
          <cell r="D328">
            <v>4</v>
          </cell>
          <cell r="E328">
            <v>5</v>
          </cell>
          <cell r="F328">
            <v>6</v>
          </cell>
          <cell r="G328">
            <v>7</v>
          </cell>
          <cell r="H328">
            <v>8</v>
          </cell>
          <cell r="I328">
            <v>9</v>
          </cell>
          <cell r="J328">
            <v>10</v>
          </cell>
          <cell r="K328">
            <v>11</v>
          </cell>
          <cell r="L328">
            <v>12</v>
          </cell>
          <cell r="M328">
            <v>13</v>
          </cell>
          <cell r="N328">
            <v>14</v>
          </cell>
          <cell r="O328">
            <v>15</v>
          </cell>
          <cell r="P328">
            <v>16</v>
          </cell>
          <cell r="Q328">
            <v>17</v>
          </cell>
          <cell r="R328">
            <v>18</v>
          </cell>
          <cell r="S328">
            <v>19</v>
          </cell>
          <cell r="T328">
            <v>20</v>
          </cell>
          <cell r="U328">
            <v>21</v>
          </cell>
          <cell r="V328">
            <v>22</v>
          </cell>
          <cell r="W328">
            <v>23</v>
          </cell>
          <cell r="X328">
            <v>24</v>
          </cell>
          <cell r="Y328">
            <v>25</v>
          </cell>
          <cell r="Z328">
            <v>26</v>
          </cell>
          <cell r="AA328">
            <v>27</v>
          </cell>
          <cell r="AB328">
            <v>28</v>
          </cell>
          <cell r="AC328">
            <v>29</v>
          </cell>
          <cell r="AD328">
            <v>30</v>
          </cell>
          <cell r="AE328">
            <v>31</v>
          </cell>
          <cell r="AF328">
            <v>32</v>
          </cell>
        </row>
        <row r="329">
          <cell r="E329" t="str">
            <v>Actual</v>
          </cell>
          <cell r="F329" t="str">
            <v>Actual</v>
          </cell>
          <cell r="G329" t="str">
            <v>Actual</v>
          </cell>
          <cell r="H329" t="str">
            <v>Actual</v>
          </cell>
          <cell r="I329" t="str">
            <v>Actual</v>
          </cell>
          <cell r="J329" t="str">
            <v>Actual</v>
          </cell>
          <cell r="K329" t="str">
            <v>Actual</v>
          </cell>
          <cell r="L329" t="str">
            <v>Actual</v>
          </cell>
          <cell r="M329" t="str">
            <v>Actual</v>
          </cell>
          <cell r="N329" t="str">
            <v>Actual</v>
          </cell>
          <cell r="O329" t="str">
            <v>Actual</v>
          </cell>
          <cell r="P329" t="str">
            <v>Actual</v>
          </cell>
          <cell r="Q329" t="str">
            <v>Actual</v>
          </cell>
          <cell r="R329" t="str">
            <v>Actual</v>
          </cell>
          <cell r="S329" t="str">
            <v>Actual</v>
          </cell>
          <cell r="T329" t="str">
            <v>Actual</v>
          </cell>
          <cell r="U329" t="str">
            <v>Cumu Aud</v>
          </cell>
          <cell r="V329" t="str">
            <v>Cumu Aud</v>
          </cell>
          <cell r="W329" t="str">
            <v>Cumu Aud</v>
          </cell>
          <cell r="X329" t="str">
            <v>Cumu Aud</v>
          </cell>
          <cell r="Y329" t="str">
            <v>Cumu Aud</v>
          </cell>
          <cell r="Z329" t="str">
            <v>Cumu Aud</v>
          </cell>
          <cell r="AA329" t="str">
            <v>Cumu Aud</v>
          </cell>
          <cell r="AB329" t="str">
            <v>Cumu Aud</v>
          </cell>
          <cell r="AC329" t="str">
            <v>Cumu Aud</v>
          </cell>
          <cell r="AD329" t="str">
            <v>Cumu Aud</v>
          </cell>
          <cell r="AE329" t="str">
            <v>Cumu Aud</v>
          </cell>
          <cell r="AF329" t="str">
            <v>Cumu Aud</v>
          </cell>
        </row>
        <row r="330">
          <cell r="D330" t="str">
            <v>Particulars</v>
          </cell>
          <cell r="E330">
            <v>41286</v>
          </cell>
          <cell r="F330">
            <v>41317</v>
          </cell>
          <cell r="G330">
            <v>41345</v>
          </cell>
          <cell r="H330" t="str">
            <v>Q-1</v>
          </cell>
          <cell r="I330">
            <v>41376</v>
          </cell>
          <cell r="J330">
            <v>41406</v>
          </cell>
          <cell r="K330">
            <v>41437</v>
          </cell>
          <cell r="L330" t="str">
            <v>Q-2</v>
          </cell>
          <cell r="M330">
            <v>41467</v>
          </cell>
          <cell r="N330">
            <v>41498</v>
          </cell>
          <cell r="O330">
            <v>41529</v>
          </cell>
          <cell r="P330" t="str">
            <v>Q-3</v>
          </cell>
          <cell r="Q330">
            <v>41559</v>
          </cell>
          <cell r="R330">
            <v>41590</v>
          </cell>
          <cell r="S330">
            <v>41620</v>
          </cell>
          <cell r="T330" t="str">
            <v>Q-4</v>
          </cell>
          <cell r="U330">
            <v>41286</v>
          </cell>
          <cell r="V330">
            <v>41317</v>
          </cell>
          <cell r="W330">
            <v>41345</v>
          </cell>
          <cell r="X330">
            <v>41376</v>
          </cell>
          <cell r="Y330">
            <v>41406</v>
          </cell>
          <cell r="Z330">
            <v>41437</v>
          </cell>
          <cell r="AA330">
            <v>41467</v>
          </cell>
          <cell r="AB330">
            <v>41498</v>
          </cell>
          <cell r="AC330">
            <v>41529</v>
          </cell>
          <cell r="AD330">
            <v>41559</v>
          </cell>
          <cell r="AE330">
            <v>41590</v>
          </cell>
          <cell r="AF330">
            <v>41620</v>
          </cell>
        </row>
        <row r="332">
          <cell r="D332" t="str">
            <v>Sales</v>
          </cell>
          <cell r="E332">
            <v>1841.96</v>
          </cell>
          <cell r="F332">
            <v>1708.62</v>
          </cell>
          <cell r="G332">
            <v>1446.45</v>
          </cell>
          <cell r="H332">
            <v>4997.03</v>
          </cell>
          <cell r="I332">
            <v>1973.05</v>
          </cell>
          <cell r="J332">
            <v>1819.72</v>
          </cell>
          <cell r="K332">
            <v>1849.42</v>
          </cell>
          <cell r="L332">
            <v>5642.1900000000005</v>
          </cell>
          <cell r="M332">
            <v>1854.31</v>
          </cell>
          <cell r="N332">
            <v>1852.54</v>
          </cell>
          <cell r="O332">
            <v>1863.54</v>
          </cell>
          <cell r="P332">
            <v>5570.3899999999994</v>
          </cell>
          <cell r="Q332">
            <v>1538.29</v>
          </cell>
          <cell r="R332">
            <v>1832.18</v>
          </cell>
          <cell r="S332">
            <v>2003.37</v>
          </cell>
          <cell r="T332">
            <v>5373.84</v>
          </cell>
          <cell r="U332">
            <v>1841.96</v>
          </cell>
          <cell r="V332">
            <v>3550.58</v>
          </cell>
          <cell r="W332">
            <v>4997.03</v>
          </cell>
          <cell r="X332">
            <v>6970.08</v>
          </cell>
          <cell r="Y332">
            <v>8789.7999999999993</v>
          </cell>
          <cell r="Z332">
            <v>10639.22</v>
          </cell>
          <cell r="AA332">
            <v>12493.529999999999</v>
          </cell>
          <cell r="AB332">
            <v>14346.07</v>
          </cell>
          <cell r="AC332">
            <v>16209.61</v>
          </cell>
          <cell r="AD332">
            <v>17747.900000000001</v>
          </cell>
          <cell r="AE332">
            <v>19580.080000000002</v>
          </cell>
          <cell r="AF332">
            <v>21583.45</v>
          </cell>
        </row>
        <row r="333">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row>
        <row r="334">
          <cell r="D334" t="str">
            <v>Cost of Goods Sold</v>
          </cell>
          <cell r="E334">
            <v>564.67999999999995</v>
          </cell>
          <cell r="F334">
            <v>540.64</v>
          </cell>
          <cell r="G334">
            <v>447.99</v>
          </cell>
          <cell r="H334">
            <v>1553.31</v>
          </cell>
          <cell r="I334">
            <v>597.6</v>
          </cell>
          <cell r="J334">
            <v>590.35</v>
          </cell>
          <cell r="K334">
            <v>604.16000000000008</v>
          </cell>
          <cell r="L334">
            <v>1792.1100000000001</v>
          </cell>
          <cell r="M334">
            <v>579.69000000000005</v>
          </cell>
          <cell r="N334">
            <v>592.54999999999995</v>
          </cell>
          <cell r="O334">
            <v>595.91000000000008</v>
          </cell>
          <cell r="P334">
            <v>1768.15</v>
          </cell>
          <cell r="Q334">
            <v>487.56</v>
          </cell>
          <cell r="R334">
            <v>579.31999999999994</v>
          </cell>
          <cell r="S334">
            <v>674.19</v>
          </cell>
          <cell r="T334">
            <v>1741.07</v>
          </cell>
          <cell r="U334">
            <v>564.67999999999995</v>
          </cell>
          <cell r="V334">
            <v>1105.32</v>
          </cell>
          <cell r="W334">
            <v>1553.31</v>
          </cell>
          <cell r="X334">
            <v>2150.91</v>
          </cell>
          <cell r="Y334">
            <v>2741.2599999999998</v>
          </cell>
          <cell r="Z334">
            <v>3345.42</v>
          </cell>
          <cell r="AA334">
            <v>3925.11</v>
          </cell>
          <cell r="AB334">
            <v>4517.66</v>
          </cell>
          <cell r="AC334">
            <v>5113.57</v>
          </cell>
          <cell r="AD334">
            <v>5601.13</v>
          </cell>
          <cell r="AE334">
            <v>6180.45</v>
          </cell>
          <cell r="AF334">
            <v>6854.6399999999994</v>
          </cell>
        </row>
        <row r="335">
          <cell r="D335" t="str">
            <v>ED Savings</v>
          </cell>
          <cell r="E335">
            <v>46.46</v>
          </cell>
          <cell r="F335">
            <v>71</v>
          </cell>
          <cell r="G335">
            <v>70</v>
          </cell>
          <cell r="H335">
            <v>187.46</v>
          </cell>
          <cell r="I335">
            <v>60</v>
          </cell>
          <cell r="J335">
            <v>85</v>
          </cell>
          <cell r="K335">
            <v>64.77</v>
          </cell>
          <cell r="L335">
            <v>209.76999999999998</v>
          </cell>
          <cell r="M335">
            <v>53.13</v>
          </cell>
          <cell r="N335">
            <v>85.58</v>
          </cell>
          <cell r="O335">
            <v>67</v>
          </cell>
          <cell r="P335">
            <v>205.71</v>
          </cell>
          <cell r="Q335">
            <v>54.55</v>
          </cell>
          <cell r="R335">
            <v>51.3</v>
          </cell>
          <cell r="S335">
            <v>92.439778391999994</v>
          </cell>
          <cell r="T335">
            <v>198.28977839199999</v>
          </cell>
          <cell r="U335">
            <v>46.46</v>
          </cell>
          <cell r="V335">
            <v>117.46000000000001</v>
          </cell>
          <cell r="W335">
            <v>187.46</v>
          </cell>
          <cell r="X335">
            <v>247.46</v>
          </cell>
          <cell r="Y335">
            <v>332.46000000000004</v>
          </cell>
          <cell r="Z335">
            <v>397.23</v>
          </cell>
          <cell r="AA335">
            <v>450.36</v>
          </cell>
          <cell r="AB335">
            <v>535.94000000000005</v>
          </cell>
          <cell r="AC335">
            <v>602.94000000000005</v>
          </cell>
          <cell r="AD335">
            <v>657.49</v>
          </cell>
          <cell r="AE335">
            <v>708.79</v>
          </cell>
          <cell r="AF335">
            <v>801.22977839199996</v>
          </cell>
        </row>
        <row r="336">
          <cell r="D336" t="str">
            <v>PRISM II &amp; PSM Savings</v>
          </cell>
          <cell r="E336">
            <v>31.568515377982177</v>
          </cell>
          <cell r="F336">
            <v>16.690867029251159</v>
          </cell>
          <cell r="G336">
            <v>14.895960296505095</v>
          </cell>
          <cell r="H336">
            <v>63.155342703738427</v>
          </cell>
          <cell r="I336">
            <v>25.597150371936166</v>
          </cell>
          <cell r="J336">
            <v>15.871679903994774</v>
          </cell>
          <cell r="K336">
            <v>58.931120015731196</v>
          </cell>
          <cell r="L336">
            <v>100.39995029166214</v>
          </cell>
          <cell r="M336">
            <v>18.453377683871771</v>
          </cell>
          <cell r="N336">
            <v>20.437286736484797</v>
          </cell>
          <cell r="O336">
            <v>22.746356716724961</v>
          </cell>
          <cell r="P336">
            <v>61.637021137081533</v>
          </cell>
          <cell r="Q336">
            <v>16.049553270210886</v>
          </cell>
          <cell r="R336">
            <v>18.106272332688615</v>
          </cell>
          <cell r="S336">
            <v>26.360216641432078</v>
          </cell>
          <cell r="T336">
            <v>60.516042244331572</v>
          </cell>
          <cell r="U336">
            <v>31.568515377982177</v>
          </cell>
          <cell r="V336">
            <v>48.259382407233332</v>
          </cell>
          <cell r="W336">
            <v>63.155342703738427</v>
          </cell>
          <cell r="X336">
            <v>88.752493075674593</v>
          </cell>
          <cell r="Y336">
            <v>104.62417297966937</v>
          </cell>
          <cell r="Z336">
            <v>163.55529299540058</v>
          </cell>
          <cell r="AA336">
            <v>182.00867067927234</v>
          </cell>
          <cell r="AB336">
            <v>202.44595741575714</v>
          </cell>
          <cell r="AC336">
            <v>225.1923141324821</v>
          </cell>
          <cell r="AD336">
            <v>241.24186740269298</v>
          </cell>
          <cell r="AE336">
            <v>259.34813973538161</v>
          </cell>
          <cell r="AF336">
            <v>285.7083563768137</v>
          </cell>
        </row>
        <row r="337">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row>
        <row r="338">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row>
        <row r="339">
          <cell r="D339" t="str">
            <v>Contribution</v>
          </cell>
          <cell r="E339">
            <v>1355.3085153779823</v>
          </cell>
          <cell r="F339">
            <v>1255.6708670292512</v>
          </cell>
          <cell r="G339">
            <v>1083.3559602965051</v>
          </cell>
          <cell r="H339">
            <v>3694.3353427037382</v>
          </cell>
          <cell r="I339">
            <v>1461.0471503719359</v>
          </cell>
          <cell r="J339">
            <v>1330.2416799039947</v>
          </cell>
          <cell r="K339">
            <v>1368.9611200157312</v>
          </cell>
          <cell r="L339">
            <v>4160.2499502916626</v>
          </cell>
          <cell r="M339">
            <v>1346.2033776838718</v>
          </cell>
          <cell r="N339">
            <v>1366.0072867364847</v>
          </cell>
          <cell r="O339">
            <v>1357.3763567167248</v>
          </cell>
          <cell r="P339">
            <v>4069.5870211370807</v>
          </cell>
          <cell r="Q339">
            <v>1121.3295532702109</v>
          </cell>
          <cell r="R339">
            <v>1322.2662723326887</v>
          </cell>
          <cell r="S339">
            <v>1447.9799950334318</v>
          </cell>
          <cell r="T339">
            <v>3891.5758206363316</v>
          </cell>
          <cell r="U339">
            <v>1355.3085153779823</v>
          </cell>
          <cell r="V339">
            <v>2610.9793824072335</v>
          </cell>
          <cell r="W339">
            <v>3694.3353427037387</v>
          </cell>
          <cell r="X339">
            <v>5155.3824930756746</v>
          </cell>
          <cell r="Y339">
            <v>6485.6241729796693</v>
          </cell>
          <cell r="Z339">
            <v>7854.5852929954008</v>
          </cell>
          <cell r="AA339">
            <v>9200.7886706792724</v>
          </cell>
          <cell r="AB339">
            <v>10566.795957415758</v>
          </cell>
          <cell r="AC339">
            <v>11924.172314132482</v>
          </cell>
          <cell r="AD339">
            <v>13045.501867402692</v>
          </cell>
          <cell r="AE339">
            <v>14367.768139735381</v>
          </cell>
          <cell r="AF339">
            <v>15815.748134768812</v>
          </cell>
        </row>
        <row r="340">
          <cell r="D340">
            <v>0</v>
          </cell>
          <cell r="E340">
            <v>0.73579693119176437</v>
          </cell>
          <cell r="F340">
            <v>0.73490352859573882</v>
          </cell>
          <cell r="G340">
            <v>0.74897574081130014</v>
          </cell>
          <cell r="H340">
            <v>0.73930621643330907</v>
          </cell>
          <cell r="I340">
            <v>0.74050183744554676</v>
          </cell>
          <cell r="J340">
            <v>0.73101448569230143</v>
          </cell>
          <cell r="K340">
            <v>0.74021104995930143</v>
          </cell>
          <cell r="L340">
            <v>0.73734665977070291</v>
          </cell>
          <cell r="M340">
            <v>0.72598614993386856</v>
          </cell>
          <cell r="N340">
            <v>0.73736992817239289</v>
          </cell>
          <cell r="O340">
            <v>0.72838595185331401</v>
          </cell>
          <cell r="P340">
            <v>0.73057488275274818</v>
          </cell>
          <cell r="Q340">
            <v>0.72894548704744289</v>
          </cell>
          <cell r="R340">
            <v>0.72169015726221697</v>
          </cell>
          <cell r="S340">
            <v>0.72277212648359113</v>
          </cell>
          <cell r="T340">
            <v>0.72417039224024748</v>
          </cell>
          <cell r="U340">
            <v>0.73579693119176437</v>
          </cell>
          <cell r="V340">
            <v>0.73536700550536349</v>
          </cell>
          <cell r="W340">
            <v>0.73930621643330918</v>
          </cell>
          <cell r="X340">
            <v>0.73964466592573896</v>
          </cell>
          <cell r="Y340">
            <v>0.73785799141956243</v>
          </cell>
          <cell r="Z340">
            <v>0.73826702455587923</v>
          </cell>
          <cell r="AA340">
            <v>0.73644427721222694</v>
          </cell>
          <cell r="AB340">
            <v>0.73656380858421555</v>
          </cell>
          <cell r="AC340">
            <v>0.73562364018211923</v>
          </cell>
          <cell r="AD340">
            <v>0.7350448147331623</v>
          </cell>
          <cell r="AE340">
            <v>0.73379517038415465</v>
          </cell>
          <cell r="AF340">
            <v>0.73277201442627615</v>
          </cell>
        </row>
        <row r="341">
          <cell r="D341" t="str">
            <v>Overheads</v>
          </cell>
        </row>
        <row r="342">
          <cell r="D342" t="str">
            <v>Advertisement Exp.</v>
          </cell>
          <cell r="E342">
            <v>437</v>
          </cell>
          <cell r="F342">
            <v>60.5</v>
          </cell>
          <cell r="G342">
            <v>-30</v>
          </cell>
          <cell r="H342">
            <v>467.5</v>
          </cell>
          <cell r="I342">
            <v>577.53</v>
          </cell>
          <cell r="J342">
            <v>-124.5</v>
          </cell>
          <cell r="K342">
            <v>354.5</v>
          </cell>
          <cell r="L342">
            <v>807.53</v>
          </cell>
          <cell r="M342">
            <v>49.080000000000013</v>
          </cell>
          <cell r="N342">
            <v>33.5</v>
          </cell>
          <cell r="O342">
            <v>513.5</v>
          </cell>
          <cell r="P342">
            <v>596.08000000000004</v>
          </cell>
          <cell r="Q342">
            <v>30.5</v>
          </cell>
          <cell r="R342">
            <v>6.5</v>
          </cell>
          <cell r="S342">
            <v>0</v>
          </cell>
          <cell r="T342">
            <v>37</v>
          </cell>
          <cell r="U342">
            <v>437</v>
          </cell>
          <cell r="V342">
            <v>497.5</v>
          </cell>
          <cell r="W342">
            <v>467.5</v>
          </cell>
          <cell r="X342">
            <v>1045.03</v>
          </cell>
          <cell r="Y342">
            <v>920.53</v>
          </cell>
          <cell r="Z342">
            <v>1275.03</v>
          </cell>
          <cell r="AA342">
            <v>1324.11</v>
          </cell>
          <cell r="AB342">
            <v>1357.61</v>
          </cell>
          <cell r="AC342">
            <v>1871.11</v>
          </cell>
          <cell r="AD342">
            <v>1901.61</v>
          </cell>
          <cell r="AE342">
            <v>1908.11</v>
          </cell>
          <cell r="AF342">
            <v>1908.11</v>
          </cell>
        </row>
        <row r="343">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row>
        <row r="344">
          <cell r="D344" t="str">
            <v>Total Overheads (a+b)</v>
          </cell>
          <cell r="E344">
            <v>437</v>
          </cell>
          <cell r="F344">
            <v>60.5</v>
          </cell>
          <cell r="G344">
            <v>-30</v>
          </cell>
          <cell r="H344">
            <v>467.5</v>
          </cell>
          <cell r="I344">
            <v>577.53</v>
          </cell>
          <cell r="J344">
            <v>-124.5</v>
          </cell>
          <cell r="K344">
            <v>354.5</v>
          </cell>
          <cell r="L344">
            <v>807.53</v>
          </cell>
          <cell r="M344">
            <v>49.080000000000013</v>
          </cell>
          <cell r="N344">
            <v>33.5</v>
          </cell>
          <cell r="O344">
            <v>513.5</v>
          </cell>
          <cell r="P344">
            <v>596.08000000000004</v>
          </cell>
          <cell r="Q344">
            <v>30.5</v>
          </cell>
          <cell r="R344">
            <v>6.5</v>
          </cell>
          <cell r="S344">
            <v>0</v>
          </cell>
          <cell r="T344">
            <v>37</v>
          </cell>
          <cell r="U344">
            <v>437</v>
          </cell>
          <cell r="V344">
            <v>497.5</v>
          </cell>
          <cell r="W344">
            <v>467.5</v>
          </cell>
          <cell r="X344">
            <v>1045.03</v>
          </cell>
          <cell r="Y344">
            <v>920.53</v>
          </cell>
          <cell r="Z344">
            <v>1275.03</v>
          </cell>
          <cell r="AA344">
            <v>1324.11</v>
          </cell>
          <cell r="AB344">
            <v>1357.61</v>
          </cell>
          <cell r="AC344">
            <v>1871.11</v>
          </cell>
          <cell r="AD344">
            <v>1901.61</v>
          </cell>
          <cell r="AE344">
            <v>1908.11</v>
          </cell>
          <cell r="AF344">
            <v>1908.11</v>
          </cell>
        </row>
        <row r="345">
          <cell r="D345" t="str">
            <v>OPERATING PROFIT (LOSS)</v>
          </cell>
          <cell r="E345">
            <v>918.3085153779823</v>
          </cell>
          <cell r="F345">
            <v>1195.1708670292512</v>
          </cell>
          <cell r="G345">
            <v>1113.3559602965051</v>
          </cell>
          <cell r="H345">
            <v>3226.8353427037382</v>
          </cell>
          <cell r="I345">
            <v>883.51715037193594</v>
          </cell>
          <cell r="J345">
            <v>1454.7416799039947</v>
          </cell>
          <cell r="K345">
            <v>1014.4611200157312</v>
          </cell>
          <cell r="L345">
            <v>3352.7199502916628</v>
          </cell>
          <cell r="M345">
            <v>1297.1233776838719</v>
          </cell>
          <cell r="N345">
            <v>1332.5072867364847</v>
          </cell>
          <cell r="O345">
            <v>843.87635671672479</v>
          </cell>
          <cell r="P345">
            <v>3473.5070211370808</v>
          </cell>
          <cell r="Q345">
            <v>1090.8295532702109</v>
          </cell>
          <cell r="R345">
            <v>1315.7662723326887</v>
          </cell>
          <cell r="S345">
            <v>1447.9799950334318</v>
          </cell>
          <cell r="T345">
            <v>3854.5758206363316</v>
          </cell>
          <cell r="U345">
            <v>918.3085153779823</v>
          </cell>
          <cell r="V345">
            <v>2113.4793824072335</v>
          </cell>
          <cell r="W345">
            <v>3226.8353427037387</v>
          </cell>
          <cell r="X345">
            <v>4110.3524930756748</v>
          </cell>
          <cell r="Y345">
            <v>5565.0941729796696</v>
          </cell>
          <cell r="Z345">
            <v>6579.555292995401</v>
          </cell>
          <cell r="AA345">
            <v>7876.6786706792727</v>
          </cell>
          <cell r="AB345">
            <v>9209.185957415757</v>
          </cell>
          <cell r="AC345">
            <v>10053.062314132481</v>
          </cell>
          <cell r="AD345">
            <v>11143.891867402692</v>
          </cell>
          <cell r="AE345">
            <v>12459.65813973538</v>
          </cell>
          <cell r="AF345">
            <v>13907.638134768811</v>
          </cell>
        </row>
        <row r="346">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row>
        <row r="348">
          <cell r="D348">
            <v>4</v>
          </cell>
          <cell r="E348">
            <v>5</v>
          </cell>
          <cell r="F348">
            <v>6</v>
          </cell>
          <cell r="G348">
            <v>7</v>
          </cell>
          <cell r="H348">
            <v>8</v>
          </cell>
          <cell r="I348">
            <v>9</v>
          </cell>
          <cell r="J348">
            <v>10</v>
          </cell>
          <cell r="K348">
            <v>11</v>
          </cell>
          <cell r="L348">
            <v>12</v>
          </cell>
          <cell r="M348">
            <v>13</v>
          </cell>
          <cell r="N348">
            <v>14</v>
          </cell>
          <cell r="O348">
            <v>15</v>
          </cell>
          <cell r="P348">
            <v>16</v>
          </cell>
          <cell r="Q348">
            <v>17</v>
          </cell>
          <cell r="R348">
            <v>18</v>
          </cell>
          <cell r="S348">
            <v>19</v>
          </cell>
          <cell r="T348">
            <v>20</v>
          </cell>
          <cell r="U348">
            <v>21</v>
          </cell>
          <cell r="V348">
            <v>22</v>
          </cell>
          <cell r="W348">
            <v>23</v>
          </cell>
          <cell r="X348">
            <v>24</v>
          </cell>
          <cell r="Y348">
            <v>25</v>
          </cell>
          <cell r="Z348">
            <v>26</v>
          </cell>
          <cell r="AA348">
            <v>27</v>
          </cell>
          <cell r="AB348">
            <v>28</v>
          </cell>
          <cell r="AC348">
            <v>29</v>
          </cell>
          <cell r="AD348">
            <v>30</v>
          </cell>
          <cell r="AE348">
            <v>31</v>
          </cell>
          <cell r="AF348">
            <v>32</v>
          </cell>
        </row>
        <row r="349">
          <cell r="E349" t="str">
            <v>Actual</v>
          </cell>
          <cell r="F349" t="str">
            <v>Actual</v>
          </cell>
          <cell r="G349" t="str">
            <v>Actual</v>
          </cell>
          <cell r="H349" t="str">
            <v>Actual</v>
          </cell>
          <cell r="I349" t="str">
            <v>Actual</v>
          </cell>
          <cell r="J349" t="str">
            <v>Actual</v>
          </cell>
          <cell r="K349" t="str">
            <v>Actual</v>
          </cell>
          <cell r="L349" t="str">
            <v>Actual</v>
          </cell>
          <cell r="M349" t="str">
            <v>Actual</v>
          </cell>
          <cell r="N349" t="str">
            <v>Actual</v>
          </cell>
          <cell r="O349" t="str">
            <v>Actual</v>
          </cell>
          <cell r="P349" t="str">
            <v>Actual</v>
          </cell>
          <cell r="Q349" t="str">
            <v>Actual</v>
          </cell>
          <cell r="R349" t="str">
            <v>Actual</v>
          </cell>
          <cell r="S349" t="str">
            <v>Actual</v>
          </cell>
          <cell r="T349" t="str">
            <v>Actual</v>
          </cell>
          <cell r="U349" t="str">
            <v>Cumu Aud</v>
          </cell>
          <cell r="V349" t="str">
            <v>Cumu Aud</v>
          </cell>
          <cell r="W349" t="str">
            <v>Cumu Aud</v>
          </cell>
          <cell r="X349" t="str">
            <v>Cumu Aud</v>
          </cell>
          <cell r="Y349" t="str">
            <v>Cumu Aud</v>
          </cell>
          <cell r="Z349" t="str">
            <v>Cumu Aud</v>
          </cell>
          <cell r="AA349" t="str">
            <v>Cumu Aud</v>
          </cell>
          <cell r="AB349" t="str">
            <v>Cumu Aud</v>
          </cell>
          <cell r="AC349" t="str">
            <v>Cumu Aud</v>
          </cell>
          <cell r="AD349" t="str">
            <v>Cumu Aud</v>
          </cell>
          <cell r="AE349" t="str">
            <v>Cumu Aud</v>
          </cell>
          <cell r="AF349" t="str">
            <v>Cumu Aud</v>
          </cell>
        </row>
        <row r="350">
          <cell r="D350" t="str">
            <v>Particulars</v>
          </cell>
          <cell r="E350">
            <v>41286</v>
          </cell>
          <cell r="F350">
            <v>41317</v>
          </cell>
          <cell r="G350">
            <v>41345</v>
          </cell>
          <cell r="H350" t="str">
            <v>Q-1</v>
          </cell>
          <cell r="I350">
            <v>41376</v>
          </cell>
          <cell r="J350">
            <v>41406</v>
          </cell>
          <cell r="K350">
            <v>41437</v>
          </cell>
          <cell r="L350" t="str">
            <v>Q-2</v>
          </cell>
          <cell r="M350">
            <v>41467</v>
          </cell>
          <cell r="N350">
            <v>41498</v>
          </cell>
          <cell r="O350">
            <v>41529</v>
          </cell>
          <cell r="P350" t="str">
            <v>Q-3</v>
          </cell>
          <cell r="Q350">
            <v>41559</v>
          </cell>
          <cell r="R350">
            <v>41590</v>
          </cell>
          <cell r="S350">
            <v>41620</v>
          </cell>
          <cell r="T350" t="str">
            <v>Q-4</v>
          </cell>
          <cell r="U350">
            <v>41286</v>
          </cell>
          <cell r="V350">
            <v>41317</v>
          </cell>
          <cell r="W350">
            <v>41345</v>
          </cell>
          <cell r="X350">
            <v>41376</v>
          </cell>
          <cell r="Y350">
            <v>41406</v>
          </cell>
          <cell r="Z350">
            <v>41437</v>
          </cell>
          <cell r="AA350">
            <v>41467</v>
          </cell>
          <cell r="AB350">
            <v>41498</v>
          </cell>
          <cell r="AC350">
            <v>41529</v>
          </cell>
          <cell r="AD350">
            <v>41559</v>
          </cell>
          <cell r="AE350">
            <v>41590</v>
          </cell>
          <cell r="AF350">
            <v>41620</v>
          </cell>
        </row>
        <row r="352">
          <cell r="D352" t="str">
            <v>Sales</v>
          </cell>
          <cell r="E352">
            <v>-2.46</v>
          </cell>
          <cell r="F352">
            <v>-2.6</v>
          </cell>
          <cell r="G352">
            <v>9.33</v>
          </cell>
          <cell r="H352">
            <v>4.2699999999999996</v>
          </cell>
          <cell r="I352">
            <v>32.699999999999996</v>
          </cell>
          <cell r="J352">
            <v>34.520000000000003</v>
          </cell>
          <cell r="K352">
            <v>10.62</v>
          </cell>
          <cell r="L352">
            <v>77.84</v>
          </cell>
          <cell r="M352">
            <v>-0.2</v>
          </cell>
          <cell r="N352">
            <v>9</v>
          </cell>
          <cell r="O352">
            <v>4.5</v>
          </cell>
          <cell r="P352">
            <v>13.3</v>
          </cell>
          <cell r="Q352">
            <v>-2.56</v>
          </cell>
          <cell r="R352">
            <v>-1.27</v>
          </cell>
          <cell r="S352">
            <v>-3.09</v>
          </cell>
          <cell r="T352">
            <v>-6.92</v>
          </cell>
          <cell r="U352">
            <v>-2.46</v>
          </cell>
          <cell r="V352">
            <v>-5.0600000000000005</v>
          </cell>
          <cell r="W352">
            <v>4.2699999999999996</v>
          </cell>
          <cell r="X352">
            <v>36.97</v>
          </cell>
          <cell r="Y352">
            <v>71.490000000000009</v>
          </cell>
          <cell r="Z352">
            <v>82.110000000000014</v>
          </cell>
          <cell r="AA352">
            <v>81.910000000000011</v>
          </cell>
          <cell r="AB352">
            <v>90.910000000000011</v>
          </cell>
          <cell r="AC352">
            <v>95.410000000000011</v>
          </cell>
          <cell r="AD352">
            <v>92.850000000000009</v>
          </cell>
          <cell r="AE352">
            <v>91.580000000000013</v>
          </cell>
          <cell r="AF352">
            <v>88.490000000000009</v>
          </cell>
        </row>
        <row r="353">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row>
        <row r="354">
          <cell r="D354" t="str">
            <v>Cost of Goods Sold</v>
          </cell>
          <cell r="E354">
            <v>-0.72</v>
          </cell>
          <cell r="F354">
            <v>-0.47</v>
          </cell>
          <cell r="G354">
            <v>8.5399999999999991</v>
          </cell>
          <cell r="H354">
            <v>7.35</v>
          </cell>
          <cell r="I354">
            <v>21.52</v>
          </cell>
          <cell r="J354">
            <v>24.87</v>
          </cell>
          <cell r="K354">
            <v>8.2242601101599995</v>
          </cell>
          <cell r="L354">
            <v>54.614260110160004</v>
          </cell>
          <cell r="M354">
            <v>1.1299999999999999</v>
          </cell>
          <cell r="N354">
            <v>13.47</v>
          </cell>
          <cell r="O354">
            <v>6.8</v>
          </cell>
          <cell r="P354">
            <v>21.400000000000002</v>
          </cell>
          <cell r="Q354">
            <v>-1.49</v>
          </cell>
          <cell r="R354">
            <v>-0.85</v>
          </cell>
          <cell r="S354">
            <v>-1.57</v>
          </cell>
          <cell r="T354">
            <v>-3.91</v>
          </cell>
          <cell r="U354">
            <v>-0.72</v>
          </cell>
          <cell r="V354">
            <v>-1.19</v>
          </cell>
          <cell r="W354">
            <v>7.35</v>
          </cell>
          <cell r="X354">
            <v>28.869999999999997</v>
          </cell>
          <cell r="Y354">
            <v>53.739999999999995</v>
          </cell>
          <cell r="Z354">
            <v>61.964260110159998</v>
          </cell>
          <cell r="AA354">
            <v>63.09426011016</v>
          </cell>
          <cell r="AB354">
            <v>76.564260110160006</v>
          </cell>
          <cell r="AC354">
            <v>83.364260110160004</v>
          </cell>
          <cell r="AD354">
            <v>81.874260110160009</v>
          </cell>
          <cell r="AE354">
            <v>81.024260110160014</v>
          </cell>
          <cell r="AF354">
            <v>79.454260110160021</v>
          </cell>
        </row>
        <row r="355">
          <cell r="D355" t="str">
            <v>ED Savings</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row>
        <row r="356">
          <cell r="D356" t="str">
            <v>PRISM II &amp; PSM Savings</v>
          </cell>
          <cell r="E356">
            <v>-4.2160822075308989E-2</v>
          </cell>
          <cell r="F356">
            <v>-2.5398423450534946E-2</v>
          </cell>
          <cell r="G356">
            <v>9.6083037482382755E-2</v>
          </cell>
          <cell r="H356">
            <v>2.8523791956538813E-2</v>
          </cell>
          <cell r="I356">
            <v>0.42422990657221693</v>
          </cell>
          <cell r="J356">
            <v>0.30108499674999434</v>
          </cell>
          <cell r="K356">
            <v>0.33840257733076601</v>
          </cell>
          <cell r="L356">
            <v>1.0637174806529772</v>
          </cell>
          <cell r="M356">
            <v>-1.9903228353265389E-3</v>
          </cell>
          <cell r="N356">
            <v>9.9288318000347181E-2</v>
          </cell>
          <cell r="O356">
            <v>5.4926969759308795E-2</v>
          </cell>
          <cell r="P356">
            <v>0.15222496492432944</v>
          </cell>
          <cell r="Q356">
            <v>-2.6709434743604828E-2</v>
          </cell>
          <cell r="R356">
            <v>-1.2550604123238187E-2</v>
          </cell>
          <cell r="S356">
            <v>-4.0658025937308197E-2</v>
          </cell>
          <cell r="T356">
            <v>-7.9918064804151201E-2</v>
          </cell>
          <cell r="U356">
            <v>-4.2160822075308989E-2</v>
          </cell>
          <cell r="V356">
            <v>-6.7559245525843942E-2</v>
          </cell>
          <cell r="W356">
            <v>2.8523791956538813E-2</v>
          </cell>
          <cell r="X356">
            <v>0.45275369852875574</v>
          </cell>
          <cell r="Y356">
            <v>0.75383869527875014</v>
          </cell>
          <cell r="Z356">
            <v>1.0922412726095161</v>
          </cell>
          <cell r="AA356">
            <v>1.0902509497741895</v>
          </cell>
          <cell r="AB356">
            <v>1.1895392677745367</v>
          </cell>
          <cell r="AC356">
            <v>1.2444662375338456</v>
          </cell>
          <cell r="AD356">
            <v>1.2177568027902408</v>
          </cell>
          <cell r="AE356">
            <v>1.2052061986670026</v>
          </cell>
          <cell r="AF356">
            <v>1.1645481727296945</v>
          </cell>
        </row>
        <row r="357">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row>
        <row r="358">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row>
        <row r="359">
          <cell r="D359" t="str">
            <v>Contribution</v>
          </cell>
          <cell r="E359">
            <v>-1.7821608220753089</v>
          </cell>
          <cell r="F359">
            <v>-2.155398423450535</v>
          </cell>
          <cell r="G359">
            <v>0.88608303748238371</v>
          </cell>
          <cell r="H359">
            <v>-3.0514762080434612</v>
          </cell>
          <cell r="I359">
            <v>11.604229906572213</v>
          </cell>
          <cell r="J359">
            <v>9.9510849967499961</v>
          </cell>
          <cell r="K359">
            <v>2.7341424671707659</v>
          </cell>
          <cell r="L359">
            <v>24.289457370492975</v>
          </cell>
          <cell r="M359">
            <v>-1.3319903228353265</v>
          </cell>
          <cell r="N359">
            <v>-4.3707116819996532</v>
          </cell>
          <cell r="O359">
            <v>-2.2450730302406909</v>
          </cell>
          <cell r="P359">
            <v>-7.9477750350756722</v>
          </cell>
          <cell r="Q359">
            <v>-1.0967094347436048</v>
          </cell>
          <cell r="R359">
            <v>-0.4325506041232382</v>
          </cell>
          <cell r="S359">
            <v>-1.560658025937308</v>
          </cell>
          <cell r="T359">
            <v>-3.0899180648041509</v>
          </cell>
          <cell r="U359">
            <v>-1.7821608220753089</v>
          </cell>
          <cell r="V359">
            <v>-3.9375592455258439</v>
          </cell>
          <cell r="W359">
            <v>-3.0514762080434603</v>
          </cell>
          <cell r="X359">
            <v>8.5527536985287522</v>
          </cell>
          <cell r="Y359">
            <v>18.503838695278748</v>
          </cell>
          <cell r="Z359">
            <v>21.237981162449515</v>
          </cell>
          <cell r="AA359">
            <v>19.905990839614187</v>
          </cell>
          <cell r="AB359">
            <v>15.535279157614534</v>
          </cell>
          <cell r="AC359">
            <v>13.290206127373843</v>
          </cell>
          <cell r="AD359">
            <v>12.193496692630237</v>
          </cell>
          <cell r="AE359">
            <v>11.760946088507</v>
          </cell>
          <cell r="AF359">
            <v>10.200288062569692</v>
          </cell>
        </row>
        <row r="360">
          <cell r="D360">
            <v>0</v>
          </cell>
          <cell r="E360">
            <v>0.72445561872980035</v>
          </cell>
          <cell r="F360">
            <v>0.82899939363482111</v>
          </cell>
          <cell r="G360">
            <v>9.4971386654060422E-2</v>
          </cell>
          <cell r="H360">
            <v>-0.71463143045514321</v>
          </cell>
          <cell r="I360">
            <v>0.35486941610312583</v>
          </cell>
          <cell r="J360">
            <v>0.28827013316193495</v>
          </cell>
          <cell r="K360">
            <v>0.2574522097147614</v>
          </cell>
          <cell r="L360">
            <v>0.31204338862401049</v>
          </cell>
          <cell r="M360">
            <v>6.6599516141766317</v>
          </cell>
          <cell r="N360">
            <v>-0.48563463133329482</v>
          </cell>
          <cell r="O360">
            <v>-0.49890511783126468</v>
          </cell>
          <cell r="P360">
            <v>-0.59757707030644147</v>
          </cell>
          <cell r="Q360">
            <v>0.42840212294672064</v>
          </cell>
          <cell r="R360">
            <v>0.34059102686869147</v>
          </cell>
          <cell r="S360">
            <v>0.50506732230980844</v>
          </cell>
          <cell r="T360">
            <v>0.44651995156129348</v>
          </cell>
          <cell r="U360">
            <v>0.72445561872980035</v>
          </cell>
          <cell r="V360">
            <v>0.77817376393791371</v>
          </cell>
          <cell r="W360">
            <v>-0.71463143045514299</v>
          </cell>
          <cell r="X360">
            <v>0.23134308083659055</v>
          </cell>
          <cell r="Y360">
            <v>0.25883114694752757</v>
          </cell>
          <cell r="Z360">
            <v>0.25865279700949351</v>
          </cell>
          <cell r="AA360">
            <v>0.24302271810052722</v>
          </cell>
          <cell r="AB360">
            <v>0.17088636187014114</v>
          </cell>
          <cell r="AC360">
            <v>0.13929573553478505</v>
          </cell>
          <cell r="AD360">
            <v>0.13132468166537681</v>
          </cell>
          <cell r="AE360">
            <v>0.1284226478325726</v>
          </cell>
          <cell r="AF360">
            <v>0.11527051714961793</v>
          </cell>
        </row>
        <row r="361">
          <cell r="D361" t="str">
            <v>Overheads</v>
          </cell>
        </row>
        <row r="362">
          <cell r="D362" t="str">
            <v>Advertisement Exp.</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row>
        <row r="363">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row>
        <row r="364">
          <cell r="D364" t="str">
            <v>Total Overheads (a+b)</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row>
        <row r="365">
          <cell r="D365" t="str">
            <v>OPERATING PROFIT (LOSS)</v>
          </cell>
          <cell r="E365">
            <v>-1.7821608220753089</v>
          </cell>
          <cell r="F365">
            <v>-2.155398423450535</v>
          </cell>
          <cell r="G365">
            <v>0.88608303748238371</v>
          </cell>
          <cell r="H365">
            <v>-3.0514762080434612</v>
          </cell>
          <cell r="I365">
            <v>11.604229906572213</v>
          </cell>
          <cell r="J365">
            <v>9.9510849967499961</v>
          </cell>
          <cell r="K365">
            <v>2.7341424671707659</v>
          </cell>
          <cell r="L365">
            <v>24.289457370492975</v>
          </cell>
          <cell r="M365">
            <v>-1.3319903228353265</v>
          </cell>
          <cell r="N365">
            <v>-4.3707116819996532</v>
          </cell>
          <cell r="O365">
            <v>-2.2450730302406909</v>
          </cell>
          <cell r="P365">
            <v>-7.9477750350756722</v>
          </cell>
          <cell r="Q365">
            <v>-1.0967094347436048</v>
          </cell>
          <cell r="R365">
            <v>-0.4325506041232382</v>
          </cell>
          <cell r="S365">
            <v>-1.560658025937308</v>
          </cell>
          <cell r="T365">
            <v>-3.0899180648041509</v>
          </cell>
          <cell r="U365">
            <v>-1.7821608220753089</v>
          </cell>
          <cell r="V365">
            <v>-3.9375592455258439</v>
          </cell>
          <cell r="W365">
            <v>-3.0514762080434603</v>
          </cell>
          <cell r="X365">
            <v>8.5527536985287522</v>
          </cell>
          <cell r="Y365">
            <v>18.503838695278748</v>
          </cell>
          <cell r="Z365">
            <v>21.237981162449515</v>
          </cell>
          <cell r="AA365">
            <v>19.905990839614187</v>
          </cell>
          <cell r="AB365">
            <v>15.535279157614534</v>
          </cell>
          <cell r="AC365">
            <v>13.290206127373843</v>
          </cell>
          <cell r="AD365">
            <v>12.193496692630237</v>
          </cell>
          <cell r="AE365">
            <v>11.760946088507</v>
          </cell>
          <cell r="AF365">
            <v>10.200288062569692</v>
          </cell>
        </row>
        <row r="388">
          <cell r="D388">
            <v>4</v>
          </cell>
          <cell r="E388">
            <v>5</v>
          </cell>
          <cell r="F388">
            <v>6</v>
          </cell>
          <cell r="G388">
            <v>7</v>
          </cell>
          <cell r="H388">
            <v>8</v>
          </cell>
          <cell r="I388">
            <v>9</v>
          </cell>
          <cell r="J388">
            <v>10</v>
          </cell>
          <cell r="K388">
            <v>11</v>
          </cell>
          <cell r="L388">
            <v>12</v>
          </cell>
          <cell r="M388">
            <v>13</v>
          </cell>
          <cell r="N388">
            <v>14</v>
          </cell>
          <cell r="O388">
            <v>15</v>
          </cell>
          <cell r="P388">
            <v>16</v>
          </cell>
          <cell r="Q388">
            <v>17</v>
          </cell>
          <cell r="R388">
            <v>18</v>
          </cell>
          <cell r="S388">
            <v>19</v>
          </cell>
          <cell r="T388">
            <v>20</v>
          </cell>
          <cell r="U388">
            <v>21</v>
          </cell>
          <cell r="V388">
            <v>22</v>
          </cell>
          <cell r="W388">
            <v>23</v>
          </cell>
          <cell r="X388">
            <v>24</v>
          </cell>
          <cell r="Y388">
            <v>25</v>
          </cell>
          <cell r="Z388">
            <v>26</v>
          </cell>
          <cell r="AA388">
            <v>27</v>
          </cell>
          <cell r="AB388">
            <v>28</v>
          </cell>
          <cell r="AC388">
            <v>29</v>
          </cell>
          <cell r="AD388">
            <v>30</v>
          </cell>
          <cell r="AE388">
            <v>31</v>
          </cell>
          <cell r="AF388">
            <v>32</v>
          </cell>
        </row>
        <row r="389">
          <cell r="E389" t="str">
            <v>Actual</v>
          </cell>
          <cell r="F389" t="str">
            <v>Actual</v>
          </cell>
          <cell r="G389" t="str">
            <v>Actual</v>
          </cell>
          <cell r="H389" t="str">
            <v>Actual</v>
          </cell>
          <cell r="I389" t="str">
            <v>Actual</v>
          </cell>
          <cell r="J389" t="str">
            <v>Actual</v>
          </cell>
          <cell r="K389" t="str">
            <v>Actual</v>
          </cell>
          <cell r="L389" t="str">
            <v>Actual</v>
          </cell>
          <cell r="M389" t="str">
            <v>Actual</v>
          </cell>
          <cell r="N389" t="str">
            <v>Actual</v>
          </cell>
          <cell r="O389" t="str">
            <v>Actual</v>
          </cell>
          <cell r="P389" t="str">
            <v>Actual</v>
          </cell>
          <cell r="Q389" t="str">
            <v>Actual</v>
          </cell>
          <cell r="R389" t="str">
            <v>Actual</v>
          </cell>
          <cell r="S389" t="str">
            <v>Actual</v>
          </cell>
          <cell r="T389" t="str">
            <v>Actual</v>
          </cell>
          <cell r="U389" t="str">
            <v>Cumu Aud</v>
          </cell>
          <cell r="V389" t="str">
            <v>Cumu Aud</v>
          </cell>
          <cell r="W389" t="str">
            <v>Cumu Aud</v>
          </cell>
          <cell r="X389" t="str">
            <v>Cumu Aud</v>
          </cell>
          <cell r="Y389" t="str">
            <v>Cumu Aud</v>
          </cell>
          <cell r="Z389" t="str">
            <v>Cumu Aud</v>
          </cell>
          <cell r="AA389" t="str">
            <v>Cumu Aud</v>
          </cell>
          <cell r="AB389" t="str">
            <v>Cumu Aud</v>
          </cell>
          <cell r="AC389" t="str">
            <v>Cumu Aud</v>
          </cell>
          <cell r="AD389" t="str">
            <v>Cumu Aud</v>
          </cell>
          <cell r="AE389" t="str">
            <v>Cumu Aud</v>
          </cell>
          <cell r="AF389" t="str">
            <v>Cumu Aud</v>
          </cell>
        </row>
        <row r="390">
          <cell r="D390" t="str">
            <v>Particulars</v>
          </cell>
          <cell r="E390">
            <v>41286</v>
          </cell>
          <cell r="F390">
            <v>41317</v>
          </cell>
          <cell r="G390">
            <v>41345</v>
          </cell>
          <cell r="H390" t="str">
            <v>Q-1</v>
          </cell>
          <cell r="I390">
            <v>41376</v>
          </cell>
          <cell r="J390">
            <v>41406</v>
          </cell>
          <cell r="K390">
            <v>41437</v>
          </cell>
          <cell r="L390" t="str">
            <v>Q-2</v>
          </cell>
          <cell r="M390">
            <v>41467</v>
          </cell>
          <cell r="N390">
            <v>41498</v>
          </cell>
          <cell r="O390">
            <v>41529</v>
          </cell>
          <cell r="P390" t="str">
            <v>Q-3</v>
          </cell>
          <cell r="Q390">
            <v>41559</v>
          </cell>
          <cell r="R390">
            <v>41590</v>
          </cell>
          <cell r="S390">
            <v>41620</v>
          </cell>
          <cell r="T390" t="str">
            <v>Q-4</v>
          </cell>
          <cell r="U390">
            <v>41286</v>
          </cell>
          <cell r="V390">
            <v>41317</v>
          </cell>
          <cell r="W390">
            <v>41345</v>
          </cell>
          <cell r="X390">
            <v>41376</v>
          </cell>
          <cell r="Y390">
            <v>41406</v>
          </cell>
          <cell r="Z390">
            <v>41437</v>
          </cell>
          <cell r="AA390">
            <v>41467</v>
          </cell>
          <cell r="AB390">
            <v>41498</v>
          </cell>
          <cell r="AC390">
            <v>41529</v>
          </cell>
          <cell r="AD390">
            <v>41559</v>
          </cell>
          <cell r="AE390">
            <v>41590</v>
          </cell>
          <cell r="AF390">
            <v>41620</v>
          </cell>
        </row>
        <row r="392">
          <cell r="D392" t="str">
            <v>Sales</v>
          </cell>
          <cell r="E392">
            <v>805.5200000000001</v>
          </cell>
          <cell r="F392">
            <v>955.72</v>
          </cell>
          <cell r="G392">
            <v>722.5</v>
          </cell>
          <cell r="H392">
            <v>2483.7400000000002</v>
          </cell>
          <cell r="I392">
            <v>1015.51</v>
          </cell>
          <cell r="J392">
            <v>1095.5999999999999</v>
          </cell>
          <cell r="K392">
            <v>831.02</v>
          </cell>
          <cell r="L392">
            <v>2942.1299999999997</v>
          </cell>
          <cell r="M392">
            <v>766.46</v>
          </cell>
          <cell r="N392">
            <v>688.9</v>
          </cell>
          <cell r="O392">
            <v>569.62</v>
          </cell>
          <cell r="P392">
            <v>2024.98</v>
          </cell>
          <cell r="Q392">
            <v>682</v>
          </cell>
          <cell r="R392">
            <v>681.21</v>
          </cell>
          <cell r="S392">
            <v>845.04</v>
          </cell>
          <cell r="T392">
            <v>2208.25</v>
          </cell>
          <cell r="U392">
            <v>805.5200000000001</v>
          </cell>
          <cell r="V392">
            <v>1761.2400000000002</v>
          </cell>
          <cell r="W392">
            <v>2483.7400000000002</v>
          </cell>
          <cell r="X392">
            <v>3499.25</v>
          </cell>
          <cell r="Y392">
            <v>4594.8500000000004</v>
          </cell>
          <cell r="Z392">
            <v>5425.8700000000008</v>
          </cell>
          <cell r="AA392">
            <v>6192.3300000000008</v>
          </cell>
          <cell r="AB392">
            <v>6881.2300000000005</v>
          </cell>
          <cell r="AC392">
            <v>7450.85</v>
          </cell>
          <cell r="AD392">
            <v>8132.85</v>
          </cell>
          <cell r="AE392">
            <v>8814.0600000000013</v>
          </cell>
          <cell r="AF392">
            <v>9659.1000000000022</v>
          </cell>
        </row>
        <row r="393">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row>
        <row r="394">
          <cell r="D394" t="str">
            <v>Cost of Goods Sold</v>
          </cell>
          <cell r="E394">
            <v>290.24</v>
          </cell>
          <cell r="F394">
            <v>390.11</v>
          </cell>
          <cell r="G394">
            <v>244.65</v>
          </cell>
          <cell r="H394">
            <v>925</v>
          </cell>
          <cell r="I394">
            <v>386.01</v>
          </cell>
          <cell r="J394">
            <v>389.83</v>
          </cell>
          <cell r="K394">
            <v>305.52</v>
          </cell>
          <cell r="L394">
            <v>1081.3599999999999</v>
          </cell>
          <cell r="M394">
            <v>279.95</v>
          </cell>
          <cell r="N394">
            <v>249.52</v>
          </cell>
          <cell r="O394">
            <v>193.48</v>
          </cell>
          <cell r="P394">
            <v>722.95</v>
          </cell>
          <cell r="Q394">
            <v>244.02</v>
          </cell>
          <cell r="R394">
            <v>238.99</v>
          </cell>
          <cell r="S394">
            <v>398.81</v>
          </cell>
          <cell r="T394">
            <v>881.81999999999994</v>
          </cell>
          <cell r="U394">
            <v>290.24</v>
          </cell>
          <cell r="V394">
            <v>680.35</v>
          </cell>
          <cell r="W394">
            <v>925</v>
          </cell>
          <cell r="X394">
            <v>1311.01</v>
          </cell>
          <cell r="Y394">
            <v>1700.84</v>
          </cell>
          <cell r="Z394">
            <v>2006.36</v>
          </cell>
          <cell r="AA394">
            <v>2286.31</v>
          </cell>
          <cell r="AB394">
            <v>2535.83</v>
          </cell>
          <cell r="AC394">
            <v>2729.31</v>
          </cell>
          <cell r="AD394">
            <v>2973.33</v>
          </cell>
          <cell r="AE394">
            <v>3212.3199999999997</v>
          </cell>
          <cell r="AF394">
            <v>3611.1299999999997</v>
          </cell>
        </row>
        <row r="395">
          <cell r="D395" t="str">
            <v>ED Savings</v>
          </cell>
          <cell r="E395">
            <v>21.23</v>
          </cell>
          <cell r="F395">
            <v>71</v>
          </cell>
          <cell r="G395">
            <v>30.000000000000007</v>
          </cell>
          <cell r="H395">
            <v>122.23000000000002</v>
          </cell>
          <cell r="I395">
            <v>73</v>
          </cell>
          <cell r="J395">
            <v>0</v>
          </cell>
          <cell r="K395">
            <v>0</v>
          </cell>
          <cell r="L395">
            <v>73</v>
          </cell>
          <cell r="M395">
            <v>22.15</v>
          </cell>
          <cell r="N395">
            <v>22.450000000000003</v>
          </cell>
          <cell r="O395">
            <v>0</v>
          </cell>
          <cell r="P395">
            <v>44.6</v>
          </cell>
          <cell r="Q395">
            <v>8.23</v>
          </cell>
          <cell r="R395">
            <v>14.68</v>
          </cell>
          <cell r="S395">
            <v>53.283702808000001</v>
          </cell>
          <cell r="T395">
            <v>76.193702807999998</v>
          </cell>
          <cell r="U395">
            <v>21.23</v>
          </cell>
          <cell r="V395">
            <v>92.23</v>
          </cell>
          <cell r="W395">
            <v>122.23000000000002</v>
          </cell>
          <cell r="X395">
            <v>195.23000000000002</v>
          </cell>
          <cell r="Y395">
            <v>195.23000000000002</v>
          </cell>
          <cell r="Z395">
            <v>195.23000000000002</v>
          </cell>
          <cell r="AA395">
            <v>217.38000000000002</v>
          </cell>
          <cell r="AB395">
            <v>239.83000000000004</v>
          </cell>
          <cell r="AC395">
            <v>239.83000000000004</v>
          </cell>
          <cell r="AD395">
            <v>248.06000000000003</v>
          </cell>
          <cell r="AE395">
            <v>262.74</v>
          </cell>
          <cell r="AF395">
            <v>316.023702808</v>
          </cell>
        </row>
        <row r="396">
          <cell r="D396" t="str">
            <v>PRISM II &amp; PSM Savings</v>
          </cell>
          <cell r="E396">
            <v>13.805441218741018</v>
          </cell>
          <cell r="F396">
            <v>9.3360697154404839</v>
          </cell>
          <cell r="G396">
            <v>7.4405138886411075</v>
          </cell>
          <cell r="H396">
            <v>30.582024822822611</v>
          </cell>
          <cell r="I396">
            <v>13.174608942604038</v>
          </cell>
          <cell r="J396">
            <v>9.5558726083225292</v>
          </cell>
          <cell r="K396">
            <v>26.48016099937977</v>
          </cell>
          <cell r="L396">
            <v>49.210642550306339</v>
          </cell>
          <cell r="M396">
            <v>7.6275142018218949</v>
          </cell>
          <cell r="N396">
            <v>7.5999691411599075</v>
          </cell>
          <cell r="O396">
            <v>6.9527778920661065</v>
          </cell>
          <cell r="P396">
            <v>22.180261235047908</v>
          </cell>
          <cell r="Q396">
            <v>7.1155603496634736</v>
          </cell>
          <cell r="R396">
            <v>6.7319661691268395</v>
          </cell>
          <cell r="S396">
            <v>11.118983248564051</v>
          </cell>
          <cell r="T396">
            <v>24.966509767354367</v>
          </cell>
          <cell r="U396">
            <v>13.805441218741018</v>
          </cell>
          <cell r="V396">
            <v>23.141510934181504</v>
          </cell>
          <cell r="W396">
            <v>30.582024822822611</v>
          </cell>
          <cell r="X396">
            <v>43.756633765426649</v>
          </cell>
          <cell r="Y396">
            <v>53.31250637374918</v>
          </cell>
          <cell r="Z396">
            <v>79.79266737312895</v>
          </cell>
          <cell r="AA396">
            <v>87.420181574950846</v>
          </cell>
          <cell r="AB396">
            <v>95.020150716110749</v>
          </cell>
          <cell r="AC396">
            <v>101.97292860817686</v>
          </cell>
          <cell r="AD396">
            <v>109.08848895784033</v>
          </cell>
          <cell r="AE396">
            <v>115.82045512696716</v>
          </cell>
          <cell r="AF396">
            <v>126.93943837553121</v>
          </cell>
        </row>
        <row r="397">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row>
        <row r="398">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row>
        <row r="399">
          <cell r="D399" t="str">
            <v>Contribution</v>
          </cell>
          <cell r="E399">
            <v>550.31544121874117</v>
          </cell>
          <cell r="F399">
            <v>645.94606971544044</v>
          </cell>
          <cell r="G399">
            <v>515.29051388864116</v>
          </cell>
          <cell r="H399">
            <v>1711.5520248228229</v>
          </cell>
          <cell r="I399">
            <v>715.67460894260398</v>
          </cell>
          <cell r="J399">
            <v>715.32587260832247</v>
          </cell>
          <cell r="K399">
            <v>551.98016099937979</v>
          </cell>
          <cell r="L399">
            <v>1982.9806425503061</v>
          </cell>
          <cell r="M399">
            <v>516.28751420182186</v>
          </cell>
          <cell r="N399">
            <v>469.42996914115992</v>
          </cell>
          <cell r="O399">
            <v>383.09277789206607</v>
          </cell>
          <cell r="P399">
            <v>1368.8102612350478</v>
          </cell>
          <cell r="Q399">
            <v>453.32556034966353</v>
          </cell>
          <cell r="R399">
            <v>463.63196616912688</v>
          </cell>
          <cell r="S399">
            <v>510.63268605656401</v>
          </cell>
          <cell r="T399">
            <v>1427.5902125753544</v>
          </cell>
          <cell r="U399">
            <v>550.31544121874117</v>
          </cell>
          <cell r="V399">
            <v>1196.2615109341816</v>
          </cell>
          <cell r="W399">
            <v>1711.5520248228227</v>
          </cell>
          <cell r="X399">
            <v>2427.2266337654264</v>
          </cell>
          <cell r="Y399">
            <v>3142.5525063737487</v>
          </cell>
          <cell r="Z399">
            <v>3694.5326673731283</v>
          </cell>
          <cell r="AA399">
            <v>4210.8201815749499</v>
          </cell>
          <cell r="AB399">
            <v>4680.2501507161096</v>
          </cell>
          <cell r="AC399">
            <v>5063.3429286081755</v>
          </cell>
          <cell r="AD399">
            <v>5516.6684889578391</v>
          </cell>
          <cell r="AE399">
            <v>5980.300455126966</v>
          </cell>
          <cell r="AF399">
            <v>6490.9331411835301</v>
          </cell>
        </row>
        <row r="400">
          <cell r="D400">
            <v>0</v>
          </cell>
          <cell r="E400">
            <v>0.68318035705971436</v>
          </cell>
          <cell r="F400">
            <v>0.67587375979935593</v>
          </cell>
          <cell r="G400">
            <v>0.71320486351369017</v>
          </cell>
          <cell r="H400">
            <v>0.68910273411179224</v>
          </cell>
          <cell r="I400">
            <v>0.70474402905200739</v>
          </cell>
          <cell r="J400">
            <v>0.65290787934312022</v>
          </cell>
          <cell r="K400">
            <v>0.66422006810832446</v>
          </cell>
          <cell r="L400">
            <v>0.67399490931750339</v>
          </cell>
          <cell r="M400">
            <v>0.67360007593588944</v>
          </cell>
          <cell r="N400">
            <v>0.68141960972733329</v>
          </cell>
          <cell r="O400">
            <v>0.67254095342871756</v>
          </cell>
          <cell r="P400">
            <v>0.67596236073198146</v>
          </cell>
          <cell r="Q400">
            <v>0.66470023511680865</v>
          </cell>
          <cell r="R400">
            <v>0.68060064615775873</v>
          </cell>
          <cell r="S400">
            <v>0.60427043223582788</v>
          </cell>
          <cell r="T400">
            <v>0.64648034080170014</v>
          </cell>
          <cell r="U400">
            <v>0.68318035705971436</v>
          </cell>
          <cell r="V400">
            <v>0.67921550210884463</v>
          </cell>
          <cell r="W400">
            <v>0.68910273411179213</v>
          </cell>
          <cell r="X400">
            <v>0.69364196149615676</v>
          </cell>
          <cell r="Y400">
            <v>0.68392929178836048</v>
          </cell>
          <cell r="Z400">
            <v>0.68091064978945826</v>
          </cell>
          <cell r="AA400">
            <v>0.68000577837016907</v>
          </cell>
          <cell r="AB400">
            <v>0.68014732114986842</v>
          </cell>
          <cell r="AC400">
            <v>0.67956581176753994</v>
          </cell>
          <cell r="AD400">
            <v>0.67831922253058141</v>
          </cell>
          <cell r="AE400">
            <v>0.67849554633471576</v>
          </cell>
          <cell r="AF400">
            <v>0.67200185743842888</v>
          </cell>
        </row>
        <row r="401">
          <cell r="D401" t="str">
            <v>Overheads</v>
          </cell>
        </row>
        <row r="402">
          <cell r="D402" t="str">
            <v>Advertisement Exp.</v>
          </cell>
          <cell r="E402">
            <v>772</v>
          </cell>
          <cell r="F402">
            <v>141</v>
          </cell>
          <cell r="G402">
            <v>-125.6</v>
          </cell>
          <cell r="H402">
            <v>787.4</v>
          </cell>
          <cell r="I402">
            <v>687</v>
          </cell>
          <cell r="J402">
            <v>315</v>
          </cell>
          <cell r="K402">
            <v>137.06</v>
          </cell>
          <cell r="L402">
            <v>1139.06</v>
          </cell>
          <cell r="M402">
            <v>230.12</v>
          </cell>
          <cell r="N402">
            <v>404</v>
          </cell>
          <cell r="O402">
            <v>707</v>
          </cell>
          <cell r="P402">
            <v>1341.12</v>
          </cell>
          <cell r="Q402">
            <v>783.98</v>
          </cell>
          <cell r="R402">
            <v>-215</v>
          </cell>
          <cell r="S402">
            <v>-114.22</v>
          </cell>
          <cell r="T402">
            <v>454.76</v>
          </cell>
          <cell r="U402">
            <v>772</v>
          </cell>
          <cell r="V402">
            <v>913</v>
          </cell>
          <cell r="W402">
            <v>787.4</v>
          </cell>
          <cell r="X402">
            <v>1474.4</v>
          </cell>
          <cell r="Y402">
            <v>1789.4</v>
          </cell>
          <cell r="Z402">
            <v>1926.46</v>
          </cell>
          <cell r="AA402">
            <v>2156.58</v>
          </cell>
          <cell r="AB402">
            <v>2560.58</v>
          </cell>
          <cell r="AC402">
            <v>3267.58</v>
          </cell>
          <cell r="AD402">
            <v>4051.56</v>
          </cell>
          <cell r="AE402">
            <v>3836.56</v>
          </cell>
          <cell r="AF402">
            <v>3722.34</v>
          </cell>
        </row>
        <row r="403">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row>
        <row r="404">
          <cell r="D404" t="str">
            <v>Total Overheads (a+b)</v>
          </cell>
          <cell r="E404">
            <v>772</v>
          </cell>
          <cell r="F404">
            <v>141</v>
          </cell>
          <cell r="G404">
            <v>-125.6</v>
          </cell>
          <cell r="H404">
            <v>787.4</v>
          </cell>
          <cell r="I404">
            <v>687</v>
          </cell>
          <cell r="J404">
            <v>315</v>
          </cell>
          <cell r="K404">
            <v>137.06</v>
          </cell>
          <cell r="L404">
            <v>1139.06</v>
          </cell>
          <cell r="M404">
            <v>230.12</v>
          </cell>
          <cell r="N404">
            <v>404</v>
          </cell>
          <cell r="O404">
            <v>707</v>
          </cell>
          <cell r="P404">
            <v>1341.12</v>
          </cell>
          <cell r="Q404">
            <v>783.98</v>
          </cell>
          <cell r="R404">
            <v>-215</v>
          </cell>
          <cell r="S404">
            <v>-114.22</v>
          </cell>
          <cell r="T404">
            <v>454.76</v>
          </cell>
          <cell r="U404">
            <v>772</v>
          </cell>
          <cell r="V404">
            <v>913</v>
          </cell>
          <cell r="W404">
            <v>787.4</v>
          </cell>
          <cell r="X404">
            <v>1474.4</v>
          </cell>
          <cell r="Y404">
            <v>1789.4</v>
          </cell>
          <cell r="Z404">
            <v>1926.46</v>
          </cell>
          <cell r="AA404">
            <v>2156.58</v>
          </cell>
          <cell r="AB404">
            <v>2560.58</v>
          </cell>
          <cell r="AC404">
            <v>3267.58</v>
          </cell>
          <cell r="AD404">
            <v>4051.56</v>
          </cell>
          <cell r="AE404">
            <v>3836.56</v>
          </cell>
          <cell r="AF404">
            <v>3722.34</v>
          </cell>
        </row>
        <row r="405">
          <cell r="D405" t="str">
            <v>OPERATING PROFIT (LOSS)</v>
          </cell>
          <cell r="E405">
            <v>-221.68455878125883</v>
          </cell>
          <cell r="F405">
            <v>504.94606971544044</v>
          </cell>
          <cell r="G405">
            <v>640.89051388864118</v>
          </cell>
          <cell r="H405">
            <v>924.15202482282291</v>
          </cell>
          <cell r="I405">
            <v>28.674608942603982</v>
          </cell>
          <cell r="J405">
            <v>400.32587260832247</v>
          </cell>
          <cell r="K405">
            <v>414.92016099937979</v>
          </cell>
          <cell r="L405">
            <v>843.92064255030618</v>
          </cell>
          <cell r="M405">
            <v>286.16751420182186</v>
          </cell>
          <cell r="N405">
            <v>65.429969141159916</v>
          </cell>
          <cell r="O405">
            <v>-323.90722210793393</v>
          </cell>
          <cell r="P405">
            <v>27.690261235047956</v>
          </cell>
          <cell r="Q405">
            <v>-330.65443965033649</v>
          </cell>
          <cell r="R405">
            <v>678.63196616912683</v>
          </cell>
          <cell r="S405">
            <v>624.85268605656404</v>
          </cell>
          <cell r="T405">
            <v>972.83021257535438</v>
          </cell>
          <cell r="U405">
            <v>-221.68455878125883</v>
          </cell>
          <cell r="V405">
            <v>283.26151093418162</v>
          </cell>
          <cell r="W405">
            <v>924.1520248228228</v>
          </cell>
          <cell r="X405">
            <v>952.82663376542678</v>
          </cell>
          <cell r="Y405">
            <v>1353.1525063737492</v>
          </cell>
          <cell r="Z405">
            <v>1768.072667373129</v>
          </cell>
          <cell r="AA405">
            <v>2054.2401815749508</v>
          </cell>
          <cell r="AB405">
            <v>2119.6701507161106</v>
          </cell>
          <cell r="AC405">
            <v>1795.7629286081767</v>
          </cell>
          <cell r="AD405">
            <v>1465.1084889578401</v>
          </cell>
          <cell r="AE405">
            <v>2143.7404551269669</v>
          </cell>
          <cell r="AF405">
            <v>2768.5931411835309</v>
          </cell>
        </row>
        <row r="408">
          <cell r="D408">
            <v>4</v>
          </cell>
          <cell r="E408">
            <v>5</v>
          </cell>
          <cell r="F408">
            <v>6</v>
          </cell>
          <cell r="G408">
            <v>7</v>
          </cell>
          <cell r="H408">
            <v>8</v>
          </cell>
          <cell r="I408">
            <v>9</v>
          </cell>
          <cell r="J408">
            <v>10</v>
          </cell>
          <cell r="K408">
            <v>11</v>
          </cell>
          <cell r="L408">
            <v>12</v>
          </cell>
          <cell r="M408">
            <v>13</v>
          </cell>
          <cell r="N408">
            <v>14</v>
          </cell>
          <cell r="O408">
            <v>15</v>
          </cell>
          <cell r="P408">
            <v>16</v>
          </cell>
          <cell r="Q408">
            <v>17</v>
          </cell>
          <cell r="R408">
            <v>18</v>
          </cell>
          <cell r="S408">
            <v>19</v>
          </cell>
          <cell r="T408">
            <v>20</v>
          </cell>
          <cell r="U408">
            <v>21</v>
          </cell>
          <cell r="V408">
            <v>22</v>
          </cell>
          <cell r="W408">
            <v>23</v>
          </cell>
          <cell r="X408">
            <v>24</v>
          </cell>
          <cell r="Y408">
            <v>25</v>
          </cell>
          <cell r="Z408">
            <v>26</v>
          </cell>
          <cell r="AA408">
            <v>27</v>
          </cell>
          <cell r="AB408">
            <v>28</v>
          </cell>
          <cell r="AC408">
            <v>29</v>
          </cell>
          <cell r="AD408">
            <v>30</v>
          </cell>
          <cell r="AE408">
            <v>31</v>
          </cell>
          <cell r="AF408">
            <v>32</v>
          </cell>
        </row>
        <row r="409">
          <cell r="E409" t="str">
            <v>Actual</v>
          </cell>
          <cell r="F409" t="str">
            <v>Actual</v>
          </cell>
          <cell r="G409" t="str">
            <v>Actual</v>
          </cell>
          <cell r="H409" t="str">
            <v>Actual</v>
          </cell>
          <cell r="I409" t="str">
            <v>Actual</v>
          </cell>
          <cell r="J409" t="str">
            <v>Actual</v>
          </cell>
          <cell r="K409" t="str">
            <v>Actual</v>
          </cell>
          <cell r="L409" t="str">
            <v>Actual</v>
          </cell>
          <cell r="M409" t="str">
            <v>Actual</v>
          </cell>
          <cell r="N409" t="str">
            <v>Actual</v>
          </cell>
          <cell r="O409" t="str">
            <v>Actual</v>
          </cell>
          <cell r="P409" t="str">
            <v>Actual</v>
          </cell>
          <cell r="Q409" t="str">
            <v>Actual</v>
          </cell>
          <cell r="R409" t="str">
            <v>Actual</v>
          </cell>
          <cell r="S409" t="str">
            <v>Actual</v>
          </cell>
          <cell r="T409" t="str">
            <v>Actual</v>
          </cell>
          <cell r="U409" t="str">
            <v>Cumu Aud</v>
          </cell>
          <cell r="V409" t="str">
            <v>Cumu Aud</v>
          </cell>
          <cell r="W409" t="str">
            <v>Cumu Aud</v>
          </cell>
          <cell r="X409" t="str">
            <v>Cumu Aud</v>
          </cell>
          <cell r="Y409" t="str">
            <v>Cumu Aud</v>
          </cell>
          <cell r="Z409" t="str">
            <v>Cumu Aud</v>
          </cell>
          <cell r="AA409" t="str">
            <v>Cumu Aud</v>
          </cell>
          <cell r="AB409" t="str">
            <v>Cumu Aud</v>
          </cell>
          <cell r="AC409" t="str">
            <v>Cumu Aud</v>
          </cell>
          <cell r="AD409" t="str">
            <v>Cumu Aud</v>
          </cell>
          <cell r="AE409" t="str">
            <v>Cumu Aud</v>
          </cell>
          <cell r="AF409" t="str">
            <v>Cumu Aud</v>
          </cell>
        </row>
        <row r="410">
          <cell r="D410" t="str">
            <v>Particulars</v>
          </cell>
          <cell r="E410">
            <v>41286</v>
          </cell>
          <cell r="F410">
            <v>41317</v>
          </cell>
          <cell r="G410">
            <v>41345</v>
          </cell>
          <cell r="H410" t="str">
            <v>Q-1</v>
          </cell>
          <cell r="I410">
            <v>41376</v>
          </cell>
          <cell r="J410">
            <v>41406</v>
          </cell>
          <cell r="K410">
            <v>41437</v>
          </cell>
          <cell r="L410" t="str">
            <v>Q-2</v>
          </cell>
          <cell r="M410">
            <v>41467</v>
          </cell>
          <cell r="N410">
            <v>41498</v>
          </cell>
          <cell r="O410">
            <v>41529</v>
          </cell>
          <cell r="P410" t="str">
            <v>Q-3</v>
          </cell>
          <cell r="Q410">
            <v>41559</v>
          </cell>
          <cell r="R410">
            <v>41590</v>
          </cell>
          <cell r="S410">
            <v>41620</v>
          </cell>
          <cell r="T410" t="str">
            <v>Q-4</v>
          </cell>
          <cell r="U410">
            <v>41286</v>
          </cell>
          <cell r="V410">
            <v>41317</v>
          </cell>
          <cell r="W410">
            <v>41345</v>
          </cell>
          <cell r="X410">
            <v>41376</v>
          </cell>
          <cell r="Y410">
            <v>41406</v>
          </cell>
          <cell r="Z410">
            <v>41437</v>
          </cell>
          <cell r="AA410">
            <v>41467</v>
          </cell>
          <cell r="AB410">
            <v>41498</v>
          </cell>
          <cell r="AC410">
            <v>41529</v>
          </cell>
          <cell r="AD410">
            <v>41559</v>
          </cell>
          <cell r="AE410">
            <v>41590</v>
          </cell>
          <cell r="AF410">
            <v>41620</v>
          </cell>
        </row>
        <row r="412">
          <cell r="D412" t="str">
            <v>Sales</v>
          </cell>
          <cell r="E412">
            <v>91.28</v>
          </cell>
          <cell r="F412">
            <v>49.18</v>
          </cell>
          <cell r="G412">
            <v>37.04</v>
          </cell>
          <cell r="H412">
            <v>177.5</v>
          </cell>
          <cell r="I412">
            <v>37.270000000000003</v>
          </cell>
          <cell r="J412">
            <v>45.454166000000065</v>
          </cell>
          <cell r="K412">
            <v>27.805489000000026</v>
          </cell>
          <cell r="L412">
            <v>110.52965500000009</v>
          </cell>
          <cell r="M412">
            <v>15.27</v>
          </cell>
          <cell r="N412">
            <v>13.89</v>
          </cell>
          <cell r="O412">
            <v>8.1999999999999993</v>
          </cell>
          <cell r="P412">
            <v>37.36</v>
          </cell>
          <cell r="Q412">
            <v>6.1911753999999979</v>
          </cell>
          <cell r="R412">
            <v>-2.3101704000000001</v>
          </cell>
          <cell r="S412">
            <v>2.34</v>
          </cell>
          <cell r="T412">
            <v>6.2210049999999981</v>
          </cell>
          <cell r="U412">
            <v>91.28</v>
          </cell>
          <cell r="V412">
            <v>140.46</v>
          </cell>
          <cell r="W412">
            <v>177.5</v>
          </cell>
          <cell r="X412">
            <v>214.77</v>
          </cell>
          <cell r="Y412">
            <v>260.22416600000008</v>
          </cell>
          <cell r="Z412">
            <v>288.0296550000001</v>
          </cell>
          <cell r="AA412">
            <v>303.29965500000009</v>
          </cell>
          <cell r="AB412">
            <v>317.18965500000007</v>
          </cell>
          <cell r="AC412">
            <v>325.38965500000006</v>
          </cell>
          <cell r="AD412">
            <v>331.58083040000008</v>
          </cell>
          <cell r="AE412">
            <v>329.27066000000008</v>
          </cell>
          <cell r="AF412">
            <v>331.61066000000005</v>
          </cell>
        </row>
        <row r="413">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row>
        <row r="414">
          <cell r="D414" t="str">
            <v>Cost of Goods Sold</v>
          </cell>
          <cell r="E414">
            <v>34.82</v>
          </cell>
          <cell r="F414">
            <v>18.73</v>
          </cell>
          <cell r="G414">
            <v>14.14</v>
          </cell>
          <cell r="H414">
            <v>67.69</v>
          </cell>
          <cell r="I414">
            <v>14.13</v>
          </cell>
          <cell r="J414">
            <v>18.43</v>
          </cell>
          <cell r="K414">
            <v>11.293065257639416</v>
          </cell>
          <cell r="L414">
            <v>43.853065257639415</v>
          </cell>
          <cell r="M414">
            <v>6.1</v>
          </cell>
          <cell r="N414">
            <v>5.55</v>
          </cell>
          <cell r="O414">
            <v>3.34</v>
          </cell>
          <cell r="P414">
            <v>14.989999999999998</v>
          </cell>
          <cell r="Q414">
            <v>2.1814073016275364</v>
          </cell>
          <cell r="R414">
            <v>-0.98302321625589395</v>
          </cell>
          <cell r="S414">
            <v>1.4298051710612927</v>
          </cell>
          <cell r="T414">
            <v>2.6281892564329352</v>
          </cell>
          <cell r="U414">
            <v>34.82</v>
          </cell>
          <cell r="V414">
            <v>53.55</v>
          </cell>
          <cell r="W414">
            <v>67.69</v>
          </cell>
          <cell r="X414">
            <v>81.819999999999993</v>
          </cell>
          <cell r="Y414">
            <v>100.25</v>
          </cell>
          <cell r="Z414">
            <v>111.54306525763941</v>
          </cell>
          <cell r="AA414">
            <v>117.64306525763941</v>
          </cell>
          <cell r="AB414">
            <v>123.1930652576394</v>
          </cell>
          <cell r="AC414">
            <v>126.53306525763941</v>
          </cell>
          <cell r="AD414">
            <v>128.71447255926694</v>
          </cell>
          <cell r="AE414">
            <v>127.73144934301105</v>
          </cell>
          <cell r="AF414">
            <v>129.16125451407234</v>
          </cell>
        </row>
        <row r="415">
          <cell r="D415" t="str">
            <v>ED Savings</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row>
        <row r="416">
          <cell r="D416" t="str">
            <v>PRISM II &amp; PSM Savings</v>
          </cell>
          <cell r="E416">
            <v>1.5644064386317906</v>
          </cell>
          <cell r="F416">
            <v>0.48042094819127251</v>
          </cell>
          <cell r="G416">
            <v>0.38144862897614756</v>
          </cell>
          <cell r="H416">
            <v>2.4262760157992105</v>
          </cell>
          <cell r="I416">
            <v>0.48351830635922105</v>
          </cell>
          <cell r="J416">
            <v>0.39645328570057131</v>
          </cell>
          <cell r="K416">
            <v>0.88601216022055296</v>
          </cell>
          <cell r="L416">
            <v>1.7659837522803454</v>
          </cell>
          <cell r="M416">
            <v>0.15196114847718123</v>
          </cell>
          <cell r="N416">
            <v>0.15323497078053583</v>
          </cell>
          <cell r="O416">
            <v>0.10008914489474047</v>
          </cell>
          <cell r="P416">
            <v>0.40528526415245753</v>
          </cell>
          <cell r="Q416">
            <v>6.4594841926762292E-2</v>
          </cell>
          <cell r="R416">
            <v>-2.2829948147734497E-2</v>
          </cell>
          <cell r="S416">
            <v>3.0789573039903297E-2</v>
          </cell>
          <cell r="T416">
            <v>7.2554466818931102E-2</v>
          </cell>
          <cell r="U416">
            <v>1.5644064386317906</v>
          </cell>
          <cell r="V416">
            <v>2.0448273868230631</v>
          </cell>
          <cell r="W416">
            <v>2.4262760157992105</v>
          </cell>
          <cell r="X416">
            <v>2.9097943221584317</v>
          </cell>
          <cell r="Y416">
            <v>3.3062476078590031</v>
          </cell>
          <cell r="Z416">
            <v>4.1922597680795564</v>
          </cell>
          <cell r="AA416">
            <v>4.344220916556738</v>
          </cell>
          <cell r="AB416">
            <v>4.4974558873372743</v>
          </cell>
          <cell r="AC416">
            <v>4.5975450322320146</v>
          </cell>
          <cell r="AD416">
            <v>4.6621398741587772</v>
          </cell>
          <cell r="AE416">
            <v>4.6393099260110429</v>
          </cell>
          <cell r="AF416">
            <v>4.6700994990509459</v>
          </cell>
        </row>
        <row r="417">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row>
        <row r="418">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row>
        <row r="419">
          <cell r="D419" t="str">
            <v>Contribution</v>
          </cell>
          <cell r="E419">
            <v>58.024406438631793</v>
          </cell>
          <cell r="F419">
            <v>30.930420948191273</v>
          </cell>
          <cell r="G419">
            <v>23.281448628976147</v>
          </cell>
          <cell r="H419">
            <v>112.23627601579921</v>
          </cell>
          <cell r="I419">
            <v>23.623518306359223</v>
          </cell>
          <cell r="J419">
            <v>27.420619285700635</v>
          </cell>
          <cell r="K419">
            <v>17.398435902581163</v>
          </cell>
          <cell r="L419">
            <v>68.442573494641024</v>
          </cell>
          <cell r="M419">
            <v>9.3219611484771807</v>
          </cell>
          <cell r="N419">
            <v>8.4932349707805361</v>
          </cell>
          <cell r="O419">
            <v>4.9600891448947397</v>
          </cell>
          <cell r="P419">
            <v>22.775285264152458</v>
          </cell>
          <cell r="Q419">
            <v>4.0743629402992241</v>
          </cell>
          <cell r="R419">
            <v>-1.3499771318918408</v>
          </cell>
          <cell r="S419">
            <v>0.94098440197861044</v>
          </cell>
          <cell r="T419">
            <v>3.6653702103859942</v>
          </cell>
          <cell r="U419">
            <v>58.024406438631793</v>
          </cell>
          <cell r="V419">
            <v>88.954827386823069</v>
          </cell>
          <cell r="W419">
            <v>112.23627601579922</v>
          </cell>
          <cell r="X419">
            <v>135.85979432215845</v>
          </cell>
          <cell r="Y419">
            <v>163.28041360785909</v>
          </cell>
          <cell r="Z419">
            <v>180.67884951044024</v>
          </cell>
          <cell r="AA419">
            <v>190.00081065891743</v>
          </cell>
          <cell r="AB419">
            <v>198.49404562969798</v>
          </cell>
          <cell r="AC419">
            <v>203.45413477459272</v>
          </cell>
          <cell r="AD419">
            <v>207.52849771489196</v>
          </cell>
          <cell r="AE419">
            <v>206.17852058300011</v>
          </cell>
          <cell r="AF419">
            <v>207.1195049849787</v>
          </cell>
        </row>
        <row r="420">
          <cell r="D420">
            <v>0</v>
          </cell>
          <cell r="E420">
            <v>0.63567491716292501</v>
          </cell>
          <cell r="F420">
            <v>0.62892275209823656</v>
          </cell>
          <cell r="G420">
            <v>0.62854882907602994</v>
          </cell>
          <cell r="H420">
            <v>0.63231704797633359</v>
          </cell>
          <cell r="I420">
            <v>0.63384808978693907</v>
          </cell>
          <cell r="J420">
            <v>0.60325866028870923</v>
          </cell>
          <cell r="K420">
            <v>0.62571947224453228</v>
          </cell>
          <cell r="L420">
            <v>0.61922362369303485</v>
          </cell>
          <cell r="M420">
            <v>0.61047551725456328</v>
          </cell>
          <cell r="N420">
            <v>0.6114640007761365</v>
          </cell>
          <cell r="O420">
            <v>0.60488892010911466</v>
          </cell>
          <cell r="P420">
            <v>0.60961684325889876</v>
          </cell>
          <cell r="Q420">
            <v>0.65809199014119768</v>
          </cell>
          <cell r="R420">
            <v>0.58436257857508722</v>
          </cell>
          <cell r="S420">
            <v>0.40213008631564551</v>
          </cell>
          <cell r="T420">
            <v>0.58919261604612039</v>
          </cell>
          <cell r="U420">
            <v>0.63567491716292501</v>
          </cell>
          <cell r="V420">
            <v>0.63331074602607906</v>
          </cell>
          <cell r="W420">
            <v>0.63231704797633359</v>
          </cell>
          <cell r="X420">
            <v>0.63258273651887342</v>
          </cell>
          <cell r="Y420">
            <v>0.62746060874246024</v>
          </cell>
          <cell r="Z420">
            <v>0.62729252482852915</v>
          </cell>
          <cell r="AA420">
            <v>0.62644585157512744</v>
          </cell>
          <cell r="AB420">
            <v>0.62578978381151151</v>
          </cell>
          <cell r="AC420">
            <v>0.62526307043963236</v>
          </cell>
          <cell r="AD420">
            <v>0.6258760419428997</v>
          </cell>
          <cell r="AE420">
            <v>0.62616730134109144</v>
          </cell>
          <cell r="AF420">
            <v>0.62458638990971727</v>
          </cell>
        </row>
        <row r="421">
          <cell r="D421" t="str">
            <v>Overheads</v>
          </cell>
        </row>
        <row r="422">
          <cell r="D422" t="str">
            <v>Advertisement Exp.</v>
          </cell>
          <cell r="E422">
            <v>173</v>
          </cell>
          <cell r="F422">
            <v>142</v>
          </cell>
          <cell r="G422">
            <v>8</v>
          </cell>
          <cell r="H422">
            <v>323</v>
          </cell>
          <cell r="I422">
            <v>251.97</v>
          </cell>
          <cell r="J422">
            <v>122</v>
          </cell>
          <cell r="K422">
            <v>0.66</v>
          </cell>
          <cell r="L422">
            <v>374.63000000000005</v>
          </cell>
          <cell r="M422">
            <v>0</v>
          </cell>
          <cell r="N422">
            <v>12</v>
          </cell>
          <cell r="O422">
            <v>0</v>
          </cell>
          <cell r="P422">
            <v>12</v>
          </cell>
          <cell r="Q422">
            <v>0</v>
          </cell>
          <cell r="R422">
            <v>-3</v>
          </cell>
          <cell r="S422">
            <v>0</v>
          </cell>
          <cell r="T422">
            <v>-3</v>
          </cell>
          <cell r="U422">
            <v>173</v>
          </cell>
          <cell r="V422">
            <v>315</v>
          </cell>
          <cell r="W422">
            <v>323</v>
          </cell>
          <cell r="X422">
            <v>574.97</v>
          </cell>
          <cell r="Y422">
            <v>696.97</v>
          </cell>
          <cell r="Z422">
            <v>697.63</v>
          </cell>
          <cell r="AA422">
            <v>697.63</v>
          </cell>
          <cell r="AB422">
            <v>709.63</v>
          </cell>
          <cell r="AC422">
            <v>709.63</v>
          </cell>
          <cell r="AD422">
            <v>709.63</v>
          </cell>
          <cell r="AE422">
            <v>706.63</v>
          </cell>
          <cell r="AF422">
            <v>706.63</v>
          </cell>
        </row>
        <row r="423">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row>
        <row r="424">
          <cell r="D424" t="str">
            <v>Total Overheads (a+b)</v>
          </cell>
          <cell r="E424">
            <v>173</v>
          </cell>
          <cell r="F424">
            <v>142</v>
          </cell>
          <cell r="G424">
            <v>8</v>
          </cell>
          <cell r="H424">
            <v>323</v>
          </cell>
          <cell r="I424">
            <v>251.97</v>
          </cell>
          <cell r="J424">
            <v>122</v>
          </cell>
          <cell r="K424">
            <v>0.66</v>
          </cell>
          <cell r="L424">
            <v>374.63000000000005</v>
          </cell>
          <cell r="M424">
            <v>0</v>
          </cell>
          <cell r="N424">
            <v>12</v>
          </cell>
          <cell r="O424">
            <v>0</v>
          </cell>
          <cell r="P424">
            <v>12</v>
          </cell>
          <cell r="Q424">
            <v>0</v>
          </cell>
          <cell r="R424">
            <v>-3</v>
          </cell>
          <cell r="S424">
            <v>0</v>
          </cell>
          <cell r="T424">
            <v>-3</v>
          </cell>
          <cell r="U424">
            <v>173</v>
          </cell>
          <cell r="V424">
            <v>315</v>
          </cell>
          <cell r="W424">
            <v>323</v>
          </cell>
          <cell r="X424">
            <v>574.97</v>
          </cell>
          <cell r="Y424">
            <v>696.97</v>
          </cell>
          <cell r="Z424">
            <v>697.63</v>
          </cell>
          <cell r="AA424">
            <v>697.63</v>
          </cell>
          <cell r="AB424">
            <v>709.63</v>
          </cell>
          <cell r="AC424">
            <v>709.63</v>
          </cell>
          <cell r="AD424">
            <v>709.63</v>
          </cell>
          <cell r="AE424">
            <v>706.63</v>
          </cell>
          <cell r="AF424">
            <v>706.63</v>
          </cell>
        </row>
        <row r="425">
          <cell r="D425" t="str">
            <v>OPERATING PROFIT (LOSS)</v>
          </cell>
          <cell r="E425">
            <v>-114.97559356136821</v>
          </cell>
          <cell r="F425">
            <v>-111.06957905180873</v>
          </cell>
          <cell r="G425">
            <v>15.281448628976147</v>
          </cell>
          <cell r="H425">
            <v>-210.76372398420079</v>
          </cell>
          <cell r="I425">
            <v>-228.34648169364078</v>
          </cell>
          <cell r="J425">
            <v>-94.579380714299361</v>
          </cell>
          <cell r="K425">
            <v>16.738435902581163</v>
          </cell>
          <cell r="L425">
            <v>-306.18742650535904</v>
          </cell>
          <cell r="M425">
            <v>9.3219611484771807</v>
          </cell>
          <cell r="N425">
            <v>-3.5067650292194639</v>
          </cell>
          <cell r="O425">
            <v>4.9600891448947397</v>
          </cell>
          <cell r="P425">
            <v>10.775285264152458</v>
          </cell>
          <cell r="Q425">
            <v>4.0743629402992241</v>
          </cell>
          <cell r="R425">
            <v>1.6500228681081592</v>
          </cell>
          <cell r="S425">
            <v>0.94098440197861044</v>
          </cell>
          <cell r="T425">
            <v>6.6653702103859942</v>
          </cell>
          <cell r="U425">
            <v>-114.97559356136821</v>
          </cell>
          <cell r="V425">
            <v>-226.04517261317693</v>
          </cell>
          <cell r="W425">
            <v>-210.76372398420079</v>
          </cell>
          <cell r="X425">
            <v>-439.11020567784158</v>
          </cell>
          <cell r="Y425">
            <v>-533.68958639214088</v>
          </cell>
          <cell r="Z425">
            <v>-516.95115048955972</v>
          </cell>
          <cell r="AA425">
            <v>-507.62918934108257</v>
          </cell>
          <cell r="AB425">
            <v>-511.13595437030204</v>
          </cell>
          <cell r="AC425">
            <v>-506.17586522540728</v>
          </cell>
          <cell r="AD425">
            <v>-502.10150228510804</v>
          </cell>
          <cell r="AE425">
            <v>-500.45147941699986</v>
          </cell>
          <cell r="AF425">
            <v>-499.51049501502126</v>
          </cell>
        </row>
        <row r="428">
          <cell r="D428">
            <v>4</v>
          </cell>
          <cell r="E428">
            <v>5</v>
          </cell>
          <cell r="F428">
            <v>6</v>
          </cell>
          <cell r="G428">
            <v>7</v>
          </cell>
          <cell r="H428">
            <v>8</v>
          </cell>
          <cell r="I428">
            <v>9</v>
          </cell>
          <cell r="J428">
            <v>10</v>
          </cell>
          <cell r="K428">
            <v>11</v>
          </cell>
          <cell r="L428">
            <v>12</v>
          </cell>
          <cell r="M428">
            <v>13</v>
          </cell>
          <cell r="N428">
            <v>14</v>
          </cell>
          <cell r="O428">
            <v>15</v>
          </cell>
          <cell r="P428">
            <v>16</v>
          </cell>
          <cell r="Q428">
            <v>17</v>
          </cell>
          <cell r="R428">
            <v>18</v>
          </cell>
          <cell r="S428">
            <v>19</v>
          </cell>
          <cell r="T428">
            <v>20</v>
          </cell>
          <cell r="U428">
            <v>21</v>
          </cell>
          <cell r="V428">
            <v>22</v>
          </cell>
          <cell r="W428">
            <v>23</v>
          </cell>
          <cell r="X428">
            <v>24</v>
          </cell>
          <cell r="Y428">
            <v>25</v>
          </cell>
          <cell r="Z428">
            <v>26</v>
          </cell>
          <cell r="AA428">
            <v>27</v>
          </cell>
          <cell r="AB428">
            <v>28</v>
          </cell>
          <cell r="AC428">
            <v>29</v>
          </cell>
          <cell r="AD428">
            <v>30</v>
          </cell>
          <cell r="AE428">
            <v>31</v>
          </cell>
          <cell r="AF428">
            <v>32</v>
          </cell>
        </row>
        <row r="429">
          <cell r="E429" t="str">
            <v>Actual</v>
          </cell>
          <cell r="F429" t="str">
            <v>Actual</v>
          </cell>
          <cell r="G429" t="str">
            <v>Actual</v>
          </cell>
          <cell r="H429" t="str">
            <v>Actual</v>
          </cell>
          <cell r="I429" t="str">
            <v>Actual</v>
          </cell>
          <cell r="J429" t="str">
            <v>Actual</v>
          </cell>
          <cell r="K429" t="str">
            <v>Actual</v>
          </cell>
          <cell r="L429" t="str">
            <v>Actual</v>
          </cell>
          <cell r="M429" t="str">
            <v>Actual</v>
          </cell>
          <cell r="N429" t="str">
            <v>Actual</v>
          </cell>
          <cell r="O429" t="str">
            <v>Actual</v>
          </cell>
          <cell r="P429" t="str">
            <v>Actual</v>
          </cell>
          <cell r="Q429" t="str">
            <v>Actual</v>
          </cell>
          <cell r="R429" t="str">
            <v>Actual</v>
          </cell>
          <cell r="S429" t="str">
            <v>Actual</v>
          </cell>
          <cell r="T429" t="str">
            <v>Actual</v>
          </cell>
          <cell r="U429" t="str">
            <v>Cumu Aud</v>
          </cell>
          <cell r="V429" t="str">
            <v>Cumu Aud</v>
          </cell>
          <cell r="W429" t="str">
            <v>Cumu Aud</v>
          </cell>
          <cell r="X429" t="str">
            <v>Cumu Aud</v>
          </cell>
          <cell r="Y429" t="str">
            <v>Cumu Aud</v>
          </cell>
          <cell r="Z429" t="str">
            <v>Cumu Aud</v>
          </cell>
          <cell r="AA429" t="str">
            <v>Cumu Aud</v>
          </cell>
          <cell r="AB429" t="str">
            <v>Cumu Aud</v>
          </cell>
          <cell r="AC429" t="str">
            <v>Cumu Aud</v>
          </cell>
          <cell r="AD429" t="str">
            <v>Cumu Aud</v>
          </cell>
          <cell r="AE429" t="str">
            <v>Cumu Aud</v>
          </cell>
          <cell r="AF429" t="str">
            <v>Cumu Aud</v>
          </cell>
        </row>
        <row r="430">
          <cell r="D430" t="str">
            <v>Particulars</v>
          </cell>
          <cell r="E430">
            <v>41286</v>
          </cell>
          <cell r="F430">
            <v>41317</v>
          </cell>
          <cell r="G430">
            <v>41345</v>
          </cell>
          <cell r="H430" t="str">
            <v>Q-1</v>
          </cell>
          <cell r="I430">
            <v>41376</v>
          </cell>
          <cell r="J430">
            <v>41406</v>
          </cell>
          <cell r="K430">
            <v>41437</v>
          </cell>
          <cell r="L430" t="str">
            <v>Q-2</v>
          </cell>
          <cell r="M430">
            <v>41467</v>
          </cell>
          <cell r="N430">
            <v>41498</v>
          </cell>
          <cell r="O430">
            <v>41529</v>
          </cell>
          <cell r="P430" t="str">
            <v>Q-3</v>
          </cell>
          <cell r="Q430">
            <v>41559</v>
          </cell>
          <cell r="R430">
            <v>41590</v>
          </cell>
          <cell r="S430">
            <v>41620</v>
          </cell>
          <cell r="T430" t="str">
            <v>Q-4</v>
          </cell>
          <cell r="U430">
            <v>41286</v>
          </cell>
          <cell r="V430">
            <v>41317</v>
          </cell>
          <cell r="W430">
            <v>41345</v>
          </cell>
          <cell r="X430">
            <v>41376</v>
          </cell>
          <cell r="Y430">
            <v>41406</v>
          </cell>
          <cell r="Z430">
            <v>41437</v>
          </cell>
          <cell r="AA430">
            <v>41467</v>
          </cell>
          <cell r="AB430">
            <v>41498</v>
          </cell>
          <cell r="AC430">
            <v>41529</v>
          </cell>
          <cell r="AD430">
            <v>41559</v>
          </cell>
          <cell r="AE430">
            <v>41590</v>
          </cell>
          <cell r="AF430">
            <v>41620</v>
          </cell>
        </row>
        <row r="432">
          <cell r="D432" t="str">
            <v>Sales</v>
          </cell>
          <cell r="E432">
            <v>47.370000000000005</v>
          </cell>
          <cell r="F432">
            <v>31</v>
          </cell>
          <cell r="G432">
            <v>26.8</v>
          </cell>
          <cell r="H432">
            <v>105.17</v>
          </cell>
          <cell r="I432">
            <v>40.119999999999997</v>
          </cell>
          <cell r="J432">
            <v>28.19510719999996</v>
          </cell>
          <cell r="K432">
            <v>18.80142109999997</v>
          </cell>
          <cell r="L432">
            <v>87.116528299999928</v>
          </cell>
          <cell r="M432">
            <v>23.4</v>
          </cell>
          <cell r="N432">
            <v>25.92</v>
          </cell>
          <cell r="O432">
            <v>30.66</v>
          </cell>
          <cell r="P432">
            <v>79.98</v>
          </cell>
          <cell r="Q432">
            <v>18.325169299999985</v>
          </cell>
          <cell r="R432">
            <v>8.8214402999999955</v>
          </cell>
          <cell r="S432">
            <v>19.813979300000007</v>
          </cell>
          <cell r="T432">
            <v>46.960588899999991</v>
          </cell>
          <cell r="U432">
            <v>47.370000000000005</v>
          </cell>
          <cell r="V432">
            <v>78.37</v>
          </cell>
          <cell r="W432">
            <v>105.17</v>
          </cell>
          <cell r="X432">
            <v>145.29</v>
          </cell>
          <cell r="Y432">
            <v>173.48510719999996</v>
          </cell>
          <cell r="Z432">
            <v>192.28652829999993</v>
          </cell>
          <cell r="AA432">
            <v>215.68652829999994</v>
          </cell>
          <cell r="AB432">
            <v>241.60652829999992</v>
          </cell>
          <cell r="AC432">
            <v>272.26652829999995</v>
          </cell>
          <cell r="AD432">
            <v>290.59169759999992</v>
          </cell>
          <cell r="AE432">
            <v>299.41313789999992</v>
          </cell>
          <cell r="AF432">
            <v>319.22711719999995</v>
          </cell>
        </row>
        <row r="433">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row>
        <row r="434">
          <cell r="D434" t="str">
            <v>Cost of Goods Sold</v>
          </cell>
          <cell r="E434">
            <v>25.59</v>
          </cell>
          <cell r="F434">
            <v>16.95</v>
          </cell>
          <cell r="G434">
            <v>13.89</v>
          </cell>
          <cell r="H434">
            <v>56.43</v>
          </cell>
          <cell r="I434">
            <v>21.01</v>
          </cell>
          <cell r="J434">
            <v>14.762381222000002</v>
          </cell>
          <cell r="K434">
            <v>9.2322918839999968</v>
          </cell>
          <cell r="L434">
            <v>45.004673106000006</v>
          </cell>
          <cell r="M434">
            <v>13.22</v>
          </cell>
          <cell r="N434">
            <v>17.13</v>
          </cell>
          <cell r="O434">
            <v>33.76</v>
          </cell>
          <cell r="P434">
            <v>64.11</v>
          </cell>
          <cell r="Q434">
            <v>9.6232803300000036</v>
          </cell>
          <cell r="R434">
            <v>4.1130692699999996</v>
          </cell>
          <cell r="S434">
            <v>7.7405413039999988</v>
          </cell>
          <cell r="T434">
            <v>21.476890904000001</v>
          </cell>
          <cell r="U434">
            <v>25.59</v>
          </cell>
          <cell r="V434">
            <v>42.54</v>
          </cell>
          <cell r="W434">
            <v>56.43</v>
          </cell>
          <cell r="X434">
            <v>77.44</v>
          </cell>
          <cell r="Y434">
            <v>92.202381222</v>
          </cell>
          <cell r="Z434">
            <v>101.43467310599999</v>
          </cell>
          <cell r="AA434">
            <v>114.65467310599999</v>
          </cell>
          <cell r="AB434">
            <v>131.78467310599999</v>
          </cell>
          <cell r="AC434">
            <v>165.54467310599998</v>
          </cell>
          <cell r="AD434">
            <v>175.16795343599998</v>
          </cell>
          <cell r="AE434">
            <v>179.28102270599999</v>
          </cell>
          <cell r="AF434">
            <v>187.02156400999999</v>
          </cell>
        </row>
        <row r="435">
          <cell r="D435" t="str">
            <v>ED Savings</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row>
        <row r="436">
          <cell r="D436" t="str">
            <v>PRISM II &amp; PSM Savings</v>
          </cell>
          <cell r="E436">
            <v>0.81185290313308422</v>
          </cell>
          <cell r="F436">
            <v>0.30282735652560894</v>
          </cell>
          <cell r="G436">
            <v>0.27599414839526876</v>
          </cell>
          <cell r="H436">
            <v>1.3906744080539619</v>
          </cell>
          <cell r="I436">
            <v>0.52049247252835917</v>
          </cell>
          <cell r="J436">
            <v>0.24591899651441856</v>
          </cell>
          <cell r="K436">
            <v>0.59910069281742329</v>
          </cell>
          <cell r="L436">
            <v>1.3655121618602011</v>
          </cell>
          <cell r="M436">
            <v>0.23286777173320503</v>
          </cell>
          <cell r="N436">
            <v>0.28595035584099993</v>
          </cell>
          <cell r="O436">
            <v>0.37423575396009062</v>
          </cell>
          <cell r="P436">
            <v>0.89305388153429566</v>
          </cell>
          <cell r="Q436">
            <v>0.19119332561869537</v>
          </cell>
          <cell r="R436">
            <v>8.7176696852031069E-2</v>
          </cell>
          <cell r="S436">
            <v>0.26071109524294112</v>
          </cell>
          <cell r="T436">
            <v>0.53908111771366762</v>
          </cell>
          <cell r="U436">
            <v>0.81185290313308422</v>
          </cell>
          <cell r="V436">
            <v>1.1146802596586931</v>
          </cell>
          <cell r="W436">
            <v>1.3906744080539619</v>
          </cell>
          <cell r="X436">
            <v>1.911166880582321</v>
          </cell>
          <cell r="Y436">
            <v>2.1570858770967396</v>
          </cell>
          <cell r="Z436">
            <v>2.756186569914163</v>
          </cell>
          <cell r="AA436">
            <v>2.9890543416473681</v>
          </cell>
          <cell r="AB436">
            <v>3.275004697488368</v>
          </cell>
          <cell r="AC436">
            <v>3.6492404514484584</v>
          </cell>
          <cell r="AD436">
            <v>3.8404337770671537</v>
          </cell>
          <cell r="AE436">
            <v>3.9276104739191848</v>
          </cell>
          <cell r="AF436">
            <v>4.1883215691621256</v>
          </cell>
        </row>
        <row r="437">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row>
        <row r="438">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row>
        <row r="439">
          <cell r="D439" t="str">
            <v>Contribution</v>
          </cell>
          <cell r="E439">
            <v>22.591852903133088</v>
          </cell>
          <cell r="F439">
            <v>14.35282735652561</v>
          </cell>
          <cell r="G439">
            <v>13.185994148395269</v>
          </cell>
          <cell r="H439">
            <v>50.130674408053963</v>
          </cell>
          <cell r="I439">
            <v>19.630492472528356</v>
          </cell>
          <cell r="J439">
            <v>13.678644974514377</v>
          </cell>
          <cell r="K439">
            <v>10.168229908817397</v>
          </cell>
          <cell r="L439">
            <v>43.477367355860125</v>
          </cell>
          <cell r="M439">
            <v>10.412867771733202</v>
          </cell>
          <cell r="N439">
            <v>9.0759503558410017</v>
          </cell>
          <cell r="O439">
            <v>-2.7257642460399074</v>
          </cell>
          <cell r="P439">
            <v>16.763053881534301</v>
          </cell>
          <cell r="Q439">
            <v>8.8930822956186759</v>
          </cell>
          <cell r="R439">
            <v>4.7955477268520266</v>
          </cell>
          <cell r="S439">
            <v>12.334149091242949</v>
          </cell>
          <cell r="T439">
            <v>26.022779113713657</v>
          </cell>
          <cell r="U439">
            <v>22.591852903133088</v>
          </cell>
          <cell r="V439">
            <v>36.944680259658696</v>
          </cell>
          <cell r="W439">
            <v>50.130674408053963</v>
          </cell>
          <cell r="X439">
            <v>69.761166880582323</v>
          </cell>
          <cell r="Y439">
            <v>83.439811855096707</v>
          </cell>
          <cell r="Z439">
            <v>93.608041763914102</v>
          </cell>
          <cell r="AA439">
            <v>104.02090953564731</v>
          </cell>
          <cell r="AB439">
            <v>113.09685989148831</v>
          </cell>
          <cell r="AC439">
            <v>110.37109564544841</v>
          </cell>
          <cell r="AD439">
            <v>119.26417794106709</v>
          </cell>
          <cell r="AE439">
            <v>124.05972566791911</v>
          </cell>
          <cell r="AF439">
            <v>136.39387475916206</v>
          </cell>
        </row>
        <row r="440">
          <cell r="D440">
            <v>0</v>
          </cell>
          <cell r="E440">
            <v>0.47692321940327392</v>
          </cell>
          <cell r="F440">
            <v>0.46299443085566483</v>
          </cell>
          <cell r="G440">
            <v>0.4920147070296742</v>
          </cell>
          <cell r="H440">
            <v>0.47666325385617536</v>
          </cell>
          <cell r="I440">
            <v>0.48929442852762606</v>
          </cell>
          <cell r="J440">
            <v>0.48514250637480805</v>
          </cell>
          <cell r="K440">
            <v>0.54082241202594061</v>
          </cell>
          <cell r="L440">
            <v>0.499071395569607</v>
          </cell>
          <cell r="M440">
            <v>0.44499434921936765</v>
          </cell>
          <cell r="N440">
            <v>0.35015240570374234</v>
          </cell>
          <cell r="O440">
            <v>-8.8902943445528612E-2</v>
          </cell>
          <cell r="P440">
            <v>0.20959057116196925</v>
          </cell>
          <cell r="Q440">
            <v>0.4852933225352894</v>
          </cell>
          <cell r="R440">
            <v>0.54362412075180389</v>
          </cell>
          <cell r="S440">
            <v>0.62249732395970281</v>
          </cell>
          <cell r="T440">
            <v>0.5541408172952802</v>
          </cell>
          <cell r="U440">
            <v>0.47692321940327392</v>
          </cell>
          <cell r="V440">
            <v>0.47141355441697963</v>
          </cell>
          <cell r="W440">
            <v>0.47666325385617536</v>
          </cell>
          <cell r="X440">
            <v>0.48015119334147105</v>
          </cell>
          <cell r="Y440">
            <v>0.48096239038492367</v>
          </cell>
          <cell r="Z440">
            <v>0.48681539258886364</v>
          </cell>
          <cell r="AA440">
            <v>0.48227819491333218</v>
          </cell>
          <cell r="AB440">
            <v>0.46810349325932654</v>
          </cell>
          <cell r="AC440">
            <v>0.4053788628906847</v>
          </cell>
          <cell r="AD440">
            <v>0.41041839435218302</v>
          </cell>
          <cell r="AE440">
            <v>0.41434295949082045</v>
          </cell>
          <cell r="AF440">
            <v>0.42726280886003026</v>
          </cell>
        </row>
        <row r="441">
          <cell r="D441" t="str">
            <v>Overheads</v>
          </cell>
        </row>
        <row r="442">
          <cell r="D442" t="str">
            <v>Advertisement Exp.</v>
          </cell>
          <cell r="E442">
            <v>170.5</v>
          </cell>
          <cell r="F442">
            <v>0</v>
          </cell>
          <cell r="G442">
            <v>-12.45</v>
          </cell>
          <cell r="H442">
            <v>158.05000000000001</v>
          </cell>
          <cell r="I442">
            <v>279</v>
          </cell>
          <cell r="J442">
            <v>80</v>
          </cell>
          <cell r="K442">
            <v>-5.24</v>
          </cell>
          <cell r="L442">
            <v>353.76</v>
          </cell>
          <cell r="M442">
            <v>-109</v>
          </cell>
          <cell r="N442">
            <v>97.5</v>
          </cell>
          <cell r="O442">
            <v>-38</v>
          </cell>
          <cell r="P442">
            <v>-49.5</v>
          </cell>
          <cell r="Q442">
            <v>-100.5</v>
          </cell>
          <cell r="R442">
            <v>3</v>
          </cell>
          <cell r="S442">
            <v>0</v>
          </cell>
          <cell r="T442">
            <v>-97.5</v>
          </cell>
          <cell r="U442">
            <v>170.5</v>
          </cell>
          <cell r="V442">
            <v>170.5</v>
          </cell>
          <cell r="W442">
            <v>158.05000000000001</v>
          </cell>
          <cell r="X442">
            <v>437.05</v>
          </cell>
          <cell r="Y442">
            <v>517.04999999999995</v>
          </cell>
          <cell r="Z442">
            <v>511.80999999999995</v>
          </cell>
          <cell r="AA442">
            <v>402.80999999999995</v>
          </cell>
          <cell r="AB442">
            <v>500.30999999999995</v>
          </cell>
          <cell r="AC442">
            <v>462.30999999999995</v>
          </cell>
          <cell r="AD442">
            <v>361.80999999999995</v>
          </cell>
          <cell r="AE442">
            <v>364.80999999999995</v>
          </cell>
          <cell r="AF442">
            <v>364.80999999999995</v>
          </cell>
        </row>
        <row r="443">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row>
        <row r="444">
          <cell r="D444" t="str">
            <v>Total Overheads (a+b)</v>
          </cell>
          <cell r="E444">
            <v>170.5</v>
          </cell>
          <cell r="F444">
            <v>0</v>
          </cell>
          <cell r="G444">
            <v>-12.45</v>
          </cell>
          <cell r="H444">
            <v>158.05000000000001</v>
          </cell>
          <cell r="I444">
            <v>279</v>
          </cell>
          <cell r="J444">
            <v>80</v>
          </cell>
          <cell r="K444">
            <v>-5.24</v>
          </cell>
          <cell r="L444">
            <v>353.76</v>
          </cell>
          <cell r="M444">
            <v>-109</v>
          </cell>
          <cell r="N444">
            <v>97.5</v>
          </cell>
          <cell r="O444">
            <v>-38</v>
          </cell>
          <cell r="P444">
            <v>-49.5</v>
          </cell>
          <cell r="Q444">
            <v>-100.5</v>
          </cell>
          <cell r="R444">
            <v>3</v>
          </cell>
          <cell r="S444">
            <v>0</v>
          </cell>
          <cell r="T444">
            <v>-97.5</v>
          </cell>
          <cell r="U444">
            <v>170.5</v>
          </cell>
          <cell r="V444">
            <v>170.5</v>
          </cell>
          <cell r="W444">
            <v>158.05000000000001</v>
          </cell>
          <cell r="X444">
            <v>437.05</v>
          </cell>
          <cell r="Y444">
            <v>517.04999999999995</v>
          </cell>
          <cell r="Z444">
            <v>511.80999999999995</v>
          </cell>
          <cell r="AA444">
            <v>402.80999999999995</v>
          </cell>
          <cell r="AB444">
            <v>500.30999999999995</v>
          </cell>
          <cell r="AC444">
            <v>462.30999999999995</v>
          </cell>
          <cell r="AD444">
            <v>361.80999999999995</v>
          </cell>
          <cell r="AE444">
            <v>364.80999999999995</v>
          </cell>
          <cell r="AF444">
            <v>364.80999999999995</v>
          </cell>
        </row>
        <row r="445">
          <cell r="D445" t="str">
            <v>OPERATING PROFIT (LOSS)</v>
          </cell>
          <cell r="E445">
            <v>-147.90814709686691</v>
          </cell>
          <cell r="F445">
            <v>14.35282735652561</v>
          </cell>
          <cell r="G445">
            <v>25.63599414839527</v>
          </cell>
          <cell r="H445">
            <v>-107.91932559194605</v>
          </cell>
          <cell r="I445">
            <v>-259.36950752747163</v>
          </cell>
          <cell r="J445">
            <v>-66.321355025485616</v>
          </cell>
          <cell r="K445">
            <v>15.408229908817397</v>
          </cell>
          <cell r="L445">
            <v>-310.28263264413988</v>
          </cell>
          <cell r="M445">
            <v>119.4128677717332</v>
          </cell>
          <cell r="N445">
            <v>-88.424049644158998</v>
          </cell>
          <cell r="O445">
            <v>35.274235753960092</v>
          </cell>
          <cell r="P445">
            <v>66.263053881534304</v>
          </cell>
          <cell r="Q445">
            <v>109.39308229561868</v>
          </cell>
          <cell r="R445">
            <v>1.7955477268520266</v>
          </cell>
          <cell r="S445">
            <v>12.334149091242949</v>
          </cell>
          <cell r="T445">
            <v>123.52277911371365</v>
          </cell>
          <cell r="U445">
            <v>-147.90814709686691</v>
          </cell>
          <cell r="V445">
            <v>-133.5553197403413</v>
          </cell>
          <cell r="W445">
            <v>-107.91932559194603</v>
          </cell>
          <cell r="X445">
            <v>-367.28883311941763</v>
          </cell>
          <cell r="Y445">
            <v>-433.61018814490325</v>
          </cell>
          <cell r="Z445">
            <v>-418.20195823608583</v>
          </cell>
          <cell r="AA445">
            <v>-298.78909046435263</v>
          </cell>
          <cell r="AB445">
            <v>-387.21314010851165</v>
          </cell>
          <cell r="AC445">
            <v>-351.93890435455154</v>
          </cell>
          <cell r="AD445">
            <v>-242.54582205893286</v>
          </cell>
          <cell r="AE445">
            <v>-240.75027433208083</v>
          </cell>
          <cell r="AF445">
            <v>-228.41612524083789</v>
          </cell>
        </row>
        <row r="448">
          <cell r="D448">
            <v>4</v>
          </cell>
          <cell r="E448">
            <v>5</v>
          </cell>
          <cell r="F448">
            <v>6</v>
          </cell>
          <cell r="G448">
            <v>7</v>
          </cell>
          <cell r="H448">
            <v>8</v>
          </cell>
          <cell r="I448">
            <v>9</v>
          </cell>
          <cell r="J448">
            <v>10</v>
          </cell>
          <cell r="K448">
            <v>11</v>
          </cell>
          <cell r="L448">
            <v>12</v>
          </cell>
          <cell r="M448">
            <v>13</v>
          </cell>
          <cell r="N448">
            <v>14</v>
          </cell>
          <cell r="O448">
            <v>15</v>
          </cell>
          <cell r="P448">
            <v>16</v>
          </cell>
          <cell r="Q448">
            <v>17</v>
          </cell>
          <cell r="R448">
            <v>18</v>
          </cell>
          <cell r="S448">
            <v>19</v>
          </cell>
          <cell r="T448">
            <v>20</v>
          </cell>
          <cell r="U448">
            <v>21</v>
          </cell>
          <cell r="V448">
            <v>22</v>
          </cell>
          <cell r="W448">
            <v>23</v>
          </cell>
          <cell r="X448">
            <v>24</v>
          </cell>
          <cell r="Y448">
            <v>25</v>
          </cell>
          <cell r="Z448">
            <v>26</v>
          </cell>
          <cell r="AA448">
            <v>27</v>
          </cell>
          <cell r="AB448">
            <v>28</v>
          </cell>
          <cell r="AC448">
            <v>29</v>
          </cell>
          <cell r="AD448">
            <v>30</v>
          </cell>
          <cell r="AE448">
            <v>31</v>
          </cell>
          <cell r="AF448">
            <v>32</v>
          </cell>
        </row>
        <row r="449">
          <cell r="E449" t="str">
            <v>Actual</v>
          </cell>
          <cell r="F449" t="str">
            <v>Actual</v>
          </cell>
          <cell r="G449" t="str">
            <v>Actual</v>
          </cell>
          <cell r="H449" t="str">
            <v>Actual</v>
          </cell>
          <cell r="I449" t="str">
            <v>Actual</v>
          </cell>
          <cell r="J449" t="str">
            <v>Actual</v>
          </cell>
          <cell r="K449" t="str">
            <v>Actual</v>
          </cell>
          <cell r="L449" t="str">
            <v>Actual</v>
          </cell>
          <cell r="M449" t="str">
            <v>Actual</v>
          </cell>
          <cell r="N449" t="str">
            <v>Actual</v>
          </cell>
          <cell r="O449" t="str">
            <v>Actual</v>
          </cell>
          <cell r="P449" t="str">
            <v>Actual</v>
          </cell>
          <cell r="Q449" t="str">
            <v>Actual</v>
          </cell>
          <cell r="R449" t="str">
            <v>Actual</v>
          </cell>
          <cell r="S449" t="str">
            <v>Actual</v>
          </cell>
          <cell r="T449" t="str">
            <v>Actual</v>
          </cell>
          <cell r="U449" t="str">
            <v>Cumu Aud</v>
          </cell>
          <cell r="V449" t="str">
            <v>Cumu Aud</v>
          </cell>
          <cell r="W449" t="str">
            <v>Cumu Aud</v>
          </cell>
          <cell r="X449" t="str">
            <v>Cumu Aud</v>
          </cell>
          <cell r="Y449" t="str">
            <v>Cumu Aud</v>
          </cell>
          <cell r="Z449" t="str">
            <v>Cumu Aud</v>
          </cell>
          <cell r="AA449" t="str">
            <v>Cumu Aud</v>
          </cell>
          <cell r="AB449" t="str">
            <v>Cumu Aud</v>
          </cell>
          <cell r="AC449" t="str">
            <v>Cumu Aud</v>
          </cell>
          <cell r="AD449" t="str">
            <v>Cumu Aud</v>
          </cell>
          <cell r="AE449" t="str">
            <v>Cumu Aud</v>
          </cell>
          <cell r="AF449" t="str">
            <v>Cumu Aud</v>
          </cell>
        </row>
        <row r="450">
          <cell r="D450" t="str">
            <v>Particulars</v>
          </cell>
          <cell r="E450">
            <v>41286</v>
          </cell>
          <cell r="F450">
            <v>41317</v>
          </cell>
          <cell r="G450">
            <v>41345</v>
          </cell>
          <cell r="H450" t="str">
            <v>Q-1</v>
          </cell>
          <cell r="I450">
            <v>41376</v>
          </cell>
          <cell r="J450">
            <v>41406</v>
          </cell>
          <cell r="K450">
            <v>41437</v>
          </cell>
          <cell r="L450" t="str">
            <v>Q-2</v>
          </cell>
          <cell r="M450">
            <v>41467</v>
          </cell>
          <cell r="N450">
            <v>41498</v>
          </cell>
          <cell r="O450">
            <v>41529</v>
          </cell>
          <cell r="P450" t="str">
            <v>Q-3</v>
          </cell>
          <cell r="Q450">
            <v>41559</v>
          </cell>
          <cell r="R450">
            <v>41590</v>
          </cell>
          <cell r="S450">
            <v>41620</v>
          </cell>
          <cell r="T450" t="str">
            <v>Q-4</v>
          </cell>
          <cell r="U450">
            <v>41286</v>
          </cell>
          <cell r="V450">
            <v>41317</v>
          </cell>
          <cell r="W450">
            <v>41345</v>
          </cell>
          <cell r="X450">
            <v>41376</v>
          </cell>
          <cell r="Y450">
            <v>41406</v>
          </cell>
          <cell r="Z450">
            <v>41437</v>
          </cell>
          <cell r="AA450">
            <v>41467</v>
          </cell>
          <cell r="AB450">
            <v>41498</v>
          </cell>
          <cell r="AC450">
            <v>41529</v>
          </cell>
          <cell r="AD450">
            <v>41559</v>
          </cell>
          <cell r="AE450">
            <v>41590</v>
          </cell>
          <cell r="AF450">
            <v>41620</v>
          </cell>
        </row>
        <row r="452">
          <cell r="D452" t="str">
            <v>Sales</v>
          </cell>
          <cell r="E452">
            <v>-0.47</v>
          </cell>
          <cell r="F452">
            <v>-0.49</v>
          </cell>
          <cell r="G452">
            <v>0</v>
          </cell>
          <cell r="H452">
            <v>-0.96</v>
          </cell>
          <cell r="I452">
            <v>0</v>
          </cell>
          <cell r="J452">
            <v>-0.11577459999999999</v>
          </cell>
          <cell r="K452">
            <v>-0.15052559999999998</v>
          </cell>
          <cell r="L452">
            <v>-0.26630019999999999</v>
          </cell>
          <cell r="M452">
            <v>-0.66</v>
          </cell>
          <cell r="N452">
            <v>-0.09</v>
          </cell>
          <cell r="O452">
            <v>-0.12</v>
          </cell>
          <cell r="P452">
            <v>-0.87</v>
          </cell>
          <cell r="Q452">
            <v>-9.3358600000000014E-2</v>
          </cell>
          <cell r="R452">
            <v>-2.1602400000000001E-2</v>
          </cell>
          <cell r="S452">
            <v>-0.10323490000000002</v>
          </cell>
          <cell r="T452">
            <v>-0.21819590000000003</v>
          </cell>
          <cell r="U452">
            <v>-0.47</v>
          </cell>
          <cell r="V452">
            <v>-0.96</v>
          </cell>
          <cell r="W452">
            <v>-0.96</v>
          </cell>
          <cell r="X452">
            <v>-0.96</v>
          </cell>
          <cell r="Y452">
            <v>-1.0757745999999999</v>
          </cell>
          <cell r="Z452">
            <v>-1.2263001999999998</v>
          </cell>
          <cell r="AA452">
            <v>-1.8863002</v>
          </cell>
          <cell r="AB452">
            <v>-1.9763002000000001</v>
          </cell>
          <cell r="AC452">
            <v>-2.0963001999999999</v>
          </cell>
          <cell r="AD452">
            <v>-2.1896588000000001</v>
          </cell>
          <cell r="AE452">
            <v>-2.2112612</v>
          </cell>
          <cell r="AF452">
            <v>-2.3144960999999999</v>
          </cell>
        </row>
        <row r="453">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row>
        <row r="454">
          <cell r="D454" t="str">
            <v>Cost of Goods Sold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row>
        <row r="455">
          <cell r="D455" t="str">
            <v>ED Savings</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row>
        <row r="456">
          <cell r="D456" t="str">
            <v>PRISM II &amp; PSM Savings</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row>
        <row r="458">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row>
        <row r="459">
          <cell r="D459" t="str">
            <v>Contribution</v>
          </cell>
          <cell r="E459">
            <v>-0.47</v>
          </cell>
          <cell r="F459">
            <v>-0.49</v>
          </cell>
          <cell r="G459">
            <v>0</v>
          </cell>
          <cell r="H459">
            <v>-0.96</v>
          </cell>
          <cell r="I459">
            <v>0</v>
          </cell>
          <cell r="J459">
            <v>-0.11577459999999999</v>
          </cell>
          <cell r="K459">
            <v>-0.15052559999999998</v>
          </cell>
          <cell r="L459">
            <v>-0.26630019999999999</v>
          </cell>
          <cell r="M459">
            <v>-0.66</v>
          </cell>
          <cell r="N459">
            <v>-0.09</v>
          </cell>
          <cell r="O459">
            <v>-0.12</v>
          </cell>
          <cell r="P459">
            <v>-0.87</v>
          </cell>
          <cell r="Q459">
            <v>-9.3358600000000014E-2</v>
          </cell>
          <cell r="R459">
            <v>-2.1602400000000001E-2</v>
          </cell>
          <cell r="S459">
            <v>-0.10323490000000002</v>
          </cell>
          <cell r="T459">
            <v>-0.21819590000000003</v>
          </cell>
          <cell r="U459">
            <v>-0.47</v>
          </cell>
          <cell r="V459">
            <v>-0.96</v>
          </cell>
          <cell r="W459">
            <v>-0.96</v>
          </cell>
          <cell r="X459">
            <v>-0.96</v>
          </cell>
          <cell r="Y459">
            <v>-1.0757745999999999</v>
          </cell>
          <cell r="Z459">
            <v>-1.2263001999999998</v>
          </cell>
          <cell r="AA459">
            <v>-1.8863002</v>
          </cell>
          <cell r="AB459">
            <v>-1.9763002000000001</v>
          </cell>
          <cell r="AC459">
            <v>-2.0963001999999999</v>
          </cell>
          <cell r="AD459">
            <v>-2.1896588000000001</v>
          </cell>
          <cell r="AE459">
            <v>-2.2112612</v>
          </cell>
          <cell r="AF459">
            <v>-2.3144960999999999</v>
          </cell>
        </row>
        <row r="460">
          <cell r="D460">
            <v>0</v>
          </cell>
          <cell r="E460">
            <v>1</v>
          </cell>
          <cell r="F460">
            <v>1</v>
          </cell>
          <cell r="G460" t="e">
            <v>#DIV/0!</v>
          </cell>
          <cell r="H460">
            <v>1</v>
          </cell>
          <cell r="I460" t="e">
            <v>#DIV/0!</v>
          </cell>
          <cell r="J460">
            <v>1</v>
          </cell>
          <cell r="K460">
            <v>1</v>
          </cell>
          <cell r="L460">
            <v>1</v>
          </cell>
          <cell r="M460">
            <v>1</v>
          </cell>
          <cell r="N460">
            <v>1</v>
          </cell>
          <cell r="O460">
            <v>1</v>
          </cell>
          <cell r="P460">
            <v>1</v>
          </cell>
          <cell r="Q460">
            <v>1</v>
          </cell>
          <cell r="R460">
            <v>1</v>
          </cell>
          <cell r="S460">
            <v>1</v>
          </cell>
          <cell r="T460">
            <v>1</v>
          </cell>
          <cell r="U460">
            <v>1</v>
          </cell>
          <cell r="V460">
            <v>1</v>
          </cell>
          <cell r="W460">
            <v>1</v>
          </cell>
          <cell r="X460">
            <v>1</v>
          </cell>
          <cell r="Y460">
            <v>1</v>
          </cell>
          <cell r="Z460">
            <v>1</v>
          </cell>
          <cell r="AA460">
            <v>1</v>
          </cell>
          <cell r="AB460">
            <v>1</v>
          </cell>
          <cell r="AC460">
            <v>1</v>
          </cell>
          <cell r="AD460">
            <v>1</v>
          </cell>
          <cell r="AE460">
            <v>1</v>
          </cell>
          <cell r="AF460">
            <v>1</v>
          </cell>
        </row>
        <row r="461">
          <cell r="D461" t="str">
            <v>Overheads</v>
          </cell>
        </row>
        <row r="462">
          <cell r="D462" t="str">
            <v>Advertisement Exp.</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row>
        <row r="463">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row>
        <row r="464">
          <cell r="D464" t="str">
            <v>Total Overheads (a+b)</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row>
        <row r="465">
          <cell r="D465" t="str">
            <v>OPERATING PROFIT (LOSS)</v>
          </cell>
          <cell r="E465">
            <v>-0.47</v>
          </cell>
          <cell r="F465">
            <v>-0.49</v>
          </cell>
          <cell r="G465">
            <v>0</v>
          </cell>
          <cell r="H465">
            <v>-0.96</v>
          </cell>
          <cell r="I465">
            <v>0</v>
          </cell>
          <cell r="J465">
            <v>-0.11577459999999999</v>
          </cell>
          <cell r="K465">
            <v>-0.15052559999999998</v>
          </cell>
          <cell r="L465">
            <v>-0.26630019999999999</v>
          </cell>
          <cell r="M465">
            <v>-0.66</v>
          </cell>
          <cell r="N465">
            <v>-0.09</v>
          </cell>
          <cell r="O465">
            <v>-0.12</v>
          </cell>
          <cell r="P465">
            <v>-0.87</v>
          </cell>
          <cell r="Q465">
            <v>-9.3358600000000014E-2</v>
          </cell>
          <cell r="R465">
            <v>-2.1602400000000001E-2</v>
          </cell>
          <cell r="S465">
            <v>-0.10323490000000002</v>
          </cell>
          <cell r="T465">
            <v>-0.21819590000000003</v>
          </cell>
          <cell r="U465">
            <v>-0.47</v>
          </cell>
          <cell r="V465">
            <v>-0.96</v>
          </cell>
          <cell r="W465">
            <v>-0.96</v>
          </cell>
          <cell r="X465">
            <v>-0.96</v>
          </cell>
          <cell r="Y465">
            <v>-1.0757745999999999</v>
          </cell>
          <cell r="Z465">
            <v>-1.2263001999999998</v>
          </cell>
          <cell r="AA465">
            <v>-1.8863002</v>
          </cell>
          <cell r="AB465">
            <v>-1.9763002000000001</v>
          </cell>
          <cell r="AC465">
            <v>-2.0963001999999999</v>
          </cell>
          <cell r="AD465">
            <v>-2.1896588000000001</v>
          </cell>
          <cell r="AE465">
            <v>-2.2112612</v>
          </cell>
          <cell r="AF465">
            <v>-2.3144960999999999</v>
          </cell>
        </row>
      </sheetData>
      <sheetData sheetId="23"/>
      <sheetData sheetId="2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Highlights"/>
      <sheetName val="P&amp;L_New_Format"/>
      <sheetName val="Sheet2"/>
      <sheetName val="Estimated_P&amp;L"/>
      <sheetName val="Sheet1"/>
      <sheetName val="NP"/>
      <sheetName val="exp"/>
      <sheetName val="WC"/>
      <sheetName val="TB Nutralite"/>
      <sheetName val="TB_Nutralite"/>
      <sheetName val="TB_CPD"/>
      <sheetName val="TB_CPd (2)"/>
      <sheetName val="TB_Sikkim (2)"/>
      <sheetName val="TB_Sikkim"/>
      <sheetName val="Brand P&amp;L"/>
      <sheetName val="Performance"/>
      <sheetName val="Mat_Qty"/>
      <sheetName val="GC-Final_Cpd"/>
      <sheetName val="Pivot"/>
      <sheetName val="GC CPD"/>
      <sheetName val="Variances"/>
      <sheetName val="Brand (2)"/>
      <sheetName val="EC PnL Format"/>
      <sheetName val="Sheet3"/>
    </sheetNames>
    <sheetDataSet>
      <sheetData sheetId="0">
        <row r="7">
          <cell r="D7" t="str">
            <v>Particulars</v>
          </cell>
        </row>
        <row r="90">
          <cell r="D90" t="str">
            <v>Particulars</v>
          </cell>
          <cell r="E90">
            <v>41640</v>
          </cell>
          <cell r="F90">
            <v>41671</v>
          </cell>
          <cell r="G90">
            <v>41699</v>
          </cell>
          <cell r="H90">
            <v>41730</v>
          </cell>
          <cell r="I90">
            <v>41760</v>
          </cell>
          <cell r="J90">
            <v>41791</v>
          </cell>
          <cell r="K90">
            <v>41821</v>
          </cell>
          <cell r="L90">
            <v>41852</v>
          </cell>
          <cell r="M90">
            <v>41883</v>
          </cell>
          <cell r="N90">
            <v>41913</v>
          </cell>
          <cell r="O90">
            <v>41944</v>
          </cell>
          <cell r="P90">
            <v>41974</v>
          </cell>
          <cell r="Q90">
            <v>41640</v>
          </cell>
          <cell r="R90">
            <v>41671</v>
          </cell>
          <cell r="S90">
            <v>41699</v>
          </cell>
          <cell r="T90">
            <v>41730</v>
          </cell>
          <cell r="U90">
            <v>41760</v>
          </cell>
          <cell r="V90">
            <v>41791</v>
          </cell>
          <cell r="W90">
            <v>41821</v>
          </cell>
          <cell r="X90">
            <v>41852</v>
          </cell>
          <cell r="Y90">
            <v>41883</v>
          </cell>
          <cell r="Z90">
            <v>41913</v>
          </cell>
          <cell r="AA90">
            <v>41944</v>
          </cell>
          <cell r="AB90">
            <v>41974</v>
          </cell>
        </row>
        <row r="91">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D92" t="str">
            <v>Sales</v>
          </cell>
          <cell r="E92">
            <v>28.766750176429074</v>
          </cell>
          <cell r="F92">
            <v>25.570444601270278</v>
          </cell>
          <cell r="G92">
            <v>28.766750176429074</v>
          </cell>
          <cell r="H92">
            <v>44.748278052222993</v>
          </cell>
          <cell r="I92">
            <v>95.889167254763606</v>
          </cell>
          <cell r="J92">
            <v>57.533500352858148</v>
          </cell>
          <cell r="K92">
            <v>63.926111503175719</v>
          </cell>
          <cell r="L92">
            <v>63.926111503175719</v>
          </cell>
          <cell r="M92">
            <v>191.77833450952721</v>
          </cell>
          <cell r="N92">
            <v>81.186161609033149</v>
          </cell>
          <cell r="O92">
            <v>95.889167254763606</v>
          </cell>
          <cell r="P92">
            <v>127.85222300635144</v>
          </cell>
          <cell r="Q92">
            <v>28.766750176429074</v>
          </cell>
          <cell r="R92">
            <v>54.337194777699352</v>
          </cell>
          <cell r="S92">
            <v>83.103944954128423</v>
          </cell>
          <cell r="T92">
            <v>127.85222300635141</v>
          </cell>
          <cell r="U92">
            <v>223.74139026111501</v>
          </cell>
          <cell r="V92">
            <v>281.27489061397318</v>
          </cell>
          <cell r="W92">
            <v>345.2010021171489</v>
          </cell>
          <cell r="X92">
            <v>409.12711362032462</v>
          </cell>
          <cell r="Y92">
            <v>600.90544812985183</v>
          </cell>
          <cell r="Z92">
            <v>682.09160973888493</v>
          </cell>
          <cell r="AA92">
            <v>777.98077699364853</v>
          </cell>
          <cell r="AB92">
            <v>905.83299999999997</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row>
        <row r="94">
          <cell r="D94" t="str">
            <v>Cost of Goods Sold</v>
          </cell>
          <cell r="E94">
            <v>12.893530422563165</v>
          </cell>
          <cell r="F94">
            <v>11.460915931167253</v>
          </cell>
          <cell r="G94">
            <v>12.893530422563165</v>
          </cell>
          <cell r="H94">
            <v>20.056602879542698</v>
          </cell>
          <cell r="I94">
            <v>42.978434741877187</v>
          </cell>
          <cell r="J94">
            <v>25.78706084512633</v>
          </cell>
          <cell r="K94">
            <v>28.652289827918143</v>
          </cell>
          <cell r="L94">
            <v>28.652289827918143</v>
          </cell>
          <cell r="M94">
            <v>85.956869483754375</v>
          </cell>
          <cell r="N94">
            <v>36.388408081456049</v>
          </cell>
          <cell r="O94">
            <v>42.978434741877187</v>
          </cell>
          <cell r="P94">
            <v>57.304579655836285</v>
          </cell>
          <cell r="Q94">
            <v>12.893530422563165</v>
          </cell>
          <cell r="R94">
            <v>24.354446353730417</v>
          </cell>
          <cell r="S94">
            <v>37.247976776293584</v>
          </cell>
          <cell r="T94">
            <v>57.304579655836278</v>
          </cell>
          <cell r="U94">
            <v>100.28301439771346</v>
          </cell>
          <cell r="V94">
            <v>126.07007524283979</v>
          </cell>
          <cell r="W94">
            <v>154.72236507075795</v>
          </cell>
          <cell r="X94">
            <v>183.37465489867608</v>
          </cell>
          <cell r="Y94">
            <v>269.33152438243047</v>
          </cell>
          <cell r="Z94">
            <v>305.71993246388649</v>
          </cell>
          <cell r="AA94">
            <v>348.6983672057637</v>
          </cell>
          <cell r="AB94">
            <v>406.00294686159998</v>
          </cell>
        </row>
        <row r="95">
          <cell r="D95" t="str">
            <v>Excise Recredit</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D96" t="str">
            <v>PRISM - II Savings</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row>
        <row r="97">
          <cell r="D97" t="str">
            <v>PSM Savings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row>
        <row r="99">
          <cell r="D99" t="str">
            <v>Contribution</v>
          </cell>
          <cell r="E99">
            <v>15.873219753865909</v>
          </cell>
          <cell r="F99">
            <v>14.109528670103025</v>
          </cell>
          <cell r="G99">
            <v>15.873219753865909</v>
          </cell>
          <cell r="H99">
            <v>24.691675172680295</v>
          </cell>
          <cell r="I99">
            <v>52.910732512886419</v>
          </cell>
          <cell r="J99">
            <v>31.746439507731818</v>
          </cell>
          <cell r="K99">
            <v>35.273821675257579</v>
          </cell>
          <cell r="L99">
            <v>35.273821675257579</v>
          </cell>
          <cell r="M99">
            <v>105.82146502577284</v>
          </cell>
          <cell r="N99">
            <v>44.7977535275771</v>
          </cell>
          <cell r="O99">
            <v>52.910732512886419</v>
          </cell>
          <cell r="P99">
            <v>70.547643350515159</v>
          </cell>
          <cell r="Q99">
            <v>15.873219753865909</v>
          </cell>
          <cell r="R99">
            <v>29.982748423968935</v>
          </cell>
          <cell r="S99">
            <v>45.855968177834846</v>
          </cell>
          <cell r="T99">
            <v>70.547643350515145</v>
          </cell>
          <cell r="U99">
            <v>123.45837586340156</v>
          </cell>
          <cell r="V99">
            <v>155.20481537113338</v>
          </cell>
          <cell r="W99">
            <v>190.47863704639096</v>
          </cell>
          <cell r="X99">
            <v>225.75245872164854</v>
          </cell>
          <cell r="Y99">
            <v>331.57392374742136</v>
          </cell>
          <cell r="Z99">
            <v>376.37167727499843</v>
          </cell>
          <cell r="AA99">
            <v>429.28240978788483</v>
          </cell>
          <cell r="AB99">
            <v>499.83005313839999</v>
          </cell>
        </row>
        <row r="100">
          <cell r="E100">
            <v>0.55179051010329705</v>
          </cell>
          <cell r="F100">
            <v>0.55179051010329705</v>
          </cell>
          <cell r="G100">
            <v>0.55179051010329705</v>
          </cell>
          <cell r="H100">
            <v>0.55179051010329705</v>
          </cell>
          <cell r="I100">
            <v>0.55179051010329749</v>
          </cell>
          <cell r="J100">
            <v>0.55179051010329705</v>
          </cell>
          <cell r="K100">
            <v>0.55179051010329716</v>
          </cell>
          <cell r="L100">
            <v>0.55179051010329716</v>
          </cell>
          <cell r="M100">
            <v>0.55179051010329749</v>
          </cell>
          <cell r="N100">
            <v>0.55179051010329694</v>
          </cell>
          <cell r="O100">
            <v>0.55179051010329749</v>
          </cell>
          <cell r="P100">
            <v>0.55179051010329716</v>
          </cell>
          <cell r="Q100">
            <v>0.55179051010329705</v>
          </cell>
          <cell r="R100">
            <v>0.55179051010329705</v>
          </cell>
          <cell r="S100">
            <v>0.55179051010329716</v>
          </cell>
          <cell r="T100">
            <v>0.55179051010329716</v>
          </cell>
          <cell r="U100">
            <v>0.55179051010329727</v>
          </cell>
          <cell r="V100">
            <v>0.55179051010329716</v>
          </cell>
          <cell r="W100">
            <v>0.55179051010329716</v>
          </cell>
          <cell r="X100">
            <v>0.55179051010329716</v>
          </cell>
          <cell r="Y100">
            <v>0.55179051010329727</v>
          </cell>
          <cell r="Z100">
            <v>0.55179051010329716</v>
          </cell>
          <cell r="AA100">
            <v>0.55179051010329716</v>
          </cell>
          <cell r="AB100">
            <v>0.55179051010329716</v>
          </cell>
        </row>
        <row r="101">
          <cell r="D101" t="str">
            <v>Overheads</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t="str">
            <v>Personnel Costs</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t="str">
            <v>Administration Exp</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t="str">
            <v>Regulatory Exp.</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t="str">
            <v>Production Exp</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row>
        <row r="106">
          <cell r="D106" t="str">
            <v xml:space="preserve">Research &amp; Development </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t="str">
            <v>Marketing Exp</v>
          </cell>
          <cell r="E107">
            <v>8.8430820324629487</v>
          </cell>
          <cell r="F107">
            <v>8.2549618066337302</v>
          </cell>
          <cell r="G107">
            <v>8.8430820324629487</v>
          </cell>
          <cell r="H107">
            <v>11.78368316160903</v>
          </cell>
          <cell r="I107">
            <v>21.1936067748765</v>
          </cell>
          <cell r="J107">
            <v>14.136164064925898</v>
          </cell>
          <cell r="K107">
            <v>15.312404516584332</v>
          </cell>
          <cell r="L107">
            <v>15.312404516584332</v>
          </cell>
          <cell r="M107">
            <v>38.837213549753002</v>
          </cell>
          <cell r="N107">
            <v>18.488253736062099</v>
          </cell>
          <cell r="O107">
            <v>21.1936067748765</v>
          </cell>
          <cell r="P107">
            <v>27.074809033168666</v>
          </cell>
          <cell r="Q107">
            <v>8.8430820324629487</v>
          </cell>
          <cell r="R107">
            <v>17.098043839096679</v>
          </cell>
          <cell r="S107">
            <v>25.941125871559628</v>
          </cell>
          <cell r="T107">
            <v>37.724809033168654</v>
          </cell>
          <cell r="U107">
            <v>58.918415808045154</v>
          </cell>
          <cell r="V107">
            <v>73.054579872971047</v>
          </cell>
          <cell r="W107">
            <v>88.366984389555384</v>
          </cell>
          <cell r="X107">
            <v>103.67938890613972</v>
          </cell>
          <cell r="Y107">
            <v>142.51660245589272</v>
          </cell>
          <cell r="Z107">
            <v>161.00485619195481</v>
          </cell>
          <cell r="AA107">
            <v>182.1984629668313</v>
          </cell>
          <cell r="AB107">
            <v>209.27327199999996</v>
          </cell>
        </row>
        <row r="108">
          <cell r="D108" t="str">
            <v>Trade, MRF Schemes &amp; Rate Matching</v>
          </cell>
          <cell r="E108">
            <v>6.5362457762879318</v>
          </cell>
          <cell r="F108">
            <v>6.0599962455892715</v>
          </cell>
          <cell r="G108">
            <v>6.5362457762879318</v>
          </cell>
          <cell r="H108">
            <v>8.9174934297812261</v>
          </cell>
          <cell r="I108">
            <v>16.537485920959774</v>
          </cell>
          <cell r="J108">
            <v>10.822491552575864</v>
          </cell>
          <cell r="K108">
            <v>11.774990613973182</v>
          </cell>
          <cell r="L108">
            <v>11.774990613973182</v>
          </cell>
          <cell r="M108">
            <v>30.824971841919552</v>
          </cell>
          <cell r="N108">
            <v>14.346738079745938</v>
          </cell>
          <cell r="O108">
            <v>16.537485920959774</v>
          </cell>
          <cell r="P108">
            <v>21.299981227946365</v>
          </cell>
          <cell r="Q108">
            <v>6.5362457762879318</v>
          </cell>
          <cell r="R108">
            <v>12.596242021877202</v>
          </cell>
          <cell r="S108">
            <v>19.132487798165133</v>
          </cell>
          <cell r="T108">
            <v>28.049981227946361</v>
          </cell>
          <cell r="U108">
            <v>44.587467148906136</v>
          </cell>
          <cell r="V108">
            <v>55.409958701481997</v>
          </cell>
          <cell r="W108">
            <v>67.184949315455185</v>
          </cell>
          <cell r="X108">
            <v>78.959939929428373</v>
          </cell>
          <cell r="Y108">
            <v>109.78491177134792</v>
          </cell>
          <cell r="Z108">
            <v>124.13164985109385</v>
          </cell>
          <cell r="AA108">
            <v>140.66913577205364</v>
          </cell>
          <cell r="AB108">
            <v>161.96911700000001</v>
          </cell>
        </row>
        <row r="109">
          <cell r="D109" t="str">
            <v>Field Related Costs</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row>
        <row r="110">
          <cell r="D110" t="str">
            <v>Marketing Support (Adv. + SP)</v>
          </cell>
          <cell r="E110">
            <v>0.86300250529287215</v>
          </cell>
          <cell r="F110">
            <v>0.76711333803810833</v>
          </cell>
          <cell r="G110">
            <v>0.86300250529287215</v>
          </cell>
          <cell r="H110">
            <v>1.3424483415666897</v>
          </cell>
          <cell r="I110">
            <v>2.8766750176429081</v>
          </cell>
          <cell r="J110">
            <v>1.7260050105857443</v>
          </cell>
          <cell r="K110">
            <v>1.9177833450952715</v>
          </cell>
          <cell r="L110">
            <v>1.9177833450952715</v>
          </cell>
          <cell r="M110">
            <v>5.7533500352858162</v>
          </cell>
          <cell r="N110">
            <v>2.4355848482709943</v>
          </cell>
          <cell r="O110">
            <v>2.8766750176429081</v>
          </cell>
          <cell r="P110">
            <v>3.835566690190543</v>
          </cell>
          <cell r="Q110">
            <v>0.86300250529287215</v>
          </cell>
          <cell r="R110">
            <v>1.6301158433309806</v>
          </cell>
          <cell r="S110">
            <v>2.4931183486238528</v>
          </cell>
          <cell r="T110">
            <v>3.8355666901905425</v>
          </cell>
          <cell r="U110">
            <v>6.7122417078334511</v>
          </cell>
          <cell r="V110">
            <v>8.4382467184191956</v>
          </cell>
          <cell r="W110">
            <v>10.356030063514467</v>
          </cell>
          <cell r="X110">
            <v>12.273813408609739</v>
          </cell>
          <cell r="Y110">
            <v>18.027163443895553</v>
          </cell>
          <cell r="Z110">
            <v>20.462748292166548</v>
          </cell>
          <cell r="AA110">
            <v>23.339423309809455</v>
          </cell>
          <cell r="AB110">
            <v>27.174989999999998</v>
          </cell>
        </row>
        <row r="111">
          <cell r="D111" t="str">
            <v>Other Mktg. Costs</v>
          </cell>
          <cell r="E111">
            <v>1.4438337508821446</v>
          </cell>
          <cell r="F111">
            <v>1.4278522230063504</v>
          </cell>
          <cell r="G111">
            <v>1.4438337508821446</v>
          </cell>
          <cell r="H111">
            <v>1.5237413902611143</v>
          </cell>
          <cell r="I111">
            <v>1.7794458362738172</v>
          </cell>
          <cell r="J111">
            <v>1.5876675017642905</v>
          </cell>
          <cell r="K111">
            <v>1.6196305575158778</v>
          </cell>
          <cell r="L111">
            <v>1.6196305575158778</v>
          </cell>
          <cell r="M111">
            <v>2.2588916725476338</v>
          </cell>
          <cell r="N111">
            <v>1.7059308080451663</v>
          </cell>
          <cell r="O111">
            <v>1.7794458362738172</v>
          </cell>
          <cell r="P111">
            <v>1.9392611150317585</v>
          </cell>
          <cell r="Q111">
            <v>1.4438337508821446</v>
          </cell>
          <cell r="R111">
            <v>2.871685973888495</v>
          </cell>
          <cell r="S111">
            <v>4.3155197247706401</v>
          </cell>
          <cell r="T111">
            <v>5.8392611150317544</v>
          </cell>
          <cell r="U111">
            <v>7.6187069513055716</v>
          </cell>
          <cell r="V111">
            <v>9.2063744530698628</v>
          </cell>
          <cell r="W111">
            <v>10.826005010585741</v>
          </cell>
          <cell r="X111">
            <v>12.445635568101618</v>
          </cell>
          <cell r="Y111">
            <v>14.704527240649252</v>
          </cell>
          <cell r="Z111">
            <v>16.410458048694419</v>
          </cell>
          <cell r="AA111">
            <v>18.189903884968238</v>
          </cell>
          <cell r="AB111">
            <v>20.129164999999997</v>
          </cell>
        </row>
        <row r="112">
          <cell r="D112" t="str">
            <v>Sales &amp; Distribution Exp</v>
          </cell>
          <cell r="E112">
            <v>1.2709150227946364</v>
          </cell>
          <cell r="F112">
            <v>1.1297022424841208</v>
          </cell>
          <cell r="G112">
            <v>1.2709150227946364</v>
          </cell>
          <cell r="H112">
            <v>2.6436455910138785</v>
          </cell>
          <cell r="I112">
            <v>4.9030500759821232</v>
          </cell>
          <cell r="J112">
            <v>3.2084967122559394</v>
          </cell>
          <cell r="K112">
            <v>3.4909222728769698</v>
          </cell>
          <cell r="L112">
            <v>3.4909222728769698</v>
          </cell>
          <cell r="M112">
            <v>9.1394334852975785</v>
          </cell>
          <cell r="N112">
            <v>4.2534712865537516</v>
          </cell>
          <cell r="O112">
            <v>4.9030500759821232</v>
          </cell>
          <cell r="P112">
            <v>6.3151778790872735</v>
          </cell>
          <cell r="Q112">
            <v>1.2709150227946364</v>
          </cell>
          <cell r="R112">
            <v>2.4006172652787572</v>
          </cell>
          <cell r="S112">
            <v>3.6715322880733936</v>
          </cell>
          <cell r="T112">
            <v>6.3151778790872726</v>
          </cell>
          <cell r="U112">
            <v>11.218227955069395</v>
          </cell>
          <cell r="V112">
            <v>14.426724667325335</v>
          </cell>
          <cell r="W112">
            <v>17.917646940202303</v>
          </cell>
          <cell r="X112">
            <v>21.408569213079272</v>
          </cell>
          <cell r="Y112">
            <v>30.548002698376848</v>
          </cell>
          <cell r="Z112">
            <v>34.801473984930603</v>
          </cell>
          <cell r="AA112">
            <v>39.704524060912725</v>
          </cell>
          <cell r="AB112">
            <v>46.019701939999997</v>
          </cell>
        </row>
        <row r="113">
          <cell r="D113" t="str">
            <v>Slim Savings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t="str">
            <v>Total Overheads (a+b)</v>
          </cell>
          <cell r="E114">
            <v>10.113997055257585</v>
          </cell>
          <cell r="F114">
            <v>9.3846640491178519</v>
          </cell>
          <cell r="G114">
            <v>10.113997055257585</v>
          </cell>
          <cell r="H114">
            <v>14.427328752622913</v>
          </cell>
          <cell r="I114">
            <v>26.096656850858622</v>
          </cell>
          <cell r="J114">
            <v>17.344660777181836</v>
          </cell>
          <cell r="K114">
            <v>18.803326789461302</v>
          </cell>
          <cell r="L114">
            <v>18.803326789461302</v>
          </cell>
          <cell r="M114">
            <v>47.976647035050576</v>
          </cell>
          <cell r="N114">
            <v>22.741725022615853</v>
          </cell>
          <cell r="O114">
            <v>26.096656850858622</v>
          </cell>
          <cell r="P114">
            <v>33.389986912255935</v>
          </cell>
          <cell r="Q114">
            <v>10.113997055257585</v>
          </cell>
          <cell r="R114">
            <v>19.498661104375433</v>
          </cell>
          <cell r="S114">
            <v>29.612658159633021</v>
          </cell>
          <cell r="T114">
            <v>44.039986912255941</v>
          </cell>
          <cell r="U114">
            <v>70.136643763114563</v>
          </cell>
          <cell r="V114">
            <v>87.481304540296421</v>
          </cell>
          <cell r="W114">
            <v>106.28463132975772</v>
          </cell>
          <cell r="X114">
            <v>125.08795811921898</v>
          </cell>
          <cell r="Y114">
            <v>173.0646051542696</v>
          </cell>
          <cell r="Z114">
            <v>195.80633017688544</v>
          </cell>
          <cell r="AA114">
            <v>221.90298702774402</v>
          </cell>
          <cell r="AB114">
            <v>255.29297394000002</v>
          </cell>
        </row>
        <row r="115">
          <cell r="D115" t="str">
            <v>OPERATING PROFIT (LOSS)</v>
          </cell>
          <cell r="E115">
            <v>5.7592226986083244</v>
          </cell>
          <cell r="F115">
            <v>4.7248646209851728</v>
          </cell>
          <cell r="G115">
            <v>5.7592226986083244</v>
          </cell>
          <cell r="H115">
            <v>10.264346420057382</v>
          </cell>
          <cell r="I115">
            <v>26.814075662027797</v>
          </cell>
          <cell r="J115">
            <v>14.401778730549982</v>
          </cell>
          <cell r="K115">
            <v>16.470494885796278</v>
          </cell>
          <cell r="L115">
            <v>16.470494885796278</v>
          </cell>
          <cell r="M115">
            <v>57.844817990722262</v>
          </cell>
          <cell r="N115">
            <v>22.056028504961247</v>
          </cell>
          <cell r="O115">
            <v>26.814075662027797</v>
          </cell>
          <cell r="P115">
            <v>37.157656438259224</v>
          </cell>
          <cell r="Q115">
            <v>5.7592226986083244</v>
          </cell>
          <cell r="R115">
            <v>10.484087319593497</v>
          </cell>
          <cell r="S115">
            <v>16.243310018201822</v>
          </cell>
          <cell r="T115">
            <v>26.507656438259204</v>
          </cell>
          <cell r="U115">
            <v>53.321732100287001</v>
          </cell>
          <cell r="V115">
            <v>67.723510830836986</v>
          </cell>
          <cell r="W115">
            <v>84.194005716633256</v>
          </cell>
          <cell r="X115">
            <v>100.66450060242954</v>
          </cell>
          <cell r="Y115">
            <v>158.50931859315182</v>
          </cell>
          <cell r="Z115">
            <v>180.56534709811308</v>
          </cell>
          <cell r="AA115">
            <v>207.37942276014087</v>
          </cell>
          <cell r="AB115">
            <v>244.53707919840008</v>
          </cell>
        </row>
        <row r="257">
          <cell r="D257" t="str">
            <v>Particulars</v>
          </cell>
          <cell r="E257" t="str">
            <v>Jan'14</v>
          </cell>
          <cell r="F257" t="str">
            <v>Feb'14</v>
          </cell>
          <cell r="G257" t="str">
            <v>Mar'14</v>
          </cell>
          <cell r="H257" t="str">
            <v>Apr'14</v>
          </cell>
          <cell r="I257" t="str">
            <v>May'14</v>
          </cell>
          <cell r="J257" t="str">
            <v>Jun'14</v>
          </cell>
          <cell r="K257" t="str">
            <v>Jul'14</v>
          </cell>
          <cell r="L257" t="str">
            <v>Aug'14</v>
          </cell>
          <cell r="M257" t="str">
            <v>Sep'14</v>
          </cell>
          <cell r="N257" t="str">
            <v>Oct'14</v>
          </cell>
          <cell r="O257" t="str">
            <v>Nov'14</v>
          </cell>
          <cell r="P257" t="str">
            <v>Dec'14</v>
          </cell>
          <cell r="Q257" t="str">
            <v>Jan'14</v>
          </cell>
          <cell r="R257" t="str">
            <v>Feb'14</v>
          </cell>
          <cell r="S257" t="str">
            <v>Mar'14</v>
          </cell>
          <cell r="T257" t="str">
            <v>Apr'14</v>
          </cell>
          <cell r="U257" t="str">
            <v>May'14</v>
          </cell>
          <cell r="V257" t="str">
            <v>Jun'14</v>
          </cell>
          <cell r="W257" t="str">
            <v>Jul'14</v>
          </cell>
          <cell r="X257" t="str">
            <v>Aug'14</v>
          </cell>
          <cell r="Y257" t="str">
            <v>Sep'14</v>
          </cell>
          <cell r="Z257" t="str">
            <v>Oct'14</v>
          </cell>
          <cell r="AA257" t="str">
            <v>Nov'14</v>
          </cell>
          <cell r="AB257" t="str">
            <v>Dec'14</v>
          </cell>
        </row>
        <row r="259">
          <cell r="D259" t="str">
            <v>Sales</v>
          </cell>
          <cell r="E259">
            <v>5.0127749000000001</v>
          </cell>
          <cell r="F259">
            <v>10.536970200000001</v>
          </cell>
          <cell r="G259">
            <v>11.403056000000001</v>
          </cell>
          <cell r="H259">
            <v>11.2988368</v>
          </cell>
          <cell r="I259">
            <v>24.660939200000005</v>
          </cell>
          <cell r="Q259">
            <v>5.0127749000000001</v>
          </cell>
          <cell r="R259">
            <v>15.549745100000001</v>
          </cell>
          <cell r="S259">
            <v>26.952801100000002</v>
          </cell>
          <cell r="T259">
            <v>38.251637900000006</v>
          </cell>
          <cell r="U259">
            <v>62.912577100000007</v>
          </cell>
          <cell r="V259">
            <v>62.912577100000007</v>
          </cell>
          <cell r="W259">
            <v>62.912577100000007</v>
          </cell>
          <cell r="X259">
            <v>62.912577100000007</v>
          </cell>
          <cell r="Y259">
            <v>62.912577100000007</v>
          </cell>
          <cell r="Z259">
            <v>62.912577100000007</v>
          </cell>
          <cell r="AA259">
            <v>62.912577100000007</v>
          </cell>
          <cell r="AB259">
            <v>62.912577100000007</v>
          </cell>
        </row>
        <row r="261">
          <cell r="D261" t="str">
            <v>Cost of Goods Sold</v>
          </cell>
          <cell r="E261">
            <v>1.37</v>
          </cell>
          <cell r="F261">
            <v>2.5025230214255019</v>
          </cell>
          <cell r="G261">
            <v>7.22</v>
          </cell>
          <cell r="H261">
            <v>3.75</v>
          </cell>
          <cell r="I261">
            <v>14.531303132587515</v>
          </cell>
          <cell r="Q261">
            <v>1.37</v>
          </cell>
          <cell r="R261">
            <v>3.872523021425502</v>
          </cell>
          <cell r="S261">
            <v>11.092523021425501</v>
          </cell>
          <cell r="T261">
            <v>14.842523021425501</v>
          </cell>
          <cell r="U261">
            <v>29.373826154013017</v>
          </cell>
          <cell r="V261">
            <v>29.373826154013017</v>
          </cell>
          <cell r="W261">
            <v>29.373826154013017</v>
          </cell>
          <cell r="X261">
            <v>29.373826154013017</v>
          </cell>
          <cell r="Y261">
            <v>29.373826154013017</v>
          </cell>
          <cell r="Z261">
            <v>29.373826154013017</v>
          </cell>
          <cell r="AA261">
            <v>29.373826154013017</v>
          </cell>
          <cell r="AB261">
            <v>29.373826154013017</v>
          </cell>
        </row>
        <row r="262">
          <cell r="D262" t="str">
            <v>Excise Recredit</v>
          </cell>
        </row>
        <row r="263">
          <cell r="D263" t="str">
            <v>PRISM - II Savings</v>
          </cell>
        </row>
        <row r="264">
          <cell r="D264" t="str">
            <v>PSM Savings</v>
          </cell>
        </row>
        <row r="266">
          <cell r="D266" t="str">
            <v>Contribution</v>
          </cell>
          <cell r="E266">
            <v>3.6427749</v>
          </cell>
          <cell r="F266">
            <v>8.0344471785744993</v>
          </cell>
          <cell r="G266">
            <v>4.1830560000000014</v>
          </cell>
          <cell r="H266">
            <v>7.5488368000000001</v>
          </cell>
          <cell r="I266">
            <v>10.129636067412489</v>
          </cell>
          <cell r="J266">
            <v>0</v>
          </cell>
          <cell r="K266">
            <v>0</v>
          </cell>
          <cell r="L266">
            <v>0</v>
          </cell>
          <cell r="M266">
            <v>0</v>
          </cell>
          <cell r="N266">
            <v>0</v>
          </cell>
          <cell r="O266">
            <v>0</v>
          </cell>
          <cell r="P266">
            <v>0</v>
          </cell>
          <cell r="Q266">
            <v>3.6427749</v>
          </cell>
          <cell r="R266">
            <v>11.677222078574498</v>
          </cell>
          <cell r="S266">
            <v>15.860278078574499</v>
          </cell>
          <cell r="T266">
            <v>23.409114878574499</v>
          </cell>
          <cell r="U266">
            <v>33.53875094598699</v>
          </cell>
          <cell r="V266">
            <v>33.53875094598699</v>
          </cell>
          <cell r="W266">
            <v>33.53875094598699</v>
          </cell>
          <cell r="X266">
            <v>33.53875094598699</v>
          </cell>
          <cell r="Y266">
            <v>33.53875094598699</v>
          </cell>
          <cell r="Z266">
            <v>33.53875094598699</v>
          </cell>
          <cell r="AA266">
            <v>33.53875094598699</v>
          </cell>
          <cell r="AB266">
            <v>33.53875094598699</v>
          </cell>
        </row>
        <row r="267">
          <cell r="E267">
            <v>0.72669828042747342</v>
          </cell>
          <cell r="F267">
            <v>0.76250070239113887</v>
          </cell>
          <cell r="G267">
            <v>0.3668363989442831</v>
          </cell>
          <cell r="H267">
            <v>0.66810742854521099</v>
          </cell>
          <cell r="I267">
            <v>0.41075629704372685</v>
          </cell>
          <cell r="J267" t="e">
            <v>#DIV/0!</v>
          </cell>
          <cell r="K267" t="e">
            <v>#DIV/0!</v>
          </cell>
          <cell r="L267" t="e">
            <v>#DIV/0!</v>
          </cell>
          <cell r="M267" t="e">
            <v>#DIV/0!</v>
          </cell>
          <cell r="N267" t="e">
            <v>#DIV/0!</v>
          </cell>
          <cell r="O267" t="e">
            <v>#DIV/0!</v>
          </cell>
          <cell r="P267" t="e">
            <v>#DIV/0!</v>
          </cell>
          <cell r="Q267">
            <v>0.72669828042747342</v>
          </cell>
          <cell r="R267">
            <v>0.75095906739812079</v>
          </cell>
          <cell r="S267">
            <v>0.58844637407926026</v>
          </cell>
          <cell r="T267">
            <v>0.61197679795495752</v>
          </cell>
          <cell r="U267">
            <v>0.53310089161785401</v>
          </cell>
          <cell r="V267">
            <v>0.53310089161785401</v>
          </cell>
          <cell r="W267">
            <v>0.53310089161785401</v>
          </cell>
          <cell r="X267">
            <v>0.53310089161785401</v>
          </cell>
          <cell r="Y267">
            <v>0.53310089161785401</v>
          </cell>
          <cell r="Z267">
            <v>0.53310089161785401</v>
          </cell>
          <cell r="AA267">
            <v>0.53310089161785401</v>
          </cell>
          <cell r="AB267">
            <v>0.53310089161785401</v>
          </cell>
        </row>
        <row r="268">
          <cell r="D268" t="str">
            <v>Overheads</v>
          </cell>
        </row>
        <row r="269">
          <cell r="D269" t="str">
            <v>Personnel Costs</v>
          </cell>
          <cell r="Q269">
            <v>0</v>
          </cell>
          <cell r="R269">
            <v>0</v>
          </cell>
          <cell r="S269">
            <v>0</v>
          </cell>
          <cell r="T269">
            <v>0</v>
          </cell>
          <cell r="U269">
            <v>0</v>
          </cell>
          <cell r="V269">
            <v>0</v>
          </cell>
          <cell r="W269">
            <v>0</v>
          </cell>
          <cell r="X269">
            <v>0</v>
          </cell>
          <cell r="Y269">
            <v>0</v>
          </cell>
          <cell r="Z269">
            <v>0</v>
          </cell>
          <cell r="AA269">
            <v>0</v>
          </cell>
          <cell r="AB269">
            <v>0</v>
          </cell>
        </row>
        <row r="270">
          <cell r="D270" t="str">
            <v>Administration Exp</v>
          </cell>
          <cell r="Q270">
            <v>0</v>
          </cell>
          <cell r="R270">
            <v>0</v>
          </cell>
          <cell r="S270">
            <v>0</v>
          </cell>
          <cell r="T270">
            <v>0</v>
          </cell>
          <cell r="U270">
            <v>0</v>
          </cell>
          <cell r="V270">
            <v>0</v>
          </cell>
          <cell r="W270">
            <v>0</v>
          </cell>
          <cell r="X270">
            <v>0</v>
          </cell>
          <cell r="Y270">
            <v>0</v>
          </cell>
          <cell r="Z270">
            <v>0</v>
          </cell>
          <cell r="AA270">
            <v>0</v>
          </cell>
          <cell r="AB270">
            <v>0</v>
          </cell>
        </row>
        <row r="271">
          <cell r="D271" t="str">
            <v>Regulatory Exp.</v>
          </cell>
          <cell r="Q271">
            <v>0</v>
          </cell>
          <cell r="R271">
            <v>0</v>
          </cell>
          <cell r="S271">
            <v>0</v>
          </cell>
          <cell r="T271">
            <v>0</v>
          </cell>
          <cell r="U271">
            <v>0</v>
          </cell>
          <cell r="V271">
            <v>0</v>
          </cell>
          <cell r="W271">
            <v>0</v>
          </cell>
          <cell r="X271">
            <v>0</v>
          </cell>
          <cell r="Y271">
            <v>0</v>
          </cell>
          <cell r="Z271">
            <v>0</v>
          </cell>
          <cell r="AA271">
            <v>0</v>
          </cell>
          <cell r="AB271">
            <v>0</v>
          </cell>
        </row>
        <row r="272">
          <cell r="D272" t="str">
            <v>Production Exp</v>
          </cell>
          <cell r="Q272">
            <v>0</v>
          </cell>
          <cell r="R272">
            <v>0</v>
          </cell>
          <cell r="S272">
            <v>0</v>
          </cell>
          <cell r="T272">
            <v>0</v>
          </cell>
          <cell r="U272">
            <v>0</v>
          </cell>
          <cell r="V272">
            <v>0</v>
          </cell>
          <cell r="W272">
            <v>0</v>
          </cell>
          <cell r="X272">
            <v>0</v>
          </cell>
          <cell r="Y272">
            <v>0</v>
          </cell>
          <cell r="Z272">
            <v>0</v>
          </cell>
          <cell r="AA272">
            <v>0</v>
          </cell>
          <cell r="AB272">
            <v>0</v>
          </cell>
        </row>
        <row r="273">
          <cell r="D273" t="str">
            <v xml:space="preserve">Research &amp; Development </v>
          </cell>
          <cell r="Q273">
            <v>0</v>
          </cell>
          <cell r="R273">
            <v>0</v>
          </cell>
          <cell r="S273">
            <v>0</v>
          </cell>
          <cell r="T273">
            <v>0</v>
          </cell>
          <cell r="U273">
            <v>0</v>
          </cell>
          <cell r="V273">
            <v>0</v>
          </cell>
          <cell r="W273">
            <v>0</v>
          </cell>
          <cell r="X273">
            <v>0</v>
          </cell>
          <cell r="Y273">
            <v>0</v>
          </cell>
          <cell r="Z273">
            <v>0</v>
          </cell>
          <cell r="AA273">
            <v>0</v>
          </cell>
          <cell r="AB273">
            <v>0</v>
          </cell>
        </row>
        <row r="274">
          <cell r="D274" t="str">
            <v>Marketing Exp</v>
          </cell>
          <cell r="E274">
            <v>1.7492482815808019</v>
          </cell>
          <cell r="F274">
            <v>1.82</v>
          </cell>
          <cell r="G274">
            <v>3.17</v>
          </cell>
          <cell r="H274">
            <v>4.58</v>
          </cell>
          <cell r="I274">
            <v>9.3999999999999986</v>
          </cell>
          <cell r="J274">
            <v>0</v>
          </cell>
          <cell r="K274">
            <v>0</v>
          </cell>
          <cell r="L274">
            <v>0</v>
          </cell>
          <cell r="M274">
            <v>0</v>
          </cell>
          <cell r="N274">
            <v>0</v>
          </cell>
          <cell r="O274">
            <v>0</v>
          </cell>
          <cell r="P274">
            <v>0</v>
          </cell>
          <cell r="Q274">
            <v>1.7492482815808019</v>
          </cell>
          <cell r="R274">
            <v>3.5692482815808022</v>
          </cell>
          <cell r="S274">
            <v>6.7392482815808021</v>
          </cell>
          <cell r="T274">
            <v>11.319248281580801</v>
          </cell>
          <cell r="U274">
            <v>20.7192482815808</v>
          </cell>
          <cell r="V274">
            <v>20.7192482815808</v>
          </cell>
          <cell r="W274">
            <v>20.7192482815808</v>
          </cell>
          <cell r="X274">
            <v>20.7192482815808</v>
          </cell>
          <cell r="Y274">
            <v>20.7192482815808</v>
          </cell>
          <cell r="Z274">
            <v>20.7192482815808</v>
          </cell>
          <cell r="AA274">
            <v>20.7192482815808</v>
          </cell>
          <cell r="AB274">
            <v>20.7192482815808</v>
          </cell>
        </row>
        <row r="275">
          <cell r="D275" t="str">
            <v>Trade, MRF Schemes &amp; Rate Matching</v>
          </cell>
          <cell r="E275">
            <v>8.6245776287929843E-2</v>
          </cell>
          <cell r="F275">
            <v>1</v>
          </cell>
          <cell r="G275">
            <v>2.48</v>
          </cell>
          <cell r="H275">
            <v>3.41</v>
          </cell>
          <cell r="I275">
            <v>7.08</v>
          </cell>
          <cell r="J275">
            <v>0</v>
          </cell>
          <cell r="K275">
            <v>0</v>
          </cell>
          <cell r="L275">
            <v>0</v>
          </cell>
          <cell r="M275">
            <v>0</v>
          </cell>
          <cell r="N275">
            <v>0</v>
          </cell>
          <cell r="O275">
            <v>0</v>
          </cell>
          <cell r="P275">
            <v>0</v>
          </cell>
          <cell r="Q275">
            <v>8.6245776287929843E-2</v>
          </cell>
          <cell r="R275">
            <v>1.0862457762879298</v>
          </cell>
          <cell r="S275">
            <v>3.5662457762879298</v>
          </cell>
          <cell r="T275">
            <v>6.9762457762879304</v>
          </cell>
          <cell r="U275">
            <v>14.05624577628793</v>
          </cell>
          <cell r="V275">
            <v>14.05624577628793</v>
          </cell>
          <cell r="W275">
            <v>14.05624577628793</v>
          </cell>
          <cell r="X275">
            <v>14.05624577628793</v>
          </cell>
          <cell r="Y275">
            <v>14.05624577628793</v>
          </cell>
          <cell r="Z275">
            <v>14.05624577628793</v>
          </cell>
          <cell r="AA275">
            <v>14.05624577628793</v>
          </cell>
          <cell r="AB275">
            <v>14.05624577628793</v>
          </cell>
        </row>
        <row r="276">
          <cell r="D276" t="str">
            <v>Field Related Costs</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t="str">
            <v>Marketing Support (Adv. + SP)</v>
          </cell>
          <cell r="E277">
            <v>0.86300250529287215</v>
          </cell>
          <cell r="F277">
            <v>0</v>
          </cell>
          <cell r="G277">
            <v>0.39</v>
          </cell>
          <cell r="H277">
            <v>0.34</v>
          </cell>
          <cell r="I277">
            <v>1</v>
          </cell>
          <cell r="J277">
            <v>0</v>
          </cell>
          <cell r="K277">
            <v>0</v>
          </cell>
          <cell r="L277">
            <v>0</v>
          </cell>
          <cell r="M277">
            <v>0</v>
          </cell>
          <cell r="N277">
            <v>0</v>
          </cell>
          <cell r="O277">
            <v>0</v>
          </cell>
          <cell r="P277">
            <v>0</v>
          </cell>
          <cell r="Q277">
            <v>0.86300250529287215</v>
          </cell>
          <cell r="R277">
            <v>0.86300250529287215</v>
          </cell>
          <cell r="S277">
            <v>1.2530025052928722</v>
          </cell>
          <cell r="T277">
            <v>1.5930025052928722</v>
          </cell>
          <cell r="U277">
            <v>2.5930025052928722</v>
          </cell>
          <cell r="V277">
            <v>2.5930025052928722</v>
          </cell>
          <cell r="W277">
            <v>2.5930025052928722</v>
          </cell>
          <cell r="X277">
            <v>2.5930025052928722</v>
          </cell>
          <cell r="Y277">
            <v>2.5930025052928722</v>
          </cell>
          <cell r="Z277">
            <v>2.5930025052928722</v>
          </cell>
          <cell r="AA277">
            <v>2.5930025052928722</v>
          </cell>
          <cell r="AB277">
            <v>2.5930025052928722</v>
          </cell>
        </row>
        <row r="278">
          <cell r="D278" t="str">
            <v>Other Mktg. Costs</v>
          </cell>
          <cell r="E278">
            <v>0.79999999999999993</v>
          </cell>
          <cell r="F278">
            <v>0.82000000000000006</v>
          </cell>
          <cell r="G278">
            <v>0.29999999999999993</v>
          </cell>
          <cell r="H278">
            <v>0.82999999999999985</v>
          </cell>
          <cell r="I278">
            <v>1.3199999999999985</v>
          </cell>
          <cell r="J278">
            <v>0</v>
          </cell>
          <cell r="K278">
            <v>0</v>
          </cell>
          <cell r="L278">
            <v>0</v>
          </cell>
          <cell r="M278">
            <v>0</v>
          </cell>
          <cell r="N278">
            <v>0</v>
          </cell>
          <cell r="O278">
            <v>0</v>
          </cell>
          <cell r="P278">
            <v>0</v>
          </cell>
          <cell r="Q278">
            <v>0.79999999999999993</v>
          </cell>
          <cell r="R278">
            <v>1.62</v>
          </cell>
          <cell r="S278">
            <v>1.92</v>
          </cell>
          <cell r="T278">
            <v>2.75</v>
          </cell>
          <cell r="U278">
            <v>4.0699999999999985</v>
          </cell>
          <cell r="V278">
            <v>4.0699999999999985</v>
          </cell>
          <cell r="W278">
            <v>4.0699999999999985</v>
          </cell>
          <cell r="X278">
            <v>4.0699999999999985</v>
          </cell>
          <cell r="Y278">
            <v>4.0699999999999985</v>
          </cell>
          <cell r="Z278">
            <v>4.0699999999999985</v>
          </cell>
          <cell r="AA278">
            <v>4.0699999999999985</v>
          </cell>
          <cell r="AB278">
            <v>4.0699999999999985</v>
          </cell>
        </row>
        <row r="279">
          <cell r="D279" t="str">
            <v>Sales &amp; Distribution Exp</v>
          </cell>
          <cell r="E279">
            <v>0.22091502279464006</v>
          </cell>
          <cell r="F279">
            <v>0.45970999999999995</v>
          </cell>
          <cell r="G279">
            <v>0.6</v>
          </cell>
          <cell r="H279">
            <v>1.5</v>
          </cell>
          <cell r="I279">
            <v>0.59000000000000019</v>
          </cell>
          <cell r="J279">
            <v>0</v>
          </cell>
          <cell r="K279">
            <v>0</v>
          </cell>
          <cell r="L279">
            <v>0</v>
          </cell>
          <cell r="M279">
            <v>0</v>
          </cell>
          <cell r="N279">
            <v>0</v>
          </cell>
          <cell r="O279">
            <v>0</v>
          </cell>
          <cell r="P279">
            <v>0</v>
          </cell>
          <cell r="Q279">
            <v>0.22091502279464006</v>
          </cell>
          <cell r="R279">
            <v>0.68062502279463999</v>
          </cell>
          <cell r="S279">
            <v>1.2806250227946401</v>
          </cell>
          <cell r="T279">
            <v>2.7806250227946401</v>
          </cell>
          <cell r="U279">
            <v>3.3706250227946404</v>
          </cell>
          <cell r="V279">
            <v>3.3706250227946404</v>
          </cell>
          <cell r="W279">
            <v>3.3706250227946404</v>
          </cell>
          <cell r="X279">
            <v>3.3706250227946404</v>
          </cell>
          <cell r="Y279">
            <v>3.3706250227946404</v>
          </cell>
          <cell r="Z279">
            <v>3.3706250227946404</v>
          </cell>
          <cell r="AA279">
            <v>3.3706250227946404</v>
          </cell>
          <cell r="AB279">
            <v>3.3706250227946404</v>
          </cell>
        </row>
        <row r="280">
          <cell r="D280" t="str">
            <v>Slim Savings</v>
          </cell>
        </row>
        <row r="281">
          <cell r="D281" t="str">
            <v>Total Overheads (a+b)</v>
          </cell>
          <cell r="E281">
            <v>1.9701633043754421</v>
          </cell>
          <cell r="F281">
            <v>2.2797100000000006</v>
          </cell>
          <cell r="G281">
            <v>3.7699999999999996</v>
          </cell>
          <cell r="H281">
            <v>6.08</v>
          </cell>
          <cell r="I281">
            <v>9.9899999999999984</v>
          </cell>
          <cell r="J281">
            <v>0</v>
          </cell>
          <cell r="K281">
            <v>0</v>
          </cell>
          <cell r="L281">
            <v>0</v>
          </cell>
          <cell r="M281">
            <v>0</v>
          </cell>
          <cell r="N281">
            <v>0</v>
          </cell>
          <cell r="O281">
            <v>0</v>
          </cell>
          <cell r="P281">
            <v>0</v>
          </cell>
          <cell r="Q281">
            <v>1.9701633043754421</v>
          </cell>
          <cell r="R281">
            <v>4.2498733043754422</v>
          </cell>
          <cell r="S281">
            <v>8.0198733043754409</v>
          </cell>
          <cell r="T281">
            <v>14.099873304375443</v>
          </cell>
          <cell r="U281">
            <v>24.089873304375441</v>
          </cell>
          <cell r="V281">
            <v>24.089873304375441</v>
          </cell>
          <cell r="W281">
            <v>24.089873304375441</v>
          </cell>
          <cell r="X281">
            <v>24.089873304375441</v>
          </cell>
          <cell r="Y281">
            <v>24.089873304375441</v>
          </cell>
          <cell r="Z281">
            <v>24.089873304375441</v>
          </cell>
          <cell r="AA281">
            <v>24.089873304375441</v>
          </cell>
          <cell r="AB281">
            <v>24.089873304375441</v>
          </cell>
        </row>
        <row r="282">
          <cell r="D282" t="str">
            <v>OPERATING PROFIT (LOSS)</v>
          </cell>
          <cell r="E282">
            <v>1.672611595624558</v>
          </cell>
          <cell r="F282">
            <v>5.7547371785744987</v>
          </cell>
          <cell r="G282">
            <v>0.41305600000000187</v>
          </cell>
          <cell r="H282">
            <v>1.4688368000000001</v>
          </cell>
          <cell r="I282">
            <v>0.13963606741249102</v>
          </cell>
          <cell r="J282">
            <v>0</v>
          </cell>
          <cell r="K282">
            <v>0</v>
          </cell>
          <cell r="L282">
            <v>0</v>
          </cell>
          <cell r="M282">
            <v>0</v>
          </cell>
          <cell r="N282">
            <v>0</v>
          </cell>
          <cell r="O282">
            <v>0</v>
          </cell>
          <cell r="P282">
            <v>0</v>
          </cell>
          <cell r="Q282">
            <v>1.672611595624558</v>
          </cell>
          <cell r="R282">
            <v>7.4273487741990571</v>
          </cell>
          <cell r="S282">
            <v>7.840404774199059</v>
          </cell>
          <cell r="T282">
            <v>9.30924157419906</v>
          </cell>
          <cell r="U282">
            <v>9.448877641611551</v>
          </cell>
          <cell r="V282">
            <v>9.448877641611551</v>
          </cell>
          <cell r="W282">
            <v>9.448877641611551</v>
          </cell>
          <cell r="X282">
            <v>9.448877641611551</v>
          </cell>
          <cell r="Y282">
            <v>9.448877641611551</v>
          </cell>
          <cell r="Z282">
            <v>9.448877641611551</v>
          </cell>
          <cell r="AA282">
            <v>9.448877641611551</v>
          </cell>
          <cell r="AB282">
            <v>9.448877641611551</v>
          </cell>
        </row>
        <row r="462">
          <cell r="D462" t="str">
            <v>Particulars</v>
          </cell>
          <cell r="E462" t="str">
            <v>Actual</v>
          </cell>
          <cell r="F462" t="str">
            <v>Actual</v>
          </cell>
          <cell r="G462" t="str">
            <v>Actual</v>
          </cell>
          <cell r="H462" t="str">
            <v>Actual</v>
          </cell>
          <cell r="I462" t="str">
            <v>Actual</v>
          </cell>
          <cell r="J462" t="str">
            <v>Actual</v>
          </cell>
          <cell r="K462" t="str">
            <v>Actual</v>
          </cell>
          <cell r="L462" t="str">
            <v>Actual</v>
          </cell>
          <cell r="M462" t="str">
            <v>Actual</v>
          </cell>
          <cell r="N462" t="str">
            <v>Actual</v>
          </cell>
          <cell r="O462" t="str">
            <v>Actual</v>
          </cell>
          <cell r="P462" t="str">
            <v>Actual</v>
          </cell>
          <cell r="Q462" t="str">
            <v>Cumu Act</v>
          </cell>
          <cell r="R462" t="str">
            <v>Cumu Act</v>
          </cell>
          <cell r="S462" t="str">
            <v>Cumu Act</v>
          </cell>
          <cell r="T462" t="str">
            <v>Cumu Act</v>
          </cell>
          <cell r="U462" t="str">
            <v>Cumu Act</v>
          </cell>
          <cell r="V462" t="str">
            <v>Cumu Act</v>
          </cell>
          <cell r="W462" t="str">
            <v>Cumu Act</v>
          </cell>
          <cell r="X462" t="str">
            <v>Cumu Act</v>
          </cell>
          <cell r="Y462" t="str">
            <v>Cumu Act</v>
          </cell>
          <cell r="Z462" t="str">
            <v>Cumu Act</v>
          </cell>
          <cell r="AA462" t="str">
            <v>Cumu Act</v>
          </cell>
          <cell r="AB462" t="str">
            <v>Cumu Act</v>
          </cell>
        </row>
        <row r="463">
          <cell r="D463">
            <v>0</v>
          </cell>
          <cell r="E463">
            <v>41275</v>
          </cell>
          <cell r="F463">
            <v>41306</v>
          </cell>
          <cell r="G463">
            <v>41334</v>
          </cell>
          <cell r="H463">
            <v>41365</v>
          </cell>
          <cell r="I463">
            <v>41395</v>
          </cell>
          <cell r="J463">
            <v>41426</v>
          </cell>
          <cell r="K463">
            <v>41456</v>
          </cell>
          <cell r="L463">
            <v>41487</v>
          </cell>
          <cell r="M463">
            <v>41518</v>
          </cell>
          <cell r="N463">
            <v>41548</v>
          </cell>
          <cell r="O463">
            <v>41579</v>
          </cell>
          <cell r="P463">
            <v>41609</v>
          </cell>
          <cell r="Q463">
            <v>41275</v>
          </cell>
          <cell r="R463">
            <v>41306</v>
          </cell>
          <cell r="S463">
            <v>41334</v>
          </cell>
          <cell r="T463">
            <v>41365</v>
          </cell>
          <cell r="U463">
            <v>41395</v>
          </cell>
          <cell r="V463">
            <v>41426</v>
          </cell>
          <cell r="W463">
            <v>41456</v>
          </cell>
          <cell r="X463">
            <v>41487</v>
          </cell>
          <cell r="Y463">
            <v>41518</v>
          </cell>
          <cell r="Z463">
            <v>41548</v>
          </cell>
          <cell r="AA463">
            <v>41579</v>
          </cell>
          <cell r="AB463">
            <v>41609</v>
          </cell>
        </row>
        <row r="464">
          <cell r="D464" t="str">
            <v>Sales</v>
          </cell>
          <cell r="E464">
            <v>51.72</v>
          </cell>
          <cell r="F464">
            <v>40.94</v>
          </cell>
          <cell r="G464">
            <v>44.239103300000004</v>
          </cell>
          <cell r="H464">
            <v>0</v>
          </cell>
          <cell r="I464">
            <v>18.84</v>
          </cell>
          <cell r="J464">
            <v>66</v>
          </cell>
          <cell r="K464">
            <v>43</v>
          </cell>
          <cell r="L464">
            <v>30.763556300000001</v>
          </cell>
          <cell r="M464">
            <v>7.08</v>
          </cell>
          <cell r="N464">
            <v>23.421760099999997</v>
          </cell>
          <cell r="O464">
            <v>0</v>
          </cell>
          <cell r="P464">
            <v>8.6215132000000008</v>
          </cell>
          <cell r="Q464">
            <v>51.72</v>
          </cell>
          <cell r="R464">
            <v>92.66</v>
          </cell>
          <cell r="S464">
            <v>136.89910330000001</v>
          </cell>
          <cell r="T464">
            <v>136.89910330000001</v>
          </cell>
          <cell r="U464">
            <v>155.73910330000001</v>
          </cell>
          <cell r="V464">
            <v>221.73910330000001</v>
          </cell>
          <cell r="W464">
            <v>264.73910330000001</v>
          </cell>
          <cell r="X464">
            <v>295.50265960000002</v>
          </cell>
          <cell r="Y464">
            <v>302.5826596</v>
          </cell>
          <cell r="Z464">
            <v>326.00441969999997</v>
          </cell>
          <cell r="AA464">
            <v>326.00441969999997</v>
          </cell>
          <cell r="AB464">
            <v>334.62593289999995</v>
          </cell>
        </row>
        <row r="465">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row>
        <row r="466">
          <cell r="D466" t="str">
            <v>Cost of Goods Sold</v>
          </cell>
          <cell r="E466">
            <v>23.14</v>
          </cell>
          <cell r="F466">
            <v>14.52</v>
          </cell>
          <cell r="G466">
            <v>20.242535792000002</v>
          </cell>
          <cell r="H466">
            <v>0</v>
          </cell>
          <cell r="I466">
            <v>9.420517319597991</v>
          </cell>
          <cell r="J466">
            <v>23.713756146270217</v>
          </cell>
          <cell r="K466">
            <v>16.462724170469791</v>
          </cell>
          <cell r="L466">
            <v>12.028860478620986</v>
          </cell>
          <cell r="M466">
            <v>2</v>
          </cell>
          <cell r="N466">
            <v>9.6803219072720008</v>
          </cell>
          <cell r="O466">
            <v>0</v>
          </cell>
          <cell r="P466">
            <v>3.2336562439999996</v>
          </cell>
          <cell r="Q466">
            <v>23.14</v>
          </cell>
          <cell r="R466">
            <v>37.659999999999997</v>
          </cell>
          <cell r="S466">
            <v>57.902535791999995</v>
          </cell>
          <cell r="T466">
            <v>57.902535791999995</v>
          </cell>
          <cell r="U466">
            <v>67.323053111597986</v>
          </cell>
          <cell r="V466">
            <v>91.0368092578682</v>
          </cell>
          <cell r="W466">
            <v>107.499533428338</v>
          </cell>
          <cell r="X466">
            <v>119.52839390695898</v>
          </cell>
          <cell r="Y466">
            <v>121.52839390695898</v>
          </cell>
          <cell r="Z466">
            <v>131.20871581423097</v>
          </cell>
          <cell r="AA466">
            <v>131.20871581423097</v>
          </cell>
          <cell r="AB466">
            <v>134.44237205823097</v>
          </cell>
        </row>
        <row r="467">
          <cell r="D467" t="str">
            <v>Excise Recredit</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row>
        <row r="468">
          <cell r="D468" t="str">
            <v>PRISM - II Savings</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row>
        <row r="469">
          <cell r="D469" t="str">
            <v>PSM Savings</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row>
        <row r="470">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row>
        <row r="471">
          <cell r="D471" t="str">
            <v>Contribution</v>
          </cell>
          <cell r="E471">
            <v>28.58</v>
          </cell>
          <cell r="F471">
            <v>26.419999999999998</v>
          </cell>
          <cell r="G471">
            <v>23.996567508000002</v>
          </cell>
          <cell r="H471">
            <v>0</v>
          </cell>
          <cell r="I471">
            <v>9.4194826804020089</v>
          </cell>
          <cell r="J471">
            <v>42.286243853729786</v>
          </cell>
          <cell r="K471">
            <v>26.537275829530209</v>
          </cell>
          <cell r="L471">
            <v>18.734695821379013</v>
          </cell>
          <cell r="M471">
            <v>5.08</v>
          </cell>
          <cell r="N471">
            <v>13.741438192727996</v>
          </cell>
          <cell r="O471">
            <v>0</v>
          </cell>
          <cell r="P471">
            <v>5.3878569560000011</v>
          </cell>
          <cell r="Q471">
            <v>28.58</v>
          </cell>
          <cell r="R471">
            <v>55</v>
          </cell>
          <cell r="S471">
            <v>78.996567508000012</v>
          </cell>
          <cell r="T471">
            <v>78.996567508000012</v>
          </cell>
          <cell r="U471">
            <v>88.416050188402025</v>
          </cell>
          <cell r="V471">
            <v>130.70229404213183</v>
          </cell>
          <cell r="W471">
            <v>157.23956987166201</v>
          </cell>
          <cell r="X471">
            <v>175.97426569304105</v>
          </cell>
          <cell r="Y471">
            <v>181.05426569304103</v>
          </cell>
          <cell r="Z471">
            <v>194.795703885769</v>
          </cell>
          <cell r="AA471">
            <v>194.795703885769</v>
          </cell>
          <cell r="AB471">
            <v>200.18356084176898</v>
          </cell>
        </row>
        <row r="472">
          <cell r="D472">
            <v>0</v>
          </cell>
          <cell r="E472">
            <v>0.55259087393658157</v>
          </cell>
          <cell r="F472">
            <v>0.64533463605276009</v>
          </cell>
          <cell r="G472">
            <v>0.54242888571387471</v>
          </cell>
          <cell r="H472" t="e">
            <v>#DIV/0!</v>
          </cell>
          <cell r="I472">
            <v>0.49997254142261194</v>
          </cell>
          <cell r="J472">
            <v>0.64070066445045126</v>
          </cell>
          <cell r="K472">
            <v>0.6171459495239584</v>
          </cell>
          <cell r="L472">
            <v>0.60898992426889909</v>
          </cell>
          <cell r="M472">
            <v>0.71751412429378536</v>
          </cell>
          <cell r="N472">
            <v>0.58669536935134081</v>
          </cell>
          <cell r="O472" t="e">
            <v>#DIV/0!</v>
          </cell>
          <cell r="P472">
            <v>0.62493170642016771</v>
          </cell>
          <cell r="Q472">
            <v>0.55259087393658157</v>
          </cell>
          <cell r="R472">
            <v>0.59356788258148074</v>
          </cell>
          <cell r="S472">
            <v>0.57704225669679754</v>
          </cell>
          <cell r="T472">
            <v>0.57704225669679754</v>
          </cell>
          <cell r="U472">
            <v>0.56771901413921921</v>
          </cell>
          <cell r="V472">
            <v>0.58944179036071631</v>
          </cell>
          <cell r="W472">
            <v>0.59394161237102749</v>
          </cell>
          <cell r="X472">
            <v>0.59550822971016348</v>
          </cell>
          <cell r="Y472">
            <v>0.59836299255346037</v>
          </cell>
          <cell r="Z472">
            <v>0.59752473314633725</v>
          </cell>
          <cell r="AA472">
            <v>0.59752473314633725</v>
          </cell>
          <cell r="AB472">
            <v>0.59823086365990674</v>
          </cell>
        </row>
        <row r="473">
          <cell r="D473" t="str">
            <v>Overheads</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row>
        <row r="474">
          <cell r="D474" t="str">
            <v>Personnel Costs</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row>
        <row r="475">
          <cell r="D475" t="str">
            <v>Administration Exp</v>
          </cell>
          <cell r="E475">
            <v>0</v>
          </cell>
          <cell r="F475">
            <v>0</v>
          </cell>
          <cell r="G475">
            <v>0</v>
          </cell>
          <cell r="H475">
            <v>0</v>
          </cell>
          <cell r="I475">
            <v>0</v>
          </cell>
          <cell r="J475">
            <v>0.25</v>
          </cell>
          <cell r="K475">
            <v>0.25</v>
          </cell>
          <cell r="L475">
            <v>0.25</v>
          </cell>
          <cell r="M475">
            <v>0</v>
          </cell>
          <cell r="N475">
            <v>0</v>
          </cell>
          <cell r="O475">
            <v>0</v>
          </cell>
          <cell r="P475">
            <v>0</v>
          </cell>
          <cell r="Q475">
            <v>0</v>
          </cell>
          <cell r="R475">
            <v>0</v>
          </cell>
          <cell r="S475">
            <v>0</v>
          </cell>
          <cell r="T475">
            <v>0</v>
          </cell>
          <cell r="U475">
            <v>0</v>
          </cell>
          <cell r="V475">
            <v>0.25</v>
          </cell>
          <cell r="W475">
            <v>0.5</v>
          </cell>
          <cell r="X475">
            <v>0.75</v>
          </cell>
          <cell r="Y475">
            <v>0.75</v>
          </cell>
          <cell r="Z475">
            <v>0.75</v>
          </cell>
          <cell r="AA475">
            <v>0.75</v>
          </cell>
          <cell r="AB475">
            <v>0.75</v>
          </cell>
        </row>
        <row r="476">
          <cell r="D476" t="str">
            <v>Regulatory Exp.</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row>
        <row r="477">
          <cell r="D477" t="str">
            <v>Production Exp</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row>
        <row r="478">
          <cell r="D478" t="str">
            <v xml:space="preserve">Research &amp; Development </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row>
        <row r="479">
          <cell r="D479" t="str">
            <v>Marketing Exp</v>
          </cell>
          <cell r="E479">
            <v>12.93</v>
          </cell>
          <cell r="F479">
            <v>10.234999999999999</v>
          </cell>
          <cell r="G479">
            <v>11.059775825000001</v>
          </cell>
          <cell r="H479">
            <v>0</v>
          </cell>
          <cell r="I479">
            <v>4.71</v>
          </cell>
          <cell r="J479">
            <v>16.5</v>
          </cell>
          <cell r="K479">
            <v>10.75</v>
          </cell>
          <cell r="L479">
            <v>7.6908890750000003</v>
          </cell>
          <cell r="M479">
            <v>1.77</v>
          </cell>
          <cell r="N479">
            <v>5.8554400249999992</v>
          </cell>
          <cell r="O479">
            <v>0</v>
          </cell>
          <cell r="P479">
            <v>2.1553783000000002</v>
          </cell>
          <cell r="Q479">
            <v>12.93</v>
          </cell>
          <cell r="R479">
            <v>23.164999999999999</v>
          </cell>
          <cell r="S479">
            <v>34.224775825000002</v>
          </cell>
          <cell r="T479">
            <v>34.224775825000002</v>
          </cell>
          <cell r="U479">
            <v>38.934775825000003</v>
          </cell>
          <cell r="V479">
            <v>55.434775825000003</v>
          </cell>
          <cell r="W479">
            <v>66.184775825000003</v>
          </cell>
          <cell r="X479">
            <v>73.875664900000004</v>
          </cell>
          <cell r="Y479">
            <v>75.6456649</v>
          </cell>
          <cell r="Z479">
            <v>81.501104924999993</v>
          </cell>
          <cell r="AA479">
            <v>81.501104924999993</v>
          </cell>
          <cell r="AB479">
            <v>83.656483224999988</v>
          </cell>
        </row>
        <row r="480">
          <cell r="D480" t="str">
            <v>Trade, MRF Schemes &amp; Rate Matching</v>
          </cell>
          <cell r="E480">
            <v>12.93</v>
          </cell>
          <cell r="F480">
            <v>10.234999999999999</v>
          </cell>
          <cell r="G480">
            <v>11.059775825000001</v>
          </cell>
          <cell r="H480">
            <v>0</v>
          </cell>
          <cell r="I480">
            <v>4.71</v>
          </cell>
          <cell r="J480">
            <v>16.5</v>
          </cell>
          <cell r="K480">
            <v>10.75</v>
          </cell>
          <cell r="L480">
            <v>7.6908890750000003</v>
          </cell>
          <cell r="M480">
            <v>1.77</v>
          </cell>
          <cell r="N480">
            <v>5.8554400249999992</v>
          </cell>
          <cell r="O480">
            <v>0</v>
          </cell>
          <cell r="P480">
            <v>2.1553783000000002</v>
          </cell>
          <cell r="Q480">
            <v>12.93</v>
          </cell>
          <cell r="R480">
            <v>23.164999999999999</v>
          </cell>
          <cell r="S480">
            <v>34.224775825000002</v>
          </cell>
          <cell r="T480">
            <v>34.224775825000002</v>
          </cell>
          <cell r="U480">
            <v>38.934775825000003</v>
          </cell>
          <cell r="V480">
            <v>55.434775825000003</v>
          </cell>
          <cell r="W480">
            <v>66.184775825000003</v>
          </cell>
          <cell r="X480">
            <v>73.875664900000004</v>
          </cell>
          <cell r="Y480">
            <v>75.6456649</v>
          </cell>
          <cell r="Z480">
            <v>81.501104924999993</v>
          </cell>
          <cell r="AA480">
            <v>81.501104924999993</v>
          </cell>
          <cell r="AB480">
            <v>83.656483224999988</v>
          </cell>
        </row>
        <row r="481">
          <cell r="D481" t="str">
            <v>Field Related Costs</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row>
        <row r="482">
          <cell r="D482" t="str">
            <v>Marketing Support (Adv. + SP)</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row>
        <row r="483">
          <cell r="D483" t="str">
            <v>Other Mktg. Costs</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row>
        <row r="484">
          <cell r="D484" t="str">
            <v>Sales &amp; Distribution Exp</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row>
        <row r="486">
          <cell r="D486" t="str">
            <v>Total Overheads (a+b)</v>
          </cell>
          <cell r="E486">
            <v>12.93</v>
          </cell>
          <cell r="F486">
            <v>10.234999999999999</v>
          </cell>
          <cell r="G486">
            <v>11.059775825000001</v>
          </cell>
          <cell r="H486">
            <v>0</v>
          </cell>
          <cell r="I486">
            <v>4.71</v>
          </cell>
          <cell r="J486">
            <v>16.75</v>
          </cell>
          <cell r="K486">
            <v>11</v>
          </cell>
          <cell r="L486">
            <v>7.9408890750000003</v>
          </cell>
          <cell r="M486">
            <v>1.77</v>
          </cell>
          <cell r="N486">
            <v>5.8554400249999992</v>
          </cell>
          <cell r="O486">
            <v>0</v>
          </cell>
          <cell r="P486">
            <v>2.1553783000000002</v>
          </cell>
          <cell r="Q486">
            <v>12.93</v>
          </cell>
          <cell r="R486">
            <v>23.164999999999999</v>
          </cell>
          <cell r="S486">
            <v>34.224775825000002</v>
          </cell>
          <cell r="T486">
            <v>34.224775825000002</v>
          </cell>
          <cell r="U486">
            <v>38.934775825000003</v>
          </cell>
          <cell r="V486">
            <v>55.684775825000003</v>
          </cell>
          <cell r="W486">
            <v>66.684775825000003</v>
          </cell>
          <cell r="X486">
            <v>74.625664900000004</v>
          </cell>
          <cell r="Y486">
            <v>76.3956649</v>
          </cell>
          <cell r="Z486">
            <v>82.251104924999993</v>
          </cell>
          <cell r="AA486">
            <v>82.251104924999993</v>
          </cell>
          <cell r="AB486">
            <v>84.406483224999988</v>
          </cell>
        </row>
        <row r="487">
          <cell r="D487" t="str">
            <v>OPERATING PROFIT (LOSS)</v>
          </cell>
          <cell r="E487">
            <v>15.649999999999999</v>
          </cell>
          <cell r="F487">
            <v>16.184999999999999</v>
          </cell>
          <cell r="G487">
            <v>12.936791683000001</v>
          </cell>
          <cell r="H487">
            <v>0</v>
          </cell>
          <cell r="I487">
            <v>4.7094826804020089</v>
          </cell>
          <cell r="J487">
            <v>25.536243853729786</v>
          </cell>
          <cell r="K487">
            <v>15.537275829530209</v>
          </cell>
          <cell r="L487">
            <v>10.793806746379012</v>
          </cell>
          <cell r="M487">
            <v>3.31</v>
          </cell>
          <cell r="N487">
            <v>7.8859981677279967</v>
          </cell>
          <cell r="O487">
            <v>0</v>
          </cell>
          <cell r="P487">
            <v>3.2324786560000009</v>
          </cell>
          <cell r="Q487">
            <v>15.649999999999999</v>
          </cell>
          <cell r="R487">
            <v>31.834999999999997</v>
          </cell>
          <cell r="S487">
            <v>44.771791682999996</v>
          </cell>
          <cell r="T487">
            <v>44.771791682999996</v>
          </cell>
          <cell r="U487">
            <v>49.481274363402008</v>
          </cell>
          <cell r="V487">
            <v>75.017518217131794</v>
          </cell>
          <cell r="W487">
            <v>90.55479404666201</v>
          </cell>
          <cell r="X487">
            <v>101.34860079304102</v>
          </cell>
          <cell r="Y487">
            <v>104.65860079304102</v>
          </cell>
          <cell r="Z487">
            <v>112.54459896076901</v>
          </cell>
          <cell r="AA487">
            <v>112.54459896076901</v>
          </cell>
          <cell r="AB487">
            <v>115.77707761676901</v>
          </cell>
        </row>
      </sheetData>
      <sheetData sheetId="1"/>
      <sheetData sheetId="2">
        <row r="3">
          <cell r="O3">
            <v>0</v>
          </cell>
        </row>
      </sheetData>
      <sheetData sheetId="3"/>
      <sheetData sheetId="4"/>
      <sheetData sheetId="5"/>
      <sheetData sheetId="6"/>
      <sheetData sheetId="7">
        <row r="6">
          <cell r="BN6" t="str">
            <v>Actual</v>
          </cell>
          <cell r="BO6" t="str">
            <v>Actual</v>
          </cell>
          <cell r="BP6" t="str">
            <v>Actual</v>
          </cell>
          <cell r="BQ6" t="str">
            <v>Actual</v>
          </cell>
          <cell r="BR6" t="str">
            <v>Actual</v>
          </cell>
          <cell r="BS6" t="str">
            <v>Actual</v>
          </cell>
          <cell r="BT6" t="str">
            <v>Actual</v>
          </cell>
          <cell r="BU6" t="str">
            <v>Actual</v>
          </cell>
          <cell r="BV6" t="str">
            <v>Actual</v>
          </cell>
          <cell r="BW6" t="str">
            <v>Actual</v>
          </cell>
          <cell r="BX6" t="str">
            <v>Actual</v>
          </cell>
          <cell r="BY6" t="str">
            <v>Actual</v>
          </cell>
          <cell r="BZ6" t="str">
            <v>Cum_Actu</v>
          </cell>
          <cell r="CA6" t="str">
            <v>Cum_Actu</v>
          </cell>
          <cell r="CB6" t="str">
            <v>Cum_Actu</v>
          </cell>
          <cell r="CC6" t="str">
            <v>Cum_Actu</v>
          </cell>
          <cell r="CD6" t="str">
            <v>Cum_Actu</v>
          </cell>
          <cell r="CE6" t="str">
            <v>Cum_Actu</v>
          </cell>
          <cell r="CF6" t="str">
            <v>Cum_Actu</v>
          </cell>
          <cell r="CG6" t="str">
            <v>Cum_Actu</v>
          </cell>
          <cell r="CH6" t="str">
            <v>Cum_Actu</v>
          </cell>
          <cell r="CI6" t="str">
            <v>Cum_Actu</v>
          </cell>
          <cell r="CJ6" t="str">
            <v>Cum_Actu</v>
          </cell>
          <cell r="CK6" t="str">
            <v>Cum_Actu</v>
          </cell>
        </row>
        <row r="7">
          <cell r="BM7" t="str">
            <v>CODE</v>
          </cell>
          <cell r="BN7">
            <v>41285</v>
          </cell>
          <cell r="BO7">
            <v>41316</v>
          </cell>
          <cell r="BP7">
            <v>41344</v>
          </cell>
          <cell r="BQ7">
            <v>41375</v>
          </cell>
          <cell r="BR7">
            <v>41405</v>
          </cell>
          <cell r="BS7">
            <v>41436</v>
          </cell>
          <cell r="BT7">
            <v>41466</v>
          </cell>
          <cell r="BU7">
            <v>41497</v>
          </cell>
          <cell r="BV7">
            <v>41528</v>
          </cell>
          <cell r="BW7">
            <v>41558</v>
          </cell>
          <cell r="BX7">
            <v>41589</v>
          </cell>
          <cell r="BY7">
            <v>41619</v>
          </cell>
          <cell r="BZ7">
            <v>41285</v>
          </cell>
          <cell r="CA7">
            <v>41316</v>
          </cell>
          <cell r="CB7">
            <v>41344</v>
          </cell>
          <cell r="CC7">
            <v>41375</v>
          </cell>
          <cell r="CD7">
            <v>41405</v>
          </cell>
          <cell r="CE7">
            <v>41436</v>
          </cell>
          <cell r="CF7">
            <v>41466</v>
          </cell>
          <cell r="CG7">
            <v>41497</v>
          </cell>
          <cell r="CH7">
            <v>41528</v>
          </cell>
          <cell r="CI7">
            <v>41558</v>
          </cell>
          <cell r="CJ7">
            <v>41589</v>
          </cell>
          <cell r="CK7">
            <v>41619</v>
          </cell>
        </row>
        <row r="8">
          <cell r="BM8" t="str">
            <v>LM01</v>
          </cell>
          <cell r="BN8">
            <v>0.1125</v>
          </cell>
          <cell r="BO8">
            <v>8.2500000000000004E-2</v>
          </cell>
          <cell r="BP8">
            <v>8.2500000000000004E-2</v>
          </cell>
          <cell r="BQ8">
            <v>0.10250000000000001</v>
          </cell>
          <cell r="BR8">
            <v>9.2499999999999999E-2</v>
          </cell>
          <cell r="BS8">
            <v>9.2499999999999999E-2</v>
          </cell>
          <cell r="BT8">
            <v>9.2499999999999999E-2</v>
          </cell>
          <cell r="BU8">
            <v>9.2499999999999999E-2</v>
          </cell>
          <cell r="BV8">
            <v>9.2499999999999999E-2</v>
          </cell>
          <cell r="BW8">
            <v>9.2499999999999999E-2</v>
          </cell>
          <cell r="BX8">
            <v>9.2499999999999999E-2</v>
          </cell>
          <cell r="BY8">
            <v>9.2499999999999999E-2</v>
          </cell>
          <cell r="BZ8">
            <v>0.1125</v>
          </cell>
          <cell r="CA8">
            <v>0.19500000000000001</v>
          </cell>
          <cell r="CB8">
            <v>0.27750000000000002</v>
          </cell>
          <cell r="CC8">
            <v>0.38</v>
          </cell>
          <cell r="CD8">
            <v>0.47250000000000003</v>
          </cell>
          <cell r="CE8">
            <v>0.56500000000000006</v>
          </cell>
          <cell r="CF8">
            <v>0.65750000000000008</v>
          </cell>
          <cell r="CG8">
            <v>0.75000000000000011</v>
          </cell>
          <cell r="CH8">
            <v>0.84250000000000014</v>
          </cell>
          <cell r="CI8">
            <v>0.93500000000000016</v>
          </cell>
          <cell r="CJ8">
            <v>1.0275000000000001</v>
          </cell>
          <cell r="CK8">
            <v>1.1200000000000001</v>
          </cell>
        </row>
        <row r="9">
          <cell r="BM9" t="str">
            <v>LM02</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BM10" t="str">
            <v>LM03</v>
          </cell>
          <cell r="BN10">
            <v>1.5</v>
          </cell>
          <cell r="BO10">
            <v>1.5</v>
          </cell>
          <cell r="BP10">
            <v>1.5</v>
          </cell>
          <cell r="BQ10">
            <v>1.5</v>
          </cell>
          <cell r="BR10">
            <v>1.5</v>
          </cell>
          <cell r="BS10">
            <v>1.5</v>
          </cell>
          <cell r="BT10">
            <v>1.5</v>
          </cell>
          <cell r="BU10">
            <v>1.5</v>
          </cell>
          <cell r="BV10">
            <v>1.5</v>
          </cell>
          <cell r="BW10">
            <v>1.5</v>
          </cell>
          <cell r="BX10">
            <v>1.5</v>
          </cell>
          <cell r="BY10">
            <v>1.5</v>
          </cell>
          <cell r="BZ10">
            <v>1.5</v>
          </cell>
          <cell r="CA10">
            <v>3</v>
          </cell>
          <cell r="CB10">
            <v>4.5</v>
          </cell>
          <cell r="CC10">
            <v>6</v>
          </cell>
          <cell r="CD10">
            <v>7.5</v>
          </cell>
          <cell r="CE10">
            <v>9</v>
          </cell>
          <cell r="CF10">
            <v>10.5</v>
          </cell>
          <cell r="CG10">
            <v>12</v>
          </cell>
          <cell r="CH10">
            <v>13.5</v>
          </cell>
          <cell r="CI10">
            <v>15</v>
          </cell>
          <cell r="CJ10">
            <v>16.5</v>
          </cell>
          <cell r="CK10">
            <v>18</v>
          </cell>
        </row>
        <row r="11">
          <cell r="BM11" t="str">
            <v>LM04</v>
          </cell>
          <cell r="BN11">
            <v>0.64083333333333325</v>
          </cell>
          <cell r="BO11">
            <v>0.64083333333333325</v>
          </cell>
          <cell r="BP11">
            <v>0.64083333333333325</v>
          </cell>
          <cell r="BQ11">
            <v>0.64083333333333325</v>
          </cell>
          <cell r="BR11">
            <v>0.64083333333333325</v>
          </cell>
          <cell r="BS11">
            <v>0.64083333333333325</v>
          </cell>
          <cell r="BT11">
            <v>1.210833333333333</v>
          </cell>
          <cell r="BU11">
            <v>1.1108333333333329</v>
          </cell>
          <cell r="BV11">
            <v>0.64083333333333325</v>
          </cell>
          <cell r="BW11">
            <v>0.64083333333333325</v>
          </cell>
          <cell r="BX11">
            <v>0.64083333333333325</v>
          </cell>
          <cell r="BY11">
            <v>0.64083333333333325</v>
          </cell>
          <cell r="BZ11">
            <v>0.64083333333333325</v>
          </cell>
          <cell r="CA11">
            <v>1.2816666666666665</v>
          </cell>
          <cell r="CB11">
            <v>1.9224999999999999</v>
          </cell>
          <cell r="CC11">
            <v>2.563333333333333</v>
          </cell>
          <cell r="CD11">
            <v>3.2041666666666662</v>
          </cell>
          <cell r="CE11">
            <v>3.8449999999999993</v>
          </cell>
          <cell r="CF11">
            <v>5.0558333333333323</v>
          </cell>
          <cell r="CG11">
            <v>6.1666666666666652</v>
          </cell>
          <cell r="CH11">
            <v>6.8074999999999983</v>
          </cell>
          <cell r="CI11">
            <v>7.4483333333333315</v>
          </cell>
          <cell r="CJ11">
            <v>8.0891666666666655</v>
          </cell>
          <cell r="CK11">
            <v>8.7299999999999986</v>
          </cell>
        </row>
        <row r="12">
          <cell r="BM12" t="str">
            <v>LM05</v>
          </cell>
          <cell r="BN12">
            <v>0.81166666666666665</v>
          </cell>
          <cell r="BO12">
            <v>0.67166666666666663</v>
          </cell>
          <cell r="BP12">
            <v>0.67166666666666663</v>
          </cell>
          <cell r="BQ12">
            <v>0.67166666666666663</v>
          </cell>
          <cell r="BR12">
            <v>0.67166666666666663</v>
          </cell>
          <cell r="BS12">
            <v>10.941666666666666</v>
          </cell>
          <cell r="BT12">
            <v>0.17166666666666697</v>
          </cell>
          <cell r="BU12">
            <v>0.20166666666666699</v>
          </cell>
          <cell r="BV12">
            <v>0.67166666666666663</v>
          </cell>
          <cell r="BW12">
            <v>0.67166666666666663</v>
          </cell>
          <cell r="BX12">
            <v>0.67166666666666663</v>
          </cell>
          <cell r="BY12">
            <v>0.37</v>
          </cell>
          <cell r="BZ12">
            <v>0.81166666666666665</v>
          </cell>
          <cell r="CA12">
            <v>1.4833333333333334</v>
          </cell>
          <cell r="CB12">
            <v>2.1550000000000002</v>
          </cell>
          <cell r="CC12">
            <v>2.8266666666666671</v>
          </cell>
          <cell r="CD12">
            <v>3.498333333333334</v>
          </cell>
          <cell r="CE12">
            <v>14.440000000000001</v>
          </cell>
          <cell r="CF12">
            <v>14.611666666666668</v>
          </cell>
          <cell r="CG12">
            <v>14.813333333333334</v>
          </cell>
          <cell r="CH12">
            <v>15.485000000000001</v>
          </cell>
          <cell r="CI12">
            <v>16.156666666666666</v>
          </cell>
          <cell r="CJ12">
            <v>16.828333333333333</v>
          </cell>
          <cell r="CK12">
            <v>17.198333333333334</v>
          </cell>
        </row>
        <row r="13">
          <cell r="BM13" t="str">
            <v>LM06</v>
          </cell>
          <cell r="BN13">
            <v>0.58333333333333337</v>
          </cell>
          <cell r="BO13">
            <v>0.58333333333333337</v>
          </cell>
          <cell r="BP13">
            <v>0.58333333333333337</v>
          </cell>
          <cell r="BQ13">
            <v>0.58333333333333337</v>
          </cell>
          <cell r="BR13">
            <v>0.58333333333333337</v>
          </cell>
          <cell r="BS13">
            <v>0.58333333333333337</v>
          </cell>
          <cell r="BT13">
            <v>0.51333333333333298</v>
          </cell>
          <cell r="BU13">
            <v>1.3333333333333086E-2</v>
          </cell>
          <cell r="BV13">
            <v>0.22333333333333305</v>
          </cell>
          <cell r="BW13">
            <v>0.58333333333333337</v>
          </cell>
          <cell r="BX13">
            <v>0.58333333333333337</v>
          </cell>
          <cell r="BY13">
            <v>-0.95000000000000007</v>
          </cell>
          <cell r="BZ13">
            <v>0.58333333333333337</v>
          </cell>
          <cell r="CA13">
            <v>1.1666666666666667</v>
          </cell>
          <cell r="CB13">
            <v>1.75</v>
          </cell>
          <cell r="CC13">
            <v>2.3333333333333335</v>
          </cell>
          <cell r="CD13">
            <v>2.916666666666667</v>
          </cell>
          <cell r="CE13">
            <v>3.5000000000000004</v>
          </cell>
          <cell r="CF13">
            <v>4.0133333333333336</v>
          </cell>
          <cell r="CG13">
            <v>4.0266666666666664</v>
          </cell>
          <cell r="CH13">
            <v>4.2499999999999991</v>
          </cell>
          <cell r="CI13">
            <v>4.8333333333333321</v>
          </cell>
          <cell r="CJ13">
            <v>5.4166666666666652</v>
          </cell>
          <cell r="CK13">
            <v>4.466666666666665</v>
          </cell>
        </row>
        <row r="14">
          <cell r="BM14" t="str">
            <v>LM07</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BM15" t="str">
            <v>LM08</v>
          </cell>
          <cell r="BN15">
            <v>0.59922921208866298</v>
          </cell>
          <cell r="BO15">
            <v>0.56706420705125482</v>
          </cell>
          <cell r="BP15">
            <v>0.50835734694790458</v>
          </cell>
          <cell r="BQ15">
            <v>0.44681534342032619</v>
          </cell>
          <cell r="BR15">
            <v>0.47484408589381183</v>
          </cell>
          <cell r="BS15">
            <v>0.51101911884214202</v>
          </cell>
          <cell r="BT15">
            <v>0.42638555601568207</v>
          </cell>
          <cell r="BU15">
            <v>0.49908250612600402</v>
          </cell>
          <cell r="BV15">
            <v>0.53890857603603293</v>
          </cell>
          <cell r="BW15">
            <v>0.38270556856868398</v>
          </cell>
          <cell r="BX15">
            <v>0.53404650885195193</v>
          </cell>
          <cell r="BY15">
            <v>1.1985722373318699</v>
          </cell>
          <cell r="BZ15">
            <v>0.59922921208866298</v>
          </cell>
          <cell r="CA15">
            <v>1.1662934191399179</v>
          </cell>
          <cell r="CB15">
            <v>1.6746507660878225</v>
          </cell>
          <cell r="CC15">
            <v>2.1214661095081486</v>
          </cell>
          <cell r="CD15">
            <v>2.5963101954019603</v>
          </cell>
          <cell r="CE15">
            <v>3.1073293142441023</v>
          </cell>
          <cell r="CF15">
            <v>3.5337148702597845</v>
          </cell>
          <cell r="CG15">
            <v>4.0327973763857887</v>
          </cell>
          <cell r="CH15">
            <v>4.571705952421822</v>
          </cell>
          <cell r="CI15">
            <v>4.9544115209905062</v>
          </cell>
          <cell r="CJ15">
            <v>5.4884580298424579</v>
          </cell>
          <cell r="CK15">
            <v>6.687030267174328</v>
          </cell>
        </row>
        <row r="16">
          <cell r="BM16" t="str">
            <v>LM09</v>
          </cell>
          <cell r="BN16">
            <v>12.484521597603928</v>
          </cell>
          <cell r="BO16">
            <v>11.796208218061599</v>
          </cell>
          <cell r="BP16">
            <v>-0.58563416993757222</v>
          </cell>
          <cell r="BQ16">
            <v>9.3336655793979588</v>
          </cell>
          <cell r="BR16">
            <v>10.001345510702613</v>
          </cell>
          <cell r="BS16">
            <v>0.48880637581819997</v>
          </cell>
          <cell r="BT16">
            <v>-3.3691158212653995</v>
          </cell>
          <cell r="BU16">
            <v>10.3660594199767</v>
          </cell>
          <cell r="BV16">
            <v>11.2355242428764</v>
          </cell>
          <cell r="BW16">
            <v>7.8902224940008008</v>
          </cell>
          <cell r="BX16">
            <v>11.169024432660201</v>
          </cell>
          <cell r="BY16">
            <v>-15.929907255723801</v>
          </cell>
          <cell r="BZ16">
            <v>12.484521597603928</v>
          </cell>
          <cell r="CA16">
            <v>24.280729815665527</v>
          </cell>
          <cell r="CB16">
            <v>23.695095645727953</v>
          </cell>
          <cell r="CC16">
            <v>33.028761225125912</v>
          </cell>
          <cell r="CD16">
            <v>43.030106735828525</v>
          </cell>
          <cell r="CE16">
            <v>43.518913111646725</v>
          </cell>
          <cell r="CF16">
            <v>40.149797290381329</v>
          </cell>
          <cell r="CG16">
            <v>50.51585671035803</v>
          </cell>
          <cell r="CH16">
            <v>61.751380953234431</v>
          </cell>
          <cell r="CI16">
            <v>69.641603447235227</v>
          </cell>
          <cell r="CJ16">
            <v>80.810627879895435</v>
          </cell>
          <cell r="CK16">
            <v>64.88072062417163</v>
          </cell>
        </row>
        <row r="17">
          <cell r="BM17" t="str">
            <v>LM10</v>
          </cell>
          <cell r="BN17">
            <v>21.87</v>
          </cell>
          <cell r="BO17">
            <v>18.87</v>
          </cell>
          <cell r="BP17">
            <v>15.31</v>
          </cell>
          <cell r="BQ17">
            <v>18.87</v>
          </cell>
          <cell r="BR17">
            <v>18.87</v>
          </cell>
          <cell r="BS17">
            <v>18.87</v>
          </cell>
          <cell r="BT17">
            <v>18.87</v>
          </cell>
          <cell r="BU17">
            <v>20.48</v>
          </cell>
          <cell r="BV17">
            <v>22.79</v>
          </cell>
          <cell r="BW17">
            <v>20.79</v>
          </cell>
          <cell r="BX17">
            <v>20.79</v>
          </cell>
          <cell r="BY17">
            <v>16.660000000000004</v>
          </cell>
          <cell r="BZ17">
            <v>21.87</v>
          </cell>
          <cell r="CA17">
            <v>40.74</v>
          </cell>
          <cell r="CB17">
            <v>56.050000000000004</v>
          </cell>
          <cell r="CC17">
            <v>74.92</v>
          </cell>
          <cell r="CD17">
            <v>93.79</v>
          </cell>
          <cell r="CE17">
            <v>112.66000000000001</v>
          </cell>
          <cell r="CF17">
            <v>131.53</v>
          </cell>
          <cell r="CG17">
            <v>152.01</v>
          </cell>
          <cell r="CH17">
            <v>174.79999999999998</v>
          </cell>
          <cell r="CI17">
            <v>195.58999999999997</v>
          </cell>
          <cell r="CJ17">
            <v>216.37999999999997</v>
          </cell>
          <cell r="CK17">
            <v>233.03999999999996</v>
          </cell>
        </row>
        <row r="18">
          <cell r="BM18" t="str">
            <v>LM11</v>
          </cell>
          <cell r="BN18">
            <v>365</v>
          </cell>
          <cell r="BO18">
            <v>20</v>
          </cell>
          <cell r="BP18">
            <v>-2</v>
          </cell>
          <cell r="BQ18">
            <v>138</v>
          </cell>
          <cell r="BR18">
            <v>4</v>
          </cell>
          <cell r="BS18">
            <v>14</v>
          </cell>
          <cell r="BT18">
            <v>5.3000000000000007</v>
          </cell>
          <cell r="BU18">
            <v>69.5</v>
          </cell>
          <cell r="BV18">
            <v>-22.000000000000007</v>
          </cell>
          <cell r="BW18">
            <v>97</v>
          </cell>
          <cell r="BX18">
            <v>-27</v>
          </cell>
          <cell r="BY18">
            <v>-13.9</v>
          </cell>
          <cell r="BZ18">
            <v>365</v>
          </cell>
          <cell r="CA18">
            <v>385</v>
          </cell>
          <cell r="CB18">
            <v>383</v>
          </cell>
          <cell r="CC18">
            <v>521</v>
          </cell>
          <cell r="CD18">
            <v>525</v>
          </cell>
          <cell r="CE18">
            <v>539</v>
          </cell>
          <cell r="CF18">
            <v>544.29999999999995</v>
          </cell>
          <cell r="CG18">
            <v>613.79999999999995</v>
          </cell>
          <cell r="CH18">
            <v>591.79999999999995</v>
          </cell>
          <cell r="CI18">
            <v>688.8</v>
          </cell>
          <cell r="CJ18">
            <v>661.8</v>
          </cell>
          <cell r="CK18">
            <v>647.9</v>
          </cell>
        </row>
        <row r="19">
          <cell r="BM19" t="str">
            <v>LM12</v>
          </cell>
          <cell r="BN19">
            <v>128.30122981629449</v>
          </cell>
          <cell r="BO19">
            <v>177.9493707851112</v>
          </cell>
          <cell r="BP19">
            <v>137.63064475460763</v>
          </cell>
          <cell r="BQ19">
            <v>116.41021953880147</v>
          </cell>
          <cell r="BR19">
            <v>124.21493099569348</v>
          </cell>
          <cell r="BS19">
            <v>133.60935985654851</v>
          </cell>
          <cell r="BT19">
            <v>50.664228178934003</v>
          </cell>
          <cell r="BU19">
            <v>95.357301643929702</v>
          </cell>
          <cell r="BV19">
            <v>70.449381101809408</v>
          </cell>
          <cell r="BW19">
            <v>57.275557167801601</v>
          </cell>
          <cell r="BX19">
            <v>74.45319578696801</v>
          </cell>
          <cell r="BY19">
            <v>77.87</v>
          </cell>
          <cell r="BZ19">
            <v>128.30122981629449</v>
          </cell>
          <cell r="CA19">
            <v>306.25060060140572</v>
          </cell>
          <cell r="CB19">
            <v>443.88124535601332</v>
          </cell>
          <cell r="CC19">
            <v>560.29146489481479</v>
          </cell>
          <cell r="CD19">
            <v>684.50639589050832</v>
          </cell>
          <cell r="CE19">
            <v>818.11575574705682</v>
          </cell>
          <cell r="CF19">
            <v>868.77998392599079</v>
          </cell>
          <cell r="CG19">
            <v>964.13728556992055</v>
          </cell>
          <cell r="CH19">
            <v>1034.58666667173</v>
          </cell>
          <cell r="CI19">
            <v>1091.8622238395317</v>
          </cell>
          <cell r="CJ19">
            <v>1166.3154196264998</v>
          </cell>
          <cell r="CK19">
            <v>1244.1854196264999</v>
          </cell>
        </row>
        <row r="20">
          <cell r="BM20" t="str">
            <v>LM13</v>
          </cell>
          <cell r="BN20">
            <v>5.2649760640735241</v>
          </cell>
          <cell r="BO20">
            <v>4.9770438072836258</v>
          </cell>
          <cell r="BP20">
            <v>4.4803001553992292</v>
          </cell>
          <cell r="BQ20">
            <v>3.9452927614747328</v>
          </cell>
          <cell r="BR20">
            <v>4.226059376550765</v>
          </cell>
          <cell r="BS20">
            <v>4.5419030297944492</v>
          </cell>
          <cell r="BT20">
            <v>23.349203661872739</v>
          </cell>
          <cell r="BU20">
            <v>4.3211166026681394</v>
          </cell>
          <cell r="BV20">
            <v>30.598433112671579</v>
          </cell>
          <cell r="BW20">
            <v>19.50446678136646</v>
          </cell>
          <cell r="BX20">
            <v>30.101418785987121</v>
          </cell>
          <cell r="BY20">
            <v>63.470000000000006</v>
          </cell>
          <cell r="BZ20">
            <v>5.2649760640735241</v>
          </cell>
          <cell r="CA20">
            <v>10.242019871357151</v>
          </cell>
          <cell r="CB20">
            <v>14.72232002675638</v>
          </cell>
          <cell r="CC20">
            <v>18.667612788231114</v>
          </cell>
          <cell r="CD20">
            <v>22.893672164781879</v>
          </cell>
          <cell r="CE20">
            <v>27.43557519457633</v>
          </cell>
          <cell r="CF20">
            <v>50.784778856449066</v>
          </cell>
          <cell r="CG20">
            <v>55.105895459117207</v>
          </cell>
          <cell r="CH20">
            <v>85.704328571788778</v>
          </cell>
          <cell r="CI20">
            <v>105.20879535315524</v>
          </cell>
          <cell r="CJ20">
            <v>135.31021413914237</v>
          </cell>
          <cell r="CK20">
            <v>198.78021413914237</v>
          </cell>
        </row>
        <row r="21">
          <cell r="BM21" t="str">
            <v>LM14</v>
          </cell>
          <cell r="BN21">
            <v>3.0676366638179156</v>
          </cell>
          <cell r="BO21">
            <v>2.89855964681175</v>
          </cell>
          <cell r="BP21">
            <v>22.613869568405175</v>
          </cell>
          <cell r="BQ21">
            <v>2.2926805237503465</v>
          </cell>
          <cell r="BR21">
            <v>2.4538899983930156</v>
          </cell>
          <cell r="BS21">
            <v>2.6488591940570103</v>
          </cell>
          <cell r="BT21">
            <v>12.996403738841551</v>
          </cell>
          <cell r="BU21">
            <v>17.871573925248509</v>
          </cell>
          <cell r="BV21">
            <v>2.5386457885035298</v>
          </cell>
          <cell r="BW21">
            <v>1.59344451123749</v>
          </cell>
          <cell r="BX21">
            <v>2.5109466826029396</v>
          </cell>
          <cell r="BY21">
            <v>2.8100000000000005</v>
          </cell>
          <cell r="BZ21">
            <v>3.0676366638179156</v>
          </cell>
          <cell r="CA21">
            <v>5.966196310629666</v>
          </cell>
          <cell r="CB21">
            <v>28.580065879034841</v>
          </cell>
          <cell r="CC21">
            <v>30.872746402785186</v>
          </cell>
          <cell r="CD21">
            <v>33.326636401178199</v>
          </cell>
          <cell r="CE21">
            <v>35.975495595235209</v>
          </cell>
          <cell r="CF21">
            <v>48.97189933407676</v>
          </cell>
          <cell r="CG21">
            <v>66.843473259325265</v>
          </cell>
          <cell r="CH21">
            <v>69.382119047828795</v>
          </cell>
          <cell r="CI21">
            <v>70.975563559066288</v>
          </cell>
          <cell r="CJ21">
            <v>73.486510241669222</v>
          </cell>
          <cell r="CK21">
            <v>76.296510241669225</v>
          </cell>
        </row>
        <row r="22">
          <cell r="BM22" t="str">
            <v>LM15</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BM23" t="str">
            <v>LM16</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BM24" t="str">
            <v>LM17</v>
          </cell>
          <cell r="BN24">
            <v>0.29916666666666664</v>
          </cell>
          <cell r="BO24">
            <v>0.29916666666666664</v>
          </cell>
          <cell r="BP24">
            <v>0.29916666666666664</v>
          </cell>
          <cell r="BQ24">
            <v>0.29916666666666664</v>
          </cell>
          <cell r="BR24">
            <v>0.29916666666666664</v>
          </cell>
          <cell r="BS24">
            <v>0.29916666666666664</v>
          </cell>
          <cell r="BT24">
            <v>1.1991666666666672</v>
          </cell>
          <cell r="BU24">
            <v>1.1991666666666672</v>
          </cell>
          <cell r="BV24">
            <v>1.1991666666666672</v>
          </cell>
          <cell r="BW24">
            <v>1.1991666666666672</v>
          </cell>
          <cell r="BX24">
            <v>0.29916666666666664</v>
          </cell>
          <cell r="BY24">
            <v>1.1991666666666672</v>
          </cell>
          <cell r="BZ24">
            <v>0.29916666666666664</v>
          </cell>
          <cell r="CA24">
            <v>0.59833333333333327</v>
          </cell>
          <cell r="CB24">
            <v>0.89749999999999996</v>
          </cell>
          <cell r="CC24">
            <v>1.1966666666666665</v>
          </cell>
          <cell r="CD24">
            <v>1.4958333333333331</v>
          </cell>
          <cell r="CE24">
            <v>1.7949999999999997</v>
          </cell>
          <cell r="CF24">
            <v>2.9941666666666666</v>
          </cell>
          <cell r="CG24">
            <v>4.1933333333333334</v>
          </cell>
          <cell r="CH24">
            <v>5.3925000000000001</v>
          </cell>
          <cell r="CI24">
            <v>6.5916666666666668</v>
          </cell>
          <cell r="CJ24">
            <v>6.8908333333333331</v>
          </cell>
          <cell r="CK24">
            <v>8.09</v>
          </cell>
        </row>
        <row r="25">
          <cell r="BM25" t="str">
            <v>LM18</v>
          </cell>
          <cell r="BN25">
            <v>3.0676366638179156</v>
          </cell>
          <cell r="BO25">
            <v>2.89855964681175</v>
          </cell>
          <cell r="BP25">
            <v>2.6138695684051738</v>
          </cell>
          <cell r="BQ25">
            <v>2.2926805237503465</v>
          </cell>
          <cell r="BR25">
            <v>2.4538899983930156</v>
          </cell>
          <cell r="BS25">
            <v>2.6488591940570103</v>
          </cell>
          <cell r="BT25">
            <v>2.0964037388415502</v>
          </cell>
          <cell r="BU25">
            <v>2.5115739252485101</v>
          </cell>
          <cell r="BV25">
            <v>2.5386457885035298</v>
          </cell>
          <cell r="BW25">
            <v>1.59344451123749</v>
          </cell>
          <cell r="BX25">
            <v>2.5109466826029396</v>
          </cell>
          <cell r="BY25">
            <v>2.52</v>
          </cell>
          <cell r="BZ25">
            <v>3.0676366638179156</v>
          </cell>
          <cell r="CA25">
            <v>5.966196310629666</v>
          </cell>
          <cell r="CB25">
            <v>8.5800658790348407</v>
          </cell>
          <cell r="CC25">
            <v>10.872746402785188</v>
          </cell>
          <cell r="CD25">
            <v>13.326636401178202</v>
          </cell>
          <cell r="CE25">
            <v>15.975495595235213</v>
          </cell>
          <cell r="CF25">
            <v>18.071899334076761</v>
          </cell>
          <cell r="CG25">
            <v>20.58347325932527</v>
          </cell>
          <cell r="CH25">
            <v>23.1221190478288</v>
          </cell>
          <cell r="CI25">
            <v>24.71556355906629</v>
          </cell>
          <cell r="CJ25">
            <v>27.226510241669228</v>
          </cell>
          <cell r="CK25">
            <v>29.746510241669228</v>
          </cell>
        </row>
        <row r="26">
          <cell r="BM26" t="str">
            <v>LM19</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row>
        <row r="27">
          <cell r="BM27" t="str">
            <v>LM20</v>
          </cell>
          <cell r="BN27">
            <v>0.5116666666666666</v>
          </cell>
          <cell r="BO27">
            <v>0.4416666666666666</v>
          </cell>
          <cell r="BP27">
            <v>0.4416666666666666</v>
          </cell>
          <cell r="BQ27">
            <v>0.4416666666666666</v>
          </cell>
          <cell r="BR27">
            <v>0.4416666666666666</v>
          </cell>
          <cell r="BS27">
            <v>0.4416666666666666</v>
          </cell>
          <cell r="BT27">
            <v>0.4416666666666666</v>
          </cell>
          <cell r="BU27">
            <v>0.4416666666666666</v>
          </cell>
          <cell r="BV27">
            <v>0.4416666666666666</v>
          </cell>
          <cell r="BW27">
            <v>0.4416666666666666</v>
          </cell>
          <cell r="BX27">
            <v>0.4416666666666666</v>
          </cell>
          <cell r="BY27">
            <v>-0.44</v>
          </cell>
          <cell r="BZ27">
            <v>0.5116666666666666</v>
          </cell>
          <cell r="CA27">
            <v>0.95333333333333314</v>
          </cell>
          <cell r="CB27">
            <v>1.3949999999999998</v>
          </cell>
          <cell r="CC27">
            <v>1.8366666666666664</v>
          </cell>
          <cell r="CD27">
            <v>2.2783333333333329</v>
          </cell>
          <cell r="CE27">
            <v>2.7199999999999993</v>
          </cell>
          <cell r="CF27">
            <v>3.1616666666666657</v>
          </cell>
          <cell r="CG27">
            <v>3.6033333333333322</v>
          </cell>
          <cell r="CH27">
            <v>4.044999999999999</v>
          </cell>
          <cell r="CI27">
            <v>4.4866666666666655</v>
          </cell>
          <cell r="CJ27">
            <v>4.9283333333333319</v>
          </cell>
          <cell r="CK27">
            <v>4.4883333333333315</v>
          </cell>
        </row>
        <row r="28">
          <cell r="BM28" t="str">
            <v>LM21</v>
          </cell>
          <cell r="BN28">
            <v>0.98809851644569369</v>
          </cell>
          <cell r="BO28">
            <v>0.898977004799144</v>
          </cell>
          <cell r="BP28">
            <v>0.88649460358903132</v>
          </cell>
          <cell r="BQ28">
            <v>0.74092111180613129</v>
          </cell>
          <cell r="BR28">
            <v>0.75243134437873893</v>
          </cell>
          <cell r="BS28">
            <v>0.90464687834006163</v>
          </cell>
          <cell r="BT28">
            <v>0.91234035464195085</v>
          </cell>
          <cell r="BU28">
            <v>0.93054306187975766</v>
          </cell>
          <cell r="BV28">
            <v>1.016311409892366</v>
          </cell>
          <cell r="BW28">
            <v>1.07910001865599</v>
          </cell>
          <cell r="BX28">
            <v>1.1957126941063385</v>
          </cell>
          <cell r="BY28">
            <v>1.2452097561748925</v>
          </cell>
          <cell r="BZ28">
            <v>0.98809851644569369</v>
          </cell>
          <cell r="CA28">
            <v>1.8870755212448378</v>
          </cell>
          <cell r="CB28">
            <v>2.7735701248338689</v>
          </cell>
          <cell r="CC28">
            <v>3.5144912366400001</v>
          </cell>
          <cell r="CD28">
            <v>4.266922581018739</v>
          </cell>
          <cell r="CE28">
            <v>5.1715694593588006</v>
          </cell>
          <cell r="CF28">
            <v>6.0839098140007515</v>
          </cell>
          <cell r="CG28">
            <v>7.0144528758805089</v>
          </cell>
          <cell r="CH28">
            <v>8.0307642857728752</v>
          </cell>
          <cell r="CI28">
            <v>9.1098643044288643</v>
          </cell>
          <cell r="CJ28">
            <v>10.305576998535203</v>
          </cell>
          <cell r="CK28">
            <v>11.550786754710096</v>
          </cell>
        </row>
        <row r="29">
          <cell r="BM29" t="str">
            <v>LM22</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row>
        <row r="30">
          <cell r="BM30" t="str">
            <v>LM23</v>
          </cell>
          <cell r="BN30">
            <v>11.1</v>
          </cell>
          <cell r="BO30">
            <v>0</v>
          </cell>
          <cell r="BP30">
            <v>0</v>
          </cell>
          <cell r="BQ30">
            <v>0</v>
          </cell>
          <cell r="BR30">
            <v>-11.1</v>
          </cell>
          <cell r="BS30">
            <v>0</v>
          </cell>
          <cell r="BT30">
            <v>0</v>
          </cell>
          <cell r="BU30">
            <v>0</v>
          </cell>
          <cell r="BV30">
            <v>0</v>
          </cell>
          <cell r="BW30">
            <v>0</v>
          </cell>
          <cell r="BX30">
            <v>0</v>
          </cell>
          <cell r="BY30">
            <v>0</v>
          </cell>
          <cell r="BZ30">
            <v>11.1</v>
          </cell>
          <cell r="CA30">
            <v>11.1</v>
          </cell>
          <cell r="CB30">
            <v>11.1</v>
          </cell>
          <cell r="CC30">
            <v>11.1</v>
          </cell>
          <cell r="CD30">
            <v>0</v>
          </cell>
          <cell r="CE30">
            <v>0</v>
          </cell>
          <cell r="CF30">
            <v>0</v>
          </cell>
          <cell r="CG30">
            <v>0</v>
          </cell>
          <cell r="CH30">
            <v>0</v>
          </cell>
          <cell r="CI30">
            <v>0</v>
          </cell>
          <cell r="CJ30">
            <v>0</v>
          </cell>
          <cell r="CK30">
            <v>0</v>
          </cell>
        </row>
        <row r="31">
          <cell r="BM31" t="str">
            <v>TTL</v>
          </cell>
          <cell r="BN31">
            <v>556.20249520080881</v>
          </cell>
          <cell r="BO31">
            <v>245.07494998259699</v>
          </cell>
          <cell r="BP31">
            <v>185.67706849408322</v>
          </cell>
          <cell r="BQ31">
            <v>296.57144204906797</v>
          </cell>
          <cell r="BR31">
            <v>160.57655797667215</v>
          </cell>
          <cell r="BS31">
            <v>192.72262031412404</v>
          </cell>
          <cell r="BT31">
            <v>116.37501607454874</v>
          </cell>
          <cell r="BU31">
            <v>226.39641775174394</v>
          </cell>
          <cell r="BV31">
            <v>124.47501668695952</v>
          </cell>
          <cell r="BW31">
            <v>212.23810771953518</v>
          </cell>
          <cell r="BX31">
            <v>120.49445824044615</v>
          </cell>
          <cell r="BY31">
            <v>138.35637473778297</v>
          </cell>
          <cell r="BZ31">
            <v>556.20249520080881</v>
          </cell>
          <cell r="CA31">
            <v>801.27744518340592</v>
          </cell>
          <cell r="CB31">
            <v>986.9545136774891</v>
          </cell>
          <cell r="CC31">
            <v>1283.5259557265567</v>
          </cell>
          <cell r="CD31">
            <v>1444.1025137032291</v>
          </cell>
          <cell r="CE31">
            <v>1636.8251340173535</v>
          </cell>
          <cell r="CF31">
            <v>1753.2001500919018</v>
          </cell>
          <cell r="CG31">
            <v>1979.5965678436457</v>
          </cell>
          <cell r="CH31">
            <v>2104.0715845306054</v>
          </cell>
          <cell r="CI31">
            <v>2316.3096922501409</v>
          </cell>
          <cell r="CJ31">
            <v>2436.8041504905868</v>
          </cell>
          <cell r="CK31">
            <v>2575.1605252283703</v>
          </cell>
        </row>
        <row r="40">
          <cell r="BN40" t="str">
            <v>Actual</v>
          </cell>
          <cell r="BO40" t="str">
            <v>Actual</v>
          </cell>
          <cell r="BP40" t="str">
            <v>Actual</v>
          </cell>
          <cell r="BQ40" t="str">
            <v>Actual</v>
          </cell>
          <cell r="BR40" t="str">
            <v>Actual</v>
          </cell>
          <cell r="BS40" t="str">
            <v>Actual</v>
          </cell>
          <cell r="BT40" t="str">
            <v>Actual</v>
          </cell>
          <cell r="BU40" t="str">
            <v>Actual</v>
          </cell>
          <cell r="BV40" t="str">
            <v>Actual</v>
          </cell>
          <cell r="BW40" t="str">
            <v>Actual</v>
          </cell>
          <cell r="BX40" t="str">
            <v>Actual</v>
          </cell>
          <cell r="BY40" t="str">
            <v>Actual</v>
          </cell>
          <cell r="BZ40" t="str">
            <v>Cum_Actu</v>
          </cell>
          <cell r="CA40" t="str">
            <v>Cum_Actu</v>
          </cell>
          <cell r="CB40" t="str">
            <v>Cum_Actu</v>
          </cell>
          <cell r="CC40" t="str">
            <v>Cum_Actu</v>
          </cell>
          <cell r="CD40" t="str">
            <v>Cum_Actu</v>
          </cell>
          <cell r="CE40" t="str">
            <v>Cum_Actu</v>
          </cell>
          <cell r="CF40" t="str">
            <v>Cum_Actu</v>
          </cell>
          <cell r="CG40" t="str">
            <v>Cum_Actu</v>
          </cell>
          <cell r="CH40" t="str">
            <v>Cum_Actu</v>
          </cell>
          <cell r="CI40" t="str">
            <v>Cum_Actu</v>
          </cell>
          <cell r="CJ40" t="str">
            <v>Cum_Actu</v>
          </cell>
          <cell r="CK40" t="str">
            <v>Cum_Actu</v>
          </cell>
        </row>
        <row r="41">
          <cell r="BM41" t="str">
            <v>CODE</v>
          </cell>
          <cell r="BN41">
            <v>41285</v>
          </cell>
          <cell r="BO41">
            <v>41316</v>
          </cell>
          <cell r="BP41">
            <v>41344</v>
          </cell>
          <cell r="BQ41">
            <v>41375</v>
          </cell>
          <cell r="BR41">
            <v>41405</v>
          </cell>
          <cell r="BS41">
            <v>41436</v>
          </cell>
          <cell r="BT41">
            <v>41466</v>
          </cell>
          <cell r="BU41">
            <v>41497</v>
          </cell>
          <cell r="BV41">
            <v>41528</v>
          </cell>
          <cell r="BW41">
            <v>41558</v>
          </cell>
          <cell r="BX41">
            <v>41589</v>
          </cell>
          <cell r="BY41">
            <v>41619</v>
          </cell>
          <cell r="BZ41">
            <v>41285</v>
          </cell>
          <cell r="CA41">
            <v>41316</v>
          </cell>
          <cell r="CB41">
            <v>41344</v>
          </cell>
          <cell r="CC41">
            <v>41375</v>
          </cell>
          <cell r="CD41">
            <v>41405</v>
          </cell>
          <cell r="CE41">
            <v>41436</v>
          </cell>
          <cell r="CF41">
            <v>41466</v>
          </cell>
          <cell r="CG41">
            <v>41497</v>
          </cell>
          <cell r="CH41">
            <v>41528</v>
          </cell>
          <cell r="CI41">
            <v>41558</v>
          </cell>
          <cell r="CJ41">
            <v>41589</v>
          </cell>
          <cell r="CK41">
            <v>41619</v>
          </cell>
        </row>
        <row r="42">
          <cell r="BM42" t="str">
            <v>LA01</v>
          </cell>
          <cell r="BN42">
            <v>2.4166666666666666E-2</v>
          </cell>
          <cell r="BO42">
            <v>2.4166666666666666E-2</v>
          </cell>
          <cell r="BP42">
            <v>2.4166666666666666E-2</v>
          </cell>
          <cell r="BQ42">
            <v>2.4166666666666666E-2</v>
          </cell>
          <cell r="BR42">
            <v>2.4166666666666666E-2</v>
          </cell>
          <cell r="BS42">
            <v>2.4166666666666666E-2</v>
          </cell>
          <cell r="BT42">
            <v>2.4166666666666666E-2</v>
          </cell>
          <cell r="BU42">
            <v>2.4166666666666666E-2</v>
          </cell>
          <cell r="BV42">
            <v>2.4166666666666666E-2</v>
          </cell>
          <cell r="BW42">
            <v>2.4166666666666666E-2</v>
          </cell>
          <cell r="BX42">
            <v>2.4166666666666666E-2</v>
          </cell>
          <cell r="BY42">
            <v>2.4166666666666666E-2</v>
          </cell>
          <cell r="BZ42">
            <v>2.4166666666666666E-2</v>
          </cell>
          <cell r="CA42">
            <v>4.8333333333333332E-2</v>
          </cell>
          <cell r="CB42">
            <v>7.2499999999999995E-2</v>
          </cell>
          <cell r="CC42">
            <v>9.6666666666666665E-2</v>
          </cell>
          <cell r="CD42">
            <v>0.12083333333333333</v>
          </cell>
          <cell r="CE42">
            <v>0.14499999999999999</v>
          </cell>
          <cell r="CF42">
            <v>0.16916666666666666</v>
          </cell>
          <cell r="CG42">
            <v>0.19333333333333333</v>
          </cell>
          <cell r="CH42">
            <v>0.2175</v>
          </cell>
          <cell r="CI42">
            <v>0.24166666666666667</v>
          </cell>
          <cell r="CJ42">
            <v>0.26583333333333331</v>
          </cell>
          <cell r="CK42">
            <v>0.28999999999999998</v>
          </cell>
        </row>
        <row r="43">
          <cell r="BM43" t="str">
            <v>LA02</v>
          </cell>
          <cell r="BN43">
            <v>0.25</v>
          </cell>
          <cell r="BO43">
            <v>0.25</v>
          </cell>
          <cell r="BP43">
            <v>0.25</v>
          </cell>
          <cell r="BQ43">
            <v>0.25</v>
          </cell>
          <cell r="BR43">
            <v>0.25</v>
          </cell>
          <cell r="BS43">
            <v>0.25</v>
          </cell>
          <cell r="BT43">
            <v>0.25</v>
          </cell>
          <cell r="BU43">
            <v>0.25</v>
          </cell>
          <cell r="BV43">
            <v>0.25</v>
          </cell>
          <cell r="BW43">
            <v>0.25</v>
          </cell>
          <cell r="BX43">
            <v>0.25</v>
          </cell>
          <cell r="BY43">
            <v>0.25</v>
          </cell>
          <cell r="BZ43">
            <v>0.25</v>
          </cell>
          <cell r="CA43">
            <v>0.5</v>
          </cell>
          <cell r="CB43">
            <v>0.75</v>
          </cell>
          <cell r="CC43">
            <v>1</v>
          </cell>
          <cell r="CD43">
            <v>1.25</v>
          </cell>
          <cell r="CE43">
            <v>1.5</v>
          </cell>
          <cell r="CF43">
            <v>1.75</v>
          </cell>
          <cell r="CG43">
            <v>2</v>
          </cell>
          <cell r="CH43">
            <v>2.25</v>
          </cell>
          <cell r="CI43">
            <v>2.5</v>
          </cell>
          <cell r="CJ43">
            <v>2.75</v>
          </cell>
          <cell r="CK43">
            <v>3</v>
          </cell>
        </row>
        <row r="44">
          <cell r="BM44" t="str">
            <v>LA03</v>
          </cell>
          <cell r="BN44">
            <v>0.09</v>
          </cell>
          <cell r="BO44">
            <v>0.09</v>
          </cell>
          <cell r="BP44">
            <v>0.09</v>
          </cell>
          <cell r="BQ44">
            <v>9.0000000000000011E-2</v>
          </cell>
          <cell r="BR44">
            <v>9.0000000000000011E-2</v>
          </cell>
          <cell r="BS44">
            <v>9.0000000000000011E-2</v>
          </cell>
          <cell r="BT44">
            <v>9.0000000000000011E-2</v>
          </cell>
          <cell r="BU44">
            <v>9.0000000000000011E-2</v>
          </cell>
          <cell r="BV44">
            <v>9.0000000000000011E-2</v>
          </cell>
          <cell r="BW44">
            <v>9.0000000000000011E-2</v>
          </cell>
          <cell r="BX44">
            <v>9.0000000000000011E-2</v>
          </cell>
          <cell r="BY44">
            <v>9.0000000000000011E-2</v>
          </cell>
          <cell r="BZ44">
            <v>0.09</v>
          </cell>
          <cell r="CA44">
            <v>0.18</v>
          </cell>
          <cell r="CB44">
            <v>0.27</v>
          </cell>
          <cell r="CC44">
            <v>0.36000000000000004</v>
          </cell>
          <cell r="CD44">
            <v>0.45000000000000007</v>
          </cell>
          <cell r="CE44">
            <v>0.54</v>
          </cell>
          <cell r="CF44">
            <v>0.63</v>
          </cell>
          <cell r="CG44">
            <v>0.72</v>
          </cell>
          <cell r="CH44">
            <v>0.80999999999999994</v>
          </cell>
          <cell r="CI44">
            <v>0.89999999999999991</v>
          </cell>
          <cell r="CJ44">
            <v>0.98999999999999988</v>
          </cell>
          <cell r="CK44">
            <v>1.0799999999999998</v>
          </cell>
        </row>
        <row r="45">
          <cell r="BM45" t="str">
            <v>LA04</v>
          </cell>
          <cell r="BN45">
            <v>0.46</v>
          </cell>
          <cell r="BO45">
            <v>0.4</v>
          </cell>
          <cell r="BP45">
            <v>0.4</v>
          </cell>
          <cell r="BQ45">
            <v>0.39999999999999997</v>
          </cell>
          <cell r="BR45">
            <v>0.39999999999999997</v>
          </cell>
          <cell r="BS45">
            <v>0.39999999999999997</v>
          </cell>
          <cell r="BT45">
            <v>0.39999999999999997</v>
          </cell>
          <cell r="BU45">
            <v>0.39999999999999997</v>
          </cell>
          <cell r="BV45">
            <v>0.39999999999999997</v>
          </cell>
          <cell r="BW45">
            <v>0.39999999999999997</v>
          </cell>
          <cell r="BX45">
            <v>31.779999999999998</v>
          </cell>
          <cell r="BY45">
            <v>3.44</v>
          </cell>
          <cell r="BZ45">
            <v>0.46</v>
          </cell>
          <cell r="CA45">
            <v>0.8600000000000001</v>
          </cell>
          <cell r="CB45">
            <v>1.2600000000000002</v>
          </cell>
          <cell r="CC45">
            <v>1.6600000000000001</v>
          </cell>
          <cell r="CD45">
            <v>2.06</v>
          </cell>
          <cell r="CE45">
            <v>2.46</v>
          </cell>
          <cell r="CF45">
            <v>2.86</v>
          </cell>
          <cell r="CG45">
            <v>3.26</v>
          </cell>
          <cell r="CH45">
            <v>3.6599999999999997</v>
          </cell>
          <cell r="CI45">
            <v>4.0599999999999996</v>
          </cell>
          <cell r="CJ45">
            <v>35.839999999999996</v>
          </cell>
          <cell r="CK45">
            <v>39.279999999999994</v>
          </cell>
        </row>
        <row r="46">
          <cell r="BM46" t="str">
            <v>LA05</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row>
        <row r="47">
          <cell r="BM47" t="str">
            <v>LA06</v>
          </cell>
          <cell r="BN47">
            <v>0.29000000000000004</v>
          </cell>
          <cell r="BO47">
            <v>-0.52</v>
          </cell>
          <cell r="BP47">
            <v>0.27</v>
          </cell>
          <cell r="BQ47">
            <v>8.8333333333333333E-2</v>
          </cell>
          <cell r="BR47">
            <v>8.8333333333333333E-2</v>
          </cell>
          <cell r="BS47">
            <v>8.8333333333333333E-2</v>
          </cell>
          <cell r="BT47">
            <v>8.8333333333333333E-2</v>
          </cell>
          <cell r="BU47">
            <v>8.8333333333333333E-2</v>
          </cell>
          <cell r="BV47">
            <v>8.8333333333333333E-2</v>
          </cell>
          <cell r="BW47">
            <v>8.8333333333333333E-2</v>
          </cell>
          <cell r="BX47">
            <v>8.8333333333333333E-2</v>
          </cell>
          <cell r="BY47">
            <v>0.32999999999999996</v>
          </cell>
          <cell r="BZ47">
            <v>0.29000000000000004</v>
          </cell>
          <cell r="CA47">
            <v>-0.22999999999999998</v>
          </cell>
          <cell r="CB47">
            <v>4.0000000000000036E-2</v>
          </cell>
          <cell r="CC47">
            <v>0.12833333333333335</v>
          </cell>
          <cell r="CD47">
            <v>0.21666666666666667</v>
          </cell>
          <cell r="CE47">
            <v>0.30499999999999999</v>
          </cell>
          <cell r="CF47">
            <v>0.39333333333333331</v>
          </cell>
          <cell r="CG47">
            <v>0.48166666666666663</v>
          </cell>
          <cell r="CH47">
            <v>0.56999999999999995</v>
          </cell>
          <cell r="CI47">
            <v>0.65833333333333333</v>
          </cell>
          <cell r="CJ47">
            <v>0.7466666666666667</v>
          </cell>
          <cell r="CK47">
            <v>1.0766666666666667</v>
          </cell>
        </row>
        <row r="48">
          <cell r="BM48" t="str">
            <v>LA07</v>
          </cell>
          <cell r="BN48">
            <v>2.04</v>
          </cell>
          <cell r="BO48">
            <v>2.0299999999999998</v>
          </cell>
          <cell r="BP48">
            <v>2.04</v>
          </cell>
          <cell r="BQ48">
            <v>1.25</v>
          </cell>
          <cell r="BR48">
            <v>1.25</v>
          </cell>
          <cell r="BS48">
            <v>1.25</v>
          </cell>
          <cell r="BT48">
            <v>1.25</v>
          </cell>
          <cell r="BU48">
            <v>1.25</v>
          </cell>
          <cell r="BV48">
            <v>1.25</v>
          </cell>
          <cell r="BW48">
            <v>1.25</v>
          </cell>
          <cell r="BX48">
            <v>1.25</v>
          </cell>
          <cell r="BY48">
            <v>1.25</v>
          </cell>
          <cell r="BZ48">
            <v>2.04</v>
          </cell>
          <cell r="CA48">
            <v>4.07</v>
          </cell>
          <cell r="CB48">
            <v>6.11</v>
          </cell>
          <cell r="CC48">
            <v>7.36</v>
          </cell>
          <cell r="CD48">
            <v>8.61</v>
          </cell>
          <cell r="CE48">
            <v>9.86</v>
          </cell>
          <cell r="CF48">
            <v>11.11</v>
          </cell>
          <cell r="CG48">
            <v>12.36</v>
          </cell>
          <cell r="CH48">
            <v>13.61</v>
          </cell>
          <cell r="CI48">
            <v>14.86</v>
          </cell>
          <cell r="CJ48">
            <v>16.11</v>
          </cell>
          <cell r="CK48">
            <v>17.36</v>
          </cell>
        </row>
        <row r="49">
          <cell r="BM49" t="str">
            <v>LA08</v>
          </cell>
          <cell r="BN49">
            <v>0.77300000000000002</v>
          </cell>
          <cell r="BO49">
            <v>0.77300000000000002</v>
          </cell>
          <cell r="BP49">
            <v>0.77300000000000002</v>
          </cell>
          <cell r="BQ49">
            <v>0.77300000000000002</v>
          </cell>
          <cell r="BR49">
            <v>0.77300000000000002</v>
          </cell>
          <cell r="BS49">
            <v>0.77300000000000002</v>
          </cell>
          <cell r="BT49">
            <v>0.77300000000000002</v>
          </cell>
          <cell r="BU49">
            <v>0.77300000000000002</v>
          </cell>
          <cell r="BV49">
            <v>0.77300000000000002</v>
          </cell>
          <cell r="BW49">
            <v>0.77300000000000002</v>
          </cell>
          <cell r="BX49">
            <v>0.77300000000000002</v>
          </cell>
          <cell r="BY49">
            <v>0.77300000000000002</v>
          </cell>
          <cell r="BZ49">
            <v>0.77300000000000002</v>
          </cell>
          <cell r="CA49">
            <v>1.546</v>
          </cell>
          <cell r="CB49">
            <v>2.319</v>
          </cell>
          <cell r="CC49">
            <v>3.0920000000000001</v>
          </cell>
          <cell r="CD49">
            <v>3.8650000000000002</v>
          </cell>
          <cell r="CE49">
            <v>4.6379999999999999</v>
          </cell>
          <cell r="CF49">
            <v>5.4109999999999996</v>
          </cell>
          <cell r="CG49">
            <v>6.1839999999999993</v>
          </cell>
          <cell r="CH49">
            <v>6.956999999999999</v>
          </cell>
          <cell r="CI49">
            <v>7.7299999999999986</v>
          </cell>
          <cell r="CJ49">
            <v>8.5029999999999983</v>
          </cell>
          <cell r="CK49">
            <v>9.275999999999998</v>
          </cell>
        </row>
        <row r="50">
          <cell r="BM50" t="str">
            <v>LA09</v>
          </cell>
          <cell r="BN50">
            <v>0.28799999999999998</v>
          </cell>
          <cell r="BO50">
            <v>0.28799999999999998</v>
          </cell>
          <cell r="BP50">
            <v>0.28799999999999998</v>
          </cell>
          <cell r="BQ50">
            <v>0.28799999999999998</v>
          </cell>
          <cell r="BR50">
            <v>0.28799999999999998</v>
          </cell>
          <cell r="BS50">
            <v>0.28799999999999998</v>
          </cell>
          <cell r="BT50">
            <v>0.28799999999999998</v>
          </cell>
          <cell r="BU50">
            <v>0.28799999999999998</v>
          </cell>
          <cell r="BV50">
            <v>0.28799999999999998</v>
          </cell>
          <cell r="BW50">
            <v>0.28799999999999998</v>
          </cell>
          <cell r="BX50">
            <v>0.28799999999999998</v>
          </cell>
          <cell r="BY50">
            <v>0.28799999999999998</v>
          </cell>
          <cell r="BZ50">
            <v>0.28799999999999998</v>
          </cell>
          <cell r="CA50">
            <v>0.57599999999999996</v>
          </cell>
          <cell r="CB50">
            <v>0.86399999999999988</v>
          </cell>
          <cell r="CC50">
            <v>1.1519999999999999</v>
          </cell>
          <cell r="CD50">
            <v>1.44</v>
          </cell>
          <cell r="CE50">
            <v>1.728</v>
          </cell>
          <cell r="CF50">
            <v>2.016</v>
          </cell>
          <cell r="CG50">
            <v>2.3039999999999998</v>
          </cell>
          <cell r="CH50">
            <v>2.5919999999999996</v>
          </cell>
          <cell r="CI50">
            <v>2.8799999999999994</v>
          </cell>
          <cell r="CJ50">
            <v>3.1679999999999993</v>
          </cell>
          <cell r="CK50">
            <v>3.4559999999999991</v>
          </cell>
        </row>
        <row r="51">
          <cell r="BM51" t="str">
            <v>LA10</v>
          </cell>
          <cell r="BN51">
            <v>3.4175000000000004</v>
          </cell>
          <cell r="BO51">
            <v>2.3024999999999998</v>
          </cell>
          <cell r="BP51">
            <v>0.3125</v>
          </cell>
          <cell r="BQ51">
            <v>8.4425000000000008</v>
          </cell>
          <cell r="BR51">
            <v>1.1304999999999998</v>
          </cell>
          <cell r="BS51">
            <v>2.8345000000000002</v>
          </cell>
          <cell r="BT51">
            <v>18.819499999999998</v>
          </cell>
          <cell r="BU51">
            <v>1.0415000000000001</v>
          </cell>
          <cell r="BV51">
            <v>3.7414999999999998</v>
          </cell>
          <cell r="BW51">
            <v>3.4505000000000003</v>
          </cell>
          <cell r="BX51">
            <v>1.1304999999999998</v>
          </cell>
          <cell r="BY51">
            <v>2.0400000000000036</v>
          </cell>
          <cell r="BZ51">
            <v>3.4175000000000004</v>
          </cell>
          <cell r="CA51">
            <v>5.7200000000000006</v>
          </cell>
          <cell r="CB51">
            <v>6.0325000000000006</v>
          </cell>
          <cell r="CC51">
            <v>14.475000000000001</v>
          </cell>
          <cell r="CD51">
            <v>15.605500000000001</v>
          </cell>
          <cell r="CE51">
            <v>18.440000000000001</v>
          </cell>
          <cell r="CF51">
            <v>37.259500000000003</v>
          </cell>
          <cell r="CG51">
            <v>38.301000000000002</v>
          </cell>
          <cell r="CH51">
            <v>42.042500000000004</v>
          </cell>
          <cell r="CI51">
            <v>45.493000000000002</v>
          </cell>
          <cell r="CJ51">
            <v>46.6235</v>
          </cell>
          <cell r="CK51">
            <v>48.663500000000006</v>
          </cell>
        </row>
        <row r="52">
          <cell r="BN52">
            <v>7.6326666666666672</v>
          </cell>
          <cell r="BO52">
            <v>5.6376666666666662</v>
          </cell>
          <cell r="BP52">
            <v>4.4476666666666667</v>
          </cell>
          <cell r="BQ52">
            <v>11.606000000000002</v>
          </cell>
          <cell r="BR52">
            <v>4.2939999999999996</v>
          </cell>
          <cell r="BS52">
            <v>5.9980000000000002</v>
          </cell>
          <cell r="BT52">
            <v>21.982999999999997</v>
          </cell>
          <cell r="BU52">
            <v>4.2050000000000001</v>
          </cell>
          <cell r="BV52">
            <v>6.9049999999999994</v>
          </cell>
          <cell r="BW52">
            <v>6.6140000000000008</v>
          </cell>
          <cell r="BX52">
            <v>35.673999999999992</v>
          </cell>
          <cell r="BY52">
            <v>8.4851666666666699</v>
          </cell>
          <cell r="BZ52">
            <v>7.6326666666666672</v>
          </cell>
          <cell r="CA52">
            <v>13.270333333333333</v>
          </cell>
          <cell r="CB52">
            <v>17.718000000000004</v>
          </cell>
          <cell r="CC52">
            <v>29.324000000000002</v>
          </cell>
          <cell r="CD52">
            <v>33.618000000000002</v>
          </cell>
          <cell r="CE52">
            <v>39.616</v>
          </cell>
          <cell r="CF52">
            <v>61.599000000000004</v>
          </cell>
          <cell r="CG52">
            <v>65.804000000000002</v>
          </cell>
          <cell r="CH52">
            <v>72.709000000000003</v>
          </cell>
          <cell r="CI52">
            <v>79.323000000000008</v>
          </cell>
          <cell r="CJ52">
            <v>114.99700000000001</v>
          </cell>
          <cell r="CK52">
            <v>123.48216666666667</v>
          </cell>
        </row>
        <row r="58">
          <cell r="BN58" t="str">
            <v>Actual</v>
          </cell>
          <cell r="BO58" t="str">
            <v>Actual</v>
          </cell>
          <cell r="BP58" t="str">
            <v>Actual</v>
          </cell>
          <cell r="BQ58" t="str">
            <v>Actual</v>
          </cell>
          <cell r="BR58" t="str">
            <v>Actual</v>
          </cell>
          <cell r="BS58" t="str">
            <v>Actual</v>
          </cell>
          <cell r="BT58" t="str">
            <v>Actual</v>
          </cell>
          <cell r="BU58" t="str">
            <v>Actual</v>
          </cell>
          <cell r="BV58" t="str">
            <v>Actual</v>
          </cell>
          <cell r="BW58" t="str">
            <v>Actual</v>
          </cell>
          <cell r="BX58" t="str">
            <v>Actual</v>
          </cell>
          <cell r="BY58" t="str">
            <v>Actual</v>
          </cell>
          <cell r="BZ58" t="str">
            <v>Cum_Actu</v>
          </cell>
          <cell r="CA58" t="str">
            <v>Cum_Actu</v>
          </cell>
          <cell r="CB58" t="str">
            <v>Cum_Actu</v>
          </cell>
          <cell r="CC58" t="str">
            <v>Cum_Actu</v>
          </cell>
          <cell r="CD58" t="str">
            <v>Cum_Actu</v>
          </cell>
          <cell r="CE58" t="str">
            <v>Cum_Actu</v>
          </cell>
          <cell r="CF58" t="str">
            <v>Cum_Actu</v>
          </cell>
          <cell r="CG58" t="str">
            <v>Cum_Actu</v>
          </cell>
          <cell r="CH58" t="str">
            <v>Cum_Actu</v>
          </cell>
          <cell r="CI58" t="str">
            <v>Cum_Actu</v>
          </cell>
          <cell r="CJ58" t="str">
            <v>Cum_Actu</v>
          </cell>
          <cell r="CK58" t="str">
            <v>Cum_Actu</v>
          </cell>
        </row>
        <row r="59">
          <cell r="BM59" t="str">
            <v>CODE</v>
          </cell>
          <cell r="BN59">
            <v>41285</v>
          </cell>
          <cell r="BO59">
            <v>41316</v>
          </cell>
          <cell r="BP59">
            <v>41344</v>
          </cell>
          <cell r="BQ59">
            <v>41375</v>
          </cell>
          <cell r="BR59">
            <v>41405</v>
          </cell>
          <cell r="BS59">
            <v>41436</v>
          </cell>
          <cell r="BT59">
            <v>41466</v>
          </cell>
          <cell r="BU59">
            <v>41497</v>
          </cell>
          <cell r="BV59">
            <v>41528</v>
          </cell>
          <cell r="BW59">
            <v>41558</v>
          </cell>
          <cell r="BX59">
            <v>41589</v>
          </cell>
          <cell r="BY59">
            <v>41619</v>
          </cell>
          <cell r="BZ59">
            <v>41285</v>
          </cell>
          <cell r="CA59">
            <v>41316</v>
          </cell>
          <cell r="CB59">
            <v>41344</v>
          </cell>
          <cell r="CC59">
            <v>41375</v>
          </cell>
          <cell r="CD59">
            <v>41405</v>
          </cell>
          <cell r="CE59">
            <v>41436</v>
          </cell>
          <cell r="CF59">
            <v>41466</v>
          </cell>
          <cell r="CG59">
            <v>41497</v>
          </cell>
          <cell r="CH59">
            <v>41528</v>
          </cell>
          <cell r="CI59">
            <v>41558</v>
          </cell>
          <cell r="CJ59">
            <v>41589</v>
          </cell>
          <cell r="CK59">
            <v>41619</v>
          </cell>
        </row>
        <row r="60">
          <cell r="BM60" t="str">
            <v>LD01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row>
        <row r="61">
          <cell r="BM61" t="str">
            <v>LD02</v>
          </cell>
          <cell r="BN61">
            <v>8.5</v>
          </cell>
          <cell r="BO61">
            <v>8.5</v>
          </cell>
          <cell r="BP61">
            <v>17.5</v>
          </cell>
          <cell r="BQ61">
            <v>8.5</v>
          </cell>
          <cell r="BR61">
            <v>8.5</v>
          </cell>
          <cell r="BS61">
            <v>13.190000000000001</v>
          </cell>
          <cell r="BT61">
            <v>8.5</v>
          </cell>
          <cell r="BU61">
            <v>8.5</v>
          </cell>
          <cell r="BV61">
            <v>8.5</v>
          </cell>
          <cell r="BW61">
            <v>8.5</v>
          </cell>
          <cell r="BX61">
            <v>8.5</v>
          </cell>
          <cell r="BY61">
            <v>8.5</v>
          </cell>
          <cell r="BZ61">
            <v>8.5</v>
          </cell>
          <cell r="CA61">
            <v>17</v>
          </cell>
          <cell r="CB61">
            <v>34.5</v>
          </cell>
          <cell r="CC61">
            <v>43</v>
          </cell>
          <cell r="CD61">
            <v>51.5</v>
          </cell>
          <cell r="CE61">
            <v>64.69</v>
          </cell>
          <cell r="CF61">
            <v>73.19</v>
          </cell>
          <cell r="CG61">
            <v>81.69</v>
          </cell>
          <cell r="CH61">
            <v>90.19</v>
          </cell>
          <cell r="CI61">
            <v>98.69</v>
          </cell>
          <cell r="CJ61">
            <v>107.19</v>
          </cell>
          <cell r="CK61">
            <v>115.69</v>
          </cell>
        </row>
        <row r="62">
          <cell r="BM62" t="str">
            <v>LD03</v>
          </cell>
          <cell r="BN62">
            <v>51.017961102077066</v>
          </cell>
          <cell r="BO62">
            <v>48.164681026319421</v>
          </cell>
          <cell r="BP62">
            <v>43.281901102458392</v>
          </cell>
          <cell r="BQ62">
            <v>38.10937973957472</v>
          </cell>
          <cell r="BR62">
            <v>40.884309628463221</v>
          </cell>
          <cell r="BS62">
            <v>48.162073501223404</v>
          </cell>
          <cell r="BT62">
            <v>36.069882831780298</v>
          </cell>
          <cell r="BU62">
            <v>42.3430562748201</v>
          </cell>
          <cell r="BV62">
            <v>45.926802415817306</v>
          </cell>
          <cell r="BW62">
            <v>32.243112221257704</v>
          </cell>
          <cell r="BX62">
            <v>45.622286241883302</v>
          </cell>
          <cell r="BY62">
            <v>51.127666972382499</v>
          </cell>
          <cell r="BZ62">
            <v>51.017961102077066</v>
          </cell>
          <cell r="CA62">
            <v>99.182642128396481</v>
          </cell>
          <cell r="CB62">
            <v>142.46454323085487</v>
          </cell>
          <cell r="CC62">
            <v>180.57392297042958</v>
          </cell>
          <cell r="CD62">
            <v>221.45823259889281</v>
          </cell>
          <cell r="CE62">
            <v>269.62030610011618</v>
          </cell>
          <cell r="CF62">
            <v>305.6901889318965</v>
          </cell>
          <cell r="CG62">
            <v>348.03324520671663</v>
          </cell>
          <cell r="CH62">
            <v>393.96004762253392</v>
          </cell>
          <cell r="CI62">
            <v>426.20315984379164</v>
          </cell>
          <cell r="CJ62">
            <v>471.82544608567491</v>
          </cell>
          <cell r="CK62">
            <v>522.9531130580574</v>
          </cell>
        </row>
        <row r="63">
          <cell r="BM63" t="str">
            <v>LD04</v>
          </cell>
          <cell r="BN63">
            <v>35.95038927433567</v>
          </cell>
          <cell r="BO63">
            <v>33.960870892226787</v>
          </cell>
          <cell r="BP63">
            <v>22.587112173196104</v>
          </cell>
          <cell r="BQ63">
            <v>26.91888152929851</v>
          </cell>
          <cell r="BR63">
            <v>28.811848273156258</v>
          </cell>
          <cell r="BS63">
            <v>30.998777497924699</v>
          </cell>
          <cell r="BT63">
            <v>24.541594015751798</v>
          </cell>
          <cell r="BU63">
            <v>28.9553754761683</v>
          </cell>
          <cell r="BV63">
            <v>31.474195873966998</v>
          </cell>
          <cell r="BW63">
            <v>21.838791633404</v>
          </cell>
          <cell r="BX63">
            <v>32.171833003291503</v>
          </cell>
          <cell r="BY63">
            <v>36.048718482970301</v>
          </cell>
          <cell r="BZ63">
            <v>35.95038927433567</v>
          </cell>
          <cell r="CA63">
            <v>69.911260166562457</v>
          </cell>
          <cell r="CB63">
            <v>92.498372339758561</v>
          </cell>
          <cell r="CC63">
            <v>119.41725386905708</v>
          </cell>
          <cell r="CD63">
            <v>148.22910214221332</v>
          </cell>
          <cell r="CE63">
            <v>179.22787964013801</v>
          </cell>
          <cell r="CF63">
            <v>203.76947365588981</v>
          </cell>
          <cell r="CG63">
            <v>232.72484913205813</v>
          </cell>
          <cell r="CH63">
            <v>264.19904500602513</v>
          </cell>
          <cell r="CI63">
            <v>286.03783663942914</v>
          </cell>
          <cell r="CJ63">
            <v>318.20966964272066</v>
          </cell>
          <cell r="CK63">
            <v>354.25838812569094</v>
          </cell>
        </row>
        <row r="64">
          <cell r="BM64" t="str">
            <v>LD05</v>
          </cell>
          <cell r="BN64">
            <v>22</v>
          </cell>
          <cell r="BO64">
            <v>0</v>
          </cell>
          <cell r="BP64">
            <v>0</v>
          </cell>
          <cell r="BQ64">
            <v>0</v>
          </cell>
          <cell r="BR64">
            <v>0</v>
          </cell>
          <cell r="BS64">
            <v>0</v>
          </cell>
          <cell r="BT64">
            <v>0</v>
          </cell>
          <cell r="BU64">
            <v>0</v>
          </cell>
          <cell r="BV64">
            <v>0</v>
          </cell>
          <cell r="BW64">
            <v>0</v>
          </cell>
          <cell r="BX64">
            <v>0</v>
          </cell>
          <cell r="BY64">
            <v>0</v>
          </cell>
          <cell r="BZ64">
            <v>22</v>
          </cell>
          <cell r="CA64">
            <v>22</v>
          </cell>
          <cell r="CB64">
            <v>22</v>
          </cell>
          <cell r="CC64">
            <v>22</v>
          </cell>
          <cell r="CD64">
            <v>22</v>
          </cell>
          <cell r="CE64">
            <v>22</v>
          </cell>
          <cell r="CF64">
            <v>22</v>
          </cell>
          <cell r="CG64">
            <v>22</v>
          </cell>
          <cell r="CH64">
            <v>22</v>
          </cell>
          <cell r="CI64">
            <v>22</v>
          </cell>
          <cell r="CJ64">
            <v>22</v>
          </cell>
          <cell r="CK64">
            <v>22</v>
          </cell>
        </row>
        <row r="65">
          <cell r="BM65" t="str">
            <v>LD06</v>
          </cell>
          <cell r="BN65">
            <v>0</v>
          </cell>
          <cell r="BO65">
            <v>0</v>
          </cell>
          <cell r="BP65">
            <v>0</v>
          </cell>
          <cell r="BQ65">
            <v>0</v>
          </cell>
          <cell r="BR65">
            <v>0</v>
          </cell>
          <cell r="BS65">
            <v>0</v>
          </cell>
          <cell r="BT65">
            <v>0</v>
          </cell>
          <cell r="BU65">
            <v>0</v>
          </cell>
          <cell r="BV65">
            <v>-3.92</v>
          </cell>
          <cell r="BW65">
            <v>0</v>
          </cell>
          <cell r="BX65">
            <v>0</v>
          </cell>
          <cell r="BY65">
            <v>0</v>
          </cell>
          <cell r="BZ65">
            <v>0</v>
          </cell>
          <cell r="CA65">
            <v>0</v>
          </cell>
          <cell r="CB65">
            <v>0</v>
          </cell>
          <cell r="CC65">
            <v>0</v>
          </cell>
          <cell r="CD65">
            <v>0</v>
          </cell>
          <cell r="CE65">
            <v>0</v>
          </cell>
          <cell r="CF65">
            <v>0</v>
          </cell>
          <cell r="CG65">
            <v>0</v>
          </cell>
          <cell r="CH65">
            <v>-3.92</v>
          </cell>
          <cell r="CI65">
            <v>-3.92</v>
          </cell>
          <cell r="CJ65">
            <v>-3.92</v>
          </cell>
          <cell r="CK65">
            <v>-3.92</v>
          </cell>
        </row>
        <row r="66">
          <cell r="BM66" t="str">
            <v>LD07</v>
          </cell>
          <cell r="BN66">
            <v>1.9166666666666667</v>
          </cell>
          <cell r="BO66">
            <v>1.9166666666666667</v>
          </cell>
          <cell r="BP66">
            <v>0.80666666666666664</v>
          </cell>
          <cell r="BQ66">
            <v>1.9166666666666667</v>
          </cell>
          <cell r="BR66">
            <v>1.9166666666666667</v>
          </cell>
          <cell r="BS66">
            <v>1.9166666666666667</v>
          </cell>
          <cell r="BT66">
            <v>1.9166666666666667</v>
          </cell>
          <cell r="BU66">
            <v>0.30666666666666997</v>
          </cell>
          <cell r="BV66">
            <v>1.9166666666666667</v>
          </cell>
          <cell r="BW66">
            <v>-3.3333333333298576E-3</v>
          </cell>
          <cell r="BX66">
            <v>-3.3333333333298576E-3</v>
          </cell>
          <cell r="BY66">
            <v>0</v>
          </cell>
          <cell r="BZ66">
            <v>1.9166666666666667</v>
          </cell>
          <cell r="CA66">
            <v>3.8333333333333335</v>
          </cell>
          <cell r="CB66">
            <v>4.6400000000000006</v>
          </cell>
          <cell r="CC66">
            <v>6.5566666666666675</v>
          </cell>
          <cell r="CD66">
            <v>8.4733333333333345</v>
          </cell>
          <cell r="CE66">
            <v>10.39</v>
          </cell>
          <cell r="CF66">
            <v>12.306666666666667</v>
          </cell>
          <cell r="CG66">
            <v>12.613333333333337</v>
          </cell>
          <cell r="CH66">
            <v>14.530000000000003</v>
          </cell>
          <cell r="CI66">
            <v>14.526666666666673</v>
          </cell>
          <cell r="CJ66">
            <v>14.523333333333342</v>
          </cell>
          <cell r="CK66">
            <v>14.523333333333342</v>
          </cell>
        </row>
        <row r="67">
          <cell r="BN67">
            <v>119.3850170430794</v>
          </cell>
          <cell r="BO67">
            <v>92.542218585212879</v>
          </cell>
          <cell r="BP67">
            <v>84.175679942321167</v>
          </cell>
          <cell r="BQ67">
            <v>75.444927935539894</v>
          </cell>
          <cell r="BR67">
            <v>80.112824568286143</v>
          </cell>
          <cell r="BS67">
            <v>94.267517665814765</v>
          </cell>
          <cell r="BT67">
            <v>71.02814351419876</v>
          </cell>
          <cell r="BU67">
            <v>80.105098417655071</v>
          </cell>
          <cell r="BV67">
            <v>83.897664956450967</v>
          </cell>
          <cell r="BW67">
            <v>62.578570521328373</v>
          </cell>
          <cell r="BX67">
            <v>86.290785911841482</v>
          </cell>
          <cell r="BY67">
            <v>95.676385455352801</v>
          </cell>
          <cell r="BZ67">
            <v>119.3850170430794</v>
          </cell>
          <cell r="CA67">
            <v>211.92723562829227</v>
          </cell>
          <cell r="CB67">
            <v>296.10291557061339</v>
          </cell>
          <cell r="CC67">
            <v>371.54784350615336</v>
          </cell>
          <cell r="CD67">
            <v>451.66066807443946</v>
          </cell>
          <cell r="CE67">
            <v>545.92818574025421</v>
          </cell>
          <cell r="CF67">
            <v>616.95632925445295</v>
          </cell>
          <cell r="CG67">
            <v>697.06142767210815</v>
          </cell>
          <cell r="CH67">
            <v>780.95909262855901</v>
          </cell>
          <cell r="CI67">
            <v>843.53766314988741</v>
          </cell>
          <cell r="CJ67">
            <v>929.82844906172897</v>
          </cell>
          <cell r="CK67">
            <v>1025.5048345170819</v>
          </cell>
        </row>
        <row r="70">
          <cell r="BN70" t="str">
            <v>Actual</v>
          </cell>
          <cell r="BO70" t="str">
            <v>Actual</v>
          </cell>
          <cell r="BP70" t="str">
            <v>Actual</v>
          </cell>
          <cell r="BQ70" t="str">
            <v>Actual</v>
          </cell>
          <cell r="BR70" t="str">
            <v>Actual</v>
          </cell>
          <cell r="BS70" t="str">
            <v>Actual</v>
          </cell>
          <cell r="BT70" t="str">
            <v>Actual</v>
          </cell>
          <cell r="BU70" t="str">
            <v>Actual</v>
          </cell>
          <cell r="BV70" t="str">
            <v>Actual</v>
          </cell>
          <cell r="BW70" t="str">
            <v>Actual</v>
          </cell>
          <cell r="BX70" t="str">
            <v>Actual</v>
          </cell>
          <cell r="BY70" t="str">
            <v>Actual</v>
          </cell>
          <cell r="BZ70" t="str">
            <v>Cum_Actu</v>
          </cell>
          <cell r="CA70" t="str">
            <v>Cum_Actu</v>
          </cell>
          <cell r="CB70" t="str">
            <v>Cum_Actu</v>
          </cell>
          <cell r="CC70" t="str">
            <v>Cum_Actu</v>
          </cell>
          <cell r="CD70" t="str">
            <v>Cum_Actu</v>
          </cell>
          <cell r="CE70" t="str">
            <v>Cum_Actu</v>
          </cell>
          <cell r="CF70" t="str">
            <v>Cum_Actu</v>
          </cell>
          <cell r="CG70" t="str">
            <v>Cum_Actu</v>
          </cell>
          <cell r="CH70" t="str">
            <v>Cum_Actu</v>
          </cell>
          <cell r="CI70" t="str">
            <v>Cum_Actu</v>
          </cell>
          <cell r="CJ70" t="str">
            <v>Cum_Actu</v>
          </cell>
          <cell r="CK70" t="str">
            <v>Cum_Actu</v>
          </cell>
        </row>
        <row r="71">
          <cell r="BM71" t="str">
            <v>CODE</v>
          </cell>
          <cell r="BN71">
            <v>41285</v>
          </cell>
          <cell r="BO71">
            <v>41316</v>
          </cell>
          <cell r="BP71">
            <v>41344</v>
          </cell>
          <cell r="BQ71">
            <v>41375</v>
          </cell>
          <cell r="BR71">
            <v>41405</v>
          </cell>
          <cell r="BS71">
            <v>41436</v>
          </cell>
          <cell r="BT71">
            <v>41466</v>
          </cell>
          <cell r="BU71">
            <v>41497</v>
          </cell>
          <cell r="BV71">
            <v>41528</v>
          </cell>
          <cell r="BW71">
            <v>41558</v>
          </cell>
          <cell r="BX71">
            <v>41589</v>
          </cell>
          <cell r="BY71">
            <v>41619</v>
          </cell>
          <cell r="BZ71">
            <v>41285</v>
          </cell>
          <cell r="CA71">
            <v>41316</v>
          </cell>
          <cell r="CB71">
            <v>41344</v>
          </cell>
          <cell r="CC71">
            <v>41375</v>
          </cell>
          <cell r="CD71">
            <v>41405</v>
          </cell>
          <cell r="CE71">
            <v>41436</v>
          </cell>
          <cell r="CF71">
            <v>41466</v>
          </cell>
          <cell r="CG71">
            <v>41497</v>
          </cell>
          <cell r="CH71">
            <v>41528</v>
          </cell>
          <cell r="CI71">
            <v>41558</v>
          </cell>
          <cell r="CJ71">
            <v>41589</v>
          </cell>
          <cell r="CK71">
            <v>41619</v>
          </cell>
        </row>
        <row r="72">
          <cell r="BM72" t="str">
            <v>LP01</v>
          </cell>
          <cell r="BN72">
            <v>1</v>
          </cell>
          <cell r="BO72">
            <v>1</v>
          </cell>
          <cell r="BP72">
            <v>1</v>
          </cell>
          <cell r="BQ72">
            <v>1</v>
          </cell>
          <cell r="BR72">
            <v>0.7</v>
          </cell>
          <cell r="BS72">
            <v>0.81282999999999994</v>
          </cell>
          <cell r="BT72">
            <v>0.43999999999999995</v>
          </cell>
          <cell r="BU72">
            <v>1.7</v>
          </cell>
          <cell r="BV72">
            <v>1</v>
          </cell>
          <cell r="BW72">
            <v>0.66999999999999993</v>
          </cell>
          <cell r="BX72">
            <v>1</v>
          </cell>
          <cell r="BY72">
            <v>1</v>
          </cell>
          <cell r="BZ72">
            <v>1</v>
          </cell>
          <cell r="CA72">
            <v>2</v>
          </cell>
          <cell r="CB72">
            <v>3</v>
          </cell>
          <cell r="CC72">
            <v>4</v>
          </cell>
          <cell r="CD72">
            <v>4.7</v>
          </cell>
          <cell r="CE72">
            <v>5.5128300000000001</v>
          </cell>
          <cell r="CF72">
            <v>5.9528300000000005</v>
          </cell>
          <cell r="CG72">
            <v>7.6528300000000007</v>
          </cell>
          <cell r="CH72">
            <v>8.6528300000000016</v>
          </cell>
          <cell r="CI72">
            <v>9.3228300000000015</v>
          </cell>
          <cell r="CJ72">
            <v>10.322830000000002</v>
          </cell>
          <cell r="CK72">
            <v>11.322830000000002</v>
          </cell>
        </row>
        <row r="73">
          <cell r="BM73" t="str">
            <v>LP02</v>
          </cell>
          <cell r="BN73">
            <v>0.15</v>
          </cell>
          <cell r="BO73">
            <v>0.03</v>
          </cell>
          <cell r="BP73">
            <v>0.09</v>
          </cell>
          <cell r="BQ73">
            <v>0.09</v>
          </cell>
          <cell r="BR73">
            <v>-6.0000000000000012E-2</v>
          </cell>
          <cell r="BS73">
            <v>-0.13334000000000001</v>
          </cell>
          <cell r="BT73">
            <v>6.9999999999999993E-2</v>
          </cell>
          <cell r="BU73">
            <v>6.9999999999999993E-2</v>
          </cell>
          <cell r="BV73">
            <v>6.9999999999999993E-2</v>
          </cell>
          <cell r="BW73">
            <v>3.9999999999999994E-2</v>
          </cell>
          <cell r="BX73">
            <v>6.9999999999999993E-2</v>
          </cell>
          <cell r="BY73">
            <v>0.06</v>
          </cell>
          <cell r="BZ73">
            <v>0.15</v>
          </cell>
          <cell r="CA73">
            <v>0.18</v>
          </cell>
          <cell r="CB73">
            <v>0.27</v>
          </cell>
          <cell r="CC73">
            <v>0.36</v>
          </cell>
          <cell r="CD73">
            <v>0.3</v>
          </cell>
          <cell r="CE73">
            <v>0.16665999999999997</v>
          </cell>
          <cell r="CF73">
            <v>0.23665999999999998</v>
          </cell>
          <cell r="CG73">
            <v>0.30665999999999999</v>
          </cell>
          <cell r="CH73">
            <v>0.37665999999999999</v>
          </cell>
          <cell r="CI73">
            <v>0.41665999999999997</v>
          </cell>
          <cell r="CJ73">
            <v>0.48665999999999998</v>
          </cell>
          <cell r="CK73">
            <v>0.54665999999999992</v>
          </cell>
        </row>
        <row r="74">
          <cell r="BM74" t="str">
            <v>LP03</v>
          </cell>
          <cell r="BN74">
            <v>1.25</v>
          </cell>
          <cell r="BO74">
            <v>0.91999999999999993</v>
          </cell>
          <cell r="BP74">
            <v>1.085</v>
          </cell>
          <cell r="BQ74">
            <v>1.085</v>
          </cell>
          <cell r="BR74">
            <v>0.40400000000000003</v>
          </cell>
          <cell r="BS74">
            <v>0.52658000000000005</v>
          </cell>
          <cell r="BT74">
            <v>1.08</v>
          </cell>
          <cell r="BU74">
            <v>1.08</v>
          </cell>
          <cell r="BV74">
            <v>1.08</v>
          </cell>
          <cell r="BW74">
            <v>0.12000000000000011</v>
          </cell>
          <cell r="BX74">
            <v>1.08</v>
          </cell>
          <cell r="BY74">
            <v>1.08</v>
          </cell>
          <cell r="BZ74">
            <v>1.25</v>
          </cell>
          <cell r="CA74">
            <v>2.17</v>
          </cell>
          <cell r="CB74">
            <v>3.2549999999999999</v>
          </cell>
          <cell r="CC74">
            <v>4.34</v>
          </cell>
          <cell r="CD74">
            <v>4.7439999999999998</v>
          </cell>
          <cell r="CE74">
            <v>5.2705799999999998</v>
          </cell>
          <cell r="CF74">
            <v>6.3505799999999999</v>
          </cell>
          <cell r="CG74">
            <v>7.43058</v>
          </cell>
          <cell r="CH74">
            <v>8.5105800000000009</v>
          </cell>
          <cell r="CI74">
            <v>8.6305800000000019</v>
          </cell>
          <cell r="CJ74">
            <v>9.710580000000002</v>
          </cell>
          <cell r="CK74">
            <v>10.790580000000002</v>
          </cell>
        </row>
        <row r="75">
          <cell r="BM75" t="str">
            <v>LP04</v>
          </cell>
          <cell r="BN75">
            <v>1.75</v>
          </cell>
          <cell r="BO75">
            <v>1.41</v>
          </cell>
          <cell r="BP75">
            <v>1.58</v>
          </cell>
          <cell r="BQ75">
            <v>1.58</v>
          </cell>
          <cell r="BR75">
            <v>0.6140000000000001</v>
          </cell>
          <cell r="BS75">
            <v>-7.5500000000000324E-3</v>
          </cell>
          <cell r="BT75">
            <v>0.89</v>
          </cell>
          <cell r="BU75">
            <v>1.5</v>
          </cell>
          <cell r="BV75">
            <v>1.58</v>
          </cell>
          <cell r="BW75">
            <v>1.58</v>
          </cell>
          <cell r="BX75">
            <v>1.58</v>
          </cell>
          <cell r="BY75">
            <v>3.3</v>
          </cell>
          <cell r="BZ75">
            <v>1.75</v>
          </cell>
          <cell r="CA75">
            <v>3.16</v>
          </cell>
          <cell r="CB75">
            <v>4.74</v>
          </cell>
          <cell r="CC75">
            <v>6.32</v>
          </cell>
          <cell r="CD75">
            <v>6.9340000000000002</v>
          </cell>
          <cell r="CE75">
            <v>6.92645</v>
          </cell>
          <cell r="CF75">
            <v>7.8164499999999997</v>
          </cell>
          <cell r="CG75">
            <v>9.3164499999999997</v>
          </cell>
          <cell r="CH75">
            <v>10.89645</v>
          </cell>
          <cell r="CI75">
            <v>12.47645</v>
          </cell>
          <cell r="CJ75">
            <v>14.05645</v>
          </cell>
          <cell r="CK75">
            <v>17.356449999999999</v>
          </cell>
        </row>
        <row r="76">
          <cell r="BM76" t="str">
            <v>LP05</v>
          </cell>
          <cell r="BN76">
            <v>0.1</v>
          </cell>
          <cell r="BO76">
            <v>0.1</v>
          </cell>
          <cell r="BP76">
            <v>0.1</v>
          </cell>
          <cell r="BQ76">
            <v>0.1</v>
          </cell>
          <cell r="BR76">
            <v>-7.0000000000000007E-2</v>
          </cell>
          <cell r="BS76">
            <v>0.1</v>
          </cell>
          <cell r="BT76">
            <v>0.1</v>
          </cell>
          <cell r="BU76">
            <v>-0.29000000000000004</v>
          </cell>
          <cell r="BV76">
            <v>0.1</v>
          </cell>
          <cell r="BW76">
            <v>-7.0000000000000007E-2</v>
          </cell>
          <cell r="BX76">
            <v>0.1</v>
          </cell>
          <cell r="BY76">
            <v>0.1</v>
          </cell>
          <cell r="BZ76">
            <v>0.1</v>
          </cell>
          <cell r="CA76">
            <v>0.2</v>
          </cell>
          <cell r="CB76">
            <v>0.30000000000000004</v>
          </cell>
          <cell r="CC76">
            <v>0.4</v>
          </cell>
          <cell r="CD76">
            <v>0.33</v>
          </cell>
          <cell r="CE76">
            <v>0.43000000000000005</v>
          </cell>
          <cell r="CF76">
            <v>0.53</v>
          </cell>
          <cell r="CG76">
            <v>0.24</v>
          </cell>
          <cell r="CH76">
            <v>0.33999999999999997</v>
          </cell>
          <cell r="CI76">
            <v>0.26999999999999996</v>
          </cell>
          <cell r="CJ76">
            <v>0.37</v>
          </cell>
          <cell r="CK76">
            <v>0.47</v>
          </cell>
        </row>
        <row r="77">
          <cell r="BM77" t="str">
            <v>LP06</v>
          </cell>
          <cell r="BN77">
            <v>2.4</v>
          </cell>
          <cell r="BO77">
            <v>1.73</v>
          </cell>
          <cell r="BP77">
            <v>2.0649999999999999</v>
          </cell>
          <cell r="BQ77">
            <v>2.0649999999999999</v>
          </cell>
          <cell r="BR77">
            <v>1.3899999999999997</v>
          </cell>
          <cell r="BS77">
            <v>0.25665999999999967</v>
          </cell>
          <cell r="BT77">
            <v>1.34</v>
          </cell>
          <cell r="BU77">
            <v>1.23</v>
          </cell>
          <cell r="BV77">
            <v>2.0699999999999998</v>
          </cell>
          <cell r="BW77">
            <v>0.46999999999999975</v>
          </cell>
          <cell r="BX77">
            <v>2.0699999999999998</v>
          </cell>
          <cell r="BY77">
            <v>2.06</v>
          </cell>
          <cell r="BZ77">
            <v>2.4</v>
          </cell>
          <cell r="CA77">
            <v>4.13</v>
          </cell>
          <cell r="CB77">
            <v>6.1950000000000003</v>
          </cell>
          <cell r="CC77">
            <v>8.26</v>
          </cell>
          <cell r="CD77">
            <v>9.6499999999999986</v>
          </cell>
          <cell r="CE77">
            <v>9.9066599999999987</v>
          </cell>
          <cell r="CF77">
            <v>11.246659999999999</v>
          </cell>
          <cell r="CG77">
            <v>12.476659999999999</v>
          </cell>
          <cell r="CH77">
            <v>14.546659999999999</v>
          </cell>
          <cell r="CI77">
            <v>15.016659999999998</v>
          </cell>
          <cell r="CJ77">
            <v>17.086659999999998</v>
          </cell>
          <cell r="CK77">
            <v>19.146659999999997</v>
          </cell>
        </row>
        <row r="78">
          <cell r="BM78" t="str">
            <v>LP07</v>
          </cell>
          <cell r="BN78">
            <v>11.99</v>
          </cell>
          <cell r="BO78">
            <v>8.66</v>
          </cell>
          <cell r="BP78">
            <v>10.323</v>
          </cell>
          <cell r="BQ78">
            <v>10.323</v>
          </cell>
          <cell r="BR78">
            <v>8.9730000000000008</v>
          </cell>
          <cell r="BS78">
            <v>8.393320000000001</v>
          </cell>
          <cell r="BT78">
            <v>8.1</v>
          </cell>
          <cell r="BU78">
            <v>10.32</v>
          </cell>
          <cell r="BV78">
            <v>10.040000000000001</v>
          </cell>
          <cell r="BW78">
            <v>6.44</v>
          </cell>
          <cell r="BX78">
            <v>-0.93</v>
          </cell>
          <cell r="BY78">
            <v>12.42</v>
          </cell>
          <cell r="BZ78">
            <v>11.99</v>
          </cell>
          <cell r="CA78">
            <v>20.65</v>
          </cell>
          <cell r="CB78">
            <v>30.972999999999999</v>
          </cell>
          <cell r="CC78">
            <v>41.295999999999999</v>
          </cell>
          <cell r="CD78">
            <v>50.268999999999998</v>
          </cell>
          <cell r="CE78">
            <v>58.662320000000001</v>
          </cell>
          <cell r="CF78">
            <v>66.762320000000003</v>
          </cell>
          <cell r="CG78">
            <v>77.08232000000001</v>
          </cell>
          <cell r="CH78">
            <v>87.122320000000016</v>
          </cell>
          <cell r="CI78">
            <v>93.562320000000014</v>
          </cell>
          <cell r="CJ78">
            <v>92.632320000000007</v>
          </cell>
          <cell r="CK78">
            <v>105.05232000000001</v>
          </cell>
        </row>
        <row r="79">
          <cell r="BM79" t="str">
            <v>LP08</v>
          </cell>
          <cell r="BN79">
            <v>0.1</v>
          </cell>
          <cell r="BO79">
            <v>0</v>
          </cell>
          <cell r="BP79">
            <v>0.05</v>
          </cell>
          <cell r="BQ79">
            <v>0.05</v>
          </cell>
          <cell r="BR79">
            <v>1.3000000000000005E-2</v>
          </cell>
          <cell r="BS79">
            <v>9.6259999999999957E-3</v>
          </cell>
          <cell r="BT79">
            <v>2.0000000000000004E-2</v>
          </cell>
          <cell r="BU79">
            <v>2.0000000000000004E-2</v>
          </cell>
          <cell r="BV79">
            <v>2.0000000000000004E-2</v>
          </cell>
          <cell r="BW79">
            <v>1.0000000000000004E-2</v>
          </cell>
          <cell r="BX79">
            <v>2.0000000000000004E-2</v>
          </cell>
          <cell r="BY79">
            <v>-0.12</v>
          </cell>
          <cell r="BZ79">
            <v>0.1</v>
          </cell>
          <cell r="CA79">
            <v>0.1</v>
          </cell>
          <cell r="CB79">
            <v>0.15000000000000002</v>
          </cell>
          <cell r="CC79">
            <v>0.2</v>
          </cell>
          <cell r="CD79">
            <v>0.21300000000000002</v>
          </cell>
          <cell r="CE79">
            <v>0.22262600000000002</v>
          </cell>
          <cell r="CF79">
            <v>0.24262600000000001</v>
          </cell>
          <cell r="CG79">
            <v>0.26262600000000003</v>
          </cell>
          <cell r="CH79">
            <v>0.28262600000000004</v>
          </cell>
          <cell r="CI79">
            <v>0.29262600000000005</v>
          </cell>
          <cell r="CJ79">
            <v>0.31262600000000007</v>
          </cell>
          <cell r="CK79">
            <v>0.19262600000000007</v>
          </cell>
        </row>
        <row r="80">
          <cell r="BM80" t="str">
            <v>LP09</v>
          </cell>
          <cell r="BN80">
            <v>0.5</v>
          </cell>
          <cell r="BO80">
            <v>0.5</v>
          </cell>
          <cell r="BP80">
            <v>0.5</v>
          </cell>
          <cell r="BQ80">
            <v>0.5</v>
          </cell>
          <cell r="BR80">
            <v>-0.18000000000000005</v>
          </cell>
          <cell r="BS80">
            <v>-0.51967999999999992</v>
          </cell>
          <cell r="BT80">
            <v>0.1</v>
          </cell>
          <cell r="BU80">
            <v>-0.5</v>
          </cell>
          <cell r="BV80">
            <v>0.78</v>
          </cell>
          <cell r="BW80">
            <v>0.14000000000000001</v>
          </cell>
          <cell r="BX80">
            <v>3.75</v>
          </cell>
          <cell r="BY80">
            <v>0.49</v>
          </cell>
          <cell r="BZ80">
            <v>0.5</v>
          </cell>
          <cell r="CA80">
            <v>1</v>
          </cell>
          <cell r="CB80">
            <v>1.5</v>
          </cell>
          <cell r="CC80">
            <v>2</v>
          </cell>
          <cell r="CD80">
            <v>1.8199999999999998</v>
          </cell>
          <cell r="CE80">
            <v>1.3003199999999999</v>
          </cell>
          <cell r="CF80">
            <v>1.40032</v>
          </cell>
          <cell r="CG80">
            <v>0.90032000000000001</v>
          </cell>
          <cell r="CH80">
            <v>1.68032</v>
          </cell>
          <cell r="CI80">
            <v>1.8203200000000002</v>
          </cell>
          <cell r="CJ80">
            <v>5.5703200000000006</v>
          </cell>
          <cell r="CK80">
            <v>6.0603200000000008</v>
          </cell>
        </row>
        <row r="81">
          <cell r="BM81" t="str">
            <v>LP10</v>
          </cell>
          <cell r="BN81">
            <v>10.18</v>
          </cell>
          <cell r="BO81">
            <v>8.51</v>
          </cell>
          <cell r="BP81">
            <v>9.35</v>
          </cell>
          <cell r="BQ81">
            <v>9.35</v>
          </cell>
          <cell r="BR81">
            <v>3.5</v>
          </cell>
          <cell r="BS81">
            <v>3.8711900000000004</v>
          </cell>
          <cell r="BT81">
            <v>9.35</v>
          </cell>
          <cell r="BU81">
            <v>8.14</v>
          </cell>
          <cell r="BV81">
            <v>9.35</v>
          </cell>
          <cell r="BW81">
            <v>8.5599999999999987</v>
          </cell>
          <cell r="BX81">
            <v>4.3499999999999996</v>
          </cell>
          <cell r="BY81">
            <v>6.9499999999999993</v>
          </cell>
          <cell r="BZ81">
            <v>10.18</v>
          </cell>
          <cell r="CA81">
            <v>18.689999999999998</v>
          </cell>
          <cell r="CB81">
            <v>28.04</v>
          </cell>
          <cell r="CC81">
            <v>37.39</v>
          </cell>
          <cell r="CD81">
            <v>40.89</v>
          </cell>
          <cell r="CE81">
            <v>44.761189999999999</v>
          </cell>
          <cell r="CF81">
            <v>54.111190000000001</v>
          </cell>
          <cell r="CG81">
            <v>62.251190000000001</v>
          </cell>
          <cell r="CH81">
            <v>71.601190000000003</v>
          </cell>
          <cell r="CI81">
            <v>80.161190000000005</v>
          </cell>
          <cell r="CJ81">
            <v>84.511189999999999</v>
          </cell>
          <cell r="CK81">
            <v>91.461190000000002</v>
          </cell>
        </row>
        <row r="82">
          <cell r="BM82" t="str">
            <v>LP11</v>
          </cell>
          <cell r="BN82">
            <v>1.75</v>
          </cell>
          <cell r="BO82">
            <v>1.25</v>
          </cell>
          <cell r="BP82">
            <v>1.5</v>
          </cell>
          <cell r="BQ82">
            <v>33.5</v>
          </cell>
          <cell r="BR82">
            <v>1.5</v>
          </cell>
          <cell r="BS82">
            <v>-4.4600000000000035</v>
          </cell>
          <cell r="BT82">
            <v>1.5</v>
          </cell>
          <cell r="BU82">
            <v>-1</v>
          </cell>
          <cell r="BV82">
            <v>1.5</v>
          </cell>
          <cell r="BW82">
            <v>1.5</v>
          </cell>
          <cell r="BX82">
            <v>1.5</v>
          </cell>
          <cell r="BY82">
            <v>1.5</v>
          </cell>
          <cell r="BZ82">
            <v>1.75</v>
          </cell>
          <cell r="CA82">
            <v>3</v>
          </cell>
          <cell r="CB82">
            <v>4.5</v>
          </cell>
          <cell r="CC82">
            <v>38</v>
          </cell>
          <cell r="CD82">
            <v>39.5</v>
          </cell>
          <cell r="CE82">
            <v>35.04</v>
          </cell>
          <cell r="CF82">
            <v>36.54</v>
          </cell>
          <cell r="CG82">
            <v>35.54</v>
          </cell>
          <cell r="CH82">
            <v>37.04</v>
          </cell>
          <cell r="CI82">
            <v>38.54</v>
          </cell>
          <cell r="CJ82">
            <v>40.04</v>
          </cell>
          <cell r="CK82">
            <v>41.54</v>
          </cell>
        </row>
        <row r="83">
          <cell r="BM83" t="str">
            <v>LP12</v>
          </cell>
          <cell r="BN83">
            <v>1.61</v>
          </cell>
          <cell r="BO83">
            <v>1.61</v>
          </cell>
          <cell r="BP83">
            <v>1.61</v>
          </cell>
          <cell r="BQ83">
            <v>1.61</v>
          </cell>
          <cell r="BR83">
            <v>0.77000000000000013</v>
          </cell>
          <cell r="BS83">
            <v>0.24017000000000022</v>
          </cell>
          <cell r="BT83">
            <v>1.36</v>
          </cell>
          <cell r="BU83">
            <v>1.02</v>
          </cell>
          <cell r="BV83">
            <v>1.61</v>
          </cell>
          <cell r="BW83">
            <v>1.1300000000000001</v>
          </cell>
          <cell r="BX83">
            <v>1.61</v>
          </cell>
          <cell r="BY83">
            <v>1.61</v>
          </cell>
          <cell r="BZ83">
            <v>1.61</v>
          </cell>
          <cell r="CA83">
            <v>3.22</v>
          </cell>
          <cell r="CB83">
            <v>4.83</v>
          </cell>
          <cell r="CC83">
            <v>6.44</v>
          </cell>
          <cell r="CD83">
            <v>7.2100000000000009</v>
          </cell>
          <cell r="CE83">
            <v>7.4501700000000008</v>
          </cell>
          <cell r="CF83">
            <v>8.8101700000000012</v>
          </cell>
          <cell r="CG83">
            <v>9.8301700000000007</v>
          </cell>
          <cell r="CH83">
            <v>11.44017</v>
          </cell>
          <cell r="CI83">
            <v>12.570170000000001</v>
          </cell>
          <cell r="CJ83">
            <v>14.18017</v>
          </cell>
          <cell r="CK83">
            <v>15.79017</v>
          </cell>
        </row>
        <row r="84">
          <cell r="BM84" t="str">
            <v>LP13</v>
          </cell>
          <cell r="BN84">
            <v>2</v>
          </cell>
          <cell r="BO84">
            <v>1.67</v>
          </cell>
          <cell r="BP84">
            <v>1.835</v>
          </cell>
          <cell r="BQ84">
            <v>1.835</v>
          </cell>
          <cell r="BR84">
            <v>0.59799999999999986</v>
          </cell>
          <cell r="BS84">
            <v>1.1720000000000002</v>
          </cell>
          <cell r="BT84">
            <v>0.87</v>
          </cell>
          <cell r="BU84">
            <v>-0.75</v>
          </cell>
          <cell r="BV84">
            <v>1.83</v>
          </cell>
          <cell r="BW84">
            <v>1.69</v>
          </cell>
          <cell r="BX84">
            <v>1.83</v>
          </cell>
          <cell r="BY84">
            <v>3.98</v>
          </cell>
          <cell r="BZ84">
            <v>2</v>
          </cell>
          <cell r="CA84">
            <v>3.67</v>
          </cell>
          <cell r="CB84">
            <v>5.5049999999999999</v>
          </cell>
          <cell r="CC84">
            <v>7.34</v>
          </cell>
          <cell r="CD84">
            <v>7.9379999999999997</v>
          </cell>
          <cell r="CE84">
            <v>9.11</v>
          </cell>
          <cell r="CF84">
            <v>9.9799999999999986</v>
          </cell>
          <cell r="CG84">
            <v>9.2299999999999986</v>
          </cell>
          <cell r="CH84">
            <v>11.059999999999999</v>
          </cell>
          <cell r="CI84">
            <v>12.749999999999998</v>
          </cell>
          <cell r="CJ84">
            <v>14.579999999999998</v>
          </cell>
          <cell r="CK84">
            <v>18.559999999999999</v>
          </cell>
        </row>
        <row r="85">
          <cell r="BM85" t="str">
            <v>LP14</v>
          </cell>
          <cell r="BN85">
            <v>1</v>
          </cell>
          <cell r="BO85">
            <v>1</v>
          </cell>
          <cell r="BP85">
            <v>1</v>
          </cell>
          <cell r="BQ85">
            <v>1</v>
          </cell>
          <cell r="BR85">
            <v>0.44999999999999996</v>
          </cell>
          <cell r="BS85">
            <v>-0.55000000000000004</v>
          </cell>
          <cell r="BT85">
            <v>1</v>
          </cell>
          <cell r="BU85">
            <v>-0.39999999999999991</v>
          </cell>
          <cell r="BV85">
            <v>1</v>
          </cell>
          <cell r="BW85">
            <v>1</v>
          </cell>
          <cell r="BX85">
            <v>1</v>
          </cell>
          <cell r="BY85">
            <v>1</v>
          </cell>
          <cell r="BZ85">
            <v>1</v>
          </cell>
          <cell r="CA85">
            <v>2</v>
          </cell>
          <cell r="CB85">
            <v>3</v>
          </cell>
          <cell r="CC85">
            <v>4</v>
          </cell>
          <cell r="CD85">
            <v>4.45</v>
          </cell>
          <cell r="CE85">
            <v>3.9000000000000004</v>
          </cell>
          <cell r="CF85">
            <v>4.9000000000000004</v>
          </cell>
          <cell r="CG85">
            <v>4.5</v>
          </cell>
          <cell r="CH85">
            <v>5.5</v>
          </cell>
          <cell r="CI85">
            <v>6.5</v>
          </cell>
          <cell r="CJ85">
            <v>7.5</v>
          </cell>
          <cell r="CK85">
            <v>8.5</v>
          </cell>
        </row>
        <row r="86">
          <cell r="BM86" t="str">
            <v>LP15</v>
          </cell>
          <cell r="BN86">
            <v>0.08</v>
          </cell>
          <cell r="BO86">
            <v>0.08</v>
          </cell>
          <cell r="BP86">
            <v>0.08</v>
          </cell>
          <cell r="BQ86">
            <v>0.08</v>
          </cell>
          <cell r="BR86">
            <v>-0.08</v>
          </cell>
          <cell r="BS86">
            <v>-0.16</v>
          </cell>
          <cell r="BT86">
            <v>0.08</v>
          </cell>
          <cell r="BU86">
            <v>-0.14000000000000001</v>
          </cell>
          <cell r="BV86">
            <v>0.08</v>
          </cell>
          <cell r="BW86">
            <v>0</v>
          </cell>
          <cell r="BX86">
            <v>0.08</v>
          </cell>
          <cell r="BY86">
            <v>0.08</v>
          </cell>
          <cell r="BZ86">
            <v>0.08</v>
          </cell>
          <cell r="CA86">
            <v>0.16</v>
          </cell>
          <cell r="CB86">
            <v>0.24</v>
          </cell>
          <cell r="CC86">
            <v>0.32</v>
          </cell>
          <cell r="CD86">
            <v>0.24</v>
          </cell>
          <cell r="CE86">
            <v>7.9999999999999988E-2</v>
          </cell>
          <cell r="CF86">
            <v>0.15999999999999998</v>
          </cell>
          <cell r="CG86">
            <v>1.9999999999999962E-2</v>
          </cell>
          <cell r="CH86">
            <v>9.9999999999999964E-2</v>
          </cell>
          <cell r="CI86">
            <v>9.9999999999999964E-2</v>
          </cell>
          <cell r="CJ86">
            <v>0.17999999999999997</v>
          </cell>
          <cell r="CK86">
            <v>0.25999999999999995</v>
          </cell>
        </row>
        <row r="87">
          <cell r="BM87" t="str">
            <v>LP16</v>
          </cell>
          <cell r="BN87">
            <v>0.5</v>
          </cell>
          <cell r="BO87">
            <v>0.5</v>
          </cell>
          <cell r="BP87">
            <v>0.5</v>
          </cell>
          <cell r="BQ87">
            <v>0.5</v>
          </cell>
          <cell r="BR87">
            <v>-0.43999999999999995</v>
          </cell>
          <cell r="BS87">
            <v>0</v>
          </cell>
          <cell r="BT87">
            <v>0.43</v>
          </cell>
          <cell r="BU87">
            <v>-0.29000000000000004</v>
          </cell>
          <cell r="BV87">
            <v>0.5</v>
          </cell>
          <cell r="BW87">
            <v>-0.4</v>
          </cell>
          <cell r="BX87">
            <v>0.5</v>
          </cell>
          <cell r="BY87">
            <v>0.49</v>
          </cell>
          <cell r="BZ87">
            <v>0.5</v>
          </cell>
          <cell r="CA87">
            <v>1</v>
          </cell>
          <cell r="CB87">
            <v>1.5</v>
          </cell>
          <cell r="CC87">
            <v>2</v>
          </cell>
          <cell r="CD87">
            <v>1.56</v>
          </cell>
          <cell r="CE87">
            <v>1.56</v>
          </cell>
          <cell r="CF87">
            <v>1.99</v>
          </cell>
          <cell r="CG87">
            <v>1.7</v>
          </cell>
          <cell r="CH87">
            <v>2.2000000000000002</v>
          </cell>
          <cell r="CI87">
            <v>1.8000000000000003</v>
          </cell>
          <cell r="CJ87">
            <v>2.3000000000000003</v>
          </cell>
          <cell r="CK87">
            <v>2.79</v>
          </cell>
        </row>
        <row r="88">
          <cell r="BM88" t="str">
            <v>LP17</v>
          </cell>
          <cell r="BN88">
            <v>0.25</v>
          </cell>
          <cell r="BO88">
            <v>0.25</v>
          </cell>
          <cell r="BP88">
            <v>0.25</v>
          </cell>
          <cell r="BQ88">
            <v>0.25</v>
          </cell>
          <cell r="BR88">
            <v>-0.15000000000000002</v>
          </cell>
          <cell r="BS88">
            <v>0.15960000000000002</v>
          </cell>
          <cell r="BT88">
            <v>0.25</v>
          </cell>
          <cell r="BU88">
            <v>-4.9999999999999989E-2</v>
          </cell>
          <cell r="BV88">
            <v>0.25</v>
          </cell>
          <cell r="BW88">
            <v>4.0000000000000008E-2</v>
          </cell>
          <cell r="BX88">
            <v>0.25</v>
          </cell>
          <cell r="BY88">
            <v>0.24</v>
          </cell>
          <cell r="BZ88">
            <v>0.25</v>
          </cell>
          <cell r="CA88">
            <v>0.5</v>
          </cell>
          <cell r="CB88">
            <v>0.75</v>
          </cell>
          <cell r="CC88">
            <v>1</v>
          </cell>
          <cell r="CD88">
            <v>0.85</v>
          </cell>
          <cell r="CE88">
            <v>1.0096000000000001</v>
          </cell>
          <cell r="CF88">
            <v>1.2596000000000001</v>
          </cell>
          <cell r="CG88">
            <v>1.2096</v>
          </cell>
          <cell r="CH88">
            <v>1.4596</v>
          </cell>
          <cell r="CI88">
            <v>1.4996</v>
          </cell>
          <cell r="CJ88">
            <v>1.7496</v>
          </cell>
          <cell r="CK88">
            <v>1.9896</v>
          </cell>
        </row>
        <row r="89">
          <cell r="BM89" t="str">
            <v>LP18</v>
          </cell>
          <cell r="BN89">
            <v>0.2</v>
          </cell>
          <cell r="BO89">
            <v>0.2</v>
          </cell>
          <cell r="BP89">
            <v>0.2</v>
          </cell>
          <cell r="BQ89">
            <v>0.2</v>
          </cell>
          <cell r="BR89">
            <v>0</v>
          </cell>
          <cell r="BS89">
            <v>-6.5119999999999983E-2</v>
          </cell>
          <cell r="BT89">
            <v>0.14000000000000001</v>
          </cell>
          <cell r="BU89">
            <v>1.4</v>
          </cell>
          <cell r="BV89">
            <v>0.2</v>
          </cell>
          <cell r="BW89">
            <v>-0.03</v>
          </cell>
          <cell r="BX89">
            <v>0.2</v>
          </cell>
          <cell r="BY89">
            <v>0.19</v>
          </cell>
          <cell r="BZ89">
            <v>0.2</v>
          </cell>
          <cell r="CA89">
            <v>0.4</v>
          </cell>
          <cell r="CB89">
            <v>0.60000000000000009</v>
          </cell>
          <cell r="CC89">
            <v>0.8</v>
          </cell>
          <cell r="CD89">
            <v>0.8</v>
          </cell>
          <cell r="CE89">
            <v>0.73488000000000009</v>
          </cell>
          <cell r="CF89">
            <v>0.8748800000000001</v>
          </cell>
          <cell r="CG89">
            <v>2.27488</v>
          </cell>
          <cell r="CH89">
            <v>2.4748800000000002</v>
          </cell>
          <cell r="CI89">
            <v>2.4448800000000004</v>
          </cell>
          <cell r="CJ89">
            <v>2.6448800000000006</v>
          </cell>
          <cell r="CK89">
            <v>2.8348800000000005</v>
          </cell>
        </row>
        <row r="90">
          <cell r="BM90" t="str">
            <v>LP19</v>
          </cell>
          <cell r="BN90">
            <v>2</v>
          </cell>
          <cell r="BO90">
            <v>2</v>
          </cell>
          <cell r="BP90">
            <v>2</v>
          </cell>
          <cell r="BQ90">
            <v>2</v>
          </cell>
          <cell r="BR90">
            <v>-2</v>
          </cell>
          <cell r="BS90">
            <v>2</v>
          </cell>
          <cell r="BT90">
            <v>1.7</v>
          </cell>
          <cell r="BU90">
            <v>1.19</v>
          </cell>
          <cell r="BV90">
            <v>2</v>
          </cell>
          <cell r="BW90">
            <v>-0.14000000000000012</v>
          </cell>
          <cell r="BX90">
            <v>2</v>
          </cell>
          <cell r="BY90">
            <v>1.99</v>
          </cell>
          <cell r="BZ90">
            <v>2</v>
          </cell>
          <cell r="CA90">
            <v>4</v>
          </cell>
          <cell r="CB90">
            <v>6</v>
          </cell>
          <cell r="CC90">
            <v>8</v>
          </cell>
          <cell r="CD90">
            <v>6</v>
          </cell>
          <cell r="CE90">
            <v>8</v>
          </cell>
          <cell r="CF90">
            <v>9.6999999999999993</v>
          </cell>
          <cell r="CG90">
            <v>10.889999999999999</v>
          </cell>
          <cell r="CH90">
            <v>12.889999999999999</v>
          </cell>
          <cell r="CI90">
            <v>12.749999999999998</v>
          </cell>
          <cell r="CJ90">
            <v>14.749999999999998</v>
          </cell>
          <cell r="CK90">
            <v>16.739999999999998</v>
          </cell>
        </row>
        <row r="91">
          <cell r="BM91" t="str">
            <v>LP20</v>
          </cell>
          <cell r="BN91">
            <v>0</v>
          </cell>
          <cell r="BO91">
            <v>0</v>
          </cell>
          <cell r="BP91">
            <v>-0.98199999999999998</v>
          </cell>
          <cell r="BQ91">
            <v>0</v>
          </cell>
          <cell r="BR91">
            <v>-0.89</v>
          </cell>
          <cell r="BS91">
            <v>-0.24</v>
          </cell>
          <cell r="BT91">
            <v>-0.33</v>
          </cell>
          <cell r="BU91">
            <v>-1.2999999999999998</v>
          </cell>
          <cell r="BV91">
            <v>-1.59</v>
          </cell>
          <cell r="BW91">
            <v>-0.96</v>
          </cell>
          <cell r="BX91">
            <v>-1.1156999999999999</v>
          </cell>
          <cell r="BY91">
            <v>-2.5499999999999998</v>
          </cell>
          <cell r="BZ91">
            <v>0</v>
          </cell>
          <cell r="CA91">
            <v>0</v>
          </cell>
          <cell r="CB91">
            <v>-0.98199999999999998</v>
          </cell>
          <cell r="CC91">
            <v>-0.98199999999999998</v>
          </cell>
          <cell r="CD91">
            <v>-1.8719999999999999</v>
          </cell>
          <cell r="CE91">
            <v>-2.1120000000000001</v>
          </cell>
          <cell r="CF91">
            <v>-2.4420000000000002</v>
          </cell>
          <cell r="CG91">
            <v>-3.742</v>
          </cell>
          <cell r="CH91">
            <v>-5.3319999999999999</v>
          </cell>
          <cell r="CI91">
            <v>-6.2919999999999998</v>
          </cell>
          <cell r="CJ91">
            <v>-7.4077000000000002</v>
          </cell>
          <cell r="CK91">
            <v>-9.9576999999999991</v>
          </cell>
        </row>
        <row r="92">
          <cell r="BN92">
            <v>38.81</v>
          </cell>
          <cell r="BO92">
            <v>31.419999999999998</v>
          </cell>
          <cell r="BP92">
            <v>34.136000000000003</v>
          </cell>
          <cell r="BQ92">
            <v>67.117999999999995</v>
          </cell>
          <cell r="BR92">
            <v>15.041999999999998</v>
          </cell>
          <cell r="BS92">
            <v>11.406286</v>
          </cell>
          <cell r="BT92">
            <v>28.49</v>
          </cell>
          <cell r="BU92">
            <v>22.95</v>
          </cell>
          <cell r="BV92">
            <v>33.47</v>
          </cell>
          <cell r="BW92">
            <v>21.79</v>
          </cell>
          <cell r="BX92">
            <v>20.944299999999998</v>
          </cell>
          <cell r="BY92">
            <v>35.869999999999997</v>
          </cell>
          <cell r="BZ92">
            <v>38.81</v>
          </cell>
          <cell r="CA92">
            <v>70.22999999999999</v>
          </cell>
          <cell r="CB92">
            <v>104.36599999999999</v>
          </cell>
          <cell r="CC92">
            <v>171.48400000000001</v>
          </cell>
          <cell r="CD92">
            <v>186.52599999999995</v>
          </cell>
          <cell r="CE92">
            <v>197.93228600000006</v>
          </cell>
          <cell r="CF92">
            <v>226.42228599999996</v>
          </cell>
          <cell r="CG92">
            <v>249.37228599999997</v>
          </cell>
          <cell r="CH92">
            <v>282.842286</v>
          </cell>
          <cell r="CI92">
            <v>304.63228600000014</v>
          </cell>
          <cell r="CJ92">
            <v>325.57658600000002</v>
          </cell>
          <cell r="CK92">
            <v>361.44658600000002</v>
          </cell>
        </row>
        <row r="97">
          <cell r="BN97" t="str">
            <v>Actual</v>
          </cell>
          <cell r="BO97" t="str">
            <v>Actual</v>
          </cell>
          <cell r="BP97" t="str">
            <v>Actual</v>
          </cell>
          <cell r="BQ97" t="str">
            <v>Actual</v>
          </cell>
          <cell r="BR97" t="str">
            <v>Actual</v>
          </cell>
          <cell r="BS97" t="str">
            <v>Actual</v>
          </cell>
          <cell r="BT97" t="str">
            <v>Actual</v>
          </cell>
          <cell r="BU97" t="str">
            <v>Actual</v>
          </cell>
          <cell r="BV97" t="str">
            <v>Actual</v>
          </cell>
          <cell r="BW97" t="str">
            <v>Actual</v>
          </cell>
          <cell r="BX97" t="str">
            <v>Actual</v>
          </cell>
          <cell r="BY97" t="str">
            <v>Actual</v>
          </cell>
          <cell r="BZ97" t="str">
            <v>Cum_Actu</v>
          </cell>
          <cell r="CA97" t="str">
            <v>Cum_Actu</v>
          </cell>
          <cell r="CB97" t="str">
            <v>Cum_Actu</v>
          </cell>
          <cell r="CC97" t="str">
            <v>Cum_Actu</v>
          </cell>
          <cell r="CD97" t="str">
            <v>Cum_Actu</v>
          </cell>
          <cell r="CE97" t="str">
            <v>Cum_Actu</v>
          </cell>
          <cell r="CF97" t="str">
            <v>Cum_Actu</v>
          </cell>
          <cell r="CG97" t="str">
            <v>Cum_Actu</v>
          </cell>
          <cell r="CH97" t="str">
            <v>Cum_Actu</v>
          </cell>
          <cell r="CI97" t="str">
            <v>Cum_Actu</v>
          </cell>
          <cell r="CJ97" t="str">
            <v>Cum_Actu</v>
          </cell>
          <cell r="CK97" t="str">
            <v>Cum_Actu</v>
          </cell>
        </row>
        <row r="98">
          <cell r="BM98" t="str">
            <v>CODE</v>
          </cell>
          <cell r="BN98">
            <v>41285</v>
          </cell>
          <cell r="BO98">
            <v>41316</v>
          </cell>
          <cell r="BP98">
            <v>41344</v>
          </cell>
          <cell r="BQ98">
            <v>41375</v>
          </cell>
          <cell r="BR98">
            <v>41405</v>
          </cell>
          <cell r="BS98">
            <v>41436</v>
          </cell>
          <cell r="BT98">
            <v>41466</v>
          </cell>
          <cell r="BU98">
            <v>41497</v>
          </cell>
          <cell r="BV98">
            <v>41528</v>
          </cell>
          <cell r="BW98">
            <v>41558</v>
          </cell>
          <cell r="BX98">
            <v>41589</v>
          </cell>
          <cell r="BY98">
            <v>41619</v>
          </cell>
          <cell r="BZ98">
            <v>41285</v>
          </cell>
          <cell r="CA98">
            <v>41316</v>
          </cell>
          <cell r="CB98">
            <v>41344</v>
          </cell>
          <cell r="CC98">
            <v>41375</v>
          </cell>
          <cell r="CD98">
            <v>41405</v>
          </cell>
          <cell r="CE98">
            <v>41436</v>
          </cell>
          <cell r="CF98">
            <v>41466</v>
          </cell>
          <cell r="CG98">
            <v>41497</v>
          </cell>
          <cell r="CH98">
            <v>41528</v>
          </cell>
          <cell r="CI98">
            <v>41558</v>
          </cell>
          <cell r="CJ98">
            <v>41589</v>
          </cell>
          <cell r="CK98">
            <v>41619</v>
          </cell>
        </row>
        <row r="99">
          <cell r="BM99" t="str">
            <v>CM01</v>
          </cell>
          <cell r="BN99">
            <v>0.25</v>
          </cell>
          <cell r="BO99">
            <v>0.23</v>
          </cell>
          <cell r="BP99">
            <v>0.23</v>
          </cell>
          <cell r="BQ99">
            <v>0.23</v>
          </cell>
          <cell r="BR99">
            <v>0.23</v>
          </cell>
          <cell r="BS99">
            <v>0.23</v>
          </cell>
          <cell r="BT99">
            <v>0.23</v>
          </cell>
          <cell r="BU99">
            <v>0.23</v>
          </cell>
          <cell r="BV99">
            <v>0.23</v>
          </cell>
          <cell r="BW99">
            <v>0.23</v>
          </cell>
          <cell r="BX99">
            <v>0.23</v>
          </cell>
          <cell r="BY99">
            <v>0.23</v>
          </cell>
          <cell r="BZ99">
            <v>0.25</v>
          </cell>
          <cell r="CA99">
            <v>0.48</v>
          </cell>
          <cell r="CB99">
            <v>0.71</v>
          </cell>
          <cell r="CC99">
            <v>0.94</v>
          </cell>
          <cell r="CD99">
            <v>1.17</v>
          </cell>
          <cell r="CE99">
            <v>1.4</v>
          </cell>
          <cell r="CF99">
            <v>1.63</v>
          </cell>
          <cell r="CG99">
            <v>1.8599999999999999</v>
          </cell>
          <cell r="CH99">
            <v>2.09</v>
          </cell>
          <cell r="CI99">
            <v>2.3199999999999998</v>
          </cell>
          <cell r="CJ99">
            <v>2.5499999999999998</v>
          </cell>
          <cell r="CK99">
            <v>2.78</v>
          </cell>
        </row>
        <row r="100">
          <cell r="BM100" t="str">
            <v>CM02</v>
          </cell>
          <cell r="BN100">
            <v>0</v>
          </cell>
          <cell r="BO100">
            <v>0</v>
          </cell>
          <cell r="BP100">
            <v>25</v>
          </cell>
          <cell r="BQ100">
            <v>0</v>
          </cell>
          <cell r="BR100">
            <v>0</v>
          </cell>
          <cell r="BS100">
            <v>0</v>
          </cell>
          <cell r="BT100">
            <v>0</v>
          </cell>
          <cell r="BU100">
            <v>0</v>
          </cell>
          <cell r="BV100">
            <v>0</v>
          </cell>
          <cell r="BW100">
            <v>0</v>
          </cell>
          <cell r="BX100">
            <v>0</v>
          </cell>
          <cell r="BY100">
            <v>0</v>
          </cell>
          <cell r="BZ100">
            <v>0</v>
          </cell>
          <cell r="CA100">
            <v>0</v>
          </cell>
          <cell r="CB100">
            <v>25</v>
          </cell>
          <cell r="CC100">
            <v>25</v>
          </cell>
          <cell r="CD100">
            <v>25</v>
          </cell>
          <cell r="CE100">
            <v>25</v>
          </cell>
          <cell r="CF100">
            <v>25</v>
          </cell>
          <cell r="CG100">
            <v>25</v>
          </cell>
          <cell r="CH100">
            <v>25</v>
          </cell>
          <cell r="CI100">
            <v>25</v>
          </cell>
          <cell r="CJ100">
            <v>25</v>
          </cell>
          <cell r="CK100">
            <v>25</v>
          </cell>
        </row>
        <row r="101">
          <cell r="BM101" t="str">
            <v>CM03</v>
          </cell>
          <cell r="BN101">
            <v>1.5</v>
          </cell>
          <cell r="BO101">
            <v>1.5</v>
          </cell>
          <cell r="BP101">
            <v>1</v>
          </cell>
          <cell r="BQ101">
            <v>1.5</v>
          </cell>
          <cell r="BR101">
            <v>1.5</v>
          </cell>
          <cell r="BS101">
            <v>1</v>
          </cell>
          <cell r="BT101">
            <v>1.5</v>
          </cell>
          <cell r="BU101">
            <v>1.5</v>
          </cell>
          <cell r="BV101">
            <v>1</v>
          </cell>
          <cell r="BW101">
            <v>1.5</v>
          </cell>
          <cell r="BX101">
            <v>1.5</v>
          </cell>
          <cell r="BY101">
            <v>1</v>
          </cell>
          <cell r="BZ101">
            <v>1.5</v>
          </cell>
          <cell r="CA101">
            <v>3</v>
          </cell>
          <cell r="CB101">
            <v>4</v>
          </cell>
          <cell r="CC101">
            <v>5.5</v>
          </cell>
          <cell r="CD101">
            <v>7</v>
          </cell>
          <cell r="CE101">
            <v>8</v>
          </cell>
          <cell r="CF101">
            <v>9.5</v>
          </cell>
          <cell r="CG101">
            <v>11</v>
          </cell>
          <cell r="CH101">
            <v>12</v>
          </cell>
          <cell r="CI101">
            <v>13.5</v>
          </cell>
          <cell r="CJ101">
            <v>15</v>
          </cell>
          <cell r="CK101">
            <v>16</v>
          </cell>
        </row>
        <row r="102">
          <cell r="BM102" t="str">
            <v>CM04</v>
          </cell>
          <cell r="BN102">
            <v>3.2</v>
          </cell>
          <cell r="BO102">
            <v>3.2</v>
          </cell>
          <cell r="BP102">
            <v>3.2</v>
          </cell>
          <cell r="BQ102">
            <v>3.2</v>
          </cell>
          <cell r="BR102">
            <v>3.2</v>
          </cell>
          <cell r="BS102">
            <v>3.2</v>
          </cell>
          <cell r="BT102">
            <v>3.7</v>
          </cell>
          <cell r="BU102">
            <v>3.2</v>
          </cell>
          <cell r="BV102">
            <v>3.2</v>
          </cell>
          <cell r="BW102">
            <v>3.2</v>
          </cell>
          <cell r="BX102">
            <v>3.2</v>
          </cell>
          <cell r="BY102">
            <v>8.7899999999999991</v>
          </cell>
          <cell r="BZ102">
            <v>3.2</v>
          </cell>
          <cell r="CA102">
            <v>6.4</v>
          </cell>
          <cell r="CB102">
            <v>9.6000000000000014</v>
          </cell>
          <cell r="CC102">
            <v>12.8</v>
          </cell>
          <cell r="CD102">
            <v>16</v>
          </cell>
          <cell r="CE102">
            <v>19.2</v>
          </cell>
          <cell r="CF102">
            <v>22.9</v>
          </cell>
          <cell r="CG102">
            <v>26.099999999999998</v>
          </cell>
          <cell r="CH102">
            <v>29.299999999999997</v>
          </cell>
          <cell r="CI102">
            <v>32.5</v>
          </cell>
          <cell r="CJ102">
            <v>35.700000000000003</v>
          </cell>
          <cell r="CK102">
            <v>44.49</v>
          </cell>
        </row>
        <row r="103">
          <cell r="BM103" t="str">
            <v>CM05</v>
          </cell>
          <cell r="BN103">
            <v>2</v>
          </cell>
          <cell r="BO103">
            <v>1.69</v>
          </cell>
          <cell r="BP103">
            <v>1.89</v>
          </cell>
          <cell r="BQ103">
            <v>1.69</v>
          </cell>
          <cell r="BR103">
            <v>1.69</v>
          </cell>
          <cell r="BS103">
            <v>21.82</v>
          </cell>
          <cell r="BT103">
            <v>5.7</v>
          </cell>
          <cell r="BU103">
            <v>1.69</v>
          </cell>
          <cell r="BV103">
            <v>1.19</v>
          </cell>
          <cell r="BW103">
            <v>1.69</v>
          </cell>
          <cell r="BX103">
            <v>41.74</v>
          </cell>
          <cell r="BY103">
            <v>-11.67</v>
          </cell>
          <cell r="BZ103">
            <v>2</v>
          </cell>
          <cell r="CA103">
            <v>3.69</v>
          </cell>
          <cell r="CB103">
            <v>5.58</v>
          </cell>
          <cell r="CC103">
            <v>7.27</v>
          </cell>
          <cell r="CD103">
            <v>8.9599999999999991</v>
          </cell>
          <cell r="CE103">
            <v>30.78</v>
          </cell>
          <cell r="CF103">
            <v>36.480000000000004</v>
          </cell>
          <cell r="CG103">
            <v>38.17</v>
          </cell>
          <cell r="CH103">
            <v>39.36</v>
          </cell>
          <cell r="CI103">
            <v>41.05</v>
          </cell>
          <cell r="CJ103">
            <v>82.789999999999992</v>
          </cell>
          <cell r="CK103">
            <v>71.11999999999999</v>
          </cell>
        </row>
        <row r="104">
          <cell r="BM104" t="str">
            <v>CM06</v>
          </cell>
          <cell r="BN104">
            <v>1.5</v>
          </cell>
          <cell r="BO104">
            <v>1.5</v>
          </cell>
          <cell r="BP104">
            <v>1</v>
          </cell>
          <cell r="BQ104">
            <v>1.5</v>
          </cell>
          <cell r="BR104">
            <v>1.5</v>
          </cell>
          <cell r="BS104">
            <v>1.49</v>
          </cell>
          <cell r="BT104">
            <v>0</v>
          </cell>
          <cell r="BU104">
            <v>1.5</v>
          </cell>
          <cell r="BV104">
            <v>1</v>
          </cell>
          <cell r="BW104">
            <v>1.5</v>
          </cell>
          <cell r="BX104">
            <v>1.5</v>
          </cell>
          <cell r="BY104">
            <v>0.09</v>
          </cell>
          <cell r="BZ104">
            <v>1.5</v>
          </cell>
          <cell r="CA104">
            <v>3</v>
          </cell>
          <cell r="CB104">
            <v>4</v>
          </cell>
          <cell r="CC104">
            <v>5.5</v>
          </cell>
          <cell r="CD104">
            <v>7</v>
          </cell>
          <cell r="CE104">
            <v>8.49</v>
          </cell>
          <cell r="CF104">
            <v>8.49</v>
          </cell>
          <cell r="CG104">
            <v>9.99</v>
          </cell>
          <cell r="CH104">
            <v>10.99</v>
          </cell>
          <cell r="CI104">
            <v>12.49</v>
          </cell>
          <cell r="CJ104">
            <v>13.99</v>
          </cell>
          <cell r="CK104">
            <v>14.08</v>
          </cell>
        </row>
        <row r="105">
          <cell r="BM105" t="str">
            <v>CM07</v>
          </cell>
          <cell r="BN105">
            <v>0.16</v>
          </cell>
          <cell r="BO105">
            <v>0.16</v>
          </cell>
          <cell r="BP105">
            <v>0.18</v>
          </cell>
          <cell r="BQ105">
            <v>0.16</v>
          </cell>
          <cell r="BR105">
            <v>0.16</v>
          </cell>
          <cell r="BS105">
            <v>0.18</v>
          </cell>
          <cell r="BT105">
            <v>0.16</v>
          </cell>
          <cell r="BU105">
            <v>0.16</v>
          </cell>
          <cell r="BV105">
            <v>0.18</v>
          </cell>
          <cell r="BW105">
            <v>0.16</v>
          </cell>
          <cell r="BX105">
            <v>0.16</v>
          </cell>
          <cell r="BY105">
            <v>0.18</v>
          </cell>
          <cell r="BZ105">
            <v>0.16</v>
          </cell>
          <cell r="CA105">
            <v>0.32</v>
          </cell>
          <cell r="CB105">
            <v>0.5</v>
          </cell>
          <cell r="CC105">
            <v>0.66</v>
          </cell>
          <cell r="CD105">
            <v>0.82000000000000006</v>
          </cell>
          <cell r="CE105">
            <v>1</v>
          </cell>
          <cell r="CF105">
            <v>1.1599999999999999</v>
          </cell>
          <cell r="CG105">
            <v>1.3199999999999998</v>
          </cell>
          <cell r="CH105">
            <v>1.4999999999999998</v>
          </cell>
          <cell r="CI105">
            <v>1.6599999999999997</v>
          </cell>
          <cell r="CJ105">
            <v>1.8199999999999996</v>
          </cell>
          <cell r="CK105">
            <v>1.9999999999999996</v>
          </cell>
        </row>
        <row r="106">
          <cell r="BM106" t="str">
            <v>CM08</v>
          </cell>
          <cell r="BN106">
            <v>0.36058414701958968</v>
          </cell>
          <cell r="BO106">
            <v>0.35167896273907345</v>
          </cell>
          <cell r="BP106">
            <v>0.28704720617221746</v>
          </cell>
          <cell r="BQ106">
            <v>0.40414540641534485</v>
          </cell>
          <cell r="BR106">
            <v>0.38977570561188946</v>
          </cell>
          <cell r="BS106">
            <v>0.35485762615245703</v>
          </cell>
          <cell r="BT106">
            <v>0.34268565873975199</v>
          </cell>
          <cell r="BU106">
            <v>0.34108188860366601</v>
          </cell>
          <cell r="BV106">
            <v>0.3832673944819</v>
          </cell>
          <cell r="BW106">
            <v>0.29114641212799197</v>
          </cell>
          <cell r="BX106">
            <v>0.31999999999999995</v>
          </cell>
          <cell r="BY106">
            <v>0.35</v>
          </cell>
          <cell r="BZ106">
            <v>0.36058414701958968</v>
          </cell>
          <cell r="CA106">
            <v>0.71226310975866314</v>
          </cell>
          <cell r="CB106">
            <v>0.9993103159308806</v>
          </cell>
          <cell r="CC106">
            <v>1.4034557223462254</v>
          </cell>
          <cell r="CD106">
            <v>1.7932314279581147</v>
          </cell>
          <cell r="CE106">
            <v>2.1480890541105717</v>
          </cell>
          <cell r="CF106">
            <v>2.4907747128503237</v>
          </cell>
          <cell r="CG106">
            <v>2.8318566014539899</v>
          </cell>
          <cell r="CH106">
            <v>3.2151239959358899</v>
          </cell>
          <cell r="CI106">
            <v>3.506270408063882</v>
          </cell>
          <cell r="CJ106">
            <v>3.8262704080638819</v>
          </cell>
          <cell r="CK106">
            <v>4.1762704080638819</v>
          </cell>
        </row>
        <row r="107">
          <cell r="BM107" t="str">
            <v>CM09</v>
          </cell>
          <cell r="BN107">
            <v>33.691293684131047</v>
          </cell>
          <cell r="BO107">
            <v>33.173964993406067</v>
          </cell>
          <cell r="BP107">
            <v>20.128239959106395</v>
          </cell>
          <cell r="BQ107">
            <v>37.501226289428253</v>
          </cell>
          <cell r="BR107">
            <v>36.586046445414325</v>
          </cell>
          <cell r="BS107">
            <v>-0.1183686427328</v>
          </cell>
          <cell r="BT107">
            <v>15.079972851930696</v>
          </cell>
          <cell r="BU107">
            <v>18.862237323879704</v>
          </cell>
          <cell r="BV107">
            <v>18.089965178699902</v>
          </cell>
          <cell r="BW107">
            <v>-39.860218563471498</v>
          </cell>
          <cell r="BX107">
            <v>17.979999999999997</v>
          </cell>
          <cell r="BY107">
            <v>20.439999999999998</v>
          </cell>
          <cell r="BZ107">
            <v>33.691293684131047</v>
          </cell>
          <cell r="CA107">
            <v>66.865258677537113</v>
          </cell>
          <cell r="CB107">
            <v>86.993498636643508</v>
          </cell>
          <cell r="CC107">
            <v>124.49472492607177</v>
          </cell>
          <cell r="CD107">
            <v>161.08077137148609</v>
          </cell>
          <cell r="CE107">
            <v>160.96240272875329</v>
          </cell>
          <cell r="CF107">
            <v>176.04237558068399</v>
          </cell>
          <cell r="CG107">
            <v>194.90461290456369</v>
          </cell>
          <cell r="CH107">
            <v>212.9945780832636</v>
          </cell>
          <cell r="CI107">
            <v>173.1343595197921</v>
          </cell>
          <cell r="CJ107">
            <v>191.11435951979209</v>
          </cell>
          <cell r="CK107">
            <v>211.55435951979209</v>
          </cell>
        </row>
        <row r="108">
          <cell r="BM108" t="str">
            <v>CM10</v>
          </cell>
          <cell r="BN108">
            <v>36.666666666666664</v>
          </cell>
          <cell r="BO108">
            <v>36.666666666666664</v>
          </cell>
          <cell r="BP108">
            <v>36.666666666666664</v>
          </cell>
          <cell r="BQ108">
            <v>36.666666666666664</v>
          </cell>
          <cell r="BR108">
            <v>36.666666666666664</v>
          </cell>
          <cell r="BS108">
            <v>49.176666666666698</v>
          </cell>
          <cell r="BT108">
            <v>51.7366666666667</v>
          </cell>
          <cell r="BU108">
            <v>57.506666666666703</v>
          </cell>
          <cell r="BV108">
            <v>51.256666666666696</v>
          </cell>
          <cell r="BW108">
            <v>51.256666666666696</v>
          </cell>
          <cell r="BX108">
            <v>51.253</v>
          </cell>
          <cell r="BY108">
            <v>51.25</v>
          </cell>
          <cell r="BZ108">
            <v>36.666666666666664</v>
          </cell>
          <cell r="CA108">
            <v>73.333333333333329</v>
          </cell>
          <cell r="CB108">
            <v>110</v>
          </cell>
          <cell r="CC108">
            <v>146.66666666666666</v>
          </cell>
          <cell r="CD108">
            <v>183.33333333333331</v>
          </cell>
          <cell r="CE108">
            <v>232.51000000000002</v>
          </cell>
          <cell r="CF108">
            <v>284.24666666666673</v>
          </cell>
          <cell r="CG108">
            <v>341.75333333333344</v>
          </cell>
          <cell r="CH108">
            <v>393.01000000000016</v>
          </cell>
          <cell r="CI108">
            <v>444.26666666666688</v>
          </cell>
          <cell r="CJ108">
            <v>495.51966666666686</v>
          </cell>
          <cell r="CK108">
            <v>546.76966666666681</v>
          </cell>
        </row>
        <row r="109">
          <cell r="BM109" t="str">
            <v>CM11</v>
          </cell>
          <cell r="BN109">
            <v>1552.5</v>
          </cell>
          <cell r="BO109">
            <v>343.5</v>
          </cell>
          <cell r="BP109">
            <v>-160</v>
          </cell>
          <cell r="BQ109">
            <v>1795.5</v>
          </cell>
          <cell r="BR109">
            <v>392.5</v>
          </cell>
          <cell r="BS109">
            <v>636.98</v>
          </cell>
          <cell r="BT109">
            <v>100.81000000000006</v>
          </cell>
          <cell r="BU109">
            <v>547</v>
          </cell>
          <cell r="BV109">
            <v>1182.5</v>
          </cell>
          <cell r="BW109">
            <v>732.36000000000013</v>
          </cell>
          <cell r="BX109">
            <v>-226.88</v>
          </cell>
          <cell r="BY109">
            <v>-114.22</v>
          </cell>
          <cell r="BZ109">
            <v>1552.5</v>
          </cell>
          <cell r="CA109">
            <v>1896</v>
          </cell>
          <cell r="CB109">
            <v>1736</v>
          </cell>
          <cell r="CC109">
            <v>3531.5</v>
          </cell>
          <cell r="CD109">
            <v>3924</v>
          </cell>
          <cell r="CE109">
            <v>4560.9799999999996</v>
          </cell>
          <cell r="CF109">
            <v>4661.79</v>
          </cell>
          <cell r="CG109">
            <v>5208.79</v>
          </cell>
          <cell r="CH109">
            <v>6391.29</v>
          </cell>
          <cell r="CI109">
            <v>7123.65</v>
          </cell>
          <cell r="CJ109">
            <v>6896.7699999999995</v>
          </cell>
          <cell r="CK109">
            <v>6782.5499999999993</v>
          </cell>
        </row>
        <row r="110">
          <cell r="BM110" t="str">
            <v>CM12</v>
          </cell>
          <cell r="BN110">
            <v>47.715619225638655</v>
          </cell>
          <cell r="BO110">
            <v>47.186479742801922</v>
          </cell>
          <cell r="BP110">
            <v>38.884634653289979</v>
          </cell>
          <cell r="BQ110">
            <v>112.51593776200664</v>
          </cell>
          <cell r="BR110">
            <v>59.989899964631704</v>
          </cell>
          <cell r="BS110">
            <v>44.730612650706007</v>
          </cell>
          <cell r="BT110">
            <v>44.971201527505997</v>
          </cell>
          <cell r="BU110">
            <v>24.416862355864104</v>
          </cell>
          <cell r="BV110">
            <v>41.365736201479201</v>
          </cell>
          <cell r="BW110">
            <v>53.1206846628912</v>
          </cell>
          <cell r="BX110">
            <v>79.12</v>
          </cell>
          <cell r="BY110">
            <v>162.75</v>
          </cell>
          <cell r="BZ110">
            <v>47.715619225638655</v>
          </cell>
          <cell r="CA110">
            <v>94.902098968440583</v>
          </cell>
          <cell r="CB110">
            <v>133.78673362173055</v>
          </cell>
          <cell r="CC110">
            <v>246.30267138373719</v>
          </cell>
          <cell r="CD110">
            <v>306.29257134836888</v>
          </cell>
          <cell r="CE110">
            <v>351.02318399907489</v>
          </cell>
          <cell r="CF110">
            <v>395.99438552658091</v>
          </cell>
          <cell r="CG110">
            <v>420.41124788244502</v>
          </cell>
          <cell r="CH110">
            <v>461.77698408392422</v>
          </cell>
          <cell r="CI110">
            <v>514.89766874681538</v>
          </cell>
          <cell r="CJ110">
            <v>594.01766874681539</v>
          </cell>
          <cell r="CK110">
            <v>756.76766874681539</v>
          </cell>
        </row>
        <row r="111">
          <cell r="BM111" t="str">
            <v>CM12A</v>
          </cell>
          <cell r="BN111">
            <v>52.136022618398421</v>
          </cell>
          <cell r="BO111">
            <v>49.15291734447284</v>
          </cell>
          <cell r="BP111">
            <v>18.839570180341155</v>
          </cell>
          <cell r="BQ111">
            <v>69.166985602360768</v>
          </cell>
          <cell r="BR111">
            <v>70.651647017213762</v>
          </cell>
          <cell r="BS111">
            <v>63.824250177301202</v>
          </cell>
          <cell r="BT111">
            <v>55.713178267654094</v>
          </cell>
          <cell r="BU111">
            <v>53.183367477487096</v>
          </cell>
          <cell r="BV111">
            <v>58.984983766446106</v>
          </cell>
          <cell r="BW111">
            <v>64.460217250460289</v>
          </cell>
          <cell r="BX111">
            <v>58.45</v>
          </cell>
          <cell r="BY111">
            <v>78.16</v>
          </cell>
          <cell r="BZ111">
            <v>52.136022618398421</v>
          </cell>
          <cell r="CA111">
            <v>101.28893996287127</v>
          </cell>
          <cell r="CB111">
            <v>120.12851014321242</v>
          </cell>
          <cell r="CC111">
            <v>189.29549574557319</v>
          </cell>
          <cell r="CD111">
            <v>259.94714276278694</v>
          </cell>
          <cell r="CE111">
            <v>323.77139294008816</v>
          </cell>
          <cell r="CF111">
            <v>379.48457120774225</v>
          </cell>
          <cell r="CG111">
            <v>432.66793868522933</v>
          </cell>
          <cell r="CH111">
            <v>491.65292245167541</v>
          </cell>
          <cell r="CI111">
            <v>556.11313970213564</v>
          </cell>
          <cell r="CJ111">
            <v>614.56313970213569</v>
          </cell>
          <cell r="CK111">
            <v>692.72313970213565</v>
          </cell>
        </row>
        <row r="112">
          <cell r="BM112" t="str">
            <v>CM13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row>
        <row r="113">
          <cell r="BM113" t="str">
            <v>CM14</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row>
        <row r="114">
          <cell r="BM114" t="str">
            <v>CM15</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BM115" t="str">
            <v>CM16</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row>
        <row r="116">
          <cell r="BM116" t="str">
            <v>CM17</v>
          </cell>
          <cell r="BN116">
            <v>1.1000000000000001</v>
          </cell>
          <cell r="BO116">
            <v>1.1000000000000001</v>
          </cell>
          <cell r="BP116">
            <v>1.05</v>
          </cell>
          <cell r="BQ116">
            <v>1.1000000000000001</v>
          </cell>
          <cell r="BR116">
            <v>1.1000000000000001</v>
          </cell>
          <cell r="BS116">
            <v>1.62</v>
          </cell>
          <cell r="BT116">
            <v>1.1000000000000001</v>
          </cell>
          <cell r="BU116">
            <v>1.1000000000000001</v>
          </cell>
          <cell r="BV116">
            <v>1.05</v>
          </cell>
          <cell r="BW116">
            <v>1.1000000000000001</v>
          </cell>
          <cell r="BX116">
            <v>1.1000000000000001</v>
          </cell>
          <cell r="BY116">
            <v>1.05</v>
          </cell>
          <cell r="BZ116">
            <v>1.1000000000000001</v>
          </cell>
          <cell r="CA116">
            <v>2.2000000000000002</v>
          </cell>
          <cell r="CB116">
            <v>3.25</v>
          </cell>
          <cell r="CC116">
            <v>4.3499999999999996</v>
          </cell>
          <cell r="CD116">
            <v>5.4499999999999993</v>
          </cell>
          <cell r="CE116">
            <v>7.0699999999999994</v>
          </cell>
          <cell r="CF116">
            <v>8.17</v>
          </cell>
          <cell r="CG116">
            <v>9.27</v>
          </cell>
          <cell r="CH116">
            <v>10.32</v>
          </cell>
          <cell r="CI116">
            <v>11.42</v>
          </cell>
          <cell r="CJ116">
            <v>12.52</v>
          </cell>
          <cell r="CK116">
            <v>13.57</v>
          </cell>
        </row>
        <row r="117">
          <cell r="BM117" t="str">
            <v>CM18</v>
          </cell>
          <cell r="BN117">
            <v>2.76</v>
          </cell>
          <cell r="BO117">
            <v>2.76</v>
          </cell>
          <cell r="BP117">
            <v>2.0599999999999996</v>
          </cell>
          <cell r="BQ117">
            <v>2.76</v>
          </cell>
          <cell r="BR117">
            <v>2.76</v>
          </cell>
          <cell r="BS117">
            <v>1.592039999999999</v>
          </cell>
          <cell r="BT117">
            <v>2.76</v>
          </cell>
          <cell r="BU117">
            <v>3.0799999999999996</v>
          </cell>
          <cell r="BV117">
            <v>2.76</v>
          </cell>
          <cell r="BW117">
            <v>2.76</v>
          </cell>
          <cell r="BX117">
            <v>2.76</v>
          </cell>
          <cell r="BY117">
            <v>2.76</v>
          </cell>
          <cell r="BZ117">
            <v>2.76</v>
          </cell>
          <cell r="CA117">
            <v>5.52</v>
          </cell>
          <cell r="CB117">
            <v>7.5799999999999992</v>
          </cell>
          <cell r="CC117">
            <v>10.34</v>
          </cell>
          <cell r="CD117">
            <v>13.1</v>
          </cell>
          <cell r="CE117">
            <v>14.692039999999999</v>
          </cell>
          <cell r="CF117">
            <v>17.452039999999997</v>
          </cell>
          <cell r="CG117">
            <v>20.532039999999995</v>
          </cell>
          <cell r="CH117">
            <v>23.292039999999993</v>
          </cell>
          <cell r="CI117">
            <v>26.052039999999991</v>
          </cell>
          <cell r="CJ117">
            <v>28.812039999999989</v>
          </cell>
          <cell r="CK117">
            <v>31.572039999999987</v>
          </cell>
        </row>
        <row r="118">
          <cell r="BM118" t="str">
            <v>CM19</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row>
        <row r="119">
          <cell r="BM119" t="str">
            <v>CM20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row>
        <row r="120">
          <cell r="BM120" t="str">
            <v>CM21</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row>
        <row r="121">
          <cell r="BM121" t="str">
            <v>CM22</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row>
        <row r="122">
          <cell r="BM122" t="str">
            <v>CM23</v>
          </cell>
          <cell r="BN122">
            <v>0</v>
          </cell>
          <cell r="BO122">
            <v>0</v>
          </cell>
          <cell r="BP122">
            <v>0</v>
          </cell>
          <cell r="BQ122">
            <v>0</v>
          </cell>
          <cell r="BR122">
            <v>0</v>
          </cell>
          <cell r="BS122">
            <v>11.24</v>
          </cell>
          <cell r="BT122">
            <v>0</v>
          </cell>
          <cell r="BU122">
            <v>0</v>
          </cell>
          <cell r="BV122">
            <v>0</v>
          </cell>
          <cell r="BW122">
            <v>0</v>
          </cell>
          <cell r="BX122">
            <v>0</v>
          </cell>
          <cell r="BY122">
            <v>0</v>
          </cell>
          <cell r="BZ122">
            <v>0</v>
          </cell>
          <cell r="CA122">
            <v>0</v>
          </cell>
          <cell r="CB122">
            <v>0</v>
          </cell>
          <cell r="CC122">
            <v>0</v>
          </cell>
          <cell r="CD122">
            <v>0</v>
          </cell>
          <cell r="CE122">
            <v>11.24</v>
          </cell>
          <cell r="CF122">
            <v>11.24</v>
          </cell>
          <cell r="CG122">
            <v>11.24</v>
          </cell>
          <cell r="CH122">
            <v>11.24</v>
          </cell>
          <cell r="CI122">
            <v>11.24</v>
          </cell>
          <cell r="CJ122">
            <v>11.24</v>
          </cell>
          <cell r="CK122">
            <v>11.24</v>
          </cell>
        </row>
        <row r="123">
          <cell r="BM123" t="str">
            <v>CM24</v>
          </cell>
          <cell r="BN123">
            <v>25.9</v>
          </cell>
          <cell r="BO123">
            <v>0</v>
          </cell>
          <cell r="BP123">
            <v>0</v>
          </cell>
          <cell r="BQ123">
            <v>0</v>
          </cell>
          <cell r="BR123">
            <v>-25.9</v>
          </cell>
          <cell r="BS123">
            <v>0</v>
          </cell>
          <cell r="BT123">
            <v>0</v>
          </cell>
          <cell r="BU123">
            <v>0</v>
          </cell>
          <cell r="BV123">
            <v>0</v>
          </cell>
          <cell r="BW123">
            <v>0</v>
          </cell>
          <cell r="BX123">
            <v>0</v>
          </cell>
          <cell r="BY123">
            <v>0</v>
          </cell>
          <cell r="BZ123">
            <v>25.9</v>
          </cell>
          <cell r="CA123">
            <v>25.9</v>
          </cell>
          <cell r="CB123">
            <v>25.9</v>
          </cell>
          <cell r="CC123">
            <v>25.9</v>
          </cell>
          <cell r="CD123">
            <v>0</v>
          </cell>
          <cell r="CE123">
            <v>0</v>
          </cell>
          <cell r="CF123">
            <v>0</v>
          </cell>
          <cell r="CG123">
            <v>0</v>
          </cell>
          <cell r="CH123">
            <v>0</v>
          </cell>
          <cell r="CI123">
            <v>0</v>
          </cell>
          <cell r="CJ123">
            <v>0</v>
          </cell>
          <cell r="CK123">
            <v>0</v>
          </cell>
        </row>
        <row r="124">
          <cell r="BM124" t="str">
            <v>CM25</v>
          </cell>
          <cell r="BN124">
            <v>1.6666666666666667</v>
          </cell>
          <cell r="BO124">
            <v>1.6666666666666667</v>
          </cell>
          <cell r="BP124">
            <v>1.6666666666666667</v>
          </cell>
          <cell r="BQ124">
            <v>1.6666666666666667</v>
          </cell>
          <cell r="BR124">
            <v>1.6666666666666667</v>
          </cell>
          <cell r="BS124">
            <v>1.6666666666666701</v>
          </cell>
          <cell r="BT124">
            <v>3.1766666666666703</v>
          </cell>
          <cell r="BU124">
            <v>2.2366666666666699</v>
          </cell>
          <cell r="BV124">
            <v>2.0266666666666699</v>
          </cell>
          <cell r="BW124">
            <v>1.6666666666666667</v>
          </cell>
          <cell r="BX124">
            <v>1.6666666666666667</v>
          </cell>
          <cell r="BY124">
            <v>4.29</v>
          </cell>
          <cell r="BZ124">
            <v>1.6666666666666667</v>
          </cell>
          <cell r="CA124">
            <v>3.3333333333333335</v>
          </cell>
          <cell r="CB124">
            <v>5</v>
          </cell>
          <cell r="CC124">
            <v>6.666666666666667</v>
          </cell>
          <cell r="CD124">
            <v>8.3333333333333339</v>
          </cell>
          <cell r="CE124">
            <v>10.000000000000004</v>
          </cell>
          <cell r="CF124">
            <v>13.176666666666673</v>
          </cell>
          <cell r="CG124">
            <v>15.413333333333343</v>
          </cell>
          <cell r="CH124">
            <v>17.440000000000012</v>
          </cell>
          <cell r="CI124">
            <v>19.10666666666668</v>
          </cell>
          <cell r="CJ124">
            <v>20.773333333333348</v>
          </cell>
          <cell r="CK124">
            <v>25.063333333333347</v>
          </cell>
        </row>
        <row r="125">
          <cell r="BM125" t="str">
            <v>TTL</v>
          </cell>
          <cell r="BN125">
            <v>1763.1068530085211</v>
          </cell>
          <cell r="BO125">
            <v>523.83837437675322</v>
          </cell>
          <cell r="BP125">
            <v>-7.917174667756929</v>
          </cell>
          <cell r="BQ125">
            <v>2065.5616283935442</v>
          </cell>
          <cell r="BR125">
            <v>584.69070246620504</v>
          </cell>
          <cell r="BS125">
            <v>838.98672514476027</v>
          </cell>
          <cell r="BT125">
            <v>286.98037163916399</v>
          </cell>
          <cell r="BU125">
            <v>716.00688237916791</v>
          </cell>
          <cell r="BV125">
            <v>1365.2172858744402</v>
          </cell>
          <cell r="BW125">
            <v>875.43516309534152</v>
          </cell>
          <cell r="BX125">
            <v>34.099666666666671</v>
          </cell>
          <cell r="BY125">
            <v>205.45</v>
          </cell>
          <cell r="BZ125">
            <v>1763.1068530085211</v>
          </cell>
          <cell r="CA125">
            <v>2286.9452273852739</v>
          </cell>
          <cell r="CB125">
            <v>2279.0280527175173</v>
          </cell>
          <cell r="CC125">
            <v>4344.5896811110624</v>
          </cell>
          <cell r="CD125">
            <v>4929.2803835772665</v>
          </cell>
          <cell r="CE125">
            <v>5768.2671087220251</v>
          </cell>
          <cell r="CF125">
            <v>6055.2474803611904</v>
          </cell>
          <cell r="CG125">
            <v>6771.2543627403593</v>
          </cell>
          <cell r="CH125">
            <v>8136.4716486147991</v>
          </cell>
          <cell r="CI125">
            <v>9011.9068117101415</v>
          </cell>
          <cell r="CJ125">
            <v>9046.0064783768066</v>
          </cell>
          <cell r="CK125">
            <v>9251.4564783768037</v>
          </cell>
        </row>
        <row r="136">
          <cell r="BN136" t="str">
            <v>Actual</v>
          </cell>
          <cell r="BO136" t="str">
            <v>Actual</v>
          </cell>
          <cell r="BP136" t="str">
            <v>Actual</v>
          </cell>
          <cell r="BQ136" t="str">
            <v>Actual</v>
          </cell>
          <cell r="BR136" t="str">
            <v>Actual</v>
          </cell>
          <cell r="BS136" t="str">
            <v>Actual</v>
          </cell>
          <cell r="BT136" t="str">
            <v>Actual</v>
          </cell>
          <cell r="BU136" t="str">
            <v>Actual</v>
          </cell>
          <cell r="BV136" t="str">
            <v>Actual</v>
          </cell>
          <cell r="BW136" t="str">
            <v>Actual</v>
          </cell>
          <cell r="BX136" t="str">
            <v>Actual</v>
          </cell>
          <cell r="BY136" t="str">
            <v>Actual</v>
          </cell>
          <cell r="BZ136" t="str">
            <v>Cum_Actu</v>
          </cell>
          <cell r="CA136" t="str">
            <v>Cum_Actu</v>
          </cell>
          <cell r="CB136" t="str">
            <v>Cum_Actu</v>
          </cell>
          <cell r="CC136" t="str">
            <v>Cum_Actu</v>
          </cell>
          <cell r="CD136" t="str">
            <v>Cum_Actu</v>
          </cell>
          <cell r="CE136" t="str">
            <v>Cum_Actu</v>
          </cell>
          <cell r="CF136" t="str">
            <v>Cum_Actu</v>
          </cell>
          <cell r="CG136" t="str">
            <v>Cum_Actu</v>
          </cell>
          <cell r="CH136" t="str">
            <v>Cum_Actu</v>
          </cell>
          <cell r="CI136" t="str">
            <v>Cum_Actu</v>
          </cell>
          <cell r="CJ136" t="str">
            <v>Cum_Actu</v>
          </cell>
          <cell r="CK136" t="str">
            <v>Cum_Actu</v>
          </cell>
        </row>
        <row r="137">
          <cell r="BM137" t="str">
            <v>CODE</v>
          </cell>
          <cell r="BN137">
            <v>41285</v>
          </cell>
          <cell r="BO137">
            <v>41316</v>
          </cell>
          <cell r="BP137">
            <v>41344</v>
          </cell>
          <cell r="BQ137">
            <v>41375</v>
          </cell>
          <cell r="BR137">
            <v>41405</v>
          </cell>
          <cell r="BS137">
            <v>41436</v>
          </cell>
          <cell r="BT137">
            <v>41466</v>
          </cell>
          <cell r="BU137">
            <v>41497</v>
          </cell>
          <cell r="BV137">
            <v>41528</v>
          </cell>
          <cell r="BW137">
            <v>41558</v>
          </cell>
          <cell r="BX137">
            <v>41589</v>
          </cell>
          <cell r="BY137">
            <v>41619</v>
          </cell>
          <cell r="BZ137">
            <v>41285</v>
          </cell>
          <cell r="CA137">
            <v>41316</v>
          </cell>
          <cell r="CB137">
            <v>41344</v>
          </cell>
          <cell r="CC137">
            <v>41375</v>
          </cell>
          <cell r="CD137">
            <v>41405</v>
          </cell>
          <cell r="CE137">
            <v>41436</v>
          </cell>
          <cell r="CF137">
            <v>41466</v>
          </cell>
          <cell r="CG137">
            <v>41497</v>
          </cell>
          <cell r="CH137">
            <v>41528</v>
          </cell>
          <cell r="CI137">
            <v>41558</v>
          </cell>
          <cell r="CJ137">
            <v>41589</v>
          </cell>
          <cell r="CK137">
            <v>41619</v>
          </cell>
        </row>
        <row r="138">
          <cell r="BM138" t="str">
            <v>CA01</v>
          </cell>
          <cell r="BN138">
            <v>0.09</v>
          </cell>
          <cell r="BO138">
            <v>0.09</v>
          </cell>
          <cell r="BP138">
            <v>7.0000000000000007E-2</v>
          </cell>
          <cell r="BQ138">
            <v>0.09</v>
          </cell>
          <cell r="BR138">
            <v>0.09</v>
          </cell>
          <cell r="BS138">
            <v>-0.10999999999999999</v>
          </cell>
          <cell r="BT138">
            <v>0.09</v>
          </cell>
          <cell r="BU138">
            <v>0.09</v>
          </cell>
          <cell r="BV138">
            <v>7.0000000000000007E-2</v>
          </cell>
          <cell r="BW138">
            <v>0.09</v>
          </cell>
          <cell r="BX138">
            <v>0.09</v>
          </cell>
          <cell r="BY138">
            <v>7.0000000000000007E-2</v>
          </cell>
          <cell r="BZ138">
            <v>0.09</v>
          </cell>
          <cell r="CA138">
            <v>0.18</v>
          </cell>
          <cell r="CB138">
            <v>0.25</v>
          </cell>
          <cell r="CC138">
            <v>0.33999999999999997</v>
          </cell>
          <cell r="CD138">
            <v>0.42999999999999994</v>
          </cell>
          <cell r="CE138">
            <v>0.31999999999999995</v>
          </cell>
          <cell r="CF138">
            <v>0.40999999999999992</v>
          </cell>
          <cell r="CG138">
            <v>0.49999999999999989</v>
          </cell>
          <cell r="CH138">
            <v>0.56999999999999984</v>
          </cell>
          <cell r="CI138">
            <v>0.65999999999999981</v>
          </cell>
          <cell r="CJ138">
            <v>0.74999999999999978</v>
          </cell>
          <cell r="CK138">
            <v>0.81999999999999984</v>
          </cell>
        </row>
        <row r="139">
          <cell r="BM139" t="str">
            <v>CA02</v>
          </cell>
          <cell r="BN139">
            <v>0.375</v>
          </cell>
          <cell r="BO139">
            <v>0.375</v>
          </cell>
          <cell r="BP139">
            <v>0.375</v>
          </cell>
          <cell r="BQ139">
            <v>0.375</v>
          </cell>
          <cell r="BR139">
            <v>0.375</v>
          </cell>
          <cell r="BS139">
            <v>0.375</v>
          </cell>
          <cell r="BT139">
            <v>0.375</v>
          </cell>
          <cell r="BU139">
            <v>0.375</v>
          </cell>
          <cell r="BV139">
            <v>0.375</v>
          </cell>
          <cell r="BW139">
            <v>0.375</v>
          </cell>
          <cell r="BX139">
            <v>0.375</v>
          </cell>
          <cell r="BY139">
            <v>0.375</v>
          </cell>
          <cell r="BZ139">
            <v>0.375</v>
          </cell>
          <cell r="CA139">
            <v>0.75</v>
          </cell>
          <cell r="CB139">
            <v>1.125</v>
          </cell>
          <cell r="CC139">
            <v>1.5</v>
          </cell>
          <cell r="CD139">
            <v>1.875</v>
          </cell>
          <cell r="CE139">
            <v>2.25</v>
          </cell>
          <cell r="CF139">
            <v>2.625</v>
          </cell>
          <cell r="CG139">
            <v>3</v>
          </cell>
          <cell r="CH139">
            <v>3.375</v>
          </cell>
          <cell r="CI139">
            <v>3.75</v>
          </cell>
          <cell r="CJ139">
            <v>4.125</v>
          </cell>
          <cell r="CK139">
            <v>4.5</v>
          </cell>
        </row>
        <row r="140">
          <cell r="BM140" t="str">
            <v>CA03</v>
          </cell>
          <cell r="BN140">
            <v>3.25</v>
          </cell>
          <cell r="BO140">
            <v>3.25</v>
          </cell>
          <cell r="BP140">
            <v>3.25</v>
          </cell>
          <cell r="BQ140">
            <v>3.25</v>
          </cell>
          <cell r="BR140">
            <v>3.25</v>
          </cell>
          <cell r="BS140">
            <v>3.25</v>
          </cell>
          <cell r="BT140">
            <v>3.25</v>
          </cell>
          <cell r="BU140">
            <v>3.25</v>
          </cell>
          <cell r="BV140">
            <v>3.25</v>
          </cell>
          <cell r="BW140">
            <v>3.25</v>
          </cell>
          <cell r="BX140">
            <v>3.25</v>
          </cell>
          <cell r="BY140">
            <v>3.25</v>
          </cell>
          <cell r="BZ140">
            <v>3.25</v>
          </cell>
          <cell r="CA140">
            <v>6.5</v>
          </cell>
          <cell r="CB140">
            <v>9.75</v>
          </cell>
          <cell r="CC140">
            <v>13</v>
          </cell>
          <cell r="CD140">
            <v>16.25</v>
          </cell>
          <cell r="CE140">
            <v>19.5</v>
          </cell>
          <cell r="CF140">
            <v>22.75</v>
          </cell>
          <cell r="CG140">
            <v>26</v>
          </cell>
          <cell r="CH140">
            <v>29.25</v>
          </cell>
          <cell r="CI140">
            <v>32.5</v>
          </cell>
          <cell r="CJ140">
            <v>35.75</v>
          </cell>
          <cell r="CK140">
            <v>39</v>
          </cell>
        </row>
        <row r="141">
          <cell r="BM141" t="str">
            <v>CA04</v>
          </cell>
          <cell r="BN141">
            <v>3.6483333333333334</v>
          </cell>
          <cell r="BO141">
            <v>3.3483333333333336</v>
          </cell>
          <cell r="BP141">
            <v>3.3483333333333336</v>
          </cell>
          <cell r="BQ141">
            <v>3.3483333333333336</v>
          </cell>
          <cell r="BR141">
            <v>8.1483333333333334</v>
          </cell>
          <cell r="BS141">
            <v>3.6483333333333334</v>
          </cell>
          <cell r="BT141">
            <v>3.6483333333333334</v>
          </cell>
          <cell r="BU141">
            <v>3.6483333333333334</v>
          </cell>
          <cell r="BV141">
            <v>3.6483333333333334</v>
          </cell>
          <cell r="BW141">
            <v>3.6483333333333334</v>
          </cell>
          <cell r="BX141">
            <v>3.6483333333333334</v>
          </cell>
          <cell r="BY141">
            <v>8.1283333333333303</v>
          </cell>
          <cell r="BZ141">
            <v>3.6483333333333334</v>
          </cell>
          <cell r="CA141">
            <v>6.996666666666667</v>
          </cell>
          <cell r="CB141">
            <v>10.345000000000001</v>
          </cell>
          <cell r="CC141">
            <v>13.693333333333335</v>
          </cell>
          <cell r="CD141">
            <v>21.841666666666669</v>
          </cell>
          <cell r="CE141">
            <v>25.490000000000002</v>
          </cell>
          <cell r="CF141">
            <v>29.138333333333335</v>
          </cell>
          <cell r="CG141">
            <v>32.786666666666669</v>
          </cell>
          <cell r="CH141">
            <v>36.435000000000002</v>
          </cell>
          <cell r="CI141">
            <v>40.083333333333336</v>
          </cell>
          <cell r="CJ141">
            <v>43.731666666666669</v>
          </cell>
          <cell r="CK141">
            <v>51.86</v>
          </cell>
        </row>
        <row r="142">
          <cell r="BM142" t="str">
            <v>CA05</v>
          </cell>
          <cell r="BN142">
            <v>4.1666666666666664E-2</v>
          </cell>
          <cell r="BO142">
            <v>4.1666666666666664E-2</v>
          </cell>
          <cell r="BP142">
            <v>0.06</v>
          </cell>
          <cell r="BQ142">
            <v>4.1666666666666664E-2</v>
          </cell>
          <cell r="BR142">
            <v>4.1666666666666664E-2</v>
          </cell>
          <cell r="BS142">
            <v>-4.5013333333333294E-2</v>
          </cell>
          <cell r="BT142">
            <v>4.1666666666666664E-2</v>
          </cell>
          <cell r="BU142">
            <v>4.1666666666666664E-2</v>
          </cell>
          <cell r="BV142">
            <v>4.1666666666666664E-2</v>
          </cell>
          <cell r="BW142">
            <v>4.1666666666666664E-2</v>
          </cell>
          <cell r="BX142">
            <v>4.1666666666666664E-2</v>
          </cell>
          <cell r="BY142">
            <v>0.53</v>
          </cell>
          <cell r="BZ142">
            <v>4.1666666666666664E-2</v>
          </cell>
          <cell r="CA142">
            <v>8.3333333333333329E-2</v>
          </cell>
          <cell r="CB142">
            <v>0.14333333333333331</v>
          </cell>
          <cell r="CC142">
            <v>0.18499999999999997</v>
          </cell>
          <cell r="CD142">
            <v>0.22666666666666663</v>
          </cell>
          <cell r="CE142">
            <v>0.18165333333333333</v>
          </cell>
          <cell r="CF142">
            <v>0.22331999999999999</v>
          </cell>
          <cell r="CG142">
            <v>0.26498666666666665</v>
          </cell>
          <cell r="CH142">
            <v>0.30665333333333333</v>
          </cell>
          <cell r="CI142">
            <v>0.34832000000000002</v>
          </cell>
          <cell r="CJ142">
            <v>0.3899866666666667</v>
          </cell>
          <cell r="CK142">
            <v>0.91998666666666673</v>
          </cell>
        </row>
        <row r="143">
          <cell r="BM143" t="str">
            <v>CA06</v>
          </cell>
          <cell r="BN143">
            <v>0.18333333333333329</v>
          </cell>
          <cell r="BO143">
            <v>0.18333333333333329</v>
          </cell>
          <cell r="BP143">
            <v>0.18333333333333329</v>
          </cell>
          <cell r="BQ143">
            <v>0.18333333333333329</v>
          </cell>
          <cell r="BR143">
            <v>0.18333333333333329</v>
          </cell>
          <cell r="BS143">
            <v>8.3333333333332982E-2</v>
          </cell>
          <cell r="BT143">
            <v>0.18333333333333329</v>
          </cell>
          <cell r="BU143">
            <v>0.18333333333333329</v>
          </cell>
          <cell r="BV143">
            <v>0.18333333333333329</v>
          </cell>
          <cell r="BW143">
            <v>0.18333333333333329</v>
          </cell>
          <cell r="BX143">
            <v>0.18333333333333329</v>
          </cell>
          <cell r="BY143">
            <v>0.18333333333333329</v>
          </cell>
          <cell r="BZ143">
            <v>0.18333333333333329</v>
          </cell>
          <cell r="CA143">
            <v>0.36666666666666659</v>
          </cell>
          <cell r="CB143">
            <v>0.54999999999999982</v>
          </cell>
          <cell r="CC143">
            <v>0.73333333333333317</v>
          </cell>
          <cell r="CD143">
            <v>0.91666666666666652</v>
          </cell>
          <cell r="CE143">
            <v>0.99999999999999956</v>
          </cell>
          <cell r="CF143">
            <v>1.1833333333333329</v>
          </cell>
          <cell r="CG143">
            <v>1.3666666666666663</v>
          </cell>
          <cell r="CH143">
            <v>1.5499999999999996</v>
          </cell>
          <cell r="CI143">
            <v>1.7333333333333329</v>
          </cell>
          <cell r="CJ143">
            <v>1.9166666666666663</v>
          </cell>
          <cell r="CK143">
            <v>2.0999999999999996</v>
          </cell>
        </row>
        <row r="144">
          <cell r="BM144" t="str">
            <v>CA07</v>
          </cell>
          <cell r="BN144">
            <v>0.16666666666666666</v>
          </cell>
          <cell r="BO144">
            <v>0.14666666666666667</v>
          </cell>
          <cell r="BP144">
            <v>0.14666666666666667</v>
          </cell>
          <cell r="BQ144">
            <v>0.14666666666666667</v>
          </cell>
          <cell r="BR144">
            <v>0.16666666666666666</v>
          </cell>
          <cell r="BS144">
            <v>0.16666666666666666</v>
          </cell>
          <cell r="BT144">
            <v>0.16666666666666666</v>
          </cell>
          <cell r="BU144">
            <v>0.16666666666666666</v>
          </cell>
          <cell r="BV144">
            <v>0.16666666666666666</v>
          </cell>
          <cell r="BW144">
            <v>0.16666666666666666</v>
          </cell>
          <cell r="BX144">
            <v>0.16666666666666666</v>
          </cell>
          <cell r="BY144">
            <v>0.16666666666666666</v>
          </cell>
          <cell r="BZ144">
            <v>0.16666666666666666</v>
          </cell>
          <cell r="CA144">
            <v>0.31333333333333335</v>
          </cell>
          <cell r="CB144">
            <v>0.46</v>
          </cell>
          <cell r="CC144">
            <v>0.60666666666666669</v>
          </cell>
          <cell r="CD144">
            <v>0.77333333333333332</v>
          </cell>
          <cell r="CE144">
            <v>0.94</v>
          </cell>
          <cell r="CF144">
            <v>1.1066666666666667</v>
          </cell>
          <cell r="CG144">
            <v>1.2733333333333334</v>
          </cell>
          <cell r="CH144">
            <v>1.4400000000000002</v>
          </cell>
          <cell r="CI144">
            <v>1.6066666666666669</v>
          </cell>
          <cell r="CJ144">
            <v>1.7733333333333337</v>
          </cell>
          <cell r="CK144">
            <v>1.9400000000000004</v>
          </cell>
        </row>
        <row r="145">
          <cell r="BM145" t="str">
            <v>CA08</v>
          </cell>
          <cell r="BN145">
            <v>0.77099999999999991</v>
          </cell>
          <cell r="BO145">
            <v>0.77099999999999991</v>
          </cell>
          <cell r="BP145">
            <v>0.77099999999999991</v>
          </cell>
          <cell r="BQ145">
            <v>0.77099999999999991</v>
          </cell>
          <cell r="BR145">
            <v>0.77099999999999991</v>
          </cell>
          <cell r="BS145">
            <v>0.77099999999999991</v>
          </cell>
          <cell r="BT145">
            <v>0.77099999999999991</v>
          </cell>
          <cell r="BU145">
            <v>0.77099999999999991</v>
          </cell>
          <cell r="BV145">
            <v>0.77099999999999991</v>
          </cell>
          <cell r="BW145">
            <v>0.77099999999999991</v>
          </cell>
          <cell r="BX145">
            <v>0.77099999999999991</v>
          </cell>
          <cell r="BY145">
            <v>0.77099999999999991</v>
          </cell>
          <cell r="BZ145">
            <v>0.77099999999999991</v>
          </cell>
          <cell r="CA145">
            <v>1.5419999999999998</v>
          </cell>
          <cell r="CB145">
            <v>2.3129999999999997</v>
          </cell>
          <cell r="CC145">
            <v>3.0839999999999996</v>
          </cell>
          <cell r="CD145">
            <v>3.8549999999999995</v>
          </cell>
          <cell r="CE145">
            <v>4.6259999999999994</v>
          </cell>
          <cell r="CF145">
            <v>5.3969999999999994</v>
          </cell>
          <cell r="CG145">
            <v>6.1679999999999993</v>
          </cell>
          <cell r="CH145">
            <v>6.9389999999999992</v>
          </cell>
          <cell r="CI145">
            <v>7.7099999999999991</v>
          </cell>
          <cell r="CJ145">
            <v>8.4809999999999981</v>
          </cell>
          <cell r="CK145">
            <v>9.2519999999999989</v>
          </cell>
        </row>
        <row r="146">
          <cell r="BM146" t="str">
            <v>CA09</v>
          </cell>
          <cell r="BN146">
            <v>0.70000000000000007</v>
          </cell>
          <cell r="BO146">
            <v>0.70000000000000007</v>
          </cell>
          <cell r="BP146">
            <v>0.70000000000000007</v>
          </cell>
          <cell r="BQ146">
            <v>0.70000000000000007</v>
          </cell>
          <cell r="BR146">
            <v>0.70000000000000007</v>
          </cell>
          <cell r="BS146">
            <v>0.70000000000000007</v>
          </cell>
          <cell r="BT146">
            <v>0.70000000000000007</v>
          </cell>
          <cell r="BU146">
            <v>0.70000000000000007</v>
          </cell>
          <cell r="BV146">
            <v>0.70000000000000007</v>
          </cell>
          <cell r="BW146">
            <v>0.70000000000000007</v>
          </cell>
          <cell r="BX146">
            <v>0.70000000000000007</v>
          </cell>
          <cell r="BY146">
            <v>0.70000000000000007</v>
          </cell>
          <cell r="BZ146">
            <v>0.70000000000000007</v>
          </cell>
          <cell r="CA146">
            <v>1.4000000000000001</v>
          </cell>
          <cell r="CB146">
            <v>2.1</v>
          </cell>
          <cell r="CC146">
            <v>2.8000000000000003</v>
          </cell>
          <cell r="CD146">
            <v>3.5000000000000004</v>
          </cell>
          <cell r="CE146">
            <v>4.2</v>
          </cell>
          <cell r="CF146">
            <v>4.9000000000000004</v>
          </cell>
          <cell r="CG146">
            <v>5.6000000000000005</v>
          </cell>
          <cell r="CH146">
            <v>6.3000000000000007</v>
          </cell>
          <cell r="CI146">
            <v>7.0000000000000009</v>
          </cell>
          <cell r="CJ146">
            <v>7.7000000000000011</v>
          </cell>
          <cell r="CK146">
            <v>8.4</v>
          </cell>
        </row>
        <row r="147">
          <cell r="BM147" t="str">
            <v>CA10</v>
          </cell>
          <cell r="BN147">
            <v>0</v>
          </cell>
          <cell r="BO147">
            <v>0</v>
          </cell>
          <cell r="BP147">
            <v>6.74</v>
          </cell>
          <cell r="BQ147">
            <v>6.74</v>
          </cell>
          <cell r="BR147">
            <v>6.74</v>
          </cell>
          <cell r="BS147">
            <v>6.74</v>
          </cell>
          <cell r="BT147">
            <v>6.74</v>
          </cell>
          <cell r="BU147">
            <v>9.26</v>
          </cell>
          <cell r="BV147">
            <v>6.74</v>
          </cell>
          <cell r="BW147">
            <v>6.74</v>
          </cell>
          <cell r="BX147">
            <v>6.74</v>
          </cell>
          <cell r="BY147">
            <v>6.74</v>
          </cell>
          <cell r="BZ147">
            <v>0</v>
          </cell>
          <cell r="CA147">
            <v>0</v>
          </cell>
          <cell r="CB147">
            <v>6.74</v>
          </cell>
          <cell r="CC147">
            <v>13.48</v>
          </cell>
          <cell r="CD147">
            <v>20.22</v>
          </cell>
          <cell r="CE147">
            <v>26.96</v>
          </cell>
          <cell r="CF147">
            <v>33.700000000000003</v>
          </cell>
          <cell r="CG147">
            <v>42.96</v>
          </cell>
          <cell r="CH147">
            <v>49.7</v>
          </cell>
          <cell r="CI147">
            <v>56.440000000000005</v>
          </cell>
          <cell r="CJ147">
            <v>63.180000000000007</v>
          </cell>
          <cell r="CK147">
            <v>69.92</v>
          </cell>
        </row>
        <row r="148">
          <cell r="BN148">
            <v>9.2259999999999991</v>
          </cell>
          <cell r="BO148">
            <v>8.9059999999999988</v>
          </cell>
          <cell r="BP148">
            <v>15.644333333333332</v>
          </cell>
          <cell r="BQ148">
            <v>15.645999999999999</v>
          </cell>
          <cell r="BR148">
            <v>20.466000000000001</v>
          </cell>
          <cell r="BS148">
            <v>15.579320000000001</v>
          </cell>
          <cell r="BT148">
            <v>15.965999999999999</v>
          </cell>
          <cell r="BU148">
            <v>18.485999999999997</v>
          </cell>
          <cell r="BV148">
            <v>15.946</v>
          </cell>
          <cell r="BW148">
            <v>15.965999999999999</v>
          </cell>
          <cell r="BX148">
            <v>15.965999999999999</v>
          </cell>
          <cell r="BY148">
            <v>20.914333333333332</v>
          </cell>
          <cell r="BZ148">
            <v>9.2259999999999991</v>
          </cell>
          <cell r="CA148">
            <v>18.131999999999998</v>
          </cell>
          <cell r="CB148">
            <v>33.776333333333334</v>
          </cell>
          <cell r="CC148">
            <v>49.422333333333327</v>
          </cell>
          <cell r="CD148">
            <v>69.888333333333321</v>
          </cell>
          <cell r="CE148">
            <v>85.467653333333345</v>
          </cell>
          <cell r="CF148">
            <v>101.43365333333334</v>
          </cell>
          <cell r="CG148">
            <v>119.91965333333334</v>
          </cell>
          <cell r="CH148">
            <v>135.86565333333331</v>
          </cell>
          <cell r="CI148">
            <v>151.83165333333335</v>
          </cell>
          <cell r="CJ148">
            <v>167.79765333333336</v>
          </cell>
          <cell r="CK148">
            <v>188.71198666666669</v>
          </cell>
        </row>
        <row r="162">
          <cell r="BN162" t="str">
            <v>Actual</v>
          </cell>
          <cell r="BO162" t="str">
            <v>Actual</v>
          </cell>
          <cell r="BP162" t="str">
            <v>Actual</v>
          </cell>
          <cell r="BQ162" t="str">
            <v>Actual</v>
          </cell>
          <cell r="BR162" t="str">
            <v>Actual</v>
          </cell>
          <cell r="BS162" t="str">
            <v>Actual</v>
          </cell>
          <cell r="BT162" t="str">
            <v>Actual</v>
          </cell>
          <cell r="BU162" t="str">
            <v>Actual</v>
          </cell>
          <cell r="BV162" t="str">
            <v>Actual</v>
          </cell>
          <cell r="BW162" t="str">
            <v>Actual</v>
          </cell>
          <cell r="BX162" t="str">
            <v>Actual</v>
          </cell>
          <cell r="BY162" t="str">
            <v>Actual</v>
          </cell>
          <cell r="BZ162" t="str">
            <v>Cum_Actu</v>
          </cell>
          <cell r="CA162" t="str">
            <v>Cum_Actu</v>
          </cell>
          <cell r="CB162" t="str">
            <v>Cum_Actu</v>
          </cell>
          <cell r="CC162" t="str">
            <v>Cum_Actu</v>
          </cell>
          <cell r="CD162" t="str">
            <v>Cum_Actu</v>
          </cell>
          <cell r="CE162" t="str">
            <v>Cum_Actu</v>
          </cell>
          <cell r="CF162" t="str">
            <v>Cum_Actu</v>
          </cell>
          <cell r="CG162" t="str">
            <v>Cum_Actu</v>
          </cell>
          <cell r="CH162" t="str">
            <v>Cum_Actu</v>
          </cell>
          <cell r="CI162" t="str">
            <v>Cum_Actu</v>
          </cell>
          <cell r="CJ162" t="str">
            <v>Cum_Actu</v>
          </cell>
          <cell r="CK162" t="str">
            <v>Cum_Actu</v>
          </cell>
        </row>
        <row r="163">
          <cell r="BM163" t="str">
            <v>CODE</v>
          </cell>
          <cell r="BN163">
            <v>41285</v>
          </cell>
          <cell r="BO163">
            <v>41316</v>
          </cell>
          <cell r="BP163">
            <v>41344</v>
          </cell>
          <cell r="BQ163">
            <v>41375</v>
          </cell>
          <cell r="BR163">
            <v>41405</v>
          </cell>
          <cell r="BS163">
            <v>41436</v>
          </cell>
          <cell r="BT163">
            <v>41466</v>
          </cell>
          <cell r="BU163">
            <v>41497</v>
          </cell>
          <cell r="BV163">
            <v>41528</v>
          </cell>
          <cell r="BW163">
            <v>41558</v>
          </cell>
          <cell r="BX163">
            <v>41589</v>
          </cell>
          <cell r="BY163">
            <v>41619</v>
          </cell>
          <cell r="BZ163">
            <v>41285</v>
          </cell>
          <cell r="CA163">
            <v>41316</v>
          </cell>
          <cell r="CB163">
            <v>41344</v>
          </cell>
          <cell r="CC163">
            <v>41375</v>
          </cell>
          <cell r="CD163">
            <v>41405</v>
          </cell>
          <cell r="CE163">
            <v>41436</v>
          </cell>
          <cell r="CF163">
            <v>41466</v>
          </cell>
          <cell r="CG163">
            <v>41497</v>
          </cell>
          <cell r="CH163">
            <v>41528</v>
          </cell>
          <cell r="CI163">
            <v>41558</v>
          </cell>
          <cell r="CJ163">
            <v>41589</v>
          </cell>
          <cell r="CK163">
            <v>41619</v>
          </cell>
        </row>
        <row r="164">
          <cell r="BM164" t="str">
            <v>CD01</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row>
        <row r="165">
          <cell r="BM165" t="str">
            <v>CD02</v>
          </cell>
          <cell r="BN165">
            <v>2.0833333333333335</v>
          </cell>
          <cell r="BO165">
            <v>2.0833333333333335</v>
          </cell>
          <cell r="BP165">
            <v>2.0833333333333335</v>
          </cell>
          <cell r="BQ165">
            <v>2.0833333333333335</v>
          </cell>
          <cell r="BR165">
            <v>2.0833333333333335</v>
          </cell>
          <cell r="BS165">
            <v>2.0833333333333335</v>
          </cell>
          <cell r="BT165">
            <v>-0.46666666666666989</v>
          </cell>
          <cell r="BU165">
            <v>-6.2466666666666697</v>
          </cell>
          <cell r="BV165">
            <v>3.3333333333298576E-3</v>
          </cell>
          <cell r="BW165">
            <v>3.3333333333298576E-3</v>
          </cell>
          <cell r="BX165">
            <v>0</v>
          </cell>
          <cell r="BY165">
            <v>0</v>
          </cell>
          <cell r="BZ165">
            <v>2.0833333333333335</v>
          </cell>
          <cell r="CA165">
            <v>4.166666666666667</v>
          </cell>
          <cell r="CB165">
            <v>6.25</v>
          </cell>
          <cell r="CC165">
            <v>8.3333333333333339</v>
          </cell>
          <cell r="CD165">
            <v>10.416666666666668</v>
          </cell>
          <cell r="CE165">
            <v>12.500000000000002</v>
          </cell>
          <cell r="CF165">
            <v>12.033333333333331</v>
          </cell>
          <cell r="CG165">
            <v>5.7866666666666617</v>
          </cell>
          <cell r="CH165">
            <v>5.789999999999992</v>
          </cell>
          <cell r="CI165">
            <v>5.7933333333333223</v>
          </cell>
          <cell r="CJ165">
            <v>5.7933333333333223</v>
          </cell>
          <cell r="CK165">
            <v>5.7933333333333223</v>
          </cell>
        </row>
        <row r="166">
          <cell r="BM166" t="str">
            <v>CD03</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row>
        <row r="167">
          <cell r="BM167" t="str">
            <v>CD04</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row>
        <row r="168">
          <cell r="BM168" t="str">
            <v>CD05</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row>
        <row r="169">
          <cell r="BM169" t="str">
            <v>CD06</v>
          </cell>
          <cell r="BN169">
            <v>1.38</v>
          </cell>
          <cell r="BO169">
            <v>1.38</v>
          </cell>
          <cell r="BP169">
            <v>1.38</v>
          </cell>
          <cell r="BQ169">
            <v>1.38</v>
          </cell>
          <cell r="BR169">
            <v>1.38</v>
          </cell>
          <cell r="BS169">
            <v>1.38</v>
          </cell>
          <cell r="BT169">
            <v>1.38</v>
          </cell>
          <cell r="BU169">
            <v>1.38</v>
          </cell>
          <cell r="BV169">
            <v>1.38</v>
          </cell>
          <cell r="BW169">
            <v>1.38</v>
          </cell>
          <cell r="BX169">
            <v>1.38</v>
          </cell>
          <cell r="BY169">
            <v>1.3</v>
          </cell>
          <cell r="BZ169">
            <v>1.38</v>
          </cell>
          <cell r="CA169">
            <v>2.76</v>
          </cell>
          <cell r="CB169">
            <v>4.1399999999999997</v>
          </cell>
          <cell r="CC169">
            <v>5.52</v>
          </cell>
          <cell r="CD169">
            <v>6.8999999999999995</v>
          </cell>
          <cell r="CE169">
            <v>8.2799999999999994</v>
          </cell>
          <cell r="CF169">
            <v>9.66</v>
          </cell>
          <cell r="CG169">
            <v>11.04</v>
          </cell>
          <cell r="CH169">
            <v>12.419999999999998</v>
          </cell>
          <cell r="CI169">
            <v>13.799999999999997</v>
          </cell>
          <cell r="CJ169">
            <v>15.179999999999996</v>
          </cell>
          <cell r="CK169">
            <v>16.479999999999997</v>
          </cell>
        </row>
        <row r="170">
          <cell r="BM170" t="str">
            <v>CD07</v>
          </cell>
          <cell r="BN170">
            <v>6</v>
          </cell>
          <cell r="BO170">
            <v>6</v>
          </cell>
          <cell r="BP170">
            <v>6</v>
          </cell>
          <cell r="BQ170">
            <v>6</v>
          </cell>
          <cell r="BR170">
            <v>6</v>
          </cell>
          <cell r="BS170">
            <v>6</v>
          </cell>
          <cell r="BT170">
            <v>4</v>
          </cell>
          <cell r="BU170">
            <v>6</v>
          </cell>
          <cell r="BV170">
            <v>6</v>
          </cell>
          <cell r="BW170">
            <v>6</v>
          </cell>
          <cell r="BX170">
            <v>6</v>
          </cell>
          <cell r="BY170">
            <v>6</v>
          </cell>
          <cell r="BZ170">
            <v>6</v>
          </cell>
          <cell r="CA170">
            <v>12</v>
          </cell>
          <cell r="CB170">
            <v>18</v>
          </cell>
          <cell r="CC170">
            <v>24</v>
          </cell>
          <cell r="CD170">
            <v>30</v>
          </cell>
          <cell r="CE170">
            <v>36</v>
          </cell>
          <cell r="CF170">
            <v>40</v>
          </cell>
          <cell r="CG170">
            <v>46</v>
          </cell>
          <cell r="CH170">
            <v>52</v>
          </cell>
          <cell r="CI170">
            <v>58</v>
          </cell>
          <cell r="CJ170">
            <v>64</v>
          </cell>
          <cell r="CK170">
            <v>70</v>
          </cell>
        </row>
        <row r="171">
          <cell r="BM171" t="str">
            <v>CD08</v>
          </cell>
          <cell r="BN171">
            <v>1.4</v>
          </cell>
          <cell r="BO171">
            <v>1.4</v>
          </cell>
          <cell r="BP171">
            <v>1.4</v>
          </cell>
          <cell r="BQ171">
            <v>1.4</v>
          </cell>
          <cell r="BR171">
            <v>1.4</v>
          </cell>
          <cell r="BS171">
            <v>6.1300000000000008</v>
          </cell>
          <cell r="BT171">
            <v>1.4</v>
          </cell>
          <cell r="BU171">
            <v>1.4</v>
          </cell>
          <cell r="BV171">
            <v>1.4</v>
          </cell>
          <cell r="BW171">
            <v>1.4</v>
          </cell>
          <cell r="BX171">
            <v>1.4</v>
          </cell>
          <cell r="BY171">
            <v>3.4</v>
          </cell>
          <cell r="BZ171">
            <v>1.4</v>
          </cell>
          <cell r="CA171">
            <v>2.8</v>
          </cell>
          <cell r="CB171">
            <v>4.1999999999999993</v>
          </cell>
          <cell r="CC171">
            <v>5.6</v>
          </cell>
          <cell r="CD171">
            <v>7</v>
          </cell>
          <cell r="CE171">
            <v>13.13</v>
          </cell>
          <cell r="CF171">
            <v>14.530000000000001</v>
          </cell>
          <cell r="CG171">
            <v>15.930000000000001</v>
          </cell>
          <cell r="CH171">
            <v>17.330000000000002</v>
          </cell>
          <cell r="CI171">
            <v>18.73</v>
          </cell>
          <cell r="CJ171">
            <v>20.13</v>
          </cell>
          <cell r="CK171">
            <v>23.529999999999998</v>
          </cell>
        </row>
        <row r="172">
          <cell r="BM172" t="str">
            <v>CD09</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row>
        <row r="173">
          <cell r="BM173" t="str">
            <v>CD10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row>
        <row r="174">
          <cell r="BM174" t="str">
            <v>CD11</v>
          </cell>
          <cell r="BN174">
            <v>78.9173440502706</v>
          </cell>
          <cell r="BO174">
            <v>77.69601387711802</v>
          </cell>
          <cell r="BP174">
            <v>56.796290945543397</v>
          </cell>
          <cell r="BQ174">
            <v>81.083698598545013</v>
          </cell>
          <cell r="BR174">
            <v>78.941103823392012</v>
          </cell>
          <cell r="BS174">
            <v>23.638962501235696</v>
          </cell>
          <cell r="BT174">
            <v>68.705473605265894</v>
          </cell>
          <cell r="BU174">
            <v>52.335851715599311</v>
          </cell>
          <cell r="BV174">
            <v>57.515091997054093</v>
          </cell>
          <cell r="BW174">
            <v>49.92991784390221</v>
          </cell>
          <cell r="BX174">
            <v>58.660000000000011</v>
          </cell>
          <cell r="BY174">
            <v>24.4</v>
          </cell>
          <cell r="BZ174">
            <v>78.9173440502706</v>
          </cell>
          <cell r="CA174">
            <v>156.61335792738862</v>
          </cell>
          <cell r="CB174">
            <v>213.40964887293202</v>
          </cell>
          <cell r="CC174">
            <v>294.49334747147702</v>
          </cell>
          <cell r="CD174">
            <v>373.43445129486906</v>
          </cell>
          <cell r="CE174">
            <v>397.07341379610477</v>
          </cell>
          <cell r="CF174">
            <v>465.77888740137064</v>
          </cell>
          <cell r="CG174">
            <v>518.11473911696999</v>
          </cell>
          <cell r="CH174">
            <v>575.62983111402411</v>
          </cell>
          <cell r="CI174">
            <v>625.55974895792633</v>
          </cell>
          <cell r="CJ174">
            <v>684.2197489579263</v>
          </cell>
          <cell r="CK174">
            <v>708.61974895792628</v>
          </cell>
        </row>
        <row r="175">
          <cell r="BM175" t="str">
            <v>CD12</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row>
        <row r="176">
          <cell r="BM176" t="str">
            <v>CD13</v>
          </cell>
          <cell r="BN176">
            <v>1.5</v>
          </cell>
          <cell r="BO176">
            <v>1.5</v>
          </cell>
          <cell r="BP176">
            <v>1.5</v>
          </cell>
          <cell r="BQ176">
            <v>1.5</v>
          </cell>
          <cell r="BR176">
            <v>1.5</v>
          </cell>
          <cell r="BS176">
            <v>1.5</v>
          </cell>
          <cell r="BT176">
            <v>1.5</v>
          </cell>
          <cell r="BU176">
            <v>1.5</v>
          </cell>
          <cell r="BV176">
            <v>1.5</v>
          </cell>
          <cell r="BW176">
            <v>1.5</v>
          </cell>
          <cell r="BX176">
            <v>1.5</v>
          </cell>
          <cell r="BY176">
            <v>-0.5</v>
          </cell>
          <cell r="BZ176">
            <v>1.5</v>
          </cell>
          <cell r="CA176">
            <v>3</v>
          </cell>
          <cell r="CB176">
            <v>4.5</v>
          </cell>
          <cell r="CC176">
            <v>6</v>
          </cell>
          <cell r="CD176">
            <v>7.5</v>
          </cell>
          <cell r="CE176">
            <v>9</v>
          </cell>
          <cell r="CF176">
            <v>10.5</v>
          </cell>
          <cell r="CG176">
            <v>12</v>
          </cell>
          <cell r="CH176">
            <v>13.5</v>
          </cell>
          <cell r="CI176">
            <v>15</v>
          </cell>
          <cell r="CJ176">
            <v>16.5</v>
          </cell>
          <cell r="CK176">
            <v>16</v>
          </cell>
        </row>
        <row r="177">
          <cell r="BM177" t="str">
            <v>CD14</v>
          </cell>
          <cell r="BN177">
            <v>51.069332741071349</v>
          </cell>
          <cell r="BO177">
            <v>50.284555204881592</v>
          </cell>
          <cell r="BP177">
            <v>41.116505855372836</v>
          </cell>
          <cell r="BQ177">
            <v>56.830205797364805</v>
          </cell>
          <cell r="BR177">
            <v>55.445280314785016</v>
          </cell>
          <cell r="BS177">
            <v>50.206837412585202</v>
          </cell>
          <cell r="BT177">
            <v>48.8188844714388</v>
          </cell>
          <cell r="BU177">
            <v>47.7041679768557</v>
          </cell>
          <cell r="BV177">
            <v>45.467600113831097</v>
          </cell>
          <cell r="BW177">
            <v>41.134809218672103</v>
          </cell>
          <cell r="BX177">
            <v>46.21</v>
          </cell>
          <cell r="BY177">
            <v>32.47</v>
          </cell>
          <cell r="BZ177">
            <v>51.069332741071349</v>
          </cell>
          <cell r="CA177">
            <v>101.35388794595295</v>
          </cell>
          <cell r="CB177">
            <v>142.47039380132577</v>
          </cell>
          <cell r="CC177">
            <v>199.30059959869058</v>
          </cell>
          <cell r="CD177">
            <v>254.74587991347559</v>
          </cell>
          <cell r="CE177">
            <v>304.95271732606079</v>
          </cell>
          <cell r="CF177">
            <v>353.77160179749961</v>
          </cell>
          <cell r="CG177">
            <v>401.47576977435529</v>
          </cell>
          <cell r="CH177">
            <v>446.9433698881864</v>
          </cell>
          <cell r="CI177">
            <v>488.0781791068585</v>
          </cell>
          <cell r="CJ177">
            <v>534.28817910685848</v>
          </cell>
          <cell r="CK177">
            <v>566.75817910685851</v>
          </cell>
        </row>
        <row r="178">
          <cell r="BM178" t="str">
            <v>CD15</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row>
        <row r="179">
          <cell r="BM179" t="str">
            <v>CD16</v>
          </cell>
          <cell r="BN179">
            <v>2.8667170318957034</v>
          </cell>
          <cell r="BO179">
            <v>2.9574390381791509</v>
          </cell>
          <cell r="BP179">
            <v>2.4289469231572185</v>
          </cell>
          <cell r="BQ179">
            <v>3.7953043603328518</v>
          </cell>
          <cell r="BR179">
            <v>3.923112891612095</v>
          </cell>
          <cell r="BS179">
            <v>3.3922795220875073</v>
          </cell>
          <cell r="BT179">
            <v>3.2109799477827727</v>
          </cell>
          <cell r="BU179">
            <v>3.3614054188768936</v>
          </cell>
          <cell r="BV179">
            <v>3.5395449077286405</v>
          </cell>
          <cell r="BW179">
            <v>3.5254724818432108</v>
          </cell>
          <cell r="BX179">
            <v>3.4671008917573163</v>
          </cell>
          <cell r="BY179">
            <v>3.3683559749766285</v>
          </cell>
          <cell r="BZ179">
            <v>2.8667170318957034</v>
          </cell>
          <cell r="CA179">
            <v>5.8241560700748547</v>
          </cell>
          <cell r="CB179">
            <v>8.2531029932320727</v>
          </cell>
          <cell r="CC179">
            <v>12.048407353564924</v>
          </cell>
          <cell r="CD179">
            <v>15.971520245177018</v>
          </cell>
          <cell r="CE179">
            <v>19.363799767264524</v>
          </cell>
          <cell r="CF179">
            <v>22.574779715047296</v>
          </cell>
          <cell r="CG179">
            <v>25.936185133924191</v>
          </cell>
          <cell r="CH179">
            <v>29.475730041652831</v>
          </cell>
          <cell r="CI179">
            <v>33.00120252349604</v>
          </cell>
          <cell r="CJ179">
            <v>36.468303415253359</v>
          </cell>
          <cell r="CK179">
            <v>39.83665939022999</v>
          </cell>
        </row>
        <row r="180">
          <cell r="BM180" t="str">
            <v>CD17</v>
          </cell>
          <cell r="BN180">
            <v>0.70166666666666666</v>
          </cell>
          <cell r="BO180">
            <v>0.70166666666666666</v>
          </cell>
          <cell r="BP180">
            <v>0.70166666666666666</v>
          </cell>
          <cell r="BQ180">
            <v>0.70166666666666666</v>
          </cell>
          <cell r="BR180">
            <v>0.70166666666666666</v>
          </cell>
          <cell r="BS180">
            <v>7.1666666666666989E-2</v>
          </cell>
          <cell r="BT180">
            <v>0.70166666666666666</v>
          </cell>
          <cell r="BU180">
            <v>0.70166666666666666</v>
          </cell>
          <cell r="BV180">
            <v>0.70166666666666666</v>
          </cell>
          <cell r="BW180">
            <v>0.70166666666666666</v>
          </cell>
          <cell r="BX180">
            <v>0.70166666666666666</v>
          </cell>
          <cell r="BY180">
            <v>0.06</v>
          </cell>
          <cell r="BZ180">
            <v>0.70166666666666666</v>
          </cell>
          <cell r="CA180">
            <v>1.4033333333333333</v>
          </cell>
          <cell r="CB180">
            <v>2.105</v>
          </cell>
          <cell r="CC180">
            <v>2.8066666666666666</v>
          </cell>
          <cell r="CD180">
            <v>3.5083333333333333</v>
          </cell>
          <cell r="CE180">
            <v>3.58</v>
          </cell>
          <cell r="CF180">
            <v>4.2816666666666663</v>
          </cell>
          <cell r="CG180">
            <v>4.9833333333333325</v>
          </cell>
          <cell r="CH180">
            <v>5.6849999999999987</v>
          </cell>
          <cell r="CI180">
            <v>6.3866666666666649</v>
          </cell>
          <cell r="CJ180">
            <v>7.0883333333333312</v>
          </cell>
          <cell r="CK180">
            <v>7.1483333333333308</v>
          </cell>
        </row>
        <row r="181">
          <cell r="BN181">
            <v>145.91839382323764</v>
          </cell>
          <cell r="BO181">
            <v>144.00300812017875</v>
          </cell>
          <cell r="BP181">
            <v>113.40674372407345</v>
          </cell>
          <cell r="BQ181">
            <v>154.77420875624267</v>
          </cell>
          <cell r="BR181">
            <v>151.37449702978913</v>
          </cell>
          <cell r="BS181">
            <v>94.40307943590841</v>
          </cell>
          <cell r="BT181">
            <v>129.25033802448743</v>
          </cell>
          <cell r="BU181">
            <v>108.13642511133192</v>
          </cell>
          <cell r="BV181">
            <v>117.50723701861382</v>
          </cell>
          <cell r="BW181">
            <v>105.57519954441753</v>
          </cell>
          <cell r="BX181">
            <v>119.31876755842399</v>
          </cell>
          <cell r="BY181">
            <v>70.498355974976619</v>
          </cell>
          <cell r="BZ181">
            <v>145.91839382323764</v>
          </cell>
          <cell r="CA181">
            <v>289.92140194341641</v>
          </cell>
          <cell r="CB181">
            <v>403.32814566748988</v>
          </cell>
          <cell r="CC181">
            <v>558.10235442373244</v>
          </cell>
          <cell r="CD181">
            <v>709.47685145352159</v>
          </cell>
          <cell r="CE181">
            <v>803.87993088943006</v>
          </cell>
          <cell r="CF181">
            <v>933.13026891391758</v>
          </cell>
          <cell r="CG181">
            <v>1041.2666940252495</v>
          </cell>
          <cell r="CH181">
            <v>1158.7739310438633</v>
          </cell>
          <cell r="CI181">
            <v>1264.3491305882808</v>
          </cell>
          <cell r="CJ181">
            <v>1383.6678981467048</v>
          </cell>
          <cell r="CK181">
            <v>1454.1662541216813</v>
          </cell>
        </row>
        <row r="186">
          <cell r="BN186" t="str">
            <v>Actual</v>
          </cell>
          <cell r="BO186" t="str">
            <v>Actual</v>
          </cell>
          <cell r="BP186" t="str">
            <v>Actual</v>
          </cell>
          <cell r="BQ186" t="str">
            <v>Actual</v>
          </cell>
          <cell r="BR186" t="str">
            <v>Actual</v>
          </cell>
          <cell r="BS186" t="str">
            <v>Actual</v>
          </cell>
          <cell r="BT186" t="str">
            <v>Actual</v>
          </cell>
          <cell r="BU186" t="str">
            <v>Actual</v>
          </cell>
          <cell r="BV186" t="str">
            <v>Actual</v>
          </cell>
          <cell r="BW186" t="str">
            <v>Actual</v>
          </cell>
          <cell r="BX186" t="str">
            <v>Actual</v>
          </cell>
          <cell r="BY186" t="str">
            <v>Actual</v>
          </cell>
          <cell r="BZ186" t="str">
            <v>Cum_Actu</v>
          </cell>
          <cell r="CA186" t="str">
            <v>Cum_Actu</v>
          </cell>
          <cell r="CB186" t="str">
            <v>Cum_Actu</v>
          </cell>
          <cell r="CC186" t="str">
            <v>Cum_Actu</v>
          </cell>
          <cell r="CD186" t="str">
            <v>Cum_Actu</v>
          </cell>
          <cell r="CE186" t="str">
            <v>Cum_Actu</v>
          </cell>
          <cell r="CF186" t="str">
            <v>Cum_Actu</v>
          </cell>
          <cell r="CG186" t="str">
            <v>Cum_Actu</v>
          </cell>
          <cell r="CH186" t="str">
            <v>Cum_Actu</v>
          </cell>
          <cell r="CI186" t="str">
            <v>Cum_Actu</v>
          </cell>
          <cell r="CJ186" t="str">
            <v>Cum_Actu</v>
          </cell>
          <cell r="CK186" t="str">
            <v>Cum_Actu</v>
          </cell>
        </row>
        <row r="187">
          <cell r="BM187" t="str">
            <v>CODE</v>
          </cell>
          <cell r="BN187">
            <v>41285</v>
          </cell>
          <cell r="BO187">
            <v>41316</v>
          </cell>
          <cell r="BP187">
            <v>41344</v>
          </cell>
          <cell r="BQ187">
            <v>41375</v>
          </cell>
          <cell r="BR187">
            <v>41405</v>
          </cell>
          <cell r="BS187">
            <v>41436</v>
          </cell>
          <cell r="BT187">
            <v>41466</v>
          </cell>
          <cell r="BU187">
            <v>41497</v>
          </cell>
          <cell r="BV187">
            <v>41528</v>
          </cell>
          <cell r="BW187">
            <v>41558</v>
          </cell>
          <cell r="BX187">
            <v>41589</v>
          </cell>
          <cell r="BY187">
            <v>41619</v>
          </cell>
          <cell r="BZ187">
            <v>41285</v>
          </cell>
          <cell r="CA187">
            <v>41316</v>
          </cell>
          <cell r="CB187">
            <v>41344</v>
          </cell>
          <cell r="CC187">
            <v>41375</v>
          </cell>
          <cell r="CD187">
            <v>41405</v>
          </cell>
          <cell r="CE187">
            <v>41436</v>
          </cell>
          <cell r="CF187">
            <v>41466</v>
          </cell>
          <cell r="CG187">
            <v>41497</v>
          </cell>
          <cell r="CH187">
            <v>41528</v>
          </cell>
          <cell r="CI187">
            <v>41558</v>
          </cell>
          <cell r="CJ187">
            <v>41589</v>
          </cell>
          <cell r="CK187">
            <v>41619</v>
          </cell>
        </row>
        <row r="188">
          <cell r="BM188" t="str">
            <v>E01</v>
          </cell>
          <cell r="BN188">
            <v>8</v>
          </cell>
          <cell r="BO188">
            <v>8</v>
          </cell>
          <cell r="BP188">
            <v>8</v>
          </cell>
          <cell r="BQ188">
            <v>8</v>
          </cell>
          <cell r="BR188">
            <v>3.5590000000000002</v>
          </cell>
          <cell r="BS188">
            <v>14.399999999999999</v>
          </cell>
          <cell r="BT188">
            <v>10.54</v>
          </cell>
          <cell r="BU188">
            <v>12.260000000000002</v>
          </cell>
          <cell r="BV188">
            <v>11.96</v>
          </cell>
          <cell r="BW188">
            <v>10.55</v>
          </cell>
          <cell r="BX188">
            <v>11.54</v>
          </cell>
          <cell r="BY188">
            <v>10.079999999999998</v>
          </cell>
          <cell r="BZ188">
            <v>8</v>
          </cell>
          <cell r="CA188">
            <v>16</v>
          </cell>
          <cell r="CB188">
            <v>24</v>
          </cell>
          <cell r="CC188">
            <v>32</v>
          </cell>
          <cell r="CD188">
            <v>35.558999999999997</v>
          </cell>
          <cell r="CE188">
            <v>49.958999999999996</v>
          </cell>
          <cell r="CF188">
            <v>60.498999999999995</v>
          </cell>
          <cell r="CG188">
            <v>72.759</v>
          </cell>
          <cell r="CH188">
            <v>84.718999999999994</v>
          </cell>
          <cell r="CI188">
            <v>95.268999999999991</v>
          </cell>
          <cell r="CJ188">
            <v>106.809</v>
          </cell>
          <cell r="CK188">
            <v>116.889</v>
          </cell>
        </row>
        <row r="189">
          <cell r="BM189" t="str">
            <v>E02</v>
          </cell>
          <cell r="BN189">
            <v>3</v>
          </cell>
          <cell r="BO189">
            <v>3</v>
          </cell>
          <cell r="BP189">
            <v>3</v>
          </cell>
          <cell r="BQ189">
            <v>3</v>
          </cell>
          <cell r="BR189">
            <v>2.76</v>
          </cell>
          <cell r="BS189">
            <v>2.89</v>
          </cell>
          <cell r="BT189">
            <v>2.8</v>
          </cell>
          <cell r="BU189">
            <v>8.5</v>
          </cell>
          <cell r="BV189">
            <v>6.26</v>
          </cell>
          <cell r="BW189">
            <v>5.45</v>
          </cell>
          <cell r="BX189">
            <v>3.65</v>
          </cell>
          <cell r="BY189">
            <v>5.7799999999999994</v>
          </cell>
          <cell r="BZ189">
            <v>3</v>
          </cell>
          <cell r="CA189">
            <v>6</v>
          </cell>
          <cell r="CB189">
            <v>9</v>
          </cell>
          <cell r="CC189">
            <v>12</v>
          </cell>
          <cell r="CD189">
            <v>14.76</v>
          </cell>
          <cell r="CE189">
            <v>17.649999999999999</v>
          </cell>
          <cell r="CF189">
            <v>20.45</v>
          </cell>
          <cell r="CG189">
            <v>28.95</v>
          </cell>
          <cell r="CH189">
            <v>35.21</v>
          </cell>
          <cell r="CI189">
            <v>40.660000000000004</v>
          </cell>
          <cell r="CJ189">
            <v>44.31</v>
          </cell>
          <cell r="CK189">
            <v>50.09</v>
          </cell>
        </row>
        <row r="190">
          <cell r="BM190" t="str">
            <v>E03</v>
          </cell>
          <cell r="BN190">
            <v>5</v>
          </cell>
          <cell r="BO190">
            <v>5</v>
          </cell>
          <cell r="BP190">
            <v>5</v>
          </cell>
          <cell r="BQ190">
            <v>5</v>
          </cell>
          <cell r="BR190">
            <v>3.36</v>
          </cell>
          <cell r="BS190">
            <v>6.28</v>
          </cell>
          <cell r="BT190">
            <v>3.11</v>
          </cell>
          <cell r="BU190">
            <v>6.28</v>
          </cell>
          <cell r="BV190">
            <v>3.18</v>
          </cell>
          <cell r="BW190">
            <v>4.92</v>
          </cell>
          <cell r="BX190">
            <v>4.97</v>
          </cell>
          <cell r="BY190">
            <v>5.03</v>
          </cell>
          <cell r="BZ190">
            <v>5</v>
          </cell>
          <cell r="CA190">
            <v>10</v>
          </cell>
          <cell r="CB190">
            <v>15</v>
          </cell>
          <cell r="CC190">
            <v>20</v>
          </cell>
          <cell r="CD190">
            <v>23.36</v>
          </cell>
          <cell r="CE190">
            <v>29.64</v>
          </cell>
          <cell r="CF190">
            <v>32.75</v>
          </cell>
          <cell r="CG190">
            <v>39.03</v>
          </cell>
          <cell r="CH190">
            <v>42.21</v>
          </cell>
          <cell r="CI190">
            <v>47.13</v>
          </cell>
          <cell r="CJ190">
            <v>52.1</v>
          </cell>
          <cell r="CK190">
            <v>57.13</v>
          </cell>
        </row>
        <row r="191">
          <cell r="BM191" t="str">
            <v>E04</v>
          </cell>
          <cell r="BN191">
            <v>0.8</v>
          </cell>
          <cell r="BO191">
            <v>0.6</v>
          </cell>
          <cell r="BP191">
            <v>0.8</v>
          </cell>
          <cell r="BQ191">
            <v>0.6</v>
          </cell>
          <cell r="BR191">
            <v>2.0379999999999998</v>
          </cell>
          <cell r="BS191">
            <v>0.44</v>
          </cell>
          <cell r="BT191">
            <v>0.78</v>
          </cell>
          <cell r="BU191">
            <v>0.28999999999999998</v>
          </cell>
          <cell r="BV191">
            <v>0.73</v>
          </cell>
          <cell r="BW191">
            <v>0.60000000000000009</v>
          </cell>
          <cell r="BX191">
            <v>7.81</v>
          </cell>
          <cell r="BY191">
            <v>0.4</v>
          </cell>
          <cell r="BZ191">
            <v>0.8</v>
          </cell>
          <cell r="CA191">
            <v>1.4</v>
          </cell>
          <cell r="CB191">
            <v>2.2000000000000002</v>
          </cell>
          <cell r="CC191">
            <v>2.8000000000000003</v>
          </cell>
          <cell r="CD191">
            <v>4.8380000000000001</v>
          </cell>
          <cell r="CE191">
            <v>5.2780000000000005</v>
          </cell>
          <cell r="CF191">
            <v>6.0580000000000007</v>
          </cell>
          <cell r="CG191">
            <v>6.3480000000000008</v>
          </cell>
          <cell r="CH191">
            <v>7.0780000000000012</v>
          </cell>
          <cell r="CI191">
            <v>7.6780000000000008</v>
          </cell>
          <cell r="CJ191">
            <v>15.488</v>
          </cell>
          <cell r="CK191">
            <v>15.888</v>
          </cell>
        </row>
        <row r="192">
          <cell r="BM192" t="str">
            <v>E05</v>
          </cell>
          <cell r="BN192">
            <v>5</v>
          </cell>
          <cell r="BO192">
            <v>0</v>
          </cell>
          <cell r="BP192">
            <v>0</v>
          </cell>
          <cell r="BQ192">
            <v>0</v>
          </cell>
          <cell r="BR192">
            <v>10.345000000000001</v>
          </cell>
          <cell r="BS192">
            <v>0</v>
          </cell>
          <cell r="BT192">
            <v>12.8</v>
          </cell>
          <cell r="BU192">
            <v>0</v>
          </cell>
          <cell r="BV192">
            <v>0</v>
          </cell>
          <cell r="BW192">
            <v>0</v>
          </cell>
          <cell r="BX192">
            <v>0</v>
          </cell>
          <cell r="BY192">
            <v>-3.05</v>
          </cell>
          <cell r="BZ192">
            <v>5</v>
          </cell>
          <cell r="CA192">
            <v>5</v>
          </cell>
          <cell r="CB192">
            <v>5</v>
          </cell>
          <cell r="CC192">
            <v>5</v>
          </cell>
          <cell r="CD192">
            <v>15.345000000000001</v>
          </cell>
          <cell r="CE192">
            <v>15.345000000000001</v>
          </cell>
          <cell r="CF192">
            <v>28.145000000000003</v>
          </cell>
          <cell r="CG192">
            <v>28.145000000000003</v>
          </cell>
          <cell r="CH192">
            <v>28.145000000000003</v>
          </cell>
          <cell r="CI192">
            <v>28.145000000000003</v>
          </cell>
          <cell r="CJ192">
            <v>28.145000000000003</v>
          </cell>
          <cell r="CK192">
            <v>25.095000000000002</v>
          </cell>
        </row>
        <row r="193">
          <cell r="BM193" t="str">
            <v>E06</v>
          </cell>
          <cell r="BN193">
            <v>0.5</v>
          </cell>
          <cell r="BO193">
            <v>0.4</v>
          </cell>
          <cell r="BP193">
            <v>0.4</v>
          </cell>
          <cell r="BQ193">
            <v>0.4</v>
          </cell>
          <cell r="BR193">
            <v>-7.5999999999999998E-2</v>
          </cell>
          <cell r="BS193">
            <v>0.4</v>
          </cell>
          <cell r="BT193">
            <v>0.13</v>
          </cell>
          <cell r="BU193">
            <v>0.4</v>
          </cell>
          <cell r="BV193">
            <v>0.15</v>
          </cell>
          <cell r="BW193">
            <v>0.39</v>
          </cell>
          <cell r="BX193">
            <v>0.34</v>
          </cell>
          <cell r="BY193">
            <v>0.17</v>
          </cell>
          <cell r="BZ193">
            <v>0.5</v>
          </cell>
          <cell r="CA193">
            <v>0.9</v>
          </cell>
          <cell r="CB193">
            <v>1.3</v>
          </cell>
          <cell r="CC193">
            <v>1.7000000000000002</v>
          </cell>
          <cell r="CD193">
            <v>1.6240000000000001</v>
          </cell>
          <cell r="CE193">
            <v>2.024</v>
          </cell>
          <cell r="CF193">
            <v>2.1539999999999999</v>
          </cell>
          <cell r="CG193">
            <v>2.5539999999999998</v>
          </cell>
          <cell r="CH193">
            <v>2.7039999999999997</v>
          </cell>
          <cell r="CI193">
            <v>3.0939999999999999</v>
          </cell>
          <cell r="CJ193">
            <v>3.4339999999999997</v>
          </cell>
          <cell r="CK193">
            <v>3.6039999999999996</v>
          </cell>
        </row>
        <row r="194">
          <cell r="BM194" t="str">
            <v>E07</v>
          </cell>
          <cell r="BN194">
            <v>8</v>
          </cell>
          <cell r="BO194">
            <v>0</v>
          </cell>
          <cell r="BP194">
            <v>0</v>
          </cell>
          <cell r="BQ194">
            <v>0</v>
          </cell>
          <cell r="BR194">
            <v>23.36</v>
          </cell>
          <cell r="BS194">
            <v>0</v>
          </cell>
          <cell r="BT194">
            <v>0</v>
          </cell>
          <cell r="BU194">
            <v>0</v>
          </cell>
          <cell r="BV194">
            <v>0</v>
          </cell>
          <cell r="BW194">
            <v>0</v>
          </cell>
          <cell r="BX194">
            <v>0</v>
          </cell>
          <cell r="BY194">
            <v>-5.92</v>
          </cell>
          <cell r="BZ194">
            <v>8</v>
          </cell>
          <cell r="CA194">
            <v>8</v>
          </cell>
          <cell r="CB194">
            <v>8</v>
          </cell>
          <cell r="CC194">
            <v>8</v>
          </cell>
          <cell r="CD194">
            <v>31.36</v>
          </cell>
          <cell r="CE194">
            <v>31.36</v>
          </cell>
          <cell r="CF194">
            <v>31.36</v>
          </cell>
          <cell r="CG194">
            <v>31.36</v>
          </cell>
          <cell r="CH194">
            <v>31.36</v>
          </cell>
          <cell r="CI194">
            <v>31.36</v>
          </cell>
          <cell r="CJ194">
            <v>31.36</v>
          </cell>
          <cell r="CK194">
            <v>25.439999999999998</v>
          </cell>
        </row>
        <row r="195">
          <cell r="BM195" t="str">
            <v>E08</v>
          </cell>
          <cell r="BN195">
            <v>0.15</v>
          </cell>
          <cell r="BO195">
            <v>0.15</v>
          </cell>
          <cell r="BP195">
            <v>0.15</v>
          </cell>
          <cell r="BQ195">
            <v>0.15</v>
          </cell>
          <cell r="BR195">
            <v>0.15</v>
          </cell>
          <cell r="BS195">
            <v>0.15</v>
          </cell>
          <cell r="BT195">
            <v>0.15</v>
          </cell>
          <cell r="BU195">
            <v>0.15</v>
          </cell>
          <cell r="BV195">
            <v>0.15</v>
          </cell>
          <cell r="BW195">
            <v>0.15</v>
          </cell>
          <cell r="BX195">
            <v>0.15</v>
          </cell>
          <cell r="BY195">
            <v>0.15</v>
          </cell>
          <cell r="BZ195">
            <v>0.15</v>
          </cell>
          <cell r="CA195">
            <v>0.3</v>
          </cell>
          <cell r="CB195">
            <v>0.44999999999999996</v>
          </cell>
          <cell r="CC195">
            <v>0.6</v>
          </cell>
          <cell r="CD195">
            <v>0.75</v>
          </cell>
          <cell r="CE195">
            <v>0.9</v>
          </cell>
          <cell r="CF195">
            <v>1.05</v>
          </cell>
          <cell r="CG195">
            <v>1.2</v>
          </cell>
          <cell r="CH195">
            <v>1.3499999999999999</v>
          </cell>
          <cell r="CI195">
            <v>1.4999999999999998</v>
          </cell>
          <cell r="CJ195">
            <v>1.6499999999999997</v>
          </cell>
          <cell r="CK195">
            <v>1.7999999999999996</v>
          </cell>
        </row>
        <row r="196">
          <cell r="BM196" t="str">
            <v>E09</v>
          </cell>
          <cell r="BN196">
            <v>8</v>
          </cell>
          <cell r="BO196">
            <v>0</v>
          </cell>
          <cell r="BP196">
            <v>0</v>
          </cell>
          <cell r="BQ196">
            <v>0</v>
          </cell>
          <cell r="BR196">
            <v>0</v>
          </cell>
          <cell r="BS196">
            <v>0</v>
          </cell>
          <cell r="BT196">
            <v>0</v>
          </cell>
          <cell r="BU196">
            <v>0</v>
          </cell>
          <cell r="BV196">
            <v>0</v>
          </cell>
          <cell r="BW196">
            <v>0</v>
          </cell>
          <cell r="BX196">
            <v>0</v>
          </cell>
          <cell r="BY196">
            <v>0</v>
          </cell>
          <cell r="BZ196">
            <v>8</v>
          </cell>
          <cell r="CA196">
            <v>8</v>
          </cell>
          <cell r="CB196">
            <v>8</v>
          </cell>
          <cell r="CC196">
            <v>8</v>
          </cell>
          <cell r="CD196">
            <v>8</v>
          </cell>
          <cell r="CE196">
            <v>8</v>
          </cell>
          <cell r="CF196">
            <v>8</v>
          </cell>
          <cell r="CG196">
            <v>8</v>
          </cell>
          <cell r="CH196">
            <v>8</v>
          </cell>
          <cell r="CI196">
            <v>8</v>
          </cell>
          <cell r="CJ196">
            <v>8</v>
          </cell>
          <cell r="CK196">
            <v>8</v>
          </cell>
        </row>
        <row r="197">
          <cell r="BM197" t="str">
            <v>E10</v>
          </cell>
          <cell r="BN197">
            <v>1.5</v>
          </cell>
          <cell r="BO197">
            <v>0</v>
          </cell>
          <cell r="BP197">
            <v>0</v>
          </cell>
          <cell r="BQ197">
            <v>0</v>
          </cell>
          <cell r="BR197">
            <v>0</v>
          </cell>
          <cell r="BS197">
            <v>0</v>
          </cell>
          <cell r="BT197">
            <v>0</v>
          </cell>
          <cell r="BU197">
            <v>0</v>
          </cell>
          <cell r="BV197">
            <v>0</v>
          </cell>
          <cell r="BW197">
            <v>0</v>
          </cell>
          <cell r="BX197">
            <v>0</v>
          </cell>
          <cell r="BY197">
            <v>0</v>
          </cell>
          <cell r="BZ197">
            <v>1.5</v>
          </cell>
          <cell r="CA197">
            <v>1.5</v>
          </cell>
          <cell r="CB197">
            <v>1.5</v>
          </cell>
          <cell r="CC197">
            <v>1.5</v>
          </cell>
          <cell r="CD197">
            <v>1.5</v>
          </cell>
          <cell r="CE197">
            <v>1.5</v>
          </cell>
          <cell r="CF197">
            <v>1.5</v>
          </cell>
          <cell r="CG197">
            <v>1.5</v>
          </cell>
          <cell r="CH197">
            <v>1.5</v>
          </cell>
          <cell r="CI197">
            <v>1.5</v>
          </cell>
          <cell r="CJ197">
            <v>1.5</v>
          </cell>
          <cell r="CK197">
            <v>1.5</v>
          </cell>
        </row>
        <row r="198">
          <cell r="BM198" t="str">
            <v>E11</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row>
        <row r="199">
          <cell r="BM199" t="str">
            <v>E12</v>
          </cell>
          <cell r="BN199">
            <v>0</v>
          </cell>
          <cell r="BO199">
            <v>0</v>
          </cell>
          <cell r="BP199">
            <v>0</v>
          </cell>
          <cell r="BQ199">
            <v>33</v>
          </cell>
          <cell r="BR199">
            <v>0</v>
          </cell>
          <cell r="BS199">
            <v>0</v>
          </cell>
          <cell r="BT199">
            <v>0</v>
          </cell>
          <cell r="BU199">
            <v>0</v>
          </cell>
          <cell r="BV199">
            <v>0</v>
          </cell>
          <cell r="BW199">
            <v>0</v>
          </cell>
          <cell r="BX199">
            <v>0</v>
          </cell>
          <cell r="BY199">
            <v>0</v>
          </cell>
          <cell r="BZ199">
            <v>0</v>
          </cell>
          <cell r="CA199">
            <v>0</v>
          </cell>
          <cell r="CB199">
            <v>0</v>
          </cell>
          <cell r="CC199">
            <v>33</v>
          </cell>
          <cell r="CD199">
            <v>33</v>
          </cell>
          <cell r="CE199">
            <v>33</v>
          </cell>
          <cell r="CF199">
            <v>33</v>
          </cell>
          <cell r="CG199">
            <v>33</v>
          </cell>
          <cell r="CH199">
            <v>33</v>
          </cell>
          <cell r="CI199">
            <v>33</v>
          </cell>
          <cell r="CJ199">
            <v>33</v>
          </cell>
          <cell r="CK199">
            <v>33</v>
          </cell>
        </row>
        <row r="200">
          <cell r="BM200" t="str">
            <v>E13</v>
          </cell>
          <cell r="BN200">
            <v>4</v>
          </cell>
          <cell r="BO200">
            <v>0</v>
          </cell>
          <cell r="BP200">
            <v>0</v>
          </cell>
          <cell r="BQ200">
            <v>0</v>
          </cell>
          <cell r="BR200">
            <v>0</v>
          </cell>
          <cell r="BS200">
            <v>0</v>
          </cell>
          <cell r="BT200">
            <v>0</v>
          </cell>
          <cell r="BU200">
            <v>0</v>
          </cell>
          <cell r="BV200">
            <v>0</v>
          </cell>
          <cell r="BW200">
            <v>0</v>
          </cell>
          <cell r="BX200">
            <v>0</v>
          </cell>
          <cell r="BY200">
            <v>-0.87</v>
          </cell>
          <cell r="BZ200">
            <v>4</v>
          </cell>
          <cell r="CA200">
            <v>4</v>
          </cell>
          <cell r="CB200">
            <v>4</v>
          </cell>
          <cell r="CC200">
            <v>4</v>
          </cell>
          <cell r="CD200">
            <v>4</v>
          </cell>
          <cell r="CE200">
            <v>4</v>
          </cell>
          <cell r="CF200">
            <v>4</v>
          </cell>
          <cell r="CG200">
            <v>4</v>
          </cell>
          <cell r="CH200">
            <v>4</v>
          </cell>
          <cell r="CI200">
            <v>4</v>
          </cell>
          <cell r="CJ200">
            <v>4</v>
          </cell>
          <cell r="CK200">
            <v>3.13</v>
          </cell>
        </row>
        <row r="201">
          <cell r="BM201" t="str">
            <v>E14</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row>
        <row r="202">
          <cell r="BM202" t="str">
            <v>PR1</v>
          </cell>
          <cell r="BN202">
            <v>3</v>
          </cell>
          <cell r="BO202">
            <v>3</v>
          </cell>
          <cell r="BP202">
            <v>3</v>
          </cell>
          <cell r="BQ202">
            <v>3</v>
          </cell>
          <cell r="BR202">
            <v>3.149</v>
          </cell>
          <cell r="BS202">
            <v>2.91</v>
          </cell>
          <cell r="BT202">
            <v>2.69</v>
          </cell>
          <cell r="BU202">
            <v>2.94</v>
          </cell>
          <cell r="BV202">
            <v>3</v>
          </cell>
          <cell r="BW202">
            <v>3</v>
          </cell>
          <cell r="BX202">
            <v>2.77</v>
          </cell>
          <cell r="BY202">
            <v>1.92</v>
          </cell>
          <cell r="BZ202">
            <v>3</v>
          </cell>
          <cell r="CA202">
            <v>6</v>
          </cell>
          <cell r="CB202">
            <v>9</v>
          </cell>
          <cell r="CC202">
            <v>12</v>
          </cell>
          <cell r="CD202">
            <v>15.149000000000001</v>
          </cell>
          <cell r="CE202">
            <v>18.059000000000001</v>
          </cell>
          <cell r="CF202">
            <v>20.749000000000002</v>
          </cell>
          <cell r="CG202">
            <v>23.689000000000004</v>
          </cell>
          <cell r="CH202">
            <v>26.689000000000004</v>
          </cell>
          <cell r="CI202">
            <v>29.689000000000004</v>
          </cell>
          <cell r="CJ202">
            <v>32.459000000000003</v>
          </cell>
          <cell r="CK202">
            <v>34.379000000000005</v>
          </cell>
        </row>
        <row r="203">
          <cell r="BM203" t="str">
            <v>PR2</v>
          </cell>
          <cell r="BN203">
            <v>0</v>
          </cell>
          <cell r="BO203">
            <v>0</v>
          </cell>
          <cell r="BP203">
            <v>0</v>
          </cell>
          <cell r="BQ203">
            <v>0</v>
          </cell>
          <cell r="BR203">
            <v>0</v>
          </cell>
          <cell r="BS203">
            <v>0.6</v>
          </cell>
          <cell r="BT203">
            <v>0</v>
          </cell>
          <cell r="BU203">
            <v>0</v>
          </cell>
          <cell r="BV203">
            <v>0</v>
          </cell>
          <cell r="BW203">
            <v>0</v>
          </cell>
          <cell r="BX203">
            <v>0</v>
          </cell>
          <cell r="BY203">
            <v>0</v>
          </cell>
          <cell r="BZ203">
            <v>0</v>
          </cell>
          <cell r="CA203">
            <v>0</v>
          </cell>
          <cell r="CB203">
            <v>0</v>
          </cell>
          <cell r="CC203">
            <v>0</v>
          </cell>
          <cell r="CD203">
            <v>0</v>
          </cell>
          <cell r="CE203">
            <v>0.6</v>
          </cell>
          <cell r="CF203">
            <v>0.6</v>
          </cell>
          <cell r="CG203">
            <v>0.6</v>
          </cell>
          <cell r="CH203">
            <v>0.6</v>
          </cell>
          <cell r="CI203">
            <v>0.6</v>
          </cell>
          <cell r="CJ203">
            <v>0.6</v>
          </cell>
          <cell r="CK203">
            <v>0.6</v>
          </cell>
        </row>
        <row r="204">
          <cell r="BM204" t="str">
            <v>PR3</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row>
        <row r="205">
          <cell r="BM205" t="str">
            <v>PR4</v>
          </cell>
          <cell r="BN205">
            <v>0.1</v>
          </cell>
          <cell r="BO205">
            <v>0.1</v>
          </cell>
          <cell r="BP205">
            <v>0.1</v>
          </cell>
          <cell r="BQ205">
            <v>0.1</v>
          </cell>
          <cell r="BR205">
            <v>0.1</v>
          </cell>
          <cell r="BS205">
            <v>0.1</v>
          </cell>
          <cell r="BT205">
            <v>0.1</v>
          </cell>
          <cell r="BU205">
            <v>0.1</v>
          </cell>
          <cell r="BV205">
            <v>0.1</v>
          </cell>
          <cell r="BW205">
            <v>0.1</v>
          </cell>
          <cell r="BX205">
            <v>0.1</v>
          </cell>
          <cell r="BY205">
            <v>0.06</v>
          </cell>
          <cell r="BZ205">
            <v>0.1</v>
          </cell>
          <cell r="CA205">
            <v>0.2</v>
          </cell>
          <cell r="CB205">
            <v>0.30000000000000004</v>
          </cell>
          <cell r="CC205">
            <v>0.4</v>
          </cell>
          <cell r="CD205">
            <v>0.5</v>
          </cell>
          <cell r="CE205">
            <v>0.6</v>
          </cell>
          <cell r="CF205">
            <v>0.7</v>
          </cell>
          <cell r="CG205">
            <v>0.79999999999999993</v>
          </cell>
          <cell r="CH205">
            <v>0.89999999999999991</v>
          </cell>
          <cell r="CI205">
            <v>0.99999999999999989</v>
          </cell>
          <cell r="CJ205">
            <v>1.0999999999999999</v>
          </cell>
          <cell r="CK205">
            <v>1.1599999999999999</v>
          </cell>
        </row>
        <row r="206">
          <cell r="BM206" t="str">
            <v>QC1</v>
          </cell>
          <cell r="BN206">
            <v>0.75</v>
          </cell>
          <cell r="BO206">
            <v>0.75</v>
          </cell>
          <cell r="BP206">
            <v>0.75</v>
          </cell>
          <cell r="BQ206">
            <v>0.75</v>
          </cell>
          <cell r="BR206">
            <v>0.73599999999999999</v>
          </cell>
          <cell r="BS206">
            <v>0.75</v>
          </cell>
          <cell r="BT206">
            <v>0.55000000000000004</v>
          </cell>
          <cell r="BU206">
            <v>0.75</v>
          </cell>
          <cell r="BV206">
            <v>0.75</v>
          </cell>
          <cell r="BW206">
            <v>0.75</v>
          </cell>
          <cell r="BX206">
            <v>0.75</v>
          </cell>
          <cell r="BY206">
            <v>0.66</v>
          </cell>
          <cell r="BZ206">
            <v>0.75</v>
          </cell>
          <cell r="CA206">
            <v>1.5</v>
          </cell>
          <cell r="CB206">
            <v>2.25</v>
          </cell>
          <cell r="CC206">
            <v>3</v>
          </cell>
          <cell r="CD206">
            <v>3.7359999999999998</v>
          </cell>
          <cell r="CE206">
            <v>4.4859999999999998</v>
          </cell>
          <cell r="CF206">
            <v>5.0359999999999996</v>
          </cell>
          <cell r="CG206">
            <v>5.7859999999999996</v>
          </cell>
          <cell r="CH206">
            <v>6.5359999999999996</v>
          </cell>
          <cell r="CI206">
            <v>7.2859999999999996</v>
          </cell>
          <cell r="CJ206">
            <v>8.0359999999999996</v>
          </cell>
          <cell r="CK206">
            <v>8.6959999999999997</v>
          </cell>
        </row>
        <row r="207">
          <cell r="BM207" t="str">
            <v>QC2</v>
          </cell>
          <cell r="BN207">
            <v>0.3</v>
          </cell>
          <cell r="BO207">
            <v>0</v>
          </cell>
          <cell r="BP207">
            <v>0</v>
          </cell>
          <cell r="BQ207">
            <v>0</v>
          </cell>
          <cell r="BR207">
            <v>0</v>
          </cell>
          <cell r="BS207">
            <v>0</v>
          </cell>
          <cell r="BT207">
            <v>0</v>
          </cell>
          <cell r="BU207">
            <v>0</v>
          </cell>
          <cell r="BV207">
            <v>0</v>
          </cell>
          <cell r="BW207">
            <v>0</v>
          </cell>
          <cell r="BX207">
            <v>0</v>
          </cell>
          <cell r="BY207">
            <v>0</v>
          </cell>
          <cell r="BZ207">
            <v>0.3</v>
          </cell>
          <cell r="CA207">
            <v>0.3</v>
          </cell>
          <cell r="CB207">
            <v>0.3</v>
          </cell>
          <cell r="CC207">
            <v>0.3</v>
          </cell>
          <cell r="CD207">
            <v>0.3</v>
          </cell>
          <cell r="CE207">
            <v>0.3</v>
          </cell>
          <cell r="CF207">
            <v>0.3</v>
          </cell>
          <cell r="CG207">
            <v>0.3</v>
          </cell>
          <cell r="CH207">
            <v>0.3</v>
          </cell>
          <cell r="CI207">
            <v>0.3</v>
          </cell>
          <cell r="CJ207">
            <v>0.3</v>
          </cell>
          <cell r="CK207">
            <v>0.3</v>
          </cell>
        </row>
        <row r="208">
          <cell r="BM208" t="str">
            <v>QC3</v>
          </cell>
          <cell r="BN208">
            <v>0.5</v>
          </cell>
          <cell r="BO208">
            <v>0</v>
          </cell>
          <cell r="BP208">
            <v>0</v>
          </cell>
          <cell r="BQ208">
            <v>0.5</v>
          </cell>
          <cell r="BR208">
            <v>-0.23599999999999999</v>
          </cell>
          <cell r="BS208">
            <v>0</v>
          </cell>
          <cell r="BT208">
            <v>0</v>
          </cell>
          <cell r="BU208">
            <v>0</v>
          </cell>
          <cell r="BV208">
            <v>0</v>
          </cell>
          <cell r="BW208">
            <v>0</v>
          </cell>
          <cell r="BX208">
            <v>0.5</v>
          </cell>
          <cell r="BY208">
            <v>0</v>
          </cell>
          <cell r="BZ208">
            <v>0.5</v>
          </cell>
          <cell r="CA208">
            <v>0.5</v>
          </cell>
          <cell r="CB208">
            <v>0.5</v>
          </cell>
          <cell r="CC208">
            <v>1</v>
          </cell>
          <cell r="CD208">
            <v>0.76400000000000001</v>
          </cell>
          <cell r="CE208">
            <v>0.76400000000000001</v>
          </cell>
          <cell r="CF208">
            <v>0.76400000000000001</v>
          </cell>
          <cell r="CG208">
            <v>0.76400000000000001</v>
          </cell>
          <cell r="CH208">
            <v>0.76400000000000001</v>
          </cell>
          <cell r="CI208">
            <v>0.76400000000000001</v>
          </cell>
          <cell r="CJ208">
            <v>1.264</v>
          </cell>
          <cell r="CK208">
            <v>1.264</v>
          </cell>
        </row>
        <row r="209">
          <cell r="BM209" t="str">
            <v>QC4</v>
          </cell>
          <cell r="BN209">
            <v>0.5</v>
          </cell>
          <cell r="BO209">
            <v>0</v>
          </cell>
          <cell r="BP209">
            <v>0.45</v>
          </cell>
          <cell r="BQ209">
            <v>0</v>
          </cell>
          <cell r="BR209">
            <v>-0.21</v>
          </cell>
          <cell r="BS209">
            <v>0</v>
          </cell>
          <cell r="BT209">
            <v>0.45</v>
          </cell>
          <cell r="BU209">
            <v>0</v>
          </cell>
          <cell r="BV209">
            <v>0.45</v>
          </cell>
          <cell r="BW209">
            <v>0</v>
          </cell>
          <cell r="BX209">
            <v>0.45</v>
          </cell>
          <cell r="BY209">
            <v>0</v>
          </cell>
          <cell r="BZ209">
            <v>0.5</v>
          </cell>
          <cell r="CA209">
            <v>0.5</v>
          </cell>
          <cell r="CB209">
            <v>0.95</v>
          </cell>
          <cell r="CC209">
            <v>0.95</v>
          </cell>
          <cell r="CD209">
            <v>0.74</v>
          </cell>
          <cell r="CE209">
            <v>0.74</v>
          </cell>
          <cell r="CF209">
            <v>1.19</v>
          </cell>
          <cell r="CG209">
            <v>1.19</v>
          </cell>
          <cell r="CH209">
            <v>1.64</v>
          </cell>
          <cell r="CI209">
            <v>1.64</v>
          </cell>
          <cell r="CJ209">
            <v>2.09</v>
          </cell>
          <cell r="CK209">
            <v>2.09</v>
          </cell>
        </row>
        <row r="210">
          <cell r="BM210" t="str">
            <v>QC5</v>
          </cell>
          <cell r="BN210">
            <v>1.5</v>
          </cell>
          <cell r="BO210">
            <v>0</v>
          </cell>
          <cell r="BP210">
            <v>0</v>
          </cell>
          <cell r="BQ210">
            <v>1.5</v>
          </cell>
          <cell r="BR210">
            <v>0</v>
          </cell>
          <cell r="BS210">
            <v>0</v>
          </cell>
          <cell r="BT210">
            <v>1.5</v>
          </cell>
          <cell r="BU210">
            <v>0</v>
          </cell>
          <cell r="BV210">
            <v>0</v>
          </cell>
          <cell r="BW210">
            <v>1.5</v>
          </cell>
          <cell r="BX210">
            <v>0</v>
          </cell>
          <cell r="BY210">
            <v>0</v>
          </cell>
          <cell r="BZ210">
            <v>1.5</v>
          </cell>
          <cell r="CA210">
            <v>1.5</v>
          </cell>
          <cell r="CB210">
            <v>1.5</v>
          </cell>
          <cell r="CC210">
            <v>3</v>
          </cell>
          <cell r="CD210">
            <v>3</v>
          </cell>
          <cell r="CE210">
            <v>3</v>
          </cell>
          <cell r="CF210">
            <v>4.5</v>
          </cell>
          <cell r="CG210">
            <v>4.5</v>
          </cell>
          <cell r="CH210">
            <v>4.5</v>
          </cell>
          <cell r="CI210">
            <v>6</v>
          </cell>
          <cell r="CJ210">
            <v>6</v>
          </cell>
          <cell r="CK210">
            <v>6</v>
          </cell>
        </row>
        <row r="211">
          <cell r="BM211" t="str">
            <v>QC6</v>
          </cell>
          <cell r="BN211">
            <v>0.5</v>
          </cell>
          <cell r="BO211">
            <v>0</v>
          </cell>
          <cell r="BP211">
            <v>0</v>
          </cell>
          <cell r="BQ211">
            <v>0</v>
          </cell>
          <cell r="BR211">
            <v>-0.26</v>
          </cell>
          <cell r="BS211">
            <v>0</v>
          </cell>
          <cell r="BT211">
            <v>0</v>
          </cell>
          <cell r="BU211">
            <v>0</v>
          </cell>
          <cell r="BV211">
            <v>0</v>
          </cell>
          <cell r="BW211">
            <v>0</v>
          </cell>
          <cell r="BX211">
            <v>0</v>
          </cell>
          <cell r="BY211">
            <v>0</v>
          </cell>
          <cell r="BZ211">
            <v>0.5</v>
          </cell>
          <cell r="CA211">
            <v>0.5</v>
          </cell>
          <cell r="CB211">
            <v>0.5</v>
          </cell>
          <cell r="CC211">
            <v>0.5</v>
          </cell>
          <cell r="CD211">
            <v>0.24</v>
          </cell>
          <cell r="CE211">
            <v>0.24</v>
          </cell>
          <cell r="CF211">
            <v>0.24</v>
          </cell>
          <cell r="CG211">
            <v>0.24</v>
          </cell>
          <cell r="CH211">
            <v>0.24</v>
          </cell>
          <cell r="CI211">
            <v>0.24</v>
          </cell>
          <cell r="CJ211">
            <v>0.24</v>
          </cell>
          <cell r="CK211">
            <v>0.24</v>
          </cell>
        </row>
        <row r="212">
          <cell r="BM212" t="str">
            <v>QC7</v>
          </cell>
          <cell r="BN212">
            <v>1</v>
          </cell>
          <cell r="BO212">
            <v>0</v>
          </cell>
          <cell r="BP212">
            <v>0</v>
          </cell>
          <cell r="BQ212">
            <v>0</v>
          </cell>
          <cell r="BR212">
            <v>0</v>
          </cell>
          <cell r="BS212">
            <v>0</v>
          </cell>
          <cell r="BT212">
            <v>0</v>
          </cell>
          <cell r="BU212">
            <v>0</v>
          </cell>
          <cell r="BV212">
            <v>0</v>
          </cell>
          <cell r="BW212">
            <v>0</v>
          </cell>
          <cell r="BX212">
            <v>0</v>
          </cell>
          <cell r="BY212">
            <v>0</v>
          </cell>
          <cell r="BZ212">
            <v>1</v>
          </cell>
          <cell r="CA212">
            <v>1</v>
          </cell>
          <cell r="CB212">
            <v>1</v>
          </cell>
          <cell r="CC212">
            <v>1</v>
          </cell>
          <cell r="CD212">
            <v>1</v>
          </cell>
          <cell r="CE212">
            <v>1</v>
          </cell>
          <cell r="CF212">
            <v>1</v>
          </cell>
          <cell r="CG212">
            <v>1</v>
          </cell>
          <cell r="CH212">
            <v>1</v>
          </cell>
          <cell r="CI212">
            <v>1</v>
          </cell>
          <cell r="CJ212">
            <v>1</v>
          </cell>
          <cell r="CK212">
            <v>1</v>
          </cell>
        </row>
        <row r="213">
          <cell r="BM213" t="str">
            <v>QC8</v>
          </cell>
          <cell r="BN213">
            <v>4</v>
          </cell>
          <cell r="BO213">
            <v>0</v>
          </cell>
          <cell r="BP213">
            <v>0</v>
          </cell>
          <cell r="BQ213">
            <v>0</v>
          </cell>
          <cell r="BR213">
            <v>0</v>
          </cell>
          <cell r="BS213">
            <v>0</v>
          </cell>
          <cell r="BT213">
            <v>0</v>
          </cell>
          <cell r="BU213">
            <v>0</v>
          </cell>
          <cell r="BV213">
            <v>0</v>
          </cell>
          <cell r="BW213">
            <v>0</v>
          </cell>
          <cell r="BX213">
            <v>0</v>
          </cell>
          <cell r="BY213">
            <v>0</v>
          </cell>
          <cell r="BZ213">
            <v>4</v>
          </cell>
          <cell r="CA213">
            <v>4</v>
          </cell>
          <cell r="CB213">
            <v>4</v>
          </cell>
          <cell r="CC213">
            <v>4</v>
          </cell>
          <cell r="CD213">
            <v>4</v>
          </cell>
          <cell r="CE213">
            <v>4</v>
          </cell>
          <cell r="CF213">
            <v>4</v>
          </cell>
          <cell r="CG213">
            <v>4</v>
          </cell>
          <cell r="CH213">
            <v>4</v>
          </cell>
          <cell r="CI213">
            <v>4</v>
          </cell>
          <cell r="CJ213">
            <v>4</v>
          </cell>
          <cell r="CK213">
            <v>4</v>
          </cell>
        </row>
        <row r="214">
          <cell r="BM214" t="str">
            <v>QC9</v>
          </cell>
          <cell r="BN214">
            <v>0.25</v>
          </cell>
          <cell r="BO214">
            <v>0.25</v>
          </cell>
          <cell r="BP214">
            <v>0.25</v>
          </cell>
          <cell r="BQ214">
            <v>0.25</v>
          </cell>
          <cell r="BR214">
            <v>-0.04</v>
          </cell>
          <cell r="BS214">
            <v>0.25</v>
          </cell>
          <cell r="BT214">
            <v>0.8</v>
          </cell>
          <cell r="BU214">
            <v>0.25</v>
          </cell>
          <cell r="BV214">
            <v>0.25</v>
          </cell>
          <cell r="BW214">
            <v>0.25</v>
          </cell>
          <cell r="BX214">
            <v>0.25</v>
          </cell>
          <cell r="BY214">
            <v>0</v>
          </cell>
          <cell r="BZ214">
            <v>0.25</v>
          </cell>
          <cell r="CA214">
            <v>0.5</v>
          </cell>
          <cell r="CB214">
            <v>0.75</v>
          </cell>
          <cell r="CC214">
            <v>1</v>
          </cell>
          <cell r="CD214">
            <v>0.96</v>
          </cell>
          <cell r="CE214">
            <v>1.21</v>
          </cell>
          <cell r="CF214">
            <v>2.0099999999999998</v>
          </cell>
          <cell r="CG214">
            <v>2.2599999999999998</v>
          </cell>
          <cell r="CH214">
            <v>2.5099999999999998</v>
          </cell>
          <cell r="CI214">
            <v>2.76</v>
          </cell>
          <cell r="CJ214">
            <v>3.01</v>
          </cell>
          <cell r="CK214">
            <v>3.01</v>
          </cell>
        </row>
        <row r="215">
          <cell r="BM215" t="str">
            <v>QC10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row>
        <row r="216">
          <cell r="BM216" t="str">
            <v>QC11</v>
          </cell>
          <cell r="BN216">
            <v>1</v>
          </cell>
          <cell r="BO216">
            <v>1</v>
          </cell>
          <cell r="BP216">
            <v>1</v>
          </cell>
          <cell r="BQ216">
            <v>18</v>
          </cell>
          <cell r="BR216">
            <v>-15.715</v>
          </cell>
          <cell r="BS216">
            <v>0</v>
          </cell>
          <cell r="BT216">
            <v>0</v>
          </cell>
          <cell r="BU216">
            <v>0</v>
          </cell>
          <cell r="BV216">
            <v>0</v>
          </cell>
          <cell r="BW216">
            <v>0</v>
          </cell>
          <cell r="BX216">
            <v>0</v>
          </cell>
          <cell r="BY216">
            <v>0</v>
          </cell>
          <cell r="BZ216">
            <v>1</v>
          </cell>
          <cell r="CA216">
            <v>2</v>
          </cell>
          <cell r="CB216">
            <v>3</v>
          </cell>
          <cell r="CC216">
            <v>21</v>
          </cell>
          <cell r="CD216">
            <v>5.2850000000000001</v>
          </cell>
          <cell r="CE216">
            <v>5.2850000000000001</v>
          </cell>
          <cell r="CF216">
            <v>5.2850000000000001</v>
          </cell>
          <cell r="CG216">
            <v>5.2850000000000001</v>
          </cell>
          <cell r="CH216">
            <v>5.2850000000000001</v>
          </cell>
          <cell r="CI216">
            <v>5.2850000000000001</v>
          </cell>
          <cell r="CJ216">
            <v>5.2850000000000001</v>
          </cell>
          <cell r="CK216">
            <v>5.2850000000000001</v>
          </cell>
        </row>
        <row r="217">
          <cell r="BM217" t="str">
            <v>QC12</v>
          </cell>
          <cell r="BN217">
            <v>0.5</v>
          </cell>
          <cell r="BO217">
            <v>0</v>
          </cell>
          <cell r="BP217">
            <v>0</v>
          </cell>
          <cell r="BQ217">
            <v>0</v>
          </cell>
          <cell r="BR217">
            <v>-1.14E-2</v>
          </cell>
          <cell r="BS217">
            <v>0</v>
          </cell>
          <cell r="BT217">
            <v>0</v>
          </cell>
          <cell r="BU217">
            <v>0</v>
          </cell>
          <cell r="BV217">
            <v>0</v>
          </cell>
          <cell r="BW217">
            <v>0</v>
          </cell>
          <cell r="BX217">
            <v>0</v>
          </cell>
          <cell r="BY217">
            <v>0</v>
          </cell>
          <cell r="BZ217">
            <v>0.5</v>
          </cell>
          <cell r="CA217">
            <v>0.5</v>
          </cell>
          <cell r="CB217">
            <v>0.5</v>
          </cell>
          <cell r="CC217">
            <v>0.5</v>
          </cell>
          <cell r="CD217">
            <v>0.48859999999999998</v>
          </cell>
          <cell r="CE217">
            <v>0.48859999999999998</v>
          </cell>
          <cell r="CF217">
            <v>0.48859999999999998</v>
          </cell>
          <cell r="CG217">
            <v>0.48859999999999998</v>
          </cell>
          <cell r="CH217">
            <v>0.48859999999999998</v>
          </cell>
          <cell r="CI217">
            <v>0.48859999999999998</v>
          </cell>
          <cell r="CJ217">
            <v>0.48859999999999998</v>
          </cell>
          <cell r="CK217">
            <v>0.48859999999999998</v>
          </cell>
        </row>
        <row r="218">
          <cell r="BM218" t="str">
            <v>QC13</v>
          </cell>
          <cell r="BN218">
            <v>0.3</v>
          </cell>
          <cell r="BO218">
            <v>0</v>
          </cell>
          <cell r="BP218">
            <v>0.3</v>
          </cell>
          <cell r="BQ218">
            <v>0</v>
          </cell>
          <cell r="BR218">
            <v>-0.04</v>
          </cell>
          <cell r="BS218">
            <v>0</v>
          </cell>
          <cell r="BT218">
            <v>0.04</v>
          </cell>
          <cell r="BU218">
            <v>0</v>
          </cell>
          <cell r="BV218">
            <v>0.30000000000000004</v>
          </cell>
          <cell r="BW218">
            <v>0</v>
          </cell>
          <cell r="BX218">
            <v>0.3</v>
          </cell>
          <cell r="BY218">
            <v>0</v>
          </cell>
          <cell r="BZ218">
            <v>0.3</v>
          </cell>
          <cell r="CA218">
            <v>0.3</v>
          </cell>
          <cell r="CB218">
            <v>0.6</v>
          </cell>
          <cell r="CC218">
            <v>0.6</v>
          </cell>
          <cell r="CD218">
            <v>0.55999999999999994</v>
          </cell>
          <cell r="CE218">
            <v>0.55999999999999994</v>
          </cell>
          <cell r="CF218">
            <v>0.6</v>
          </cell>
          <cell r="CG218">
            <v>0.6</v>
          </cell>
          <cell r="CH218">
            <v>0.9</v>
          </cell>
          <cell r="CI218">
            <v>0.9</v>
          </cell>
          <cell r="CJ218">
            <v>1.2</v>
          </cell>
          <cell r="CK218">
            <v>1.2</v>
          </cell>
        </row>
        <row r="219">
          <cell r="BM219" t="str">
            <v>QC14</v>
          </cell>
          <cell r="BN219">
            <v>0.5</v>
          </cell>
          <cell r="BO219">
            <v>0</v>
          </cell>
          <cell r="BP219">
            <v>0</v>
          </cell>
          <cell r="BQ219">
            <v>0</v>
          </cell>
          <cell r="BR219">
            <v>0</v>
          </cell>
          <cell r="BS219">
            <v>0</v>
          </cell>
          <cell r="BT219">
            <v>0</v>
          </cell>
          <cell r="BU219">
            <v>0</v>
          </cell>
          <cell r="BV219">
            <v>0</v>
          </cell>
          <cell r="BW219">
            <v>0</v>
          </cell>
          <cell r="BX219">
            <v>0</v>
          </cell>
          <cell r="BY219">
            <v>0</v>
          </cell>
          <cell r="BZ219">
            <v>0.5</v>
          </cell>
          <cell r="CA219">
            <v>0.5</v>
          </cell>
          <cell r="CB219">
            <v>0.5</v>
          </cell>
          <cell r="CC219">
            <v>0.5</v>
          </cell>
          <cell r="CD219">
            <v>0.5</v>
          </cell>
          <cell r="CE219">
            <v>0.5</v>
          </cell>
          <cell r="CF219">
            <v>0.5</v>
          </cell>
          <cell r="CG219">
            <v>0.5</v>
          </cell>
          <cell r="CH219">
            <v>0.5</v>
          </cell>
          <cell r="CI219">
            <v>0.5</v>
          </cell>
          <cell r="CJ219">
            <v>0.5</v>
          </cell>
          <cell r="CK219">
            <v>0.5</v>
          </cell>
        </row>
        <row r="220">
          <cell r="BM220" t="str">
            <v>QC15</v>
          </cell>
          <cell r="BN220">
            <v>1.5</v>
          </cell>
          <cell r="BO220">
            <v>0</v>
          </cell>
          <cell r="BP220">
            <v>0</v>
          </cell>
          <cell r="BQ220">
            <v>0</v>
          </cell>
          <cell r="BR220">
            <v>0</v>
          </cell>
          <cell r="BS220">
            <v>0</v>
          </cell>
          <cell r="BT220">
            <v>0</v>
          </cell>
          <cell r="BU220">
            <v>0</v>
          </cell>
          <cell r="BV220">
            <v>0</v>
          </cell>
          <cell r="BW220">
            <v>0</v>
          </cell>
          <cell r="BX220">
            <v>0</v>
          </cell>
          <cell r="BY220">
            <v>0</v>
          </cell>
          <cell r="BZ220">
            <v>1.5</v>
          </cell>
          <cell r="CA220">
            <v>1.5</v>
          </cell>
          <cell r="CB220">
            <v>1.5</v>
          </cell>
          <cell r="CC220">
            <v>1.5</v>
          </cell>
          <cell r="CD220">
            <v>1.5</v>
          </cell>
          <cell r="CE220">
            <v>1.5</v>
          </cell>
          <cell r="CF220">
            <v>1.5</v>
          </cell>
          <cell r="CG220">
            <v>1.5</v>
          </cell>
          <cell r="CH220">
            <v>1.5</v>
          </cell>
          <cell r="CI220">
            <v>1.5</v>
          </cell>
          <cell r="CJ220">
            <v>1.5</v>
          </cell>
          <cell r="CK220">
            <v>1.5</v>
          </cell>
        </row>
        <row r="221">
          <cell r="BM221" t="str">
            <v>QC16</v>
          </cell>
          <cell r="BN221">
            <v>0.04</v>
          </cell>
          <cell r="BO221">
            <v>0.04</v>
          </cell>
          <cell r="BP221">
            <v>0.04</v>
          </cell>
          <cell r="BQ221">
            <v>0.04</v>
          </cell>
          <cell r="BR221">
            <v>0.04</v>
          </cell>
          <cell r="BS221">
            <v>0.04</v>
          </cell>
          <cell r="BT221">
            <v>0</v>
          </cell>
          <cell r="BU221">
            <v>0.04</v>
          </cell>
          <cell r="BV221">
            <v>0.04</v>
          </cell>
          <cell r="BW221">
            <v>0.04</v>
          </cell>
          <cell r="BX221">
            <v>0.04</v>
          </cell>
          <cell r="BY221">
            <v>-0.04</v>
          </cell>
          <cell r="BZ221">
            <v>0.04</v>
          </cell>
          <cell r="CA221">
            <v>0.08</v>
          </cell>
          <cell r="CB221">
            <v>0.12</v>
          </cell>
          <cell r="CC221">
            <v>0.16</v>
          </cell>
          <cell r="CD221">
            <v>0.2</v>
          </cell>
          <cell r="CE221">
            <v>0.24000000000000002</v>
          </cell>
          <cell r="CF221">
            <v>0.24000000000000002</v>
          </cell>
          <cell r="CG221">
            <v>0.28000000000000003</v>
          </cell>
          <cell r="CH221">
            <v>0.32</v>
          </cell>
          <cell r="CI221">
            <v>0.36</v>
          </cell>
          <cell r="CJ221">
            <v>0.39999999999999997</v>
          </cell>
          <cell r="CK221">
            <v>0.36</v>
          </cell>
        </row>
        <row r="222">
          <cell r="BM222" t="str">
            <v>F1</v>
          </cell>
          <cell r="BN222">
            <v>0.02</v>
          </cell>
          <cell r="BO222">
            <v>0.02</v>
          </cell>
          <cell r="BP222">
            <v>0.02</v>
          </cell>
          <cell r="BQ222">
            <v>0.02</v>
          </cell>
          <cell r="BR222">
            <v>7.0000000000000001E-3</v>
          </cell>
          <cell r="BS222">
            <v>0.02</v>
          </cell>
          <cell r="BT222">
            <v>0.02</v>
          </cell>
          <cell r="BU222">
            <v>0.02</v>
          </cell>
          <cell r="BV222">
            <v>0</v>
          </cell>
          <cell r="BW222">
            <v>0.02</v>
          </cell>
          <cell r="BX222">
            <v>0.02</v>
          </cell>
          <cell r="BY222">
            <v>-0.05</v>
          </cell>
          <cell r="BZ222">
            <v>0.02</v>
          </cell>
          <cell r="CA222">
            <v>0.04</v>
          </cell>
          <cell r="CB222">
            <v>0.06</v>
          </cell>
          <cell r="CC222">
            <v>0.08</v>
          </cell>
          <cell r="CD222">
            <v>8.7000000000000008E-2</v>
          </cell>
          <cell r="CE222">
            <v>0.10700000000000001</v>
          </cell>
          <cell r="CF222">
            <v>0.127</v>
          </cell>
          <cell r="CG222">
            <v>0.14699999999999999</v>
          </cell>
          <cell r="CH222">
            <v>0.14699999999999999</v>
          </cell>
          <cell r="CI222">
            <v>0.16699999999999998</v>
          </cell>
          <cell r="CJ222">
            <v>0.18699999999999997</v>
          </cell>
          <cell r="CK222">
            <v>0.13699999999999996</v>
          </cell>
        </row>
        <row r="223">
          <cell r="BM223" t="str">
            <v>F2</v>
          </cell>
          <cell r="BN223">
            <v>0.25</v>
          </cell>
          <cell r="BO223">
            <v>0.25</v>
          </cell>
          <cell r="BP223">
            <v>0.25</v>
          </cell>
          <cell r="BQ223">
            <v>0.25</v>
          </cell>
          <cell r="BR223">
            <v>-9.8000000000000004E-2</v>
          </cell>
          <cell r="BS223">
            <v>0.25</v>
          </cell>
          <cell r="BT223">
            <v>0.23</v>
          </cell>
          <cell r="BU223">
            <v>0.25</v>
          </cell>
          <cell r="BV223">
            <v>0.25</v>
          </cell>
          <cell r="BW223">
            <v>0.19</v>
          </cell>
          <cell r="BX223">
            <v>0.25</v>
          </cell>
          <cell r="BY223">
            <v>-0.28999999999999998</v>
          </cell>
          <cell r="BZ223">
            <v>0.25</v>
          </cell>
          <cell r="CA223">
            <v>0.5</v>
          </cell>
          <cell r="CB223">
            <v>0.75</v>
          </cell>
          <cell r="CC223">
            <v>1</v>
          </cell>
          <cell r="CD223">
            <v>0.90200000000000002</v>
          </cell>
          <cell r="CE223">
            <v>1.1520000000000001</v>
          </cell>
          <cell r="CF223">
            <v>1.3820000000000001</v>
          </cell>
          <cell r="CG223">
            <v>1.6320000000000001</v>
          </cell>
          <cell r="CH223">
            <v>1.8820000000000001</v>
          </cell>
          <cell r="CI223">
            <v>2.0720000000000001</v>
          </cell>
          <cell r="CJ223">
            <v>2.3220000000000001</v>
          </cell>
          <cell r="CK223">
            <v>2.032</v>
          </cell>
        </row>
        <row r="224">
          <cell r="BM224" t="str">
            <v>F3</v>
          </cell>
          <cell r="BN224">
            <v>0.03</v>
          </cell>
          <cell r="BO224">
            <v>0.02</v>
          </cell>
          <cell r="BP224">
            <v>0.02</v>
          </cell>
          <cell r="BQ224">
            <v>0.02</v>
          </cell>
          <cell r="BR224">
            <v>-4.8000000000000001E-2</v>
          </cell>
          <cell r="BS224">
            <v>0.02</v>
          </cell>
          <cell r="BT224">
            <v>0.02</v>
          </cell>
          <cell r="BU224">
            <v>0.02</v>
          </cell>
          <cell r="BV224">
            <v>0.02</v>
          </cell>
          <cell r="BW224">
            <v>0</v>
          </cell>
          <cell r="BX224">
            <v>0.02</v>
          </cell>
          <cell r="BY224">
            <v>0.01</v>
          </cell>
          <cell r="BZ224">
            <v>0.03</v>
          </cell>
          <cell r="CA224">
            <v>0.05</v>
          </cell>
          <cell r="CB224">
            <v>7.0000000000000007E-2</v>
          </cell>
          <cell r="CC224">
            <v>9.0000000000000011E-2</v>
          </cell>
          <cell r="CD224">
            <v>4.200000000000001E-2</v>
          </cell>
          <cell r="CE224">
            <v>6.2000000000000013E-2</v>
          </cell>
          <cell r="CF224">
            <v>8.2000000000000017E-2</v>
          </cell>
          <cell r="CG224">
            <v>0.10200000000000002</v>
          </cell>
          <cell r="CH224">
            <v>0.12200000000000003</v>
          </cell>
          <cell r="CI224">
            <v>0.12200000000000003</v>
          </cell>
          <cell r="CJ224">
            <v>0.14200000000000002</v>
          </cell>
          <cell r="CK224">
            <v>0.15200000000000002</v>
          </cell>
        </row>
        <row r="225">
          <cell r="BM225" t="str">
            <v>S1</v>
          </cell>
          <cell r="BN225">
            <v>0.25</v>
          </cell>
          <cell r="BO225">
            <v>0</v>
          </cell>
          <cell r="BP225">
            <v>0</v>
          </cell>
          <cell r="BQ225">
            <v>0</v>
          </cell>
          <cell r="BR225">
            <v>0</v>
          </cell>
          <cell r="BS225">
            <v>0</v>
          </cell>
          <cell r="BT225">
            <v>0</v>
          </cell>
          <cell r="BU225">
            <v>0</v>
          </cell>
          <cell r="BV225">
            <v>0</v>
          </cell>
          <cell r="BW225">
            <v>0</v>
          </cell>
          <cell r="BX225">
            <v>0</v>
          </cell>
          <cell r="BY225">
            <v>0</v>
          </cell>
          <cell r="BZ225">
            <v>0.25</v>
          </cell>
          <cell r="CA225">
            <v>0.25</v>
          </cell>
          <cell r="CB225">
            <v>0.25</v>
          </cell>
          <cell r="CC225">
            <v>0.25</v>
          </cell>
          <cell r="CD225">
            <v>0.25</v>
          </cell>
          <cell r="CE225">
            <v>0.25</v>
          </cell>
          <cell r="CF225">
            <v>0.25</v>
          </cell>
          <cell r="CG225">
            <v>0.25</v>
          </cell>
          <cell r="CH225">
            <v>0.25</v>
          </cell>
          <cell r="CI225">
            <v>0.25</v>
          </cell>
          <cell r="CJ225">
            <v>0.25</v>
          </cell>
          <cell r="CK225">
            <v>0.25</v>
          </cell>
        </row>
        <row r="226">
          <cell r="BM226" t="str">
            <v>S2</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row>
        <row r="227">
          <cell r="BM227" t="str">
            <v>S3</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row>
        <row r="228">
          <cell r="BM228" t="str">
            <v>S4</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row>
        <row r="229">
          <cell r="BM229" t="str">
            <v>S5</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row>
        <row r="230">
          <cell r="BM230" t="str">
            <v>S6</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row>
        <row r="231">
          <cell r="BM231" t="str">
            <v>IT1</v>
          </cell>
          <cell r="BN231">
            <v>2</v>
          </cell>
          <cell r="BO231">
            <v>0</v>
          </cell>
          <cell r="BP231">
            <v>0</v>
          </cell>
          <cell r="BQ231">
            <v>0</v>
          </cell>
          <cell r="BR231">
            <v>0</v>
          </cell>
          <cell r="BS231">
            <v>0</v>
          </cell>
          <cell r="BT231">
            <v>0</v>
          </cell>
          <cell r="BU231">
            <v>0</v>
          </cell>
          <cell r="BV231">
            <v>0</v>
          </cell>
          <cell r="BW231">
            <v>0</v>
          </cell>
          <cell r="BX231">
            <v>0</v>
          </cell>
          <cell r="BY231">
            <v>0</v>
          </cell>
          <cell r="BZ231">
            <v>2</v>
          </cell>
          <cell r="CA231">
            <v>2</v>
          </cell>
          <cell r="CB231">
            <v>2</v>
          </cell>
          <cell r="CC231">
            <v>2</v>
          </cell>
          <cell r="CD231">
            <v>2</v>
          </cell>
          <cell r="CE231">
            <v>2</v>
          </cell>
          <cell r="CF231">
            <v>2</v>
          </cell>
          <cell r="CG231">
            <v>2</v>
          </cell>
          <cell r="CH231">
            <v>2</v>
          </cell>
          <cell r="CI231">
            <v>2</v>
          </cell>
          <cell r="CJ231">
            <v>2</v>
          </cell>
          <cell r="CK231">
            <v>2</v>
          </cell>
        </row>
        <row r="232">
          <cell r="BM232" t="str">
            <v>IT2</v>
          </cell>
          <cell r="BN232">
            <v>1</v>
          </cell>
          <cell r="BO232">
            <v>1</v>
          </cell>
          <cell r="BP232">
            <v>1</v>
          </cell>
          <cell r="BQ232">
            <v>15</v>
          </cell>
          <cell r="BR232">
            <v>0</v>
          </cell>
          <cell r="BS232">
            <v>0</v>
          </cell>
          <cell r="BT232">
            <v>0</v>
          </cell>
          <cell r="BU232">
            <v>0</v>
          </cell>
          <cell r="BV232">
            <v>0</v>
          </cell>
          <cell r="BW232">
            <v>0</v>
          </cell>
          <cell r="BX232">
            <v>0</v>
          </cell>
          <cell r="BY232">
            <v>0</v>
          </cell>
          <cell r="BZ232">
            <v>1</v>
          </cell>
          <cell r="CA232">
            <v>2</v>
          </cell>
          <cell r="CB232">
            <v>3</v>
          </cell>
          <cell r="CC232">
            <v>18</v>
          </cell>
          <cell r="CD232">
            <v>18</v>
          </cell>
          <cell r="CE232">
            <v>18</v>
          </cell>
          <cell r="CF232">
            <v>18</v>
          </cell>
          <cell r="CG232">
            <v>18</v>
          </cell>
          <cell r="CH232">
            <v>18</v>
          </cell>
          <cell r="CI232">
            <v>18</v>
          </cell>
          <cell r="CJ232">
            <v>18</v>
          </cell>
          <cell r="CK232">
            <v>18</v>
          </cell>
        </row>
        <row r="233">
          <cell r="BM233" t="str">
            <v>IT3</v>
          </cell>
          <cell r="BN233">
            <v>0.2</v>
          </cell>
          <cell r="BO233">
            <v>0.2</v>
          </cell>
          <cell r="BP233">
            <v>0.2</v>
          </cell>
          <cell r="BQ233">
            <v>0.2</v>
          </cell>
          <cell r="BR233">
            <v>0.2</v>
          </cell>
          <cell r="BS233">
            <v>0.2</v>
          </cell>
          <cell r="BT233">
            <v>0.13</v>
          </cell>
          <cell r="BU233">
            <v>0.2</v>
          </cell>
          <cell r="BV233">
            <v>0.18</v>
          </cell>
          <cell r="BW233">
            <v>0.02</v>
          </cell>
          <cell r="BX233">
            <v>0.2</v>
          </cell>
          <cell r="BY233">
            <v>0.15</v>
          </cell>
          <cell r="BZ233">
            <v>0.2</v>
          </cell>
          <cell r="CA233">
            <v>0.4</v>
          </cell>
          <cell r="CB233">
            <v>0.60000000000000009</v>
          </cell>
          <cell r="CC233">
            <v>0.8</v>
          </cell>
          <cell r="CD233">
            <v>1</v>
          </cell>
          <cell r="CE233">
            <v>1.2</v>
          </cell>
          <cell r="CF233">
            <v>1.33</v>
          </cell>
          <cell r="CG233">
            <v>1.53</v>
          </cell>
          <cell r="CH233">
            <v>1.71</v>
          </cell>
          <cell r="CI233">
            <v>1.73</v>
          </cell>
          <cell r="CJ233">
            <v>1.93</v>
          </cell>
          <cell r="CK233">
            <v>2.08</v>
          </cell>
        </row>
        <row r="234">
          <cell r="BM234" t="str">
            <v>WH1</v>
          </cell>
          <cell r="BN234">
            <v>0.04</v>
          </cell>
          <cell r="BO234">
            <v>0.04</v>
          </cell>
          <cell r="BP234">
            <v>0.04</v>
          </cell>
          <cell r="BQ234">
            <v>0.04</v>
          </cell>
          <cell r="BR234">
            <v>-3.5999999999999997E-2</v>
          </cell>
          <cell r="BS234">
            <v>0.06</v>
          </cell>
          <cell r="BT234">
            <v>0.01</v>
          </cell>
          <cell r="BU234">
            <v>0.04</v>
          </cell>
          <cell r="BV234">
            <v>0.04</v>
          </cell>
          <cell r="BW234">
            <v>0.04</v>
          </cell>
          <cell r="BX234">
            <v>0.04</v>
          </cell>
          <cell r="BY234">
            <v>-0.04</v>
          </cell>
          <cell r="BZ234">
            <v>0.04</v>
          </cell>
          <cell r="CA234">
            <v>0.08</v>
          </cell>
          <cell r="CB234">
            <v>0.12</v>
          </cell>
          <cell r="CC234">
            <v>0.16</v>
          </cell>
          <cell r="CD234">
            <v>0.124</v>
          </cell>
          <cell r="CE234">
            <v>0.184</v>
          </cell>
          <cell r="CF234">
            <v>0.19400000000000001</v>
          </cell>
          <cell r="CG234">
            <v>0.23400000000000001</v>
          </cell>
          <cell r="CH234">
            <v>0.27400000000000002</v>
          </cell>
          <cell r="CI234">
            <v>0.314</v>
          </cell>
          <cell r="CJ234">
            <v>0.35399999999999998</v>
          </cell>
          <cell r="CK234">
            <v>0.314</v>
          </cell>
        </row>
        <row r="235">
          <cell r="BM235" t="str">
            <v>WH2</v>
          </cell>
          <cell r="BN235">
            <v>0.17</v>
          </cell>
          <cell r="BO235">
            <v>0.17</v>
          </cell>
          <cell r="BP235">
            <v>-3.999999999999998E-2</v>
          </cell>
          <cell r="BQ235">
            <v>0.17</v>
          </cell>
          <cell r="BR235">
            <v>-0.313</v>
          </cell>
          <cell r="BS235">
            <v>3.1E-2</v>
          </cell>
          <cell r="BT235">
            <v>0.15</v>
          </cell>
          <cell r="BU235">
            <v>0.17</v>
          </cell>
          <cell r="BV235">
            <v>0.14000000000000001</v>
          </cell>
          <cell r="BW235">
            <v>0.08</v>
          </cell>
          <cell r="BX235">
            <v>0</v>
          </cell>
          <cell r="BY235">
            <v>-0.01</v>
          </cell>
          <cell r="BZ235">
            <v>0.17</v>
          </cell>
          <cell r="CA235">
            <v>0.34</v>
          </cell>
          <cell r="CB235">
            <v>0.30000000000000004</v>
          </cell>
          <cell r="CC235">
            <v>0.47000000000000008</v>
          </cell>
          <cell r="CD235">
            <v>0.15700000000000008</v>
          </cell>
          <cell r="CE235">
            <v>0.18800000000000008</v>
          </cell>
          <cell r="CF235">
            <v>0.33800000000000008</v>
          </cell>
          <cell r="CG235">
            <v>0.50800000000000012</v>
          </cell>
          <cell r="CH235">
            <v>0.64800000000000013</v>
          </cell>
          <cell r="CI235">
            <v>0.72800000000000009</v>
          </cell>
          <cell r="CJ235">
            <v>0.72800000000000009</v>
          </cell>
          <cell r="CK235">
            <v>0.71800000000000008</v>
          </cell>
        </row>
        <row r="236">
          <cell r="BM236" t="str">
            <v>BR1</v>
          </cell>
          <cell r="BN236">
            <v>0.24</v>
          </cell>
          <cell r="BO236">
            <v>0</v>
          </cell>
          <cell r="BP236">
            <v>0</v>
          </cell>
          <cell r="BQ236">
            <v>0</v>
          </cell>
          <cell r="BR236">
            <v>0</v>
          </cell>
          <cell r="BS236">
            <v>0</v>
          </cell>
          <cell r="BT236">
            <v>0</v>
          </cell>
          <cell r="BU236">
            <v>0</v>
          </cell>
          <cell r="BV236">
            <v>0</v>
          </cell>
          <cell r="BW236">
            <v>0</v>
          </cell>
          <cell r="BX236">
            <v>0</v>
          </cell>
          <cell r="BY236">
            <v>0</v>
          </cell>
          <cell r="BZ236">
            <v>0.24</v>
          </cell>
          <cell r="CA236">
            <v>0.24</v>
          </cell>
          <cell r="CB236">
            <v>0.24</v>
          </cell>
          <cell r="CC236">
            <v>0.24</v>
          </cell>
          <cell r="CD236">
            <v>0.24</v>
          </cell>
          <cell r="CE236">
            <v>0.24</v>
          </cell>
          <cell r="CF236">
            <v>0.24</v>
          </cell>
          <cell r="CG236">
            <v>0.24</v>
          </cell>
          <cell r="CH236">
            <v>0.24</v>
          </cell>
          <cell r="CI236">
            <v>0.24</v>
          </cell>
          <cell r="CJ236">
            <v>0.24</v>
          </cell>
          <cell r="CK236">
            <v>0.24</v>
          </cell>
        </row>
        <row r="237">
          <cell r="BM237" t="str">
            <v>BR2</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row>
        <row r="238">
          <cell r="BM238" t="str">
            <v>BR3</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row>
        <row r="239">
          <cell r="BM239" t="str">
            <v>BR4</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row>
        <row r="240">
          <cell r="BM240" t="str">
            <v>PHR1</v>
          </cell>
          <cell r="BN240">
            <v>6</v>
          </cell>
          <cell r="BO240">
            <v>7.5</v>
          </cell>
          <cell r="BP240">
            <v>0.87999999999999989</v>
          </cell>
          <cell r="BQ240">
            <v>5.65</v>
          </cell>
          <cell r="BR240">
            <v>4.28</v>
          </cell>
          <cell r="BS240">
            <v>2</v>
          </cell>
          <cell r="BT240">
            <v>3.75</v>
          </cell>
          <cell r="BU240">
            <v>0.89</v>
          </cell>
          <cell r="BV240">
            <v>3.25</v>
          </cell>
          <cell r="BW240">
            <v>5.0999999999999996</v>
          </cell>
          <cell r="BX240">
            <v>3.71</v>
          </cell>
          <cell r="BY240">
            <v>4.21</v>
          </cell>
          <cell r="BZ240">
            <v>6</v>
          </cell>
          <cell r="CA240">
            <v>13.5</v>
          </cell>
          <cell r="CB240">
            <v>14.379999999999999</v>
          </cell>
          <cell r="CC240">
            <v>20.03</v>
          </cell>
          <cell r="CD240">
            <v>24.310000000000002</v>
          </cell>
          <cell r="CE240">
            <v>26.310000000000002</v>
          </cell>
          <cell r="CF240">
            <v>30.060000000000002</v>
          </cell>
          <cell r="CG240">
            <v>30.950000000000003</v>
          </cell>
          <cell r="CH240">
            <v>34.200000000000003</v>
          </cell>
          <cell r="CI240">
            <v>39.300000000000004</v>
          </cell>
          <cell r="CJ240">
            <v>43.010000000000005</v>
          </cell>
          <cell r="CK240">
            <v>47.220000000000006</v>
          </cell>
        </row>
        <row r="241">
          <cell r="BM241" t="str">
            <v>PHR2</v>
          </cell>
          <cell r="BN241">
            <v>0</v>
          </cell>
          <cell r="BO241">
            <v>0</v>
          </cell>
          <cell r="BP241">
            <v>0.05</v>
          </cell>
          <cell r="BQ241">
            <v>0</v>
          </cell>
          <cell r="BR241">
            <v>-0.01</v>
          </cell>
          <cell r="BS241">
            <v>0</v>
          </cell>
          <cell r="BT241">
            <v>0</v>
          </cell>
          <cell r="BU241">
            <v>0</v>
          </cell>
          <cell r="BV241">
            <v>0</v>
          </cell>
          <cell r="BW241">
            <v>0</v>
          </cell>
          <cell r="BX241">
            <v>0</v>
          </cell>
          <cell r="BY241">
            <v>0</v>
          </cell>
          <cell r="BZ241">
            <v>0</v>
          </cell>
          <cell r="CA241">
            <v>0</v>
          </cell>
          <cell r="CB241">
            <v>0.05</v>
          </cell>
          <cell r="CC241">
            <v>0.05</v>
          </cell>
          <cell r="CD241">
            <v>0.04</v>
          </cell>
          <cell r="CE241">
            <v>0.04</v>
          </cell>
          <cell r="CF241">
            <v>0.04</v>
          </cell>
          <cell r="CG241">
            <v>0.04</v>
          </cell>
          <cell r="CH241">
            <v>0.04</v>
          </cell>
          <cell r="CI241">
            <v>0.04</v>
          </cell>
          <cell r="CJ241">
            <v>0.04</v>
          </cell>
          <cell r="CK241">
            <v>0.04</v>
          </cell>
        </row>
        <row r="242">
          <cell r="BM242" t="str">
            <v>PHR3</v>
          </cell>
          <cell r="BN242">
            <v>0.15</v>
          </cell>
          <cell r="BO242">
            <v>0.15</v>
          </cell>
          <cell r="BP242">
            <v>0.15</v>
          </cell>
          <cell r="BQ242">
            <v>0.15</v>
          </cell>
          <cell r="BR242">
            <v>0.15</v>
          </cell>
          <cell r="BS242">
            <v>0.15</v>
          </cell>
          <cell r="BT242">
            <v>0.16</v>
          </cell>
          <cell r="BU242">
            <v>0.15</v>
          </cell>
          <cell r="BV242">
            <v>0.15</v>
          </cell>
          <cell r="BW242">
            <v>0.15</v>
          </cell>
          <cell r="BX242">
            <v>0.15</v>
          </cell>
          <cell r="BY242">
            <v>0.15</v>
          </cell>
          <cell r="BZ242">
            <v>0.15</v>
          </cell>
          <cell r="CA242">
            <v>0.3</v>
          </cell>
          <cell r="CB242">
            <v>0.44999999999999996</v>
          </cell>
          <cell r="CC242">
            <v>0.6</v>
          </cell>
          <cell r="CD242">
            <v>0.75</v>
          </cell>
          <cell r="CE242">
            <v>0.9</v>
          </cell>
          <cell r="CF242">
            <v>1.06</v>
          </cell>
          <cell r="CG242">
            <v>1.21</v>
          </cell>
          <cell r="CH242">
            <v>1.3599999999999999</v>
          </cell>
          <cell r="CI242">
            <v>1.5099999999999998</v>
          </cell>
          <cell r="CJ242">
            <v>1.6599999999999997</v>
          </cell>
          <cell r="CK242">
            <v>1.8099999999999996</v>
          </cell>
        </row>
        <row r="243">
          <cell r="BM243" t="str">
            <v>PHR4</v>
          </cell>
          <cell r="BN243">
            <v>1</v>
          </cell>
          <cell r="BO243">
            <v>1</v>
          </cell>
          <cell r="BP243">
            <v>1</v>
          </cell>
          <cell r="BQ243">
            <v>1</v>
          </cell>
          <cell r="BR243">
            <v>0.39</v>
          </cell>
          <cell r="BS243">
            <v>0.69</v>
          </cell>
          <cell r="BT243">
            <v>1</v>
          </cell>
          <cell r="BU243">
            <v>1</v>
          </cell>
          <cell r="BV243">
            <v>0.8</v>
          </cell>
          <cell r="BW243">
            <v>0.67</v>
          </cell>
          <cell r="BX243">
            <v>0.95</v>
          </cell>
          <cell r="BY243">
            <v>1</v>
          </cell>
          <cell r="BZ243">
            <v>1</v>
          </cell>
          <cell r="CA243">
            <v>2</v>
          </cell>
          <cell r="CB243">
            <v>3</v>
          </cell>
          <cell r="CC243">
            <v>4</v>
          </cell>
          <cell r="CD243">
            <v>4.3899999999999997</v>
          </cell>
          <cell r="CE243">
            <v>5.08</v>
          </cell>
          <cell r="CF243">
            <v>6.08</v>
          </cell>
          <cell r="CG243">
            <v>7.08</v>
          </cell>
          <cell r="CH243">
            <v>7.88</v>
          </cell>
          <cell r="CI243">
            <v>8.5500000000000007</v>
          </cell>
          <cell r="CJ243">
            <v>9.5</v>
          </cell>
          <cell r="CK243">
            <v>10.5</v>
          </cell>
        </row>
        <row r="244">
          <cell r="BM244" t="str">
            <v>PHR5</v>
          </cell>
          <cell r="BN244">
            <v>0</v>
          </cell>
          <cell r="BO244">
            <v>0</v>
          </cell>
          <cell r="BP244">
            <v>0.12</v>
          </cell>
          <cell r="BQ244">
            <v>0</v>
          </cell>
          <cell r="BR244">
            <v>-0.12</v>
          </cell>
          <cell r="BS244">
            <v>0</v>
          </cell>
          <cell r="BT244">
            <v>0</v>
          </cell>
          <cell r="BU244">
            <v>0</v>
          </cell>
          <cell r="BV244">
            <v>0</v>
          </cell>
          <cell r="BW244">
            <v>0</v>
          </cell>
          <cell r="BX244">
            <v>0</v>
          </cell>
          <cell r="BY244">
            <v>0</v>
          </cell>
          <cell r="BZ244">
            <v>0</v>
          </cell>
          <cell r="CA244">
            <v>0</v>
          </cell>
          <cell r="CB244">
            <v>0.12</v>
          </cell>
          <cell r="CC244">
            <v>0.12</v>
          </cell>
          <cell r="CD244">
            <v>0</v>
          </cell>
          <cell r="CE244">
            <v>0</v>
          </cell>
          <cell r="CF244">
            <v>0</v>
          </cell>
          <cell r="CG244">
            <v>0</v>
          </cell>
          <cell r="CH244">
            <v>0</v>
          </cell>
          <cell r="CI244">
            <v>0</v>
          </cell>
          <cell r="CJ244">
            <v>0</v>
          </cell>
          <cell r="CK244">
            <v>0</v>
          </cell>
        </row>
        <row r="245">
          <cell r="BM245" t="str">
            <v>PHR6</v>
          </cell>
          <cell r="BN245">
            <v>0.02</v>
          </cell>
          <cell r="BO245">
            <v>0.02</v>
          </cell>
          <cell r="BP245">
            <v>0.02</v>
          </cell>
          <cell r="BQ245">
            <v>0.02</v>
          </cell>
          <cell r="BR245">
            <v>-2.1999999999999999E-2</v>
          </cell>
          <cell r="BS245">
            <v>0.02</v>
          </cell>
          <cell r="BT245">
            <v>0.02</v>
          </cell>
          <cell r="BU245">
            <v>0.02</v>
          </cell>
          <cell r="BV245">
            <v>0</v>
          </cell>
          <cell r="BW245">
            <v>0.02</v>
          </cell>
          <cell r="BX245">
            <v>0.02</v>
          </cell>
          <cell r="BY245">
            <v>-0.04</v>
          </cell>
          <cell r="BZ245">
            <v>0.02</v>
          </cell>
          <cell r="CA245">
            <v>0.04</v>
          </cell>
          <cell r="CB245">
            <v>0.06</v>
          </cell>
          <cell r="CC245">
            <v>0.08</v>
          </cell>
          <cell r="CD245">
            <v>5.8000000000000003E-2</v>
          </cell>
          <cell r="CE245">
            <v>7.8E-2</v>
          </cell>
          <cell r="CF245">
            <v>9.8000000000000004E-2</v>
          </cell>
          <cell r="CG245">
            <v>0.11800000000000001</v>
          </cell>
          <cell r="CH245">
            <v>0.11800000000000001</v>
          </cell>
          <cell r="CI245">
            <v>0.13800000000000001</v>
          </cell>
          <cell r="CJ245">
            <v>0.158</v>
          </cell>
          <cell r="CK245">
            <v>0.11799999999999999</v>
          </cell>
        </row>
        <row r="246">
          <cell r="BM246" t="str">
            <v>PHR7</v>
          </cell>
          <cell r="BN246">
            <v>0.33</v>
          </cell>
          <cell r="BO246">
            <v>0.33</v>
          </cell>
          <cell r="BP246">
            <v>0.19</v>
          </cell>
          <cell r="BQ246">
            <v>0.33</v>
          </cell>
          <cell r="BR246">
            <v>0.17699999999999999</v>
          </cell>
          <cell r="BS246">
            <v>0.32</v>
          </cell>
          <cell r="BT246">
            <v>0.3</v>
          </cell>
          <cell r="BU246">
            <v>0.25</v>
          </cell>
          <cell r="BV246">
            <v>0.33</v>
          </cell>
          <cell r="BW246">
            <v>0.33</v>
          </cell>
          <cell r="BX246">
            <v>0.3</v>
          </cell>
          <cell r="BY246">
            <v>7.0000000000000007E-2</v>
          </cell>
          <cell r="BZ246">
            <v>0.33</v>
          </cell>
          <cell r="CA246">
            <v>0.66</v>
          </cell>
          <cell r="CB246">
            <v>0.85000000000000009</v>
          </cell>
          <cell r="CC246">
            <v>1.1800000000000002</v>
          </cell>
          <cell r="CD246">
            <v>1.3570000000000002</v>
          </cell>
          <cell r="CE246">
            <v>1.6770000000000003</v>
          </cell>
          <cell r="CF246">
            <v>1.9770000000000003</v>
          </cell>
          <cell r="CG246">
            <v>2.2270000000000003</v>
          </cell>
          <cell r="CH246">
            <v>2.5570000000000004</v>
          </cell>
          <cell r="CI246">
            <v>2.8870000000000005</v>
          </cell>
          <cell r="CJ246">
            <v>3.1870000000000003</v>
          </cell>
          <cell r="CK246">
            <v>3.2570000000000001</v>
          </cell>
        </row>
        <row r="247">
          <cell r="BM247" t="str">
            <v>PHR8</v>
          </cell>
          <cell r="BN247">
            <v>0.42</v>
          </cell>
          <cell r="BO247">
            <v>0.4</v>
          </cell>
          <cell r="BP247">
            <v>0.18</v>
          </cell>
          <cell r="BQ247">
            <v>0.42</v>
          </cell>
          <cell r="BR247">
            <v>-0.439</v>
          </cell>
          <cell r="BS247">
            <v>4.07</v>
          </cell>
          <cell r="BT247">
            <v>0.25</v>
          </cell>
          <cell r="BU247">
            <v>0.87</v>
          </cell>
          <cell r="BV247">
            <v>0.2</v>
          </cell>
          <cell r="BW247">
            <v>0.13</v>
          </cell>
          <cell r="BX247">
            <v>0.24</v>
          </cell>
          <cell r="BY247">
            <v>-0.77</v>
          </cell>
          <cell r="BZ247">
            <v>0.42</v>
          </cell>
          <cell r="CA247">
            <v>0.82000000000000006</v>
          </cell>
          <cell r="CB247">
            <v>1</v>
          </cell>
          <cell r="CC247">
            <v>1.42</v>
          </cell>
          <cell r="CD247">
            <v>0.98099999999999987</v>
          </cell>
          <cell r="CE247">
            <v>5.0510000000000002</v>
          </cell>
          <cell r="CF247">
            <v>5.3010000000000002</v>
          </cell>
          <cell r="CG247">
            <v>6.1710000000000003</v>
          </cell>
          <cell r="CH247">
            <v>6.3710000000000004</v>
          </cell>
          <cell r="CI247">
            <v>6.5010000000000003</v>
          </cell>
          <cell r="CJ247">
            <v>6.7410000000000005</v>
          </cell>
          <cell r="CK247">
            <v>5.9710000000000001</v>
          </cell>
        </row>
        <row r="248">
          <cell r="BM248" t="str">
            <v>PHR9</v>
          </cell>
          <cell r="BN248">
            <v>0.33</v>
          </cell>
          <cell r="BO248">
            <v>0.43</v>
          </cell>
          <cell r="BP248">
            <v>0.93</v>
          </cell>
          <cell r="BQ248">
            <v>0.33</v>
          </cell>
          <cell r="BR248">
            <v>0.33</v>
          </cell>
          <cell r="BS248">
            <v>0.32</v>
          </cell>
          <cell r="BT248">
            <v>0.13</v>
          </cell>
          <cell r="BU248">
            <v>0.33</v>
          </cell>
          <cell r="BV248">
            <v>0.35</v>
          </cell>
          <cell r="BW248">
            <v>0.33</v>
          </cell>
          <cell r="BX248">
            <v>0.33</v>
          </cell>
          <cell r="BY248">
            <v>0.43</v>
          </cell>
          <cell r="BZ248">
            <v>0.33</v>
          </cell>
          <cell r="CA248">
            <v>0.76</v>
          </cell>
          <cell r="CB248">
            <v>1.69</v>
          </cell>
          <cell r="CC248">
            <v>2.02</v>
          </cell>
          <cell r="CD248">
            <v>2.35</v>
          </cell>
          <cell r="CE248">
            <v>2.67</v>
          </cell>
          <cell r="CF248">
            <v>2.8</v>
          </cell>
          <cell r="CG248">
            <v>3.13</v>
          </cell>
          <cell r="CH248">
            <v>3.48</v>
          </cell>
          <cell r="CI248">
            <v>3.81</v>
          </cell>
          <cell r="CJ248">
            <v>4.1399999999999997</v>
          </cell>
          <cell r="CK248">
            <v>4.5699999999999994</v>
          </cell>
        </row>
        <row r="249">
          <cell r="BM249" t="str">
            <v>PHR10</v>
          </cell>
          <cell r="BN249">
            <v>0.4</v>
          </cell>
          <cell r="BO249">
            <v>0.4</v>
          </cell>
          <cell r="BP249">
            <v>1.4</v>
          </cell>
          <cell r="BQ249">
            <v>0.4</v>
          </cell>
          <cell r="BR249">
            <v>-0.16400000000000001</v>
          </cell>
          <cell r="BS249">
            <v>0.38</v>
          </cell>
          <cell r="BT249">
            <v>0.39</v>
          </cell>
          <cell r="BU249">
            <v>0.39</v>
          </cell>
          <cell r="BV249">
            <v>1.4</v>
          </cell>
          <cell r="BW249">
            <v>0.4</v>
          </cell>
          <cell r="BX249">
            <v>0.4</v>
          </cell>
          <cell r="BY249">
            <v>1.5</v>
          </cell>
          <cell r="BZ249">
            <v>0.4</v>
          </cell>
          <cell r="CA249">
            <v>0.8</v>
          </cell>
          <cell r="CB249">
            <v>2.2000000000000002</v>
          </cell>
          <cell r="CC249">
            <v>2.6</v>
          </cell>
          <cell r="CD249">
            <v>2.4359999999999999</v>
          </cell>
          <cell r="CE249">
            <v>2.8159999999999998</v>
          </cell>
          <cell r="CF249">
            <v>3.206</v>
          </cell>
          <cell r="CG249">
            <v>3.5960000000000001</v>
          </cell>
          <cell r="CH249">
            <v>4.9960000000000004</v>
          </cell>
          <cell r="CI249">
            <v>5.3960000000000008</v>
          </cell>
          <cell r="CJ249">
            <v>5.7960000000000012</v>
          </cell>
          <cell r="CK249">
            <v>7.2960000000000012</v>
          </cell>
        </row>
        <row r="250">
          <cell r="BM250" t="str">
            <v>PHR11</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row>
        <row r="251">
          <cell r="BM251" t="str">
            <v>PHR12</v>
          </cell>
          <cell r="BN251">
            <v>0.8</v>
          </cell>
          <cell r="BO251">
            <v>0.8</v>
          </cell>
          <cell r="BP251">
            <v>0.8</v>
          </cell>
          <cell r="BQ251">
            <v>0.9</v>
          </cell>
          <cell r="BR251">
            <v>0.8</v>
          </cell>
          <cell r="BS251">
            <v>0.87</v>
          </cell>
          <cell r="BT251">
            <v>0.9</v>
          </cell>
          <cell r="BU251">
            <v>0.8</v>
          </cell>
          <cell r="BV251">
            <v>0.8</v>
          </cell>
          <cell r="BW251">
            <v>0.9</v>
          </cell>
          <cell r="BX251">
            <v>0.8</v>
          </cell>
          <cell r="BY251">
            <v>0.86</v>
          </cell>
          <cell r="BZ251">
            <v>0.8</v>
          </cell>
          <cell r="CA251">
            <v>1.6</v>
          </cell>
          <cell r="CB251">
            <v>2.4000000000000004</v>
          </cell>
          <cell r="CC251">
            <v>3.3000000000000003</v>
          </cell>
          <cell r="CD251">
            <v>4.1000000000000005</v>
          </cell>
          <cell r="CE251">
            <v>4.9700000000000006</v>
          </cell>
          <cell r="CF251">
            <v>5.870000000000001</v>
          </cell>
          <cell r="CG251">
            <v>6.6700000000000008</v>
          </cell>
          <cell r="CH251">
            <v>7.4700000000000006</v>
          </cell>
          <cell r="CI251">
            <v>8.370000000000001</v>
          </cell>
          <cell r="CJ251">
            <v>9.1700000000000017</v>
          </cell>
          <cell r="CK251">
            <v>10.030000000000001</v>
          </cell>
        </row>
        <row r="252">
          <cell r="BM252" t="str">
            <v>PHR13</v>
          </cell>
          <cell r="BN252">
            <v>0.2</v>
          </cell>
          <cell r="BO252">
            <v>0.2</v>
          </cell>
          <cell r="BP252">
            <v>0.2</v>
          </cell>
          <cell r="BQ252">
            <v>0.2</v>
          </cell>
          <cell r="BR252">
            <v>0.10299999999999999</v>
          </cell>
          <cell r="BS252">
            <v>0.18</v>
          </cell>
          <cell r="BT252">
            <v>0.18</v>
          </cell>
          <cell r="BU252">
            <v>0.16</v>
          </cell>
          <cell r="BV252">
            <v>0.2</v>
          </cell>
          <cell r="BW252">
            <v>0.14000000000000001</v>
          </cell>
          <cell r="BX252">
            <v>0.16</v>
          </cell>
          <cell r="BY252">
            <v>0.16</v>
          </cell>
          <cell r="BZ252">
            <v>0.2</v>
          </cell>
          <cell r="CA252">
            <v>0.4</v>
          </cell>
          <cell r="CB252">
            <v>0.60000000000000009</v>
          </cell>
          <cell r="CC252">
            <v>0.8</v>
          </cell>
          <cell r="CD252">
            <v>0.90300000000000002</v>
          </cell>
          <cell r="CE252">
            <v>1.083</v>
          </cell>
          <cell r="CF252">
            <v>1.2629999999999999</v>
          </cell>
          <cell r="CG252">
            <v>1.4229999999999998</v>
          </cell>
          <cell r="CH252">
            <v>1.6229999999999998</v>
          </cell>
          <cell r="CI252">
            <v>1.7629999999999999</v>
          </cell>
          <cell r="CJ252">
            <v>1.9229999999999998</v>
          </cell>
          <cell r="CK252">
            <v>2.0829999999999997</v>
          </cell>
        </row>
        <row r="253">
          <cell r="BM253" t="str">
            <v>PHR14</v>
          </cell>
          <cell r="BN253">
            <v>0.5</v>
          </cell>
          <cell r="BO253">
            <v>0.5</v>
          </cell>
          <cell r="BP253">
            <v>0.5</v>
          </cell>
          <cell r="BQ253">
            <v>0.5</v>
          </cell>
          <cell r="BR253">
            <v>-1.99</v>
          </cell>
          <cell r="BS253">
            <v>0.05</v>
          </cell>
          <cell r="BT253">
            <v>0.21</v>
          </cell>
          <cell r="BU253">
            <v>0</v>
          </cell>
          <cell r="BV253">
            <v>0.5</v>
          </cell>
          <cell r="BW253">
            <v>0.18</v>
          </cell>
          <cell r="BX253">
            <v>0.5</v>
          </cell>
          <cell r="BY253">
            <v>0.34</v>
          </cell>
          <cell r="BZ253">
            <v>0.5</v>
          </cell>
          <cell r="CA253">
            <v>1</v>
          </cell>
          <cell r="CB253">
            <v>1.5</v>
          </cell>
          <cell r="CC253">
            <v>2</v>
          </cell>
          <cell r="CD253">
            <v>1.0000000000000009E-2</v>
          </cell>
          <cell r="CE253">
            <v>6.0000000000000012E-2</v>
          </cell>
          <cell r="CF253">
            <v>0.27</v>
          </cell>
          <cell r="CG253">
            <v>0.27</v>
          </cell>
          <cell r="CH253">
            <v>0.77</v>
          </cell>
          <cell r="CI253">
            <v>0.95</v>
          </cell>
          <cell r="CJ253">
            <v>1.45</v>
          </cell>
          <cell r="CK253">
            <v>1.79</v>
          </cell>
        </row>
        <row r="254">
          <cell r="BM254" t="str">
            <v>PHR15</v>
          </cell>
          <cell r="BN254">
            <v>0.1</v>
          </cell>
          <cell r="BO254">
            <v>0.1</v>
          </cell>
          <cell r="BP254">
            <v>7.0000000000000007E-2</v>
          </cell>
          <cell r="BQ254">
            <v>0.1</v>
          </cell>
          <cell r="BR254">
            <v>1E-3</v>
          </cell>
          <cell r="BS254">
            <v>0.09</v>
          </cell>
          <cell r="BT254">
            <v>0.11</v>
          </cell>
          <cell r="BU254">
            <v>0.09</v>
          </cell>
          <cell r="BV254">
            <v>0.09</v>
          </cell>
          <cell r="BW254">
            <v>0.05</v>
          </cell>
          <cell r="BX254">
            <v>0.1</v>
          </cell>
          <cell r="BY254">
            <v>-0.13</v>
          </cell>
          <cell r="BZ254">
            <v>0.1</v>
          </cell>
          <cell r="CA254">
            <v>0.2</v>
          </cell>
          <cell r="CB254">
            <v>0.27</v>
          </cell>
          <cell r="CC254">
            <v>0.37</v>
          </cell>
          <cell r="CD254">
            <v>0.371</v>
          </cell>
          <cell r="CE254">
            <v>0.46099999999999997</v>
          </cell>
          <cell r="CF254">
            <v>0.57099999999999995</v>
          </cell>
          <cell r="CG254">
            <v>0.66099999999999992</v>
          </cell>
          <cell r="CH254">
            <v>0.75099999999999989</v>
          </cell>
          <cell r="CI254">
            <v>0.80099999999999993</v>
          </cell>
          <cell r="CJ254">
            <v>0.90099999999999991</v>
          </cell>
          <cell r="CK254">
            <v>0.77099999999999991</v>
          </cell>
        </row>
        <row r="255">
          <cell r="BM255" t="str">
            <v>PHR16</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row>
        <row r="256">
          <cell r="BM256" t="str">
            <v>PHR17</v>
          </cell>
          <cell r="BN256">
            <v>0.04</v>
          </cell>
          <cell r="BO256">
            <v>0.04</v>
          </cell>
          <cell r="BP256">
            <v>0.06</v>
          </cell>
          <cell r="BQ256">
            <v>0.04</v>
          </cell>
          <cell r="BR256">
            <v>-0.10299999999999999</v>
          </cell>
          <cell r="BS256">
            <v>5.0000000000000001E-3</v>
          </cell>
          <cell r="BT256">
            <v>0</v>
          </cell>
          <cell r="BU256">
            <v>1.1400000000000001</v>
          </cell>
          <cell r="BV256">
            <v>0.04</v>
          </cell>
          <cell r="BW256">
            <v>0.03</v>
          </cell>
          <cell r="BX256">
            <v>0.04</v>
          </cell>
          <cell r="BY256">
            <v>-0.04</v>
          </cell>
          <cell r="BZ256">
            <v>0.04</v>
          </cell>
          <cell r="CA256">
            <v>0.08</v>
          </cell>
          <cell r="CB256">
            <v>0.14000000000000001</v>
          </cell>
          <cell r="CC256">
            <v>0.18000000000000002</v>
          </cell>
          <cell r="CD256">
            <v>7.7000000000000027E-2</v>
          </cell>
          <cell r="CE256">
            <v>8.2000000000000031E-2</v>
          </cell>
          <cell r="CF256">
            <v>8.2000000000000031E-2</v>
          </cell>
          <cell r="CG256">
            <v>1.2220000000000002</v>
          </cell>
          <cell r="CH256">
            <v>1.2620000000000002</v>
          </cell>
          <cell r="CI256">
            <v>1.2920000000000003</v>
          </cell>
          <cell r="CJ256">
            <v>1.3320000000000003</v>
          </cell>
          <cell r="CK256">
            <v>1.2920000000000003</v>
          </cell>
        </row>
        <row r="257">
          <cell r="BM257" t="str">
            <v>PHR18</v>
          </cell>
          <cell r="BN257">
            <v>0.02</v>
          </cell>
          <cell r="BO257">
            <v>0.02</v>
          </cell>
          <cell r="BP257">
            <v>-3.9999999999999994E-2</v>
          </cell>
          <cell r="BQ257">
            <v>0.02</v>
          </cell>
          <cell r="BR257">
            <v>7.5999999999999998E-2</v>
          </cell>
          <cell r="BS257">
            <v>4.0000000000000001E-3</v>
          </cell>
          <cell r="BT257">
            <v>0</v>
          </cell>
          <cell r="BU257">
            <v>0</v>
          </cell>
          <cell r="BV257">
            <v>0</v>
          </cell>
          <cell r="BW257">
            <v>0</v>
          </cell>
          <cell r="BX257">
            <v>0</v>
          </cell>
          <cell r="BY257">
            <v>0</v>
          </cell>
          <cell r="BZ257">
            <v>0.02</v>
          </cell>
          <cell r="CA257">
            <v>0.04</v>
          </cell>
          <cell r="CB257">
            <v>0</v>
          </cell>
          <cell r="CC257">
            <v>0.02</v>
          </cell>
          <cell r="CD257">
            <v>9.6000000000000002E-2</v>
          </cell>
          <cell r="CE257">
            <v>0.1</v>
          </cell>
          <cell r="CF257">
            <v>0.1</v>
          </cell>
          <cell r="CG257">
            <v>0.1</v>
          </cell>
          <cell r="CH257">
            <v>0.1</v>
          </cell>
          <cell r="CI257">
            <v>0.1</v>
          </cell>
          <cell r="CJ257">
            <v>0.1</v>
          </cell>
          <cell r="CK257">
            <v>0.1</v>
          </cell>
        </row>
        <row r="258">
          <cell r="BM258" t="str">
            <v>PHR19</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row>
        <row r="259">
          <cell r="BM259" t="str">
            <v>PHR20</v>
          </cell>
          <cell r="BN259">
            <v>0.09</v>
          </cell>
          <cell r="BO259">
            <v>0.09</v>
          </cell>
          <cell r="BP259">
            <v>0.1</v>
          </cell>
          <cell r="BQ259">
            <v>0.09</v>
          </cell>
          <cell r="BR259">
            <v>-0.37</v>
          </cell>
          <cell r="BS259">
            <v>0.09</v>
          </cell>
          <cell r="BT259">
            <v>0.09</v>
          </cell>
          <cell r="BU259">
            <v>0.08</v>
          </cell>
          <cell r="BV259">
            <v>0.08</v>
          </cell>
          <cell r="BW259">
            <v>0.1</v>
          </cell>
          <cell r="BX259">
            <v>0.01</v>
          </cell>
          <cell r="BY259">
            <v>7.0000000000000007E-2</v>
          </cell>
          <cell r="BZ259">
            <v>0.09</v>
          </cell>
          <cell r="CA259">
            <v>0.18</v>
          </cell>
          <cell r="CB259">
            <v>0.28000000000000003</v>
          </cell>
          <cell r="CC259">
            <v>0.37</v>
          </cell>
          <cell r="CD259">
            <v>0</v>
          </cell>
          <cell r="CE259">
            <v>0.09</v>
          </cell>
          <cell r="CF259">
            <v>0.18</v>
          </cell>
          <cell r="CG259">
            <v>0.26</v>
          </cell>
          <cell r="CH259">
            <v>0.34</v>
          </cell>
          <cell r="CI259">
            <v>0.44000000000000006</v>
          </cell>
          <cell r="CJ259">
            <v>0.45000000000000007</v>
          </cell>
          <cell r="CK259">
            <v>0.52</v>
          </cell>
        </row>
        <row r="260">
          <cell r="BM260" t="str">
            <v>PHR21</v>
          </cell>
          <cell r="BN260">
            <v>0.02</v>
          </cell>
          <cell r="BO260">
            <v>0.02</v>
          </cell>
          <cell r="BP260">
            <v>0.02</v>
          </cell>
          <cell r="BQ260">
            <v>0.02</v>
          </cell>
          <cell r="BR260">
            <v>0.02</v>
          </cell>
          <cell r="BS260">
            <v>0.02</v>
          </cell>
          <cell r="BT260">
            <v>0.02</v>
          </cell>
          <cell r="BU260">
            <v>0.02</v>
          </cell>
          <cell r="BV260">
            <v>0.02</v>
          </cell>
          <cell r="BW260">
            <v>0.02</v>
          </cell>
          <cell r="BX260">
            <v>0.02</v>
          </cell>
          <cell r="BY260">
            <v>0.02</v>
          </cell>
          <cell r="BZ260">
            <v>0.02</v>
          </cell>
          <cell r="CA260">
            <v>0.04</v>
          </cell>
          <cell r="CB260">
            <v>0.06</v>
          </cell>
          <cell r="CC260">
            <v>0.08</v>
          </cell>
          <cell r="CD260">
            <v>0.1</v>
          </cell>
          <cell r="CE260">
            <v>0.12000000000000001</v>
          </cell>
          <cell r="CF260">
            <v>0.14000000000000001</v>
          </cell>
          <cell r="CG260">
            <v>0.16</v>
          </cell>
          <cell r="CH260">
            <v>0.18</v>
          </cell>
          <cell r="CI260">
            <v>0.19999999999999998</v>
          </cell>
          <cell r="CJ260">
            <v>0.21999999999999997</v>
          </cell>
          <cell r="CK260">
            <v>0.23999999999999996</v>
          </cell>
        </row>
        <row r="261">
          <cell r="BM261" t="str">
            <v>PHR22</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row>
        <row r="262">
          <cell r="BM262" t="str">
            <v>PHR23</v>
          </cell>
          <cell r="BN262">
            <v>0</v>
          </cell>
          <cell r="BO262">
            <v>0</v>
          </cell>
          <cell r="BP262">
            <v>0</v>
          </cell>
          <cell r="BQ262">
            <v>0</v>
          </cell>
          <cell r="BR262">
            <v>0</v>
          </cell>
          <cell r="BS262">
            <v>0</v>
          </cell>
          <cell r="BT262">
            <v>0</v>
          </cell>
          <cell r="BU262">
            <v>0</v>
          </cell>
          <cell r="BV262">
            <v>0</v>
          </cell>
          <cell r="BW262">
            <v>1.75</v>
          </cell>
          <cell r="BX262">
            <v>0</v>
          </cell>
          <cell r="BY262">
            <v>0</v>
          </cell>
          <cell r="BZ262">
            <v>0</v>
          </cell>
          <cell r="CA262">
            <v>0</v>
          </cell>
          <cell r="CB262">
            <v>0</v>
          </cell>
          <cell r="CC262">
            <v>0</v>
          </cell>
          <cell r="CD262">
            <v>0</v>
          </cell>
          <cell r="CE262">
            <v>0</v>
          </cell>
          <cell r="CF262">
            <v>0</v>
          </cell>
          <cell r="CG262">
            <v>0</v>
          </cell>
          <cell r="CH262">
            <v>0</v>
          </cell>
          <cell r="CI262">
            <v>1.75</v>
          </cell>
          <cell r="CJ262">
            <v>1.75</v>
          </cell>
          <cell r="CK262">
            <v>1.75</v>
          </cell>
        </row>
        <row r="263">
          <cell r="BM263" t="str">
            <v>PHR24</v>
          </cell>
          <cell r="BN263">
            <v>0</v>
          </cell>
          <cell r="BO263">
            <v>0</v>
          </cell>
          <cell r="BP263">
            <v>0</v>
          </cell>
          <cell r="BQ263">
            <v>0</v>
          </cell>
          <cell r="BR263">
            <v>0.5</v>
          </cell>
          <cell r="BS263">
            <v>0</v>
          </cell>
          <cell r="BT263">
            <v>0</v>
          </cell>
          <cell r="BU263">
            <v>0</v>
          </cell>
          <cell r="BV263">
            <v>0</v>
          </cell>
          <cell r="BW263">
            <v>0</v>
          </cell>
          <cell r="BX263">
            <v>0</v>
          </cell>
          <cell r="BY263">
            <v>0</v>
          </cell>
          <cell r="BZ263">
            <v>0</v>
          </cell>
          <cell r="CA263">
            <v>0</v>
          </cell>
          <cell r="CB263">
            <v>0</v>
          </cell>
          <cell r="CC263">
            <v>0</v>
          </cell>
          <cell r="CD263">
            <v>0.5</v>
          </cell>
          <cell r="CE263">
            <v>0.5</v>
          </cell>
          <cell r="CF263">
            <v>0.5</v>
          </cell>
          <cell r="CG263">
            <v>0.5</v>
          </cell>
          <cell r="CH263">
            <v>0.5</v>
          </cell>
          <cell r="CI263">
            <v>0.5</v>
          </cell>
          <cell r="CJ263">
            <v>0.5</v>
          </cell>
          <cell r="CK263">
            <v>0.5</v>
          </cell>
        </row>
        <row r="264">
          <cell r="BM264" t="str">
            <v>PHR25</v>
          </cell>
          <cell r="BN264">
            <v>0</v>
          </cell>
          <cell r="BO264">
            <v>0</v>
          </cell>
          <cell r="BP264">
            <v>0</v>
          </cell>
          <cell r="BQ264">
            <v>0</v>
          </cell>
          <cell r="BR264">
            <v>0.65</v>
          </cell>
          <cell r="BS264">
            <v>0</v>
          </cell>
          <cell r="BT264">
            <v>0</v>
          </cell>
          <cell r="BU264">
            <v>0</v>
          </cell>
          <cell r="BV264">
            <v>0</v>
          </cell>
          <cell r="BW264">
            <v>0.9</v>
          </cell>
          <cell r="BX264">
            <v>0</v>
          </cell>
          <cell r="BY264">
            <v>-0.05</v>
          </cell>
          <cell r="BZ264">
            <v>0</v>
          </cell>
          <cell r="CA264">
            <v>0</v>
          </cell>
          <cell r="CB264">
            <v>0</v>
          </cell>
          <cell r="CC264">
            <v>0</v>
          </cell>
          <cell r="CD264">
            <v>0.65</v>
          </cell>
          <cell r="CE264">
            <v>0.65</v>
          </cell>
          <cell r="CF264">
            <v>0.65</v>
          </cell>
          <cell r="CG264">
            <v>0.65</v>
          </cell>
          <cell r="CH264">
            <v>0.65</v>
          </cell>
          <cell r="CI264">
            <v>1.55</v>
          </cell>
          <cell r="CJ264">
            <v>1.55</v>
          </cell>
          <cell r="CK264">
            <v>1.5</v>
          </cell>
        </row>
        <row r="265">
          <cell r="BM265" t="str">
            <v>PHR26</v>
          </cell>
          <cell r="BN265">
            <v>0.08</v>
          </cell>
          <cell r="BO265">
            <v>0.08</v>
          </cell>
          <cell r="BP265">
            <v>0.09</v>
          </cell>
          <cell r="BQ265">
            <v>0.08</v>
          </cell>
          <cell r="BR265">
            <v>3.6999999999999998E-2</v>
          </cell>
          <cell r="BS265">
            <v>7.0000000000000007E-2</v>
          </cell>
          <cell r="BT265">
            <v>0.09</v>
          </cell>
          <cell r="BU265">
            <v>7.0000000000000007E-2</v>
          </cell>
          <cell r="BV265">
            <v>7.0000000000000007E-2</v>
          </cell>
          <cell r="BW265">
            <v>1.6</v>
          </cell>
          <cell r="BX265">
            <v>0</v>
          </cell>
          <cell r="BY265">
            <v>0.02</v>
          </cell>
          <cell r="BZ265">
            <v>0.08</v>
          </cell>
          <cell r="CA265">
            <v>0.16</v>
          </cell>
          <cell r="CB265">
            <v>0.25</v>
          </cell>
          <cell r="CC265">
            <v>0.33</v>
          </cell>
          <cell r="CD265">
            <v>0.36699999999999999</v>
          </cell>
          <cell r="CE265">
            <v>0.437</v>
          </cell>
          <cell r="CF265">
            <v>0.52700000000000002</v>
          </cell>
          <cell r="CG265">
            <v>0.59699999999999998</v>
          </cell>
          <cell r="CH265">
            <v>0.66700000000000004</v>
          </cell>
          <cell r="CI265">
            <v>2.2670000000000003</v>
          </cell>
          <cell r="CJ265">
            <v>2.2670000000000003</v>
          </cell>
          <cell r="CK265">
            <v>2.2870000000000004</v>
          </cell>
        </row>
        <row r="266">
          <cell r="BM266" t="str">
            <v>OTH1</v>
          </cell>
          <cell r="BN266">
            <v>0</v>
          </cell>
          <cell r="BO266">
            <v>0</v>
          </cell>
          <cell r="BP266">
            <v>0</v>
          </cell>
          <cell r="BQ266">
            <v>24</v>
          </cell>
          <cell r="BR266">
            <v>0</v>
          </cell>
          <cell r="BS266">
            <v>0</v>
          </cell>
          <cell r="BT266">
            <v>7</v>
          </cell>
          <cell r="BU266">
            <v>0</v>
          </cell>
          <cell r="BV266">
            <v>0</v>
          </cell>
          <cell r="BW266">
            <v>0</v>
          </cell>
          <cell r="BX266">
            <v>0</v>
          </cell>
          <cell r="BY266">
            <v>0</v>
          </cell>
          <cell r="BZ266">
            <v>0</v>
          </cell>
          <cell r="CA266">
            <v>0</v>
          </cell>
          <cell r="CB266">
            <v>0</v>
          </cell>
          <cell r="CC266">
            <v>24</v>
          </cell>
          <cell r="CD266">
            <v>24</v>
          </cell>
          <cell r="CE266">
            <v>24</v>
          </cell>
          <cell r="CF266">
            <v>31</v>
          </cell>
          <cell r="CG266">
            <v>31</v>
          </cell>
          <cell r="CH266">
            <v>31</v>
          </cell>
          <cell r="CI266">
            <v>31</v>
          </cell>
          <cell r="CJ266">
            <v>31</v>
          </cell>
          <cell r="CK266">
            <v>31</v>
          </cell>
        </row>
        <row r="267">
          <cell r="BM267" t="str">
            <v>OTH2</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row>
        <row r="268">
          <cell r="BM268" t="str">
            <v>OTH3</v>
          </cell>
          <cell r="BN268">
            <v>41</v>
          </cell>
          <cell r="BO268">
            <v>40</v>
          </cell>
          <cell r="BP268">
            <v>38</v>
          </cell>
          <cell r="BQ268">
            <v>38</v>
          </cell>
          <cell r="BR268">
            <v>31.27</v>
          </cell>
          <cell r="BS268">
            <v>43.75</v>
          </cell>
          <cell r="BT268">
            <v>33</v>
          </cell>
          <cell r="BU268">
            <v>43</v>
          </cell>
          <cell r="BV268">
            <v>48.12</v>
          </cell>
          <cell r="BW268">
            <v>45.5</v>
          </cell>
          <cell r="BX268">
            <v>36.549999999999997</v>
          </cell>
          <cell r="BY268">
            <v>33.909999999999997</v>
          </cell>
          <cell r="BZ268">
            <v>41</v>
          </cell>
          <cell r="CA268">
            <v>81</v>
          </cell>
          <cell r="CB268">
            <v>119</v>
          </cell>
          <cell r="CC268">
            <v>157</v>
          </cell>
          <cell r="CD268">
            <v>188.27</v>
          </cell>
          <cell r="CE268">
            <v>232.02</v>
          </cell>
          <cell r="CF268">
            <v>265.02</v>
          </cell>
          <cell r="CG268">
            <v>308.02</v>
          </cell>
          <cell r="CH268">
            <v>356.14</v>
          </cell>
          <cell r="CI268">
            <v>401.64</v>
          </cell>
          <cell r="CJ268">
            <v>438.19</v>
          </cell>
          <cell r="CK268">
            <v>472.1</v>
          </cell>
        </row>
        <row r="269">
          <cell r="BM269" t="str">
            <v>OTH4</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row>
        <row r="270">
          <cell r="BM270" t="str">
            <v>OTH5</v>
          </cell>
          <cell r="BN270">
            <v>2</v>
          </cell>
          <cell r="BO270">
            <v>2</v>
          </cell>
          <cell r="BP270">
            <v>2</v>
          </cell>
          <cell r="BQ270">
            <v>2</v>
          </cell>
          <cell r="BR270">
            <v>0</v>
          </cell>
          <cell r="BS270">
            <v>2</v>
          </cell>
          <cell r="BT270">
            <v>2</v>
          </cell>
          <cell r="BU270">
            <v>2</v>
          </cell>
          <cell r="BV270">
            <v>2</v>
          </cell>
          <cell r="BW270">
            <v>2</v>
          </cell>
          <cell r="BX270">
            <v>2</v>
          </cell>
          <cell r="BY270">
            <v>2</v>
          </cell>
          <cell r="BZ270">
            <v>2</v>
          </cell>
          <cell r="CA270">
            <v>4</v>
          </cell>
          <cell r="CB270">
            <v>6</v>
          </cell>
          <cell r="CC270">
            <v>8</v>
          </cell>
          <cell r="CD270">
            <v>8</v>
          </cell>
          <cell r="CE270">
            <v>10</v>
          </cell>
          <cell r="CF270">
            <v>12</v>
          </cell>
          <cell r="CG270">
            <v>14</v>
          </cell>
          <cell r="CH270">
            <v>16</v>
          </cell>
          <cell r="CI270">
            <v>18</v>
          </cell>
          <cell r="CJ270">
            <v>20</v>
          </cell>
          <cell r="CK270">
            <v>22</v>
          </cell>
        </row>
        <row r="271">
          <cell r="BM271" t="str">
            <v>OTH6</v>
          </cell>
          <cell r="BN271">
            <v>0</v>
          </cell>
          <cell r="BO271">
            <v>0</v>
          </cell>
          <cell r="BP271">
            <v>-24.24</v>
          </cell>
          <cell r="BQ271">
            <v>0</v>
          </cell>
          <cell r="BR271">
            <v>-4.66</v>
          </cell>
          <cell r="BS271">
            <v>-32.6</v>
          </cell>
          <cell r="BT271">
            <v>-6.31</v>
          </cell>
          <cell r="BU271">
            <v>-7.96</v>
          </cell>
          <cell r="BV271">
            <v>-10.92</v>
          </cell>
          <cell r="BW271">
            <v>-11.148</v>
          </cell>
          <cell r="BX271">
            <v>-4.9669999999999996</v>
          </cell>
          <cell r="BY271">
            <v>-10.4</v>
          </cell>
          <cell r="BZ271">
            <v>0</v>
          </cell>
          <cell r="CA271">
            <v>0</v>
          </cell>
          <cell r="CB271">
            <v>-24.24</v>
          </cell>
          <cell r="CC271">
            <v>-24.24</v>
          </cell>
          <cell r="CD271">
            <v>-28.9</v>
          </cell>
          <cell r="CE271">
            <v>-61.5</v>
          </cell>
          <cell r="CF271">
            <v>-67.81</v>
          </cell>
          <cell r="CG271">
            <v>-75.77</v>
          </cell>
          <cell r="CH271">
            <v>-86.69</v>
          </cell>
          <cell r="CI271">
            <v>-97.837999999999994</v>
          </cell>
          <cell r="CJ271">
            <v>-102.80499999999999</v>
          </cell>
          <cell r="CK271">
            <v>-113.205</v>
          </cell>
        </row>
        <row r="272">
          <cell r="BM272">
            <v>0</v>
          </cell>
          <cell r="BN272">
            <v>117.89</v>
          </cell>
          <cell r="BO272">
            <v>78.070000000000007</v>
          </cell>
          <cell r="BP272">
            <v>47.209999999999994</v>
          </cell>
          <cell r="BQ272">
            <v>164.24</v>
          </cell>
          <cell r="BR272">
            <v>63.62660000000001</v>
          </cell>
          <cell r="BS272">
            <v>52.27</v>
          </cell>
          <cell r="BT272">
            <v>80.290000000000006</v>
          </cell>
          <cell r="BU272">
            <v>75.960000000000022</v>
          </cell>
          <cell r="BV272">
            <v>75.429999999999993</v>
          </cell>
          <cell r="BW272">
            <v>77.201999999999998</v>
          </cell>
          <cell r="BX272">
            <v>75.463000000000008</v>
          </cell>
          <cell r="BY272">
            <v>47.449999999999996</v>
          </cell>
          <cell r="BZ272">
            <v>117.89</v>
          </cell>
          <cell r="CA272">
            <v>195.96</v>
          </cell>
          <cell r="CB272">
            <v>243.16999999999996</v>
          </cell>
          <cell r="CC272">
            <v>407.41000000000008</v>
          </cell>
          <cell r="CD272">
            <v>471.03660000000013</v>
          </cell>
          <cell r="CE272">
            <v>523.30660000000012</v>
          </cell>
          <cell r="CF272">
            <v>603.59660000000008</v>
          </cell>
          <cell r="CG272">
            <v>679.55659999999989</v>
          </cell>
          <cell r="CH272">
            <v>754.98659999999995</v>
          </cell>
          <cell r="CI272">
            <v>832.18860000000018</v>
          </cell>
          <cell r="CJ272">
            <v>907.65160000000026</v>
          </cell>
          <cell r="CK272">
            <v>955.1016000000003</v>
          </cell>
        </row>
        <row r="295">
          <cell r="N295">
            <v>0</v>
          </cell>
          <cell r="O295" t="str">
            <v>Budget</v>
          </cell>
          <cell r="P295" t="str">
            <v>Budget</v>
          </cell>
          <cell r="Q295" t="str">
            <v>Budget</v>
          </cell>
          <cell r="R295" t="str">
            <v>Budget</v>
          </cell>
          <cell r="S295" t="str">
            <v>Budget</v>
          </cell>
          <cell r="T295" t="str">
            <v>Budget</v>
          </cell>
          <cell r="U295" t="str">
            <v>Budget</v>
          </cell>
          <cell r="V295" t="str">
            <v>Budget</v>
          </cell>
          <cell r="W295" t="str">
            <v>Budget</v>
          </cell>
          <cell r="X295" t="str">
            <v>Budget</v>
          </cell>
          <cell r="Y295" t="str">
            <v>Budget</v>
          </cell>
          <cell r="Z295" t="str">
            <v>Budget</v>
          </cell>
          <cell r="AA295" t="str">
            <v>Cum_bud</v>
          </cell>
          <cell r="AB295" t="str">
            <v>Cum_bud</v>
          </cell>
          <cell r="AC295" t="str">
            <v>Cum_bud</v>
          </cell>
          <cell r="AD295" t="str">
            <v>Cum_bud</v>
          </cell>
          <cell r="AE295" t="str">
            <v>Cum_bud</v>
          </cell>
          <cell r="AF295" t="str">
            <v>Cum_bud</v>
          </cell>
          <cell r="AG295" t="str">
            <v>Cum_bud</v>
          </cell>
          <cell r="AH295" t="str">
            <v>Cum_bud</v>
          </cell>
          <cell r="AI295" t="str">
            <v>Cum_bud</v>
          </cell>
          <cell r="AJ295" t="str">
            <v>Cum_bud</v>
          </cell>
          <cell r="AK295" t="str">
            <v>Cum_bud</v>
          </cell>
          <cell r="AL295" t="str">
            <v>Cum_bud</v>
          </cell>
          <cell r="AM295">
            <v>0</v>
          </cell>
          <cell r="AN295" t="str">
            <v>Actual</v>
          </cell>
          <cell r="AO295" t="str">
            <v>Actual</v>
          </cell>
          <cell r="AP295" t="str">
            <v>Actual</v>
          </cell>
          <cell r="AQ295" t="str">
            <v>Actual</v>
          </cell>
          <cell r="AR295" t="str">
            <v>Actual</v>
          </cell>
          <cell r="AS295" t="str">
            <v>Actual</v>
          </cell>
          <cell r="AT295" t="str">
            <v>Actual</v>
          </cell>
          <cell r="AU295" t="str">
            <v>Actual</v>
          </cell>
          <cell r="AV295" t="str">
            <v>Actual</v>
          </cell>
          <cell r="AW295" t="str">
            <v>Actual</v>
          </cell>
          <cell r="AX295" t="str">
            <v>Actual</v>
          </cell>
          <cell r="AY295" t="str">
            <v>Actual</v>
          </cell>
          <cell r="AZ295" t="str">
            <v>Cum_Actu</v>
          </cell>
          <cell r="BA295" t="str">
            <v>Cum_Actu</v>
          </cell>
          <cell r="BB295" t="str">
            <v>Cum_Actu</v>
          </cell>
          <cell r="BC295" t="str">
            <v>Cum_Actu</v>
          </cell>
          <cell r="BD295" t="str">
            <v>Cum_Actu</v>
          </cell>
          <cell r="BE295" t="str">
            <v>Cum_Actu</v>
          </cell>
          <cell r="BF295" t="str">
            <v>Cum_Actu</v>
          </cell>
          <cell r="BG295" t="str">
            <v>Cum_Actu</v>
          </cell>
          <cell r="BH295" t="str">
            <v>Cum_Actu</v>
          </cell>
          <cell r="BI295" t="str">
            <v>Cum_Actu</v>
          </cell>
          <cell r="BJ295" t="str">
            <v>Cum_Actu</v>
          </cell>
          <cell r="BK295" t="str">
            <v>Cum_Actu</v>
          </cell>
          <cell r="BN295" t="str">
            <v>Actual</v>
          </cell>
          <cell r="BO295" t="str">
            <v>Actual</v>
          </cell>
          <cell r="BP295" t="str">
            <v>Actual</v>
          </cell>
          <cell r="BQ295" t="str">
            <v>Actual</v>
          </cell>
          <cell r="BR295" t="str">
            <v>Actual</v>
          </cell>
          <cell r="BS295" t="str">
            <v>Actual</v>
          </cell>
          <cell r="BT295" t="str">
            <v>Actual</v>
          </cell>
          <cell r="BU295" t="str">
            <v>Actual</v>
          </cell>
          <cell r="BV295" t="str">
            <v>Actual</v>
          </cell>
          <cell r="BW295" t="str">
            <v>Actual</v>
          </cell>
          <cell r="BX295" t="str">
            <v>Actual</v>
          </cell>
          <cell r="BY295" t="str">
            <v>Actual</v>
          </cell>
          <cell r="BZ295" t="str">
            <v>Cum_Actu</v>
          </cell>
          <cell r="CA295" t="str">
            <v>Cum_Actu</v>
          </cell>
          <cell r="CB295" t="str">
            <v>Cum_Actu</v>
          </cell>
          <cell r="CC295" t="str">
            <v>Cum_Actu</v>
          </cell>
          <cell r="CD295" t="str">
            <v>Cum_Actu</v>
          </cell>
          <cell r="CE295" t="str">
            <v>Cum_Actu</v>
          </cell>
          <cell r="CF295" t="str">
            <v>Cum_Actu</v>
          </cell>
          <cell r="CG295" t="str">
            <v>Cum_Actu</v>
          </cell>
          <cell r="CH295" t="str">
            <v>Cum_Actu</v>
          </cell>
          <cell r="CI295" t="str">
            <v>Cum_Actu</v>
          </cell>
          <cell r="CJ295" t="str">
            <v>Cum_Actu</v>
          </cell>
          <cell r="CK295" t="str">
            <v>Cum_Actu</v>
          </cell>
        </row>
        <row r="296">
          <cell r="N296" t="str">
            <v>Code</v>
          </cell>
          <cell r="O296">
            <v>41640</v>
          </cell>
          <cell r="P296">
            <v>41671</v>
          </cell>
          <cell r="Q296">
            <v>41699</v>
          </cell>
          <cell r="R296">
            <v>41730</v>
          </cell>
          <cell r="S296">
            <v>41760</v>
          </cell>
          <cell r="T296">
            <v>41791</v>
          </cell>
          <cell r="U296">
            <v>41821</v>
          </cell>
          <cell r="V296">
            <v>41852</v>
          </cell>
          <cell r="W296">
            <v>41883</v>
          </cell>
          <cell r="X296">
            <v>41913</v>
          </cell>
          <cell r="Y296">
            <v>41944</v>
          </cell>
          <cell r="Z296">
            <v>41974</v>
          </cell>
          <cell r="AA296">
            <v>41640</v>
          </cell>
          <cell r="AB296">
            <v>41671</v>
          </cell>
          <cell r="AC296">
            <v>41699</v>
          </cell>
          <cell r="AD296">
            <v>41730</v>
          </cell>
          <cell r="AE296">
            <v>41760</v>
          </cell>
          <cell r="AF296">
            <v>41791</v>
          </cell>
          <cell r="AG296">
            <v>41821</v>
          </cell>
          <cell r="AH296">
            <v>41852</v>
          </cell>
          <cell r="AI296">
            <v>41883</v>
          </cell>
          <cell r="AJ296">
            <v>41913</v>
          </cell>
          <cell r="AK296">
            <v>41944</v>
          </cell>
          <cell r="AL296">
            <v>41974</v>
          </cell>
          <cell r="AM296" t="str">
            <v>Code</v>
          </cell>
          <cell r="AN296">
            <v>41640</v>
          </cell>
          <cell r="AO296">
            <v>41671</v>
          </cell>
          <cell r="AP296">
            <v>41699</v>
          </cell>
          <cell r="AQ296">
            <v>41730</v>
          </cell>
          <cell r="AR296">
            <v>41760</v>
          </cell>
          <cell r="AS296">
            <v>41791</v>
          </cell>
          <cell r="AT296">
            <v>41821</v>
          </cell>
          <cell r="AU296">
            <v>41852</v>
          </cell>
          <cell r="AV296">
            <v>41883</v>
          </cell>
          <cell r="AW296">
            <v>41913</v>
          </cell>
          <cell r="AX296">
            <v>41944</v>
          </cell>
          <cell r="AY296">
            <v>41974</v>
          </cell>
          <cell r="AZ296">
            <v>41640</v>
          </cell>
          <cell r="BA296">
            <v>41671</v>
          </cell>
          <cell r="BB296">
            <v>41699</v>
          </cell>
          <cell r="BC296">
            <v>41730</v>
          </cell>
          <cell r="BD296">
            <v>41760</v>
          </cell>
          <cell r="BE296">
            <v>41791</v>
          </cell>
          <cell r="BF296">
            <v>41821</v>
          </cell>
          <cell r="BG296">
            <v>41852</v>
          </cell>
          <cell r="BH296">
            <v>41883</v>
          </cell>
          <cell r="BI296">
            <v>41913</v>
          </cell>
          <cell r="BJ296">
            <v>41944</v>
          </cell>
          <cell r="BK296">
            <v>41974</v>
          </cell>
          <cell r="BM296" t="str">
            <v>CODE</v>
          </cell>
          <cell r="BN296">
            <v>41285</v>
          </cell>
          <cell r="BO296">
            <v>41316</v>
          </cell>
          <cell r="BP296">
            <v>41344</v>
          </cell>
          <cell r="BQ296">
            <v>41375</v>
          </cell>
          <cell r="BR296">
            <v>41405</v>
          </cell>
          <cell r="BS296">
            <v>41436</v>
          </cell>
          <cell r="BT296">
            <v>41466</v>
          </cell>
          <cell r="BU296">
            <v>41497</v>
          </cell>
          <cell r="BV296">
            <v>41528</v>
          </cell>
          <cell r="BW296">
            <v>41558</v>
          </cell>
          <cell r="BX296">
            <v>41589</v>
          </cell>
          <cell r="BY296">
            <v>41619</v>
          </cell>
          <cell r="BZ296">
            <v>41285</v>
          </cell>
          <cell r="CA296">
            <v>41316</v>
          </cell>
          <cell r="CB296">
            <v>41344</v>
          </cell>
          <cell r="CC296">
            <v>41375</v>
          </cell>
          <cell r="CD296">
            <v>41405</v>
          </cell>
          <cell r="CE296">
            <v>41436</v>
          </cell>
          <cell r="CF296">
            <v>41466</v>
          </cell>
          <cell r="CG296">
            <v>41497</v>
          </cell>
          <cell r="CH296">
            <v>41528</v>
          </cell>
          <cell r="CI296">
            <v>41558</v>
          </cell>
          <cell r="CJ296">
            <v>41589</v>
          </cell>
          <cell r="CK296">
            <v>41619</v>
          </cell>
        </row>
        <row r="297">
          <cell r="N297" t="str">
            <v>CD1</v>
          </cell>
          <cell r="O297">
            <v>1.0154662812279462</v>
          </cell>
          <cell r="P297">
            <v>0.90263669442484074</v>
          </cell>
          <cell r="Q297">
            <v>1.0154662812279462</v>
          </cell>
          <cell r="R297">
            <v>1.5796142152434716</v>
          </cell>
          <cell r="S297">
            <v>3.384887604093155</v>
          </cell>
          <cell r="T297">
            <v>2.0309325624558925</v>
          </cell>
          <cell r="U297">
            <v>2.2565917360621026</v>
          </cell>
          <cell r="V297">
            <v>2.2565917360621026</v>
          </cell>
          <cell r="W297">
            <v>6.7697752081863101</v>
          </cell>
          <cell r="X297">
            <v>2.8658715047988701</v>
          </cell>
          <cell r="Y297">
            <v>3.384887604093155</v>
          </cell>
          <cell r="Z297">
            <v>4.5131834721242052</v>
          </cell>
          <cell r="AA297">
            <v>1.0154662812279462</v>
          </cell>
          <cell r="AB297">
            <v>1.918102975652787</v>
          </cell>
          <cell r="AC297">
            <v>2.933569256880733</v>
          </cell>
          <cell r="AD297">
            <v>4.5131834721242043</v>
          </cell>
          <cell r="AE297">
            <v>7.8980710762173594</v>
          </cell>
          <cell r="AF297">
            <v>9.929003638673251</v>
          </cell>
          <cell r="AG297">
            <v>12.185595374735353</v>
          </cell>
          <cell r="AH297">
            <v>14.442187110797455</v>
          </cell>
          <cell r="AI297">
            <v>21.211962318983765</v>
          </cell>
          <cell r="AJ297">
            <v>24.077833823782637</v>
          </cell>
          <cell r="AK297">
            <v>27.462721427875792</v>
          </cell>
          <cell r="AL297">
            <v>31.975904899999996</v>
          </cell>
          <cell r="AM297" t="str">
            <v>CD1</v>
          </cell>
          <cell r="AN297">
            <v>0.17546628122795005</v>
          </cell>
          <cell r="AO297">
            <v>0.37263999999999997</v>
          </cell>
          <cell r="AP297">
            <v>-0.13</v>
          </cell>
          <cell r="AQ297">
            <v>1.25</v>
          </cell>
          <cell r="AR297">
            <v>2.0000000000000129E-2</v>
          </cell>
          <cell r="AZ297">
            <v>0.17546628122795005</v>
          </cell>
          <cell r="BA297">
            <v>0.54810628122795002</v>
          </cell>
          <cell r="BB297">
            <v>0.41810628122795002</v>
          </cell>
          <cell r="BC297">
            <v>1.6681062812279501</v>
          </cell>
          <cell r="BD297">
            <v>1.6881062812279501</v>
          </cell>
          <cell r="BE297">
            <v>1.6881062812279501</v>
          </cell>
          <cell r="BF297">
            <v>1.6881062812279501</v>
          </cell>
          <cell r="BG297">
            <v>1.6881062812279501</v>
          </cell>
          <cell r="BH297">
            <v>1.6881062812279501</v>
          </cell>
          <cell r="BI297">
            <v>1.6881062812279501</v>
          </cell>
          <cell r="BJ297">
            <v>1.6881062812279501</v>
          </cell>
          <cell r="BK297">
            <v>1.6881062812279501</v>
          </cell>
          <cell r="BM297" t="str">
            <v>CD1</v>
          </cell>
          <cell r="BZ297">
            <v>0</v>
          </cell>
          <cell r="CA297">
            <v>0</v>
          </cell>
          <cell r="CB297">
            <v>0</v>
          </cell>
          <cell r="CC297">
            <v>0</v>
          </cell>
          <cell r="CD297">
            <v>0</v>
          </cell>
          <cell r="CE297">
            <v>0</v>
          </cell>
          <cell r="CF297">
            <v>0</v>
          </cell>
          <cell r="CG297">
            <v>0</v>
          </cell>
          <cell r="CH297">
            <v>0</v>
          </cell>
          <cell r="CI297">
            <v>0</v>
          </cell>
          <cell r="CJ297">
            <v>0</v>
          </cell>
          <cell r="CK297">
            <v>0</v>
          </cell>
        </row>
        <row r="298">
          <cell r="N298" t="str">
            <v>CD2</v>
          </cell>
          <cell r="O298">
            <v>0.25544874156669017</v>
          </cell>
          <cell r="P298">
            <v>0.22706554805928009</v>
          </cell>
          <cell r="Q298">
            <v>0.25544874156669017</v>
          </cell>
          <cell r="R298">
            <v>0.39736470910374022</v>
          </cell>
          <cell r="S298">
            <v>0.85149580522230095</v>
          </cell>
          <cell r="T298">
            <v>0.51089748313338035</v>
          </cell>
          <cell r="U298">
            <v>0.56766387014820041</v>
          </cell>
          <cell r="V298">
            <v>0.56766387014820041</v>
          </cell>
          <cell r="W298">
            <v>1.7029916104446019</v>
          </cell>
          <cell r="X298">
            <v>0.72093311508821445</v>
          </cell>
          <cell r="Y298">
            <v>0.85149580522230095</v>
          </cell>
          <cell r="Z298">
            <v>1.1353277402964008</v>
          </cell>
          <cell r="AA298">
            <v>0.25544874156669017</v>
          </cell>
          <cell r="AB298">
            <v>0.48251428962597026</v>
          </cell>
          <cell r="AC298">
            <v>0.73796303119266038</v>
          </cell>
          <cell r="AD298">
            <v>1.1353277402964006</v>
          </cell>
          <cell r="AE298">
            <v>1.9868235455187016</v>
          </cell>
          <cell r="AF298">
            <v>2.4977210286520819</v>
          </cell>
          <cell r="AG298">
            <v>3.0653848988002821</v>
          </cell>
          <cell r="AH298">
            <v>3.6330487689484823</v>
          </cell>
          <cell r="AI298">
            <v>5.3360403793930846</v>
          </cell>
          <cell r="AJ298">
            <v>6.0569734944812987</v>
          </cell>
          <cell r="AK298">
            <v>6.9084692997035999</v>
          </cell>
          <cell r="AL298">
            <v>8.0437970400000012</v>
          </cell>
          <cell r="AM298" t="str">
            <v>CD2</v>
          </cell>
          <cell r="AN298">
            <v>4.5448741566690015E-2</v>
          </cell>
          <cell r="AO298">
            <v>8.7069999999999981E-2</v>
          </cell>
          <cell r="AP298">
            <v>0.73</v>
          </cell>
          <cell r="AQ298">
            <v>0.25</v>
          </cell>
          <cell r="AR298">
            <v>7.0000000000000034E-2</v>
          </cell>
          <cell r="AZ298">
            <v>4.5448741566690015E-2</v>
          </cell>
          <cell r="BA298">
            <v>0.13251874156669</v>
          </cell>
          <cell r="BB298">
            <v>0.86251874156668995</v>
          </cell>
          <cell r="BC298">
            <v>1.11251874156669</v>
          </cell>
          <cell r="BD298">
            <v>1.18251874156669</v>
          </cell>
          <cell r="BE298">
            <v>1.18251874156669</v>
          </cell>
          <cell r="BF298">
            <v>1.18251874156669</v>
          </cell>
          <cell r="BG298">
            <v>1.18251874156669</v>
          </cell>
          <cell r="BH298">
            <v>1.18251874156669</v>
          </cell>
          <cell r="BI298">
            <v>1.18251874156669</v>
          </cell>
          <cell r="BJ298">
            <v>1.18251874156669</v>
          </cell>
          <cell r="BK298">
            <v>1.18251874156669</v>
          </cell>
          <cell r="BM298" t="str">
            <v>CD2</v>
          </cell>
          <cell r="BZ298">
            <v>0</v>
          </cell>
          <cell r="CA298">
            <v>0</v>
          </cell>
          <cell r="CB298">
            <v>0</v>
          </cell>
          <cell r="CC298">
            <v>0</v>
          </cell>
          <cell r="CD298">
            <v>0</v>
          </cell>
          <cell r="CE298">
            <v>0</v>
          </cell>
          <cell r="CF298">
            <v>0</v>
          </cell>
          <cell r="CG298">
            <v>0</v>
          </cell>
          <cell r="CH298">
            <v>0</v>
          </cell>
          <cell r="CI298">
            <v>0</v>
          </cell>
          <cell r="CJ298">
            <v>0</v>
          </cell>
          <cell r="CK298">
            <v>0</v>
          </cell>
        </row>
        <row r="299">
          <cell r="N299" t="str">
            <v>CD3</v>
          </cell>
          <cell r="O299">
            <v>0</v>
          </cell>
          <cell r="P299">
            <v>0</v>
          </cell>
          <cell r="Q299">
            <v>0</v>
          </cell>
          <cell r="R299">
            <v>0.66666666666666663</v>
          </cell>
          <cell r="S299">
            <v>0.66666666666666663</v>
          </cell>
          <cell r="T299">
            <v>0.66666666666666663</v>
          </cell>
          <cell r="U299">
            <v>0.66666666666666663</v>
          </cell>
          <cell r="V299">
            <v>0.66666666666666663</v>
          </cell>
          <cell r="W299">
            <v>0.66666666666666663</v>
          </cell>
          <cell r="X299">
            <v>0.66666666666666663</v>
          </cell>
          <cell r="Y299">
            <v>0.66666666666666663</v>
          </cell>
          <cell r="Z299">
            <v>0.66666666666666663</v>
          </cell>
          <cell r="AA299">
            <v>0</v>
          </cell>
          <cell r="AB299">
            <v>0</v>
          </cell>
          <cell r="AC299">
            <v>0</v>
          </cell>
          <cell r="AD299">
            <v>0.66666666666666663</v>
          </cell>
          <cell r="AE299">
            <v>1.3333333333333333</v>
          </cell>
          <cell r="AF299">
            <v>2</v>
          </cell>
          <cell r="AG299">
            <v>2.6666666666666665</v>
          </cell>
          <cell r="AH299">
            <v>3.333333333333333</v>
          </cell>
          <cell r="AI299">
            <v>3.9999999999999996</v>
          </cell>
          <cell r="AJ299">
            <v>4.6666666666666661</v>
          </cell>
          <cell r="AK299">
            <v>5.333333333333333</v>
          </cell>
          <cell r="AL299">
            <v>6</v>
          </cell>
          <cell r="AM299" t="str">
            <v>CD3</v>
          </cell>
          <cell r="AN299">
            <v>0</v>
          </cell>
          <cell r="AR299">
            <v>0.5</v>
          </cell>
          <cell r="AZ299">
            <v>0</v>
          </cell>
          <cell r="BA299">
            <v>0</v>
          </cell>
          <cell r="BB299">
            <v>0</v>
          </cell>
          <cell r="BC299">
            <v>0</v>
          </cell>
          <cell r="BD299">
            <v>0.5</v>
          </cell>
          <cell r="BE299">
            <v>0.5</v>
          </cell>
          <cell r="BF299">
            <v>0.5</v>
          </cell>
          <cell r="BG299">
            <v>0.5</v>
          </cell>
          <cell r="BH299">
            <v>0.5</v>
          </cell>
          <cell r="BI299">
            <v>0.5</v>
          </cell>
          <cell r="BJ299">
            <v>0.5</v>
          </cell>
          <cell r="BK299">
            <v>0.5</v>
          </cell>
          <cell r="BM299" t="str">
            <v>CD3</v>
          </cell>
          <cell r="BZ299">
            <v>0</v>
          </cell>
          <cell r="CA299">
            <v>0</v>
          </cell>
          <cell r="CB299">
            <v>0</v>
          </cell>
          <cell r="CC299">
            <v>0</v>
          </cell>
          <cell r="CD299">
            <v>0</v>
          </cell>
          <cell r="CE299">
            <v>0</v>
          </cell>
          <cell r="CF299">
            <v>0</v>
          </cell>
          <cell r="CG299">
            <v>0</v>
          </cell>
          <cell r="CH299">
            <v>0</v>
          </cell>
          <cell r="CI299">
            <v>0</v>
          </cell>
          <cell r="CJ299">
            <v>0</v>
          </cell>
          <cell r="CK299">
            <v>0</v>
          </cell>
        </row>
        <row r="300">
          <cell r="N300" t="str">
            <v>TTL</v>
          </cell>
          <cell r="O300">
            <v>1.2709150227946364</v>
          </cell>
          <cell r="P300">
            <v>1.1297022424841208</v>
          </cell>
          <cell r="Q300">
            <v>1.2709150227946364</v>
          </cell>
          <cell r="R300">
            <v>2.6436455910138785</v>
          </cell>
          <cell r="S300">
            <v>4.9030500759821232</v>
          </cell>
          <cell r="T300">
            <v>3.2084967122559394</v>
          </cell>
          <cell r="U300">
            <v>3.4909222728769698</v>
          </cell>
          <cell r="V300">
            <v>3.4909222728769698</v>
          </cell>
          <cell r="W300">
            <v>9.1394334852975785</v>
          </cell>
          <cell r="X300">
            <v>4.2534712865537516</v>
          </cell>
          <cell r="Y300">
            <v>4.9030500759821232</v>
          </cell>
          <cell r="Z300">
            <v>6.3151778790872735</v>
          </cell>
          <cell r="AA300">
            <v>1.2709150227946364</v>
          </cell>
          <cell r="AB300">
            <v>2.4006172652787572</v>
          </cell>
          <cell r="AC300">
            <v>3.6715322880733936</v>
          </cell>
          <cell r="AD300">
            <v>6.3151778790872717</v>
          </cell>
          <cell r="AE300">
            <v>11.218227955069395</v>
          </cell>
          <cell r="AF300">
            <v>14.426724667325333</v>
          </cell>
          <cell r="AG300">
            <v>17.917646940202303</v>
          </cell>
          <cell r="AH300">
            <v>21.408569213079272</v>
          </cell>
          <cell r="AI300">
            <v>30.548002698376848</v>
          </cell>
          <cell r="AJ300">
            <v>34.801473984930603</v>
          </cell>
          <cell r="AK300">
            <v>39.704524060912725</v>
          </cell>
          <cell r="AL300">
            <v>46.019701939999997</v>
          </cell>
          <cell r="AN300">
            <v>0.22091502279464006</v>
          </cell>
          <cell r="AO300">
            <v>0.45970999999999995</v>
          </cell>
          <cell r="AP300">
            <v>0.6</v>
          </cell>
          <cell r="AQ300">
            <v>1.5</v>
          </cell>
          <cell r="AR300">
            <v>0.59000000000000019</v>
          </cell>
          <cell r="AS300">
            <v>0</v>
          </cell>
          <cell r="AT300">
            <v>0</v>
          </cell>
          <cell r="AU300">
            <v>0</v>
          </cell>
          <cell r="AV300">
            <v>0</v>
          </cell>
          <cell r="AW300">
            <v>0</v>
          </cell>
          <cell r="AX300">
            <v>0</v>
          </cell>
          <cell r="AY300">
            <v>0</v>
          </cell>
          <cell r="AZ300">
            <v>0.22091502279464006</v>
          </cell>
          <cell r="BA300">
            <v>0.68062502279463999</v>
          </cell>
          <cell r="BB300">
            <v>1.2806250227946401</v>
          </cell>
          <cell r="BC300">
            <v>2.7806250227946401</v>
          </cell>
          <cell r="BD300">
            <v>3.3706250227946404</v>
          </cell>
          <cell r="BE300">
            <v>3.3706250227946404</v>
          </cell>
          <cell r="BF300">
            <v>3.3706250227946404</v>
          </cell>
          <cell r="BG300">
            <v>3.3706250227946404</v>
          </cell>
          <cell r="BH300">
            <v>3.3706250227946404</v>
          </cell>
          <cell r="BI300">
            <v>3.3706250227946404</v>
          </cell>
          <cell r="BJ300">
            <v>3.3706250227946404</v>
          </cell>
          <cell r="BK300">
            <v>3.3706250227946404</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4">
          <cell r="N304">
            <v>0</v>
          </cell>
          <cell r="O304" t="str">
            <v>Budget</v>
          </cell>
          <cell r="P304" t="str">
            <v>Budget</v>
          </cell>
          <cell r="Q304" t="str">
            <v>Budget</v>
          </cell>
          <cell r="R304" t="str">
            <v>Budget</v>
          </cell>
          <cell r="S304" t="str">
            <v>Budget</v>
          </cell>
          <cell r="T304" t="str">
            <v>Budget</v>
          </cell>
          <cell r="U304" t="str">
            <v>Budget</v>
          </cell>
          <cell r="V304" t="str">
            <v>Budget</v>
          </cell>
          <cell r="W304" t="str">
            <v>Budget</v>
          </cell>
          <cell r="X304" t="str">
            <v>Budget</v>
          </cell>
          <cell r="Y304" t="str">
            <v>Budget</v>
          </cell>
          <cell r="Z304" t="str">
            <v>Budget</v>
          </cell>
          <cell r="AA304" t="str">
            <v>Cum_bud</v>
          </cell>
          <cell r="AB304" t="str">
            <v>Cum_bud</v>
          </cell>
          <cell r="AC304" t="str">
            <v>Cum_bud</v>
          </cell>
          <cell r="AD304" t="str">
            <v>Cum_bud</v>
          </cell>
          <cell r="AE304" t="str">
            <v>Cum_bud</v>
          </cell>
          <cell r="AF304" t="str">
            <v>Cum_bud</v>
          </cell>
          <cell r="AG304" t="str">
            <v>Cum_bud</v>
          </cell>
          <cell r="AH304" t="str">
            <v>Cum_bud</v>
          </cell>
          <cell r="AI304" t="str">
            <v>Cum_bud</v>
          </cell>
          <cell r="AJ304" t="str">
            <v>Cum_bud</v>
          </cell>
          <cell r="AK304" t="str">
            <v>Cum_bud</v>
          </cell>
          <cell r="AL304" t="str">
            <v>Cum_bud</v>
          </cell>
          <cell r="AM304">
            <v>0</v>
          </cell>
          <cell r="AN304" t="str">
            <v>Actual</v>
          </cell>
          <cell r="AO304" t="str">
            <v>Actual</v>
          </cell>
          <cell r="AP304" t="str">
            <v>Actual</v>
          </cell>
          <cell r="AQ304" t="str">
            <v>Actual</v>
          </cell>
          <cell r="AR304" t="str">
            <v>Actual</v>
          </cell>
          <cell r="AS304" t="str">
            <v>Actual</v>
          </cell>
          <cell r="AT304" t="str">
            <v>Actual</v>
          </cell>
          <cell r="AU304" t="str">
            <v>Actual</v>
          </cell>
          <cell r="AV304" t="str">
            <v>Actual</v>
          </cell>
          <cell r="AW304" t="str">
            <v>Actual</v>
          </cell>
          <cell r="AX304" t="str">
            <v>Actual</v>
          </cell>
          <cell r="AY304" t="str">
            <v>Actual</v>
          </cell>
          <cell r="AZ304" t="str">
            <v>Cum_Actu</v>
          </cell>
          <cell r="BA304" t="str">
            <v>Cum_Actu</v>
          </cell>
          <cell r="BB304" t="str">
            <v>Cum_Actu</v>
          </cell>
          <cell r="BC304" t="str">
            <v>Cum_Actu</v>
          </cell>
          <cell r="BD304" t="str">
            <v>Cum_Actu</v>
          </cell>
          <cell r="BE304" t="str">
            <v>Cum_Actu</v>
          </cell>
          <cell r="BF304" t="str">
            <v>Cum_Actu</v>
          </cell>
          <cell r="BG304" t="str">
            <v>Cum_Actu</v>
          </cell>
          <cell r="BH304" t="str">
            <v>Cum_Actu</v>
          </cell>
          <cell r="BI304" t="str">
            <v>Cum_Actu</v>
          </cell>
          <cell r="BJ304" t="str">
            <v>Cum_Actu</v>
          </cell>
          <cell r="BK304" t="str">
            <v>Cum_Actu</v>
          </cell>
          <cell r="BN304" t="str">
            <v>Actual</v>
          </cell>
          <cell r="BO304" t="str">
            <v>Actual</v>
          </cell>
          <cell r="BP304" t="str">
            <v>Actual</v>
          </cell>
          <cell r="BQ304" t="str">
            <v>Actual</v>
          </cell>
          <cell r="BR304" t="str">
            <v>Actual</v>
          </cell>
          <cell r="BS304" t="str">
            <v>Actual</v>
          </cell>
          <cell r="BT304" t="str">
            <v>Actual</v>
          </cell>
          <cell r="BU304" t="str">
            <v>Actual</v>
          </cell>
          <cell r="BV304" t="str">
            <v>Actual</v>
          </cell>
          <cell r="BW304" t="str">
            <v>Actual</v>
          </cell>
          <cell r="BX304" t="str">
            <v>Actual</v>
          </cell>
          <cell r="BY304" t="str">
            <v>Actual</v>
          </cell>
          <cell r="BZ304" t="str">
            <v>Cum_Actu</v>
          </cell>
          <cell r="CA304" t="str">
            <v>Cum_Actu</v>
          </cell>
          <cell r="CB304" t="str">
            <v>Cum_Actu</v>
          </cell>
          <cell r="CC304" t="str">
            <v>Cum_Actu</v>
          </cell>
          <cell r="CD304" t="str">
            <v>Cum_Actu</v>
          </cell>
          <cell r="CE304" t="str">
            <v>Cum_Actu</v>
          </cell>
          <cell r="CF304" t="str">
            <v>Cum_Actu</v>
          </cell>
          <cell r="CG304" t="str">
            <v>Cum_Actu</v>
          </cell>
          <cell r="CH304" t="str">
            <v>Cum_Actu</v>
          </cell>
          <cell r="CI304" t="str">
            <v>Cum_Actu</v>
          </cell>
          <cell r="CJ304" t="str">
            <v>Cum_Actu</v>
          </cell>
          <cell r="CK304" t="str">
            <v>Cum_Actu</v>
          </cell>
        </row>
        <row r="305">
          <cell r="N305" t="str">
            <v>Code</v>
          </cell>
          <cell r="O305">
            <v>41640</v>
          </cell>
          <cell r="P305">
            <v>41671</v>
          </cell>
          <cell r="Q305">
            <v>41699</v>
          </cell>
          <cell r="R305">
            <v>41730</v>
          </cell>
          <cell r="S305">
            <v>41760</v>
          </cell>
          <cell r="T305">
            <v>41791</v>
          </cell>
          <cell r="U305">
            <v>41821</v>
          </cell>
          <cell r="V305">
            <v>41852</v>
          </cell>
          <cell r="W305">
            <v>41883</v>
          </cell>
          <cell r="X305">
            <v>41913</v>
          </cell>
          <cell r="Y305">
            <v>41944</v>
          </cell>
          <cell r="Z305">
            <v>41974</v>
          </cell>
          <cell r="AA305">
            <v>41640</v>
          </cell>
          <cell r="AB305">
            <v>41671</v>
          </cell>
          <cell r="AC305">
            <v>41699</v>
          </cell>
          <cell r="AD305">
            <v>41730</v>
          </cell>
          <cell r="AE305">
            <v>41760</v>
          </cell>
          <cell r="AF305">
            <v>41791</v>
          </cell>
          <cell r="AG305">
            <v>41821</v>
          </cell>
          <cell r="AH305">
            <v>41852</v>
          </cell>
          <cell r="AI305">
            <v>41883</v>
          </cell>
          <cell r="AJ305">
            <v>41913</v>
          </cell>
          <cell r="AK305">
            <v>41944</v>
          </cell>
          <cell r="AL305">
            <v>41974</v>
          </cell>
          <cell r="AM305" t="str">
            <v>Code</v>
          </cell>
          <cell r="AN305">
            <v>41640</v>
          </cell>
          <cell r="AO305">
            <v>41671</v>
          </cell>
          <cell r="AP305">
            <v>41699</v>
          </cell>
          <cell r="AQ305">
            <v>41730</v>
          </cell>
          <cell r="AR305">
            <v>41760</v>
          </cell>
          <cell r="AS305">
            <v>41791</v>
          </cell>
          <cell r="AT305">
            <v>41821</v>
          </cell>
          <cell r="AU305">
            <v>41852</v>
          </cell>
          <cell r="AV305">
            <v>41883</v>
          </cell>
          <cell r="AW305">
            <v>41913</v>
          </cell>
          <cell r="AX305">
            <v>41944</v>
          </cell>
          <cell r="AY305">
            <v>41974</v>
          </cell>
          <cell r="AZ305">
            <v>41640</v>
          </cell>
          <cell r="BA305">
            <v>41671</v>
          </cell>
          <cell r="BB305">
            <v>41699</v>
          </cell>
          <cell r="BC305">
            <v>41730</v>
          </cell>
          <cell r="BD305">
            <v>41760</v>
          </cell>
          <cell r="BE305">
            <v>41791</v>
          </cell>
          <cell r="BF305">
            <v>41821</v>
          </cell>
          <cell r="BG305">
            <v>41852</v>
          </cell>
          <cell r="BH305">
            <v>41883</v>
          </cell>
          <cell r="BI305">
            <v>41913</v>
          </cell>
          <cell r="BJ305">
            <v>41944</v>
          </cell>
          <cell r="BK305">
            <v>41974</v>
          </cell>
          <cell r="BM305" t="str">
            <v>CODE</v>
          </cell>
          <cell r="BN305">
            <v>41285</v>
          </cell>
          <cell r="BO305">
            <v>41316</v>
          </cell>
          <cell r="BP305">
            <v>41344</v>
          </cell>
          <cell r="BQ305">
            <v>41375</v>
          </cell>
          <cell r="BR305">
            <v>41405</v>
          </cell>
          <cell r="BS305">
            <v>41436</v>
          </cell>
          <cell r="BT305">
            <v>41466</v>
          </cell>
          <cell r="BU305">
            <v>41497</v>
          </cell>
          <cell r="BV305">
            <v>41528</v>
          </cell>
          <cell r="BW305">
            <v>41558</v>
          </cell>
          <cell r="BX305">
            <v>41589</v>
          </cell>
          <cell r="BY305">
            <v>41619</v>
          </cell>
          <cell r="BZ305">
            <v>41285</v>
          </cell>
          <cell r="CA305">
            <v>41316</v>
          </cell>
          <cell r="CB305">
            <v>41344</v>
          </cell>
          <cell r="CC305">
            <v>41375</v>
          </cell>
          <cell r="CD305">
            <v>41405</v>
          </cell>
          <cell r="CE305">
            <v>41436</v>
          </cell>
          <cell r="CF305">
            <v>41466</v>
          </cell>
          <cell r="CG305">
            <v>41497</v>
          </cell>
          <cell r="CH305">
            <v>41528</v>
          </cell>
          <cell r="CI305">
            <v>41558</v>
          </cell>
          <cell r="CJ305">
            <v>41589</v>
          </cell>
          <cell r="CK305">
            <v>41619</v>
          </cell>
        </row>
        <row r="306">
          <cell r="N306" t="str">
            <v>EM01</v>
          </cell>
          <cell r="O306">
            <v>2.25</v>
          </cell>
          <cell r="P306">
            <v>2.25</v>
          </cell>
          <cell r="Q306">
            <v>2.25</v>
          </cell>
          <cell r="R306">
            <v>2.25</v>
          </cell>
          <cell r="S306">
            <v>2.25</v>
          </cell>
          <cell r="T306">
            <v>2.25</v>
          </cell>
          <cell r="U306">
            <v>2.25</v>
          </cell>
          <cell r="V306">
            <v>2.25</v>
          </cell>
          <cell r="W306">
            <v>2.25</v>
          </cell>
          <cell r="X306">
            <v>2.25</v>
          </cell>
          <cell r="Y306">
            <v>2.25</v>
          </cell>
          <cell r="Z306">
            <v>2.25</v>
          </cell>
          <cell r="AA306">
            <v>2.25</v>
          </cell>
          <cell r="AB306">
            <v>4.5</v>
          </cell>
          <cell r="AC306">
            <v>6.75</v>
          </cell>
          <cell r="AD306">
            <v>9</v>
          </cell>
          <cell r="AE306">
            <v>11.25</v>
          </cell>
          <cell r="AF306">
            <v>13.5</v>
          </cell>
          <cell r="AG306">
            <v>15.75</v>
          </cell>
          <cell r="AH306">
            <v>18</v>
          </cell>
          <cell r="AI306">
            <v>20.25</v>
          </cell>
          <cell r="AJ306">
            <v>22.5</v>
          </cell>
          <cell r="AK306">
            <v>24.75</v>
          </cell>
          <cell r="AL306">
            <v>27</v>
          </cell>
          <cell r="AM306" t="str">
            <v>EM01</v>
          </cell>
          <cell r="AN306">
            <v>0</v>
          </cell>
          <cell r="AO306">
            <v>0</v>
          </cell>
          <cell r="AZ306">
            <v>0</v>
          </cell>
          <cell r="BA306">
            <v>0</v>
          </cell>
          <cell r="BB306">
            <v>0</v>
          </cell>
          <cell r="BC306">
            <v>0</v>
          </cell>
          <cell r="BD306">
            <v>0</v>
          </cell>
          <cell r="BE306">
            <v>0</v>
          </cell>
          <cell r="BF306">
            <v>0</v>
          </cell>
          <cell r="BG306">
            <v>0</v>
          </cell>
          <cell r="BH306">
            <v>0</v>
          </cell>
          <cell r="BI306">
            <v>0</v>
          </cell>
          <cell r="BJ306">
            <v>0</v>
          </cell>
          <cell r="BK306">
            <v>0</v>
          </cell>
          <cell r="BM306" t="str">
            <v>EM01</v>
          </cell>
          <cell r="BZ306">
            <v>0</v>
          </cell>
          <cell r="CA306">
            <v>0</v>
          </cell>
          <cell r="CB306">
            <v>0</v>
          </cell>
          <cell r="CC306">
            <v>0</v>
          </cell>
          <cell r="CD306">
            <v>0</v>
          </cell>
          <cell r="CE306">
            <v>0</v>
          </cell>
          <cell r="CF306">
            <v>0</v>
          </cell>
          <cell r="CG306">
            <v>0</v>
          </cell>
          <cell r="CH306">
            <v>0</v>
          </cell>
          <cell r="CI306">
            <v>0</v>
          </cell>
          <cell r="CJ306">
            <v>0</v>
          </cell>
          <cell r="CK306">
            <v>0</v>
          </cell>
        </row>
        <row r="307">
          <cell r="N307" t="str">
            <v>EM02</v>
          </cell>
          <cell r="O307">
            <v>0.79999999999999993</v>
          </cell>
          <cell r="P307">
            <v>0.79999999999999993</v>
          </cell>
          <cell r="Q307">
            <v>0.79999999999999993</v>
          </cell>
          <cell r="R307">
            <v>0.79999999999999993</v>
          </cell>
          <cell r="S307">
            <v>0.79999999999999993</v>
          </cell>
          <cell r="T307">
            <v>0.79999999999999993</v>
          </cell>
          <cell r="U307">
            <v>0.79999999999999993</v>
          </cell>
          <cell r="V307">
            <v>0.79999999999999993</v>
          </cell>
          <cell r="W307">
            <v>0.79999999999999993</v>
          </cell>
          <cell r="X307">
            <v>0.79999999999999993</v>
          </cell>
          <cell r="Y307">
            <v>0.79999999999999993</v>
          </cell>
          <cell r="Z307">
            <v>0.79999999999999993</v>
          </cell>
          <cell r="AA307">
            <v>0.79999999999999993</v>
          </cell>
          <cell r="AB307">
            <v>1.5999999999999999</v>
          </cell>
          <cell r="AC307">
            <v>2.4</v>
          </cell>
          <cell r="AD307">
            <v>3.1999999999999997</v>
          </cell>
          <cell r="AE307">
            <v>3.9999999999999996</v>
          </cell>
          <cell r="AF307">
            <v>4.8</v>
          </cell>
          <cell r="AG307">
            <v>5.6</v>
          </cell>
          <cell r="AH307">
            <v>6.3999999999999995</v>
          </cell>
          <cell r="AI307">
            <v>7.1999999999999993</v>
          </cell>
          <cell r="AJ307">
            <v>7.9999999999999991</v>
          </cell>
          <cell r="AK307">
            <v>8.7999999999999989</v>
          </cell>
          <cell r="AL307">
            <v>9.6</v>
          </cell>
          <cell r="AM307" t="str">
            <v>EM02</v>
          </cell>
          <cell r="AN307">
            <v>0.79999999999999993</v>
          </cell>
          <cell r="AO307">
            <v>0.8</v>
          </cell>
          <cell r="AP307">
            <v>0.2</v>
          </cell>
          <cell r="AQ307">
            <v>0.8</v>
          </cell>
          <cell r="AR307">
            <v>0.8</v>
          </cell>
          <cell r="AZ307">
            <v>0.79999999999999993</v>
          </cell>
          <cell r="BA307">
            <v>1.6</v>
          </cell>
          <cell r="BB307">
            <v>1.8</v>
          </cell>
          <cell r="BC307">
            <v>2.6</v>
          </cell>
          <cell r="BD307">
            <v>3.4000000000000004</v>
          </cell>
          <cell r="BE307">
            <v>3.4000000000000004</v>
          </cell>
          <cell r="BF307">
            <v>3.4000000000000004</v>
          </cell>
          <cell r="BG307">
            <v>3.4000000000000004</v>
          </cell>
          <cell r="BH307">
            <v>3.4000000000000004</v>
          </cell>
          <cell r="BI307">
            <v>3.4000000000000004</v>
          </cell>
          <cell r="BJ307">
            <v>3.4000000000000004</v>
          </cell>
          <cell r="BK307">
            <v>3.4000000000000004</v>
          </cell>
          <cell r="BM307" t="str">
            <v>EM02</v>
          </cell>
          <cell r="BZ307">
            <v>0</v>
          </cell>
          <cell r="CA307">
            <v>0</v>
          </cell>
          <cell r="CB307">
            <v>0</v>
          </cell>
          <cell r="CC307">
            <v>0</v>
          </cell>
          <cell r="CD307">
            <v>0</v>
          </cell>
          <cell r="CE307">
            <v>0</v>
          </cell>
          <cell r="CF307">
            <v>0</v>
          </cell>
          <cell r="CG307">
            <v>0</v>
          </cell>
          <cell r="CH307">
            <v>0</v>
          </cell>
          <cell r="CI307">
            <v>0</v>
          </cell>
          <cell r="CJ307">
            <v>0</v>
          </cell>
          <cell r="CK307">
            <v>0</v>
          </cell>
        </row>
        <row r="308">
          <cell r="N308" t="str">
            <v>EM03</v>
          </cell>
          <cell r="O308">
            <v>4.2862457762879318</v>
          </cell>
          <cell r="P308">
            <v>3.8099962455892711</v>
          </cell>
          <cell r="Q308">
            <v>4.2862457762879318</v>
          </cell>
          <cell r="R308">
            <v>6.6674934297812261</v>
          </cell>
          <cell r="S308">
            <v>14.287485920959776</v>
          </cell>
          <cell r="T308">
            <v>8.5724915525758636</v>
          </cell>
          <cell r="U308">
            <v>9.5249906139731824</v>
          </cell>
          <cell r="V308">
            <v>9.5249906139731824</v>
          </cell>
          <cell r="W308">
            <v>28.574971841919552</v>
          </cell>
          <cell r="X308">
            <v>12.096738079745938</v>
          </cell>
          <cell r="Y308">
            <v>14.287485920959776</v>
          </cell>
          <cell r="Z308">
            <v>19.049981227946365</v>
          </cell>
          <cell r="AA308">
            <v>4.2862457762879318</v>
          </cell>
          <cell r="AB308">
            <v>8.0962420218772024</v>
          </cell>
          <cell r="AC308">
            <v>12.382487798165133</v>
          </cell>
          <cell r="AD308">
            <v>19.049981227946361</v>
          </cell>
          <cell r="AE308">
            <v>33.337467148906136</v>
          </cell>
          <cell r="AF308">
            <v>41.909958701481997</v>
          </cell>
          <cell r="AG308">
            <v>51.434949315455178</v>
          </cell>
          <cell r="AH308">
            <v>60.959939929428359</v>
          </cell>
          <cell r="AI308">
            <v>89.534911771347907</v>
          </cell>
          <cell r="AJ308">
            <v>101.63164985109384</v>
          </cell>
          <cell r="AK308">
            <v>115.91913577205362</v>
          </cell>
          <cell r="AL308">
            <v>134.96911699999998</v>
          </cell>
          <cell r="AM308" t="str">
            <v>EM03</v>
          </cell>
          <cell r="AN308">
            <v>8.6245776287929843E-2</v>
          </cell>
          <cell r="AO308">
            <v>1</v>
          </cell>
          <cell r="AP308">
            <v>2.48</v>
          </cell>
          <cell r="AQ308">
            <v>3.41</v>
          </cell>
          <cell r="AR308">
            <v>7.08</v>
          </cell>
          <cell r="AZ308">
            <v>8.6245776287929843E-2</v>
          </cell>
          <cell r="BA308">
            <v>1.0862457762879298</v>
          </cell>
          <cell r="BB308">
            <v>3.5662457762879298</v>
          </cell>
          <cell r="BC308">
            <v>6.9762457762879304</v>
          </cell>
          <cell r="BD308">
            <v>14.05624577628793</v>
          </cell>
          <cell r="BE308">
            <v>14.05624577628793</v>
          </cell>
          <cell r="BF308">
            <v>14.05624577628793</v>
          </cell>
          <cell r="BG308">
            <v>14.05624577628793</v>
          </cell>
          <cell r="BH308">
            <v>14.05624577628793</v>
          </cell>
          <cell r="BI308">
            <v>14.05624577628793</v>
          </cell>
          <cell r="BJ308">
            <v>14.05624577628793</v>
          </cell>
          <cell r="BK308">
            <v>14.05624577628793</v>
          </cell>
          <cell r="BM308" t="str">
            <v>EM03</v>
          </cell>
          <cell r="BZ308">
            <v>0</v>
          </cell>
          <cell r="CA308">
            <v>0</v>
          </cell>
          <cell r="CB308">
            <v>0</v>
          </cell>
          <cell r="CC308">
            <v>0</v>
          </cell>
          <cell r="CD308">
            <v>0</v>
          </cell>
          <cell r="CE308">
            <v>0</v>
          </cell>
          <cell r="CF308">
            <v>0</v>
          </cell>
          <cell r="CG308">
            <v>0</v>
          </cell>
          <cell r="CH308">
            <v>0</v>
          </cell>
          <cell r="CI308">
            <v>0</v>
          </cell>
          <cell r="CJ308">
            <v>0</v>
          </cell>
          <cell r="CK308">
            <v>0</v>
          </cell>
        </row>
        <row r="309">
          <cell r="N309" t="str">
            <v>EM04</v>
          </cell>
          <cell r="O309">
            <v>0.86300250529287215</v>
          </cell>
          <cell r="P309">
            <v>0.76711333803810833</v>
          </cell>
          <cell r="Q309">
            <v>0.86300250529287215</v>
          </cell>
          <cell r="R309">
            <v>1.3424483415666897</v>
          </cell>
          <cell r="S309">
            <v>2.8766750176429081</v>
          </cell>
          <cell r="T309">
            <v>1.7260050105857443</v>
          </cell>
          <cell r="U309">
            <v>1.9177833450952715</v>
          </cell>
          <cell r="V309">
            <v>1.9177833450952715</v>
          </cell>
          <cell r="W309">
            <v>5.7533500352858162</v>
          </cell>
          <cell r="X309">
            <v>2.4355848482709943</v>
          </cell>
          <cell r="Y309">
            <v>2.8766750176429081</v>
          </cell>
          <cell r="Z309">
            <v>3.835566690190543</v>
          </cell>
          <cell r="AA309">
            <v>0.86300250529287215</v>
          </cell>
          <cell r="AB309">
            <v>1.6301158433309806</v>
          </cell>
          <cell r="AC309">
            <v>2.4931183486238528</v>
          </cell>
          <cell r="AD309">
            <v>3.8355666901905425</v>
          </cell>
          <cell r="AE309">
            <v>6.7122417078334511</v>
          </cell>
          <cell r="AF309">
            <v>8.4382467184191956</v>
          </cell>
          <cell r="AG309">
            <v>10.356030063514467</v>
          </cell>
          <cell r="AH309">
            <v>12.273813408609739</v>
          </cell>
          <cell r="AI309">
            <v>18.027163443895553</v>
          </cell>
          <cell r="AJ309">
            <v>20.462748292166548</v>
          </cell>
          <cell r="AK309">
            <v>23.339423309809455</v>
          </cell>
          <cell r="AL309">
            <v>27.174989999999998</v>
          </cell>
          <cell r="AM309" t="str">
            <v>EM04</v>
          </cell>
          <cell r="AN309">
            <v>0.86300250529287215</v>
          </cell>
          <cell r="AO309">
            <v>0</v>
          </cell>
          <cell r="AP309">
            <v>0.39</v>
          </cell>
          <cell r="AQ309">
            <v>0.34</v>
          </cell>
          <cell r="AR309">
            <v>1</v>
          </cell>
          <cell r="AZ309">
            <v>0.86300250529287215</v>
          </cell>
          <cell r="BA309">
            <v>0.86300250529287215</v>
          </cell>
          <cell r="BB309">
            <v>1.2530025052928722</v>
          </cell>
          <cell r="BC309">
            <v>1.5930025052928722</v>
          </cell>
          <cell r="BD309">
            <v>2.5930025052928722</v>
          </cell>
          <cell r="BE309">
            <v>2.5930025052928722</v>
          </cell>
          <cell r="BF309">
            <v>2.5930025052928722</v>
          </cell>
          <cell r="BG309">
            <v>2.5930025052928722</v>
          </cell>
          <cell r="BH309">
            <v>2.5930025052928722</v>
          </cell>
          <cell r="BI309">
            <v>2.5930025052928722</v>
          </cell>
          <cell r="BJ309">
            <v>2.5930025052928722</v>
          </cell>
          <cell r="BK309">
            <v>2.5930025052928722</v>
          </cell>
          <cell r="BM309" t="str">
            <v>EM04</v>
          </cell>
          <cell r="BZ309">
            <v>0</v>
          </cell>
          <cell r="CA309">
            <v>0</v>
          </cell>
          <cell r="CB309">
            <v>0</v>
          </cell>
          <cell r="CC309">
            <v>0</v>
          </cell>
          <cell r="CD309">
            <v>0</v>
          </cell>
          <cell r="CE309">
            <v>0</v>
          </cell>
          <cell r="CF309">
            <v>0</v>
          </cell>
          <cell r="CG309">
            <v>0</v>
          </cell>
          <cell r="CH309">
            <v>0</v>
          </cell>
          <cell r="CI309">
            <v>0</v>
          </cell>
          <cell r="CJ309">
            <v>0</v>
          </cell>
          <cell r="CK309">
            <v>0</v>
          </cell>
        </row>
        <row r="310">
          <cell r="N310" t="str">
            <v>EM05</v>
          </cell>
          <cell r="O310">
            <v>0.14383375088214537</v>
          </cell>
          <cell r="P310">
            <v>0.12785222300635141</v>
          </cell>
          <cell r="Q310">
            <v>0.14383375088214537</v>
          </cell>
          <cell r="R310">
            <v>0.22374139026111498</v>
          </cell>
          <cell r="S310">
            <v>0.47944583627381804</v>
          </cell>
          <cell r="T310">
            <v>0.28766750176429073</v>
          </cell>
          <cell r="U310">
            <v>0.3196305575158786</v>
          </cell>
          <cell r="V310">
            <v>0.3196305575158786</v>
          </cell>
          <cell r="W310">
            <v>0.95889167254763608</v>
          </cell>
          <cell r="X310">
            <v>0.40593080804516574</v>
          </cell>
          <cell r="Y310">
            <v>0.47944583627381804</v>
          </cell>
          <cell r="Z310">
            <v>0.6392611150317572</v>
          </cell>
          <cell r="AA310">
            <v>0.14383375088214537</v>
          </cell>
          <cell r="AB310">
            <v>0.2716859738884968</v>
          </cell>
          <cell r="AC310">
            <v>0.41551972477064214</v>
          </cell>
          <cell r="AD310">
            <v>0.63926111503175709</v>
          </cell>
          <cell r="AE310">
            <v>1.1187069513055752</v>
          </cell>
          <cell r="AF310">
            <v>1.4063744530698659</v>
          </cell>
          <cell r="AG310">
            <v>1.7260050105857445</v>
          </cell>
          <cell r="AH310">
            <v>2.0456355681016229</v>
          </cell>
          <cell r="AI310">
            <v>3.0045272406492591</v>
          </cell>
          <cell r="AJ310">
            <v>3.4104580486944247</v>
          </cell>
          <cell r="AK310">
            <v>3.8899038849682426</v>
          </cell>
          <cell r="AL310">
            <v>4.5291649999999999</v>
          </cell>
          <cell r="AM310" t="str">
            <v>EM05</v>
          </cell>
          <cell r="AN310">
            <v>0</v>
          </cell>
          <cell r="AO310">
            <v>0</v>
          </cell>
          <cell r="AR310">
            <v>0.02</v>
          </cell>
          <cell r="AZ310">
            <v>0</v>
          </cell>
          <cell r="BA310">
            <v>0</v>
          </cell>
          <cell r="BB310">
            <v>0</v>
          </cell>
          <cell r="BC310">
            <v>0</v>
          </cell>
          <cell r="BD310">
            <v>0.02</v>
          </cell>
          <cell r="BE310">
            <v>0.02</v>
          </cell>
          <cell r="BF310">
            <v>0.02</v>
          </cell>
          <cell r="BG310">
            <v>0.02</v>
          </cell>
          <cell r="BH310">
            <v>0.02</v>
          </cell>
          <cell r="BI310">
            <v>0.02</v>
          </cell>
          <cell r="BJ310">
            <v>0.02</v>
          </cell>
          <cell r="BK310">
            <v>0.02</v>
          </cell>
          <cell r="BM310" t="str">
            <v>EM05</v>
          </cell>
          <cell r="BZ310">
            <v>0</v>
          </cell>
          <cell r="CA310">
            <v>0</v>
          </cell>
          <cell r="CB310">
            <v>0</v>
          </cell>
          <cell r="CC310">
            <v>0</v>
          </cell>
          <cell r="CD310">
            <v>0</v>
          </cell>
          <cell r="CE310">
            <v>0</v>
          </cell>
          <cell r="CF310">
            <v>0</v>
          </cell>
          <cell r="CG310">
            <v>0</v>
          </cell>
          <cell r="CH310">
            <v>0</v>
          </cell>
          <cell r="CI310">
            <v>0</v>
          </cell>
          <cell r="CJ310">
            <v>0</v>
          </cell>
          <cell r="CK310">
            <v>0</v>
          </cell>
        </row>
        <row r="311">
          <cell r="N311" t="str">
            <v>EM06</v>
          </cell>
          <cell r="O311">
            <v>0.41666666666666669</v>
          </cell>
          <cell r="P311">
            <v>0.41666666666666669</v>
          </cell>
          <cell r="Q311">
            <v>0.41666666666666669</v>
          </cell>
          <cell r="R311">
            <v>0.41666666666666669</v>
          </cell>
          <cell r="S311">
            <v>0.41666666666666669</v>
          </cell>
          <cell r="T311">
            <v>0.41666666666666669</v>
          </cell>
          <cell r="U311">
            <v>0.41666666666666669</v>
          </cell>
          <cell r="V311">
            <v>0.41666666666666669</v>
          </cell>
          <cell r="W311">
            <v>0.41666666666666669</v>
          </cell>
          <cell r="X311">
            <v>0.41666666666666669</v>
          </cell>
          <cell r="Y311">
            <v>0.41666666666666669</v>
          </cell>
          <cell r="Z311">
            <v>0.41666666666666669</v>
          </cell>
          <cell r="AA311">
            <v>0.41666666666666669</v>
          </cell>
          <cell r="AB311">
            <v>0.83333333333333337</v>
          </cell>
          <cell r="AC311">
            <v>1.25</v>
          </cell>
          <cell r="AD311">
            <v>1.6666666666666667</v>
          </cell>
          <cell r="AE311">
            <v>2.0833333333333335</v>
          </cell>
          <cell r="AF311">
            <v>2.5</v>
          </cell>
          <cell r="AG311">
            <v>2.9166666666666665</v>
          </cell>
          <cell r="AH311">
            <v>3.333333333333333</v>
          </cell>
          <cell r="AI311">
            <v>3.7499999999999996</v>
          </cell>
          <cell r="AJ311">
            <v>4.1666666666666661</v>
          </cell>
          <cell r="AK311">
            <v>4.583333333333333</v>
          </cell>
          <cell r="AL311">
            <v>5</v>
          </cell>
          <cell r="AM311" t="str">
            <v>EM06</v>
          </cell>
          <cell r="AN311">
            <v>0</v>
          </cell>
          <cell r="AO311">
            <v>0</v>
          </cell>
          <cell r="AP311">
            <v>7.0000000000000007E-2</v>
          </cell>
          <cell r="AQ311">
            <v>0.03</v>
          </cell>
          <cell r="AR311">
            <v>0.42</v>
          </cell>
          <cell r="AZ311">
            <v>0</v>
          </cell>
          <cell r="BA311">
            <v>0</v>
          </cell>
          <cell r="BB311">
            <v>7.0000000000000007E-2</v>
          </cell>
          <cell r="BC311">
            <v>0.1</v>
          </cell>
          <cell r="BD311">
            <v>0.52</v>
          </cell>
          <cell r="BE311">
            <v>0.52</v>
          </cell>
          <cell r="BF311">
            <v>0.52</v>
          </cell>
          <cell r="BG311">
            <v>0.52</v>
          </cell>
          <cell r="BH311">
            <v>0.52</v>
          </cell>
          <cell r="BI311">
            <v>0.52</v>
          </cell>
          <cell r="BJ311">
            <v>0.52</v>
          </cell>
          <cell r="BK311">
            <v>0.52</v>
          </cell>
          <cell r="BM311" t="str">
            <v>EM06</v>
          </cell>
          <cell r="BZ311">
            <v>0</v>
          </cell>
          <cell r="CA311">
            <v>0</v>
          </cell>
          <cell r="CB311">
            <v>0</v>
          </cell>
          <cell r="CC311">
            <v>0</v>
          </cell>
          <cell r="CD311">
            <v>0</v>
          </cell>
          <cell r="CE311">
            <v>0</v>
          </cell>
          <cell r="CF311">
            <v>0</v>
          </cell>
          <cell r="CG311">
            <v>0</v>
          </cell>
          <cell r="CH311">
            <v>0</v>
          </cell>
          <cell r="CI311">
            <v>0</v>
          </cell>
          <cell r="CJ311">
            <v>0</v>
          </cell>
          <cell r="CK311">
            <v>0</v>
          </cell>
        </row>
        <row r="312">
          <cell r="N312" t="str">
            <v>EM07</v>
          </cell>
          <cell r="O312">
            <v>8.3333333333333329E-2</v>
          </cell>
          <cell r="P312">
            <v>8.3333333333333329E-2</v>
          </cell>
          <cell r="Q312">
            <v>8.3333333333333329E-2</v>
          </cell>
          <cell r="R312">
            <v>8.3333333333333329E-2</v>
          </cell>
          <cell r="S312">
            <v>8.3333333333333329E-2</v>
          </cell>
          <cell r="T312">
            <v>8.3333333333333329E-2</v>
          </cell>
          <cell r="U312">
            <v>8.3333333333333329E-2</v>
          </cell>
          <cell r="V312">
            <v>8.3333333333333329E-2</v>
          </cell>
          <cell r="W312">
            <v>8.3333333333333329E-2</v>
          </cell>
          <cell r="X312">
            <v>8.3333333333333329E-2</v>
          </cell>
          <cell r="Y312">
            <v>8.3333333333333329E-2</v>
          </cell>
          <cell r="Z312">
            <v>8.3333333333333329E-2</v>
          </cell>
          <cell r="AA312">
            <v>8.3333333333333329E-2</v>
          </cell>
          <cell r="AB312">
            <v>0.16666666666666666</v>
          </cell>
          <cell r="AC312">
            <v>0.25</v>
          </cell>
          <cell r="AD312">
            <v>0.33333333333333331</v>
          </cell>
          <cell r="AE312">
            <v>0.41666666666666663</v>
          </cell>
          <cell r="AF312">
            <v>0.49999999999999994</v>
          </cell>
          <cell r="AG312">
            <v>0.58333333333333326</v>
          </cell>
          <cell r="AH312">
            <v>0.66666666666666663</v>
          </cell>
          <cell r="AI312">
            <v>0.75</v>
          </cell>
          <cell r="AJ312">
            <v>0.83333333333333337</v>
          </cell>
          <cell r="AK312">
            <v>0.91666666666666674</v>
          </cell>
          <cell r="AL312">
            <v>1</v>
          </cell>
          <cell r="AM312" t="str">
            <v>EM07</v>
          </cell>
          <cell r="AN312">
            <v>0</v>
          </cell>
          <cell r="AO312">
            <v>0.02</v>
          </cell>
          <cell r="AP312">
            <v>0.03</v>
          </cell>
          <cell r="AR312">
            <v>0.08</v>
          </cell>
          <cell r="AZ312">
            <v>0</v>
          </cell>
          <cell r="BA312">
            <v>0.02</v>
          </cell>
          <cell r="BB312">
            <v>0.05</v>
          </cell>
          <cell r="BC312">
            <v>0.05</v>
          </cell>
          <cell r="BD312">
            <v>0.13</v>
          </cell>
          <cell r="BE312">
            <v>0.13</v>
          </cell>
          <cell r="BF312">
            <v>0.13</v>
          </cell>
          <cell r="BG312">
            <v>0.13</v>
          </cell>
          <cell r="BH312">
            <v>0.13</v>
          </cell>
          <cell r="BI312">
            <v>0.13</v>
          </cell>
          <cell r="BJ312">
            <v>0.13</v>
          </cell>
          <cell r="BK312">
            <v>0.13</v>
          </cell>
          <cell r="BM312" t="str">
            <v>EM07</v>
          </cell>
          <cell r="BZ312">
            <v>0</v>
          </cell>
          <cell r="CA312">
            <v>0</v>
          </cell>
          <cell r="CB312">
            <v>0</v>
          </cell>
          <cell r="CC312">
            <v>0</v>
          </cell>
          <cell r="CD312">
            <v>0</v>
          </cell>
          <cell r="CE312">
            <v>0</v>
          </cell>
          <cell r="CF312">
            <v>0</v>
          </cell>
          <cell r="CG312">
            <v>0</v>
          </cell>
          <cell r="CH312">
            <v>0</v>
          </cell>
          <cell r="CI312">
            <v>0</v>
          </cell>
          <cell r="CJ312">
            <v>0</v>
          </cell>
          <cell r="CK312">
            <v>0</v>
          </cell>
        </row>
        <row r="313">
          <cell r="N313" t="str">
            <v>TTL</v>
          </cell>
          <cell r="O313">
            <v>8.8430820324629487</v>
          </cell>
          <cell r="P313">
            <v>8.2549618066337302</v>
          </cell>
          <cell r="Q313">
            <v>8.8430820324629487</v>
          </cell>
          <cell r="R313">
            <v>11.78368316160903</v>
          </cell>
          <cell r="S313">
            <v>21.1936067748765</v>
          </cell>
          <cell r="T313">
            <v>14.136164064925898</v>
          </cell>
          <cell r="U313">
            <v>15.312404516584332</v>
          </cell>
          <cell r="V313">
            <v>15.312404516584332</v>
          </cell>
          <cell r="W313">
            <v>38.837213549753002</v>
          </cell>
          <cell r="X313">
            <v>18.488253736062099</v>
          </cell>
          <cell r="Y313">
            <v>21.1936067748765</v>
          </cell>
          <cell r="Z313">
            <v>27.074809033168666</v>
          </cell>
          <cell r="AA313">
            <v>8.8430820324629487</v>
          </cell>
          <cell r="AB313">
            <v>17.098043839096679</v>
          </cell>
          <cell r="AC313">
            <v>25.941125871559631</v>
          </cell>
          <cell r="AD313">
            <v>37.724809033168661</v>
          </cell>
          <cell r="AE313">
            <v>58.918415808045161</v>
          </cell>
          <cell r="AF313">
            <v>73.054579872971061</v>
          </cell>
          <cell r="AG313">
            <v>88.366984389555398</v>
          </cell>
          <cell r="AH313">
            <v>103.67938890613971</v>
          </cell>
          <cell r="AI313">
            <v>142.51660245589272</v>
          </cell>
          <cell r="AJ313">
            <v>161.00485619195481</v>
          </cell>
          <cell r="AK313">
            <v>182.19846296683133</v>
          </cell>
          <cell r="AL313">
            <v>209.27327199999999</v>
          </cell>
          <cell r="AN313">
            <v>1.7492482815808019</v>
          </cell>
          <cell r="AO313">
            <v>1.82</v>
          </cell>
          <cell r="AP313">
            <v>3.17</v>
          </cell>
          <cell r="AQ313">
            <v>4.58</v>
          </cell>
          <cell r="AR313">
            <v>9.3999999999999986</v>
          </cell>
          <cell r="AS313">
            <v>0</v>
          </cell>
          <cell r="AT313">
            <v>0</v>
          </cell>
          <cell r="AU313">
            <v>0</v>
          </cell>
          <cell r="AV313">
            <v>0</v>
          </cell>
          <cell r="AW313">
            <v>0</v>
          </cell>
          <cell r="AX313">
            <v>0</v>
          </cell>
          <cell r="AY313">
            <v>0</v>
          </cell>
          <cell r="AZ313">
            <v>1.7492482815808019</v>
          </cell>
          <cell r="BA313">
            <v>3.5692482815808022</v>
          </cell>
          <cell r="BB313">
            <v>6.7392482815808021</v>
          </cell>
          <cell r="BC313">
            <v>11.319248281580803</v>
          </cell>
          <cell r="BD313">
            <v>20.7192482815808</v>
          </cell>
          <cell r="BE313">
            <v>20.7192482815808</v>
          </cell>
          <cell r="BF313">
            <v>20.7192482815808</v>
          </cell>
          <cell r="BG313">
            <v>20.7192482815808</v>
          </cell>
          <cell r="BH313">
            <v>20.7192482815808</v>
          </cell>
          <cell r="BI313">
            <v>20.7192482815808</v>
          </cell>
          <cell r="BJ313">
            <v>20.7192482815808</v>
          </cell>
          <cell r="BK313">
            <v>20.7192482815808</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row>
        <row r="6">
          <cell r="E6" t="str">
            <v>Budget</v>
          </cell>
          <cell r="F6" t="str">
            <v>Budget</v>
          </cell>
          <cell r="G6" t="str">
            <v>Budget</v>
          </cell>
          <cell r="H6" t="str">
            <v>Budget</v>
          </cell>
          <cell r="I6" t="str">
            <v>Budget</v>
          </cell>
          <cell r="J6" t="str">
            <v>Budget</v>
          </cell>
          <cell r="K6" t="str">
            <v>Budget</v>
          </cell>
          <cell r="L6" t="str">
            <v>Budget</v>
          </cell>
          <cell r="M6" t="str">
            <v>Budget</v>
          </cell>
          <cell r="N6" t="str">
            <v>Budget</v>
          </cell>
          <cell r="O6" t="str">
            <v>Budget</v>
          </cell>
          <cell r="P6" t="str">
            <v>Budget</v>
          </cell>
          <cell r="Q6" t="str">
            <v>Budget</v>
          </cell>
          <cell r="R6" t="str">
            <v>Budget</v>
          </cell>
          <cell r="S6" t="str">
            <v>Budget</v>
          </cell>
          <cell r="T6" t="str">
            <v>Budget</v>
          </cell>
          <cell r="U6" t="str">
            <v>Cumu Bud</v>
          </cell>
          <cell r="V6" t="str">
            <v>Cumu Bud</v>
          </cell>
          <cell r="W6" t="str">
            <v>Cumu Bud</v>
          </cell>
          <cell r="X6" t="str">
            <v>Cumu Bud</v>
          </cell>
          <cell r="Y6" t="str">
            <v>Cumu Bud</v>
          </cell>
          <cell r="Z6" t="str">
            <v>Cumu Bud</v>
          </cell>
          <cell r="AA6" t="str">
            <v>Cumu Bud</v>
          </cell>
          <cell r="AB6" t="str">
            <v>Cumu Bud</v>
          </cell>
          <cell r="AC6" t="str">
            <v>Cumu Bud</v>
          </cell>
          <cell r="AD6" t="str">
            <v>Cumu Bud</v>
          </cell>
          <cell r="AE6" t="str">
            <v>Cumu Bud</v>
          </cell>
          <cell r="AF6" t="str">
            <v>Cumu Bud</v>
          </cell>
        </row>
        <row r="7">
          <cell r="D7" t="str">
            <v>Particulars</v>
          </cell>
          <cell r="E7">
            <v>41651</v>
          </cell>
          <cell r="F7">
            <v>41682</v>
          </cell>
          <cell r="G7">
            <v>41710</v>
          </cell>
          <cell r="H7" t="str">
            <v>Q-1</v>
          </cell>
          <cell r="I7">
            <v>41741</v>
          </cell>
          <cell r="J7">
            <v>41771</v>
          </cell>
          <cell r="K7">
            <v>41802</v>
          </cell>
          <cell r="L7" t="str">
            <v>Q-2</v>
          </cell>
          <cell r="M7">
            <v>41832</v>
          </cell>
          <cell r="N7">
            <v>41863</v>
          </cell>
          <cell r="O7">
            <v>41894</v>
          </cell>
          <cell r="P7" t="str">
            <v>Q-3</v>
          </cell>
          <cell r="Q7">
            <v>41924</v>
          </cell>
          <cell r="R7">
            <v>41955</v>
          </cell>
          <cell r="S7">
            <v>41985</v>
          </cell>
          <cell r="T7" t="str">
            <v>Q-4</v>
          </cell>
          <cell r="U7">
            <v>41651</v>
          </cell>
          <cell r="V7">
            <v>41682</v>
          </cell>
          <cell r="W7">
            <v>41710</v>
          </cell>
          <cell r="X7">
            <v>41741</v>
          </cell>
          <cell r="Y7">
            <v>41771</v>
          </cell>
          <cell r="Z7">
            <v>41802</v>
          </cell>
          <cell r="AA7">
            <v>41832</v>
          </cell>
          <cell r="AB7">
            <v>41863</v>
          </cell>
          <cell r="AC7">
            <v>41894</v>
          </cell>
          <cell r="AD7">
            <v>41924</v>
          </cell>
          <cell r="AE7">
            <v>41955</v>
          </cell>
          <cell r="AF7">
            <v>41985</v>
          </cell>
        </row>
        <row r="9">
          <cell r="D9" t="str">
            <v>Sales</v>
          </cell>
          <cell r="E9">
            <v>1948.6082754197653</v>
          </cell>
          <cell r="F9">
            <v>2110.1810583275137</v>
          </cell>
          <cell r="G9">
            <v>1927.3985728649122</v>
          </cell>
          <cell r="H9">
            <v>5986.187906612191</v>
          </cell>
          <cell r="I9">
            <v>2310.6505029252098</v>
          </cell>
          <cell r="J9">
            <v>2320.7068897575164</v>
          </cell>
          <cell r="K9">
            <v>2315.8848269415921</v>
          </cell>
          <cell r="L9">
            <v>6947.2422196243187</v>
          </cell>
          <cell r="M9">
            <v>2056.5626409876186</v>
          </cell>
          <cell r="N9">
            <v>2162.923123713214</v>
          </cell>
          <cell r="O9">
            <v>2219.3170100860357</v>
          </cell>
          <cell r="P9">
            <v>6438.8027747868673</v>
          </cell>
          <cell r="Q9">
            <v>1965.158884007134</v>
          </cell>
          <cell r="R9">
            <v>2109.0855758434127</v>
          </cell>
          <cell r="S9">
            <v>2159.0412186626149</v>
          </cell>
          <cell r="T9">
            <v>6233.2856785131617</v>
          </cell>
          <cell r="U9">
            <v>1948.6082754197653</v>
          </cell>
          <cell r="V9">
            <v>4058.7893337472788</v>
          </cell>
          <cell r="W9">
            <v>5986.187906612191</v>
          </cell>
          <cell r="X9">
            <v>8296.8384095374004</v>
          </cell>
          <cell r="Y9">
            <v>10617.545299294918</v>
          </cell>
          <cell r="Z9">
            <v>12933.43012623651</v>
          </cell>
          <cell r="AA9">
            <v>14989.992767224128</v>
          </cell>
          <cell r="AB9">
            <v>17152.915890937344</v>
          </cell>
          <cell r="AC9">
            <v>19372.232901023381</v>
          </cell>
          <cell r="AD9">
            <v>21337.391785030515</v>
          </cell>
          <cell r="AE9">
            <v>23446.477360873927</v>
          </cell>
          <cell r="AF9">
            <v>25605.518579536543</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row>
        <row r="11">
          <cell r="D11" t="str">
            <v>Cost of Goods Sold</v>
          </cell>
          <cell r="E11">
            <v>642.68434266447059</v>
          </cell>
          <cell r="F11">
            <v>689.90816384348227</v>
          </cell>
          <cell r="G11">
            <v>628.56657746447058</v>
          </cell>
          <cell r="H11">
            <v>1961.1590839724233</v>
          </cell>
          <cell r="I11">
            <v>754.77369754550136</v>
          </cell>
          <cell r="J11">
            <v>757.75101298287041</v>
          </cell>
          <cell r="K11">
            <v>742.66971793355287</v>
          </cell>
          <cell r="L11">
            <v>2255.1944284619249</v>
          </cell>
          <cell r="M11">
            <v>669.00426672941182</v>
          </cell>
          <cell r="N11">
            <v>705.95487396141175</v>
          </cell>
          <cell r="O11">
            <v>722.94466455788233</v>
          </cell>
          <cell r="P11">
            <v>2097.9038052487058</v>
          </cell>
          <cell r="Q11">
            <v>645.88972302459774</v>
          </cell>
          <cell r="R11">
            <v>685.66609758688571</v>
          </cell>
          <cell r="S11">
            <v>705.15694629681536</v>
          </cell>
          <cell r="T11">
            <v>2036.7127669082988</v>
          </cell>
          <cell r="U11">
            <v>642.68434266447059</v>
          </cell>
          <cell r="V11">
            <v>1332.5925065079527</v>
          </cell>
          <cell r="W11">
            <v>1961.1590839724233</v>
          </cell>
          <cell r="X11">
            <v>2715.9327815179249</v>
          </cell>
          <cell r="Y11">
            <v>3473.6837945007956</v>
          </cell>
          <cell r="Z11">
            <v>4216.3535124343489</v>
          </cell>
          <cell r="AA11">
            <v>4885.3577791637608</v>
          </cell>
          <cell r="AB11">
            <v>5591.3126531251728</v>
          </cell>
          <cell r="AC11">
            <v>6314.2573176830556</v>
          </cell>
          <cell r="AD11">
            <v>6960.1470407076531</v>
          </cell>
          <cell r="AE11">
            <v>7645.8131382945385</v>
          </cell>
          <cell r="AF11">
            <v>8350.970084591354</v>
          </cell>
        </row>
        <row r="12">
          <cell r="D12" t="str">
            <v>ED Savings</v>
          </cell>
          <cell r="E12">
            <v>81.842173986041487</v>
          </cell>
          <cell r="F12">
            <v>88.670011757206368</v>
          </cell>
          <cell r="G12">
            <v>80.805930553457173</v>
          </cell>
          <cell r="H12">
            <v>251.31811629670506</v>
          </cell>
          <cell r="I12">
            <v>96.616226803434145</v>
          </cell>
          <cell r="J12">
            <v>96.467188021848813</v>
          </cell>
          <cell r="K12">
            <v>95.71992808632838</v>
          </cell>
          <cell r="L12">
            <v>288.80334291161131</v>
          </cell>
          <cell r="M12">
            <v>83.833313855541135</v>
          </cell>
          <cell r="N12">
            <v>88.732762635714991</v>
          </cell>
          <cell r="O12">
            <v>92.194271848947992</v>
          </cell>
          <cell r="P12">
            <v>264.76034834020413</v>
          </cell>
          <cell r="Q12">
            <v>76.249217855078427</v>
          </cell>
          <cell r="R12">
            <v>82.732048783805908</v>
          </cell>
          <cell r="S12">
            <v>84.636763089695691</v>
          </cell>
          <cell r="T12">
            <v>243.61802972858004</v>
          </cell>
          <cell r="U12">
            <v>81.842173986041487</v>
          </cell>
          <cell r="V12">
            <v>170.51218574324787</v>
          </cell>
          <cell r="W12">
            <v>251.31811629670506</v>
          </cell>
          <cell r="X12">
            <v>347.93434310013919</v>
          </cell>
          <cell r="Y12">
            <v>444.401531121988</v>
          </cell>
          <cell r="Z12">
            <v>540.12145920831642</v>
          </cell>
          <cell r="AA12">
            <v>623.9547730638576</v>
          </cell>
          <cell r="AB12">
            <v>712.68753569957255</v>
          </cell>
          <cell r="AC12">
            <v>804.88180754852056</v>
          </cell>
          <cell r="AD12">
            <v>881.13102540359898</v>
          </cell>
          <cell r="AE12">
            <v>963.86307418740489</v>
          </cell>
          <cell r="AF12">
            <v>1048.4998372771006</v>
          </cell>
        </row>
        <row r="13">
          <cell r="D13" t="str">
            <v>PRISM II &amp; PSM Savings</v>
          </cell>
          <cell r="E13">
            <v>3.5</v>
          </cell>
          <cell r="F13">
            <v>3.5</v>
          </cell>
          <cell r="G13">
            <v>5.5</v>
          </cell>
          <cell r="H13">
            <v>12.5</v>
          </cell>
          <cell r="I13">
            <v>5</v>
          </cell>
          <cell r="J13">
            <v>5</v>
          </cell>
          <cell r="K13">
            <v>5</v>
          </cell>
          <cell r="L13">
            <v>15</v>
          </cell>
          <cell r="M13">
            <v>5</v>
          </cell>
          <cell r="N13">
            <v>5</v>
          </cell>
          <cell r="O13">
            <v>6.5</v>
          </cell>
          <cell r="P13">
            <v>16.5</v>
          </cell>
          <cell r="Q13">
            <v>10</v>
          </cell>
          <cell r="R13">
            <v>7</v>
          </cell>
          <cell r="S13">
            <v>8.5</v>
          </cell>
          <cell r="T13">
            <v>25.5</v>
          </cell>
          <cell r="U13">
            <v>3.5</v>
          </cell>
          <cell r="V13">
            <v>7</v>
          </cell>
          <cell r="W13">
            <v>12.5</v>
          </cell>
          <cell r="X13">
            <v>17.5</v>
          </cell>
          <cell r="Y13">
            <v>22.5</v>
          </cell>
          <cell r="Z13">
            <v>27.5</v>
          </cell>
          <cell r="AA13">
            <v>32.5</v>
          </cell>
          <cell r="AB13">
            <v>37.5</v>
          </cell>
          <cell r="AC13">
            <v>44</v>
          </cell>
          <cell r="AD13">
            <v>54</v>
          </cell>
          <cell r="AE13">
            <v>61</v>
          </cell>
          <cell r="AF13">
            <v>69.5</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D16" t="str">
            <v>Contribution</v>
          </cell>
          <cell r="E16">
            <v>1391.266106741336</v>
          </cell>
          <cell r="F16">
            <v>1512.4429062412378</v>
          </cell>
          <cell r="G16">
            <v>1385.1379259538987</v>
          </cell>
          <cell r="H16">
            <v>4288.8469389364727</v>
          </cell>
          <cell r="I16">
            <v>1657.4930321831425</v>
          </cell>
          <cell r="J16">
            <v>1664.4230647964948</v>
          </cell>
          <cell r="K16">
            <v>1673.9350370943675</v>
          </cell>
          <cell r="L16">
            <v>4995.8511340740051</v>
          </cell>
          <cell r="M16">
            <v>1476.3916881137477</v>
          </cell>
          <cell r="N16">
            <v>1550.7010123875173</v>
          </cell>
          <cell r="O16">
            <v>1595.0666173771012</v>
          </cell>
          <cell r="P16">
            <v>4622.159317878366</v>
          </cell>
          <cell r="Q16">
            <v>1405.5183788376148</v>
          </cell>
          <cell r="R16">
            <v>1513.1515270403329</v>
          </cell>
          <cell r="S16">
            <v>1547.0210354554952</v>
          </cell>
          <cell r="T16">
            <v>4465.6909413334424</v>
          </cell>
          <cell r="U16">
            <v>1391.266106741336</v>
          </cell>
          <cell r="V16">
            <v>2903.7090129825738</v>
          </cell>
          <cell r="W16">
            <v>4288.8469389364727</v>
          </cell>
          <cell r="X16">
            <v>5946.3399711196153</v>
          </cell>
          <cell r="Y16">
            <v>7610.7630359161103</v>
          </cell>
          <cell r="Z16">
            <v>9284.6980730104769</v>
          </cell>
          <cell r="AA16">
            <v>10761.089761124225</v>
          </cell>
          <cell r="AB16">
            <v>12311.790773511742</v>
          </cell>
          <cell r="AC16">
            <v>13906.857390888843</v>
          </cell>
          <cell r="AD16">
            <v>15312.375769726457</v>
          </cell>
          <cell r="AE16">
            <v>16825.527296766792</v>
          </cell>
          <cell r="AF16">
            <v>18372.548332222286</v>
          </cell>
        </row>
        <row r="17">
          <cell r="D17">
            <v>0</v>
          </cell>
          <cell r="E17">
            <v>0.71397936891222136</v>
          </cell>
          <cell r="F17">
            <v>0.71673608303543823</v>
          </cell>
          <cell r="G17">
            <v>0.7186567145242877</v>
          </cell>
          <cell r="H17">
            <v>0.71645711859447669</v>
          </cell>
          <cell r="I17">
            <v>0.71732744960123096</v>
          </cell>
          <cell r="J17">
            <v>0.71720520680248656</v>
          </cell>
          <cell r="K17">
            <v>0.72280582247477421</v>
          </cell>
          <cell r="L17">
            <v>0.71911284739171832</v>
          </cell>
          <cell r="M17">
            <v>0.71789288528782347</v>
          </cell>
          <cell r="N17">
            <v>0.71694689255776234</v>
          </cell>
          <cell r="O17">
            <v>0.71871959261703933</v>
          </cell>
          <cell r="P17">
            <v>0.7178600555957183</v>
          </cell>
          <cell r="Q17">
            <v>0.71521869823148221</v>
          </cell>
          <cell r="R17">
            <v>0.71744434857046102</v>
          </cell>
          <cell r="S17">
            <v>0.71653149651944748</v>
          </cell>
          <cell r="T17">
            <v>0.71642648382492435</v>
          </cell>
          <cell r="U17">
            <v>0.71397936891222136</v>
          </cell>
          <cell r="V17">
            <v>0.71541259578055594</v>
          </cell>
          <cell r="W17">
            <v>0.71645711859447669</v>
          </cell>
          <cell r="X17">
            <v>0.71669950378739034</v>
          </cell>
          <cell r="Y17">
            <v>0.71681003672492172</v>
          </cell>
          <cell r="Z17">
            <v>0.71788365363150763</v>
          </cell>
          <cell r="AA17">
            <v>0.71788492017511374</v>
          </cell>
          <cell r="AB17">
            <v>0.71776663815022934</v>
          </cell>
          <cell r="AC17">
            <v>0.71787581028690728</v>
          </cell>
          <cell r="AD17">
            <v>0.71763109212200082</v>
          </cell>
          <cell r="AE17">
            <v>0.71761429394268927</v>
          </cell>
          <cell r="AF17">
            <v>0.71752299314512957</v>
          </cell>
        </row>
        <row r="18">
          <cell r="D18" t="str">
            <v>Overheads</v>
          </cell>
        </row>
        <row r="19">
          <cell r="D19" t="str">
            <v>Advertisement Exp.</v>
          </cell>
          <cell r="E19">
            <v>452.5</v>
          </cell>
          <cell r="F19">
            <v>207</v>
          </cell>
          <cell r="G19">
            <v>82</v>
          </cell>
          <cell r="H19">
            <v>741.5</v>
          </cell>
          <cell r="I19">
            <v>507.5</v>
          </cell>
          <cell r="J19">
            <v>142</v>
          </cell>
          <cell r="K19">
            <v>72</v>
          </cell>
          <cell r="L19">
            <v>721.5</v>
          </cell>
          <cell r="M19">
            <v>196</v>
          </cell>
          <cell r="N19">
            <v>81</v>
          </cell>
          <cell r="O19">
            <v>82</v>
          </cell>
          <cell r="P19">
            <v>359</v>
          </cell>
          <cell r="Q19">
            <v>406</v>
          </cell>
          <cell r="R19">
            <v>260</v>
          </cell>
          <cell r="S19">
            <v>72</v>
          </cell>
          <cell r="T19">
            <v>738</v>
          </cell>
          <cell r="U19">
            <v>452.5</v>
          </cell>
          <cell r="V19">
            <v>659.5</v>
          </cell>
          <cell r="W19">
            <v>741.5</v>
          </cell>
          <cell r="X19">
            <v>1249</v>
          </cell>
          <cell r="Y19">
            <v>1391</v>
          </cell>
          <cell r="Z19">
            <v>1463</v>
          </cell>
          <cell r="AA19">
            <v>1659</v>
          </cell>
          <cell r="AB19">
            <v>1740</v>
          </cell>
          <cell r="AC19">
            <v>1822</v>
          </cell>
          <cell r="AD19">
            <v>2228</v>
          </cell>
          <cell r="AE19">
            <v>2488</v>
          </cell>
          <cell r="AF19">
            <v>2560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D21" t="str">
            <v>Total Overheads (a+b)</v>
          </cell>
          <cell r="E21">
            <v>452.5</v>
          </cell>
          <cell r="F21">
            <v>207</v>
          </cell>
          <cell r="G21">
            <v>82</v>
          </cell>
          <cell r="H21">
            <v>741.5</v>
          </cell>
          <cell r="I21">
            <v>507.5</v>
          </cell>
          <cell r="J21">
            <v>142</v>
          </cell>
          <cell r="K21">
            <v>72</v>
          </cell>
          <cell r="L21">
            <v>721.5</v>
          </cell>
          <cell r="M21">
            <v>196</v>
          </cell>
          <cell r="N21">
            <v>81</v>
          </cell>
          <cell r="O21">
            <v>82</v>
          </cell>
          <cell r="P21">
            <v>359</v>
          </cell>
          <cell r="Q21">
            <v>406</v>
          </cell>
          <cell r="R21">
            <v>260</v>
          </cell>
          <cell r="S21">
            <v>72</v>
          </cell>
          <cell r="T21">
            <v>738</v>
          </cell>
          <cell r="U21">
            <v>452.5</v>
          </cell>
          <cell r="V21">
            <v>659.5</v>
          </cell>
          <cell r="W21">
            <v>741.5</v>
          </cell>
          <cell r="X21">
            <v>1249</v>
          </cell>
          <cell r="Y21">
            <v>1391</v>
          </cell>
          <cell r="Z21">
            <v>1463</v>
          </cell>
          <cell r="AA21">
            <v>1659</v>
          </cell>
          <cell r="AB21">
            <v>1740</v>
          </cell>
          <cell r="AC21">
            <v>1822</v>
          </cell>
          <cell r="AD21">
            <v>2228</v>
          </cell>
          <cell r="AE21">
            <v>2488</v>
          </cell>
          <cell r="AF21">
            <v>2560</v>
          </cell>
        </row>
        <row r="22">
          <cell r="D22" t="str">
            <v>OPERATING PROFIT (LOSS)</v>
          </cell>
          <cell r="E22">
            <v>938.76610674133599</v>
          </cell>
          <cell r="F22">
            <v>1305.4429062412378</v>
          </cell>
          <cell r="G22">
            <v>1303.1379259538987</v>
          </cell>
          <cell r="H22">
            <v>3547.3469389364727</v>
          </cell>
          <cell r="I22">
            <v>1149.9930321831425</v>
          </cell>
          <cell r="J22">
            <v>1522.4230647964948</v>
          </cell>
          <cell r="K22">
            <v>1601.9350370943675</v>
          </cell>
          <cell r="L22">
            <v>4274.3511340740051</v>
          </cell>
          <cell r="M22">
            <v>1280.3916881137477</v>
          </cell>
          <cell r="N22">
            <v>1469.7010123875173</v>
          </cell>
          <cell r="O22">
            <v>1513.0666173771012</v>
          </cell>
          <cell r="P22">
            <v>4263.159317878366</v>
          </cell>
          <cell r="Q22">
            <v>999.51837883761482</v>
          </cell>
          <cell r="R22">
            <v>1253.1515270403329</v>
          </cell>
          <cell r="S22">
            <v>1475.0210354554952</v>
          </cell>
          <cell r="T22">
            <v>3727.6909413334424</v>
          </cell>
          <cell r="U22">
            <v>938.76610674133599</v>
          </cell>
          <cell r="V22">
            <v>2244.2090129825738</v>
          </cell>
          <cell r="W22">
            <v>3547.3469389364727</v>
          </cell>
          <cell r="X22">
            <v>4697.3399711196153</v>
          </cell>
          <cell r="Y22">
            <v>6219.7630359161103</v>
          </cell>
          <cell r="Z22">
            <v>7821.6980730104779</v>
          </cell>
          <cell r="AA22">
            <v>9102.0897611242253</v>
          </cell>
          <cell r="AB22">
            <v>10571.790773511742</v>
          </cell>
          <cell r="AC22">
            <v>12084.857390888843</v>
          </cell>
          <cell r="AD22">
            <v>13084.375769726457</v>
          </cell>
          <cell r="AE22">
            <v>14337.52729676679</v>
          </cell>
          <cell r="AF22">
            <v>15812.548332222284</v>
          </cell>
        </row>
        <row r="25">
          <cell r="D25">
            <v>4</v>
          </cell>
          <cell r="E25">
            <v>5</v>
          </cell>
          <cell r="F25">
            <v>6</v>
          </cell>
          <cell r="G25">
            <v>7</v>
          </cell>
          <cell r="H25">
            <v>8</v>
          </cell>
          <cell r="I25">
            <v>9</v>
          </cell>
          <cell r="J25">
            <v>10</v>
          </cell>
          <cell r="K25">
            <v>11</v>
          </cell>
          <cell r="L25">
            <v>12</v>
          </cell>
          <cell r="M25">
            <v>13</v>
          </cell>
          <cell r="N25">
            <v>14</v>
          </cell>
          <cell r="O25">
            <v>15</v>
          </cell>
          <cell r="P25">
            <v>16</v>
          </cell>
          <cell r="Q25">
            <v>17</v>
          </cell>
          <cell r="R25">
            <v>18</v>
          </cell>
          <cell r="S25">
            <v>19</v>
          </cell>
          <cell r="T25">
            <v>20</v>
          </cell>
          <cell r="U25">
            <v>21</v>
          </cell>
          <cell r="V25">
            <v>22</v>
          </cell>
          <cell r="W25">
            <v>23</v>
          </cell>
          <cell r="X25">
            <v>24</v>
          </cell>
          <cell r="Y25">
            <v>25</v>
          </cell>
          <cell r="Z25">
            <v>26</v>
          </cell>
          <cell r="AA25">
            <v>27</v>
          </cell>
          <cell r="AB25">
            <v>28</v>
          </cell>
          <cell r="AC25">
            <v>29</v>
          </cell>
          <cell r="AD25">
            <v>30</v>
          </cell>
          <cell r="AE25">
            <v>31</v>
          </cell>
          <cell r="AF25">
            <v>32</v>
          </cell>
        </row>
        <row r="26">
          <cell r="E26" t="str">
            <v>Budget</v>
          </cell>
          <cell r="F26" t="str">
            <v>Budget</v>
          </cell>
          <cell r="G26" t="str">
            <v>Budget</v>
          </cell>
          <cell r="H26" t="str">
            <v>Budget</v>
          </cell>
          <cell r="I26" t="str">
            <v>Budget</v>
          </cell>
          <cell r="J26" t="str">
            <v>Budget</v>
          </cell>
          <cell r="K26" t="str">
            <v>Budget</v>
          </cell>
          <cell r="L26" t="str">
            <v>Budget</v>
          </cell>
          <cell r="M26" t="str">
            <v>Budget</v>
          </cell>
          <cell r="N26" t="str">
            <v>Budget</v>
          </cell>
          <cell r="O26" t="str">
            <v>Budget</v>
          </cell>
          <cell r="P26" t="str">
            <v>Budget</v>
          </cell>
          <cell r="Q26" t="str">
            <v>Budget</v>
          </cell>
          <cell r="R26" t="str">
            <v>Budget</v>
          </cell>
          <cell r="S26" t="str">
            <v>Budget</v>
          </cell>
          <cell r="T26" t="str">
            <v>Budget</v>
          </cell>
          <cell r="U26" t="str">
            <v>Cumu Bud</v>
          </cell>
          <cell r="V26" t="str">
            <v>Cumu Bud</v>
          </cell>
          <cell r="W26" t="str">
            <v>Cumu Bud</v>
          </cell>
          <cell r="X26" t="str">
            <v>Cumu Bud</v>
          </cell>
          <cell r="Y26" t="str">
            <v>Cumu Bud</v>
          </cell>
          <cell r="Z26" t="str">
            <v>Cumu Bud</v>
          </cell>
          <cell r="AA26" t="str">
            <v>Cumu Bud</v>
          </cell>
          <cell r="AB26" t="str">
            <v>Cumu Bud</v>
          </cell>
          <cell r="AC26" t="str">
            <v>Cumu Bud</v>
          </cell>
          <cell r="AD26" t="str">
            <v>Cumu Bud</v>
          </cell>
          <cell r="AE26" t="str">
            <v>Cumu Bud</v>
          </cell>
          <cell r="AF26" t="str">
            <v>Cumu Bud</v>
          </cell>
        </row>
        <row r="27">
          <cell r="D27" t="str">
            <v>Particulars</v>
          </cell>
          <cell r="E27">
            <v>41651</v>
          </cell>
          <cell r="F27">
            <v>41682</v>
          </cell>
          <cell r="G27">
            <v>41710</v>
          </cell>
          <cell r="H27" t="str">
            <v>Q-1</v>
          </cell>
          <cell r="I27">
            <v>41741</v>
          </cell>
          <cell r="J27">
            <v>41771</v>
          </cell>
          <cell r="K27">
            <v>41802</v>
          </cell>
          <cell r="L27" t="str">
            <v>Q-2</v>
          </cell>
          <cell r="M27">
            <v>41832</v>
          </cell>
          <cell r="N27">
            <v>41863</v>
          </cell>
          <cell r="O27">
            <v>41894</v>
          </cell>
          <cell r="P27" t="str">
            <v>Q-3</v>
          </cell>
          <cell r="Q27">
            <v>41924</v>
          </cell>
          <cell r="R27">
            <v>41955</v>
          </cell>
          <cell r="S27">
            <v>41985</v>
          </cell>
          <cell r="T27" t="str">
            <v>Q-4</v>
          </cell>
          <cell r="U27">
            <v>41651</v>
          </cell>
          <cell r="V27">
            <v>41682</v>
          </cell>
          <cell r="W27">
            <v>41710</v>
          </cell>
          <cell r="X27">
            <v>41741</v>
          </cell>
          <cell r="Y27">
            <v>41771</v>
          </cell>
          <cell r="Z27">
            <v>41802</v>
          </cell>
          <cell r="AA27">
            <v>41832</v>
          </cell>
          <cell r="AB27">
            <v>41863</v>
          </cell>
          <cell r="AC27">
            <v>41894</v>
          </cell>
          <cell r="AD27">
            <v>41924</v>
          </cell>
          <cell r="AE27">
            <v>41955</v>
          </cell>
          <cell r="AF27">
            <v>41985</v>
          </cell>
        </row>
        <row r="29">
          <cell r="D29" t="str">
            <v>Sales</v>
          </cell>
          <cell r="E29">
            <v>0</v>
          </cell>
          <cell r="F29">
            <v>0</v>
          </cell>
          <cell r="G29">
            <v>0</v>
          </cell>
          <cell r="H29">
            <v>0</v>
          </cell>
          <cell r="I29">
            <v>72</v>
          </cell>
          <cell r="J29">
            <v>36</v>
          </cell>
          <cell r="K29">
            <v>36</v>
          </cell>
          <cell r="L29">
            <v>144</v>
          </cell>
          <cell r="M29">
            <v>36</v>
          </cell>
          <cell r="N29">
            <v>36</v>
          </cell>
          <cell r="O29">
            <v>36</v>
          </cell>
          <cell r="P29">
            <v>108</v>
          </cell>
          <cell r="Q29">
            <v>36</v>
          </cell>
          <cell r="R29">
            <v>36</v>
          </cell>
          <cell r="S29">
            <v>36</v>
          </cell>
          <cell r="T29">
            <v>108</v>
          </cell>
          <cell r="U29">
            <v>0</v>
          </cell>
          <cell r="V29">
            <v>0</v>
          </cell>
          <cell r="W29">
            <v>0</v>
          </cell>
          <cell r="X29">
            <v>72</v>
          </cell>
          <cell r="Y29">
            <v>108</v>
          </cell>
          <cell r="Z29">
            <v>144</v>
          </cell>
          <cell r="AA29">
            <v>180</v>
          </cell>
          <cell r="AB29">
            <v>216</v>
          </cell>
          <cell r="AC29">
            <v>252</v>
          </cell>
          <cell r="AD29">
            <v>288</v>
          </cell>
          <cell r="AE29">
            <v>324</v>
          </cell>
          <cell r="AF29">
            <v>360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D31" t="str">
            <v>Cost of Goods Sold</v>
          </cell>
          <cell r="E31">
            <v>0</v>
          </cell>
          <cell r="F31">
            <v>0</v>
          </cell>
          <cell r="G31">
            <v>0</v>
          </cell>
          <cell r="H31">
            <v>0</v>
          </cell>
          <cell r="I31">
            <v>43.2</v>
          </cell>
          <cell r="J31">
            <v>21.6</v>
          </cell>
          <cell r="K31">
            <v>21.6</v>
          </cell>
          <cell r="L31">
            <v>86.4</v>
          </cell>
          <cell r="M31">
            <v>21.6</v>
          </cell>
          <cell r="N31">
            <v>21.6</v>
          </cell>
          <cell r="O31">
            <v>21.6</v>
          </cell>
          <cell r="P31">
            <v>64.800000000000011</v>
          </cell>
          <cell r="Q31">
            <v>21.6</v>
          </cell>
          <cell r="R31">
            <v>21.6</v>
          </cell>
          <cell r="S31">
            <v>21.6</v>
          </cell>
          <cell r="T31">
            <v>64.800000000000011</v>
          </cell>
          <cell r="U31">
            <v>0</v>
          </cell>
          <cell r="V31">
            <v>0</v>
          </cell>
          <cell r="W31">
            <v>0</v>
          </cell>
          <cell r="X31">
            <v>43.2</v>
          </cell>
          <cell r="Y31">
            <v>64.800000000000011</v>
          </cell>
          <cell r="Z31">
            <v>86.4</v>
          </cell>
          <cell r="AA31">
            <v>108</v>
          </cell>
          <cell r="AB31">
            <v>129.6</v>
          </cell>
          <cell r="AC31">
            <v>151.19999999999999</v>
          </cell>
          <cell r="AD31">
            <v>172.79999999999998</v>
          </cell>
          <cell r="AE31">
            <v>194.39999999999998</v>
          </cell>
          <cell r="AF31">
            <v>215.99999999999997</v>
          </cell>
        </row>
        <row r="32">
          <cell r="D32" t="str">
            <v>ED Savings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D33" t="str">
            <v>PRISM II &amp; PSM Savings</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D36" t="str">
            <v>Contribution</v>
          </cell>
          <cell r="E36">
            <v>0</v>
          </cell>
          <cell r="F36">
            <v>0</v>
          </cell>
          <cell r="G36">
            <v>0</v>
          </cell>
          <cell r="H36">
            <v>0</v>
          </cell>
          <cell r="I36">
            <v>28.799999999999997</v>
          </cell>
          <cell r="J36">
            <v>14.399999999999999</v>
          </cell>
          <cell r="K36">
            <v>14.399999999999999</v>
          </cell>
          <cell r="L36">
            <v>57.599999999999994</v>
          </cell>
          <cell r="M36">
            <v>14.399999999999999</v>
          </cell>
          <cell r="N36">
            <v>14.399999999999999</v>
          </cell>
          <cell r="O36">
            <v>14.399999999999999</v>
          </cell>
          <cell r="P36">
            <v>43.199999999999989</v>
          </cell>
          <cell r="Q36">
            <v>14.399999999999999</v>
          </cell>
          <cell r="R36">
            <v>14.399999999999999</v>
          </cell>
          <cell r="S36">
            <v>14.399999999999999</v>
          </cell>
          <cell r="T36">
            <v>43.199999999999989</v>
          </cell>
          <cell r="U36">
            <v>0</v>
          </cell>
          <cell r="V36">
            <v>0</v>
          </cell>
          <cell r="W36">
            <v>0</v>
          </cell>
          <cell r="X36">
            <v>28.799999999999997</v>
          </cell>
          <cell r="Y36">
            <v>43.199999999999996</v>
          </cell>
          <cell r="Z36">
            <v>57.599999999999994</v>
          </cell>
          <cell r="AA36">
            <v>72</v>
          </cell>
          <cell r="AB36">
            <v>86.4</v>
          </cell>
          <cell r="AC36">
            <v>100.80000000000001</v>
          </cell>
          <cell r="AD36">
            <v>115.20000000000002</v>
          </cell>
          <cell r="AE36">
            <v>129.60000000000002</v>
          </cell>
          <cell r="AF36">
            <v>144.00000000000003</v>
          </cell>
        </row>
        <row r="37">
          <cell r="D37">
            <v>0</v>
          </cell>
          <cell r="E37" t="e">
            <v>#DIV/0!</v>
          </cell>
          <cell r="F37" t="e">
            <v>#DIV/0!</v>
          </cell>
          <cell r="G37" t="e">
            <v>#DIV/0!</v>
          </cell>
          <cell r="H37" t="e">
            <v>#DIV/0!</v>
          </cell>
          <cell r="I37">
            <v>0.39999999999999997</v>
          </cell>
          <cell r="J37">
            <v>0.39999999999999997</v>
          </cell>
          <cell r="K37">
            <v>0.39999999999999997</v>
          </cell>
          <cell r="L37">
            <v>0.39999999999999997</v>
          </cell>
          <cell r="M37">
            <v>0.39999999999999997</v>
          </cell>
          <cell r="N37">
            <v>0.39999999999999997</v>
          </cell>
          <cell r="O37">
            <v>0.39999999999999997</v>
          </cell>
          <cell r="P37">
            <v>0.39999999999999991</v>
          </cell>
          <cell r="Q37">
            <v>0.39999999999999997</v>
          </cell>
          <cell r="R37">
            <v>0.39999999999999997</v>
          </cell>
          <cell r="S37">
            <v>0.39999999999999997</v>
          </cell>
          <cell r="T37">
            <v>0.39999999999999991</v>
          </cell>
          <cell r="U37" t="e">
            <v>#DIV/0!</v>
          </cell>
          <cell r="V37" t="e">
            <v>#DIV/0!</v>
          </cell>
          <cell r="W37" t="e">
            <v>#DIV/0!</v>
          </cell>
          <cell r="X37">
            <v>0.39999999999999997</v>
          </cell>
          <cell r="Y37">
            <v>0.39999999999999997</v>
          </cell>
          <cell r="Z37">
            <v>0.39999999999999997</v>
          </cell>
          <cell r="AA37">
            <v>0.4</v>
          </cell>
          <cell r="AB37">
            <v>0.4</v>
          </cell>
          <cell r="AC37">
            <v>0.4</v>
          </cell>
          <cell r="AD37">
            <v>0.40000000000000008</v>
          </cell>
          <cell r="AE37">
            <v>0.40000000000000008</v>
          </cell>
          <cell r="AF37">
            <v>0.40000000000000008</v>
          </cell>
        </row>
        <row r="38">
          <cell r="D38" t="str">
            <v>Overheads</v>
          </cell>
        </row>
        <row r="39">
          <cell r="D39" t="str">
            <v>Advertisement Exp.</v>
          </cell>
          <cell r="E39">
            <v>0</v>
          </cell>
          <cell r="F39">
            <v>0</v>
          </cell>
          <cell r="G39">
            <v>0</v>
          </cell>
          <cell r="H39">
            <v>0</v>
          </cell>
          <cell r="I39">
            <v>10</v>
          </cell>
          <cell r="J39">
            <v>5</v>
          </cell>
          <cell r="K39">
            <v>0</v>
          </cell>
          <cell r="L39">
            <v>15</v>
          </cell>
          <cell r="M39">
            <v>0</v>
          </cell>
          <cell r="N39">
            <v>25</v>
          </cell>
          <cell r="O39">
            <v>60</v>
          </cell>
          <cell r="P39">
            <v>85</v>
          </cell>
          <cell r="Q39">
            <v>45</v>
          </cell>
          <cell r="R39">
            <v>0</v>
          </cell>
          <cell r="S39">
            <v>0</v>
          </cell>
          <cell r="T39">
            <v>45</v>
          </cell>
          <cell r="U39">
            <v>0</v>
          </cell>
          <cell r="V39">
            <v>0</v>
          </cell>
          <cell r="W39">
            <v>0</v>
          </cell>
          <cell r="X39">
            <v>10</v>
          </cell>
          <cell r="Y39">
            <v>15</v>
          </cell>
          <cell r="Z39">
            <v>15</v>
          </cell>
          <cell r="AA39">
            <v>15</v>
          </cell>
          <cell r="AB39">
            <v>40</v>
          </cell>
          <cell r="AC39">
            <v>100</v>
          </cell>
          <cell r="AD39">
            <v>145</v>
          </cell>
          <cell r="AE39">
            <v>145</v>
          </cell>
          <cell r="AF39">
            <v>145</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D41" t="str">
            <v>Total Overheads (a+b)</v>
          </cell>
          <cell r="E41">
            <v>0</v>
          </cell>
          <cell r="F41">
            <v>0</v>
          </cell>
          <cell r="G41">
            <v>0</v>
          </cell>
          <cell r="H41">
            <v>0</v>
          </cell>
          <cell r="I41">
            <v>10</v>
          </cell>
          <cell r="J41">
            <v>5</v>
          </cell>
          <cell r="K41">
            <v>0</v>
          </cell>
          <cell r="L41">
            <v>15</v>
          </cell>
          <cell r="M41">
            <v>0</v>
          </cell>
          <cell r="N41">
            <v>25</v>
          </cell>
          <cell r="O41">
            <v>60</v>
          </cell>
          <cell r="P41">
            <v>85</v>
          </cell>
          <cell r="Q41">
            <v>45</v>
          </cell>
          <cell r="R41">
            <v>0</v>
          </cell>
          <cell r="S41">
            <v>0</v>
          </cell>
          <cell r="T41">
            <v>45</v>
          </cell>
          <cell r="U41">
            <v>0</v>
          </cell>
          <cell r="V41">
            <v>0</v>
          </cell>
          <cell r="W41">
            <v>0</v>
          </cell>
          <cell r="X41">
            <v>10</v>
          </cell>
          <cell r="Y41">
            <v>15</v>
          </cell>
          <cell r="Z41">
            <v>15</v>
          </cell>
          <cell r="AA41">
            <v>15</v>
          </cell>
          <cell r="AB41">
            <v>40</v>
          </cell>
          <cell r="AC41">
            <v>100</v>
          </cell>
          <cell r="AD41">
            <v>145</v>
          </cell>
          <cell r="AE41">
            <v>145</v>
          </cell>
          <cell r="AF41">
            <v>145</v>
          </cell>
        </row>
        <row r="42">
          <cell r="D42" t="str">
            <v>OPERATING PROFIT (LOSS)</v>
          </cell>
          <cell r="E42">
            <v>0</v>
          </cell>
          <cell r="F42">
            <v>0</v>
          </cell>
          <cell r="G42">
            <v>0</v>
          </cell>
          <cell r="H42">
            <v>0</v>
          </cell>
          <cell r="I42">
            <v>18.799999999999997</v>
          </cell>
          <cell r="J42">
            <v>9.3999999999999986</v>
          </cell>
          <cell r="K42">
            <v>14.399999999999999</v>
          </cell>
          <cell r="L42">
            <v>42.599999999999994</v>
          </cell>
          <cell r="M42">
            <v>14.399999999999999</v>
          </cell>
          <cell r="N42">
            <v>-10.600000000000001</v>
          </cell>
          <cell r="O42">
            <v>-45.6</v>
          </cell>
          <cell r="P42">
            <v>-41.800000000000011</v>
          </cell>
          <cell r="Q42">
            <v>-30.6</v>
          </cell>
          <cell r="R42">
            <v>14.399999999999999</v>
          </cell>
          <cell r="S42">
            <v>14.399999999999999</v>
          </cell>
          <cell r="T42">
            <v>-1.8000000000000114</v>
          </cell>
          <cell r="U42">
            <v>0</v>
          </cell>
          <cell r="V42">
            <v>0</v>
          </cell>
          <cell r="W42">
            <v>0</v>
          </cell>
          <cell r="X42">
            <v>18.799999999999997</v>
          </cell>
          <cell r="Y42">
            <v>28.199999999999996</v>
          </cell>
          <cell r="Z42">
            <v>42.599999999999994</v>
          </cell>
          <cell r="AA42">
            <v>56.999999999999993</v>
          </cell>
          <cell r="AB42">
            <v>46.399999999999991</v>
          </cell>
          <cell r="AC42">
            <v>0.79999999999999005</v>
          </cell>
          <cell r="AD42">
            <v>-29.800000000000011</v>
          </cell>
          <cell r="AE42">
            <v>-15.400000000000013</v>
          </cell>
          <cell r="AF42">
            <v>-1.0000000000000142</v>
          </cell>
        </row>
        <row r="45">
          <cell r="D45">
            <v>4</v>
          </cell>
          <cell r="E45">
            <v>5</v>
          </cell>
          <cell r="F45">
            <v>6</v>
          </cell>
          <cell r="G45">
            <v>7</v>
          </cell>
          <cell r="H45">
            <v>8</v>
          </cell>
          <cell r="I45">
            <v>9</v>
          </cell>
          <cell r="J45">
            <v>10</v>
          </cell>
          <cell r="K45">
            <v>11</v>
          </cell>
          <cell r="L45">
            <v>12</v>
          </cell>
          <cell r="M45">
            <v>13</v>
          </cell>
          <cell r="N45">
            <v>14</v>
          </cell>
          <cell r="O45">
            <v>15</v>
          </cell>
          <cell r="P45">
            <v>16</v>
          </cell>
          <cell r="Q45">
            <v>17</v>
          </cell>
          <cell r="R45">
            <v>18</v>
          </cell>
          <cell r="S45">
            <v>19</v>
          </cell>
          <cell r="T45">
            <v>20</v>
          </cell>
          <cell r="U45">
            <v>21</v>
          </cell>
          <cell r="V45">
            <v>22</v>
          </cell>
          <cell r="W45">
            <v>23</v>
          </cell>
          <cell r="X45">
            <v>24</v>
          </cell>
          <cell r="Y45">
            <v>25</v>
          </cell>
          <cell r="Z45">
            <v>26</v>
          </cell>
          <cell r="AA45">
            <v>27</v>
          </cell>
          <cell r="AB45">
            <v>28</v>
          </cell>
          <cell r="AC45">
            <v>29</v>
          </cell>
          <cell r="AD45">
            <v>30</v>
          </cell>
          <cell r="AE45">
            <v>31</v>
          </cell>
          <cell r="AF45">
            <v>32</v>
          </cell>
        </row>
        <row r="46">
          <cell r="E46" t="str">
            <v>Budget</v>
          </cell>
          <cell r="F46" t="str">
            <v>Budget</v>
          </cell>
          <cell r="G46" t="str">
            <v>Budget</v>
          </cell>
          <cell r="H46" t="str">
            <v>Budget</v>
          </cell>
          <cell r="I46" t="str">
            <v>Budget</v>
          </cell>
          <cell r="J46" t="str">
            <v>Budget</v>
          </cell>
          <cell r="K46" t="str">
            <v>Budget</v>
          </cell>
          <cell r="L46" t="str">
            <v>Budget</v>
          </cell>
          <cell r="M46" t="str">
            <v>Budget</v>
          </cell>
          <cell r="N46" t="str">
            <v>Budget</v>
          </cell>
          <cell r="O46" t="str">
            <v>Budget</v>
          </cell>
          <cell r="P46" t="str">
            <v>Budget</v>
          </cell>
          <cell r="Q46" t="str">
            <v>Budget</v>
          </cell>
          <cell r="R46" t="str">
            <v>Budget</v>
          </cell>
          <cell r="S46" t="str">
            <v>Budget</v>
          </cell>
          <cell r="T46" t="str">
            <v>Budget</v>
          </cell>
          <cell r="U46" t="str">
            <v>Cumu Bud</v>
          </cell>
          <cell r="V46" t="str">
            <v>Cumu Bud</v>
          </cell>
          <cell r="W46" t="str">
            <v>Cumu Bud</v>
          </cell>
          <cell r="X46" t="str">
            <v>Cumu Bud</v>
          </cell>
          <cell r="Y46" t="str">
            <v>Cumu Bud</v>
          </cell>
          <cell r="Z46" t="str">
            <v>Cumu Bud</v>
          </cell>
          <cell r="AA46" t="str">
            <v>Cumu Bud</v>
          </cell>
          <cell r="AB46" t="str">
            <v>Cumu Bud</v>
          </cell>
          <cell r="AC46" t="str">
            <v>Cumu Bud</v>
          </cell>
          <cell r="AD46" t="str">
            <v>Cumu Bud</v>
          </cell>
          <cell r="AE46" t="str">
            <v>Cumu Bud</v>
          </cell>
          <cell r="AF46" t="str">
            <v>Cumu Bud</v>
          </cell>
        </row>
        <row r="47">
          <cell r="D47" t="str">
            <v>Particulars</v>
          </cell>
          <cell r="E47">
            <v>41651</v>
          </cell>
          <cell r="F47">
            <v>41682</v>
          </cell>
          <cell r="G47">
            <v>41710</v>
          </cell>
          <cell r="H47" t="str">
            <v>Q-1</v>
          </cell>
          <cell r="I47">
            <v>41741</v>
          </cell>
          <cell r="J47">
            <v>41771</v>
          </cell>
          <cell r="K47">
            <v>41802</v>
          </cell>
          <cell r="L47" t="str">
            <v>Q-2</v>
          </cell>
          <cell r="M47">
            <v>41832</v>
          </cell>
          <cell r="N47">
            <v>41863</v>
          </cell>
          <cell r="O47">
            <v>41894</v>
          </cell>
          <cell r="P47" t="str">
            <v>Q-3</v>
          </cell>
          <cell r="Q47">
            <v>41924</v>
          </cell>
          <cell r="R47">
            <v>41955</v>
          </cell>
          <cell r="S47">
            <v>41985</v>
          </cell>
          <cell r="T47" t="str">
            <v>Q-4</v>
          </cell>
          <cell r="U47">
            <v>41651</v>
          </cell>
          <cell r="V47">
            <v>41682</v>
          </cell>
          <cell r="W47">
            <v>41710</v>
          </cell>
          <cell r="X47">
            <v>41741</v>
          </cell>
          <cell r="Y47">
            <v>41771</v>
          </cell>
          <cell r="Z47">
            <v>41802</v>
          </cell>
          <cell r="AA47">
            <v>41832</v>
          </cell>
          <cell r="AB47">
            <v>41863</v>
          </cell>
          <cell r="AC47">
            <v>41894</v>
          </cell>
          <cell r="AD47">
            <v>41924</v>
          </cell>
          <cell r="AE47">
            <v>41955</v>
          </cell>
          <cell r="AF47">
            <v>41985</v>
          </cell>
        </row>
        <row r="49">
          <cell r="D49" t="str">
            <v>Sales</v>
          </cell>
          <cell r="E49">
            <v>1.9080267462010352</v>
          </cell>
          <cell r="F49">
            <v>1.9080267462010352</v>
          </cell>
          <cell r="G49">
            <v>1.9080267462010352</v>
          </cell>
          <cell r="H49">
            <v>5.724080238603106</v>
          </cell>
          <cell r="I49">
            <v>1.9080267462010352</v>
          </cell>
          <cell r="J49">
            <v>1.9080267462010352</v>
          </cell>
          <cell r="K49">
            <v>0</v>
          </cell>
          <cell r="L49">
            <v>3.8160534924020704</v>
          </cell>
          <cell r="M49">
            <v>39.71080665530905</v>
          </cell>
          <cell r="N49">
            <v>99.09813913081625</v>
          </cell>
          <cell r="O49">
            <v>119.37092330920227</v>
          </cell>
          <cell r="P49">
            <v>258.17986909532755</v>
          </cell>
          <cell r="Q49">
            <v>33.032713043605419</v>
          </cell>
          <cell r="R49">
            <v>33.032713043605419</v>
          </cell>
          <cell r="S49">
            <v>33.032713043605419</v>
          </cell>
          <cell r="T49">
            <v>99.098139130816264</v>
          </cell>
          <cell r="U49">
            <v>1.9080267462010352</v>
          </cell>
          <cell r="V49">
            <v>3.8160534924020704</v>
          </cell>
          <cell r="W49">
            <v>5.724080238603106</v>
          </cell>
          <cell r="X49">
            <v>7.6321069848041407</v>
          </cell>
          <cell r="Y49">
            <v>9.5401337310051755</v>
          </cell>
          <cell r="Z49">
            <v>9.5401337310051755</v>
          </cell>
          <cell r="AA49">
            <v>49.250940386314227</v>
          </cell>
          <cell r="AB49">
            <v>148.34907951713046</v>
          </cell>
          <cell r="AC49">
            <v>267.72000282633275</v>
          </cell>
          <cell r="AD49">
            <v>300.75271586993819</v>
          </cell>
          <cell r="AE49">
            <v>333.78542891354363</v>
          </cell>
          <cell r="AF49">
            <v>366.81814195714907</v>
          </cell>
        </row>
        <row r="50">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D51" t="str">
            <v>Cost of Goods Sold</v>
          </cell>
          <cell r="E51">
            <v>1.52</v>
          </cell>
          <cell r="F51">
            <v>1.52</v>
          </cell>
          <cell r="G51">
            <v>1.52</v>
          </cell>
          <cell r="H51">
            <v>4.5600000000000005</v>
          </cell>
          <cell r="I51">
            <v>1.52</v>
          </cell>
          <cell r="J51">
            <v>1.52</v>
          </cell>
          <cell r="K51">
            <v>0</v>
          </cell>
          <cell r="L51">
            <v>3.04</v>
          </cell>
          <cell r="M51">
            <v>31.635000000000005</v>
          </cell>
          <cell r="N51">
            <v>78.944999999999993</v>
          </cell>
          <cell r="O51">
            <v>95.094999999999999</v>
          </cell>
          <cell r="P51">
            <v>205.67500000000001</v>
          </cell>
          <cell r="Q51">
            <v>26.315000000000001</v>
          </cell>
          <cell r="R51">
            <v>26.315000000000001</v>
          </cell>
          <cell r="S51">
            <v>26.315000000000001</v>
          </cell>
          <cell r="T51">
            <v>78.945000000000007</v>
          </cell>
          <cell r="U51">
            <v>1.52</v>
          </cell>
          <cell r="V51">
            <v>3.04</v>
          </cell>
          <cell r="W51">
            <v>4.5600000000000005</v>
          </cell>
          <cell r="X51">
            <v>6.08</v>
          </cell>
          <cell r="Y51">
            <v>7.6</v>
          </cell>
          <cell r="Z51">
            <v>7.6</v>
          </cell>
          <cell r="AA51">
            <v>39.235000000000007</v>
          </cell>
          <cell r="AB51">
            <v>118.18</v>
          </cell>
          <cell r="AC51">
            <v>213.27500000000001</v>
          </cell>
          <cell r="AD51">
            <v>239.59</v>
          </cell>
          <cell r="AE51">
            <v>265.90500000000003</v>
          </cell>
          <cell r="AF51">
            <v>292.22000000000003</v>
          </cell>
        </row>
        <row r="52">
          <cell r="D52" t="str">
            <v>ED Savings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D53" t="str">
            <v>PRISM II &amp; PSM Savings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row>
        <row r="56">
          <cell r="D56" t="str">
            <v>Contribution</v>
          </cell>
          <cell r="E56">
            <v>0.38802674620103517</v>
          </cell>
          <cell r="F56">
            <v>0.38802674620103517</v>
          </cell>
          <cell r="G56">
            <v>0.38802674620103517</v>
          </cell>
          <cell r="H56">
            <v>1.1640802386031055</v>
          </cell>
          <cell r="I56">
            <v>0.38802674620103517</v>
          </cell>
          <cell r="J56">
            <v>0.38802674620103517</v>
          </cell>
          <cell r="K56">
            <v>0</v>
          </cell>
          <cell r="L56">
            <v>0.77605349240207033</v>
          </cell>
          <cell r="M56">
            <v>8.0758066553090444</v>
          </cell>
          <cell r="N56">
            <v>20.153139130816257</v>
          </cell>
          <cell r="O56">
            <v>24.27592330920227</v>
          </cell>
          <cell r="P56">
            <v>52.504869095327535</v>
          </cell>
          <cell r="Q56">
            <v>6.7177130436054178</v>
          </cell>
          <cell r="R56">
            <v>6.7177130436054178</v>
          </cell>
          <cell r="S56">
            <v>6.7177130436054178</v>
          </cell>
          <cell r="T56">
            <v>20.153139130816257</v>
          </cell>
          <cell r="U56">
            <v>0.38802674620103517</v>
          </cell>
          <cell r="V56">
            <v>0.77605349240207033</v>
          </cell>
          <cell r="W56">
            <v>1.1640802386031055</v>
          </cell>
          <cell r="X56">
            <v>1.5521069848041407</v>
          </cell>
          <cell r="Y56">
            <v>1.9401337310051758</v>
          </cell>
          <cell r="Z56">
            <v>1.9401337310051758</v>
          </cell>
          <cell r="AA56">
            <v>10.01594038631422</v>
          </cell>
          <cell r="AB56">
            <v>30.169079517130477</v>
          </cell>
          <cell r="AC56">
            <v>54.445002826332747</v>
          </cell>
          <cell r="AD56">
            <v>61.162715869938168</v>
          </cell>
          <cell r="AE56">
            <v>67.880428913543582</v>
          </cell>
          <cell r="AF56">
            <v>74.598141957148997</v>
          </cell>
        </row>
        <row r="57">
          <cell r="D57">
            <v>0</v>
          </cell>
          <cell r="E57">
            <v>0.20336546485714282</v>
          </cell>
          <cell r="F57">
            <v>0.20336546485714282</v>
          </cell>
          <cell r="G57">
            <v>0.20336546485714282</v>
          </cell>
          <cell r="H57">
            <v>0.2033654648571428</v>
          </cell>
          <cell r="I57">
            <v>0.20336546485714282</v>
          </cell>
          <cell r="J57">
            <v>0.20336546485714282</v>
          </cell>
          <cell r="K57" t="e">
            <v>#DIV/0!</v>
          </cell>
          <cell r="L57">
            <v>0.20336546485714282</v>
          </cell>
          <cell r="M57">
            <v>0.2033654648571428</v>
          </cell>
          <cell r="N57">
            <v>0.20336546485714277</v>
          </cell>
          <cell r="O57">
            <v>0.20336546485714285</v>
          </cell>
          <cell r="P57">
            <v>0.20336546485714269</v>
          </cell>
          <cell r="Q57">
            <v>0.20336546485714271</v>
          </cell>
          <cell r="R57">
            <v>0.20336546485714271</v>
          </cell>
          <cell r="S57">
            <v>0.20336546485714271</v>
          </cell>
          <cell r="T57">
            <v>0.20336546485714274</v>
          </cell>
          <cell r="U57">
            <v>0.20336546485714282</v>
          </cell>
          <cell r="V57">
            <v>0.20336546485714282</v>
          </cell>
          <cell r="W57">
            <v>0.2033654648571428</v>
          </cell>
          <cell r="X57">
            <v>0.20336546485714282</v>
          </cell>
          <cell r="Y57">
            <v>0.20336546485714282</v>
          </cell>
          <cell r="Z57">
            <v>0.20336546485714282</v>
          </cell>
          <cell r="AA57">
            <v>0.2033654648571428</v>
          </cell>
          <cell r="AB57">
            <v>0.2033654648571428</v>
          </cell>
          <cell r="AC57">
            <v>0.20336546485714282</v>
          </cell>
          <cell r="AD57">
            <v>0.2033654648571428</v>
          </cell>
          <cell r="AE57">
            <v>0.20336546485714277</v>
          </cell>
          <cell r="AF57">
            <v>0.20336546485714274</v>
          </cell>
        </row>
        <row r="58">
          <cell r="D58" t="str">
            <v>Overheads</v>
          </cell>
        </row>
        <row r="59">
          <cell r="D59" t="str">
            <v>Advertisement Exp.</v>
          </cell>
          <cell r="E59">
            <v>10</v>
          </cell>
          <cell r="F59">
            <v>20</v>
          </cell>
          <cell r="G59">
            <v>30</v>
          </cell>
          <cell r="H59">
            <v>60</v>
          </cell>
          <cell r="I59">
            <v>30</v>
          </cell>
          <cell r="J59">
            <v>30</v>
          </cell>
          <cell r="K59">
            <v>15</v>
          </cell>
          <cell r="L59">
            <v>75</v>
          </cell>
          <cell r="M59">
            <v>0</v>
          </cell>
          <cell r="N59">
            <v>5</v>
          </cell>
          <cell r="O59">
            <v>5</v>
          </cell>
          <cell r="P59">
            <v>10</v>
          </cell>
          <cell r="Q59">
            <v>20</v>
          </cell>
          <cell r="R59">
            <v>15</v>
          </cell>
          <cell r="S59">
            <v>15</v>
          </cell>
          <cell r="T59">
            <v>50</v>
          </cell>
          <cell r="U59">
            <v>10</v>
          </cell>
          <cell r="V59">
            <v>30</v>
          </cell>
          <cell r="W59">
            <v>60</v>
          </cell>
          <cell r="X59">
            <v>90</v>
          </cell>
          <cell r="Y59">
            <v>120</v>
          </cell>
          <cell r="Z59">
            <v>135</v>
          </cell>
          <cell r="AA59">
            <v>135</v>
          </cell>
          <cell r="AB59">
            <v>140</v>
          </cell>
          <cell r="AC59">
            <v>145</v>
          </cell>
          <cell r="AD59">
            <v>165</v>
          </cell>
          <cell r="AE59">
            <v>180</v>
          </cell>
          <cell r="AF59">
            <v>195</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D61" t="str">
            <v>Total Overheads (a+b)</v>
          </cell>
          <cell r="E61">
            <v>10</v>
          </cell>
          <cell r="F61">
            <v>20</v>
          </cell>
          <cell r="G61">
            <v>30</v>
          </cell>
          <cell r="H61">
            <v>60</v>
          </cell>
          <cell r="I61">
            <v>30</v>
          </cell>
          <cell r="J61">
            <v>30</v>
          </cell>
          <cell r="K61">
            <v>15</v>
          </cell>
          <cell r="L61">
            <v>75</v>
          </cell>
          <cell r="M61">
            <v>0</v>
          </cell>
          <cell r="N61">
            <v>5</v>
          </cell>
          <cell r="O61">
            <v>5</v>
          </cell>
          <cell r="P61">
            <v>10</v>
          </cell>
          <cell r="Q61">
            <v>20</v>
          </cell>
          <cell r="R61">
            <v>15</v>
          </cell>
          <cell r="S61">
            <v>15</v>
          </cell>
          <cell r="T61">
            <v>50</v>
          </cell>
          <cell r="U61">
            <v>10</v>
          </cell>
          <cell r="V61">
            <v>30</v>
          </cell>
          <cell r="W61">
            <v>60</v>
          </cell>
          <cell r="X61">
            <v>90</v>
          </cell>
          <cell r="Y61">
            <v>120</v>
          </cell>
          <cell r="Z61">
            <v>135</v>
          </cell>
          <cell r="AA61">
            <v>135</v>
          </cell>
          <cell r="AB61">
            <v>140</v>
          </cell>
          <cell r="AC61">
            <v>145</v>
          </cell>
          <cell r="AD61">
            <v>165</v>
          </cell>
          <cell r="AE61">
            <v>180</v>
          </cell>
          <cell r="AF61">
            <v>195</v>
          </cell>
        </row>
        <row r="62">
          <cell r="D62" t="str">
            <v>OPERATING PROFIT (LOSS)</v>
          </cell>
          <cell r="E62">
            <v>-9.6119732537989648</v>
          </cell>
          <cell r="F62">
            <v>-19.611973253798965</v>
          </cell>
          <cell r="G62">
            <v>-29.611973253798965</v>
          </cell>
          <cell r="H62">
            <v>-58.835919761396895</v>
          </cell>
          <cell r="I62">
            <v>-29.611973253798965</v>
          </cell>
          <cell r="J62">
            <v>-29.611973253798965</v>
          </cell>
          <cell r="K62">
            <v>-15</v>
          </cell>
          <cell r="L62">
            <v>-74.22394650759793</v>
          </cell>
          <cell r="M62">
            <v>8.0758066553090444</v>
          </cell>
          <cell r="N62">
            <v>15.153139130816257</v>
          </cell>
          <cell r="O62">
            <v>19.27592330920227</v>
          </cell>
          <cell r="P62">
            <v>42.504869095327535</v>
          </cell>
          <cell r="Q62">
            <v>-13.282286956394582</v>
          </cell>
          <cell r="R62">
            <v>-8.2822869563945822</v>
          </cell>
          <cell r="S62">
            <v>-8.2822869563945822</v>
          </cell>
          <cell r="T62">
            <v>-29.846860869183743</v>
          </cell>
          <cell r="U62">
            <v>-9.6119732537989648</v>
          </cell>
          <cell r="V62">
            <v>-29.22394650759793</v>
          </cell>
          <cell r="W62">
            <v>-58.835919761396895</v>
          </cell>
          <cell r="X62">
            <v>-88.447893015195859</v>
          </cell>
          <cell r="Y62">
            <v>-118.05986626899482</v>
          </cell>
          <cell r="Z62">
            <v>-133.05986626899482</v>
          </cell>
          <cell r="AA62">
            <v>-124.98405961368579</v>
          </cell>
          <cell r="AB62">
            <v>-109.83092048286953</v>
          </cell>
          <cell r="AC62">
            <v>-90.55499717366726</v>
          </cell>
          <cell r="AD62">
            <v>-103.83728413006185</v>
          </cell>
          <cell r="AE62">
            <v>-112.11957108645643</v>
          </cell>
          <cell r="AF62">
            <v>-120.40185804285102</v>
          </cell>
        </row>
        <row r="65">
          <cell r="D65">
            <v>4</v>
          </cell>
          <cell r="E65">
            <v>5</v>
          </cell>
          <cell r="F65">
            <v>6</v>
          </cell>
          <cell r="G65">
            <v>7</v>
          </cell>
          <cell r="H65">
            <v>8</v>
          </cell>
          <cell r="I65">
            <v>9</v>
          </cell>
          <cell r="J65">
            <v>10</v>
          </cell>
          <cell r="K65">
            <v>11</v>
          </cell>
          <cell r="L65">
            <v>12</v>
          </cell>
          <cell r="M65">
            <v>13</v>
          </cell>
          <cell r="N65">
            <v>14</v>
          </cell>
          <cell r="O65">
            <v>15</v>
          </cell>
          <cell r="P65">
            <v>16</v>
          </cell>
          <cell r="Q65">
            <v>17</v>
          </cell>
          <cell r="R65">
            <v>18</v>
          </cell>
          <cell r="S65">
            <v>19</v>
          </cell>
          <cell r="T65">
            <v>20</v>
          </cell>
          <cell r="U65">
            <v>21</v>
          </cell>
          <cell r="V65">
            <v>22</v>
          </cell>
          <cell r="W65">
            <v>23</v>
          </cell>
          <cell r="X65">
            <v>24</v>
          </cell>
          <cell r="Y65">
            <v>25</v>
          </cell>
          <cell r="Z65">
            <v>26</v>
          </cell>
          <cell r="AA65">
            <v>27</v>
          </cell>
          <cell r="AB65">
            <v>28</v>
          </cell>
          <cell r="AC65">
            <v>29</v>
          </cell>
          <cell r="AD65">
            <v>30</v>
          </cell>
          <cell r="AE65">
            <v>31</v>
          </cell>
          <cell r="AF65">
            <v>32</v>
          </cell>
        </row>
        <row r="66">
          <cell r="E66" t="str">
            <v>Budget</v>
          </cell>
          <cell r="F66" t="str">
            <v>Budget</v>
          </cell>
          <cell r="G66" t="str">
            <v>Budget</v>
          </cell>
          <cell r="H66" t="str">
            <v>Budget</v>
          </cell>
          <cell r="I66" t="str">
            <v>Budget</v>
          </cell>
          <cell r="J66" t="str">
            <v>Budget</v>
          </cell>
          <cell r="K66" t="str">
            <v>Budget</v>
          </cell>
          <cell r="L66" t="str">
            <v>Budget</v>
          </cell>
          <cell r="M66" t="str">
            <v>Budget</v>
          </cell>
          <cell r="N66" t="str">
            <v>Budget</v>
          </cell>
          <cell r="O66" t="str">
            <v>Budget</v>
          </cell>
          <cell r="P66" t="str">
            <v>Budget</v>
          </cell>
          <cell r="Q66" t="str">
            <v>Budget</v>
          </cell>
          <cell r="R66" t="str">
            <v>Budget</v>
          </cell>
          <cell r="S66" t="str">
            <v>Budget</v>
          </cell>
          <cell r="T66" t="str">
            <v>Budget</v>
          </cell>
          <cell r="U66" t="str">
            <v>Cumu Bud</v>
          </cell>
          <cell r="V66" t="str">
            <v>Cumu Bud</v>
          </cell>
          <cell r="W66" t="str">
            <v>Cumu Bud</v>
          </cell>
          <cell r="X66" t="str">
            <v>Cumu Bud</v>
          </cell>
          <cell r="Y66" t="str">
            <v>Cumu Bud</v>
          </cell>
          <cell r="Z66" t="str">
            <v>Cumu Bud</v>
          </cell>
          <cell r="AA66" t="str">
            <v>Cumu Bud</v>
          </cell>
          <cell r="AB66" t="str">
            <v>Cumu Bud</v>
          </cell>
          <cell r="AC66" t="str">
            <v>Cumu Bud</v>
          </cell>
          <cell r="AD66" t="str">
            <v>Cumu Bud</v>
          </cell>
          <cell r="AE66" t="str">
            <v>Cumu Bud</v>
          </cell>
          <cell r="AF66" t="str">
            <v>Cumu Bud</v>
          </cell>
        </row>
        <row r="67">
          <cell r="D67" t="str">
            <v>Particulars</v>
          </cell>
          <cell r="E67">
            <v>41651</v>
          </cell>
          <cell r="F67">
            <v>41682</v>
          </cell>
          <cell r="G67">
            <v>41710</v>
          </cell>
          <cell r="H67" t="str">
            <v>Q-1</v>
          </cell>
          <cell r="I67">
            <v>41741</v>
          </cell>
          <cell r="J67">
            <v>41771</v>
          </cell>
          <cell r="K67">
            <v>41802</v>
          </cell>
          <cell r="L67" t="str">
            <v>Q-2</v>
          </cell>
          <cell r="M67">
            <v>41832</v>
          </cell>
          <cell r="N67">
            <v>41863</v>
          </cell>
          <cell r="O67">
            <v>41894</v>
          </cell>
          <cell r="P67" t="str">
            <v>Q-3</v>
          </cell>
          <cell r="Q67">
            <v>41924</v>
          </cell>
          <cell r="R67">
            <v>41955</v>
          </cell>
          <cell r="S67">
            <v>41985</v>
          </cell>
          <cell r="T67" t="str">
            <v>Q-4</v>
          </cell>
          <cell r="U67">
            <v>41651</v>
          </cell>
          <cell r="V67">
            <v>41682</v>
          </cell>
          <cell r="W67">
            <v>41710</v>
          </cell>
          <cell r="X67">
            <v>41741</v>
          </cell>
          <cell r="Y67">
            <v>41771</v>
          </cell>
          <cell r="Z67">
            <v>41802</v>
          </cell>
          <cell r="AA67">
            <v>41832</v>
          </cell>
          <cell r="AB67">
            <v>41863</v>
          </cell>
          <cell r="AC67">
            <v>41894</v>
          </cell>
          <cell r="AD67">
            <v>41924</v>
          </cell>
          <cell r="AE67">
            <v>41955</v>
          </cell>
          <cell r="AF67">
            <v>41985</v>
          </cell>
        </row>
        <row r="69">
          <cell r="D69" t="str">
            <v>Sales</v>
          </cell>
          <cell r="E69">
            <v>1009.4004933273026</v>
          </cell>
          <cell r="F69">
            <v>1106.5192916582675</v>
          </cell>
          <cell r="G69">
            <v>843.35129414803714</v>
          </cell>
          <cell r="H69">
            <v>2959.2710791336071</v>
          </cell>
          <cell r="I69">
            <v>983.22480812091214</v>
          </cell>
          <cell r="J69">
            <v>985.27742859615114</v>
          </cell>
          <cell r="K69">
            <v>1005.863947594024</v>
          </cell>
          <cell r="L69">
            <v>2974.3661843110872</v>
          </cell>
          <cell r="M69">
            <v>1105.5311183033537</v>
          </cell>
          <cell r="N69">
            <v>999.94150013902197</v>
          </cell>
          <cell r="O69">
            <v>880.7048837722906</v>
          </cell>
          <cell r="P69">
            <v>2986.1775022146662</v>
          </cell>
          <cell r="Q69">
            <v>1228.4360284242757</v>
          </cell>
          <cell r="R69">
            <v>1235.5305828374294</v>
          </cell>
          <cell r="S69">
            <v>1163.5058068766555</v>
          </cell>
          <cell r="T69">
            <v>3627.4724181383608</v>
          </cell>
          <cell r="U69">
            <v>1009.4004933273026</v>
          </cell>
          <cell r="V69">
            <v>2115.91978498557</v>
          </cell>
          <cell r="W69">
            <v>2959.2710791336071</v>
          </cell>
          <cell r="X69">
            <v>3942.4958872545194</v>
          </cell>
          <cell r="Y69">
            <v>4927.7733158506708</v>
          </cell>
          <cell r="Z69">
            <v>5933.6372634446943</v>
          </cell>
          <cell r="AA69">
            <v>7039.168381748048</v>
          </cell>
          <cell r="AB69">
            <v>8039.1098818870696</v>
          </cell>
          <cell r="AC69">
            <v>8919.814765659361</v>
          </cell>
          <cell r="AD69">
            <v>10148.250794083637</v>
          </cell>
          <cell r="AE69">
            <v>11383.781376921066</v>
          </cell>
          <cell r="AF69">
            <v>12547.287183797722</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D71" t="str">
            <v>Cost of Goods Sold</v>
          </cell>
          <cell r="E71">
            <v>341.10666915691166</v>
          </cell>
          <cell r="F71">
            <v>370.99711184264709</v>
          </cell>
          <cell r="G71">
            <v>277.03170584674331</v>
          </cell>
          <cell r="H71">
            <v>989.135486846302</v>
          </cell>
          <cell r="I71">
            <v>335.52226481181373</v>
          </cell>
          <cell r="J71">
            <v>334.2772598743627</v>
          </cell>
          <cell r="K71">
            <v>357.42769957275493</v>
          </cell>
          <cell r="L71">
            <v>1027.2272242589315</v>
          </cell>
          <cell r="M71">
            <v>405.47718398199027</v>
          </cell>
          <cell r="N71">
            <v>367.01327890866673</v>
          </cell>
          <cell r="O71">
            <v>300.92977522986268</v>
          </cell>
          <cell r="P71">
            <v>1073.4202381205196</v>
          </cell>
          <cell r="Q71">
            <v>462.72050655669898</v>
          </cell>
          <cell r="R71">
            <v>489.5870940687667</v>
          </cell>
          <cell r="S71">
            <v>454.26315337408107</v>
          </cell>
          <cell r="T71">
            <v>1406.5707539995469</v>
          </cell>
          <cell r="U71">
            <v>341.10666915691166</v>
          </cell>
          <cell r="V71">
            <v>712.10378099955869</v>
          </cell>
          <cell r="W71">
            <v>989.135486846302</v>
          </cell>
          <cell r="X71">
            <v>1324.6577516581158</v>
          </cell>
          <cell r="Y71">
            <v>1658.9350115324785</v>
          </cell>
          <cell r="Z71">
            <v>2016.3627111052333</v>
          </cell>
          <cell r="AA71">
            <v>2421.8398950872233</v>
          </cell>
          <cell r="AB71">
            <v>2788.8531739958898</v>
          </cell>
          <cell r="AC71">
            <v>3089.7829492257524</v>
          </cell>
          <cell r="AD71">
            <v>3552.5034557824515</v>
          </cell>
          <cell r="AE71">
            <v>4042.0905498512184</v>
          </cell>
          <cell r="AF71">
            <v>4496.3537032252998</v>
          </cell>
        </row>
        <row r="72">
          <cell r="D72" t="str">
            <v>ED Savings</v>
          </cell>
          <cell r="E72">
            <v>43.155705413120316</v>
          </cell>
          <cell r="F72">
            <v>47.256965739930109</v>
          </cell>
          <cell r="G72">
            <v>35.915045346629284</v>
          </cell>
          <cell r="H72">
            <v>126.32771649967971</v>
          </cell>
          <cell r="I72">
            <v>42.182544488888809</v>
          </cell>
          <cell r="J72">
            <v>42.810081159147813</v>
          </cell>
          <cell r="K72">
            <v>47.34722282717739</v>
          </cell>
          <cell r="L72">
            <v>132.33984847521401</v>
          </cell>
          <cell r="M72">
            <v>48.466778296529711</v>
          </cell>
          <cell r="N72">
            <v>44.300466917740337</v>
          </cell>
          <cell r="O72">
            <v>38.623022157318346</v>
          </cell>
          <cell r="P72">
            <v>131.39026737158838</v>
          </cell>
          <cell r="Q72">
            <v>49.483024968437348</v>
          </cell>
          <cell r="R72">
            <v>50.19044921200495</v>
          </cell>
          <cell r="S72">
            <v>47.323283432827239</v>
          </cell>
          <cell r="T72">
            <v>146.99675761326955</v>
          </cell>
          <cell r="U72">
            <v>43.155705413120316</v>
          </cell>
          <cell r="V72">
            <v>90.412671153050425</v>
          </cell>
          <cell r="W72">
            <v>126.32771649967971</v>
          </cell>
          <cell r="X72">
            <v>168.51026098856852</v>
          </cell>
          <cell r="Y72">
            <v>211.32034214771633</v>
          </cell>
          <cell r="Z72">
            <v>258.66756497489371</v>
          </cell>
          <cell r="AA72">
            <v>307.1343432714234</v>
          </cell>
          <cell r="AB72">
            <v>351.43481018916373</v>
          </cell>
          <cell r="AC72">
            <v>390.05783234648209</v>
          </cell>
          <cell r="AD72">
            <v>439.54085731491944</v>
          </cell>
          <cell r="AE72">
            <v>489.73130652692441</v>
          </cell>
          <cell r="AF72">
            <v>537.05458995975164</v>
          </cell>
        </row>
        <row r="73">
          <cell r="D73" t="str">
            <v>PRISM II &amp; PSM Savings</v>
          </cell>
          <cell r="E73">
            <v>3.5</v>
          </cell>
          <cell r="F73">
            <v>3.5</v>
          </cell>
          <cell r="G73">
            <v>5.5</v>
          </cell>
          <cell r="H73">
            <v>12.5</v>
          </cell>
          <cell r="I73">
            <v>5</v>
          </cell>
          <cell r="J73">
            <v>5</v>
          </cell>
          <cell r="K73">
            <v>5</v>
          </cell>
          <cell r="L73">
            <v>15</v>
          </cell>
          <cell r="M73">
            <v>5</v>
          </cell>
          <cell r="N73">
            <v>5</v>
          </cell>
          <cell r="O73">
            <v>6.5</v>
          </cell>
          <cell r="P73">
            <v>16.5</v>
          </cell>
          <cell r="Q73">
            <v>10</v>
          </cell>
          <cell r="R73">
            <v>7</v>
          </cell>
          <cell r="S73">
            <v>8.5</v>
          </cell>
          <cell r="T73">
            <v>25.5</v>
          </cell>
          <cell r="U73">
            <v>3.5</v>
          </cell>
          <cell r="V73">
            <v>7</v>
          </cell>
          <cell r="W73">
            <v>12.5</v>
          </cell>
          <cell r="X73">
            <v>17.5</v>
          </cell>
          <cell r="Y73">
            <v>22.5</v>
          </cell>
          <cell r="Z73">
            <v>27.5</v>
          </cell>
          <cell r="AA73">
            <v>32.5</v>
          </cell>
          <cell r="AB73">
            <v>37.5</v>
          </cell>
          <cell r="AC73">
            <v>44</v>
          </cell>
          <cell r="AD73">
            <v>54</v>
          </cell>
          <cell r="AE73">
            <v>61</v>
          </cell>
          <cell r="AF73">
            <v>69.5</v>
          </cell>
        </row>
        <row r="74">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row>
        <row r="76">
          <cell r="D76" t="str">
            <v>Contribution</v>
          </cell>
          <cell r="E76">
            <v>714.94952958351132</v>
          </cell>
          <cell r="F76">
            <v>786.2791455555506</v>
          </cell>
          <cell r="G76">
            <v>607.73463364792315</v>
          </cell>
          <cell r="H76">
            <v>2108.9633087869847</v>
          </cell>
          <cell r="I76">
            <v>694.88508779798724</v>
          </cell>
          <cell r="J76">
            <v>698.81024988093623</v>
          </cell>
          <cell r="K76">
            <v>700.78347084844643</v>
          </cell>
          <cell r="L76">
            <v>2094.4788085273694</v>
          </cell>
          <cell r="M76">
            <v>753.52071261789308</v>
          </cell>
          <cell r="N76">
            <v>682.22868814809556</v>
          </cell>
          <cell r="O76">
            <v>624.89813069974628</v>
          </cell>
          <cell r="P76">
            <v>2060.647531465735</v>
          </cell>
          <cell r="Q76">
            <v>825.19854683601409</v>
          </cell>
          <cell r="R76">
            <v>803.13393798066772</v>
          </cell>
          <cell r="S76">
            <v>765.06593693540162</v>
          </cell>
          <cell r="T76">
            <v>2393.3984217520833</v>
          </cell>
          <cell r="U76">
            <v>714.94952958351132</v>
          </cell>
          <cell r="V76">
            <v>1501.228675139062</v>
          </cell>
          <cell r="W76">
            <v>2108.9633087869852</v>
          </cell>
          <cell r="X76">
            <v>2803.8483965849723</v>
          </cell>
          <cell r="Y76">
            <v>3502.6586464659085</v>
          </cell>
          <cell r="Z76">
            <v>4203.4421173143546</v>
          </cell>
          <cell r="AA76">
            <v>4956.9628299322476</v>
          </cell>
          <cell r="AB76">
            <v>5639.1915180803435</v>
          </cell>
          <cell r="AC76">
            <v>6264.0896487800901</v>
          </cell>
          <cell r="AD76">
            <v>7089.2881956161045</v>
          </cell>
          <cell r="AE76">
            <v>7892.4221335967723</v>
          </cell>
          <cell r="AF76">
            <v>8657.4880705321739</v>
          </cell>
        </row>
        <row r="77">
          <cell r="D77">
            <v>0</v>
          </cell>
          <cell r="E77">
            <v>0.70829124248474662</v>
          </cell>
          <cell r="F77">
            <v>0.71058783293078054</v>
          </cell>
          <cell r="G77">
            <v>0.72061860563321178</v>
          </cell>
          <cell r="H77">
            <v>0.7126631026328385</v>
          </cell>
          <cell r="I77">
            <v>0.70674080033234243</v>
          </cell>
          <cell r="J77">
            <v>0.70925226702556177</v>
          </cell>
          <cell r="K77">
            <v>0.69669806987782523</v>
          </cell>
          <cell r="L77">
            <v>0.70417651315938612</v>
          </cell>
          <cell r="M77">
            <v>0.6815915899086703</v>
          </cell>
          <cell r="N77">
            <v>0.68226860076639007</v>
          </cell>
          <cell r="O77">
            <v>0.70954316504200965</v>
          </cell>
          <cell r="P77">
            <v>0.69006197050827622</v>
          </cell>
          <cell r="Q77">
            <v>0.67174726867503431</v>
          </cell>
          <cell r="R77">
            <v>0.65003161324930459</v>
          </cell>
          <cell r="S77">
            <v>0.65755231509257706</v>
          </cell>
          <cell r="T77">
            <v>0.65979782776139995</v>
          </cell>
          <cell r="U77">
            <v>0.70829124248474662</v>
          </cell>
          <cell r="V77">
            <v>0.70949224341663786</v>
          </cell>
          <cell r="W77">
            <v>0.71266310263283872</v>
          </cell>
          <cell r="X77">
            <v>0.71118613101141881</v>
          </cell>
          <cell r="Y77">
            <v>0.71079946701266883</v>
          </cell>
          <cell r="Z77">
            <v>0.70840901300294556</v>
          </cell>
          <cell r="AA77">
            <v>0.70419722346537716</v>
          </cell>
          <cell r="AB77">
            <v>0.70146964041205784</v>
          </cell>
          <cell r="AC77">
            <v>0.70226678617771077</v>
          </cell>
          <cell r="AD77">
            <v>0.6985724278462957</v>
          </cell>
          <cell r="AE77">
            <v>0.69330408519593423</v>
          </cell>
          <cell r="AF77">
            <v>0.68998883533259403</v>
          </cell>
        </row>
        <row r="78">
          <cell r="D78" t="str">
            <v>Overheads</v>
          </cell>
        </row>
        <row r="79">
          <cell r="D79" t="str">
            <v>Advertisement Exp.</v>
          </cell>
          <cell r="E79">
            <v>826.80000000000007</v>
          </cell>
          <cell r="F79">
            <v>375.8</v>
          </cell>
          <cell r="G79">
            <v>127.79999999999998</v>
          </cell>
          <cell r="H79">
            <v>1330.4</v>
          </cell>
          <cell r="I79">
            <v>720.8</v>
          </cell>
          <cell r="J79">
            <v>577.79999999999995</v>
          </cell>
          <cell r="K79">
            <v>219.79999999999998</v>
          </cell>
          <cell r="L79">
            <v>1518.3999999999999</v>
          </cell>
          <cell r="M79">
            <v>687.8</v>
          </cell>
          <cell r="N79">
            <v>247.8</v>
          </cell>
          <cell r="O79">
            <v>248.79999999999998</v>
          </cell>
          <cell r="P79">
            <v>1184.3999999999999</v>
          </cell>
          <cell r="Q79">
            <v>371.79999999999995</v>
          </cell>
          <cell r="R79">
            <v>89.800000000000011</v>
          </cell>
          <cell r="S79">
            <v>34.799999999999997</v>
          </cell>
          <cell r="T79">
            <v>496.4</v>
          </cell>
          <cell r="U79">
            <v>826.80000000000007</v>
          </cell>
          <cell r="V79">
            <v>1202.6000000000001</v>
          </cell>
          <cell r="W79">
            <v>1330.4</v>
          </cell>
          <cell r="X79">
            <v>2051.1999999999998</v>
          </cell>
          <cell r="Y79">
            <v>2629</v>
          </cell>
          <cell r="Z79">
            <v>2848.8</v>
          </cell>
          <cell r="AA79">
            <v>3536.6000000000004</v>
          </cell>
          <cell r="AB79">
            <v>3784.4000000000005</v>
          </cell>
          <cell r="AC79">
            <v>4033.2000000000007</v>
          </cell>
          <cell r="AD79">
            <v>4405.0000000000009</v>
          </cell>
          <cell r="AE79">
            <v>4494.8000000000011</v>
          </cell>
          <cell r="AF79">
            <v>4529.6000000000013</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row>
        <row r="81">
          <cell r="D81" t="str">
            <v>Total Overheads (a+b)</v>
          </cell>
          <cell r="E81">
            <v>826.80000000000007</v>
          </cell>
          <cell r="F81">
            <v>375.8</v>
          </cell>
          <cell r="G81">
            <v>127.79999999999998</v>
          </cell>
          <cell r="H81">
            <v>1330.4</v>
          </cell>
          <cell r="I81">
            <v>720.8</v>
          </cell>
          <cell r="J81">
            <v>577.79999999999995</v>
          </cell>
          <cell r="K81">
            <v>219.79999999999998</v>
          </cell>
          <cell r="L81">
            <v>1518.3999999999999</v>
          </cell>
          <cell r="M81">
            <v>687.8</v>
          </cell>
          <cell r="N81">
            <v>247.8</v>
          </cell>
          <cell r="O81">
            <v>248.79999999999998</v>
          </cell>
          <cell r="P81">
            <v>1184.3999999999999</v>
          </cell>
          <cell r="Q81">
            <v>371.79999999999995</v>
          </cell>
          <cell r="R81">
            <v>89.800000000000011</v>
          </cell>
          <cell r="S81">
            <v>34.799999999999997</v>
          </cell>
          <cell r="T81">
            <v>496.4</v>
          </cell>
          <cell r="U81">
            <v>826.80000000000007</v>
          </cell>
          <cell r="V81">
            <v>1202.6000000000001</v>
          </cell>
          <cell r="W81">
            <v>1330.4</v>
          </cell>
          <cell r="X81">
            <v>2051.1999999999998</v>
          </cell>
          <cell r="Y81">
            <v>2629</v>
          </cell>
          <cell r="Z81">
            <v>2848.8</v>
          </cell>
          <cell r="AA81">
            <v>3536.6000000000004</v>
          </cell>
          <cell r="AB81">
            <v>3784.4000000000005</v>
          </cell>
          <cell r="AC81">
            <v>4033.2000000000007</v>
          </cell>
          <cell r="AD81">
            <v>4405.0000000000009</v>
          </cell>
          <cell r="AE81">
            <v>4494.8000000000011</v>
          </cell>
          <cell r="AF81">
            <v>4529.6000000000013</v>
          </cell>
        </row>
        <row r="82">
          <cell r="D82" t="str">
            <v>OPERATING PROFIT (LOSS)</v>
          </cell>
          <cell r="E82">
            <v>-111.85047041648875</v>
          </cell>
          <cell r="F82">
            <v>410.47914555555059</v>
          </cell>
          <cell r="G82">
            <v>479.93463364792319</v>
          </cell>
          <cell r="H82">
            <v>778.56330878698463</v>
          </cell>
          <cell r="I82">
            <v>-25.914912202012715</v>
          </cell>
          <cell r="J82">
            <v>121.01024988093627</v>
          </cell>
          <cell r="K82">
            <v>480.98347084844647</v>
          </cell>
          <cell r="L82">
            <v>576.07880852736957</v>
          </cell>
          <cell r="M82">
            <v>65.720712617893128</v>
          </cell>
          <cell r="N82">
            <v>434.42868814809555</v>
          </cell>
          <cell r="O82">
            <v>376.09813069974632</v>
          </cell>
          <cell r="P82">
            <v>876.24753146573516</v>
          </cell>
          <cell r="Q82">
            <v>453.39854683601413</v>
          </cell>
          <cell r="R82">
            <v>713.33393798066777</v>
          </cell>
          <cell r="S82">
            <v>730.26593693540167</v>
          </cell>
          <cell r="T82">
            <v>1896.9984217520832</v>
          </cell>
          <cell r="U82">
            <v>-111.85047041648875</v>
          </cell>
          <cell r="V82">
            <v>298.62867513906184</v>
          </cell>
          <cell r="W82">
            <v>778.56330878698509</v>
          </cell>
          <cell r="X82">
            <v>752.64839658497237</v>
          </cell>
          <cell r="Y82">
            <v>873.65864646590865</v>
          </cell>
          <cell r="Z82">
            <v>1354.6421173143551</v>
          </cell>
          <cell r="AA82">
            <v>1420.3628299322481</v>
          </cell>
          <cell r="AB82">
            <v>1854.7915180803436</v>
          </cell>
          <cell r="AC82">
            <v>2230.8896487800898</v>
          </cell>
          <cell r="AD82">
            <v>2684.2881956161041</v>
          </cell>
          <cell r="AE82">
            <v>3397.6221335967721</v>
          </cell>
          <cell r="AF82">
            <v>4127.8880705321735</v>
          </cell>
        </row>
        <row r="85">
          <cell r="D85">
            <v>4</v>
          </cell>
          <cell r="E85">
            <v>5</v>
          </cell>
          <cell r="F85">
            <v>6</v>
          </cell>
          <cell r="G85">
            <v>7</v>
          </cell>
          <cell r="H85">
            <v>8</v>
          </cell>
          <cell r="I85">
            <v>9</v>
          </cell>
          <cell r="J85">
            <v>10</v>
          </cell>
          <cell r="K85">
            <v>11</v>
          </cell>
          <cell r="L85">
            <v>12</v>
          </cell>
          <cell r="M85">
            <v>13</v>
          </cell>
          <cell r="N85">
            <v>14</v>
          </cell>
          <cell r="O85">
            <v>15</v>
          </cell>
          <cell r="P85">
            <v>16</v>
          </cell>
          <cell r="Q85">
            <v>17</v>
          </cell>
          <cell r="R85">
            <v>18</v>
          </cell>
          <cell r="S85">
            <v>19</v>
          </cell>
          <cell r="T85">
            <v>20</v>
          </cell>
          <cell r="U85">
            <v>21</v>
          </cell>
          <cell r="V85">
            <v>22</v>
          </cell>
          <cell r="W85">
            <v>23</v>
          </cell>
          <cell r="X85">
            <v>24</v>
          </cell>
          <cell r="Y85">
            <v>25</v>
          </cell>
          <cell r="Z85">
            <v>26</v>
          </cell>
          <cell r="AA85">
            <v>27</v>
          </cell>
          <cell r="AB85">
            <v>28</v>
          </cell>
          <cell r="AC85">
            <v>29</v>
          </cell>
          <cell r="AD85">
            <v>30</v>
          </cell>
          <cell r="AE85">
            <v>31</v>
          </cell>
          <cell r="AF85">
            <v>32</v>
          </cell>
        </row>
        <row r="86">
          <cell r="E86" t="str">
            <v>Budget</v>
          </cell>
          <cell r="F86" t="str">
            <v>Budget</v>
          </cell>
          <cell r="G86" t="str">
            <v>Budget</v>
          </cell>
          <cell r="H86" t="str">
            <v>Budget</v>
          </cell>
          <cell r="I86" t="str">
            <v>Budget</v>
          </cell>
          <cell r="J86" t="str">
            <v>Budget</v>
          </cell>
          <cell r="K86" t="str">
            <v>Budget</v>
          </cell>
          <cell r="L86" t="str">
            <v>Budget</v>
          </cell>
          <cell r="M86" t="str">
            <v>Budget</v>
          </cell>
          <cell r="N86" t="str">
            <v>Budget</v>
          </cell>
          <cell r="O86" t="str">
            <v>Budget</v>
          </cell>
          <cell r="P86" t="str">
            <v>Budget</v>
          </cell>
          <cell r="Q86" t="str">
            <v>Budget</v>
          </cell>
          <cell r="R86" t="str">
            <v>Budget</v>
          </cell>
          <cell r="S86" t="str">
            <v>Budget</v>
          </cell>
          <cell r="T86" t="str">
            <v>Budget</v>
          </cell>
          <cell r="U86" t="str">
            <v>Cumu Bud</v>
          </cell>
          <cell r="V86" t="str">
            <v>Cumu Bud</v>
          </cell>
          <cell r="W86" t="str">
            <v>Cumu Bud</v>
          </cell>
          <cell r="X86" t="str">
            <v>Cumu Bud</v>
          </cell>
          <cell r="Y86" t="str">
            <v>Cumu Bud</v>
          </cell>
          <cell r="Z86" t="str">
            <v>Cumu Bud</v>
          </cell>
          <cell r="AA86" t="str">
            <v>Cumu Bud</v>
          </cell>
          <cell r="AB86" t="str">
            <v>Cumu Bud</v>
          </cell>
          <cell r="AC86" t="str">
            <v>Cumu Bud</v>
          </cell>
          <cell r="AD86" t="str">
            <v>Cumu Bud</v>
          </cell>
          <cell r="AE86" t="str">
            <v>Cumu Bud</v>
          </cell>
          <cell r="AF86" t="str">
            <v>Cumu Bud</v>
          </cell>
        </row>
        <row r="87">
          <cell r="D87" t="str">
            <v>Particulars</v>
          </cell>
          <cell r="E87">
            <v>41651</v>
          </cell>
          <cell r="F87">
            <v>41682</v>
          </cell>
          <cell r="G87">
            <v>41710</v>
          </cell>
          <cell r="H87" t="str">
            <v>Q-1</v>
          </cell>
          <cell r="I87">
            <v>41741</v>
          </cell>
          <cell r="J87">
            <v>41771</v>
          </cell>
          <cell r="K87">
            <v>41802</v>
          </cell>
          <cell r="L87" t="str">
            <v>Q-2</v>
          </cell>
          <cell r="M87">
            <v>41832</v>
          </cell>
          <cell r="N87">
            <v>41863</v>
          </cell>
          <cell r="O87">
            <v>41894</v>
          </cell>
          <cell r="P87" t="str">
            <v>Q-3</v>
          </cell>
          <cell r="Q87">
            <v>41924</v>
          </cell>
          <cell r="R87">
            <v>41955</v>
          </cell>
          <cell r="S87">
            <v>41985</v>
          </cell>
          <cell r="T87" t="str">
            <v>Q-4</v>
          </cell>
          <cell r="U87">
            <v>41651</v>
          </cell>
          <cell r="V87">
            <v>41682</v>
          </cell>
          <cell r="W87">
            <v>41710</v>
          </cell>
          <cell r="X87">
            <v>41741</v>
          </cell>
          <cell r="Y87">
            <v>41771</v>
          </cell>
          <cell r="Z87">
            <v>41802</v>
          </cell>
          <cell r="AA87">
            <v>41832</v>
          </cell>
          <cell r="AB87">
            <v>41863</v>
          </cell>
          <cell r="AC87">
            <v>41894</v>
          </cell>
          <cell r="AD87">
            <v>41924</v>
          </cell>
          <cell r="AE87">
            <v>41955</v>
          </cell>
          <cell r="AF87">
            <v>41985</v>
          </cell>
        </row>
        <row r="89">
          <cell r="D89" t="str">
            <v>Sales</v>
          </cell>
          <cell r="E89">
            <v>18.108437629569387</v>
          </cell>
          <cell r="F89">
            <v>18.108437629569387</v>
          </cell>
          <cell r="G89">
            <v>13.301264288595211</v>
          </cell>
          <cell r="H89">
            <v>49.518139547733988</v>
          </cell>
          <cell r="I89">
            <v>25.602806687695793</v>
          </cell>
          <cell r="J89">
            <v>44.602806687695796</v>
          </cell>
          <cell r="K89">
            <v>139.67300730621736</v>
          </cell>
          <cell r="L89">
            <v>209.87862068160894</v>
          </cell>
          <cell r="M89">
            <v>83.434950071674919</v>
          </cell>
          <cell r="N89">
            <v>79.91335213293722</v>
          </cell>
          <cell r="O89">
            <v>49.03541717726975</v>
          </cell>
          <cell r="P89">
            <v>212.38371938188189</v>
          </cell>
          <cell r="Q89">
            <v>46.88205167842915</v>
          </cell>
          <cell r="R89">
            <v>43.972995694296948</v>
          </cell>
          <cell r="S89">
            <v>43.687330054250609</v>
          </cell>
          <cell r="T89">
            <v>134.54237742697671</v>
          </cell>
          <cell r="U89">
            <v>18.108437629569387</v>
          </cell>
          <cell r="V89">
            <v>36.216875259138774</v>
          </cell>
          <cell r="W89">
            <v>49.518139547733988</v>
          </cell>
          <cell r="X89">
            <v>75.120946235429784</v>
          </cell>
          <cell r="Y89">
            <v>119.72375292312557</v>
          </cell>
          <cell r="Z89">
            <v>259.39676022934293</v>
          </cell>
          <cell r="AA89">
            <v>342.83171030101784</v>
          </cell>
          <cell r="AB89">
            <v>422.74506243395507</v>
          </cell>
          <cell r="AC89">
            <v>471.78047961122479</v>
          </cell>
          <cell r="AD89">
            <v>518.662531289654</v>
          </cell>
          <cell r="AE89">
            <v>562.63552698395097</v>
          </cell>
          <cell r="AF89">
            <v>606.32285703820162</v>
          </cell>
        </row>
        <row r="90">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D91" t="str">
            <v>Cost of Goods Sold</v>
          </cell>
          <cell r="E91">
            <v>7.2722882188235296</v>
          </cell>
          <cell r="F91">
            <v>7.2722882188235296</v>
          </cell>
          <cell r="G91">
            <v>5.3030536870588234</v>
          </cell>
          <cell r="H91">
            <v>19.847630124705884</v>
          </cell>
          <cell r="I91">
            <v>10.266288822352941</v>
          </cell>
          <cell r="J91">
            <v>19.006288822352943</v>
          </cell>
          <cell r="K91">
            <v>57.38079439470588</v>
          </cell>
          <cell r="L91">
            <v>86.653372039411764</v>
          </cell>
          <cell r="M91">
            <v>34.311582944117646</v>
          </cell>
          <cell r="N91">
            <v>32.496363647058821</v>
          </cell>
          <cell r="O91">
            <v>19.99588753529412</v>
          </cell>
          <cell r="P91">
            <v>86.803834126470576</v>
          </cell>
          <cell r="Q91">
            <v>19.143232504257647</v>
          </cell>
          <cell r="R91">
            <v>17.998622034117645</v>
          </cell>
          <cell r="S91">
            <v>17.861567008836484</v>
          </cell>
          <cell r="T91">
            <v>55.003421547211772</v>
          </cell>
          <cell r="U91">
            <v>7.2722882188235296</v>
          </cell>
          <cell r="V91">
            <v>14.544576437647059</v>
          </cell>
          <cell r="W91">
            <v>19.847630124705884</v>
          </cell>
          <cell r="X91">
            <v>30.113918947058824</v>
          </cell>
          <cell r="Y91">
            <v>49.120207769411763</v>
          </cell>
          <cell r="Z91">
            <v>106.50100216411764</v>
          </cell>
          <cell r="AA91">
            <v>140.81258510823528</v>
          </cell>
          <cell r="AB91">
            <v>173.3089487552941</v>
          </cell>
          <cell r="AC91">
            <v>193.30483629058821</v>
          </cell>
          <cell r="AD91">
            <v>212.44806879484585</v>
          </cell>
          <cell r="AE91">
            <v>230.44669082896348</v>
          </cell>
          <cell r="AF91">
            <v>248.30825783779997</v>
          </cell>
        </row>
        <row r="92">
          <cell r="D92" t="str">
            <v>ED Savings</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D93" t="str">
            <v>PRISM II &amp; PSM Savings</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D96" t="str">
            <v>Contribution</v>
          </cell>
          <cell r="E96">
            <v>10.836149410745858</v>
          </cell>
          <cell r="F96">
            <v>10.836149410745858</v>
          </cell>
          <cell r="G96">
            <v>7.9982106015363881</v>
          </cell>
          <cell r="H96">
            <v>29.670509423028104</v>
          </cell>
          <cell r="I96">
            <v>15.336517865342852</v>
          </cell>
          <cell r="J96">
            <v>25.596517865342854</v>
          </cell>
          <cell r="K96">
            <v>82.292212911511484</v>
          </cell>
          <cell r="L96">
            <v>123.22524864219717</v>
          </cell>
          <cell r="M96">
            <v>49.123367127557273</v>
          </cell>
          <cell r="N96">
            <v>47.416988485878399</v>
          </cell>
          <cell r="O96">
            <v>29.03952964197563</v>
          </cell>
          <cell r="P96">
            <v>125.57988525541131</v>
          </cell>
          <cell r="Q96">
            <v>27.738819174171503</v>
          </cell>
          <cell r="R96">
            <v>25.974373660179303</v>
          </cell>
          <cell r="S96">
            <v>25.825763045414124</v>
          </cell>
          <cell r="T96">
            <v>79.538955879764941</v>
          </cell>
          <cell r="U96">
            <v>10.836149410745858</v>
          </cell>
          <cell r="V96">
            <v>21.672298821491715</v>
          </cell>
          <cell r="W96">
            <v>29.670509423028104</v>
          </cell>
          <cell r="X96">
            <v>45.007027288370956</v>
          </cell>
          <cell r="Y96">
            <v>70.60354515371381</v>
          </cell>
          <cell r="Z96">
            <v>152.89575806522529</v>
          </cell>
          <cell r="AA96">
            <v>202.01912519278255</v>
          </cell>
          <cell r="AB96">
            <v>249.43611367866094</v>
          </cell>
          <cell r="AC96">
            <v>278.47564332063655</v>
          </cell>
          <cell r="AD96">
            <v>306.21446249480806</v>
          </cell>
          <cell r="AE96">
            <v>332.18883615498737</v>
          </cell>
          <cell r="AF96">
            <v>358.01459920040151</v>
          </cell>
        </row>
        <row r="97">
          <cell r="D97">
            <v>0</v>
          </cell>
          <cell r="E97">
            <v>0.59840333177344007</v>
          </cell>
          <cell r="F97">
            <v>0.59840333177344007</v>
          </cell>
          <cell r="G97">
            <v>0.60131205786161435</v>
          </cell>
          <cell r="H97">
            <v>0.59918465624958772</v>
          </cell>
          <cell r="I97">
            <v>0.59901705513846193</v>
          </cell>
          <cell r="J97">
            <v>0.57387684242758541</v>
          </cell>
          <cell r="K97">
            <v>0.58917764068110212</v>
          </cell>
          <cell r="L97">
            <v>0.58712625536610952</v>
          </cell>
          <cell r="M97">
            <v>0.58876246807072785</v>
          </cell>
          <cell r="N97">
            <v>0.59335501790738843</v>
          </cell>
          <cell r="O97">
            <v>0.59221540905818648</v>
          </cell>
          <cell r="P97">
            <v>0.59128772026828125</v>
          </cell>
          <cell r="Q97">
            <v>0.59167246699090992</v>
          </cell>
          <cell r="R97">
            <v>0.59068920027088434</v>
          </cell>
          <cell r="S97">
            <v>0.59114995156133088</v>
          </cell>
          <cell r="T97">
            <v>0.59118143592293038</v>
          </cell>
          <cell r="U97">
            <v>0.59840333177344007</v>
          </cell>
          <cell r="V97">
            <v>0.59840333177344007</v>
          </cell>
          <cell r="W97">
            <v>0.59918465624958772</v>
          </cell>
          <cell r="X97">
            <v>0.59912753424748522</v>
          </cell>
          <cell r="Y97">
            <v>0.58972044752930719</v>
          </cell>
          <cell r="Z97">
            <v>0.5894281714622962</v>
          </cell>
          <cell r="AA97">
            <v>0.58926615923422876</v>
          </cell>
          <cell r="AB97">
            <v>0.59003909411154865</v>
          </cell>
          <cell r="AC97">
            <v>0.59026529361731339</v>
          </cell>
          <cell r="AD97">
            <v>0.59039248841323866</v>
          </cell>
          <cell r="AE97">
            <v>0.59041567804242656</v>
          </cell>
          <cell r="AF97">
            <v>0.59046858459080764</v>
          </cell>
        </row>
        <row r="98">
          <cell r="D98" t="str">
            <v>Overheads</v>
          </cell>
        </row>
        <row r="99">
          <cell r="D99" t="str">
            <v>Advertisement Exp.</v>
          </cell>
          <cell r="E99">
            <v>6</v>
          </cell>
          <cell r="F99">
            <v>1</v>
          </cell>
          <cell r="G99">
            <v>5</v>
          </cell>
          <cell r="H99">
            <v>12</v>
          </cell>
          <cell r="I99">
            <v>126</v>
          </cell>
          <cell r="J99">
            <v>71</v>
          </cell>
          <cell r="K99">
            <v>25</v>
          </cell>
          <cell r="L99">
            <v>222</v>
          </cell>
          <cell r="M99">
            <v>106</v>
          </cell>
          <cell r="N99">
            <v>51</v>
          </cell>
          <cell r="O99">
            <v>6</v>
          </cell>
          <cell r="P99">
            <v>163</v>
          </cell>
          <cell r="Q99">
            <v>3</v>
          </cell>
          <cell r="R99">
            <v>0</v>
          </cell>
          <cell r="S99">
            <v>0</v>
          </cell>
          <cell r="T99">
            <v>3</v>
          </cell>
          <cell r="U99">
            <v>6</v>
          </cell>
          <cell r="V99">
            <v>7</v>
          </cell>
          <cell r="W99">
            <v>12</v>
          </cell>
          <cell r="X99">
            <v>138</v>
          </cell>
          <cell r="Y99">
            <v>209</v>
          </cell>
          <cell r="Z99">
            <v>234</v>
          </cell>
          <cell r="AA99">
            <v>340</v>
          </cell>
          <cell r="AB99">
            <v>391</v>
          </cell>
          <cell r="AC99">
            <v>397</v>
          </cell>
          <cell r="AD99">
            <v>400</v>
          </cell>
          <cell r="AE99">
            <v>400</v>
          </cell>
          <cell r="AF99">
            <v>400</v>
          </cell>
        </row>
        <row r="100">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D101" t="str">
            <v>Total Overheads (a+b)</v>
          </cell>
          <cell r="E101">
            <v>6</v>
          </cell>
          <cell r="F101">
            <v>1</v>
          </cell>
          <cell r="G101">
            <v>5</v>
          </cell>
          <cell r="H101">
            <v>12</v>
          </cell>
          <cell r="I101">
            <v>126</v>
          </cell>
          <cell r="J101">
            <v>71</v>
          </cell>
          <cell r="K101">
            <v>25</v>
          </cell>
          <cell r="L101">
            <v>222</v>
          </cell>
          <cell r="M101">
            <v>106</v>
          </cell>
          <cell r="N101">
            <v>51</v>
          </cell>
          <cell r="O101">
            <v>6</v>
          </cell>
          <cell r="P101">
            <v>163</v>
          </cell>
          <cell r="Q101">
            <v>3</v>
          </cell>
          <cell r="R101">
            <v>0</v>
          </cell>
          <cell r="S101">
            <v>0</v>
          </cell>
          <cell r="T101">
            <v>3</v>
          </cell>
          <cell r="U101">
            <v>6</v>
          </cell>
          <cell r="V101">
            <v>7</v>
          </cell>
          <cell r="W101">
            <v>12</v>
          </cell>
          <cell r="X101">
            <v>138</v>
          </cell>
          <cell r="Y101">
            <v>209</v>
          </cell>
          <cell r="Z101">
            <v>234</v>
          </cell>
          <cell r="AA101">
            <v>340</v>
          </cell>
          <cell r="AB101">
            <v>391</v>
          </cell>
          <cell r="AC101">
            <v>397</v>
          </cell>
          <cell r="AD101">
            <v>400</v>
          </cell>
          <cell r="AE101">
            <v>400</v>
          </cell>
          <cell r="AF101">
            <v>400</v>
          </cell>
        </row>
        <row r="102">
          <cell r="D102" t="str">
            <v>OPERATING PROFIT (LOSS)</v>
          </cell>
          <cell r="E102">
            <v>4.8361494107458576</v>
          </cell>
          <cell r="F102">
            <v>9.8361494107458576</v>
          </cell>
          <cell r="G102">
            <v>2.9982106015363881</v>
          </cell>
          <cell r="H102">
            <v>17.670509423028104</v>
          </cell>
          <cell r="I102">
            <v>-110.66348213465714</v>
          </cell>
          <cell r="J102">
            <v>-45.403482134657146</v>
          </cell>
          <cell r="K102">
            <v>57.292212911511484</v>
          </cell>
          <cell r="L102">
            <v>-98.774751357802828</v>
          </cell>
          <cell r="M102">
            <v>-56.876632872442727</v>
          </cell>
          <cell r="N102">
            <v>-3.5830115141216012</v>
          </cell>
          <cell r="O102">
            <v>23.03952964197563</v>
          </cell>
          <cell r="P102">
            <v>-37.420114744588687</v>
          </cell>
          <cell r="Q102">
            <v>24.738819174171503</v>
          </cell>
          <cell r="R102">
            <v>25.974373660179303</v>
          </cell>
          <cell r="S102">
            <v>25.825763045414124</v>
          </cell>
          <cell r="T102">
            <v>76.538955879764941</v>
          </cell>
          <cell r="U102">
            <v>4.8361494107458576</v>
          </cell>
          <cell r="V102">
            <v>14.672298821491715</v>
          </cell>
          <cell r="W102">
            <v>17.670509423028104</v>
          </cell>
          <cell r="X102">
            <v>-92.992972711629037</v>
          </cell>
          <cell r="Y102">
            <v>-138.39645484628619</v>
          </cell>
          <cell r="Z102">
            <v>-81.104241934774706</v>
          </cell>
          <cell r="AA102">
            <v>-137.98087480721745</v>
          </cell>
          <cell r="AB102">
            <v>-141.56388632133906</v>
          </cell>
          <cell r="AC102">
            <v>-118.52435667936342</v>
          </cell>
          <cell r="AD102">
            <v>-93.785537505191911</v>
          </cell>
          <cell r="AE102">
            <v>-67.811163845012601</v>
          </cell>
          <cell r="AF102">
            <v>-41.98540079959848</v>
          </cell>
        </row>
        <row r="105">
          <cell r="D105">
            <v>4</v>
          </cell>
          <cell r="E105">
            <v>5</v>
          </cell>
          <cell r="F105">
            <v>6</v>
          </cell>
          <cell r="G105">
            <v>7</v>
          </cell>
          <cell r="H105">
            <v>8</v>
          </cell>
          <cell r="I105">
            <v>9</v>
          </cell>
          <cell r="J105">
            <v>10</v>
          </cell>
          <cell r="K105">
            <v>11</v>
          </cell>
          <cell r="L105">
            <v>12</v>
          </cell>
          <cell r="M105">
            <v>13</v>
          </cell>
          <cell r="N105">
            <v>14</v>
          </cell>
          <cell r="O105">
            <v>15</v>
          </cell>
          <cell r="P105">
            <v>16</v>
          </cell>
          <cell r="Q105">
            <v>17</v>
          </cell>
          <cell r="R105">
            <v>18</v>
          </cell>
          <cell r="S105">
            <v>19</v>
          </cell>
          <cell r="T105">
            <v>20</v>
          </cell>
          <cell r="U105">
            <v>21</v>
          </cell>
          <cell r="V105">
            <v>22</v>
          </cell>
          <cell r="W105">
            <v>23</v>
          </cell>
          <cell r="X105">
            <v>24</v>
          </cell>
          <cell r="Y105">
            <v>25</v>
          </cell>
          <cell r="Z105">
            <v>26</v>
          </cell>
          <cell r="AA105">
            <v>27</v>
          </cell>
          <cell r="AB105">
            <v>28</v>
          </cell>
          <cell r="AC105">
            <v>29</v>
          </cell>
          <cell r="AD105">
            <v>30</v>
          </cell>
          <cell r="AE105">
            <v>31</v>
          </cell>
          <cell r="AF105">
            <v>32</v>
          </cell>
        </row>
        <row r="106">
          <cell r="E106" t="str">
            <v>Budget</v>
          </cell>
          <cell r="F106" t="str">
            <v>Budget</v>
          </cell>
          <cell r="G106" t="str">
            <v>Budget</v>
          </cell>
          <cell r="H106" t="str">
            <v>Budget</v>
          </cell>
          <cell r="I106" t="str">
            <v>Budget</v>
          </cell>
          <cell r="J106" t="str">
            <v>Budget</v>
          </cell>
          <cell r="K106" t="str">
            <v>Budget</v>
          </cell>
          <cell r="L106" t="str">
            <v>Budget</v>
          </cell>
          <cell r="M106" t="str">
            <v>Budget</v>
          </cell>
          <cell r="N106" t="str">
            <v>Budget</v>
          </cell>
          <cell r="O106" t="str">
            <v>Budget</v>
          </cell>
          <cell r="P106" t="str">
            <v>Budget</v>
          </cell>
          <cell r="Q106" t="str">
            <v>Budget</v>
          </cell>
          <cell r="R106" t="str">
            <v>Budget</v>
          </cell>
          <cell r="S106" t="str">
            <v>Budget</v>
          </cell>
          <cell r="T106" t="str">
            <v>Budget</v>
          </cell>
          <cell r="U106" t="str">
            <v>Cumu Bud</v>
          </cell>
          <cell r="V106" t="str">
            <v>Cumu Bud</v>
          </cell>
          <cell r="W106" t="str">
            <v>Cumu Bud</v>
          </cell>
          <cell r="X106" t="str">
            <v>Cumu Bud</v>
          </cell>
          <cell r="Y106" t="str">
            <v>Cumu Bud</v>
          </cell>
          <cell r="Z106" t="str">
            <v>Cumu Bud</v>
          </cell>
          <cell r="AA106" t="str">
            <v>Cumu Bud</v>
          </cell>
          <cell r="AB106" t="str">
            <v>Cumu Bud</v>
          </cell>
          <cell r="AC106" t="str">
            <v>Cumu Bud</v>
          </cell>
          <cell r="AD106" t="str">
            <v>Cumu Bud</v>
          </cell>
          <cell r="AE106" t="str">
            <v>Cumu Bud</v>
          </cell>
          <cell r="AF106" t="str">
            <v>Cumu Bud</v>
          </cell>
        </row>
        <row r="107">
          <cell r="D107" t="str">
            <v>Particulars</v>
          </cell>
          <cell r="E107">
            <v>41651</v>
          </cell>
          <cell r="F107">
            <v>41682</v>
          </cell>
          <cell r="G107">
            <v>41710</v>
          </cell>
          <cell r="H107" t="str">
            <v>Q-1</v>
          </cell>
          <cell r="I107">
            <v>41741</v>
          </cell>
          <cell r="J107">
            <v>41771</v>
          </cell>
          <cell r="K107">
            <v>41802</v>
          </cell>
          <cell r="L107" t="str">
            <v>Q-2</v>
          </cell>
          <cell r="M107">
            <v>41832</v>
          </cell>
          <cell r="N107">
            <v>41863</v>
          </cell>
          <cell r="O107">
            <v>41894</v>
          </cell>
          <cell r="P107" t="str">
            <v>Q-3</v>
          </cell>
          <cell r="Q107">
            <v>41924</v>
          </cell>
          <cell r="R107">
            <v>41955</v>
          </cell>
          <cell r="S107">
            <v>41985</v>
          </cell>
          <cell r="T107" t="str">
            <v>Q-4</v>
          </cell>
          <cell r="U107">
            <v>41651</v>
          </cell>
          <cell r="V107">
            <v>41682</v>
          </cell>
          <cell r="W107">
            <v>41710</v>
          </cell>
          <cell r="X107">
            <v>41741</v>
          </cell>
          <cell r="Y107">
            <v>41771</v>
          </cell>
          <cell r="Z107">
            <v>41802</v>
          </cell>
          <cell r="AA107">
            <v>41832</v>
          </cell>
          <cell r="AB107">
            <v>41863</v>
          </cell>
          <cell r="AC107">
            <v>41894</v>
          </cell>
          <cell r="AD107">
            <v>41924</v>
          </cell>
          <cell r="AE107">
            <v>41955</v>
          </cell>
          <cell r="AF107">
            <v>41985</v>
          </cell>
        </row>
        <row r="109">
          <cell r="D109" t="str">
            <v>Sales</v>
          </cell>
          <cell r="E109">
            <v>31.052787143336008</v>
          </cell>
          <cell r="F109">
            <v>28.669349533650131</v>
          </cell>
          <cell r="G109">
            <v>21.723331356851286</v>
          </cell>
          <cell r="H109">
            <v>81.445468033837429</v>
          </cell>
          <cell r="I109">
            <v>32.142358622049557</v>
          </cell>
          <cell r="J109">
            <v>32.142358622049557</v>
          </cell>
          <cell r="K109">
            <v>32.993586339794504</v>
          </cell>
          <cell r="L109">
            <v>97.278303583893617</v>
          </cell>
          <cell r="M109">
            <v>40.484390255950125</v>
          </cell>
          <cell r="N109">
            <v>54.580721261806602</v>
          </cell>
          <cell r="O109">
            <v>33.436224753021889</v>
          </cell>
          <cell r="P109">
            <v>128.50133627077861</v>
          </cell>
          <cell r="Q109">
            <v>45.948659319915969</v>
          </cell>
          <cell r="R109">
            <v>44.842676170804303</v>
          </cell>
          <cell r="S109">
            <v>25.162291336540907</v>
          </cell>
          <cell r="T109">
            <v>115.95362682726117</v>
          </cell>
          <cell r="U109">
            <v>31.052787143336008</v>
          </cell>
          <cell r="V109">
            <v>59.722136676986139</v>
          </cell>
          <cell r="W109">
            <v>81.445468033837429</v>
          </cell>
          <cell r="X109">
            <v>113.58782665588699</v>
          </cell>
          <cell r="Y109">
            <v>145.73018527793653</v>
          </cell>
          <cell r="Z109">
            <v>178.72377161773102</v>
          </cell>
          <cell r="AA109">
            <v>219.20816187368115</v>
          </cell>
          <cell r="AB109">
            <v>273.78888313548777</v>
          </cell>
          <cell r="AC109">
            <v>307.22510788850968</v>
          </cell>
          <cell r="AD109">
            <v>353.17376720842566</v>
          </cell>
          <cell r="AE109">
            <v>398.01644337922994</v>
          </cell>
          <cell r="AF109">
            <v>423.17873471577087</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D111" t="str">
            <v>Cost of Goods Sold</v>
          </cell>
          <cell r="E111">
            <v>15.667337</v>
          </cell>
          <cell r="F111">
            <v>14.462836500000002</v>
          </cell>
          <cell r="G111">
            <v>10.957229500000002</v>
          </cell>
          <cell r="H111">
            <v>41.087403000000002</v>
          </cell>
          <cell r="I111">
            <v>16.21564</v>
          </cell>
          <cell r="J111">
            <v>16.21564</v>
          </cell>
          <cell r="K111">
            <v>15.813141750000003</v>
          </cell>
          <cell r="L111">
            <v>48.244421750000001</v>
          </cell>
          <cell r="M111">
            <v>19.859693</v>
          </cell>
          <cell r="N111">
            <v>25.642249500000002</v>
          </cell>
          <cell r="O111">
            <v>17.276112000000001</v>
          </cell>
          <cell r="P111">
            <v>62.778054499999996</v>
          </cell>
          <cell r="Q111">
            <v>22.422799115499998</v>
          </cell>
          <cell r="R111">
            <v>21.709885750000002</v>
          </cell>
          <cell r="S111">
            <v>12.70561775</v>
          </cell>
          <cell r="T111">
            <v>56.838302615499998</v>
          </cell>
          <cell r="U111">
            <v>15.667337</v>
          </cell>
          <cell r="V111">
            <v>30.130173500000001</v>
          </cell>
          <cell r="W111">
            <v>41.087403000000002</v>
          </cell>
          <cell r="X111">
            <v>57.303043000000002</v>
          </cell>
          <cell r="Y111">
            <v>73.51868300000001</v>
          </cell>
          <cell r="Z111">
            <v>89.33182475000001</v>
          </cell>
          <cell r="AA111">
            <v>109.19151775</v>
          </cell>
          <cell r="AB111">
            <v>134.83376724999999</v>
          </cell>
          <cell r="AC111">
            <v>152.10987925000001</v>
          </cell>
          <cell r="AD111">
            <v>174.5326783655</v>
          </cell>
          <cell r="AE111">
            <v>196.24256411550002</v>
          </cell>
          <cell r="AF111">
            <v>208.9481818655</v>
          </cell>
        </row>
        <row r="112">
          <cell r="D112" t="str">
            <v>ED Savings</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D113" t="str">
            <v>PRISM II &amp; PSM Savings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row>
        <row r="115">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row>
        <row r="116">
          <cell r="D116" t="str">
            <v>Contribution</v>
          </cell>
          <cell r="E116">
            <v>15.385450143336008</v>
          </cell>
          <cell r="F116">
            <v>14.206513033650129</v>
          </cell>
          <cell r="G116">
            <v>10.766101856851284</v>
          </cell>
          <cell r="H116">
            <v>40.358065033837427</v>
          </cell>
          <cell r="I116">
            <v>15.926718622049556</v>
          </cell>
          <cell r="J116">
            <v>15.926718622049556</v>
          </cell>
          <cell r="K116">
            <v>17.180444589794501</v>
          </cell>
          <cell r="L116">
            <v>49.033881833893616</v>
          </cell>
          <cell r="M116">
            <v>20.624697255950124</v>
          </cell>
          <cell r="N116">
            <v>28.9384717618066</v>
          </cell>
          <cell r="O116">
            <v>16.160112753021888</v>
          </cell>
          <cell r="P116">
            <v>65.723281770778613</v>
          </cell>
          <cell r="Q116">
            <v>23.52586020441597</v>
          </cell>
          <cell r="R116">
            <v>23.132790420804302</v>
          </cell>
          <cell r="S116">
            <v>12.456673586540907</v>
          </cell>
          <cell r="T116">
            <v>59.115324211761177</v>
          </cell>
          <cell r="U116">
            <v>15.385450143336008</v>
          </cell>
          <cell r="V116">
            <v>29.591963176986138</v>
          </cell>
          <cell r="W116">
            <v>40.35806503383742</v>
          </cell>
          <cell r="X116">
            <v>56.284783655886976</v>
          </cell>
          <cell r="Y116">
            <v>72.211502277936532</v>
          </cell>
          <cell r="Z116">
            <v>89.391946867731036</v>
          </cell>
          <cell r="AA116">
            <v>110.01664412368116</v>
          </cell>
          <cell r="AB116">
            <v>138.95511588548777</v>
          </cell>
          <cell r="AC116">
            <v>155.11522863850965</v>
          </cell>
          <cell r="AD116">
            <v>178.64108884292563</v>
          </cell>
          <cell r="AE116">
            <v>201.77387926372992</v>
          </cell>
          <cell r="AF116">
            <v>214.23055285027084</v>
          </cell>
        </row>
        <row r="117">
          <cell r="D117">
            <v>0</v>
          </cell>
          <cell r="E117">
            <v>0.49546116657157319</v>
          </cell>
          <cell r="F117">
            <v>0.49552966023786105</v>
          </cell>
          <cell r="G117">
            <v>0.49560086710438089</v>
          </cell>
          <cell r="H117">
            <v>0.49552253806277125</v>
          </cell>
          <cell r="I117">
            <v>0.49550559774800962</v>
          </cell>
          <cell r="J117">
            <v>0.49550559774800962</v>
          </cell>
          <cell r="K117">
            <v>0.5207207368382587</v>
          </cell>
          <cell r="L117">
            <v>0.50405773977756907</v>
          </cell>
          <cell r="M117">
            <v>0.50944813854319682</v>
          </cell>
          <cell r="N117">
            <v>0.53019584741282233</v>
          </cell>
          <cell r="O117">
            <v>0.48331152432397062</v>
          </cell>
          <cell r="P117">
            <v>0.51145990911943673</v>
          </cell>
          <cell r="Q117">
            <v>0.51200319122736471</v>
          </cell>
          <cell r="R117">
            <v>0.51586551910265688</v>
          </cell>
          <cell r="S117">
            <v>0.49505322945097663</v>
          </cell>
          <cell r="T117">
            <v>0.50981867345837018</v>
          </cell>
          <cell r="U117">
            <v>0.49546116657157319</v>
          </cell>
          <cell r="V117">
            <v>0.49549404665538982</v>
          </cell>
          <cell r="W117">
            <v>0.49552253806277119</v>
          </cell>
          <cell r="X117">
            <v>0.49551774440056046</v>
          </cell>
          <cell r="Y117">
            <v>0.49551506532579231</v>
          </cell>
          <cell r="Z117">
            <v>0.50016819843601901</v>
          </cell>
          <cell r="AA117">
            <v>0.5018820612486059</v>
          </cell>
          <cell r="AB117">
            <v>0.50752650835981583</v>
          </cell>
          <cell r="AC117">
            <v>0.50489111942895015</v>
          </cell>
          <cell r="AD117">
            <v>0.50581641511754893</v>
          </cell>
          <cell r="AE117">
            <v>0.50694860129554953</v>
          </cell>
          <cell r="AF117">
            <v>0.50624130013092306</v>
          </cell>
        </row>
        <row r="118">
          <cell r="D118" t="str">
            <v>Overheads</v>
          </cell>
        </row>
        <row r="119">
          <cell r="D119" t="str">
            <v>Advertisement Exp.</v>
          </cell>
          <cell r="E119">
            <v>5</v>
          </cell>
          <cell r="F119">
            <v>5</v>
          </cell>
          <cell r="G119">
            <v>5</v>
          </cell>
          <cell r="H119">
            <v>15</v>
          </cell>
          <cell r="I119">
            <v>8.8888888888888893</v>
          </cell>
          <cell r="J119">
            <v>8.8888888888888893</v>
          </cell>
          <cell r="K119">
            <v>8.8888888888888893</v>
          </cell>
          <cell r="L119">
            <v>26.666666666666668</v>
          </cell>
          <cell r="M119">
            <v>8.8888888888888893</v>
          </cell>
          <cell r="N119">
            <v>8.8888888888888893</v>
          </cell>
          <cell r="O119">
            <v>8.8888888888888893</v>
          </cell>
          <cell r="P119">
            <v>26.666666666666668</v>
          </cell>
          <cell r="Q119">
            <v>8.8888888888888893</v>
          </cell>
          <cell r="R119">
            <v>8.8888888888888893</v>
          </cell>
          <cell r="S119">
            <v>8.8888888888888893</v>
          </cell>
          <cell r="T119">
            <v>26.666666666666668</v>
          </cell>
          <cell r="U119">
            <v>5</v>
          </cell>
          <cell r="V119">
            <v>10</v>
          </cell>
          <cell r="W119">
            <v>15</v>
          </cell>
          <cell r="X119">
            <v>23.888888888888889</v>
          </cell>
          <cell r="Y119">
            <v>32.777777777777779</v>
          </cell>
          <cell r="Z119">
            <v>41.666666666666671</v>
          </cell>
          <cell r="AA119">
            <v>50.555555555555557</v>
          </cell>
          <cell r="AB119">
            <v>59.444444444444443</v>
          </cell>
          <cell r="AC119">
            <v>68.333333333333329</v>
          </cell>
          <cell r="AD119">
            <v>77.222222222222214</v>
          </cell>
          <cell r="AE119">
            <v>86.1111111111111</v>
          </cell>
          <cell r="AF119">
            <v>94.999999999999986</v>
          </cell>
        </row>
        <row r="120">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D121" t="str">
            <v>Total Overheads (a+b)</v>
          </cell>
          <cell r="E121">
            <v>5</v>
          </cell>
          <cell r="F121">
            <v>5</v>
          </cell>
          <cell r="G121">
            <v>5</v>
          </cell>
          <cell r="H121">
            <v>15</v>
          </cell>
          <cell r="I121">
            <v>8.8888888888888893</v>
          </cell>
          <cell r="J121">
            <v>8.8888888888888893</v>
          </cell>
          <cell r="K121">
            <v>8.8888888888888893</v>
          </cell>
          <cell r="L121">
            <v>26.666666666666668</v>
          </cell>
          <cell r="M121">
            <v>8.8888888888888893</v>
          </cell>
          <cell r="N121">
            <v>8.8888888888888893</v>
          </cell>
          <cell r="O121">
            <v>8.8888888888888893</v>
          </cell>
          <cell r="P121">
            <v>26.666666666666668</v>
          </cell>
          <cell r="Q121">
            <v>8.8888888888888893</v>
          </cell>
          <cell r="R121">
            <v>8.8888888888888893</v>
          </cell>
          <cell r="S121">
            <v>8.8888888888888893</v>
          </cell>
          <cell r="T121">
            <v>26.666666666666668</v>
          </cell>
          <cell r="U121">
            <v>5</v>
          </cell>
          <cell r="V121">
            <v>10</v>
          </cell>
          <cell r="W121">
            <v>15</v>
          </cell>
          <cell r="X121">
            <v>23.888888888888889</v>
          </cell>
          <cell r="Y121">
            <v>32.777777777777779</v>
          </cell>
          <cell r="Z121">
            <v>41.666666666666671</v>
          </cell>
          <cell r="AA121">
            <v>50.555555555555557</v>
          </cell>
          <cell r="AB121">
            <v>59.444444444444443</v>
          </cell>
          <cell r="AC121">
            <v>68.333333333333329</v>
          </cell>
          <cell r="AD121">
            <v>77.222222222222214</v>
          </cell>
          <cell r="AE121">
            <v>86.1111111111111</v>
          </cell>
          <cell r="AF121">
            <v>94.999999999999986</v>
          </cell>
        </row>
        <row r="122">
          <cell r="D122" t="str">
            <v>OPERATING PROFIT (LOSS)</v>
          </cell>
          <cell r="E122">
            <v>10.385450143336008</v>
          </cell>
          <cell r="F122">
            <v>9.2065130336501291</v>
          </cell>
          <cell r="G122">
            <v>5.7661018568512841</v>
          </cell>
          <cell r="H122">
            <v>25.358065033837427</v>
          </cell>
          <cell r="I122">
            <v>7.0378297331606667</v>
          </cell>
          <cell r="J122">
            <v>7.0378297331606667</v>
          </cell>
          <cell r="K122">
            <v>8.2915557009056116</v>
          </cell>
          <cell r="L122">
            <v>22.367215167226949</v>
          </cell>
          <cell r="M122">
            <v>11.735808367061235</v>
          </cell>
          <cell r="N122">
            <v>20.049582872917711</v>
          </cell>
          <cell r="O122">
            <v>7.2712238641329989</v>
          </cell>
          <cell r="P122">
            <v>39.056615104111941</v>
          </cell>
          <cell r="Q122">
            <v>14.636971315527081</v>
          </cell>
          <cell r="R122">
            <v>14.243901531915412</v>
          </cell>
          <cell r="S122">
            <v>3.5677846976520176</v>
          </cell>
          <cell r="T122">
            <v>32.448657545094505</v>
          </cell>
          <cell r="U122">
            <v>10.385450143336008</v>
          </cell>
          <cell r="V122">
            <v>19.591963176986138</v>
          </cell>
          <cell r="W122">
            <v>25.35806503383742</v>
          </cell>
          <cell r="X122">
            <v>32.395894766998083</v>
          </cell>
          <cell r="Y122">
            <v>39.433724500158746</v>
          </cell>
          <cell r="Z122">
            <v>47.725280201064358</v>
          </cell>
          <cell r="AA122">
            <v>59.461088568125589</v>
          </cell>
          <cell r="AB122">
            <v>79.5106714410433</v>
          </cell>
          <cell r="AC122">
            <v>86.781895305176306</v>
          </cell>
          <cell r="AD122">
            <v>101.41886662070338</v>
          </cell>
          <cell r="AE122">
            <v>115.6627681526188</v>
          </cell>
          <cell r="AF122">
            <v>119.23055285027081</v>
          </cell>
        </row>
        <row r="125">
          <cell r="D125">
            <v>4</v>
          </cell>
          <cell r="E125">
            <v>5</v>
          </cell>
          <cell r="F125">
            <v>6</v>
          </cell>
          <cell r="G125">
            <v>7</v>
          </cell>
          <cell r="H125">
            <v>8</v>
          </cell>
          <cell r="I125">
            <v>9</v>
          </cell>
          <cell r="J125">
            <v>10</v>
          </cell>
          <cell r="K125">
            <v>11</v>
          </cell>
          <cell r="L125">
            <v>12</v>
          </cell>
          <cell r="M125">
            <v>13</v>
          </cell>
          <cell r="N125">
            <v>14</v>
          </cell>
          <cell r="O125">
            <v>15</v>
          </cell>
          <cell r="P125">
            <v>16</v>
          </cell>
          <cell r="Q125">
            <v>17</v>
          </cell>
          <cell r="R125">
            <v>18</v>
          </cell>
          <cell r="S125">
            <v>19</v>
          </cell>
          <cell r="T125">
            <v>20</v>
          </cell>
          <cell r="U125">
            <v>21</v>
          </cell>
          <cell r="V125">
            <v>22</v>
          </cell>
          <cell r="W125">
            <v>23</v>
          </cell>
          <cell r="X125">
            <v>24</v>
          </cell>
          <cell r="Y125">
            <v>25</v>
          </cell>
          <cell r="Z125">
            <v>26</v>
          </cell>
          <cell r="AA125">
            <v>27</v>
          </cell>
          <cell r="AB125">
            <v>28</v>
          </cell>
          <cell r="AC125">
            <v>29</v>
          </cell>
          <cell r="AD125">
            <v>30</v>
          </cell>
          <cell r="AE125">
            <v>31</v>
          </cell>
          <cell r="AF125">
            <v>32</v>
          </cell>
        </row>
        <row r="126">
          <cell r="E126" t="str">
            <v>Budget</v>
          </cell>
          <cell r="F126" t="str">
            <v>Budget</v>
          </cell>
          <cell r="G126" t="str">
            <v>Budget</v>
          </cell>
          <cell r="H126" t="str">
            <v>Budget</v>
          </cell>
          <cell r="I126" t="str">
            <v>Budget</v>
          </cell>
          <cell r="J126" t="str">
            <v>Budget</v>
          </cell>
          <cell r="K126" t="str">
            <v>Budget</v>
          </cell>
          <cell r="L126" t="str">
            <v>Budget</v>
          </cell>
          <cell r="M126" t="str">
            <v>Budget</v>
          </cell>
          <cell r="N126" t="str">
            <v>Budget</v>
          </cell>
          <cell r="O126" t="str">
            <v>Budget</v>
          </cell>
          <cell r="P126" t="str">
            <v>Budget</v>
          </cell>
          <cell r="Q126" t="str">
            <v>Budget</v>
          </cell>
          <cell r="R126" t="str">
            <v>Budget</v>
          </cell>
          <cell r="S126" t="str">
            <v>Budget</v>
          </cell>
          <cell r="T126" t="str">
            <v>Budget</v>
          </cell>
          <cell r="U126" t="str">
            <v>Cumu Bud</v>
          </cell>
          <cell r="V126" t="str">
            <v>Cumu Bud</v>
          </cell>
          <cell r="W126" t="str">
            <v>Cumu Bud</v>
          </cell>
          <cell r="X126" t="str">
            <v>Cumu Bud</v>
          </cell>
          <cell r="Y126" t="str">
            <v>Cumu Bud</v>
          </cell>
          <cell r="Z126" t="str">
            <v>Cumu Bud</v>
          </cell>
          <cell r="AA126" t="str">
            <v>Cumu Bud</v>
          </cell>
          <cell r="AB126" t="str">
            <v>Cumu Bud</v>
          </cell>
          <cell r="AC126" t="str">
            <v>Cumu Bud</v>
          </cell>
          <cell r="AD126" t="str">
            <v>Cumu Bud</v>
          </cell>
          <cell r="AE126" t="str">
            <v>Cumu Bud</v>
          </cell>
          <cell r="AF126" t="str">
            <v>Cumu Bud</v>
          </cell>
        </row>
        <row r="127">
          <cell r="D127" t="str">
            <v>Particulars</v>
          </cell>
          <cell r="E127">
            <v>41651</v>
          </cell>
          <cell r="F127">
            <v>41682</v>
          </cell>
          <cell r="G127">
            <v>41710</v>
          </cell>
          <cell r="H127" t="str">
            <v>Q-1</v>
          </cell>
          <cell r="I127">
            <v>41741</v>
          </cell>
          <cell r="J127">
            <v>41771</v>
          </cell>
          <cell r="K127">
            <v>41802</v>
          </cell>
          <cell r="L127" t="str">
            <v>Q-2</v>
          </cell>
          <cell r="M127">
            <v>41832</v>
          </cell>
          <cell r="N127">
            <v>41863</v>
          </cell>
          <cell r="O127">
            <v>41894</v>
          </cell>
          <cell r="P127" t="str">
            <v>Q-3</v>
          </cell>
          <cell r="Q127">
            <v>41924</v>
          </cell>
          <cell r="R127">
            <v>41955</v>
          </cell>
          <cell r="S127">
            <v>41985</v>
          </cell>
          <cell r="T127" t="str">
            <v>Q-4</v>
          </cell>
          <cell r="U127">
            <v>41651</v>
          </cell>
          <cell r="V127">
            <v>41682</v>
          </cell>
          <cell r="W127">
            <v>41710</v>
          </cell>
          <cell r="X127">
            <v>41741</v>
          </cell>
          <cell r="Y127">
            <v>41771</v>
          </cell>
          <cell r="Z127">
            <v>41802</v>
          </cell>
          <cell r="AA127">
            <v>41832</v>
          </cell>
          <cell r="AB127">
            <v>41863</v>
          </cell>
          <cell r="AC127">
            <v>41894</v>
          </cell>
          <cell r="AD127">
            <v>41924</v>
          </cell>
          <cell r="AE127">
            <v>41955</v>
          </cell>
          <cell r="AF127">
            <v>41985</v>
          </cell>
        </row>
        <row r="129">
          <cell r="D129" t="str">
            <v>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D131" t="str">
            <v>Cost of Goods Sold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D132" t="str">
            <v>ED Savings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D133" t="str">
            <v>PRISM II &amp; PSM Savings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row>
        <row r="136">
          <cell r="D136" t="str">
            <v>Contribution</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D137">
            <v>0</v>
          </cell>
          <cell r="E137" t="e">
            <v>#DIV/0!</v>
          </cell>
          <cell r="F137" t="e">
            <v>#DIV/0!</v>
          </cell>
          <cell r="G137" t="e">
            <v>#DIV/0!</v>
          </cell>
          <cell r="H137" t="e">
            <v>#DIV/0!</v>
          </cell>
          <cell r="I137" t="e">
            <v>#DIV/0!</v>
          </cell>
          <cell r="J137" t="e">
            <v>#DIV/0!</v>
          </cell>
          <cell r="K137" t="e">
            <v>#DIV/0!</v>
          </cell>
          <cell r="L137" t="e">
            <v>#DIV/0!</v>
          </cell>
          <cell r="M137" t="e">
            <v>#DIV/0!</v>
          </cell>
          <cell r="N137" t="e">
            <v>#DIV/0!</v>
          </cell>
          <cell r="O137" t="e">
            <v>#DIV/0!</v>
          </cell>
          <cell r="P137" t="e">
            <v>#DIV/0!</v>
          </cell>
          <cell r="Q137" t="e">
            <v>#DIV/0!</v>
          </cell>
          <cell r="R137" t="e">
            <v>#DIV/0!</v>
          </cell>
          <cell r="S137" t="e">
            <v>#DIV/0!</v>
          </cell>
          <cell r="T137" t="e">
            <v>#DIV/0!</v>
          </cell>
          <cell r="U137" t="e">
            <v>#DIV/0!</v>
          </cell>
          <cell r="V137" t="e">
            <v>#DIV/0!</v>
          </cell>
          <cell r="W137" t="e">
            <v>#DIV/0!</v>
          </cell>
          <cell r="X137" t="e">
            <v>#DIV/0!</v>
          </cell>
          <cell r="Y137" t="e">
            <v>#DIV/0!</v>
          </cell>
          <cell r="Z137" t="e">
            <v>#DIV/0!</v>
          </cell>
          <cell r="AA137" t="e">
            <v>#DIV/0!</v>
          </cell>
          <cell r="AB137" t="e">
            <v>#DIV/0!</v>
          </cell>
          <cell r="AC137" t="e">
            <v>#DIV/0!</v>
          </cell>
          <cell r="AD137" t="e">
            <v>#DIV/0!</v>
          </cell>
          <cell r="AE137" t="e">
            <v>#DIV/0!</v>
          </cell>
          <cell r="AF137" t="e">
            <v>#DIV/0!</v>
          </cell>
        </row>
        <row r="138">
          <cell r="D138" t="str">
            <v>Overheads</v>
          </cell>
        </row>
        <row r="139">
          <cell r="D139" t="str">
            <v>Advertisement Exp.</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D141" t="str">
            <v>Total Overheads (a+b)</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D142" t="str">
            <v>OPERATING PROFIT (LOSS)</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68">
          <cell r="D168">
            <v>4</v>
          </cell>
          <cell r="E168">
            <v>5</v>
          </cell>
          <cell r="F168">
            <v>6</v>
          </cell>
          <cell r="G168">
            <v>7</v>
          </cell>
          <cell r="H168">
            <v>8</v>
          </cell>
          <cell r="I168">
            <v>9</v>
          </cell>
          <cell r="J168">
            <v>10</v>
          </cell>
          <cell r="K168">
            <v>11</v>
          </cell>
          <cell r="L168">
            <v>12</v>
          </cell>
          <cell r="M168">
            <v>13</v>
          </cell>
          <cell r="N168">
            <v>14</v>
          </cell>
          <cell r="O168">
            <v>15</v>
          </cell>
          <cell r="P168">
            <v>16</v>
          </cell>
          <cell r="Q168">
            <v>17</v>
          </cell>
          <cell r="R168">
            <v>18</v>
          </cell>
          <cell r="S168">
            <v>19</v>
          </cell>
          <cell r="T168">
            <v>20</v>
          </cell>
          <cell r="U168">
            <v>21</v>
          </cell>
          <cell r="V168">
            <v>22</v>
          </cell>
          <cell r="W168">
            <v>23</v>
          </cell>
          <cell r="X168">
            <v>24</v>
          </cell>
          <cell r="Y168">
            <v>25</v>
          </cell>
          <cell r="Z168">
            <v>26</v>
          </cell>
          <cell r="AA168">
            <v>27</v>
          </cell>
          <cell r="AB168">
            <v>28</v>
          </cell>
          <cell r="AC168">
            <v>29</v>
          </cell>
          <cell r="AD168">
            <v>30</v>
          </cell>
          <cell r="AE168">
            <v>31</v>
          </cell>
          <cell r="AF168">
            <v>32</v>
          </cell>
        </row>
        <row r="169">
          <cell r="E169" t="str">
            <v>Actual</v>
          </cell>
          <cell r="F169" t="str">
            <v>Actual</v>
          </cell>
          <cell r="G169" t="str">
            <v>Actual</v>
          </cell>
          <cell r="H169" t="str">
            <v>Actual</v>
          </cell>
          <cell r="I169" t="str">
            <v>Actual</v>
          </cell>
          <cell r="J169" t="str">
            <v>Actual</v>
          </cell>
          <cell r="K169" t="str">
            <v>Actual</v>
          </cell>
          <cell r="L169" t="str">
            <v>Actual</v>
          </cell>
          <cell r="M169" t="str">
            <v>Actual</v>
          </cell>
          <cell r="N169" t="str">
            <v>Actual</v>
          </cell>
          <cell r="O169" t="str">
            <v>Actual</v>
          </cell>
          <cell r="P169" t="str">
            <v>Actual</v>
          </cell>
          <cell r="Q169" t="str">
            <v>Actual</v>
          </cell>
          <cell r="R169" t="str">
            <v>Actual</v>
          </cell>
          <cell r="S169" t="str">
            <v>Actual</v>
          </cell>
          <cell r="T169" t="str">
            <v>Actual</v>
          </cell>
          <cell r="U169" t="str">
            <v>Cumu Act</v>
          </cell>
          <cell r="V169" t="str">
            <v>Cumu Act</v>
          </cell>
          <cell r="W169" t="str">
            <v>Cumu Act</v>
          </cell>
          <cell r="X169" t="str">
            <v>Cumu Act</v>
          </cell>
          <cell r="Y169" t="str">
            <v>Cumu Act</v>
          </cell>
          <cell r="Z169" t="str">
            <v>Cumu Act</v>
          </cell>
          <cell r="AA169" t="str">
            <v>Cumu Act</v>
          </cell>
          <cell r="AB169" t="str">
            <v>Cumu Act</v>
          </cell>
          <cell r="AC169" t="str">
            <v>Cumu Act</v>
          </cell>
          <cell r="AD169" t="str">
            <v>Cumu Act</v>
          </cell>
          <cell r="AE169" t="str">
            <v>Cumu Act</v>
          </cell>
          <cell r="AF169" t="str">
            <v>Cumu Act</v>
          </cell>
        </row>
        <row r="170">
          <cell r="D170" t="str">
            <v>Particulars</v>
          </cell>
          <cell r="E170">
            <v>41651</v>
          </cell>
          <cell r="F170">
            <v>41682</v>
          </cell>
          <cell r="G170">
            <v>41710</v>
          </cell>
          <cell r="H170" t="str">
            <v>Q-1</v>
          </cell>
          <cell r="I170">
            <v>41741</v>
          </cell>
          <cell r="J170">
            <v>41771</v>
          </cell>
          <cell r="K170">
            <v>41802</v>
          </cell>
          <cell r="L170" t="str">
            <v>Q-2</v>
          </cell>
          <cell r="M170">
            <v>41832</v>
          </cell>
          <cell r="N170">
            <v>41863</v>
          </cell>
          <cell r="O170">
            <v>41894</v>
          </cell>
          <cell r="P170" t="str">
            <v>Q-3</v>
          </cell>
          <cell r="Q170">
            <v>41924</v>
          </cell>
          <cell r="R170">
            <v>41955</v>
          </cell>
          <cell r="S170">
            <v>41985</v>
          </cell>
          <cell r="T170" t="str">
            <v>Q-4</v>
          </cell>
          <cell r="U170">
            <v>41651</v>
          </cell>
          <cell r="V170">
            <v>41682</v>
          </cell>
          <cell r="W170">
            <v>41710</v>
          </cell>
          <cell r="X170">
            <v>41741</v>
          </cell>
          <cell r="Y170">
            <v>41771</v>
          </cell>
          <cell r="Z170">
            <v>41802</v>
          </cell>
          <cell r="AA170">
            <v>41832</v>
          </cell>
          <cell r="AB170">
            <v>41863</v>
          </cell>
          <cell r="AC170">
            <v>41894</v>
          </cell>
          <cell r="AD170">
            <v>41924</v>
          </cell>
          <cell r="AE170">
            <v>41955</v>
          </cell>
          <cell r="AF170">
            <v>41985</v>
          </cell>
        </row>
        <row r="172">
          <cell r="D172" t="str">
            <v>Sales</v>
          </cell>
          <cell r="E172">
            <v>1976.41</v>
          </cell>
          <cell r="F172">
            <v>1823.2</v>
          </cell>
          <cell r="G172">
            <v>1737.8</v>
          </cell>
          <cell r="H172">
            <v>5537.41</v>
          </cell>
          <cell r="I172">
            <v>1900.22</v>
          </cell>
          <cell r="J172">
            <v>1876.2</v>
          </cell>
          <cell r="K172">
            <v>0</v>
          </cell>
          <cell r="L172">
            <v>3776.42</v>
          </cell>
          <cell r="M172">
            <v>0</v>
          </cell>
          <cell r="N172">
            <v>0</v>
          </cell>
          <cell r="O172">
            <v>0</v>
          </cell>
          <cell r="P172">
            <v>0</v>
          </cell>
          <cell r="Q172">
            <v>0</v>
          </cell>
          <cell r="R172">
            <v>0</v>
          </cell>
          <cell r="S172">
            <v>0</v>
          </cell>
          <cell r="T172">
            <v>0</v>
          </cell>
          <cell r="U172">
            <v>1976.41</v>
          </cell>
          <cell r="V172">
            <v>3799.61</v>
          </cell>
          <cell r="W172">
            <v>5537.41</v>
          </cell>
          <cell r="X172">
            <v>7437.63</v>
          </cell>
          <cell r="Y172">
            <v>9313.83</v>
          </cell>
          <cell r="Z172">
            <v>9313.83</v>
          </cell>
          <cell r="AA172">
            <v>9313.83</v>
          </cell>
          <cell r="AB172">
            <v>9313.83</v>
          </cell>
          <cell r="AC172">
            <v>9313.83</v>
          </cell>
          <cell r="AD172">
            <v>9313.83</v>
          </cell>
          <cell r="AE172">
            <v>9313.83</v>
          </cell>
          <cell r="AF172">
            <v>9313.83</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D174" t="str">
            <v>Cost of Goods Sold</v>
          </cell>
          <cell r="E174">
            <v>654.23</v>
          </cell>
          <cell r="F174">
            <v>604.59</v>
          </cell>
          <cell r="G174">
            <v>577.11</v>
          </cell>
          <cell r="H174">
            <v>1835.9300000000003</v>
          </cell>
          <cell r="I174">
            <v>639.66</v>
          </cell>
          <cell r="J174">
            <v>621.54</v>
          </cell>
          <cell r="K174">
            <v>0</v>
          </cell>
          <cell r="L174">
            <v>1261.1999999999998</v>
          </cell>
          <cell r="M174">
            <v>0</v>
          </cell>
          <cell r="N174">
            <v>0</v>
          </cell>
          <cell r="O174">
            <v>0</v>
          </cell>
          <cell r="P174">
            <v>0</v>
          </cell>
          <cell r="Q174">
            <v>0</v>
          </cell>
          <cell r="R174">
            <v>0</v>
          </cell>
          <cell r="S174">
            <v>0</v>
          </cell>
          <cell r="T174">
            <v>0</v>
          </cell>
          <cell r="U174">
            <v>654.23</v>
          </cell>
          <cell r="V174">
            <v>1258.8200000000002</v>
          </cell>
          <cell r="W174">
            <v>1835.9300000000003</v>
          </cell>
          <cell r="X174">
            <v>2475.59</v>
          </cell>
          <cell r="Y174">
            <v>3097.13</v>
          </cell>
          <cell r="Z174">
            <v>3097.13</v>
          </cell>
          <cell r="AA174">
            <v>3097.13</v>
          </cell>
          <cell r="AB174">
            <v>3097.13</v>
          </cell>
          <cell r="AC174">
            <v>3097.13</v>
          </cell>
          <cell r="AD174">
            <v>3097.13</v>
          </cell>
          <cell r="AE174">
            <v>3097.13</v>
          </cell>
          <cell r="AF174">
            <v>3097.13</v>
          </cell>
        </row>
        <row r="175">
          <cell r="D175" t="str">
            <v>ED Savings</v>
          </cell>
          <cell r="E175">
            <v>89.6424510599999</v>
          </cell>
          <cell r="F175">
            <v>82.624115340000003</v>
          </cell>
          <cell r="G175">
            <v>77.319999999999993</v>
          </cell>
          <cell r="H175">
            <v>249.5865663999999</v>
          </cell>
          <cell r="I175">
            <v>95.86</v>
          </cell>
          <cell r="J175">
            <v>71.67</v>
          </cell>
          <cell r="K175">
            <v>0</v>
          </cell>
          <cell r="L175">
            <v>167.53</v>
          </cell>
          <cell r="M175">
            <v>0</v>
          </cell>
          <cell r="N175">
            <v>0</v>
          </cell>
          <cell r="O175">
            <v>0</v>
          </cell>
          <cell r="P175">
            <v>0</v>
          </cell>
          <cell r="Q175">
            <v>0</v>
          </cell>
          <cell r="R175">
            <v>0</v>
          </cell>
          <cell r="S175">
            <v>0</v>
          </cell>
          <cell r="T175">
            <v>0</v>
          </cell>
          <cell r="U175">
            <v>89.6424510599999</v>
          </cell>
          <cell r="V175">
            <v>172.2665663999999</v>
          </cell>
          <cell r="W175">
            <v>249.5865663999999</v>
          </cell>
          <cell r="X175">
            <v>345.44656639999988</v>
          </cell>
          <cell r="Y175">
            <v>417.1165663999999</v>
          </cell>
          <cell r="Z175">
            <v>417.1165663999999</v>
          </cell>
          <cell r="AA175">
            <v>417.1165663999999</v>
          </cell>
          <cell r="AB175">
            <v>417.1165663999999</v>
          </cell>
          <cell r="AC175">
            <v>417.1165663999999</v>
          </cell>
          <cell r="AD175">
            <v>417.1165663999999</v>
          </cell>
          <cell r="AE175">
            <v>417.1165663999999</v>
          </cell>
          <cell r="AF175">
            <v>417.1165663999999</v>
          </cell>
        </row>
        <row r="176">
          <cell r="D176" t="str">
            <v>PRISM II &amp; PSM Savings</v>
          </cell>
          <cell r="E176">
            <v>29.631296716191162</v>
          </cell>
          <cell r="F176">
            <v>30.820565941706075</v>
          </cell>
          <cell r="G176">
            <v>35.536570175920751</v>
          </cell>
          <cell r="H176">
            <v>95.988432833817996</v>
          </cell>
          <cell r="I176">
            <v>42.32060252894982</v>
          </cell>
          <cell r="J176">
            <v>46.056064808828694</v>
          </cell>
          <cell r="K176">
            <v>0</v>
          </cell>
          <cell r="L176">
            <v>88.376667337778514</v>
          </cell>
          <cell r="M176">
            <v>0</v>
          </cell>
          <cell r="N176">
            <v>0</v>
          </cell>
          <cell r="O176">
            <v>0</v>
          </cell>
          <cell r="P176">
            <v>0</v>
          </cell>
          <cell r="Q176">
            <v>0</v>
          </cell>
          <cell r="R176">
            <v>0</v>
          </cell>
          <cell r="S176">
            <v>0</v>
          </cell>
          <cell r="T176">
            <v>0</v>
          </cell>
          <cell r="U176">
            <v>29.631296716191162</v>
          </cell>
          <cell r="V176">
            <v>60.451862657897237</v>
          </cell>
          <cell r="W176">
            <v>95.988432833817996</v>
          </cell>
          <cell r="X176">
            <v>138.30903536276782</v>
          </cell>
          <cell r="Y176">
            <v>184.36510017159651</v>
          </cell>
          <cell r="Z176">
            <v>184.36510017159651</v>
          </cell>
          <cell r="AA176">
            <v>184.36510017159651</v>
          </cell>
          <cell r="AB176">
            <v>184.36510017159651</v>
          </cell>
          <cell r="AC176">
            <v>184.36510017159651</v>
          </cell>
          <cell r="AD176">
            <v>184.36510017159651</v>
          </cell>
          <cell r="AE176">
            <v>184.36510017159651</v>
          </cell>
          <cell r="AF176">
            <v>184.36510017159651</v>
          </cell>
        </row>
        <row r="177">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8">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row>
        <row r="179">
          <cell r="D179" t="str">
            <v>Contribution</v>
          </cell>
          <cell r="E179">
            <v>1441.4537477761912</v>
          </cell>
          <cell r="F179">
            <v>1332.0546812817063</v>
          </cell>
          <cell r="G179">
            <v>1273.5465701759208</v>
          </cell>
          <cell r="H179">
            <v>4047.0549992338174</v>
          </cell>
          <cell r="I179">
            <v>1398.7406025289497</v>
          </cell>
          <cell r="J179">
            <v>1372.3860648088289</v>
          </cell>
          <cell r="K179">
            <v>0</v>
          </cell>
          <cell r="L179">
            <v>2771.1266673377791</v>
          </cell>
          <cell r="M179">
            <v>0</v>
          </cell>
          <cell r="N179">
            <v>0</v>
          </cell>
          <cell r="O179">
            <v>0</v>
          </cell>
          <cell r="P179">
            <v>0</v>
          </cell>
          <cell r="Q179">
            <v>0</v>
          </cell>
          <cell r="R179">
            <v>0</v>
          </cell>
          <cell r="S179">
            <v>0</v>
          </cell>
          <cell r="T179">
            <v>0</v>
          </cell>
          <cell r="U179">
            <v>1441.4537477761912</v>
          </cell>
          <cell r="V179">
            <v>2773.5084290578975</v>
          </cell>
          <cell r="W179">
            <v>4047.0549992338183</v>
          </cell>
          <cell r="X179">
            <v>5445.7956017627675</v>
          </cell>
          <cell r="Y179">
            <v>6818.181666571596</v>
          </cell>
          <cell r="Z179">
            <v>6818.181666571596</v>
          </cell>
          <cell r="AA179">
            <v>6818.181666571596</v>
          </cell>
          <cell r="AB179">
            <v>6818.181666571596</v>
          </cell>
          <cell r="AC179">
            <v>6818.181666571596</v>
          </cell>
          <cell r="AD179">
            <v>6818.181666571596</v>
          </cell>
          <cell r="AE179">
            <v>6818.181666571596</v>
          </cell>
          <cell r="AF179">
            <v>6818.181666571596</v>
          </cell>
        </row>
        <row r="180">
          <cell r="D180">
            <v>0</v>
          </cell>
          <cell r="E180">
            <v>0.72932931313654104</v>
          </cell>
          <cell r="F180">
            <v>0.73061358122076914</v>
          </cell>
          <cell r="G180">
            <v>0.73284990803079808</v>
          </cell>
          <cell r="H180">
            <v>0.73085702507739492</v>
          </cell>
          <cell r="I180">
            <v>0.73609403254831007</v>
          </cell>
          <cell r="J180">
            <v>0.73147109306514702</v>
          </cell>
          <cell r="K180" t="e">
            <v>#DIV/0!</v>
          </cell>
          <cell r="L180">
            <v>0.73379726495934749</v>
          </cell>
          <cell r="M180" t="e">
            <v>#DIV/0!</v>
          </cell>
          <cell r="N180" t="e">
            <v>#DIV/0!</v>
          </cell>
          <cell r="O180" t="e">
            <v>#DIV/0!</v>
          </cell>
          <cell r="P180" t="e">
            <v>#DIV/0!</v>
          </cell>
          <cell r="Q180" t="e">
            <v>#DIV/0!</v>
          </cell>
          <cell r="R180" t="e">
            <v>#DIV/0!</v>
          </cell>
          <cell r="S180" t="e">
            <v>#DIV/0!</v>
          </cell>
          <cell r="T180" t="e">
            <v>#DIV/0!</v>
          </cell>
          <cell r="U180">
            <v>0.72932931313654104</v>
          </cell>
          <cell r="V180">
            <v>0.72994555469058597</v>
          </cell>
          <cell r="W180">
            <v>0.73085702507739514</v>
          </cell>
          <cell r="X180">
            <v>0.73219501397122033</v>
          </cell>
          <cell r="Y180">
            <v>0.73204918562735155</v>
          </cell>
          <cell r="Z180">
            <v>0.73204918562735155</v>
          </cell>
          <cell r="AA180">
            <v>0.73204918562735155</v>
          </cell>
          <cell r="AB180">
            <v>0.73204918562735155</v>
          </cell>
          <cell r="AC180">
            <v>0.73204918562735155</v>
          </cell>
          <cell r="AD180">
            <v>0.73204918562735155</v>
          </cell>
          <cell r="AE180">
            <v>0.73204918562735155</v>
          </cell>
          <cell r="AF180">
            <v>0.73204918562735155</v>
          </cell>
        </row>
        <row r="181">
          <cell r="D181" t="str">
            <v>Overheads</v>
          </cell>
        </row>
        <row r="182">
          <cell r="D182" t="str">
            <v>Advertisement Exp.</v>
          </cell>
          <cell r="E182">
            <v>434.5</v>
          </cell>
          <cell r="F182">
            <v>207</v>
          </cell>
          <cell r="G182">
            <v>82</v>
          </cell>
          <cell r="H182">
            <v>723.5</v>
          </cell>
          <cell r="I182">
            <v>507.5</v>
          </cell>
          <cell r="J182">
            <v>155</v>
          </cell>
          <cell r="K182">
            <v>72</v>
          </cell>
          <cell r="L182">
            <v>734.5</v>
          </cell>
          <cell r="M182">
            <v>196</v>
          </cell>
          <cell r="N182">
            <v>81</v>
          </cell>
          <cell r="O182">
            <v>82</v>
          </cell>
          <cell r="P182">
            <v>359</v>
          </cell>
          <cell r="Q182">
            <v>406</v>
          </cell>
          <cell r="R182">
            <v>260</v>
          </cell>
          <cell r="S182">
            <v>72</v>
          </cell>
          <cell r="T182">
            <v>738</v>
          </cell>
          <cell r="U182">
            <v>434.5</v>
          </cell>
          <cell r="V182">
            <v>641.5</v>
          </cell>
          <cell r="W182">
            <v>723.5</v>
          </cell>
          <cell r="X182">
            <v>1231</v>
          </cell>
          <cell r="Y182">
            <v>1386</v>
          </cell>
          <cell r="Z182">
            <v>1458</v>
          </cell>
          <cell r="AA182">
            <v>1654</v>
          </cell>
          <cell r="AB182">
            <v>1735</v>
          </cell>
          <cell r="AC182">
            <v>1817</v>
          </cell>
          <cell r="AD182">
            <v>2223</v>
          </cell>
          <cell r="AE182">
            <v>2483</v>
          </cell>
          <cell r="AF182">
            <v>2555</v>
          </cell>
        </row>
        <row r="183">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D184" t="str">
            <v>Total Overheads (a+b)</v>
          </cell>
          <cell r="E184">
            <v>434.5</v>
          </cell>
          <cell r="F184">
            <v>207</v>
          </cell>
          <cell r="G184">
            <v>82</v>
          </cell>
          <cell r="H184">
            <v>723.5</v>
          </cell>
          <cell r="I184">
            <v>507.5</v>
          </cell>
          <cell r="J184">
            <v>155</v>
          </cell>
          <cell r="K184">
            <v>72</v>
          </cell>
          <cell r="L184">
            <v>734.5</v>
          </cell>
          <cell r="M184">
            <v>196</v>
          </cell>
          <cell r="N184">
            <v>81</v>
          </cell>
          <cell r="O184">
            <v>82</v>
          </cell>
          <cell r="P184">
            <v>359</v>
          </cell>
          <cell r="Q184">
            <v>406</v>
          </cell>
          <cell r="R184">
            <v>260</v>
          </cell>
          <cell r="S184">
            <v>72</v>
          </cell>
          <cell r="T184">
            <v>738</v>
          </cell>
          <cell r="U184">
            <v>434.5</v>
          </cell>
          <cell r="V184">
            <v>641.5</v>
          </cell>
          <cell r="W184">
            <v>723.5</v>
          </cell>
          <cell r="X184">
            <v>1231</v>
          </cell>
          <cell r="Y184">
            <v>1386</v>
          </cell>
          <cell r="Z184">
            <v>1458</v>
          </cell>
          <cell r="AA184">
            <v>1654</v>
          </cell>
          <cell r="AB184">
            <v>1735</v>
          </cell>
          <cell r="AC184">
            <v>1817</v>
          </cell>
          <cell r="AD184">
            <v>2223</v>
          </cell>
          <cell r="AE184">
            <v>2483</v>
          </cell>
          <cell r="AF184">
            <v>2555</v>
          </cell>
        </row>
        <row r="185">
          <cell r="D185" t="str">
            <v>OPERATING PROFIT (LOSS)</v>
          </cell>
          <cell r="E185">
            <v>1006.9537477761912</v>
          </cell>
          <cell r="F185">
            <v>1125.0546812817063</v>
          </cell>
          <cell r="G185">
            <v>1191.5465701759208</v>
          </cell>
          <cell r="H185">
            <v>3323.5549992338174</v>
          </cell>
          <cell r="I185">
            <v>891.24060252894969</v>
          </cell>
          <cell r="J185">
            <v>1217.3860648088289</v>
          </cell>
          <cell r="K185">
            <v>-72</v>
          </cell>
          <cell r="L185">
            <v>2036.6266673377791</v>
          </cell>
          <cell r="M185">
            <v>-196</v>
          </cell>
          <cell r="N185">
            <v>-81</v>
          </cell>
          <cell r="O185">
            <v>-82</v>
          </cell>
          <cell r="P185">
            <v>-359</v>
          </cell>
          <cell r="Q185">
            <v>-406</v>
          </cell>
          <cell r="R185">
            <v>-260</v>
          </cell>
          <cell r="S185">
            <v>-72</v>
          </cell>
          <cell r="T185">
            <v>-738</v>
          </cell>
          <cell r="U185">
            <v>1006.9537477761912</v>
          </cell>
          <cell r="V185">
            <v>2132.0084290578975</v>
          </cell>
          <cell r="W185">
            <v>3323.5549992338183</v>
          </cell>
          <cell r="X185">
            <v>4214.7956017627675</v>
          </cell>
          <cell r="Y185">
            <v>5432.181666571596</v>
          </cell>
          <cell r="Z185">
            <v>5360.181666571596</v>
          </cell>
          <cell r="AA185">
            <v>5164.181666571596</v>
          </cell>
          <cell r="AB185">
            <v>5083.181666571596</v>
          </cell>
          <cell r="AC185">
            <v>5001.181666571596</v>
          </cell>
          <cell r="AD185">
            <v>4595.181666571596</v>
          </cell>
          <cell r="AE185">
            <v>4335.181666571596</v>
          </cell>
          <cell r="AF185">
            <v>4263.181666571596</v>
          </cell>
        </row>
        <row r="188">
          <cell r="D188">
            <v>4</v>
          </cell>
          <cell r="E188">
            <v>5</v>
          </cell>
          <cell r="F188">
            <v>6</v>
          </cell>
          <cell r="G188">
            <v>7</v>
          </cell>
          <cell r="H188">
            <v>8</v>
          </cell>
          <cell r="I188">
            <v>9</v>
          </cell>
          <cell r="J188">
            <v>10</v>
          </cell>
          <cell r="K188">
            <v>11</v>
          </cell>
          <cell r="L188">
            <v>12</v>
          </cell>
          <cell r="M188">
            <v>13</v>
          </cell>
          <cell r="N188">
            <v>14</v>
          </cell>
          <cell r="O188">
            <v>15</v>
          </cell>
          <cell r="P188">
            <v>16</v>
          </cell>
          <cell r="Q188">
            <v>17</v>
          </cell>
          <cell r="R188">
            <v>18</v>
          </cell>
          <cell r="S188">
            <v>19</v>
          </cell>
          <cell r="T188">
            <v>20</v>
          </cell>
          <cell r="U188">
            <v>21</v>
          </cell>
          <cell r="V188">
            <v>22</v>
          </cell>
          <cell r="W188">
            <v>23</v>
          </cell>
          <cell r="X188">
            <v>24</v>
          </cell>
          <cell r="Y188">
            <v>25</v>
          </cell>
          <cell r="Z188">
            <v>26</v>
          </cell>
          <cell r="AA188">
            <v>27</v>
          </cell>
          <cell r="AB188">
            <v>28</v>
          </cell>
          <cell r="AC188">
            <v>29</v>
          </cell>
          <cell r="AD188">
            <v>30</v>
          </cell>
          <cell r="AE188">
            <v>31</v>
          </cell>
          <cell r="AF188">
            <v>32</v>
          </cell>
        </row>
        <row r="189">
          <cell r="E189" t="str">
            <v>Actual</v>
          </cell>
          <cell r="F189" t="str">
            <v>Actual</v>
          </cell>
          <cell r="G189" t="str">
            <v>Actual</v>
          </cell>
          <cell r="H189" t="str">
            <v>Actual</v>
          </cell>
          <cell r="I189" t="str">
            <v>Actual</v>
          </cell>
          <cell r="J189" t="str">
            <v>Actual</v>
          </cell>
          <cell r="K189" t="str">
            <v>Actual</v>
          </cell>
          <cell r="L189" t="str">
            <v>Actual</v>
          </cell>
          <cell r="M189" t="str">
            <v>Actual</v>
          </cell>
          <cell r="N189" t="str">
            <v>Actual</v>
          </cell>
          <cell r="O189" t="str">
            <v>Actual</v>
          </cell>
          <cell r="P189" t="str">
            <v>Actual</v>
          </cell>
          <cell r="Q189" t="str">
            <v>Actual</v>
          </cell>
          <cell r="R189" t="str">
            <v>Actual</v>
          </cell>
          <cell r="S189" t="str">
            <v>Actual</v>
          </cell>
          <cell r="T189" t="str">
            <v>Actual</v>
          </cell>
          <cell r="U189" t="str">
            <v>Cumu Act</v>
          </cell>
          <cell r="V189" t="str">
            <v>Cumu Act</v>
          </cell>
          <cell r="W189" t="str">
            <v>Cumu Act</v>
          </cell>
          <cell r="X189" t="str">
            <v>Cumu Act</v>
          </cell>
          <cell r="Y189" t="str">
            <v>Cumu Act</v>
          </cell>
          <cell r="Z189" t="str">
            <v>Cumu Act</v>
          </cell>
          <cell r="AA189" t="str">
            <v>Cumu Act</v>
          </cell>
          <cell r="AB189" t="str">
            <v>Cumu Act</v>
          </cell>
          <cell r="AC189" t="str">
            <v>Cumu Act</v>
          </cell>
          <cell r="AD189" t="str">
            <v>Cumu Act</v>
          </cell>
          <cell r="AE189" t="str">
            <v>Cumu Act</v>
          </cell>
          <cell r="AF189" t="str">
            <v>Cumu Act</v>
          </cell>
        </row>
        <row r="190">
          <cell r="D190" t="str">
            <v>Particulars</v>
          </cell>
          <cell r="E190">
            <v>41651</v>
          </cell>
          <cell r="F190">
            <v>41682</v>
          </cell>
          <cell r="G190">
            <v>41710</v>
          </cell>
          <cell r="H190" t="str">
            <v>Q-1</v>
          </cell>
          <cell r="I190">
            <v>41741</v>
          </cell>
          <cell r="J190">
            <v>41771</v>
          </cell>
          <cell r="K190">
            <v>41802</v>
          </cell>
          <cell r="L190" t="str">
            <v>Q-2</v>
          </cell>
          <cell r="M190">
            <v>41832</v>
          </cell>
          <cell r="N190">
            <v>41863</v>
          </cell>
          <cell r="O190">
            <v>41894</v>
          </cell>
          <cell r="P190" t="str">
            <v>Q-3</v>
          </cell>
          <cell r="Q190">
            <v>41924</v>
          </cell>
          <cell r="R190">
            <v>41955</v>
          </cell>
          <cell r="S190">
            <v>41985</v>
          </cell>
          <cell r="T190" t="str">
            <v>Q-4</v>
          </cell>
          <cell r="U190">
            <v>41651</v>
          </cell>
          <cell r="V190">
            <v>41682</v>
          </cell>
          <cell r="W190">
            <v>41710</v>
          </cell>
          <cell r="X190">
            <v>41741</v>
          </cell>
          <cell r="Y190">
            <v>41771</v>
          </cell>
          <cell r="Z190">
            <v>41802</v>
          </cell>
          <cell r="AA190">
            <v>41832</v>
          </cell>
          <cell r="AB190">
            <v>41863</v>
          </cell>
          <cell r="AC190">
            <v>41894</v>
          </cell>
          <cell r="AD190">
            <v>41924</v>
          </cell>
          <cell r="AE190">
            <v>41955</v>
          </cell>
          <cell r="AF190">
            <v>41985</v>
          </cell>
        </row>
        <row r="192">
          <cell r="D192" t="str">
            <v>Sales</v>
          </cell>
          <cell r="E192">
            <v>-2.21</v>
          </cell>
          <cell r="F192">
            <v>-1.6</v>
          </cell>
          <cell r="G192">
            <v>-1.0900000000000001</v>
          </cell>
          <cell r="H192">
            <v>-4.9000000000000004</v>
          </cell>
          <cell r="I192">
            <v>-1.29</v>
          </cell>
          <cell r="J192">
            <v>-0.7</v>
          </cell>
          <cell r="K192">
            <v>0</v>
          </cell>
          <cell r="L192">
            <v>-1.99</v>
          </cell>
          <cell r="M192">
            <v>0</v>
          </cell>
          <cell r="N192">
            <v>0</v>
          </cell>
          <cell r="O192">
            <v>0</v>
          </cell>
          <cell r="P192">
            <v>0</v>
          </cell>
          <cell r="Q192">
            <v>0</v>
          </cell>
          <cell r="R192">
            <v>0</v>
          </cell>
          <cell r="S192">
            <v>0</v>
          </cell>
          <cell r="T192">
            <v>0</v>
          </cell>
          <cell r="U192">
            <v>-2.21</v>
          </cell>
          <cell r="V192">
            <v>-3.81</v>
          </cell>
          <cell r="W192">
            <v>-4.9000000000000004</v>
          </cell>
          <cell r="X192">
            <v>-6.19</v>
          </cell>
          <cell r="Y192">
            <v>-6.8900000000000006</v>
          </cell>
          <cell r="Z192">
            <v>-6.8900000000000006</v>
          </cell>
          <cell r="AA192">
            <v>-6.8900000000000006</v>
          </cell>
          <cell r="AB192">
            <v>-6.8900000000000006</v>
          </cell>
          <cell r="AC192">
            <v>-6.8900000000000006</v>
          </cell>
          <cell r="AD192">
            <v>-6.8900000000000006</v>
          </cell>
          <cell r="AE192">
            <v>-6.8900000000000006</v>
          </cell>
          <cell r="AF192">
            <v>-6.8900000000000006</v>
          </cell>
        </row>
        <row r="193">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D194" t="str">
            <v>Cost of Goods Sold</v>
          </cell>
          <cell r="E194">
            <v>-1.67</v>
          </cell>
          <cell r="F194">
            <v>-1.1000000000000001</v>
          </cell>
          <cell r="G194">
            <v>-0.74</v>
          </cell>
          <cell r="H194">
            <v>-3.51</v>
          </cell>
          <cell r="I194">
            <v>-0.84</v>
          </cell>
          <cell r="J194">
            <v>-0.52</v>
          </cell>
          <cell r="K194">
            <v>0</v>
          </cell>
          <cell r="L194">
            <v>-1.3599999999999999</v>
          </cell>
          <cell r="M194">
            <v>0</v>
          </cell>
          <cell r="N194">
            <v>0</v>
          </cell>
          <cell r="O194">
            <v>0</v>
          </cell>
          <cell r="P194">
            <v>0</v>
          </cell>
          <cell r="Q194">
            <v>0</v>
          </cell>
          <cell r="R194">
            <v>0</v>
          </cell>
          <cell r="S194">
            <v>0</v>
          </cell>
          <cell r="T194">
            <v>0</v>
          </cell>
          <cell r="U194">
            <v>-1.67</v>
          </cell>
          <cell r="V194">
            <v>-2.77</v>
          </cell>
          <cell r="W194">
            <v>-3.51</v>
          </cell>
          <cell r="X194">
            <v>-4.3499999999999996</v>
          </cell>
          <cell r="Y194">
            <v>-4.8699999999999992</v>
          </cell>
          <cell r="Z194">
            <v>-4.8699999999999992</v>
          </cell>
          <cell r="AA194">
            <v>-4.8699999999999992</v>
          </cell>
          <cell r="AB194">
            <v>-4.8699999999999992</v>
          </cell>
          <cell r="AC194">
            <v>-4.8699999999999992</v>
          </cell>
          <cell r="AD194">
            <v>-4.8699999999999992</v>
          </cell>
          <cell r="AE194">
            <v>-4.8699999999999992</v>
          </cell>
          <cell r="AF194">
            <v>-4.8699999999999992</v>
          </cell>
        </row>
        <row r="195">
          <cell r="D195" t="str">
            <v>ED Savings</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D196" t="str">
            <v>PRISM II &amp; PSM Savings</v>
          </cell>
          <cell r="E196">
            <v>-3.3133391220841052E-2</v>
          </cell>
          <cell r="F196">
            <v>-2.7047447074774966E-2</v>
          </cell>
          <cell r="G196">
            <v>-2.2289596899386362E-2</v>
          </cell>
          <cell r="H196">
            <v>-8.2470435195002384E-2</v>
          </cell>
          <cell r="I196">
            <v>-2.8730135069805218E-2</v>
          </cell>
          <cell r="J196">
            <v>-1.718326690447718E-2</v>
          </cell>
          <cell r="K196">
            <v>0</v>
          </cell>
          <cell r="L196">
            <v>-4.5913401974282397E-2</v>
          </cell>
          <cell r="M196">
            <v>0</v>
          </cell>
          <cell r="N196">
            <v>0</v>
          </cell>
          <cell r="O196">
            <v>0</v>
          </cell>
          <cell r="P196">
            <v>0</v>
          </cell>
          <cell r="Q196">
            <v>0</v>
          </cell>
          <cell r="R196">
            <v>0</v>
          </cell>
          <cell r="S196">
            <v>0</v>
          </cell>
          <cell r="T196">
            <v>0</v>
          </cell>
          <cell r="U196">
            <v>-3.3133391220841052E-2</v>
          </cell>
          <cell r="V196">
            <v>-6.0180838295616018E-2</v>
          </cell>
          <cell r="W196">
            <v>-8.2470435195002384E-2</v>
          </cell>
          <cell r="X196">
            <v>-0.1112005702648076</v>
          </cell>
          <cell r="Y196">
            <v>-0.12838383716928478</v>
          </cell>
          <cell r="Z196">
            <v>-0.12838383716928478</v>
          </cell>
          <cell r="AA196">
            <v>-0.12838383716928478</v>
          </cell>
          <cell r="AB196">
            <v>-0.12838383716928478</v>
          </cell>
          <cell r="AC196">
            <v>-0.12838383716928478</v>
          </cell>
          <cell r="AD196">
            <v>-0.12838383716928478</v>
          </cell>
          <cell r="AE196">
            <v>-0.12838383716928478</v>
          </cell>
          <cell r="AF196">
            <v>-0.12838383716928478</v>
          </cell>
        </row>
        <row r="197">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D199" t="str">
            <v>Contribution</v>
          </cell>
          <cell r="E199">
            <v>-0.57313339122084106</v>
          </cell>
          <cell r="F199">
            <v>-0.52704744707477502</v>
          </cell>
          <cell r="G199">
            <v>-0.37228959689938645</v>
          </cell>
          <cell r="H199">
            <v>-1.4724704351950029</v>
          </cell>
          <cell r="I199">
            <v>-0.47873013506980527</v>
          </cell>
          <cell r="J199">
            <v>-0.19718326690447713</v>
          </cell>
          <cell r="K199">
            <v>0</v>
          </cell>
          <cell r="L199">
            <v>-0.67591340197428251</v>
          </cell>
          <cell r="M199">
            <v>0</v>
          </cell>
          <cell r="N199">
            <v>0</v>
          </cell>
          <cell r="O199">
            <v>0</v>
          </cell>
          <cell r="P199">
            <v>0</v>
          </cell>
          <cell r="Q199">
            <v>0</v>
          </cell>
          <cell r="R199">
            <v>0</v>
          </cell>
          <cell r="S199">
            <v>0</v>
          </cell>
          <cell r="T199">
            <v>0</v>
          </cell>
          <cell r="U199">
            <v>-0.57313339122084106</v>
          </cell>
          <cell r="V199">
            <v>-1.100180838295616</v>
          </cell>
          <cell r="W199">
            <v>-1.4724704351950024</v>
          </cell>
          <cell r="X199">
            <v>-1.9512005702648076</v>
          </cell>
          <cell r="Y199">
            <v>-2.1483838371692849</v>
          </cell>
          <cell r="Z199">
            <v>-2.1483838371692849</v>
          </cell>
          <cell r="AA199">
            <v>-2.1483838371692849</v>
          </cell>
          <cell r="AB199">
            <v>-2.1483838371692849</v>
          </cell>
          <cell r="AC199">
            <v>-2.1483838371692849</v>
          </cell>
          <cell r="AD199">
            <v>-2.1483838371692849</v>
          </cell>
          <cell r="AE199">
            <v>-2.1483838371692849</v>
          </cell>
          <cell r="AF199">
            <v>-2.1483838371692849</v>
          </cell>
        </row>
        <row r="200">
          <cell r="D200">
            <v>0</v>
          </cell>
          <cell r="E200">
            <v>0.25933637611802762</v>
          </cell>
          <cell r="F200">
            <v>0.32940465442173439</v>
          </cell>
          <cell r="G200">
            <v>0.34155008889851968</v>
          </cell>
          <cell r="H200">
            <v>0.30050417044795974</v>
          </cell>
          <cell r="I200">
            <v>0.37110863183705833</v>
          </cell>
          <cell r="J200">
            <v>0.28169038129211021</v>
          </cell>
          <cell r="K200" t="e">
            <v>#DIV/0!</v>
          </cell>
          <cell r="L200">
            <v>0.33965497586647364</v>
          </cell>
          <cell r="M200" t="e">
            <v>#DIV/0!</v>
          </cell>
          <cell r="N200" t="e">
            <v>#DIV/0!</v>
          </cell>
          <cell r="O200" t="e">
            <v>#DIV/0!</v>
          </cell>
          <cell r="P200" t="e">
            <v>#DIV/0!</v>
          </cell>
          <cell r="Q200" t="e">
            <v>#DIV/0!</v>
          </cell>
          <cell r="R200" t="e">
            <v>#DIV/0!</v>
          </cell>
          <cell r="S200" t="e">
            <v>#DIV/0!</v>
          </cell>
          <cell r="T200" t="e">
            <v>#DIV/0!</v>
          </cell>
          <cell r="U200">
            <v>0.25933637611802762</v>
          </cell>
          <cell r="V200">
            <v>0.28876137488073911</v>
          </cell>
          <cell r="W200">
            <v>0.30050417044795968</v>
          </cell>
          <cell r="X200">
            <v>0.31521818582630168</v>
          </cell>
          <cell r="Y200">
            <v>0.31181187767333596</v>
          </cell>
          <cell r="Z200">
            <v>0.31181187767333596</v>
          </cell>
          <cell r="AA200">
            <v>0.31181187767333596</v>
          </cell>
          <cell r="AB200">
            <v>0.31181187767333596</v>
          </cell>
          <cell r="AC200">
            <v>0.31181187767333596</v>
          </cell>
          <cell r="AD200">
            <v>0.31181187767333596</v>
          </cell>
          <cell r="AE200">
            <v>0.31181187767333596</v>
          </cell>
          <cell r="AF200">
            <v>0.31181187767333596</v>
          </cell>
        </row>
        <row r="201">
          <cell r="D201" t="str">
            <v>Overheads</v>
          </cell>
        </row>
        <row r="202">
          <cell r="D202" t="str">
            <v>Advertisement Exp.</v>
          </cell>
          <cell r="E202">
            <v>0</v>
          </cell>
          <cell r="F202">
            <v>0</v>
          </cell>
          <cell r="G202">
            <v>0</v>
          </cell>
          <cell r="H202">
            <v>0</v>
          </cell>
          <cell r="I202">
            <v>10</v>
          </cell>
          <cell r="J202">
            <v>5</v>
          </cell>
          <cell r="K202">
            <v>0</v>
          </cell>
          <cell r="L202">
            <v>15</v>
          </cell>
          <cell r="M202">
            <v>0</v>
          </cell>
          <cell r="N202">
            <v>25</v>
          </cell>
          <cell r="O202">
            <v>60</v>
          </cell>
          <cell r="P202">
            <v>85</v>
          </cell>
          <cell r="Q202">
            <v>45</v>
          </cell>
          <cell r="R202">
            <v>0</v>
          </cell>
          <cell r="S202">
            <v>0</v>
          </cell>
          <cell r="T202">
            <v>45</v>
          </cell>
          <cell r="U202">
            <v>0</v>
          </cell>
          <cell r="V202">
            <v>0</v>
          </cell>
          <cell r="W202">
            <v>0</v>
          </cell>
          <cell r="X202">
            <v>10</v>
          </cell>
          <cell r="Y202">
            <v>15</v>
          </cell>
          <cell r="Z202">
            <v>15</v>
          </cell>
          <cell r="AA202">
            <v>15</v>
          </cell>
          <cell r="AB202">
            <v>40</v>
          </cell>
          <cell r="AC202">
            <v>100</v>
          </cell>
          <cell r="AD202">
            <v>145</v>
          </cell>
          <cell r="AE202">
            <v>145</v>
          </cell>
          <cell r="AF202">
            <v>145</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row>
        <row r="204">
          <cell r="D204" t="str">
            <v>Total Overheads (a+b)</v>
          </cell>
          <cell r="E204">
            <v>0</v>
          </cell>
          <cell r="F204">
            <v>0</v>
          </cell>
          <cell r="G204">
            <v>0</v>
          </cell>
          <cell r="H204">
            <v>0</v>
          </cell>
          <cell r="I204">
            <v>10</v>
          </cell>
          <cell r="J204">
            <v>5</v>
          </cell>
          <cell r="K204">
            <v>0</v>
          </cell>
          <cell r="L204">
            <v>15</v>
          </cell>
          <cell r="M204">
            <v>0</v>
          </cell>
          <cell r="N204">
            <v>25</v>
          </cell>
          <cell r="O204">
            <v>60</v>
          </cell>
          <cell r="P204">
            <v>85</v>
          </cell>
          <cell r="Q204">
            <v>45</v>
          </cell>
          <cell r="R204">
            <v>0</v>
          </cell>
          <cell r="S204">
            <v>0</v>
          </cell>
          <cell r="T204">
            <v>45</v>
          </cell>
          <cell r="U204">
            <v>0</v>
          </cell>
          <cell r="V204">
            <v>0</v>
          </cell>
          <cell r="W204">
            <v>0</v>
          </cell>
          <cell r="X204">
            <v>10</v>
          </cell>
          <cell r="Y204">
            <v>15</v>
          </cell>
          <cell r="Z204">
            <v>15</v>
          </cell>
          <cell r="AA204">
            <v>15</v>
          </cell>
          <cell r="AB204">
            <v>40</v>
          </cell>
          <cell r="AC204">
            <v>100</v>
          </cell>
          <cell r="AD204">
            <v>145</v>
          </cell>
          <cell r="AE204">
            <v>145</v>
          </cell>
          <cell r="AF204">
            <v>145</v>
          </cell>
        </row>
        <row r="205">
          <cell r="D205" t="str">
            <v>OPERATING PROFIT (LOSS)</v>
          </cell>
          <cell r="E205">
            <v>-0.57313339122084106</v>
          </cell>
          <cell r="F205">
            <v>-0.52704744707477502</v>
          </cell>
          <cell r="G205">
            <v>-0.37228959689938645</v>
          </cell>
          <cell r="H205">
            <v>-1.4724704351950029</v>
          </cell>
          <cell r="I205">
            <v>-10.478730135069805</v>
          </cell>
          <cell r="J205">
            <v>-5.1971832669044771</v>
          </cell>
          <cell r="K205">
            <v>0</v>
          </cell>
          <cell r="L205">
            <v>-15.675913401974283</v>
          </cell>
          <cell r="M205">
            <v>0</v>
          </cell>
          <cell r="N205">
            <v>-25</v>
          </cell>
          <cell r="O205">
            <v>-60</v>
          </cell>
          <cell r="P205">
            <v>-85</v>
          </cell>
          <cell r="Q205">
            <v>-45</v>
          </cell>
          <cell r="R205">
            <v>0</v>
          </cell>
          <cell r="S205">
            <v>0</v>
          </cell>
          <cell r="T205">
            <v>-45</v>
          </cell>
          <cell r="U205">
            <v>-0.57313339122084106</v>
          </cell>
          <cell r="V205">
            <v>-1.100180838295616</v>
          </cell>
          <cell r="W205">
            <v>-1.4724704351950024</v>
          </cell>
          <cell r="X205">
            <v>-11.951200570264808</v>
          </cell>
          <cell r="Y205">
            <v>-17.148383837169284</v>
          </cell>
          <cell r="Z205">
            <v>-17.148383837169284</v>
          </cell>
          <cell r="AA205">
            <v>-17.148383837169284</v>
          </cell>
          <cell r="AB205">
            <v>-42.148383837169284</v>
          </cell>
          <cell r="AC205">
            <v>-102.14838383716929</v>
          </cell>
          <cell r="AD205">
            <v>-147.14838383716929</v>
          </cell>
          <cell r="AE205">
            <v>-147.14838383716929</v>
          </cell>
          <cell r="AF205">
            <v>-147.14838383716929</v>
          </cell>
        </row>
        <row r="208">
          <cell r="D208">
            <v>4</v>
          </cell>
          <cell r="E208">
            <v>5</v>
          </cell>
          <cell r="F208">
            <v>6</v>
          </cell>
          <cell r="G208">
            <v>7</v>
          </cell>
          <cell r="H208">
            <v>8</v>
          </cell>
          <cell r="I208">
            <v>9</v>
          </cell>
          <cell r="J208">
            <v>10</v>
          </cell>
          <cell r="K208">
            <v>11</v>
          </cell>
          <cell r="L208">
            <v>12</v>
          </cell>
          <cell r="M208">
            <v>13</v>
          </cell>
          <cell r="N208">
            <v>14</v>
          </cell>
          <cell r="O208">
            <v>15</v>
          </cell>
          <cell r="P208">
            <v>16</v>
          </cell>
          <cell r="Q208">
            <v>17</v>
          </cell>
          <cell r="R208">
            <v>18</v>
          </cell>
          <cell r="S208">
            <v>19</v>
          </cell>
          <cell r="T208">
            <v>20</v>
          </cell>
          <cell r="U208">
            <v>21</v>
          </cell>
          <cell r="V208">
            <v>22</v>
          </cell>
          <cell r="W208">
            <v>23</v>
          </cell>
          <cell r="X208">
            <v>24</v>
          </cell>
          <cell r="Y208">
            <v>25</v>
          </cell>
          <cell r="Z208">
            <v>26</v>
          </cell>
          <cell r="AA208">
            <v>27</v>
          </cell>
          <cell r="AB208">
            <v>28</v>
          </cell>
          <cell r="AC208">
            <v>29</v>
          </cell>
          <cell r="AD208">
            <v>30</v>
          </cell>
          <cell r="AE208">
            <v>31</v>
          </cell>
          <cell r="AF208">
            <v>32</v>
          </cell>
        </row>
        <row r="209">
          <cell r="E209" t="str">
            <v>Actual</v>
          </cell>
          <cell r="F209" t="str">
            <v>Actual</v>
          </cell>
          <cell r="G209" t="str">
            <v>Actual</v>
          </cell>
          <cell r="H209" t="str">
            <v>Actual</v>
          </cell>
          <cell r="I209" t="str">
            <v>Actual</v>
          </cell>
          <cell r="J209" t="str">
            <v>Actual</v>
          </cell>
          <cell r="K209" t="str">
            <v>Actual</v>
          </cell>
          <cell r="L209" t="str">
            <v>Actual</v>
          </cell>
          <cell r="M209" t="str">
            <v>Actual</v>
          </cell>
          <cell r="N209" t="str">
            <v>Actual</v>
          </cell>
          <cell r="O209" t="str">
            <v>Actual</v>
          </cell>
          <cell r="P209" t="str">
            <v>Actual</v>
          </cell>
          <cell r="Q209" t="str">
            <v>Actual</v>
          </cell>
          <cell r="R209" t="str">
            <v>Actual</v>
          </cell>
          <cell r="S209" t="str">
            <v>Actual</v>
          </cell>
          <cell r="T209" t="str">
            <v>Actual</v>
          </cell>
          <cell r="U209" t="str">
            <v>Cumu Act</v>
          </cell>
          <cell r="V209" t="str">
            <v>Cumu Act</v>
          </cell>
          <cell r="W209" t="str">
            <v>Cumu Act</v>
          </cell>
          <cell r="X209" t="str">
            <v>Cumu Act</v>
          </cell>
          <cell r="Y209" t="str">
            <v>Cumu Act</v>
          </cell>
          <cell r="Z209" t="str">
            <v>Cumu Act</v>
          </cell>
          <cell r="AA209" t="str">
            <v>Cumu Act</v>
          </cell>
          <cell r="AB209" t="str">
            <v>Cumu Act</v>
          </cell>
          <cell r="AC209" t="str">
            <v>Cumu Act</v>
          </cell>
          <cell r="AD209" t="str">
            <v>Cumu Act</v>
          </cell>
          <cell r="AE209" t="str">
            <v>Cumu Act</v>
          </cell>
          <cell r="AF209" t="str">
            <v>Cumu Act</v>
          </cell>
        </row>
        <row r="210">
          <cell r="D210" t="str">
            <v>Particulars</v>
          </cell>
          <cell r="E210">
            <v>41651</v>
          </cell>
          <cell r="F210">
            <v>41682</v>
          </cell>
          <cell r="G210">
            <v>41710</v>
          </cell>
          <cell r="H210" t="str">
            <v>Q-1</v>
          </cell>
          <cell r="I210">
            <v>41741</v>
          </cell>
          <cell r="J210">
            <v>41771</v>
          </cell>
          <cell r="K210">
            <v>41802</v>
          </cell>
          <cell r="L210" t="str">
            <v>Q-2</v>
          </cell>
          <cell r="M210">
            <v>41832</v>
          </cell>
          <cell r="N210">
            <v>41863</v>
          </cell>
          <cell r="O210">
            <v>41894</v>
          </cell>
          <cell r="P210" t="str">
            <v>Q-3</v>
          </cell>
          <cell r="Q210">
            <v>41924</v>
          </cell>
          <cell r="R210">
            <v>41955</v>
          </cell>
          <cell r="S210">
            <v>41985</v>
          </cell>
          <cell r="T210" t="str">
            <v>Q-4</v>
          </cell>
          <cell r="U210">
            <v>41651</v>
          </cell>
          <cell r="V210">
            <v>41682</v>
          </cell>
          <cell r="W210">
            <v>41710</v>
          </cell>
          <cell r="X210">
            <v>41741</v>
          </cell>
          <cell r="Y210">
            <v>41771</v>
          </cell>
          <cell r="Z210">
            <v>41802</v>
          </cell>
          <cell r="AA210">
            <v>41832</v>
          </cell>
          <cell r="AB210">
            <v>41863</v>
          </cell>
          <cell r="AC210">
            <v>41894</v>
          </cell>
          <cell r="AD210">
            <v>41924</v>
          </cell>
          <cell r="AE210">
            <v>41955</v>
          </cell>
          <cell r="AF210">
            <v>41985</v>
          </cell>
        </row>
        <row r="212">
          <cell r="D212" t="str">
            <v>Sales</v>
          </cell>
          <cell r="E212">
            <v>-0.37</v>
          </cell>
          <cell r="F212">
            <v>0</v>
          </cell>
          <cell r="G212">
            <v>0</v>
          </cell>
          <cell r="H212">
            <v>-0.37</v>
          </cell>
          <cell r="I212">
            <v>0</v>
          </cell>
          <cell r="J212">
            <v>-0.4</v>
          </cell>
          <cell r="K212">
            <v>0</v>
          </cell>
          <cell r="L212">
            <v>-0.4</v>
          </cell>
          <cell r="M212">
            <v>0</v>
          </cell>
          <cell r="N212">
            <v>0</v>
          </cell>
          <cell r="O212">
            <v>0</v>
          </cell>
          <cell r="P212">
            <v>0</v>
          </cell>
          <cell r="Q212">
            <v>0</v>
          </cell>
          <cell r="R212">
            <v>0</v>
          </cell>
          <cell r="S212">
            <v>0</v>
          </cell>
          <cell r="T212">
            <v>0</v>
          </cell>
          <cell r="U212">
            <v>-0.37</v>
          </cell>
          <cell r="V212">
            <v>-0.37</v>
          </cell>
          <cell r="W212">
            <v>-0.37</v>
          </cell>
          <cell r="X212">
            <v>-0.37</v>
          </cell>
          <cell r="Y212">
            <v>-0.77</v>
          </cell>
          <cell r="Z212">
            <v>-0.77</v>
          </cell>
          <cell r="AA212">
            <v>-0.77</v>
          </cell>
          <cell r="AB212">
            <v>-0.77</v>
          </cell>
          <cell r="AC212">
            <v>-0.77</v>
          </cell>
          <cell r="AD212">
            <v>-0.77</v>
          </cell>
          <cell r="AE212">
            <v>-0.77</v>
          </cell>
          <cell r="AF212">
            <v>-0.77</v>
          </cell>
        </row>
        <row r="213">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row>
        <row r="214">
          <cell r="D214" t="str">
            <v>Cost of Goods Sold</v>
          </cell>
          <cell r="E214">
            <v>2.34</v>
          </cell>
          <cell r="F214">
            <v>0</v>
          </cell>
          <cell r="G214">
            <v>0</v>
          </cell>
          <cell r="H214">
            <v>2.34</v>
          </cell>
          <cell r="I214">
            <v>0</v>
          </cell>
          <cell r="J214">
            <v>-0.27</v>
          </cell>
          <cell r="K214">
            <v>0</v>
          </cell>
          <cell r="L214">
            <v>-0.27</v>
          </cell>
          <cell r="M214">
            <v>0</v>
          </cell>
          <cell r="N214">
            <v>0</v>
          </cell>
          <cell r="O214">
            <v>0</v>
          </cell>
          <cell r="P214">
            <v>0</v>
          </cell>
          <cell r="Q214">
            <v>0</v>
          </cell>
          <cell r="R214">
            <v>0</v>
          </cell>
          <cell r="S214">
            <v>0</v>
          </cell>
          <cell r="T214">
            <v>0</v>
          </cell>
          <cell r="U214">
            <v>2.34</v>
          </cell>
          <cell r="V214">
            <v>2.34</v>
          </cell>
          <cell r="W214">
            <v>2.34</v>
          </cell>
          <cell r="X214">
            <v>2.34</v>
          </cell>
          <cell r="Y214">
            <v>2.0699999999999998</v>
          </cell>
          <cell r="Z214">
            <v>2.0699999999999998</v>
          </cell>
          <cell r="AA214">
            <v>2.0699999999999998</v>
          </cell>
          <cell r="AB214">
            <v>2.0699999999999998</v>
          </cell>
          <cell r="AC214">
            <v>2.0699999999999998</v>
          </cell>
          <cell r="AD214">
            <v>2.0699999999999998</v>
          </cell>
          <cell r="AE214">
            <v>2.0699999999999998</v>
          </cell>
          <cell r="AF214">
            <v>2.0699999999999998</v>
          </cell>
        </row>
        <row r="215">
          <cell r="D215" t="str">
            <v>ED Savings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D216" t="str">
            <v>PRISM II &amp; PSM Savings</v>
          </cell>
          <cell r="E216">
            <v>-5.5472193446656961E-3</v>
          </cell>
          <cell r="F216">
            <v>0</v>
          </cell>
          <cell r="G216">
            <v>0</v>
          </cell>
          <cell r="H216">
            <v>-5.5472193446656961E-3</v>
          </cell>
          <cell r="I216">
            <v>0</v>
          </cell>
          <cell r="J216">
            <v>0</v>
          </cell>
          <cell r="K216">
            <v>0</v>
          </cell>
          <cell r="L216">
            <v>0</v>
          </cell>
          <cell r="M216">
            <v>0</v>
          </cell>
          <cell r="N216">
            <v>0</v>
          </cell>
          <cell r="O216">
            <v>0</v>
          </cell>
          <cell r="P216">
            <v>0</v>
          </cell>
          <cell r="Q216">
            <v>0</v>
          </cell>
          <cell r="R216">
            <v>0</v>
          </cell>
          <cell r="S216">
            <v>0</v>
          </cell>
          <cell r="T216">
            <v>0</v>
          </cell>
          <cell r="U216">
            <v>-5.5472193446656961E-3</v>
          </cell>
          <cell r="V216">
            <v>-5.5472193446656961E-3</v>
          </cell>
          <cell r="W216">
            <v>-5.5472193446656961E-3</v>
          </cell>
          <cell r="X216">
            <v>-5.5472193446656961E-3</v>
          </cell>
          <cell r="Y216">
            <v>-5.5472193446656961E-3</v>
          </cell>
          <cell r="Z216">
            <v>-5.5472193446656961E-3</v>
          </cell>
          <cell r="AA216">
            <v>-5.5472193446656961E-3</v>
          </cell>
          <cell r="AB216">
            <v>-5.5472193446656961E-3</v>
          </cell>
          <cell r="AC216">
            <v>-5.5472193446656961E-3</v>
          </cell>
          <cell r="AD216">
            <v>-5.5472193446656961E-3</v>
          </cell>
          <cell r="AE216">
            <v>-5.5472193446656961E-3</v>
          </cell>
          <cell r="AF216">
            <v>-5.5472193446656961E-3</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D219" t="str">
            <v>Contribution</v>
          </cell>
          <cell r="E219">
            <v>-2.7155472193446655</v>
          </cell>
          <cell r="F219">
            <v>0</v>
          </cell>
          <cell r="G219">
            <v>0</v>
          </cell>
          <cell r="H219">
            <v>-2.7155472193446655</v>
          </cell>
          <cell r="I219">
            <v>0</v>
          </cell>
          <cell r="J219">
            <v>-0.13</v>
          </cell>
          <cell r="K219">
            <v>0</v>
          </cell>
          <cell r="L219">
            <v>-0.13</v>
          </cell>
          <cell r="M219">
            <v>0</v>
          </cell>
          <cell r="N219">
            <v>0</v>
          </cell>
          <cell r="O219">
            <v>0</v>
          </cell>
          <cell r="P219">
            <v>0</v>
          </cell>
          <cell r="Q219">
            <v>0</v>
          </cell>
          <cell r="R219">
            <v>0</v>
          </cell>
          <cell r="S219">
            <v>0</v>
          </cell>
          <cell r="T219">
            <v>0</v>
          </cell>
          <cell r="U219">
            <v>-2.7155472193446655</v>
          </cell>
          <cell r="V219">
            <v>-2.7155472193446655</v>
          </cell>
          <cell r="W219">
            <v>-2.7155472193446655</v>
          </cell>
          <cell r="X219">
            <v>-2.7155472193446655</v>
          </cell>
          <cell r="Y219">
            <v>-2.8455472193446654</v>
          </cell>
          <cell r="Z219">
            <v>-2.8455472193446654</v>
          </cell>
          <cell r="AA219">
            <v>-2.8455472193446654</v>
          </cell>
          <cell r="AB219">
            <v>-2.8455472193446654</v>
          </cell>
          <cell r="AC219">
            <v>-2.8455472193446654</v>
          </cell>
          <cell r="AD219">
            <v>-2.8455472193446654</v>
          </cell>
          <cell r="AE219">
            <v>-2.8455472193446654</v>
          </cell>
          <cell r="AF219">
            <v>-2.8455472193446654</v>
          </cell>
        </row>
        <row r="220">
          <cell r="D220">
            <v>0</v>
          </cell>
          <cell r="E220">
            <v>7.3393168090396363</v>
          </cell>
          <cell r="F220" t="e">
            <v>#DIV/0!</v>
          </cell>
          <cell r="G220" t="e">
            <v>#DIV/0!</v>
          </cell>
          <cell r="H220">
            <v>7.3393168090396363</v>
          </cell>
          <cell r="I220" t="e">
            <v>#DIV/0!</v>
          </cell>
          <cell r="J220">
            <v>0.32500000000000001</v>
          </cell>
          <cell r="K220" t="e">
            <v>#DIV/0!</v>
          </cell>
          <cell r="L220">
            <v>0.32500000000000001</v>
          </cell>
          <cell r="M220" t="e">
            <v>#DIV/0!</v>
          </cell>
          <cell r="N220" t="e">
            <v>#DIV/0!</v>
          </cell>
          <cell r="O220" t="e">
            <v>#DIV/0!</v>
          </cell>
          <cell r="P220" t="e">
            <v>#DIV/0!</v>
          </cell>
          <cell r="Q220" t="e">
            <v>#DIV/0!</v>
          </cell>
          <cell r="R220" t="e">
            <v>#DIV/0!</v>
          </cell>
          <cell r="S220" t="e">
            <v>#DIV/0!</v>
          </cell>
          <cell r="T220" t="e">
            <v>#DIV/0!</v>
          </cell>
          <cell r="U220">
            <v>7.3393168090396363</v>
          </cell>
          <cell r="V220">
            <v>7.3393168090396363</v>
          </cell>
          <cell r="W220">
            <v>7.3393168090396363</v>
          </cell>
          <cell r="X220">
            <v>7.3393168090396363</v>
          </cell>
          <cell r="Y220">
            <v>3.6955158692787862</v>
          </cell>
          <cell r="Z220">
            <v>3.6955158692787862</v>
          </cell>
          <cell r="AA220">
            <v>3.6955158692787862</v>
          </cell>
          <cell r="AB220">
            <v>3.6955158692787862</v>
          </cell>
          <cell r="AC220">
            <v>3.6955158692787862</v>
          </cell>
          <cell r="AD220">
            <v>3.6955158692787862</v>
          </cell>
          <cell r="AE220">
            <v>3.6955158692787862</v>
          </cell>
          <cell r="AF220">
            <v>3.6955158692787862</v>
          </cell>
        </row>
        <row r="221">
          <cell r="D221" t="str">
            <v>Overheads</v>
          </cell>
        </row>
        <row r="222">
          <cell r="D222" t="str">
            <v>Advertisement Exp.</v>
          </cell>
          <cell r="E222">
            <v>10</v>
          </cell>
          <cell r="F222">
            <v>20</v>
          </cell>
          <cell r="G222">
            <v>-30</v>
          </cell>
          <cell r="H222">
            <v>0</v>
          </cell>
          <cell r="I222">
            <v>0</v>
          </cell>
          <cell r="J222">
            <v>0</v>
          </cell>
          <cell r="K222">
            <v>15</v>
          </cell>
          <cell r="L222">
            <v>15</v>
          </cell>
          <cell r="M222">
            <v>0</v>
          </cell>
          <cell r="N222">
            <v>5</v>
          </cell>
          <cell r="O222">
            <v>5</v>
          </cell>
          <cell r="P222">
            <v>10</v>
          </cell>
          <cell r="Q222">
            <v>20</v>
          </cell>
          <cell r="R222">
            <v>15</v>
          </cell>
          <cell r="S222">
            <v>15</v>
          </cell>
          <cell r="T222">
            <v>50</v>
          </cell>
          <cell r="U222">
            <v>10</v>
          </cell>
          <cell r="V222">
            <v>30</v>
          </cell>
          <cell r="W222">
            <v>0</v>
          </cell>
          <cell r="X222">
            <v>0</v>
          </cell>
          <cell r="Y222">
            <v>0</v>
          </cell>
          <cell r="Z222">
            <v>15</v>
          </cell>
          <cell r="AA222">
            <v>15</v>
          </cell>
          <cell r="AB222">
            <v>20</v>
          </cell>
          <cell r="AC222">
            <v>25</v>
          </cell>
          <cell r="AD222">
            <v>45</v>
          </cell>
          <cell r="AE222">
            <v>60</v>
          </cell>
          <cell r="AF222">
            <v>75</v>
          </cell>
        </row>
        <row r="223">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D224" t="str">
            <v>Total Overheads (a+b)</v>
          </cell>
          <cell r="E224">
            <v>10</v>
          </cell>
          <cell r="F224">
            <v>20</v>
          </cell>
          <cell r="G224">
            <v>-30</v>
          </cell>
          <cell r="H224">
            <v>0</v>
          </cell>
          <cell r="I224">
            <v>0</v>
          </cell>
          <cell r="J224">
            <v>0</v>
          </cell>
          <cell r="K224">
            <v>15</v>
          </cell>
          <cell r="L224">
            <v>15</v>
          </cell>
          <cell r="M224">
            <v>0</v>
          </cell>
          <cell r="N224">
            <v>5</v>
          </cell>
          <cell r="O224">
            <v>5</v>
          </cell>
          <cell r="P224">
            <v>10</v>
          </cell>
          <cell r="Q224">
            <v>20</v>
          </cell>
          <cell r="R224">
            <v>15</v>
          </cell>
          <cell r="S224">
            <v>15</v>
          </cell>
          <cell r="T224">
            <v>50</v>
          </cell>
          <cell r="U224">
            <v>10</v>
          </cell>
          <cell r="V224">
            <v>30</v>
          </cell>
          <cell r="W224">
            <v>0</v>
          </cell>
          <cell r="X224">
            <v>0</v>
          </cell>
          <cell r="Y224">
            <v>0</v>
          </cell>
          <cell r="Z224">
            <v>15</v>
          </cell>
          <cell r="AA224">
            <v>15</v>
          </cell>
          <cell r="AB224">
            <v>20</v>
          </cell>
          <cell r="AC224">
            <v>25</v>
          </cell>
          <cell r="AD224">
            <v>45</v>
          </cell>
          <cell r="AE224">
            <v>60</v>
          </cell>
          <cell r="AF224">
            <v>75</v>
          </cell>
        </row>
        <row r="225">
          <cell r="D225" t="str">
            <v>OPERATING PROFIT (LOSS)</v>
          </cell>
          <cell r="E225">
            <v>-12.715547219344666</v>
          </cell>
          <cell r="F225">
            <v>-20</v>
          </cell>
          <cell r="G225">
            <v>30</v>
          </cell>
          <cell r="H225">
            <v>-2.7155472193446655</v>
          </cell>
          <cell r="I225">
            <v>0</v>
          </cell>
          <cell r="J225">
            <v>-0.13</v>
          </cell>
          <cell r="K225">
            <v>-15</v>
          </cell>
          <cell r="L225">
            <v>-15.13</v>
          </cell>
          <cell r="M225">
            <v>0</v>
          </cell>
          <cell r="N225">
            <v>-5</v>
          </cell>
          <cell r="O225">
            <v>-5</v>
          </cell>
          <cell r="P225">
            <v>-10</v>
          </cell>
          <cell r="Q225">
            <v>-20</v>
          </cell>
          <cell r="R225">
            <v>-15</v>
          </cell>
          <cell r="S225">
            <v>-15</v>
          </cell>
          <cell r="T225">
            <v>-50</v>
          </cell>
          <cell r="U225">
            <v>-12.715547219344666</v>
          </cell>
          <cell r="V225">
            <v>-32.715547219344664</v>
          </cell>
          <cell r="W225">
            <v>-2.7155472193446641</v>
          </cell>
          <cell r="X225">
            <v>-2.7155472193446641</v>
          </cell>
          <cell r="Y225">
            <v>-2.845547219344664</v>
          </cell>
          <cell r="Z225">
            <v>-17.845547219344663</v>
          </cell>
          <cell r="AA225">
            <v>-17.845547219344663</v>
          </cell>
          <cell r="AB225">
            <v>-22.845547219344663</v>
          </cell>
          <cell r="AC225">
            <v>-27.845547219344663</v>
          </cell>
          <cell r="AD225">
            <v>-47.845547219344667</v>
          </cell>
          <cell r="AE225">
            <v>-62.845547219344667</v>
          </cell>
          <cell r="AF225">
            <v>-77.845547219344667</v>
          </cell>
        </row>
        <row r="228">
          <cell r="D228">
            <v>4</v>
          </cell>
          <cell r="E228">
            <v>5</v>
          </cell>
          <cell r="F228">
            <v>6</v>
          </cell>
          <cell r="G228">
            <v>7</v>
          </cell>
          <cell r="H228">
            <v>8</v>
          </cell>
          <cell r="I228">
            <v>9</v>
          </cell>
          <cell r="J228">
            <v>10</v>
          </cell>
          <cell r="K228">
            <v>11</v>
          </cell>
          <cell r="L228">
            <v>12</v>
          </cell>
          <cell r="M228">
            <v>13</v>
          </cell>
          <cell r="N228">
            <v>14</v>
          </cell>
          <cell r="O228">
            <v>15</v>
          </cell>
          <cell r="P228">
            <v>16</v>
          </cell>
          <cell r="Q228">
            <v>17</v>
          </cell>
          <cell r="R228">
            <v>18</v>
          </cell>
          <cell r="S228">
            <v>19</v>
          </cell>
          <cell r="T228">
            <v>20</v>
          </cell>
          <cell r="U228">
            <v>21</v>
          </cell>
          <cell r="V228">
            <v>22</v>
          </cell>
          <cell r="W228">
            <v>23</v>
          </cell>
          <cell r="X228">
            <v>24</v>
          </cell>
          <cell r="Y228">
            <v>25</v>
          </cell>
          <cell r="Z228">
            <v>26</v>
          </cell>
          <cell r="AA228">
            <v>27</v>
          </cell>
          <cell r="AB228">
            <v>28</v>
          </cell>
          <cell r="AC228">
            <v>29</v>
          </cell>
          <cell r="AD228">
            <v>30</v>
          </cell>
          <cell r="AE228">
            <v>31</v>
          </cell>
          <cell r="AF228">
            <v>32</v>
          </cell>
        </row>
        <row r="229">
          <cell r="E229" t="str">
            <v>Actual</v>
          </cell>
          <cell r="F229" t="str">
            <v>Actual</v>
          </cell>
          <cell r="G229" t="str">
            <v>Actual</v>
          </cell>
          <cell r="H229" t="str">
            <v>Actual</v>
          </cell>
          <cell r="I229" t="str">
            <v>Actual</v>
          </cell>
          <cell r="J229" t="str">
            <v>Actual</v>
          </cell>
          <cell r="K229" t="str">
            <v>Actual</v>
          </cell>
          <cell r="L229" t="str">
            <v>Actual</v>
          </cell>
          <cell r="M229" t="str">
            <v>Actual</v>
          </cell>
          <cell r="N229" t="str">
            <v>Actual</v>
          </cell>
          <cell r="O229" t="str">
            <v>Actual</v>
          </cell>
          <cell r="P229" t="str">
            <v>Actual</v>
          </cell>
          <cell r="Q229" t="str">
            <v>Actual</v>
          </cell>
          <cell r="R229" t="str">
            <v>Actual</v>
          </cell>
          <cell r="S229" t="str">
            <v>Actual</v>
          </cell>
          <cell r="T229" t="str">
            <v>Actual</v>
          </cell>
          <cell r="U229" t="str">
            <v>Cumu Act</v>
          </cell>
          <cell r="V229" t="str">
            <v>Cumu Act</v>
          </cell>
          <cell r="W229" t="str">
            <v>Cumu Act</v>
          </cell>
          <cell r="X229" t="str">
            <v>Cumu Act</v>
          </cell>
          <cell r="Y229" t="str">
            <v>Cumu Act</v>
          </cell>
          <cell r="Z229" t="str">
            <v>Cumu Act</v>
          </cell>
          <cell r="AA229" t="str">
            <v>Cumu Act</v>
          </cell>
          <cell r="AB229" t="str">
            <v>Cumu Act</v>
          </cell>
          <cell r="AC229" t="str">
            <v>Cumu Act</v>
          </cell>
          <cell r="AD229" t="str">
            <v>Cumu Act</v>
          </cell>
          <cell r="AE229" t="str">
            <v>Cumu Act</v>
          </cell>
          <cell r="AF229" t="str">
            <v>Cumu Act</v>
          </cell>
        </row>
        <row r="230">
          <cell r="D230" t="str">
            <v>Particulars</v>
          </cell>
          <cell r="E230">
            <v>41651</v>
          </cell>
          <cell r="F230">
            <v>41682</v>
          </cell>
          <cell r="G230">
            <v>41710</v>
          </cell>
          <cell r="H230" t="str">
            <v>Q-1</v>
          </cell>
          <cell r="I230">
            <v>41741</v>
          </cell>
          <cell r="J230">
            <v>41771</v>
          </cell>
          <cell r="K230">
            <v>41802</v>
          </cell>
          <cell r="L230" t="str">
            <v>Q-2</v>
          </cell>
          <cell r="M230">
            <v>41832</v>
          </cell>
          <cell r="N230">
            <v>41863</v>
          </cell>
          <cell r="O230">
            <v>41894</v>
          </cell>
          <cell r="P230" t="str">
            <v>Q-3</v>
          </cell>
          <cell r="Q230">
            <v>41924</v>
          </cell>
          <cell r="R230">
            <v>41955</v>
          </cell>
          <cell r="S230">
            <v>41985</v>
          </cell>
          <cell r="T230" t="str">
            <v>Q-4</v>
          </cell>
          <cell r="U230">
            <v>41651</v>
          </cell>
          <cell r="V230">
            <v>41682</v>
          </cell>
          <cell r="W230">
            <v>41710</v>
          </cell>
          <cell r="X230">
            <v>41741</v>
          </cell>
          <cell r="Y230">
            <v>41771</v>
          </cell>
          <cell r="Z230">
            <v>41802</v>
          </cell>
          <cell r="AA230">
            <v>41832</v>
          </cell>
          <cell r="AB230">
            <v>41863</v>
          </cell>
          <cell r="AC230">
            <v>41894</v>
          </cell>
          <cell r="AD230">
            <v>41924</v>
          </cell>
          <cell r="AE230">
            <v>41955</v>
          </cell>
          <cell r="AF230">
            <v>41985</v>
          </cell>
        </row>
        <row r="232">
          <cell r="D232" t="str">
            <v>Sales</v>
          </cell>
          <cell r="E232">
            <v>673.49</v>
          </cell>
          <cell r="F232">
            <v>845.3</v>
          </cell>
          <cell r="G232">
            <v>810.2</v>
          </cell>
          <cell r="H232">
            <v>2328.9899999999998</v>
          </cell>
          <cell r="I232">
            <v>916.78</v>
          </cell>
          <cell r="J232">
            <v>928.03</v>
          </cell>
          <cell r="K232">
            <v>0</v>
          </cell>
          <cell r="L232">
            <v>1844.81</v>
          </cell>
          <cell r="M232">
            <v>0</v>
          </cell>
          <cell r="N232">
            <v>0</v>
          </cell>
          <cell r="O232">
            <v>0</v>
          </cell>
          <cell r="P232">
            <v>0</v>
          </cell>
          <cell r="Q232">
            <v>0</v>
          </cell>
          <cell r="R232">
            <v>0</v>
          </cell>
          <cell r="S232">
            <v>0</v>
          </cell>
          <cell r="T232">
            <v>0</v>
          </cell>
          <cell r="U232">
            <v>673.49</v>
          </cell>
          <cell r="V232">
            <v>1518.79</v>
          </cell>
          <cell r="W232">
            <v>2328.9899999999998</v>
          </cell>
          <cell r="X232">
            <v>3245.7699999999995</v>
          </cell>
          <cell r="Y232">
            <v>4173.7999999999993</v>
          </cell>
          <cell r="Z232">
            <v>4173.7999999999993</v>
          </cell>
          <cell r="AA232">
            <v>4173.7999999999993</v>
          </cell>
          <cell r="AB232">
            <v>4173.7999999999993</v>
          </cell>
          <cell r="AC232">
            <v>4173.7999999999993</v>
          </cell>
          <cell r="AD232">
            <v>4173.7999999999993</v>
          </cell>
          <cell r="AE232">
            <v>4173.7999999999993</v>
          </cell>
          <cell r="AF232">
            <v>4173.7999999999993</v>
          </cell>
        </row>
        <row r="233">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D234" t="str">
            <v>Cost of Goods Sold</v>
          </cell>
          <cell r="E234">
            <v>221.35</v>
          </cell>
          <cell r="F234">
            <v>304.91000000000003</v>
          </cell>
          <cell r="G234">
            <v>319.83</v>
          </cell>
          <cell r="H234">
            <v>846.08999999999992</v>
          </cell>
          <cell r="I234">
            <v>327.14999999999998</v>
          </cell>
          <cell r="J234">
            <v>337.15</v>
          </cell>
          <cell r="K234">
            <v>0</v>
          </cell>
          <cell r="L234">
            <v>664.3</v>
          </cell>
          <cell r="M234">
            <v>0</v>
          </cell>
          <cell r="N234">
            <v>0</v>
          </cell>
          <cell r="O234">
            <v>0</v>
          </cell>
          <cell r="P234">
            <v>0</v>
          </cell>
          <cell r="Q234">
            <v>0</v>
          </cell>
          <cell r="R234">
            <v>0</v>
          </cell>
          <cell r="S234">
            <v>0</v>
          </cell>
          <cell r="T234">
            <v>0</v>
          </cell>
          <cell r="U234">
            <v>221.35</v>
          </cell>
          <cell r="V234">
            <v>526.26</v>
          </cell>
          <cell r="W234">
            <v>846.08999999999992</v>
          </cell>
          <cell r="X234">
            <v>1173.2399999999998</v>
          </cell>
          <cell r="Y234">
            <v>1510.3899999999999</v>
          </cell>
          <cell r="Z234">
            <v>1510.3899999999999</v>
          </cell>
          <cell r="AA234">
            <v>1510.3899999999999</v>
          </cell>
          <cell r="AB234">
            <v>1510.3899999999999</v>
          </cell>
          <cell r="AC234">
            <v>1510.3899999999999</v>
          </cell>
          <cell r="AD234">
            <v>1510.3899999999999</v>
          </cell>
          <cell r="AE234">
            <v>1510.3899999999999</v>
          </cell>
          <cell r="AF234">
            <v>1510.3899999999999</v>
          </cell>
        </row>
        <row r="235">
          <cell r="D235" t="str">
            <v>ED Savings</v>
          </cell>
          <cell r="E235">
            <v>27.169879463999997</v>
          </cell>
          <cell r="F235">
            <v>30.111976888000001</v>
          </cell>
          <cell r="G235">
            <v>43.32</v>
          </cell>
          <cell r="H235">
            <v>100.601856352</v>
          </cell>
          <cell r="I235">
            <v>44.55</v>
          </cell>
          <cell r="J235">
            <v>47.51</v>
          </cell>
          <cell r="K235">
            <v>0</v>
          </cell>
          <cell r="L235">
            <v>92.06</v>
          </cell>
          <cell r="M235">
            <v>0</v>
          </cell>
          <cell r="N235">
            <v>0</v>
          </cell>
          <cell r="O235">
            <v>0</v>
          </cell>
          <cell r="P235">
            <v>0</v>
          </cell>
          <cell r="Q235">
            <v>0</v>
          </cell>
          <cell r="R235">
            <v>0</v>
          </cell>
          <cell r="S235">
            <v>0</v>
          </cell>
          <cell r="T235">
            <v>0</v>
          </cell>
          <cell r="U235">
            <v>27.169879463999997</v>
          </cell>
          <cell r="V235">
            <v>57.281856351999998</v>
          </cell>
          <cell r="W235">
            <v>100.601856352</v>
          </cell>
          <cell r="X235">
            <v>145.15185635199998</v>
          </cell>
          <cell r="Y235">
            <v>192.66185635199997</v>
          </cell>
          <cell r="Z235">
            <v>192.66185635199997</v>
          </cell>
          <cell r="AA235">
            <v>192.66185635199997</v>
          </cell>
          <cell r="AB235">
            <v>192.66185635199997</v>
          </cell>
          <cell r="AC235">
            <v>192.66185635199997</v>
          </cell>
          <cell r="AD235">
            <v>192.66185635199997</v>
          </cell>
          <cell r="AE235">
            <v>192.66185635199997</v>
          </cell>
          <cell r="AF235">
            <v>192.66185635199997</v>
          </cell>
        </row>
        <row r="236">
          <cell r="D236" t="str">
            <v>PRISM II &amp; PSM Savings</v>
          </cell>
          <cell r="E236">
            <v>10.097288530915947</v>
          </cell>
          <cell r="F236">
            <v>14.289504382692048</v>
          </cell>
          <cell r="G236">
            <v>16.567918722828285</v>
          </cell>
          <cell r="H236">
            <v>40.954711636436279</v>
          </cell>
          <cell r="I236">
            <v>20.417994751392268</v>
          </cell>
          <cell r="J236">
            <v>22.780838836231368</v>
          </cell>
          <cell r="K236">
            <v>0</v>
          </cell>
          <cell r="L236">
            <v>43.198833587623639</v>
          </cell>
          <cell r="M236">
            <v>0</v>
          </cell>
          <cell r="N236">
            <v>0</v>
          </cell>
          <cell r="O236">
            <v>0</v>
          </cell>
          <cell r="P236">
            <v>0</v>
          </cell>
          <cell r="Q236">
            <v>0</v>
          </cell>
          <cell r="R236">
            <v>0</v>
          </cell>
          <cell r="S236">
            <v>0</v>
          </cell>
          <cell r="T236">
            <v>0</v>
          </cell>
          <cell r="U236">
            <v>10.097288530915947</v>
          </cell>
          <cell r="V236">
            <v>24.386792913607994</v>
          </cell>
          <cell r="W236">
            <v>40.954711636436279</v>
          </cell>
          <cell r="X236">
            <v>61.372706387828543</v>
          </cell>
          <cell r="Y236">
            <v>84.153545224059911</v>
          </cell>
          <cell r="Z236">
            <v>84.153545224059911</v>
          </cell>
          <cell r="AA236">
            <v>84.153545224059911</v>
          </cell>
          <cell r="AB236">
            <v>84.153545224059911</v>
          </cell>
          <cell r="AC236">
            <v>84.153545224059911</v>
          </cell>
          <cell r="AD236">
            <v>84.153545224059911</v>
          </cell>
          <cell r="AE236">
            <v>84.153545224059911</v>
          </cell>
          <cell r="AF236">
            <v>84.153545224059911</v>
          </cell>
        </row>
        <row r="237">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D239" t="str">
            <v>Contribution</v>
          </cell>
          <cell r="E239">
            <v>489.40716799491594</v>
          </cell>
          <cell r="F239">
            <v>584.79148127069186</v>
          </cell>
          <cell r="G239">
            <v>550.25791872282832</v>
          </cell>
          <cell r="H239">
            <v>1624.4565679884361</v>
          </cell>
          <cell r="I239">
            <v>654.59799475139221</v>
          </cell>
          <cell r="J239">
            <v>661.17083883623138</v>
          </cell>
          <cell r="K239">
            <v>0</v>
          </cell>
          <cell r="L239">
            <v>1315.7688335876235</v>
          </cell>
          <cell r="M239">
            <v>0</v>
          </cell>
          <cell r="N239">
            <v>0</v>
          </cell>
          <cell r="O239">
            <v>0</v>
          </cell>
          <cell r="P239">
            <v>0</v>
          </cell>
          <cell r="Q239">
            <v>0</v>
          </cell>
          <cell r="R239">
            <v>0</v>
          </cell>
          <cell r="S239">
            <v>0</v>
          </cell>
          <cell r="T239">
            <v>0</v>
          </cell>
          <cell r="U239">
            <v>489.40716799491594</v>
          </cell>
          <cell r="V239">
            <v>1074.1986492656079</v>
          </cell>
          <cell r="W239">
            <v>1624.4565679884363</v>
          </cell>
          <cell r="X239">
            <v>2279.0545627398287</v>
          </cell>
          <cell r="Y239">
            <v>2940.22540157606</v>
          </cell>
          <cell r="Z239">
            <v>2940.22540157606</v>
          </cell>
          <cell r="AA239">
            <v>2940.22540157606</v>
          </cell>
          <cell r="AB239">
            <v>2940.22540157606</v>
          </cell>
          <cell r="AC239">
            <v>2940.22540157606</v>
          </cell>
          <cell r="AD239">
            <v>2940.22540157606</v>
          </cell>
          <cell r="AE239">
            <v>2940.22540157606</v>
          </cell>
          <cell r="AF239">
            <v>2940.22540157606</v>
          </cell>
        </row>
        <row r="240">
          <cell r="D240">
            <v>0</v>
          </cell>
          <cell r="E240">
            <v>0.72667325126566973</v>
          </cell>
          <cell r="F240">
            <v>0.69181530967785621</v>
          </cell>
          <cell r="G240">
            <v>0.67916306927033854</v>
          </cell>
          <cell r="H240">
            <v>0.69749400726857402</v>
          </cell>
          <cell r="I240">
            <v>0.71401862469882871</v>
          </cell>
          <cell r="J240">
            <v>0.7124455446873823</v>
          </cell>
          <cell r="K240" t="e">
            <v>#DIV/0!</v>
          </cell>
          <cell r="L240">
            <v>0.71322728822351544</v>
          </cell>
          <cell r="M240" t="e">
            <v>#DIV/0!</v>
          </cell>
          <cell r="N240" t="e">
            <v>#DIV/0!</v>
          </cell>
          <cell r="O240" t="e">
            <v>#DIV/0!</v>
          </cell>
          <cell r="P240" t="e">
            <v>#DIV/0!</v>
          </cell>
          <cell r="Q240" t="e">
            <v>#DIV/0!</v>
          </cell>
          <cell r="R240" t="e">
            <v>#DIV/0!</v>
          </cell>
          <cell r="S240" t="e">
            <v>#DIV/0!</v>
          </cell>
          <cell r="T240" t="e">
            <v>#DIV/0!</v>
          </cell>
          <cell r="U240">
            <v>0.72667325126566973</v>
          </cell>
          <cell r="V240">
            <v>0.70727266394011545</v>
          </cell>
          <cell r="W240">
            <v>0.69749400726857413</v>
          </cell>
          <cell r="X240">
            <v>0.70216144789674839</v>
          </cell>
          <cell r="Y240">
            <v>0.70444808126313208</v>
          </cell>
          <cell r="Z240">
            <v>0.70444808126313208</v>
          </cell>
          <cell r="AA240">
            <v>0.70444808126313208</v>
          </cell>
          <cell r="AB240">
            <v>0.70444808126313208</v>
          </cell>
          <cell r="AC240">
            <v>0.70444808126313208</v>
          </cell>
          <cell r="AD240">
            <v>0.70444808126313208</v>
          </cell>
          <cell r="AE240">
            <v>0.70444808126313208</v>
          </cell>
          <cell r="AF240">
            <v>0.70444808126313208</v>
          </cell>
        </row>
        <row r="241">
          <cell r="D241" t="str">
            <v>Overheads</v>
          </cell>
        </row>
        <row r="242">
          <cell r="D242" t="str">
            <v>Advertisement Exp.</v>
          </cell>
          <cell r="E242">
            <v>826.80000000000007</v>
          </cell>
          <cell r="F242">
            <v>375.79999999999995</v>
          </cell>
          <cell r="G242">
            <v>147.48999999999998</v>
          </cell>
          <cell r="H242">
            <v>1350.09</v>
          </cell>
          <cell r="I242">
            <v>846.8</v>
          </cell>
          <cell r="J242">
            <v>479.79999999999995</v>
          </cell>
          <cell r="K242">
            <v>219.79999999999998</v>
          </cell>
          <cell r="L242">
            <v>1546.3999999999999</v>
          </cell>
          <cell r="M242">
            <v>687.8</v>
          </cell>
          <cell r="N242">
            <v>247.8</v>
          </cell>
          <cell r="O242">
            <v>248.79999999999998</v>
          </cell>
          <cell r="P242">
            <v>1184.3999999999999</v>
          </cell>
          <cell r="Q242">
            <v>371.79999999999995</v>
          </cell>
          <cell r="R242">
            <v>89.800000000000011</v>
          </cell>
          <cell r="S242">
            <v>34.799999999999997</v>
          </cell>
          <cell r="T242">
            <v>496.4</v>
          </cell>
          <cell r="U242">
            <v>826.80000000000007</v>
          </cell>
          <cell r="V242">
            <v>1202.5999999999999</v>
          </cell>
          <cell r="W242">
            <v>1350.09</v>
          </cell>
          <cell r="X242">
            <v>2196.89</v>
          </cell>
          <cell r="Y242">
            <v>2676.6899999999996</v>
          </cell>
          <cell r="Z242">
            <v>2896.49</v>
          </cell>
          <cell r="AA242">
            <v>3584.29</v>
          </cell>
          <cell r="AB242">
            <v>3832.09</v>
          </cell>
          <cell r="AC242">
            <v>4080.8900000000003</v>
          </cell>
          <cell r="AD242">
            <v>4452.6900000000005</v>
          </cell>
          <cell r="AE242">
            <v>4542.4900000000007</v>
          </cell>
          <cell r="AF242">
            <v>4577.2900000000009</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D244" t="str">
            <v>Total Overheads (a+b)</v>
          </cell>
          <cell r="E244">
            <v>826.80000000000007</v>
          </cell>
          <cell r="F244">
            <v>375.79999999999995</v>
          </cell>
          <cell r="G244">
            <v>147.48999999999998</v>
          </cell>
          <cell r="H244">
            <v>1350.09</v>
          </cell>
          <cell r="I244">
            <v>846.8</v>
          </cell>
          <cell r="J244">
            <v>479.79999999999995</v>
          </cell>
          <cell r="K244">
            <v>219.79999999999998</v>
          </cell>
          <cell r="L244">
            <v>1546.3999999999999</v>
          </cell>
          <cell r="M244">
            <v>687.8</v>
          </cell>
          <cell r="N244">
            <v>247.8</v>
          </cell>
          <cell r="O244">
            <v>248.79999999999998</v>
          </cell>
          <cell r="P244">
            <v>1184.3999999999999</v>
          </cell>
          <cell r="Q244">
            <v>371.79999999999995</v>
          </cell>
          <cell r="R244">
            <v>89.800000000000011</v>
          </cell>
          <cell r="S244">
            <v>34.799999999999997</v>
          </cell>
          <cell r="T244">
            <v>496.4</v>
          </cell>
          <cell r="U244">
            <v>826.80000000000007</v>
          </cell>
          <cell r="V244">
            <v>1202.5999999999999</v>
          </cell>
          <cell r="W244">
            <v>1350.09</v>
          </cell>
          <cell r="X244">
            <v>2196.89</v>
          </cell>
          <cell r="Y244">
            <v>2676.6899999999996</v>
          </cell>
          <cell r="Z244">
            <v>2896.49</v>
          </cell>
          <cell r="AA244">
            <v>3584.29</v>
          </cell>
          <cell r="AB244">
            <v>3832.09</v>
          </cell>
          <cell r="AC244">
            <v>4080.8900000000003</v>
          </cell>
          <cell r="AD244">
            <v>4452.6900000000005</v>
          </cell>
          <cell r="AE244">
            <v>4542.4900000000007</v>
          </cell>
          <cell r="AF244">
            <v>4577.2900000000009</v>
          </cell>
        </row>
        <row r="245">
          <cell r="D245" t="str">
            <v>OPERATING PROFIT (LOSS)</v>
          </cell>
          <cell r="E245">
            <v>-337.39283200508413</v>
          </cell>
          <cell r="F245">
            <v>208.99148127069191</v>
          </cell>
          <cell r="G245">
            <v>402.76791872282831</v>
          </cell>
          <cell r="H245">
            <v>274.36656798843615</v>
          </cell>
          <cell r="I245">
            <v>-192.20200524860775</v>
          </cell>
          <cell r="J245">
            <v>181.37083883623143</v>
          </cell>
          <cell r="K245">
            <v>-219.79999999999998</v>
          </cell>
          <cell r="L245">
            <v>-230.63116641237639</v>
          </cell>
          <cell r="M245">
            <v>-687.8</v>
          </cell>
          <cell r="N245">
            <v>-247.8</v>
          </cell>
          <cell r="O245">
            <v>-248.79999999999998</v>
          </cell>
          <cell r="P245">
            <v>-1184.3999999999999</v>
          </cell>
          <cell r="Q245">
            <v>-371.79999999999995</v>
          </cell>
          <cell r="R245">
            <v>-89.800000000000011</v>
          </cell>
          <cell r="S245">
            <v>-34.799999999999997</v>
          </cell>
          <cell r="T245">
            <v>-496.4</v>
          </cell>
          <cell r="U245">
            <v>-337.39283200508413</v>
          </cell>
          <cell r="V245">
            <v>-128.40135073439222</v>
          </cell>
          <cell r="W245">
            <v>274.36656798843609</v>
          </cell>
          <cell r="X245">
            <v>82.164562739828341</v>
          </cell>
          <cell r="Y245">
            <v>263.53540157605977</v>
          </cell>
          <cell r="Z245">
            <v>43.735401576059786</v>
          </cell>
          <cell r="AA245">
            <v>-644.0645984239402</v>
          </cell>
          <cell r="AB245">
            <v>-891.86459842394015</v>
          </cell>
          <cell r="AC245">
            <v>-1140.6645984239401</v>
          </cell>
          <cell r="AD245">
            <v>-1512.4645984239401</v>
          </cell>
          <cell r="AE245">
            <v>-1602.26459842394</v>
          </cell>
          <cell r="AF245">
            <v>-1637.06459842394</v>
          </cell>
        </row>
        <row r="248">
          <cell r="D248">
            <v>4</v>
          </cell>
          <cell r="E248">
            <v>5</v>
          </cell>
          <cell r="F248">
            <v>6</v>
          </cell>
          <cell r="G248">
            <v>7</v>
          </cell>
          <cell r="H248">
            <v>8</v>
          </cell>
          <cell r="I248">
            <v>9</v>
          </cell>
          <cell r="J248">
            <v>10</v>
          </cell>
          <cell r="K248">
            <v>11</v>
          </cell>
          <cell r="L248">
            <v>12</v>
          </cell>
          <cell r="M248">
            <v>13</v>
          </cell>
          <cell r="N248">
            <v>14</v>
          </cell>
          <cell r="O248">
            <v>15</v>
          </cell>
          <cell r="P248">
            <v>16</v>
          </cell>
          <cell r="Q248">
            <v>17</v>
          </cell>
          <cell r="R248">
            <v>18</v>
          </cell>
          <cell r="S248">
            <v>19</v>
          </cell>
          <cell r="T248">
            <v>20</v>
          </cell>
          <cell r="U248">
            <v>21</v>
          </cell>
          <cell r="V248">
            <v>22</v>
          </cell>
          <cell r="W248">
            <v>23</v>
          </cell>
          <cell r="X248">
            <v>24</v>
          </cell>
          <cell r="Y248">
            <v>25</v>
          </cell>
          <cell r="Z248">
            <v>26</v>
          </cell>
          <cell r="AA248">
            <v>27</v>
          </cell>
          <cell r="AB248">
            <v>28</v>
          </cell>
          <cell r="AC248">
            <v>29</v>
          </cell>
          <cell r="AD248">
            <v>30</v>
          </cell>
          <cell r="AE248">
            <v>31</v>
          </cell>
          <cell r="AF248">
            <v>32</v>
          </cell>
        </row>
        <row r="249">
          <cell r="E249" t="str">
            <v>Actual</v>
          </cell>
          <cell r="F249" t="str">
            <v>Actual</v>
          </cell>
          <cell r="G249" t="str">
            <v>Actual</v>
          </cell>
          <cell r="H249" t="str">
            <v>Actual</v>
          </cell>
          <cell r="I249" t="str">
            <v>Actual</v>
          </cell>
          <cell r="J249" t="str">
            <v>Actual</v>
          </cell>
          <cell r="K249" t="str">
            <v>Actual</v>
          </cell>
          <cell r="L249" t="str">
            <v>Actual</v>
          </cell>
          <cell r="M249" t="str">
            <v>Actual</v>
          </cell>
          <cell r="N249" t="str">
            <v>Actual</v>
          </cell>
          <cell r="O249" t="str">
            <v>Actual</v>
          </cell>
          <cell r="P249" t="str">
            <v>Actual</v>
          </cell>
          <cell r="Q249" t="str">
            <v>Actual</v>
          </cell>
          <cell r="R249" t="str">
            <v>Actual</v>
          </cell>
          <cell r="S249" t="str">
            <v>Actual</v>
          </cell>
          <cell r="T249" t="str">
            <v>Actual</v>
          </cell>
          <cell r="U249" t="str">
            <v>Cumu Act</v>
          </cell>
          <cell r="V249" t="str">
            <v>Cumu Act</v>
          </cell>
          <cell r="W249" t="str">
            <v>Cumu Act</v>
          </cell>
          <cell r="X249" t="str">
            <v>Cumu Act</v>
          </cell>
          <cell r="Y249" t="str">
            <v>Cumu Act</v>
          </cell>
          <cell r="Z249" t="str">
            <v>Cumu Act</v>
          </cell>
          <cell r="AA249" t="str">
            <v>Cumu Act</v>
          </cell>
          <cell r="AB249" t="str">
            <v>Cumu Act</v>
          </cell>
          <cell r="AC249" t="str">
            <v>Cumu Act</v>
          </cell>
          <cell r="AD249" t="str">
            <v>Cumu Act</v>
          </cell>
          <cell r="AE249" t="str">
            <v>Cumu Act</v>
          </cell>
          <cell r="AF249" t="str">
            <v>Cumu Act</v>
          </cell>
        </row>
        <row r="250">
          <cell r="D250" t="str">
            <v>Particulars</v>
          </cell>
          <cell r="E250">
            <v>41651</v>
          </cell>
          <cell r="F250">
            <v>41682</v>
          </cell>
          <cell r="G250">
            <v>41710</v>
          </cell>
          <cell r="H250" t="str">
            <v>Q-1</v>
          </cell>
          <cell r="I250">
            <v>41741</v>
          </cell>
          <cell r="J250">
            <v>41771</v>
          </cell>
          <cell r="K250">
            <v>41802</v>
          </cell>
          <cell r="L250" t="str">
            <v>Q-2</v>
          </cell>
          <cell r="M250">
            <v>41832</v>
          </cell>
          <cell r="N250">
            <v>41863</v>
          </cell>
          <cell r="O250">
            <v>41894</v>
          </cell>
          <cell r="P250" t="str">
            <v>Q-3</v>
          </cell>
          <cell r="Q250">
            <v>41924</v>
          </cell>
          <cell r="R250">
            <v>41955</v>
          </cell>
          <cell r="S250">
            <v>41985</v>
          </cell>
          <cell r="T250" t="str">
            <v>Q-4</v>
          </cell>
          <cell r="U250">
            <v>41651</v>
          </cell>
          <cell r="V250">
            <v>41682</v>
          </cell>
          <cell r="W250">
            <v>41710</v>
          </cell>
          <cell r="X250">
            <v>41741</v>
          </cell>
          <cell r="Y250">
            <v>41771</v>
          </cell>
          <cell r="Z250">
            <v>41802</v>
          </cell>
          <cell r="AA250">
            <v>41832</v>
          </cell>
          <cell r="AB250">
            <v>41863</v>
          </cell>
          <cell r="AC250">
            <v>41894</v>
          </cell>
          <cell r="AD250">
            <v>41924</v>
          </cell>
          <cell r="AE250">
            <v>41955</v>
          </cell>
          <cell r="AF250">
            <v>41985</v>
          </cell>
        </row>
        <row r="252">
          <cell r="D252" t="str">
            <v>Sales</v>
          </cell>
          <cell r="E252">
            <v>4.1301157999999996</v>
          </cell>
          <cell r="F252">
            <v>3.3463172999999995</v>
          </cell>
          <cell r="G252">
            <v>7.1556499999998135E-2</v>
          </cell>
          <cell r="H252">
            <v>7.5479895999999975</v>
          </cell>
          <cell r="I252">
            <v>1.195262600000002</v>
          </cell>
          <cell r="J252">
            <v>-0.72549070000000049</v>
          </cell>
          <cell r="K252">
            <v>0</v>
          </cell>
          <cell r="L252">
            <v>0.46977190000000146</v>
          </cell>
          <cell r="M252">
            <v>0</v>
          </cell>
          <cell r="N252">
            <v>0</v>
          </cell>
          <cell r="O252">
            <v>0</v>
          </cell>
          <cell r="P252">
            <v>0</v>
          </cell>
          <cell r="Q252">
            <v>0</v>
          </cell>
          <cell r="R252">
            <v>0</v>
          </cell>
          <cell r="S252">
            <v>0</v>
          </cell>
          <cell r="T252">
            <v>0</v>
          </cell>
          <cell r="U252">
            <v>4.1301157999999996</v>
          </cell>
          <cell r="V252">
            <v>7.4764330999999995</v>
          </cell>
          <cell r="W252">
            <v>7.5479895999999975</v>
          </cell>
          <cell r="X252">
            <v>8.7432521999999988</v>
          </cell>
          <cell r="Y252">
            <v>8.0177614999999989</v>
          </cell>
          <cell r="Z252">
            <v>8.0177614999999989</v>
          </cell>
          <cell r="AA252">
            <v>8.0177614999999989</v>
          </cell>
          <cell r="AB252">
            <v>8.0177614999999989</v>
          </cell>
          <cell r="AC252">
            <v>8.0177614999999989</v>
          </cell>
          <cell r="AD252">
            <v>8.0177614999999989</v>
          </cell>
          <cell r="AE252">
            <v>8.0177614999999989</v>
          </cell>
          <cell r="AF252">
            <v>8.0177614999999989</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D254" t="str">
            <v>Cost of Goods Sold</v>
          </cell>
          <cell r="E254">
            <v>1.7093602377925694</v>
          </cell>
          <cell r="F254">
            <v>1.5436402669898173</v>
          </cell>
          <cell r="G254">
            <v>0.35534341516950257</v>
          </cell>
          <cell r="H254">
            <v>3.6083439199518894</v>
          </cell>
          <cell r="I254">
            <v>0.59092042795417021</v>
          </cell>
          <cell r="J254">
            <v>-0.30911856048762454</v>
          </cell>
          <cell r="K254">
            <v>0</v>
          </cell>
          <cell r="L254">
            <v>0.28180186746654567</v>
          </cell>
          <cell r="M254">
            <v>0</v>
          </cell>
          <cell r="N254">
            <v>0</v>
          </cell>
          <cell r="O254">
            <v>0</v>
          </cell>
          <cell r="P254">
            <v>0</v>
          </cell>
          <cell r="Q254">
            <v>0</v>
          </cell>
          <cell r="R254">
            <v>0</v>
          </cell>
          <cell r="S254">
            <v>0</v>
          </cell>
          <cell r="T254">
            <v>0</v>
          </cell>
          <cell r="U254">
            <v>1.7093602377925694</v>
          </cell>
          <cell r="V254">
            <v>3.2530005047823867</v>
          </cell>
          <cell r="W254">
            <v>3.6083439199518894</v>
          </cell>
          <cell r="X254">
            <v>4.1992643479060598</v>
          </cell>
          <cell r="Y254">
            <v>3.8901457874184353</v>
          </cell>
          <cell r="Z254">
            <v>3.8901457874184353</v>
          </cell>
          <cell r="AA254">
            <v>3.8901457874184353</v>
          </cell>
          <cell r="AB254">
            <v>3.8901457874184353</v>
          </cell>
          <cell r="AC254">
            <v>3.8901457874184353</v>
          </cell>
          <cell r="AD254">
            <v>3.8901457874184353</v>
          </cell>
          <cell r="AE254">
            <v>3.8901457874184353</v>
          </cell>
          <cell r="AF254">
            <v>3.8901457874184353</v>
          </cell>
        </row>
        <row r="255">
          <cell r="D255" t="str">
            <v>ED Savings</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D256" t="str">
            <v>PRISM II &amp; PSM Savings</v>
          </cell>
          <cell r="E256">
            <v>6.1920698003971451E-2</v>
          </cell>
          <cell r="F256">
            <v>5.6568337541971159E-2</v>
          </cell>
          <cell r="G256">
            <v>1.4632711381017418E-3</v>
          </cell>
          <cell r="H256">
            <v>0.11995230668404436</v>
          </cell>
          <cell r="I256">
            <v>2.6620198404563273E-2</v>
          </cell>
          <cell r="J256">
            <v>-1.7809000478308558E-2</v>
          </cell>
          <cell r="K256">
            <v>0</v>
          </cell>
          <cell r="L256">
            <v>8.8111979262547151E-3</v>
          </cell>
          <cell r="M256">
            <v>0</v>
          </cell>
          <cell r="N256">
            <v>0</v>
          </cell>
          <cell r="O256">
            <v>0</v>
          </cell>
          <cell r="P256">
            <v>0</v>
          </cell>
          <cell r="Q256">
            <v>0</v>
          </cell>
          <cell r="R256">
            <v>0</v>
          </cell>
          <cell r="S256">
            <v>0</v>
          </cell>
          <cell r="T256">
            <v>0</v>
          </cell>
          <cell r="U256">
            <v>6.1920698003971451E-2</v>
          </cell>
          <cell r="V256">
            <v>0.11848903554594262</v>
          </cell>
          <cell r="W256">
            <v>0.11995230668404436</v>
          </cell>
          <cell r="X256">
            <v>0.14657250508860764</v>
          </cell>
          <cell r="Y256">
            <v>0.12876350461029909</v>
          </cell>
          <cell r="Z256">
            <v>0.12876350461029909</v>
          </cell>
          <cell r="AA256">
            <v>0.12876350461029909</v>
          </cell>
          <cell r="AB256">
            <v>0.12876350461029909</v>
          </cell>
          <cell r="AC256">
            <v>0.12876350461029909</v>
          </cell>
          <cell r="AD256">
            <v>0.12876350461029909</v>
          </cell>
          <cell r="AE256">
            <v>0.12876350461029909</v>
          </cell>
          <cell r="AF256">
            <v>0.12876350461029909</v>
          </cell>
        </row>
        <row r="257">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D259" t="str">
            <v>Contribution</v>
          </cell>
          <cell r="E259">
            <v>2.4826762602114014</v>
          </cell>
          <cell r="F259">
            <v>1.8592453705521534</v>
          </cell>
          <cell r="G259">
            <v>-0.2823236440314027</v>
          </cell>
          <cell r="H259">
            <v>4.0595979867321521</v>
          </cell>
          <cell r="I259">
            <v>0.63096237045039505</v>
          </cell>
          <cell r="J259">
            <v>-0.43418113999068453</v>
          </cell>
          <cell r="K259">
            <v>0</v>
          </cell>
          <cell r="L259">
            <v>0.19678123045971049</v>
          </cell>
          <cell r="M259">
            <v>0</v>
          </cell>
          <cell r="N259">
            <v>0</v>
          </cell>
          <cell r="O259">
            <v>0</v>
          </cell>
          <cell r="P259">
            <v>0</v>
          </cell>
          <cell r="Q259">
            <v>0</v>
          </cell>
          <cell r="R259">
            <v>0</v>
          </cell>
          <cell r="S259">
            <v>0</v>
          </cell>
          <cell r="T259">
            <v>0</v>
          </cell>
          <cell r="U259">
            <v>2.4826762602114014</v>
          </cell>
          <cell r="V259">
            <v>4.3419216307635544</v>
          </cell>
          <cell r="W259">
            <v>4.0595979867321521</v>
          </cell>
          <cell r="X259">
            <v>4.6905603571825472</v>
          </cell>
          <cell r="Y259">
            <v>4.2563792171918626</v>
          </cell>
          <cell r="Z259">
            <v>4.2563792171918626</v>
          </cell>
          <cell r="AA259">
            <v>4.2563792171918626</v>
          </cell>
          <cell r="AB259">
            <v>4.2563792171918626</v>
          </cell>
          <cell r="AC259">
            <v>4.2563792171918626</v>
          </cell>
          <cell r="AD259">
            <v>4.2563792171918626</v>
          </cell>
          <cell r="AE259">
            <v>4.2563792171918626</v>
          </cell>
          <cell r="AF259">
            <v>4.2563792171918626</v>
          </cell>
        </row>
        <row r="260">
          <cell r="D260">
            <v>0</v>
          </cell>
          <cell r="E260">
            <v>0.60111541187571582</v>
          </cell>
          <cell r="F260">
            <v>0.55560940695975058</v>
          </cell>
          <cell r="G260">
            <v>-3.9454646891814167</v>
          </cell>
          <cell r="H260">
            <v>0.53783831216886591</v>
          </cell>
          <cell r="I260">
            <v>0.52788598124829977</v>
          </cell>
          <cell r="J260">
            <v>0.59846547997194754</v>
          </cell>
          <cell r="K260" t="e">
            <v>#DIV/0!</v>
          </cell>
          <cell r="L260">
            <v>0.41888676283045001</v>
          </cell>
          <cell r="M260" t="e">
            <v>#DIV/0!</v>
          </cell>
          <cell r="N260" t="e">
            <v>#DIV/0!</v>
          </cell>
          <cell r="O260" t="e">
            <v>#DIV/0!</v>
          </cell>
          <cell r="P260" t="e">
            <v>#DIV/0!</v>
          </cell>
          <cell r="Q260" t="e">
            <v>#DIV/0!</v>
          </cell>
          <cell r="R260" t="e">
            <v>#DIV/0!</v>
          </cell>
          <cell r="S260" t="e">
            <v>#DIV/0!</v>
          </cell>
          <cell r="T260" t="e">
            <v>#DIV/0!</v>
          </cell>
          <cell r="U260">
            <v>0.60111541187571582</v>
          </cell>
          <cell r="V260">
            <v>0.58074774062561396</v>
          </cell>
          <cell r="W260">
            <v>0.53783831216886591</v>
          </cell>
          <cell r="X260">
            <v>0.53647776020718563</v>
          </cell>
          <cell r="Y260">
            <v>0.53086877393295662</v>
          </cell>
          <cell r="Z260">
            <v>0.53086877393295662</v>
          </cell>
          <cell r="AA260">
            <v>0.53086877393295662</v>
          </cell>
          <cell r="AB260">
            <v>0.53086877393295662</v>
          </cell>
          <cell r="AC260">
            <v>0.53086877393295662</v>
          </cell>
          <cell r="AD260">
            <v>0.53086877393295662</v>
          </cell>
          <cell r="AE260">
            <v>0.53086877393295662</v>
          </cell>
          <cell r="AF260">
            <v>0.53086877393295662</v>
          </cell>
        </row>
        <row r="261">
          <cell r="D261" t="str">
            <v>Overheads</v>
          </cell>
        </row>
        <row r="262">
          <cell r="D262" t="str">
            <v>Advertisement Exp.</v>
          </cell>
          <cell r="E262">
            <v>6</v>
          </cell>
          <cell r="F262">
            <v>1</v>
          </cell>
          <cell r="G262">
            <v>-6.98</v>
          </cell>
          <cell r="H262">
            <v>1.9999999999999574E-2</v>
          </cell>
          <cell r="I262">
            <v>0</v>
          </cell>
          <cell r="J262">
            <v>177</v>
          </cell>
          <cell r="K262">
            <v>25</v>
          </cell>
          <cell r="L262">
            <v>202</v>
          </cell>
          <cell r="M262">
            <v>106</v>
          </cell>
          <cell r="N262">
            <v>51</v>
          </cell>
          <cell r="O262">
            <v>6</v>
          </cell>
          <cell r="P262">
            <v>163</v>
          </cell>
          <cell r="Q262">
            <v>3</v>
          </cell>
          <cell r="R262">
            <v>0</v>
          </cell>
          <cell r="S262">
            <v>0</v>
          </cell>
          <cell r="T262">
            <v>3</v>
          </cell>
          <cell r="U262">
            <v>6</v>
          </cell>
          <cell r="V262">
            <v>7</v>
          </cell>
          <cell r="W262">
            <v>1.9999999999999574E-2</v>
          </cell>
          <cell r="X262">
            <v>1.9999999999999574E-2</v>
          </cell>
          <cell r="Y262">
            <v>177.02</v>
          </cell>
          <cell r="Z262">
            <v>202.02</v>
          </cell>
          <cell r="AA262">
            <v>308.02</v>
          </cell>
          <cell r="AB262">
            <v>359.02</v>
          </cell>
          <cell r="AC262">
            <v>365.02</v>
          </cell>
          <cell r="AD262">
            <v>368.02</v>
          </cell>
          <cell r="AE262">
            <v>368.02</v>
          </cell>
          <cell r="AF262">
            <v>368.02</v>
          </cell>
        </row>
        <row r="263">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D264" t="str">
            <v>Total Overheads (a+b)</v>
          </cell>
          <cell r="E264">
            <v>6</v>
          </cell>
          <cell r="F264">
            <v>1</v>
          </cell>
          <cell r="G264">
            <v>-6.98</v>
          </cell>
          <cell r="H264">
            <v>1.9999999999999574E-2</v>
          </cell>
          <cell r="I264">
            <v>0</v>
          </cell>
          <cell r="J264">
            <v>177</v>
          </cell>
          <cell r="K264">
            <v>25</v>
          </cell>
          <cell r="L264">
            <v>202</v>
          </cell>
          <cell r="M264">
            <v>106</v>
          </cell>
          <cell r="N264">
            <v>51</v>
          </cell>
          <cell r="O264">
            <v>6</v>
          </cell>
          <cell r="P264">
            <v>163</v>
          </cell>
          <cell r="Q264">
            <v>3</v>
          </cell>
          <cell r="R264">
            <v>0</v>
          </cell>
          <cell r="S264">
            <v>0</v>
          </cell>
          <cell r="T264">
            <v>3</v>
          </cell>
          <cell r="U264">
            <v>6</v>
          </cell>
          <cell r="V264">
            <v>7</v>
          </cell>
          <cell r="W264">
            <v>1.9999999999999574E-2</v>
          </cell>
          <cell r="X264">
            <v>1.9999999999999574E-2</v>
          </cell>
          <cell r="Y264">
            <v>177.02</v>
          </cell>
          <cell r="Z264">
            <v>202.02</v>
          </cell>
          <cell r="AA264">
            <v>308.02</v>
          </cell>
          <cell r="AB264">
            <v>359.02</v>
          </cell>
          <cell r="AC264">
            <v>365.02</v>
          </cell>
          <cell r="AD264">
            <v>368.02</v>
          </cell>
          <cell r="AE264">
            <v>368.02</v>
          </cell>
          <cell r="AF264">
            <v>368.02</v>
          </cell>
        </row>
        <row r="265">
          <cell r="D265" t="str">
            <v>OPERATING PROFIT (LOSS)</v>
          </cell>
          <cell r="E265">
            <v>-3.5173237397885986</v>
          </cell>
          <cell r="F265">
            <v>0.85924537055215344</v>
          </cell>
          <cell r="G265">
            <v>6.6976763559685981</v>
          </cell>
          <cell r="H265">
            <v>4.0395979867321525</v>
          </cell>
          <cell r="I265">
            <v>0.63096237045039505</v>
          </cell>
          <cell r="J265">
            <v>-177.4341811399907</v>
          </cell>
          <cell r="K265">
            <v>-25</v>
          </cell>
          <cell r="L265">
            <v>-201.80321876954028</v>
          </cell>
          <cell r="M265">
            <v>-106</v>
          </cell>
          <cell r="N265">
            <v>-51</v>
          </cell>
          <cell r="O265">
            <v>-6</v>
          </cell>
          <cell r="P265">
            <v>-163</v>
          </cell>
          <cell r="Q265">
            <v>-3</v>
          </cell>
          <cell r="R265">
            <v>0</v>
          </cell>
          <cell r="S265">
            <v>0</v>
          </cell>
          <cell r="T265">
            <v>-3</v>
          </cell>
          <cell r="U265">
            <v>-3.5173237397885986</v>
          </cell>
          <cell r="V265">
            <v>-2.6580783692364451</v>
          </cell>
          <cell r="W265">
            <v>4.0395979867321525</v>
          </cell>
          <cell r="X265">
            <v>4.6705603571825476</v>
          </cell>
          <cell r="Y265">
            <v>-172.76362078280815</v>
          </cell>
          <cell r="Z265">
            <v>-197.76362078280815</v>
          </cell>
          <cell r="AA265">
            <v>-303.76362078280818</v>
          </cell>
          <cell r="AB265">
            <v>-354.76362078280818</v>
          </cell>
          <cell r="AC265">
            <v>-360.76362078280818</v>
          </cell>
          <cell r="AD265">
            <v>-363.76362078280818</v>
          </cell>
          <cell r="AE265">
            <v>-363.76362078280818</v>
          </cell>
          <cell r="AF265">
            <v>-363.76362078280818</v>
          </cell>
        </row>
        <row r="268">
          <cell r="D268">
            <v>4</v>
          </cell>
          <cell r="E268">
            <v>5</v>
          </cell>
          <cell r="F268">
            <v>6</v>
          </cell>
          <cell r="G268">
            <v>7</v>
          </cell>
          <cell r="H268">
            <v>8</v>
          </cell>
          <cell r="I268">
            <v>9</v>
          </cell>
          <cell r="J268">
            <v>10</v>
          </cell>
          <cell r="K268">
            <v>11</v>
          </cell>
          <cell r="L268">
            <v>12</v>
          </cell>
          <cell r="M268">
            <v>13</v>
          </cell>
          <cell r="N268">
            <v>14</v>
          </cell>
          <cell r="O268">
            <v>15</v>
          </cell>
          <cell r="P268">
            <v>16</v>
          </cell>
          <cell r="Q268">
            <v>17</v>
          </cell>
          <cell r="R268">
            <v>18</v>
          </cell>
          <cell r="S268">
            <v>19</v>
          </cell>
          <cell r="T268">
            <v>20</v>
          </cell>
          <cell r="U268">
            <v>21</v>
          </cell>
          <cell r="V268">
            <v>22</v>
          </cell>
          <cell r="W268">
            <v>23</v>
          </cell>
          <cell r="X268">
            <v>24</v>
          </cell>
          <cell r="Y268">
            <v>25</v>
          </cell>
          <cell r="Z268">
            <v>26</v>
          </cell>
          <cell r="AA268">
            <v>27</v>
          </cell>
          <cell r="AB268">
            <v>28</v>
          </cell>
          <cell r="AC268">
            <v>29</v>
          </cell>
          <cell r="AD268">
            <v>30</v>
          </cell>
          <cell r="AE268">
            <v>31</v>
          </cell>
          <cell r="AF268">
            <v>32</v>
          </cell>
        </row>
        <row r="269">
          <cell r="E269" t="str">
            <v>Actual</v>
          </cell>
          <cell r="F269" t="str">
            <v>Actual</v>
          </cell>
          <cell r="G269" t="str">
            <v>Actual</v>
          </cell>
          <cell r="H269" t="str">
            <v>Actual</v>
          </cell>
          <cell r="I269" t="str">
            <v>Actual</v>
          </cell>
          <cell r="J269" t="str">
            <v>Actual</v>
          </cell>
          <cell r="K269" t="str">
            <v>Actual</v>
          </cell>
          <cell r="L269" t="str">
            <v>Actual</v>
          </cell>
          <cell r="M269" t="str">
            <v>Actual</v>
          </cell>
          <cell r="N269" t="str">
            <v>Actual</v>
          </cell>
          <cell r="O269" t="str">
            <v>Actual</v>
          </cell>
          <cell r="P269" t="str">
            <v>Actual</v>
          </cell>
          <cell r="Q269" t="str">
            <v>Actual</v>
          </cell>
          <cell r="R269" t="str">
            <v>Actual</v>
          </cell>
          <cell r="S269" t="str">
            <v>Actual</v>
          </cell>
          <cell r="T269" t="str">
            <v>Actual</v>
          </cell>
          <cell r="U269" t="str">
            <v>Cumu Act</v>
          </cell>
          <cell r="V269" t="str">
            <v>Cumu Act</v>
          </cell>
          <cell r="W269" t="str">
            <v>Cumu Act</v>
          </cell>
          <cell r="X269" t="str">
            <v>Cumu Act</v>
          </cell>
          <cell r="Y269" t="str">
            <v>Cumu Act</v>
          </cell>
          <cell r="Z269" t="str">
            <v>Cumu Act</v>
          </cell>
          <cell r="AA269" t="str">
            <v>Cumu Act</v>
          </cell>
          <cell r="AB269" t="str">
            <v>Cumu Act</v>
          </cell>
          <cell r="AC269" t="str">
            <v>Cumu Act</v>
          </cell>
          <cell r="AD269" t="str">
            <v>Cumu Act</v>
          </cell>
          <cell r="AE269" t="str">
            <v>Cumu Act</v>
          </cell>
          <cell r="AF269" t="str">
            <v>Cumu Act</v>
          </cell>
        </row>
        <row r="270">
          <cell r="D270" t="str">
            <v>Particulars</v>
          </cell>
          <cell r="E270">
            <v>41651</v>
          </cell>
          <cell r="F270">
            <v>41682</v>
          </cell>
          <cell r="G270">
            <v>41710</v>
          </cell>
          <cell r="H270" t="str">
            <v>Q-1</v>
          </cell>
          <cell r="I270">
            <v>41741</v>
          </cell>
          <cell r="J270">
            <v>41771</v>
          </cell>
          <cell r="K270">
            <v>41802</v>
          </cell>
          <cell r="L270" t="str">
            <v>Q-2</v>
          </cell>
          <cell r="M270">
            <v>41832</v>
          </cell>
          <cell r="N270">
            <v>41863</v>
          </cell>
          <cell r="O270">
            <v>41894</v>
          </cell>
          <cell r="P270" t="str">
            <v>Q-3</v>
          </cell>
          <cell r="Q270">
            <v>41924</v>
          </cell>
          <cell r="R270">
            <v>41955</v>
          </cell>
          <cell r="S270">
            <v>41985</v>
          </cell>
          <cell r="T270" t="str">
            <v>Q-4</v>
          </cell>
          <cell r="U270">
            <v>41651</v>
          </cell>
          <cell r="V270">
            <v>41682</v>
          </cell>
          <cell r="W270">
            <v>41710</v>
          </cell>
          <cell r="X270">
            <v>41741</v>
          </cell>
          <cell r="Y270">
            <v>41771</v>
          </cell>
          <cell r="Z270">
            <v>41802</v>
          </cell>
          <cell r="AA270">
            <v>41832</v>
          </cell>
          <cell r="AB270">
            <v>41863</v>
          </cell>
          <cell r="AC270">
            <v>41894</v>
          </cell>
          <cell r="AD270">
            <v>41924</v>
          </cell>
          <cell r="AE270">
            <v>41955</v>
          </cell>
          <cell r="AF270">
            <v>41985</v>
          </cell>
        </row>
        <row r="272">
          <cell r="D272" t="str">
            <v>Sales</v>
          </cell>
          <cell r="E272">
            <v>16.603844899999967</v>
          </cell>
          <cell r="F272">
            <v>18.146883699999979</v>
          </cell>
          <cell r="G272">
            <v>31.58361620000008</v>
          </cell>
          <cell r="H272">
            <v>66.334344800000025</v>
          </cell>
          <cell r="I272">
            <v>11.931040499999993</v>
          </cell>
          <cell r="J272">
            <v>8.5088565999999854</v>
          </cell>
          <cell r="K272">
            <v>0</v>
          </cell>
          <cell r="L272">
            <v>20.439897099999978</v>
          </cell>
          <cell r="M272">
            <v>0</v>
          </cell>
          <cell r="N272">
            <v>0</v>
          </cell>
          <cell r="O272">
            <v>0</v>
          </cell>
          <cell r="P272">
            <v>0</v>
          </cell>
          <cell r="Q272">
            <v>0</v>
          </cell>
          <cell r="R272">
            <v>0</v>
          </cell>
          <cell r="S272">
            <v>0</v>
          </cell>
          <cell r="T272">
            <v>0</v>
          </cell>
          <cell r="U272">
            <v>16.603844899999967</v>
          </cell>
          <cell r="V272">
            <v>34.750728599999945</v>
          </cell>
          <cell r="W272">
            <v>66.334344800000025</v>
          </cell>
          <cell r="X272">
            <v>78.26538530000002</v>
          </cell>
          <cell r="Y272">
            <v>86.774241900000007</v>
          </cell>
          <cell r="Z272">
            <v>86.774241900000007</v>
          </cell>
          <cell r="AA272">
            <v>86.774241900000007</v>
          </cell>
          <cell r="AB272">
            <v>86.774241900000007</v>
          </cell>
          <cell r="AC272">
            <v>86.774241900000007</v>
          </cell>
          <cell r="AD272">
            <v>86.774241900000007</v>
          </cell>
          <cell r="AE272">
            <v>86.774241900000007</v>
          </cell>
          <cell r="AF272">
            <v>86.774241900000007</v>
          </cell>
        </row>
        <row r="273">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D274" t="str">
            <v>Cost of Goods Sold</v>
          </cell>
          <cell r="E274">
            <v>10.626590801500003</v>
          </cell>
          <cell r="F274">
            <v>10.405383408499999</v>
          </cell>
          <cell r="G274">
            <v>18.023497708999997</v>
          </cell>
          <cell r="H274">
            <v>39.055471918999999</v>
          </cell>
          <cell r="I274">
            <v>7.2246574364999994</v>
          </cell>
          <cell r="J274">
            <v>5.0725277645000002</v>
          </cell>
          <cell r="K274">
            <v>0</v>
          </cell>
          <cell r="L274">
            <v>12.297185201</v>
          </cell>
          <cell r="M274">
            <v>0</v>
          </cell>
          <cell r="N274">
            <v>0</v>
          </cell>
          <cell r="O274">
            <v>0</v>
          </cell>
          <cell r="P274">
            <v>0</v>
          </cell>
          <cell r="Q274">
            <v>0</v>
          </cell>
          <cell r="R274">
            <v>0</v>
          </cell>
          <cell r="S274">
            <v>0</v>
          </cell>
          <cell r="T274">
            <v>0</v>
          </cell>
          <cell r="U274">
            <v>10.626590801500003</v>
          </cell>
          <cell r="V274">
            <v>21.031974210000001</v>
          </cell>
          <cell r="W274">
            <v>39.055471918999999</v>
          </cell>
          <cell r="X274">
            <v>46.280129355499994</v>
          </cell>
          <cell r="Y274">
            <v>51.352657119999996</v>
          </cell>
          <cell r="Z274">
            <v>51.352657119999996</v>
          </cell>
          <cell r="AA274">
            <v>51.352657119999996</v>
          </cell>
          <cell r="AB274">
            <v>51.352657119999996</v>
          </cell>
          <cell r="AC274">
            <v>51.352657119999996</v>
          </cell>
          <cell r="AD274">
            <v>51.352657119999996</v>
          </cell>
          <cell r="AE274">
            <v>51.352657119999996</v>
          </cell>
          <cell r="AF274">
            <v>51.352657119999996</v>
          </cell>
        </row>
        <row r="275">
          <cell r="D275" t="str">
            <v>ED Savings</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D276" t="str">
            <v>PRISM II &amp; PSM Savings</v>
          </cell>
          <cell r="E276">
            <v>0.2489328908786721</v>
          </cell>
          <cell r="F276">
            <v>0.30676679777990373</v>
          </cell>
          <cell r="G276">
            <v>0.64585878323204637</v>
          </cell>
          <cell r="H276">
            <v>1.2015584718906223</v>
          </cell>
          <cell r="I276">
            <v>0.26572124425450866</v>
          </cell>
          <cell r="J276">
            <v>0.20887136287103139</v>
          </cell>
          <cell r="K276">
            <v>0</v>
          </cell>
          <cell r="L276">
            <v>0.47459260712554008</v>
          </cell>
          <cell r="M276">
            <v>0</v>
          </cell>
          <cell r="N276">
            <v>0</v>
          </cell>
          <cell r="O276">
            <v>0</v>
          </cell>
          <cell r="P276">
            <v>0</v>
          </cell>
          <cell r="Q276">
            <v>0</v>
          </cell>
          <cell r="R276">
            <v>0</v>
          </cell>
          <cell r="S276">
            <v>0</v>
          </cell>
          <cell r="T276">
            <v>0</v>
          </cell>
          <cell r="U276">
            <v>0.2489328908786721</v>
          </cell>
          <cell r="V276">
            <v>0.55569968865857589</v>
          </cell>
          <cell r="W276">
            <v>1.2015584718906223</v>
          </cell>
          <cell r="X276">
            <v>1.467279716145131</v>
          </cell>
          <cell r="Y276">
            <v>1.6761510790161624</v>
          </cell>
          <cell r="Z276">
            <v>1.6761510790161624</v>
          </cell>
          <cell r="AA276">
            <v>1.6761510790161624</v>
          </cell>
          <cell r="AB276">
            <v>1.6761510790161624</v>
          </cell>
          <cell r="AC276">
            <v>1.6761510790161624</v>
          </cell>
          <cell r="AD276">
            <v>1.6761510790161624</v>
          </cell>
          <cell r="AE276">
            <v>1.6761510790161624</v>
          </cell>
          <cell r="AF276">
            <v>1.6761510790161624</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row>
        <row r="279">
          <cell r="D279" t="str">
            <v>Contribution</v>
          </cell>
          <cell r="E279">
            <v>6.2261869893786361</v>
          </cell>
          <cell r="F279">
            <v>8.048267089279884</v>
          </cell>
          <cell r="G279">
            <v>14.205977274232129</v>
          </cell>
          <cell r="H279">
            <v>28.480431352890648</v>
          </cell>
          <cell r="I279">
            <v>4.9721043077545017</v>
          </cell>
          <cell r="J279">
            <v>3.6452001983710165</v>
          </cell>
          <cell r="K279">
            <v>0</v>
          </cell>
          <cell r="L279">
            <v>8.6173045061255191</v>
          </cell>
          <cell r="M279">
            <v>0</v>
          </cell>
          <cell r="N279">
            <v>0</v>
          </cell>
          <cell r="O279">
            <v>0</v>
          </cell>
          <cell r="P279">
            <v>0</v>
          </cell>
          <cell r="Q279">
            <v>0</v>
          </cell>
          <cell r="R279">
            <v>0</v>
          </cell>
          <cell r="S279">
            <v>0</v>
          </cell>
          <cell r="T279">
            <v>0</v>
          </cell>
          <cell r="U279">
            <v>6.2261869893786361</v>
          </cell>
          <cell r="V279">
            <v>14.27445407865852</v>
          </cell>
          <cell r="W279">
            <v>28.480431352890648</v>
          </cell>
          <cell r="X279">
            <v>33.452535660645147</v>
          </cell>
          <cell r="Y279">
            <v>37.097735859016161</v>
          </cell>
          <cell r="Z279">
            <v>37.097735859016161</v>
          </cell>
          <cell r="AA279">
            <v>37.097735859016161</v>
          </cell>
          <cell r="AB279">
            <v>37.097735859016161</v>
          </cell>
          <cell r="AC279">
            <v>37.097735859016161</v>
          </cell>
          <cell r="AD279">
            <v>37.097735859016161</v>
          </cell>
          <cell r="AE279">
            <v>37.097735859016161</v>
          </cell>
          <cell r="AF279">
            <v>37.097735859016161</v>
          </cell>
        </row>
        <row r="280">
          <cell r="D280">
            <v>0</v>
          </cell>
          <cell r="E280">
            <v>0.37498465125861591</v>
          </cell>
          <cell r="F280">
            <v>0.4435068424051174</v>
          </cell>
          <cell r="G280">
            <v>0.44978944729679476</v>
          </cell>
          <cell r="H280">
            <v>0.42934668969385276</v>
          </cell>
          <cell r="I280">
            <v>0.41673685608178973</v>
          </cell>
          <cell r="J280">
            <v>0.42840070878277847</v>
          </cell>
          <cell r="K280" t="e">
            <v>#DIV/0!</v>
          </cell>
          <cell r="L280">
            <v>0.42159236242561748</v>
          </cell>
          <cell r="M280" t="e">
            <v>#DIV/0!</v>
          </cell>
          <cell r="N280" t="e">
            <v>#DIV/0!</v>
          </cell>
          <cell r="O280" t="e">
            <v>#DIV/0!</v>
          </cell>
          <cell r="P280" t="e">
            <v>#DIV/0!</v>
          </cell>
          <cell r="Q280" t="e">
            <v>#DIV/0!</v>
          </cell>
          <cell r="R280" t="e">
            <v>#DIV/0!</v>
          </cell>
          <cell r="S280" t="e">
            <v>#DIV/0!</v>
          </cell>
          <cell r="T280" t="e">
            <v>#DIV/0!</v>
          </cell>
          <cell r="U280">
            <v>0.37498465125861591</v>
          </cell>
          <cell r="V280">
            <v>0.41076704442561074</v>
          </cell>
          <cell r="W280">
            <v>0.42934668969385276</v>
          </cell>
          <cell r="X280">
            <v>0.4274244039356328</v>
          </cell>
          <cell r="Y280">
            <v>0.4275201378511399</v>
          </cell>
          <cell r="Z280">
            <v>0.4275201378511399</v>
          </cell>
          <cell r="AA280">
            <v>0.4275201378511399</v>
          </cell>
          <cell r="AB280">
            <v>0.4275201378511399</v>
          </cell>
          <cell r="AC280">
            <v>0.4275201378511399</v>
          </cell>
          <cell r="AD280">
            <v>0.4275201378511399</v>
          </cell>
          <cell r="AE280">
            <v>0.4275201378511399</v>
          </cell>
          <cell r="AF280">
            <v>0.4275201378511399</v>
          </cell>
        </row>
        <row r="281">
          <cell r="D281" t="str">
            <v>Overheads</v>
          </cell>
        </row>
        <row r="282">
          <cell r="D282" t="str">
            <v>Advertisement Exp.</v>
          </cell>
          <cell r="E282">
            <v>23</v>
          </cell>
          <cell r="F282">
            <v>5</v>
          </cell>
          <cell r="G282">
            <v>5</v>
          </cell>
          <cell r="H282">
            <v>33</v>
          </cell>
          <cell r="I282">
            <v>8.8888888888888893</v>
          </cell>
          <cell r="J282">
            <v>8.8888888888888893</v>
          </cell>
          <cell r="K282">
            <v>8.8888888888888893</v>
          </cell>
          <cell r="L282">
            <v>26.666666666666668</v>
          </cell>
          <cell r="M282">
            <v>8.8888888888888893</v>
          </cell>
          <cell r="N282">
            <v>8.8888888888888893</v>
          </cell>
          <cell r="O282">
            <v>8.8888888888888893</v>
          </cell>
          <cell r="P282">
            <v>26.666666666666668</v>
          </cell>
          <cell r="Q282">
            <v>8.8888888888888893</v>
          </cell>
          <cell r="R282">
            <v>8.8888888888888893</v>
          </cell>
          <cell r="S282">
            <v>8.8888888888888893</v>
          </cell>
          <cell r="T282">
            <v>26.666666666666668</v>
          </cell>
          <cell r="U282">
            <v>23</v>
          </cell>
          <cell r="V282">
            <v>28</v>
          </cell>
          <cell r="W282">
            <v>33</v>
          </cell>
          <cell r="X282">
            <v>41.888888888888886</v>
          </cell>
          <cell r="Y282">
            <v>50.777777777777771</v>
          </cell>
          <cell r="Z282">
            <v>59.666666666666657</v>
          </cell>
          <cell r="AA282">
            <v>68.555555555555543</v>
          </cell>
          <cell r="AB282">
            <v>77.444444444444429</v>
          </cell>
          <cell r="AC282">
            <v>86.333333333333314</v>
          </cell>
          <cell r="AD282">
            <v>95.2222222222222</v>
          </cell>
          <cell r="AE282">
            <v>104.11111111111109</v>
          </cell>
          <cell r="AF282">
            <v>112.99999999999997</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row>
        <row r="284">
          <cell r="D284" t="str">
            <v>Total Overheads (a+b)</v>
          </cell>
          <cell r="E284">
            <v>23</v>
          </cell>
          <cell r="F284">
            <v>5</v>
          </cell>
          <cell r="G284">
            <v>5</v>
          </cell>
          <cell r="H284">
            <v>33</v>
          </cell>
          <cell r="I284">
            <v>8.8888888888888893</v>
          </cell>
          <cell r="J284">
            <v>8.8888888888888893</v>
          </cell>
          <cell r="K284">
            <v>8.8888888888888893</v>
          </cell>
          <cell r="L284">
            <v>26.666666666666668</v>
          </cell>
          <cell r="M284">
            <v>8.8888888888888893</v>
          </cell>
          <cell r="N284">
            <v>8.8888888888888893</v>
          </cell>
          <cell r="O284">
            <v>8.8888888888888893</v>
          </cell>
          <cell r="P284">
            <v>26.666666666666668</v>
          </cell>
          <cell r="Q284">
            <v>8.8888888888888893</v>
          </cell>
          <cell r="R284">
            <v>8.8888888888888893</v>
          </cell>
          <cell r="S284">
            <v>8.8888888888888893</v>
          </cell>
          <cell r="T284">
            <v>26.666666666666668</v>
          </cell>
          <cell r="U284">
            <v>23</v>
          </cell>
          <cell r="V284">
            <v>28</v>
          </cell>
          <cell r="W284">
            <v>33</v>
          </cell>
          <cell r="X284">
            <v>41.888888888888886</v>
          </cell>
          <cell r="Y284">
            <v>50.777777777777771</v>
          </cell>
          <cell r="Z284">
            <v>59.666666666666657</v>
          </cell>
          <cell r="AA284">
            <v>68.555555555555543</v>
          </cell>
          <cell r="AB284">
            <v>77.444444444444429</v>
          </cell>
          <cell r="AC284">
            <v>86.333333333333314</v>
          </cell>
          <cell r="AD284">
            <v>95.2222222222222</v>
          </cell>
          <cell r="AE284">
            <v>104.11111111111109</v>
          </cell>
          <cell r="AF284">
            <v>112.99999999999997</v>
          </cell>
        </row>
        <row r="285">
          <cell r="D285" t="str">
            <v>OPERATING PROFIT (LOSS)</v>
          </cell>
          <cell r="E285">
            <v>-16.773813010621364</v>
          </cell>
          <cell r="F285">
            <v>3.048267089279884</v>
          </cell>
          <cell r="G285">
            <v>9.2059772742321293</v>
          </cell>
          <cell r="H285">
            <v>-4.5195686471093524</v>
          </cell>
          <cell r="I285">
            <v>-3.9167845811343875</v>
          </cell>
          <cell r="J285">
            <v>-5.2436886905178728</v>
          </cell>
          <cell r="K285">
            <v>-8.8888888888888893</v>
          </cell>
          <cell r="L285">
            <v>-18.049362160541151</v>
          </cell>
          <cell r="M285">
            <v>-8.8888888888888893</v>
          </cell>
          <cell r="N285">
            <v>-8.8888888888888893</v>
          </cell>
          <cell r="O285">
            <v>-8.8888888888888893</v>
          </cell>
          <cell r="P285">
            <v>-26.666666666666668</v>
          </cell>
          <cell r="Q285">
            <v>-8.8888888888888893</v>
          </cell>
          <cell r="R285">
            <v>-8.8888888888888893</v>
          </cell>
          <cell r="S285">
            <v>-8.8888888888888893</v>
          </cell>
          <cell r="T285">
            <v>-26.666666666666668</v>
          </cell>
          <cell r="U285">
            <v>-16.773813010621364</v>
          </cell>
          <cell r="V285">
            <v>-13.72554592134148</v>
          </cell>
          <cell r="W285">
            <v>-4.5195686471093506</v>
          </cell>
          <cell r="X285">
            <v>-8.436353228243739</v>
          </cell>
          <cell r="Y285">
            <v>-13.680041918761612</v>
          </cell>
          <cell r="Z285">
            <v>-22.568930807650503</v>
          </cell>
          <cell r="AA285">
            <v>-31.457819696539392</v>
          </cell>
          <cell r="AB285">
            <v>-40.346708585428281</v>
          </cell>
          <cell r="AC285">
            <v>-49.235597474317174</v>
          </cell>
          <cell r="AD285">
            <v>-58.12448636320606</v>
          </cell>
          <cell r="AE285">
            <v>-67.013375252094946</v>
          </cell>
          <cell r="AF285">
            <v>-75.902264140983831</v>
          </cell>
        </row>
        <row r="288">
          <cell r="D288">
            <v>4</v>
          </cell>
          <cell r="E288">
            <v>5</v>
          </cell>
          <cell r="F288">
            <v>6</v>
          </cell>
          <cell r="G288">
            <v>7</v>
          </cell>
          <cell r="H288">
            <v>8</v>
          </cell>
          <cell r="I288">
            <v>9</v>
          </cell>
          <cell r="J288">
            <v>10</v>
          </cell>
          <cell r="K288">
            <v>11</v>
          </cell>
          <cell r="L288">
            <v>12</v>
          </cell>
          <cell r="M288">
            <v>13</v>
          </cell>
          <cell r="N288">
            <v>14</v>
          </cell>
          <cell r="O288">
            <v>15</v>
          </cell>
          <cell r="P288">
            <v>16</v>
          </cell>
          <cell r="Q288">
            <v>17</v>
          </cell>
          <cell r="R288">
            <v>18</v>
          </cell>
          <cell r="S288">
            <v>19</v>
          </cell>
          <cell r="T288">
            <v>20</v>
          </cell>
          <cell r="U288">
            <v>21</v>
          </cell>
          <cell r="V288">
            <v>22</v>
          </cell>
          <cell r="W288">
            <v>23</v>
          </cell>
          <cell r="X288">
            <v>24</v>
          </cell>
          <cell r="Y288">
            <v>25</v>
          </cell>
          <cell r="Z288">
            <v>26</v>
          </cell>
          <cell r="AA288">
            <v>27</v>
          </cell>
          <cell r="AB288">
            <v>28</v>
          </cell>
          <cell r="AC288">
            <v>29</v>
          </cell>
          <cell r="AD288">
            <v>30</v>
          </cell>
          <cell r="AE288">
            <v>31</v>
          </cell>
          <cell r="AF288">
            <v>32</v>
          </cell>
        </row>
        <row r="289">
          <cell r="E289" t="str">
            <v>Actual</v>
          </cell>
          <cell r="F289" t="str">
            <v>Actual</v>
          </cell>
          <cell r="G289" t="str">
            <v>Actual</v>
          </cell>
          <cell r="H289" t="str">
            <v>Actual</v>
          </cell>
          <cell r="I289" t="str">
            <v>Actual</v>
          </cell>
          <cell r="J289" t="str">
            <v>Actual</v>
          </cell>
          <cell r="K289" t="str">
            <v>Actual</v>
          </cell>
          <cell r="L289" t="str">
            <v>Actual</v>
          </cell>
          <cell r="M289" t="str">
            <v>Actual</v>
          </cell>
          <cell r="N289" t="str">
            <v>Actual</v>
          </cell>
          <cell r="O289" t="str">
            <v>Actual</v>
          </cell>
          <cell r="P289" t="str">
            <v>Actual</v>
          </cell>
          <cell r="Q289" t="str">
            <v>Actual</v>
          </cell>
          <cell r="R289" t="str">
            <v>Actual</v>
          </cell>
          <cell r="S289" t="str">
            <v>Actual</v>
          </cell>
          <cell r="T289" t="str">
            <v>Actual</v>
          </cell>
          <cell r="U289" t="str">
            <v>Cumu Act</v>
          </cell>
          <cell r="V289" t="str">
            <v>Cumu Act</v>
          </cell>
          <cell r="W289" t="str">
            <v>Cumu Act</v>
          </cell>
          <cell r="X289" t="str">
            <v>Cumu Act</v>
          </cell>
          <cell r="Y289" t="str">
            <v>Cumu Act</v>
          </cell>
          <cell r="Z289" t="str">
            <v>Cumu Act</v>
          </cell>
          <cell r="AA289" t="str">
            <v>Cumu Act</v>
          </cell>
          <cell r="AB289" t="str">
            <v>Cumu Act</v>
          </cell>
          <cell r="AC289" t="str">
            <v>Cumu Act</v>
          </cell>
          <cell r="AD289" t="str">
            <v>Cumu Act</v>
          </cell>
          <cell r="AE289" t="str">
            <v>Cumu Act</v>
          </cell>
          <cell r="AF289" t="str">
            <v>Cumu Act</v>
          </cell>
        </row>
        <row r="290">
          <cell r="D290" t="str">
            <v>Particulars</v>
          </cell>
          <cell r="E290">
            <v>41651</v>
          </cell>
          <cell r="F290">
            <v>41682</v>
          </cell>
          <cell r="G290">
            <v>41710</v>
          </cell>
          <cell r="H290" t="str">
            <v>Q-1</v>
          </cell>
          <cell r="I290">
            <v>41741</v>
          </cell>
          <cell r="J290">
            <v>41771</v>
          </cell>
          <cell r="K290">
            <v>41802</v>
          </cell>
          <cell r="L290" t="str">
            <v>Q-2</v>
          </cell>
          <cell r="M290">
            <v>41832</v>
          </cell>
          <cell r="N290">
            <v>41863</v>
          </cell>
          <cell r="O290">
            <v>41894</v>
          </cell>
          <cell r="P290" t="str">
            <v>Q-3</v>
          </cell>
          <cell r="Q290">
            <v>41924</v>
          </cell>
          <cell r="R290">
            <v>41955</v>
          </cell>
          <cell r="S290">
            <v>41985</v>
          </cell>
          <cell r="T290" t="str">
            <v>Q-4</v>
          </cell>
          <cell r="U290">
            <v>41651</v>
          </cell>
          <cell r="V290">
            <v>41682</v>
          </cell>
          <cell r="W290">
            <v>41710</v>
          </cell>
          <cell r="X290">
            <v>41741</v>
          </cell>
          <cell r="Y290">
            <v>41771</v>
          </cell>
          <cell r="Z290">
            <v>41802</v>
          </cell>
          <cell r="AA290">
            <v>41832</v>
          </cell>
          <cell r="AB290">
            <v>41863</v>
          </cell>
          <cell r="AC290">
            <v>41894</v>
          </cell>
          <cell r="AD290">
            <v>41924</v>
          </cell>
          <cell r="AE290">
            <v>41955</v>
          </cell>
          <cell r="AF290">
            <v>41985</v>
          </cell>
        </row>
        <row r="292">
          <cell r="D292" t="str">
            <v>Sales</v>
          </cell>
          <cell r="E292">
            <v>-5.0573700000000006E-2</v>
          </cell>
          <cell r="F292">
            <v>-6.9395499999999999E-2</v>
          </cell>
          <cell r="G292">
            <v>-1.8683399999999999E-2</v>
          </cell>
          <cell r="H292">
            <v>-0.13865259999999999</v>
          </cell>
          <cell r="I292">
            <v>-9.916690000000003E-2</v>
          </cell>
          <cell r="J292">
            <v>-3.9259800000000004E-2</v>
          </cell>
          <cell r="K292">
            <v>0</v>
          </cell>
          <cell r="L292">
            <v>-0.13842670000000004</v>
          </cell>
          <cell r="M292">
            <v>0</v>
          </cell>
          <cell r="N292">
            <v>0</v>
          </cell>
          <cell r="O292">
            <v>0</v>
          </cell>
          <cell r="P292">
            <v>0</v>
          </cell>
          <cell r="Q292">
            <v>0</v>
          </cell>
          <cell r="R292">
            <v>0</v>
          </cell>
          <cell r="S292">
            <v>0</v>
          </cell>
          <cell r="T292">
            <v>0</v>
          </cell>
          <cell r="U292">
            <v>-5.0573700000000006E-2</v>
          </cell>
          <cell r="V292">
            <v>-0.1199692</v>
          </cell>
          <cell r="W292">
            <v>-0.13865259999999999</v>
          </cell>
          <cell r="X292">
            <v>-0.23781950000000002</v>
          </cell>
          <cell r="Y292">
            <v>-0.27707930000000003</v>
          </cell>
          <cell r="Z292">
            <v>-0.27707930000000003</v>
          </cell>
          <cell r="AA292">
            <v>-0.27707930000000003</v>
          </cell>
          <cell r="AB292">
            <v>-0.27707930000000003</v>
          </cell>
          <cell r="AC292">
            <v>-0.27707930000000003</v>
          </cell>
          <cell r="AD292">
            <v>-0.27707930000000003</v>
          </cell>
          <cell r="AE292">
            <v>-0.27707930000000003</v>
          </cell>
          <cell r="AF292">
            <v>-0.27707930000000003</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row>
        <row r="294">
          <cell r="D294" t="str">
            <v>Cost of Goods Sold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row>
        <row r="295">
          <cell r="D295" t="str">
            <v>ED Savings</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row>
        <row r="296">
          <cell r="D296" t="str">
            <v>PRISM II &amp; PSM Savings</v>
          </cell>
          <cell r="E296">
            <v>-7.5822542424680962E-4</v>
          </cell>
          <cell r="F296">
            <v>-1.1731069459234664E-3</v>
          </cell>
          <cell r="G296">
            <v>-3.8206005019265606E-4</v>
          </cell>
          <cell r="H296">
            <v>-2.313392420362932E-3</v>
          </cell>
          <cell r="I296">
            <v>-2.2085879313595872E-3</v>
          </cell>
          <cell r="J296">
            <v>0</v>
          </cell>
          <cell r="K296">
            <v>0</v>
          </cell>
          <cell r="L296">
            <v>-2.2085879313595872E-3</v>
          </cell>
          <cell r="M296">
            <v>0</v>
          </cell>
          <cell r="N296">
            <v>0</v>
          </cell>
          <cell r="O296">
            <v>0</v>
          </cell>
          <cell r="P296">
            <v>0</v>
          </cell>
          <cell r="Q296">
            <v>0</v>
          </cell>
          <cell r="R296">
            <v>0</v>
          </cell>
          <cell r="S296">
            <v>0</v>
          </cell>
          <cell r="T296">
            <v>0</v>
          </cell>
          <cell r="U296">
            <v>-7.5822542424680962E-4</v>
          </cell>
          <cell r="V296">
            <v>-1.931332370170276E-3</v>
          </cell>
          <cell r="W296">
            <v>-2.313392420362932E-3</v>
          </cell>
          <cell r="X296">
            <v>-4.5219803517225193E-3</v>
          </cell>
          <cell r="Y296">
            <v>-4.5219803517225193E-3</v>
          </cell>
          <cell r="Z296">
            <v>-4.5219803517225193E-3</v>
          </cell>
          <cell r="AA296">
            <v>-4.5219803517225193E-3</v>
          </cell>
          <cell r="AB296">
            <v>-4.5219803517225193E-3</v>
          </cell>
          <cell r="AC296">
            <v>-4.5219803517225193E-3</v>
          </cell>
          <cell r="AD296">
            <v>-4.5219803517225193E-3</v>
          </cell>
          <cell r="AE296">
            <v>-4.5219803517225193E-3</v>
          </cell>
          <cell r="AF296">
            <v>-4.5219803517225193E-3</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row>
        <row r="298">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299">
          <cell r="D299" t="str">
            <v>Contribution</v>
          </cell>
          <cell r="E299">
            <v>-5.1331925424246819E-2</v>
          </cell>
          <cell r="F299">
            <v>-7.056860694592347E-2</v>
          </cell>
          <cell r="G299">
            <v>-1.9065460050192655E-2</v>
          </cell>
          <cell r="H299">
            <v>-0.14096599242036292</v>
          </cell>
          <cell r="I299">
            <v>-0.10137548793135961</v>
          </cell>
          <cell r="J299">
            <v>-3.9259800000000004E-2</v>
          </cell>
          <cell r="K299">
            <v>0</v>
          </cell>
          <cell r="L299">
            <v>-0.14063528793135963</v>
          </cell>
          <cell r="M299">
            <v>0</v>
          </cell>
          <cell r="N299">
            <v>0</v>
          </cell>
          <cell r="O299">
            <v>0</v>
          </cell>
          <cell r="P299">
            <v>0</v>
          </cell>
          <cell r="Q299">
            <v>0</v>
          </cell>
          <cell r="R299">
            <v>0</v>
          </cell>
          <cell r="S299">
            <v>0</v>
          </cell>
          <cell r="T299">
            <v>0</v>
          </cell>
          <cell r="U299">
            <v>-5.1331925424246819E-2</v>
          </cell>
          <cell r="V299">
            <v>-0.12190053237017029</v>
          </cell>
          <cell r="W299">
            <v>-0.14096599242036295</v>
          </cell>
          <cell r="X299">
            <v>-0.24234148035172257</v>
          </cell>
          <cell r="Y299">
            <v>-0.28160128035172255</v>
          </cell>
          <cell r="Z299">
            <v>-0.28160128035172255</v>
          </cell>
          <cell r="AA299">
            <v>-0.28160128035172255</v>
          </cell>
          <cell r="AB299">
            <v>-0.28160128035172255</v>
          </cell>
          <cell r="AC299">
            <v>-0.28160128035172255</v>
          </cell>
          <cell r="AD299">
            <v>-0.28160128035172255</v>
          </cell>
          <cell r="AE299">
            <v>-0.28160128035172255</v>
          </cell>
          <cell r="AF299">
            <v>-0.28160128035172255</v>
          </cell>
        </row>
        <row r="300">
          <cell r="D300">
            <v>0</v>
          </cell>
          <cell r="E300">
            <v>1.0149924847153127</v>
          </cell>
          <cell r="F300">
            <v>1.0169046544217344</v>
          </cell>
          <cell r="G300">
            <v>1.0204491714673269</v>
          </cell>
          <cell r="H300">
            <v>1.0166848109618063</v>
          </cell>
          <cell r="I300">
            <v>1.0222714225347327</v>
          </cell>
          <cell r="J300">
            <v>1</v>
          </cell>
          <cell r="K300" t="e">
            <v>#DIV/0!</v>
          </cell>
          <cell r="L300">
            <v>1.0159549272745763</v>
          </cell>
          <cell r="M300" t="e">
            <v>#DIV/0!</v>
          </cell>
          <cell r="N300" t="e">
            <v>#DIV/0!</v>
          </cell>
          <cell r="O300" t="e">
            <v>#DIV/0!</v>
          </cell>
          <cell r="P300" t="e">
            <v>#DIV/0!</v>
          </cell>
          <cell r="Q300" t="e">
            <v>#DIV/0!</v>
          </cell>
          <cell r="R300" t="e">
            <v>#DIV/0!</v>
          </cell>
          <cell r="S300" t="e">
            <v>#DIV/0!</v>
          </cell>
          <cell r="T300" t="e">
            <v>#DIV/0!</v>
          </cell>
          <cell r="U300">
            <v>1.0149924847153127</v>
          </cell>
          <cell r="V300">
            <v>1.0160985683839709</v>
          </cell>
          <cell r="W300">
            <v>1.0166848109618065</v>
          </cell>
          <cell r="X300">
            <v>1.0190143379820518</v>
          </cell>
          <cell r="Y300">
            <v>1.0163201666516499</v>
          </cell>
          <cell r="Z300">
            <v>1.0163201666516499</v>
          </cell>
          <cell r="AA300">
            <v>1.0163201666516499</v>
          </cell>
          <cell r="AB300">
            <v>1.0163201666516499</v>
          </cell>
          <cell r="AC300">
            <v>1.0163201666516499</v>
          </cell>
          <cell r="AD300">
            <v>1.0163201666516499</v>
          </cell>
          <cell r="AE300">
            <v>1.0163201666516499</v>
          </cell>
          <cell r="AF300">
            <v>1.0163201666516499</v>
          </cell>
        </row>
        <row r="301">
          <cell r="D301" t="str">
            <v>Overheads</v>
          </cell>
        </row>
        <row r="302">
          <cell r="D302" t="str">
            <v>Advertisement Exp.</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row>
        <row r="304">
          <cell r="D304" t="str">
            <v>Total Overheads (a+b)</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row>
        <row r="305">
          <cell r="D305" t="str">
            <v>OPERATING PROFIT (LOSS)</v>
          </cell>
          <cell r="E305">
            <v>-5.1331925424246819E-2</v>
          </cell>
          <cell r="F305">
            <v>-7.056860694592347E-2</v>
          </cell>
          <cell r="G305">
            <v>-1.9065460050192655E-2</v>
          </cell>
          <cell r="H305">
            <v>-0.14096599242036292</v>
          </cell>
          <cell r="I305">
            <v>-0.10137548793135961</v>
          </cell>
          <cell r="J305">
            <v>-3.9259800000000004E-2</v>
          </cell>
          <cell r="K305">
            <v>0</v>
          </cell>
          <cell r="L305">
            <v>-0.14063528793135963</v>
          </cell>
          <cell r="M305">
            <v>0</v>
          </cell>
          <cell r="N305">
            <v>0</v>
          </cell>
          <cell r="O305">
            <v>0</v>
          </cell>
          <cell r="P305">
            <v>0</v>
          </cell>
          <cell r="Q305">
            <v>0</v>
          </cell>
          <cell r="R305">
            <v>0</v>
          </cell>
          <cell r="S305">
            <v>0</v>
          </cell>
          <cell r="T305">
            <v>0</v>
          </cell>
          <cell r="U305">
            <v>-5.1331925424246819E-2</v>
          </cell>
          <cell r="V305">
            <v>-0.12190053237017029</v>
          </cell>
          <cell r="W305">
            <v>-0.14096599242036295</v>
          </cell>
          <cell r="X305">
            <v>-0.24234148035172257</v>
          </cell>
          <cell r="Y305">
            <v>-0.28160128035172255</v>
          </cell>
          <cell r="Z305">
            <v>-0.28160128035172255</v>
          </cell>
          <cell r="AA305">
            <v>-0.28160128035172255</v>
          </cell>
          <cell r="AB305">
            <v>-0.28160128035172255</v>
          </cell>
          <cell r="AC305">
            <v>-0.28160128035172255</v>
          </cell>
          <cell r="AD305">
            <v>-0.28160128035172255</v>
          </cell>
          <cell r="AE305">
            <v>-0.28160128035172255</v>
          </cell>
          <cell r="AF305">
            <v>-0.28160128035172255</v>
          </cell>
        </row>
        <row r="328">
          <cell r="D328">
            <v>4</v>
          </cell>
          <cell r="E328">
            <v>5</v>
          </cell>
          <cell r="F328">
            <v>6</v>
          </cell>
          <cell r="G328">
            <v>7</v>
          </cell>
          <cell r="H328">
            <v>8</v>
          </cell>
          <cell r="I328">
            <v>9</v>
          </cell>
          <cell r="J328">
            <v>10</v>
          </cell>
          <cell r="K328">
            <v>11</v>
          </cell>
          <cell r="L328">
            <v>12</v>
          </cell>
          <cell r="M328">
            <v>13</v>
          </cell>
          <cell r="N328">
            <v>14</v>
          </cell>
          <cell r="O328">
            <v>15</v>
          </cell>
          <cell r="P328">
            <v>16</v>
          </cell>
          <cell r="Q328">
            <v>17</v>
          </cell>
          <cell r="R328">
            <v>18</v>
          </cell>
          <cell r="S328">
            <v>19</v>
          </cell>
          <cell r="T328">
            <v>20</v>
          </cell>
          <cell r="U328">
            <v>21</v>
          </cell>
          <cell r="V328">
            <v>22</v>
          </cell>
          <cell r="W328">
            <v>23</v>
          </cell>
          <cell r="X328">
            <v>24</v>
          </cell>
          <cell r="Y328">
            <v>25</v>
          </cell>
          <cell r="Z328">
            <v>26</v>
          </cell>
          <cell r="AA328">
            <v>27</v>
          </cell>
          <cell r="AB328">
            <v>28</v>
          </cell>
          <cell r="AC328">
            <v>29</v>
          </cell>
          <cell r="AD328">
            <v>30</v>
          </cell>
          <cell r="AE328">
            <v>31</v>
          </cell>
          <cell r="AF328">
            <v>32</v>
          </cell>
        </row>
        <row r="329">
          <cell r="E329" t="str">
            <v>Actual</v>
          </cell>
          <cell r="F329" t="str">
            <v>Actual</v>
          </cell>
          <cell r="G329" t="str">
            <v>Actual</v>
          </cell>
          <cell r="H329" t="str">
            <v>Actual</v>
          </cell>
          <cell r="I329" t="str">
            <v>Actual</v>
          </cell>
          <cell r="J329" t="str">
            <v>Actual</v>
          </cell>
          <cell r="K329" t="str">
            <v>Actual</v>
          </cell>
          <cell r="L329" t="str">
            <v>Actual</v>
          </cell>
          <cell r="M329" t="str">
            <v>Actual</v>
          </cell>
          <cell r="N329" t="str">
            <v>Actual</v>
          </cell>
          <cell r="O329" t="str">
            <v>Actual</v>
          </cell>
          <cell r="P329" t="str">
            <v>Actual</v>
          </cell>
          <cell r="Q329" t="str">
            <v>Actual</v>
          </cell>
          <cell r="R329" t="str">
            <v>Actual</v>
          </cell>
          <cell r="S329" t="str">
            <v>Actual</v>
          </cell>
          <cell r="T329" t="str">
            <v>Actual</v>
          </cell>
          <cell r="U329" t="str">
            <v>Cumu Aud</v>
          </cell>
          <cell r="V329" t="str">
            <v>Cumu Aud</v>
          </cell>
          <cell r="W329" t="str">
            <v>Cumu Aud</v>
          </cell>
          <cell r="X329" t="str">
            <v>Cumu Aud</v>
          </cell>
          <cell r="Y329" t="str">
            <v>Cumu Aud</v>
          </cell>
          <cell r="Z329" t="str">
            <v>Cumu Aud</v>
          </cell>
          <cell r="AA329" t="str">
            <v>Cumu Aud</v>
          </cell>
          <cell r="AB329" t="str">
            <v>Cumu Aud</v>
          </cell>
          <cell r="AC329" t="str">
            <v>Cumu Aud</v>
          </cell>
          <cell r="AD329" t="str">
            <v>Cumu Aud</v>
          </cell>
          <cell r="AE329" t="str">
            <v>Cumu Aud</v>
          </cell>
          <cell r="AF329" t="str">
            <v>Cumu Aud</v>
          </cell>
        </row>
        <row r="330">
          <cell r="D330" t="str">
            <v>Particulars</v>
          </cell>
          <cell r="E330">
            <v>41286</v>
          </cell>
          <cell r="F330">
            <v>41317</v>
          </cell>
          <cell r="G330">
            <v>41345</v>
          </cell>
          <cell r="H330" t="str">
            <v>Q-1</v>
          </cell>
          <cell r="I330">
            <v>41376</v>
          </cell>
          <cell r="J330">
            <v>41406</v>
          </cell>
          <cell r="K330">
            <v>41437</v>
          </cell>
          <cell r="L330" t="str">
            <v>Q-2</v>
          </cell>
          <cell r="M330">
            <v>41467</v>
          </cell>
          <cell r="N330">
            <v>41498</v>
          </cell>
          <cell r="O330">
            <v>41529</v>
          </cell>
          <cell r="P330" t="str">
            <v>Q-3</v>
          </cell>
          <cell r="Q330">
            <v>41559</v>
          </cell>
          <cell r="R330">
            <v>41590</v>
          </cell>
          <cell r="S330">
            <v>41620</v>
          </cell>
          <cell r="T330" t="str">
            <v>Q-4</v>
          </cell>
          <cell r="U330">
            <v>41286</v>
          </cell>
          <cell r="V330">
            <v>41317</v>
          </cell>
          <cell r="W330">
            <v>41345</v>
          </cell>
          <cell r="X330">
            <v>41376</v>
          </cell>
          <cell r="Y330">
            <v>41406</v>
          </cell>
          <cell r="Z330">
            <v>41437</v>
          </cell>
          <cell r="AA330">
            <v>41467</v>
          </cell>
          <cell r="AB330">
            <v>41498</v>
          </cell>
          <cell r="AC330">
            <v>41529</v>
          </cell>
          <cell r="AD330">
            <v>41559</v>
          </cell>
          <cell r="AE330">
            <v>41590</v>
          </cell>
          <cell r="AF330">
            <v>41620</v>
          </cell>
        </row>
        <row r="332">
          <cell r="D332" t="str">
            <v>Sales</v>
          </cell>
          <cell r="E332">
            <v>1841.96</v>
          </cell>
          <cell r="F332">
            <v>1708.62</v>
          </cell>
          <cell r="G332">
            <v>1446.45</v>
          </cell>
          <cell r="H332">
            <v>4997.03</v>
          </cell>
          <cell r="I332">
            <v>1973.05</v>
          </cell>
          <cell r="J332">
            <v>1819.72</v>
          </cell>
          <cell r="K332">
            <v>1849.42</v>
          </cell>
          <cell r="L332">
            <v>5642.1900000000005</v>
          </cell>
          <cell r="M332">
            <v>1854.31</v>
          </cell>
          <cell r="N332">
            <v>1852.54</v>
          </cell>
          <cell r="O332">
            <v>1863.54</v>
          </cell>
          <cell r="P332">
            <v>5570.3899999999994</v>
          </cell>
          <cell r="Q332">
            <v>1538.29</v>
          </cell>
          <cell r="R332">
            <v>1832.18</v>
          </cell>
          <cell r="S332">
            <v>2003.37</v>
          </cell>
          <cell r="T332">
            <v>5373.84</v>
          </cell>
          <cell r="U332">
            <v>1841.96</v>
          </cell>
          <cell r="V332">
            <v>3550.58</v>
          </cell>
          <cell r="W332">
            <v>4997.03</v>
          </cell>
          <cell r="X332">
            <v>6970.08</v>
          </cell>
          <cell r="Y332">
            <v>8789.7999999999993</v>
          </cell>
          <cell r="Z332">
            <v>10639.22</v>
          </cell>
          <cell r="AA332">
            <v>12493.529999999999</v>
          </cell>
          <cell r="AB332">
            <v>14346.07</v>
          </cell>
          <cell r="AC332">
            <v>16209.61</v>
          </cell>
          <cell r="AD332">
            <v>17747.900000000001</v>
          </cell>
          <cell r="AE332">
            <v>19580.080000000002</v>
          </cell>
          <cell r="AF332">
            <v>21583.45</v>
          </cell>
        </row>
        <row r="333">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row>
        <row r="334">
          <cell r="D334" t="str">
            <v>Cost of Goods Sold</v>
          </cell>
          <cell r="E334">
            <v>564.67999999999995</v>
          </cell>
          <cell r="F334">
            <v>540.64</v>
          </cell>
          <cell r="G334">
            <v>447.99</v>
          </cell>
          <cell r="H334">
            <v>1553.31</v>
          </cell>
          <cell r="I334">
            <v>597.6</v>
          </cell>
          <cell r="J334">
            <v>590.35</v>
          </cell>
          <cell r="K334">
            <v>604.16000000000008</v>
          </cell>
          <cell r="L334">
            <v>1792.1100000000001</v>
          </cell>
          <cell r="M334">
            <v>579.69000000000005</v>
          </cell>
          <cell r="N334">
            <v>592.54999999999995</v>
          </cell>
          <cell r="O334">
            <v>595.91000000000008</v>
          </cell>
          <cell r="P334">
            <v>1768.15</v>
          </cell>
          <cell r="Q334">
            <v>487.56</v>
          </cell>
          <cell r="R334">
            <v>579.31999999999994</v>
          </cell>
          <cell r="S334">
            <v>674.19</v>
          </cell>
          <cell r="T334">
            <v>1741.07</v>
          </cell>
          <cell r="U334">
            <v>564.67999999999995</v>
          </cell>
          <cell r="V334">
            <v>1105.32</v>
          </cell>
          <cell r="W334">
            <v>1553.31</v>
          </cell>
          <cell r="X334">
            <v>2150.91</v>
          </cell>
          <cell r="Y334">
            <v>2741.2599999999998</v>
          </cell>
          <cell r="Z334">
            <v>3345.42</v>
          </cell>
          <cell r="AA334">
            <v>3925.11</v>
          </cell>
          <cell r="AB334">
            <v>4517.66</v>
          </cell>
          <cell r="AC334">
            <v>5113.57</v>
          </cell>
          <cell r="AD334">
            <v>5601.13</v>
          </cell>
          <cell r="AE334">
            <v>6180.45</v>
          </cell>
          <cell r="AF334">
            <v>6854.6399999999994</v>
          </cell>
        </row>
        <row r="335">
          <cell r="D335" t="str">
            <v>ED Savings</v>
          </cell>
          <cell r="E335">
            <v>46.46</v>
          </cell>
          <cell r="F335">
            <v>71</v>
          </cell>
          <cell r="G335">
            <v>70</v>
          </cell>
          <cell r="H335">
            <v>187.46</v>
          </cell>
          <cell r="I335">
            <v>60</v>
          </cell>
          <cell r="J335">
            <v>85</v>
          </cell>
          <cell r="K335">
            <v>64.77</v>
          </cell>
          <cell r="L335">
            <v>209.76999999999998</v>
          </cell>
          <cell r="M335">
            <v>53.13</v>
          </cell>
          <cell r="N335">
            <v>85.58</v>
          </cell>
          <cell r="O335">
            <v>67</v>
          </cell>
          <cell r="P335">
            <v>205.71</v>
          </cell>
          <cell r="Q335">
            <v>54.55</v>
          </cell>
          <cell r="R335">
            <v>51.3</v>
          </cell>
          <cell r="S335">
            <v>92.439778391999994</v>
          </cell>
          <cell r="T335">
            <v>198.28977839199999</v>
          </cell>
          <cell r="U335">
            <v>46.46</v>
          </cell>
          <cell r="V335">
            <v>117.46000000000001</v>
          </cell>
          <cell r="W335">
            <v>187.46</v>
          </cell>
          <cell r="X335">
            <v>247.46</v>
          </cell>
          <cell r="Y335">
            <v>332.46000000000004</v>
          </cell>
          <cell r="Z335">
            <v>397.23</v>
          </cell>
          <cell r="AA335">
            <v>450.36</v>
          </cell>
          <cell r="AB335">
            <v>535.94000000000005</v>
          </cell>
          <cell r="AC335">
            <v>602.94000000000005</v>
          </cell>
          <cell r="AD335">
            <v>657.49</v>
          </cell>
          <cell r="AE335">
            <v>708.79</v>
          </cell>
          <cell r="AF335">
            <v>801.22977839199996</v>
          </cell>
        </row>
        <row r="336">
          <cell r="D336" t="str">
            <v>PRISM II &amp; PSM Savings</v>
          </cell>
          <cell r="E336">
            <v>31.568515377982177</v>
          </cell>
          <cell r="F336">
            <v>16.690867029251159</v>
          </cell>
          <cell r="G336">
            <v>14.895960296505095</v>
          </cell>
          <cell r="H336">
            <v>63.155342703738427</v>
          </cell>
          <cell r="I336">
            <v>25.597150371936166</v>
          </cell>
          <cell r="J336">
            <v>15.871679903994774</v>
          </cell>
          <cell r="K336">
            <v>58.931120015731196</v>
          </cell>
          <cell r="L336">
            <v>100.39995029166214</v>
          </cell>
          <cell r="M336">
            <v>18.453377683871771</v>
          </cell>
          <cell r="N336">
            <v>20.437286736484797</v>
          </cell>
          <cell r="O336">
            <v>22.746356716724961</v>
          </cell>
          <cell r="P336">
            <v>61.637021137081533</v>
          </cell>
          <cell r="Q336">
            <v>16.049553270210886</v>
          </cell>
          <cell r="R336">
            <v>18.106272332688615</v>
          </cell>
          <cell r="S336">
            <v>26.360216641432078</v>
          </cell>
          <cell r="T336">
            <v>60.516042244331572</v>
          </cell>
          <cell r="U336">
            <v>31.568515377982177</v>
          </cell>
          <cell r="V336">
            <v>48.259382407233332</v>
          </cell>
          <cell r="W336">
            <v>63.155342703738427</v>
          </cell>
          <cell r="X336">
            <v>88.752493075674593</v>
          </cell>
          <cell r="Y336">
            <v>104.62417297966937</v>
          </cell>
          <cell r="Z336">
            <v>163.55529299540058</v>
          </cell>
          <cell r="AA336">
            <v>182.00867067927234</v>
          </cell>
          <cell r="AB336">
            <v>202.44595741575714</v>
          </cell>
          <cell r="AC336">
            <v>225.1923141324821</v>
          </cell>
          <cell r="AD336">
            <v>241.24186740269298</v>
          </cell>
          <cell r="AE336">
            <v>259.34813973538161</v>
          </cell>
          <cell r="AF336">
            <v>285.7083563768137</v>
          </cell>
        </row>
        <row r="337">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row>
        <row r="338">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row>
        <row r="339">
          <cell r="D339" t="str">
            <v>Contribution</v>
          </cell>
          <cell r="E339">
            <v>1355.3085153779823</v>
          </cell>
          <cell r="F339">
            <v>1255.6708670292512</v>
          </cell>
          <cell r="G339">
            <v>1083.3559602965051</v>
          </cell>
          <cell r="H339">
            <v>3694.3353427037382</v>
          </cell>
          <cell r="I339">
            <v>1461.0471503719359</v>
          </cell>
          <cell r="J339">
            <v>1330.2416799039947</v>
          </cell>
          <cell r="K339">
            <v>1368.9611200157312</v>
          </cell>
          <cell r="L339">
            <v>4160.2499502916626</v>
          </cell>
          <cell r="M339">
            <v>1346.2033776838718</v>
          </cell>
          <cell r="N339">
            <v>1366.0072867364847</v>
          </cell>
          <cell r="O339">
            <v>1357.3763567167248</v>
          </cell>
          <cell r="P339">
            <v>4069.5870211370807</v>
          </cell>
          <cell r="Q339">
            <v>1121.3295532702109</v>
          </cell>
          <cell r="R339">
            <v>1322.2662723326887</v>
          </cell>
          <cell r="S339">
            <v>1447.9799950334318</v>
          </cell>
          <cell r="T339">
            <v>3891.5758206363316</v>
          </cell>
          <cell r="U339">
            <v>1355.3085153779823</v>
          </cell>
          <cell r="V339">
            <v>2610.9793824072335</v>
          </cell>
          <cell r="W339">
            <v>3694.3353427037387</v>
          </cell>
          <cell r="X339">
            <v>5155.3824930756746</v>
          </cell>
          <cell r="Y339">
            <v>6485.6241729796693</v>
          </cell>
          <cell r="Z339">
            <v>7854.5852929954008</v>
          </cell>
          <cell r="AA339">
            <v>9200.7886706792724</v>
          </cell>
          <cell r="AB339">
            <v>10566.795957415758</v>
          </cell>
          <cell r="AC339">
            <v>11924.172314132482</v>
          </cell>
          <cell r="AD339">
            <v>13045.501867402692</v>
          </cell>
          <cell r="AE339">
            <v>14367.768139735381</v>
          </cell>
          <cell r="AF339">
            <v>15815.748134768812</v>
          </cell>
        </row>
        <row r="340">
          <cell r="D340">
            <v>0</v>
          </cell>
          <cell r="E340">
            <v>0.73579693119176437</v>
          </cell>
          <cell r="F340">
            <v>0.73490352859573882</v>
          </cell>
          <cell r="G340">
            <v>0.74897574081130014</v>
          </cell>
          <cell r="H340">
            <v>0.73930621643330907</v>
          </cell>
          <cell r="I340">
            <v>0.74050183744554676</v>
          </cell>
          <cell r="J340">
            <v>0.73101448569230143</v>
          </cell>
          <cell r="K340">
            <v>0.74021104995930143</v>
          </cell>
          <cell r="L340">
            <v>0.73734665977070291</v>
          </cell>
          <cell r="M340">
            <v>0.72598614993386856</v>
          </cell>
          <cell r="N340">
            <v>0.73736992817239289</v>
          </cell>
          <cell r="O340">
            <v>0.72838595185331401</v>
          </cell>
          <cell r="P340">
            <v>0.73057488275274818</v>
          </cell>
          <cell r="Q340">
            <v>0.72894548704744289</v>
          </cell>
          <cell r="R340">
            <v>0.72169015726221697</v>
          </cell>
          <cell r="S340">
            <v>0.72277212648359113</v>
          </cell>
          <cell r="T340">
            <v>0.72417039224024748</v>
          </cell>
          <cell r="U340">
            <v>0.73579693119176437</v>
          </cell>
          <cell r="V340">
            <v>0.73536700550536349</v>
          </cell>
          <cell r="W340">
            <v>0.73930621643330918</v>
          </cell>
          <cell r="X340">
            <v>0.73964466592573896</v>
          </cell>
          <cell r="Y340">
            <v>0.73785799141956243</v>
          </cell>
          <cell r="Z340">
            <v>0.73826702455587923</v>
          </cell>
          <cell r="AA340">
            <v>0.73644427721222694</v>
          </cell>
          <cell r="AB340">
            <v>0.73656380858421555</v>
          </cell>
          <cell r="AC340">
            <v>0.73562364018211923</v>
          </cell>
          <cell r="AD340">
            <v>0.7350448147331623</v>
          </cell>
          <cell r="AE340">
            <v>0.73379517038415465</v>
          </cell>
          <cell r="AF340">
            <v>0.73277201442627615</v>
          </cell>
        </row>
        <row r="341">
          <cell r="D341" t="str">
            <v>Overheads</v>
          </cell>
        </row>
        <row r="342">
          <cell r="D342" t="str">
            <v>Advertisement Exp.</v>
          </cell>
          <cell r="E342">
            <v>437</v>
          </cell>
          <cell r="F342">
            <v>60.5</v>
          </cell>
          <cell r="G342">
            <v>-30</v>
          </cell>
          <cell r="H342">
            <v>467.5</v>
          </cell>
          <cell r="I342">
            <v>577.53</v>
          </cell>
          <cell r="J342">
            <v>-124.5</v>
          </cell>
          <cell r="K342">
            <v>354.5</v>
          </cell>
          <cell r="L342">
            <v>807.53</v>
          </cell>
          <cell r="M342">
            <v>49.080000000000013</v>
          </cell>
          <cell r="N342">
            <v>33.5</v>
          </cell>
          <cell r="O342">
            <v>513.5</v>
          </cell>
          <cell r="P342">
            <v>596.08000000000004</v>
          </cell>
          <cell r="Q342">
            <v>30.5</v>
          </cell>
          <cell r="R342">
            <v>6.5</v>
          </cell>
          <cell r="S342">
            <v>0</v>
          </cell>
          <cell r="T342">
            <v>37</v>
          </cell>
          <cell r="U342">
            <v>437</v>
          </cell>
          <cell r="V342">
            <v>497.5</v>
          </cell>
          <cell r="W342">
            <v>467.5</v>
          </cell>
          <cell r="X342">
            <v>1045.03</v>
          </cell>
          <cell r="Y342">
            <v>920.53</v>
          </cell>
          <cell r="Z342">
            <v>1275.03</v>
          </cell>
          <cell r="AA342">
            <v>1324.11</v>
          </cell>
          <cell r="AB342">
            <v>1357.61</v>
          </cell>
          <cell r="AC342">
            <v>1871.11</v>
          </cell>
          <cell r="AD342">
            <v>1901.61</v>
          </cell>
          <cell r="AE342">
            <v>1908.11</v>
          </cell>
          <cell r="AF342">
            <v>1908.11</v>
          </cell>
        </row>
        <row r="343">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row>
        <row r="344">
          <cell r="D344" t="str">
            <v>Total Overheads (a+b)</v>
          </cell>
          <cell r="E344">
            <v>437</v>
          </cell>
          <cell r="F344">
            <v>60.5</v>
          </cell>
          <cell r="G344">
            <v>-30</v>
          </cell>
          <cell r="H344">
            <v>467.5</v>
          </cell>
          <cell r="I344">
            <v>577.53</v>
          </cell>
          <cell r="J344">
            <v>-124.5</v>
          </cell>
          <cell r="K344">
            <v>354.5</v>
          </cell>
          <cell r="L344">
            <v>807.53</v>
          </cell>
          <cell r="M344">
            <v>49.080000000000013</v>
          </cell>
          <cell r="N344">
            <v>33.5</v>
          </cell>
          <cell r="O344">
            <v>513.5</v>
          </cell>
          <cell r="P344">
            <v>596.08000000000004</v>
          </cell>
          <cell r="Q344">
            <v>30.5</v>
          </cell>
          <cell r="R344">
            <v>6.5</v>
          </cell>
          <cell r="S344">
            <v>0</v>
          </cell>
          <cell r="T344">
            <v>37</v>
          </cell>
          <cell r="U344">
            <v>437</v>
          </cell>
          <cell r="V344">
            <v>497.5</v>
          </cell>
          <cell r="W344">
            <v>467.5</v>
          </cell>
          <cell r="X344">
            <v>1045.03</v>
          </cell>
          <cell r="Y344">
            <v>920.53</v>
          </cell>
          <cell r="Z344">
            <v>1275.03</v>
          </cell>
          <cell r="AA344">
            <v>1324.11</v>
          </cell>
          <cell r="AB344">
            <v>1357.61</v>
          </cell>
          <cell r="AC344">
            <v>1871.11</v>
          </cell>
          <cell r="AD344">
            <v>1901.61</v>
          </cell>
          <cell r="AE344">
            <v>1908.11</v>
          </cell>
          <cell r="AF344">
            <v>1908.11</v>
          </cell>
        </row>
        <row r="345">
          <cell r="D345" t="str">
            <v>OPERATING PROFIT (LOSS)</v>
          </cell>
          <cell r="E345">
            <v>918.3085153779823</v>
          </cell>
          <cell r="F345">
            <v>1195.1708670292512</v>
          </cell>
          <cell r="G345">
            <v>1113.3559602965051</v>
          </cell>
          <cell r="H345">
            <v>3226.8353427037382</v>
          </cell>
          <cell r="I345">
            <v>883.51715037193594</v>
          </cell>
          <cell r="J345">
            <v>1454.7416799039947</v>
          </cell>
          <cell r="K345">
            <v>1014.4611200157312</v>
          </cell>
          <cell r="L345">
            <v>3352.7199502916628</v>
          </cell>
          <cell r="M345">
            <v>1297.1233776838719</v>
          </cell>
          <cell r="N345">
            <v>1332.5072867364847</v>
          </cell>
          <cell r="O345">
            <v>843.87635671672479</v>
          </cell>
          <cell r="P345">
            <v>3473.5070211370808</v>
          </cell>
          <cell r="Q345">
            <v>1090.8295532702109</v>
          </cell>
          <cell r="R345">
            <v>1315.7662723326887</v>
          </cell>
          <cell r="S345">
            <v>1447.9799950334318</v>
          </cell>
          <cell r="T345">
            <v>3854.5758206363316</v>
          </cell>
          <cell r="U345">
            <v>918.3085153779823</v>
          </cell>
          <cell r="V345">
            <v>2113.4793824072335</v>
          </cell>
          <cell r="W345">
            <v>3226.8353427037387</v>
          </cell>
          <cell r="X345">
            <v>4110.3524930756748</v>
          </cell>
          <cell r="Y345">
            <v>5565.0941729796696</v>
          </cell>
          <cell r="Z345">
            <v>6579.555292995401</v>
          </cell>
          <cell r="AA345">
            <v>7876.6786706792727</v>
          </cell>
          <cell r="AB345">
            <v>9209.185957415757</v>
          </cell>
          <cell r="AC345">
            <v>10053.062314132481</v>
          </cell>
          <cell r="AD345">
            <v>11143.891867402692</v>
          </cell>
          <cell r="AE345">
            <v>12459.65813973538</v>
          </cell>
          <cell r="AF345">
            <v>13907.638134768811</v>
          </cell>
        </row>
        <row r="346">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row>
        <row r="348">
          <cell r="D348">
            <v>4</v>
          </cell>
          <cell r="E348">
            <v>5</v>
          </cell>
          <cell r="F348">
            <v>6</v>
          </cell>
          <cell r="G348">
            <v>7</v>
          </cell>
          <cell r="H348">
            <v>8</v>
          </cell>
          <cell r="I348">
            <v>9</v>
          </cell>
          <cell r="J348">
            <v>10</v>
          </cell>
          <cell r="K348">
            <v>11</v>
          </cell>
          <cell r="L348">
            <v>12</v>
          </cell>
          <cell r="M348">
            <v>13</v>
          </cell>
          <cell r="N348">
            <v>14</v>
          </cell>
          <cell r="O348">
            <v>15</v>
          </cell>
          <cell r="P348">
            <v>16</v>
          </cell>
          <cell r="Q348">
            <v>17</v>
          </cell>
          <cell r="R348">
            <v>18</v>
          </cell>
          <cell r="S348">
            <v>19</v>
          </cell>
          <cell r="T348">
            <v>20</v>
          </cell>
          <cell r="U348">
            <v>21</v>
          </cell>
          <cell r="V348">
            <v>22</v>
          </cell>
          <cell r="W348">
            <v>23</v>
          </cell>
          <cell r="X348">
            <v>24</v>
          </cell>
          <cell r="Y348">
            <v>25</v>
          </cell>
          <cell r="Z348">
            <v>26</v>
          </cell>
          <cell r="AA348">
            <v>27</v>
          </cell>
          <cell r="AB348">
            <v>28</v>
          </cell>
          <cell r="AC348">
            <v>29</v>
          </cell>
          <cell r="AD348">
            <v>30</v>
          </cell>
          <cell r="AE348">
            <v>31</v>
          </cell>
          <cell r="AF348">
            <v>32</v>
          </cell>
        </row>
        <row r="349">
          <cell r="E349" t="str">
            <v>Actual</v>
          </cell>
          <cell r="F349" t="str">
            <v>Actual</v>
          </cell>
          <cell r="G349" t="str">
            <v>Actual</v>
          </cell>
          <cell r="H349" t="str">
            <v>Actual</v>
          </cell>
          <cell r="I349" t="str">
            <v>Actual</v>
          </cell>
          <cell r="J349" t="str">
            <v>Actual</v>
          </cell>
          <cell r="K349" t="str">
            <v>Actual</v>
          </cell>
          <cell r="L349" t="str">
            <v>Actual</v>
          </cell>
          <cell r="M349" t="str">
            <v>Actual</v>
          </cell>
          <cell r="N349" t="str">
            <v>Actual</v>
          </cell>
          <cell r="O349" t="str">
            <v>Actual</v>
          </cell>
          <cell r="P349" t="str">
            <v>Actual</v>
          </cell>
          <cell r="Q349" t="str">
            <v>Actual</v>
          </cell>
          <cell r="R349" t="str">
            <v>Actual</v>
          </cell>
          <cell r="S349" t="str">
            <v>Actual</v>
          </cell>
          <cell r="T349" t="str">
            <v>Actual</v>
          </cell>
          <cell r="U349" t="str">
            <v>Cumu Aud</v>
          </cell>
          <cell r="V349" t="str">
            <v>Cumu Aud</v>
          </cell>
          <cell r="W349" t="str">
            <v>Cumu Aud</v>
          </cell>
          <cell r="X349" t="str">
            <v>Cumu Aud</v>
          </cell>
          <cell r="Y349" t="str">
            <v>Cumu Aud</v>
          </cell>
          <cell r="Z349" t="str">
            <v>Cumu Aud</v>
          </cell>
          <cell r="AA349" t="str">
            <v>Cumu Aud</v>
          </cell>
          <cell r="AB349" t="str">
            <v>Cumu Aud</v>
          </cell>
          <cell r="AC349" t="str">
            <v>Cumu Aud</v>
          </cell>
          <cell r="AD349" t="str">
            <v>Cumu Aud</v>
          </cell>
          <cell r="AE349" t="str">
            <v>Cumu Aud</v>
          </cell>
          <cell r="AF349" t="str">
            <v>Cumu Aud</v>
          </cell>
        </row>
        <row r="350">
          <cell r="D350" t="str">
            <v>Particulars</v>
          </cell>
          <cell r="E350">
            <v>41286</v>
          </cell>
          <cell r="F350">
            <v>41317</v>
          </cell>
          <cell r="G350">
            <v>41345</v>
          </cell>
          <cell r="H350" t="str">
            <v>Q-1</v>
          </cell>
          <cell r="I350">
            <v>41376</v>
          </cell>
          <cell r="J350">
            <v>41406</v>
          </cell>
          <cell r="K350">
            <v>41437</v>
          </cell>
          <cell r="L350" t="str">
            <v>Q-2</v>
          </cell>
          <cell r="M350">
            <v>41467</v>
          </cell>
          <cell r="N350">
            <v>41498</v>
          </cell>
          <cell r="O350">
            <v>41529</v>
          </cell>
          <cell r="P350" t="str">
            <v>Q-3</v>
          </cell>
          <cell r="Q350">
            <v>41559</v>
          </cell>
          <cell r="R350">
            <v>41590</v>
          </cell>
          <cell r="S350">
            <v>41620</v>
          </cell>
          <cell r="T350" t="str">
            <v>Q-4</v>
          </cell>
          <cell r="U350">
            <v>41286</v>
          </cell>
          <cell r="V350">
            <v>41317</v>
          </cell>
          <cell r="W350">
            <v>41345</v>
          </cell>
          <cell r="X350">
            <v>41376</v>
          </cell>
          <cell r="Y350">
            <v>41406</v>
          </cell>
          <cell r="Z350">
            <v>41437</v>
          </cell>
          <cell r="AA350">
            <v>41467</v>
          </cell>
          <cell r="AB350">
            <v>41498</v>
          </cell>
          <cell r="AC350">
            <v>41529</v>
          </cell>
          <cell r="AD350">
            <v>41559</v>
          </cell>
          <cell r="AE350">
            <v>41590</v>
          </cell>
          <cell r="AF350">
            <v>41620</v>
          </cell>
        </row>
        <row r="352">
          <cell r="D352" t="str">
            <v>Sales</v>
          </cell>
          <cell r="E352">
            <v>-2.46</v>
          </cell>
          <cell r="F352">
            <v>-2.6</v>
          </cell>
          <cell r="G352">
            <v>9.33</v>
          </cell>
          <cell r="H352">
            <v>4.2699999999999996</v>
          </cell>
          <cell r="I352">
            <v>32.699999999999996</v>
          </cell>
          <cell r="J352">
            <v>34.520000000000003</v>
          </cell>
          <cell r="K352">
            <v>10.62</v>
          </cell>
          <cell r="L352">
            <v>77.84</v>
          </cell>
          <cell r="M352">
            <v>-0.2</v>
          </cell>
          <cell r="N352">
            <v>9</v>
          </cell>
          <cell r="O352">
            <v>4.5</v>
          </cell>
          <cell r="P352">
            <v>13.3</v>
          </cell>
          <cell r="Q352">
            <v>-2.56</v>
          </cell>
          <cell r="R352">
            <v>-1.27</v>
          </cell>
          <cell r="S352">
            <v>-3.09</v>
          </cell>
          <cell r="T352">
            <v>-6.92</v>
          </cell>
          <cell r="U352">
            <v>-2.46</v>
          </cell>
          <cell r="V352">
            <v>-5.0600000000000005</v>
          </cell>
          <cell r="W352">
            <v>4.2699999999999996</v>
          </cell>
          <cell r="X352">
            <v>36.97</v>
          </cell>
          <cell r="Y352">
            <v>71.490000000000009</v>
          </cell>
          <cell r="Z352">
            <v>82.110000000000014</v>
          </cell>
          <cell r="AA352">
            <v>81.910000000000011</v>
          </cell>
          <cell r="AB352">
            <v>90.910000000000011</v>
          </cell>
          <cell r="AC352">
            <v>95.410000000000011</v>
          </cell>
          <cell r="AD352">
            <v>92.850000000000009</v>
          </cell>
          <cell r="AE352">
            <v>91.580000000000013</v>
          </cell>
          <cell r="AF352">
            <v>88.490000000000009</v>
          </cell>
        </row>
        <row r="353">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row>
        <row r="354">
          <cell r="D354" t="str">
            <v>Cost of Goods Sold</v>
          </cell>
          <cell r="E354">
            <v>-0.72</v>
          </cell>
          <cell r="F354">
            <v>-0.47</v>
          </cell>
          <cell r="G354">
            <v>8.5399999999999991</v>
          </cell>
          <cell r="H354">
            <v>7.35</v>
          </cell>
          <cell r="I354">
            <v>21.52</v>
          </cell>
          <cell r="J354">
            <v>24.87</v>
          </cell>
          <cell r="K354">
            <v>8.2242601101599995</v>
          </cell>
          <cell r="L354">
            <v>54.614260110160004</v>
          </cell>
          <cell r="M354">
            <v>1.1299999999999999</v>
          </cell>
          <cell r="N354">
            <v>13.47</v>
          </cell>
          <cell r="O354">
            <v>6.8</v>
          </cell>
          <cell r="P354">
            <v>21.400000000000002</v>
          </cell>
          <cell r="Q354">
            <v>-1.49</v>
          </cell>
          <cell r="R354">
            <v>-0.85</v>
          </cell>
          <cell r="S354">
            <v>-1.57</v>
          </cell>
          <cell r="T354">
            <v>-3.91</v>
          </cell>
          <cell r="U354">
            <v>-0.72</v>
          </cell>
          <cell r="V354">
            <v>-1.19</v>
          </cell>
          <cell r="W354">
            <v>7.35</v>
          </cell>
          <cell r="X354">
            <v>28.869999999999997</v>
          </cell>
          <cell r="Y354">
            <v>53.739999999999995</v>
          </cell>
          <cell r="Z354">
            <v>61.964260110159998</v>
          </cell>
          <cell r="AA354">
            <v>63.09426011016</v>
          </cell>
          <cell r="AB354">
            <v>76.564260110160006</v>
          </cell>
          <cell r="AC354">
            <v>83.364260110160004</v>
          </cell>
          <cell r="AD354">
            <v>81.874260110160009</v>
          </cell>
          <cell r="AE354">
            <v>81.024260110160014</v>
          </cell>
          <cell r="AF354">
            <v>79.454260110160021</v>
          </cell>
        </row>
        <row r="355">
          <cell r="D355" t="str">
            <v>ED Savings</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row>
        <row r="356">
          <cell r="D356" t="str">
            <v>PRISM II &amp; PSM Savings</v>
          </cell>
          <cell r="E356">
            <v>-4.2160822075308989E-2</v>
          </cell>
          <cell r="F356">
            <v>-2.5398423450534946E-2</v>
          </cell>
          <cell r="G356">
            <v>9.6083037482382755E-2</v>
          </cell>
          <cell r="H356">
            <v>2.8523791956538813E-2</v>
          </cell>
          <cell r="I356">
            <v>0.42422990657221693</v>
          </cell>
          <cell r="J356">
            <v>0.30108499674999434</v>
          </cell>
          <cell r="K356">
            <v>0.33840257733076601</v>
          </cell>
          <cell r="L356">
            <v>1.0637174806529772</v>
          </cell>
          <cell r="M356">
            <v>-1.9903228353265389E-3</v>
          </cell>
          <cell r="N356">
            <v>9.9288318000347181E-2</v>
          </cell>
          <cell r="O356">
            <v>5.4926969759308795E-2</v>
          </cell>
          <cell r="P356">
            <v>0.15222496492432944</v>
          </cell>
          <cell r="Q356">
            <v>-2.6709434743604828E-2</v>
          </cell>
          <cell r="R356">
            <v>-1.2550604123238187E-2</v>
          </cell>
          <cell r="S356">
            <v>-4.0658025937308197E-2</v>
          </cell>
          <cell r="T356">
            <v>-7.9918064804151201E-2</v>
          </cell>
          <cell r="U356">
            <v>-4.2160822075308989E-2</v>
          </cell>
          <cell r="V356">
            <v>-6.7559245525843942E-2</v>
          </cell>
          <cell r="W356">
            <v>2.8523791956538813E-2</v>
          </cell>
          <cell r="X356">
            <v>0.45275369852875574</v>
          </cell>
          <cell r="Y356">
            <v>0.75383869527875014</v>
          </cell>
          <cell r="Z356">
            <v>1.0922412726095161</v>
          </cell>
          <cell r="AA356">
            <v>1.0902509497741895</v>
          </cell>
          <cell r="AB356">
            <v>1.1895392677745367</v>
          </cell>
          <cell r="AC356">
            <v>1.2444662375338456</v>
          </cell>
          <cell r="AD356">
            <v>1.2177568027902408</v>
          </cell>
          <cell r="AE356">
            <v>1.2052061986670026</v>
          </cell>
          <cell r="AF356">
            <v>1.1645481727296945</v>
          </cell>
        </row>
        <row r="357">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row>
        <row r="358">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row>
        <row r="359">
          <cell r="D359" t="str">
            <v>Contribution</v>
          </cell>
          <cell r="E359">
            <v>-1.7821608220753089</v>
          </cell>
          <cell r="F359">
            <v>-2.155398423450535</v>
          </cell>
          <cell r="G359">
            <v>0.88608303748238371</v>
          </cell>
          <cell r="H359">
            <v>-3.0514762080434612</v>
          </cell>
          <cell r="I359">
            <v>11.604229906572213</v>
          </cell>
          <cell r="J359">
            <v>9.9510849967499961</v>
          </cell>
          <cell r="K359">
            <v>2.7341424671707659</v>
          </cell>
          <cell r="L359">
            <v>24.289457370492975</v>
          </cell>
          <cell r="M359">
            <v>-1.3319903228353265</v>
          </cell>
          <cell r="N359">
            <v>-4.3707116819996532</v>
          </cell>
          <cell r="O359">
            <v>-2.2450730302406909</v>
          </cell>
          <cell r="P359">
            <v>-7.9477750350756722</v>
          </cell>
          <cell r="Q359">
            <v>-1.0967094347436048</v>
          </cell>
          <cell r="R359">
            <v>-0.4325506041232382</v>
          </cell>
          <cell r="S359">
            <v>-1.560658025937308</v>
          </cell>
          <cell r="T359">
            <v>-3.0899180648041509</v>
          </cell>
          <cell r="U359">
            <v>-1.7821608220753089</v>
          </cell>
          <cell r="V359">
            <v>-3.9375592455258439</v>
          </cell>
          <cell r="W359">
            <v>-3.0514762080434603</v>
          </cell>
          <cell r="X359">
            <v>8.5527536985287522</v>
          </cell>
          <cell r="Y359">
            <v>18.503838695278748</v>
          </cell>
          <cell r="Z359">
            <v>21.237981162449515</v>
          </cell>
          <cell r="AA359">
            <v>19.905990839614187</v>
          </cell>
          <cell r="AB359">
            <v>15.535279157614534</v>
          </cell>
          <cell r="AC359">
            <v>13.290206127373843</v>
          </cell>
          <cell r="AD359">
            <v>12.193496692630237</v>
          </cell>
          <cell r="AE359">
            <v>11.760946088507</v>
          </cell>
          <cell r="AF359">
            <v>10.200288062569692</v>
          </cell>
        </row>
        <row r="360">
          <cell r="D360">
            <v>0</v>
          </cell>
          <cell r="E360">
            <v>0.72445561872980035</v>
          </cell>
          <cell r="F360">
            <v>0.82899939363482111</v>
          </cell>
          <cell r="G360">
            <v>9.4971386654060422E-2</v>
          </cell>
          <cell r="H360">
            <v>-0.71463143045514321</v>
          </cell>
          <cell r="I360">
            <v>0.35486941610312583</v>
          </cell>
          <cell r="J360">
            <v>0.28827013316193495</v>
          </cell>
          <cell r="K360">
            <v>0.2574522097147614</v>
          </cell>
          <cell r="L360">
            <v>0.31204338862401049</v>
          </cell>
          <cell r="M360">
            <v>6.6599516141766317</v>
          </cell>
          <cell r="N360">
            <v>-0.48563463133329482</v>
          </cell>
          <cell r="O360">
            <v>-0.49890511783126468</v>
          </cell>
          <cell r="P360">
            <v>-0.59757707030644147</v>
          </cell>
          <cell r="Q360">
            <v>0.42840212294672064</v>
          </cell>
          <cell r="R360">
            <v>0.34059102686869147</v>
          </cell>
          <cell r="S360">
            <v>0.50506732230980844</v>
          </cell>
          <cell r="T360">
            <v>0.44651995156129348</v>
          </cell>
          <cell r="U360">
            <v>0.72445561872980035</v>
          </cell>
          <cell r="V360">
            <v>0.77817376393791371</v>
          </cell>
          <cell r="W360">
            <v>-0.71463143045514299</v>
          </cell>
          <cell r="X360">
            <v>0.23134308083659055</v>
          </cell>
          <cell r="Y360">
            <v>0.25883114694752757</v>
          </cell>
          <cell r="Z360">
            <v>0.25865279700949351</v>
          </cell>
          <cell r="AA360">
            <v>0.24302271810052722</v>
          </cell>
          <cell r="AB360">
            <v>0.17088636187014114</v>
          </cell>
          <cell r="AC360">
            <v>0.13929573553478505</v>
          </cell>
          <cell r="AD360">
            <v>0.13132468166537681</v>
          </cell>
          <cell r="AE360">
            <v>0.1284226478325726</v>
          </cell>
          <cell r="AF360">
            <v>0.11527051714961793</v>
          </cell>
        </row>
        <row r="361">
          <cell r="D361" t="str">
            <v>Overheads</v>
          </cell>
        </row>
        <row r="362">
          <cell r="D362" t="str">
            <v>Advertisement Exp.</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row>
        <row r="363">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row>
        <row r="364">
          <cell r="D364" t="str">
            <v>Total Overheads (a+b)</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row>
        <row r="365">
          <cell r="D365" t="str">
            <v>OPERATING PROFIT (LOSS)</v>
          </cell>
          <cell r="E365">
            <v>-1.7821608220753089</v>
          </cell>
          <cell r="F365">
            <v>-2.155398423450535</v>
          </cell>
          <cell r="G365">
            <v>0.88608303748238371</v>
          </cell>
          <cell r="H365">
            <v>-3.0514762080434612</v>
          </cell>
          <cell r="I365">
            <v>11.604229906572213</v>
          </cell>
          <cell r="J365">
            <v>9.9510849967499961</v>
          </cell>
          <cell r="K365">
            <v>2.7341424671707659</v>
          </cell>
          <cell r="L365">
            <v>24.289457370492975</v>
          </cell>
          <cell r="M365">
            <v>-1.3319903228353265</v>
          </cell>
          <cell r="N365">
            <v>-4.3707116819996532</v>
          </cell>
          <cell r="O365">
            <v>-2.2450730302406909</v>
          </cell>
          <cell r="P365">
            <v>-7.9477750350756722</v>
          </cell>
          <cell r="Q365">
            <v>-1.0967094347436048</v>
          </cell>
          <cell r="R365">
            <v>-0.4325506041232382</v>
          </cell>
          <cell r="S365">
            <v>-1.560658025937308</v>
          </cell>
          <cell r="T365">
            <v>-3.0899180648041509</v>
          </cell>
          <cell r="U365">
            <v>-1.7821608220753089</v>
          </cell>
          <cell r="V365">
            <v>-3.9375592455258439</v>
          </cell>
          <cell r="W365">
            <v>-3.0514762080434603</v>
          </cell>
          <cell r="X365">
            <v>8.5527536985287522</v>
          </cell>
          <cell r="Y365">
            <v>18.503838695278748</v>
          </cell>
          <cell r="Z365">
            <v>21.237981162449515</v>
          </cell>
          <cell r="AA365">
            <v>19.905990839614187</v>
          </cell>
          <cell r="AB365">
            <v>15.535279157614534</v>
          </cell>
          <cell r="AC365">
            <v>13.290206127373843</v>
          </cell>
          <cell r="AD365">
            <v>12.193496692630237</v>
          </cell>
          <cell r="AE365">
            <v>11.760946088507</v>
          </cell>
          <cell r="AF365">
            <v>10.200288062569692</v>
          </cell>
        </row>
        <row r="388">
          <cell r="D388">
            <v>4</v>
          </cell>
          <cell r="E388">
            <v>5</v>
          </cell>
          <cell r="F388">
            <v>6</v>
          </cell>
          <cell r="G388">
            <v>7</v>
          </cell>
          <cell r="H388">
            <v>8</v>
          </cell>
          <cell r="I388">
            <v>9</v>
          </cell>
          <cell r="J388">
            <v>10</v>
          </cell>
          <cell r="K388">
            <v>11</v>
          </cell>
          <cell r="L388">
            <v>12</v>
          </cell>
          <cell r="M388">
            <v>13</v>
          </cell>
          <cell r="N388">
            <v>14</v>
          </cell>
          <cell r="O388">
            <v>15</v>
          </cell>
          <cell r="P388">
            <v>16</v>
          </cell>
          <cell r="Q388">
            <v>17</v>
          </cell>
          <cell r="R388">
            <v>18</v>
          </cell>
          <cell r="S388">
            <v>19</v>
          </cell>
          <cell r="T388">
            <v>20</v>
          </cell>
          <cell r="U388">
            <v>21</v>
          </cell>
          <cell r="V388">
            <v>22</v>
          </cell>
          <cell r="W388">
            <v>23</v>
          </cell>
          <cell r="X388">
            <v>24</v>
          </cell>
          <cell r="Y388">
            <v>25</v>
          </cell>
          <cell r="Z388">
            <v>26</v>
          </cell>
          <cell r="AA388">
            <v>27</v>
          </cell>
          <cell r="AB388">
            <v>28</v>
          </cell>
          <cell r="AC388">
            <v>29</v>
          </cell>
          <cell r="AD388">
            <v>30</v>
          </cell>
          <cell r="AE388">
            <v>31</v>
          </cell>
          <cell r="AF388">
            <v>32</v>
          </cell>
        </row>
        <row r="389">
          <cell r="E389" t="str">
            <v>Actual</v>
          </cell>
          <cell r="F389" t="str">
            <v>Actual</v>
          </cell>
          <cell r="G389" t="str">
            <v>Actual</v>
          </cell>
          <cell r="H389" t="str">
            <v>Actual</v>
          </cell>
          <cell r="I389" t="str">
            <v>Actual</v>
          </cell>
          <cell r="J389" t="str">
            <v>Actual</v>
          </cell>
          <cell r="K389" t="str">
            <v>Actual</v>
          </cell>
          <cell r="L389" t="str">
            <v>Actual</v>
          </cell>
          <cell r="M389" t="str">
            <v>Actual</v>
          </cell>
          <cell r="N389" t="str">
            <v>Actual</v>
          </cell>
          <cell r="O389" t="str">
            <v>Actual</v>
          </cell>
          <cell r="P389" t="str">
            <v>Actual</v>
          </cell>
          <cell r="Q389" t="str">
            <v>Actual</v>
          </cell>
          <cell r="R389" t="str">
            <v>Actual</v>
          </cell>
          <cell r="S389" t="str">
            <v>Actual</v>
          </cell>
          <cell r="T389" t="str">
            <v>Actual</v>
          </cell>
          <cell r="U389" t="str">
            <v>Cumu Aud</v>
          </cell>
          <cell r="V389" t="str">
            <v>Cumu Aud</v>
          </cell>
          <cell r="W389" t="str">
            <v>Cumu Aud</v>
          </cell>
          <cell r="X389" t="str">
            <v>Cumu Aud</v>
          </cell>
          <cell r="Y389" t="str">
            <v>Cumu Aud</v>
          </cell>
          <cell r="Z389" t="str">
            <v>Cumu Aud</v>
          </cell>
          <cell r="AA389" t="str">
            <v>Cumu Aud</v>
          </cell>
          <cell r="AB389" t="str">
            <v>Cumu Aud</v>
          </cell>
          <cell r="AC389" t="str">
            <v>Cumu Aud</v>
          </cell>
          <cell r="AD389" t="str">
            <v>Cumu Aud</v>
          </cell>
          <cell r="AE389" t="str">
            <v>Cumu Aud</v>
          </cell>
          <cell r="AF389" t="str">
            <v>Cumu Aud</v>
          </cell>
        </row>
        <row r="390">
          <cell r="D390" t="str">
            <v>Particulars</v>
          </cell>
          <cell r="E390">
            <v>41286</v>
          </cell>
          <cell r="F390">
            <v>41317</v>
          </cell>
          <cell r="G390">
            <v>41345</v>
          </cell>
          <cell r="H390" t="str">
            <v>Q-1</v>
          </cell>
          <cell r="I390">
            <v>41376</v>
          </cell>
          <cell r="J390">
            <v>41406</v>
          </cell>
          <cell r="K390">
            <v>41437</v>
          </cell>
          <cell r="L390" t="str">
            <v>Q-2</v>
          </cell>
          <cell r="M390">
            <v>41467</v>
          </cell>
          <cell r="N390">
            <v>41498</v>
          </cell>
          <cell r="O390">
            <v>41529</v>
          </cell>
          <cell r="P390" t="str">
            <v>Q-3</v>
          </cell>
          <cell r="Q390">
            <v>41559</v>
          </cell>
          <cell r="R390">
            <v>41590</v>
          </cell>
          <cell r="S390">
            <v>41620</v>
          </cell>
          <cell r="T390" t="str">
            <v>Q-4</v>
          </cell>
          <cell r="U390">
            <v>41286</v>
          </cell>
          <cell r="V390">
            <v>41317</v>
          </cell>
          <cell r="W390">
            <v>41345</v>
          </cell>
          <cell r="X390">
            <v>41376</v>
          </cell>
          <cell r="Y390">
            <v>41406</v>
          </cell>
          <cell r="Z390">
            <v>41437</v>
          </cell>
          <cell r="AA390">
            <v>41467</v>
          </cell>
          <cell r="AB390">
            <v>41498</v>
          </cell>
          <cell r="AC390">
            <v>41529</v>
          </cell>
          <cell r="AD390">
            <v>41559</v>
          </cell>
          <cell r="AE390">
            <v>41590</v>
          </cell>
          <cell r="AF390">
            <v>41620</v>
          </cell>
        </row>
        <row r="392">
          <cell r="D392" t="str">
            <v>Sales</v>
          </cell>
          <cell r="E392">
            <v>805.5200000000001</v>
          </cell>
          <cell r="F392">
            <v>955.72</v>
          </cell>
          <cell r="G392">
            <v>722.5</v>
          </cell>
          <cell r="H392">
            <v>2483.7400000000002</v>
          </cell>
          <cell r="I392">
            <v>1015.51</v>
          </cell>
          <cell r="J392">
            <v>1095.5999999999999</v>
          </cell>
          <cell r="K392">
            <v>831.02</v>
          </cell>
          <cell r="L392">
            <v>2942.1299999999997</v>
          </cell>
          <cell r="M392">
            <v>766.46</v>
          </cell>
          <cell r="N392">
            <v>688.9</v>
          </cell>
          <cell r="O392">
            <v>569.62</v>
          </cell>
          <cell r="P392">
            <v>2024.98</v>
          </cell>
          <cell r="Q392">
            <v>682</v>
          </cell>
          <cell r="R392">
            <v>681.21</v>
          </cell>
          <cell r="S392">
            <v>845.04</v>
          </cell>
          <cell r="T392">
            <v>2208.25</v>
          </cell>
          <cell r="U392">
            <v>805.5200000000001</v>
          </cell>
          <cell r="V392">
            <v>1761.2400000000002</v>
          </cell>
          <cell r="W392">
            <v>2483.7400000000002</v>
          </cell>
          <cell r="X392">
            <v>3499.25</v>
          </cell>
          <cell r="Y392">
            <v>4594.8500000000004</v>
          </cell>
          <cell r="Z392">
            <v>5425.8700000000008</v>
          </cell>
          <cell r="AA392">
            <v>6192.3300000000008</v>
          </cell>
          <cell r="AB392">
            <v>6881.2300000000005</v>
          </cell>
          <cell r="AC392">
            <v>7450.85</v>
          </cell>
          <cell r="AD392">
            <v>8132.85</v>
          </cell>
          <cell r="AE392">
            <v>8814.0600000000013</v>
          </cell>
          <cell r="AF392">
            <v>9659.1000000000022</v>
          </cell>
        </row>
        <row r="393">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row>
        <row r="394">
          <cell r="D394" t="str">
            <v>Cost of Goods Sold</v>
          </cell>
          <cell r="E394">
            <v>290.24</v>
          </cell>
          <cell r="F394">
            <v>390.11</v>
          </cell>
          <cell r="G394">
            <v>244.65</v>
          </cell>
          <cell r="H394">
            <v>925</v>
          </cell>
          <cell r="I394">
            <v>386.01</v>
          </cell>
          <cell r="J394">
            <v>389.83</v>
          </cell>
          <cell r="K394">
            <v>305.52</v>
          </cell>
          <cell r="L394">
            <v>1081.3599999999999</v>
          </cell>
          <cell r="M394">
            <v>279.95</v>
          </cell>
          <cell r="N394">
            <v>249.52</v>
          </cell>
          <cell r="O394">
            <v>193.48</v>
          </cell>
          <cell r="P394">
            <v>722.95</v>
          </cell>
          <cell r="Q394">
            <v>244.02</v>
          </cell>
          <cell r="R394">
            <v>238.99</v>
          </cell>
          <cell r="S394">
            <v>398.81</v>
          </cell>
          <cell r="T394">
            <v>881.81999999999994</v>
          </cell>
          <cell r="U394">
            <v>290.24</v>
          </cell>
          <cell r="V394">
            <v>680.35</v>
          </cell>
          <cell r="W394">
            <v>925</v>
          </cell>
          <cell r="X394">
            <v>1311.01</v>
          </cell>
          <cell r="Y394">
            <v>1700.84</v>
          </cell>
          <cell r="Z394">
            <v>2006.36</v>
          </cell>
          <cell r="AA394">
            <v>2286.31</v>
          </cell>
          <cell r="AB394">
            <v>2535.83</v>
          </cell>
          <cell r="AC394">
            <v>2729.31</v>
          </cell>
          <cell r="AD394">
            <v>2973.33</v>
          </cell>
          <cell r="AE394">
            <v>3212.3199999999997</v>
          </cell>
          <cell r="AF394">
            <v>3611.1299999999997</v>
          </cell>
        </row>
        <row r="395">
          <cell r="D395" t="str">
            <v>ED Savings</v>
          </cell>
          <cell r="E395">
            <v>21.23</v>
          </cell>
          <cell r="F395">
            <v>71</v>
          </cell>
          <cell r="G395">
            <v>30.000000000000007</v>
          </cell>
          <cell r="H395">
            <v>122.23000000000002</v>
          </cell>
          <cell r="I395">
            <v>73</v>
          </cell>
          <cell r="J395">
            <v>0</v>
          </cell>
          <cell r="K395">
            <v>0</v>
          </cell>
          <cell r="L395">
            <v>73</v>
          </cell>
          <cell r="M395">
            <v>22.15</v>
          </cell>
          <cell r="N395">
            <v>22.450000000000003</v>
          </cell>
          <cell r="O395">
            <v>0</v>
          </cell>
          <cell r="P395">
            <v>44.6</v>
          </cell>
          <cell r="Q395">
            <v>8.23</v>
          </cell>
          <cell r="R395">
            <v>14.68</v>
          </cell>
          <cell r="S395">
            <v>53.283702808000001</v>
          </cell>
          <cell r="T395">
            <v>76.193702807999998</v>
          </cell>
          <cell r="U395">
            <v>21.23</v>
          </cell>
          <cell r="V395">
            <v>92.23</v>
          </cell>
          <cell r="W395">
            <v>122.23000000000002</v>
          </cell>
          <cell r="X395">
            <v>195.23000000000002</v>
          </cell>
          <cell r="Y395">
            <v>195.23000000000002</v>
          </cell>
          <cell r="Z395">
            <v>195.23000000000002</v>
          </cell>
          <cell r="AA395">
            <v>217.38000000000002</v>
          </cell>
          <cell r="AB395">
            <v>239.83000000000004</v>
          </cell>
          <cell r="AC395">
            <v>239.83000000000004</v>
          </cell>
          <cell r="AD395">
            <v>248.06000000000003</v>
          </cell>
          <cell r="AE395">
            <v>262.74</v>
          </cell>
          <cell r="AF395">
            <v>316.023702808</v>
          </cell>
        </row>
        <row r="396">
          <cell r="D396" t="str">
            <v>PRISM II &amp; PSM Savings</v>
          </cell>
          <cell r="E396">
            <v>13.805441218741018</v>
          </cell>
          <cell r="F396">
            <v>9.3360697154404839</v>
          </cell>
          <cell r="G396">
            <v>7.4405138886411075</v>
          </cell>
          <cell r="H396">
            <v>30.582024822822611</v>
          </cell>
          <cell r="I396">
            <v>13.174608942604038</v>
          </cell>
          <cell r="J396">
            <v>9.5558726083225292</v>
          </cell>
          <cell r="K396">
            <v>26.48016099937977</v>
          </cell>
          <cell r="L396">
            <v>49.210642550306339</v>
          </cell>
          <cell r="M396">
            <v>7.6275142018218949</v>
          </cell>
          <cell r="N396">
            <v>7.5999691411599075</v>
          </cell>
          <cell r="O396">
            <v>6.9527778920661065</v>
          </cell>
          <cell r="P396">
            <v>22.180261235047908</v>
          </cell>
          <cell r="Q396">
            <v>7.1155603496634736</v>
          </cell>
          <cell r="R396">
            <v>6.7319661691268395</v>
          </cell>
          <cell r="S396">
            <v>11.118983248564051</v>
          </cell>
          <cell r="T396">
            <v>24.966509767354367</v>
          </cell>
          <cell r="U396">
            <v>13.805441218741018</v>
          </cell>
          <cell r="V396">
            <v>23.141510934181504</v>
          </cell>
          <cell r="W396">
            <v>30.582024822822611</v>
          </cell>
          <cell r="X396">
            <v>43.756633765426649</v>
          </cell>
          <cell r="Y396">
            <v>53.31250637374918</v>
          </cell>
          <cell r="Z396">
            <v>79.79266737312895</v>
          </cell>
          <cell r="AA396">
            <v>87.420181574950846</v>
          </cell>
          <cell r="AB396">
            <v>95.020150716110749</v>
          </cell>
          <cell r="AC396">
            <v>101.97292860817686</v>
          </cell>
          <cell r="AD396">
            <v>109.08848895784033</v>
          </cell>
          <cell r="AE396">
            <v>115.82045512696716</v>
          </cell>
          <cell r="AF396">
            <v>126.93943837553121</v>
          </cell>
        </row>
        <row r="397">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row>
        <row r="398">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row>
        <row r="399">
          <cell r="D399" t="str">
            <v>Contribution</v>
          </cell>
          <cell r="E399">
            <v>550.31544121874117</v>
          </cell>
          <cell r="F399">
            <v>645.94606971544044</v>
          </cell>
          <cell r="G399">
            <v>515.29051388864116</v>
          </cell>
          <cell r="H399">
            <v>1711.5520248228229</v>
          </cell>
          <cell r="I399">
            <v>715.67460894260398</v>
          </cell>
          <cell r="J399">
            <v>715.32587260832247</v>
          </cell>
          <cell r="K399">
            <v>551.98016099937979</v>
          </cell>
          <cell r="L399">
            <v>1982.9806425503061</v>
          </cell>
          <cell r="M399">
            <v>516.28751420182186</v>
          </cell>
          <cell r="N399">
            <v>469.42996914115992</v>
          </cell>
          <cell r="O399">
            <v>383.09277789206607</v>
          </cell>
          <cell r="P399">
            <v>1368.8102612350478</v>
          </cell>
          <cell r="Q399">
            <v>453.32556034966353</v>
          </cell>
          <cell r="R399">
            <v>463.63196616912688</v>
          </cell>
          <cell r="S399">
            <v>510.63268605656401</v>
          </cell>
          <cell r="T399">
            <v>1427.5902125753544</v>
          </cell>
          <cell r="U399">
            <v>550.31544121874117</v>
          </cell>
          <cell r="V399">
            <v>1196.2615109341816</v>
          </cell>
          <cell r="W399">
            <v>1711.5520248228227</v>
          </cell>
          <cell r="X399">
            <v>2427.2266337654264</v>
          </cell>
          <cell r="Y399">
            <v>3142.5525063737487</v>
          </cell>
          <cell r="Z399">
            <v>3694.5326673731283</v>
          </cell>
          <cell r="AA399">
            <v>4210.8201815749499</v>
          </cell>
          <cell r="AB399">
            <v>4680.2501507161096</v>
          </cell>
          <cell r="AC399">
            <v>5063.3429286081755</v>
          </cell>
          <cell r="AD399">
            <v>5516.6684889578391</v>
          </cell>
          <cell r="AE399">
            <v>5980.300455126966</v>
          </cell>
          <cell r="AF399">
            <v>6490.9331411835301</v>
          </cell>
        </row>
        <row r="400">
          <cell r="D400">
            <v>0</v>
          </cell>
          <cell r="E400">
            <v>0.68318035705971436</v>
          </cell>
          <cell r="F400">
            <v>0.67587375979935593</v>
          </cell>
          <cell r="G400">
            <v>0.71320486351369017</v>
          </cell>
          <cell r="H400">
            <v>0.68910273411179224</v>
          </cell>
          <cell r="I400">
            <v>0.70474402905200739</v>
          </cell>
          <cell r="J400">
            <v>0.65290787934312022</v>
          </cell>
          <cell r="K400">
            <v>0.66422006810832446</v>
          </cell>
          <cell r="L400">
            <v>0.67399490931750339</v>
          </cell>
          <cell r="M400">
            <v>0.67360007593588944</v>
          </cell>
          <cell r="N400">
            <v>0.68141960972733329</v>
          </cell>
          <cell r="O400">
            <v>0.67254095342871756</v>
          </cell>
          <cell r="P400">
            <v>0.67596236073198146</v>
          </cell>
          <cell r="Q400">
            <v>0.66470023511680865</v>
          </cell>
          <cell r="R400">
            <v>0.68060064615775873</v>
          </cell>
          <cell r="S400">
            <v>0.60427043223582788</v>
          </cell>
          <cell r="T400">
            <v>0.64648034080170014</v>
          </cell>
          <cell r="U400">
            <v>0.68318035705971436</v>
          </cell>
          <cell r="V400">
            <v>0.67921550210884463</v>
          </cell>
          <cell r="W400">
            <v>0.68910273411179213</v>
          </cell>
          <cell r="X400">
            <v>0.69364196149615676</v>
          </cell>
          <cell r="Y400">
            <v>0.68392929178836048</v>
          </cell>
          <cell r="Z400">
            <v>0.68091064978945826</v>
          </cell>
          <cell r="AA400">
            <v>0.68000577837016907</v>
          </cell>
          <cell r="AB400">
            <v>0.68014732114986842</v>
          </cell>
          <cell r="AC400">
            <v>0.67956581176753994</v>
          </cell>
          <cell r="AD400">
            <v>0.67831922253058141</v>
          </cell>
          <cell r="AE400">
            <v>0.67849554633471576</v>
          </cell>
          <cell r="AF400">
            <v>0.67200185743842888</v>
          </cell>
        </row>
        <row r="401">
          <cell r="D401" t="str">
            <v>Overheads</v>
          </cell>
        </row>
        <row r="402">
          <cell r="D402" t="str">
            <v>Advertisement Exp.</v>
          </cell>
          <cell r="E402">
            <v>772</v>
          </cell>
          <cell r="F402">
            <v>141</v>
          </cell>
          <cell r="G402">
            <v>-125.6</v>
          </cell>
          <cell r="H402">
            <v>787.4</v>
          </cell>
          <cell r="I402">
            <v>687</v>
          </cell>
          <cell r="J402">
            <v>315</v>
          </cell>
          <cell r="K402">
            <v>137.06</v>
          </cell>
          <cell r="L402">
            <v>1139.06</v>
          </cell>
          <cell r="M402">
            <v>230.12</v>
          </cell>
          <cell r="N402">
            <v>404</v>
          </cell>
          <cell r="O402">
            <v>707</v>
          </cell>
          <cell r="P402">
            <v>1341.12</v>
          </cell>
          <cell r="Q402">
            <v>783.98</v>
          </cell>
          <cell r="R402">
            <v>-215</v>
          </cell>
          <cell r="S402">
            <v>-114.22</v>
          </cell>
          <cell r="T402">
            <v>454.76</v>
          </cell>
          <cell r="U402">
            <v>772</v>
          </cell>
          <cell r="V402">
            <v>913</v>
          </cell>
          <cell r="W402">
            <v>787.4</v>
          </cell>
          <cell r="X402">
            <v>1474.4</v>
          </cell>
          <cell r="Y402">
            <v>1789.4</v>
          </cell>
          <cell r="Z402">
            <v>1926.46</v>
          </cell>
          <cell r="AA402">
            <v>2156.58</v>
          </cell>
          <cell r="AB402">
            <v>2560.58</v>
          </cell>
          <cell r="AC402">
            <v>3267.58</v>
          </cell>
          <cell r="AD402">
            <v>4051.56</v>
          </cell>
          <cell r="AE402">
            <v>3836.56</v>
          </cell>
          <cell r="AF402">
            <v>3722.34</v>
          </cell>
        </row>
        <row r="403">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row>
        <row r="404">
          <cell r="D404" t="str">
            <v>Total Overheads (a+b)</v>
          </cell>
          <cell r="E404">
            <v>772</v>
          </cell>
          <cell r="F404">
            <v>141</v>
          </cell>
          <cell r="G404">
            <v>-125.6</v>
          </cell>
          <cell r="H404">
            <v>787.4</v>
          </cell>
          <cell r="I404">
            <v>687</v>
          </cell>
          <cell r="J404">
            <v>315</v>
          </cell>
          <cell r="K404">
            <v>137.06</v>
          </cell>
          <cell r="L404">
            <v>1139.06</v>
          </cell>
          <cell r="M404">
            <v>230.12</v>
          </cell>
          <cell r="N404">
            <v>404</v>
          </cell>
          <cell r="O404">
            <v>707</v>
          </cell>
          <cell r="P404">
            <v>1341.12</v>
          </cell>
          <cell r="Q404">
            <v>783.98</v>
          </cell>
          <cell r="R404">
            <v>-215</v>
          </cell>
          <cell r="S404">
            <v>-114.22</v>
          </cell>
          <cell r="T404">
            <v>454.76</v>
          </cell>
          <cell r="U404">
            <v>772</v>
          </cell>
          <cell r="V404">
            <v>913</v>
          </cell>
          <cell r="W404">
            <v>787.4</v>
          </cell>
          <cell r="X404">
            <v>1474.4</v>
          </cell>
          <cell r="Y404">
            <v>1789.4</v>
          </cell>
          <cell r="Z404">
            <v>1926.46</v>
          </cell>
          <cell r="AA404">
            <v>2156.58</v>
          </cell>
          <cell r="AB404">
            <v>2560.58</v>
          </cell>
          <cell r="AC404">
            <v>3267.58</v>
          </cell>
          <cell r="AD404">
            <v>4051.56</v>
          </cell>
          <cell r="AE404">
            <v>3836.56</v>
          </cell>
          <cell r="AF404">
            <v>3722.34</v>
          </cell>
        </row>
        <row r="405">
          <cell r="D405" t="str">
            <v>OPERATING PROFIT (LOSS)</v>
          </cell>
          <cell r="E405">
            <v>-221.68455878125883</v>
          </cell>
          <cell r="F405">
            <v>504.94606971544044</v>
          </cell>
          <cell r="G405">
            <v>640.89051388864118</v>
          </cell>
          <cell r="H405">
            <v>924.15202482282291</v>
          </cell>
          <cell r="I405">
            <v>28.674608942603982</v>
          </cell>
          <cell r="J405">
            <v>400.32587260832247</v>
          </cell>
          <cell r="K405">
            <v>414.92016099937979</v>
          </cell>
          <cell r="L405">
            <v>843.92064255030618</v>
          </cell>
          <cell r="M405">
            <v>286.16751420182186</v>
          </cell>
          <cell r="N405">
            <v>65.429969141159916</v>
          </cell>
          <cell r="O405">
            <v>-323.90722210793393</v>
          </cell>
          <cell r="P405">
            <v>27.690261235047956</v>
          </cell>
          <cell r="Q405">
            <v>-330.65443965033649</v>
          </cell>
          <cell r="R405">
            <v>678.63196616912683</v>
          </cell>
          <cell r="S405">
            <v>624.85268605656404</v>
          </cell>
          <cell r="T405">
            <v>972.83021257535438</v>
          </cell>
          <cell r="U405">
            <v>-221.68455878125883</v>
          </cell>
          <cell r="V405">
            <v>283.26151093418162</v>
          </cell>
          <cell r="W405">
            <v>924.1520248228228</v>
          </cell>
          <cell r="X405">
            <v>952.82663376542678</v>
          </cell>
          <cell r="Y405">
            <v>1353.1525063737492</v>
          </cell>
          <cell r="Z405">
            <v>1768.072667373129</v>
          </cell>
          <cell r="AA405">
            <v>2054.2401815749508</v>
          </cell>
          <cell r="AB405">
            <v>2119.6701507161106</v>
          </cell>
          <cell r="AC405">
            <v>1795.7629286081767</v>
          </cell>
          <cell r="AD405">
            <v>1465.1084889578401</v>
          </cell>
          <cell r="AE405">
            <v>2143.7404551269669</v>
          </cell>
          <cell r="AF405">
            <v>2768.5931411835309</v>
          </cell>
        </row>
        <row r="408">
          <cell r="D408">
            <v>4</v>
          </cell>
          <cell r="E408">
            <v>5</v>
          </cell>
          <cell r="F408">
            <v>6</v>
          </cell>
          <cell r="G408">
            <v>7</v>
          </cell>
          <cell r="H408">
            <v>8</v>
          </cell>
          <cell r="I408">
            <v>9</v>
          </cell>
          <cell r="J408">
            <v>10</v>
          </cell>
          <cell r="K408">
            <v>11</v>
          </cell>
          <cell r="L408">
            <v>12</v>
          </cell>
          <cell r="M408">
            <v>13</v>
          </cell>
          <cell r="N408">
            <v>14</v>
          </cell>
          <cell r="O408">
            <v>15</v>
          </cell>
          <cell r="P408">
            <v>16</v>
          </cell>
          <cell r="Q408">
            <v>17</v>
          </cell>
          <cell r="R408">
            <v>18</v>
          </cell>
          <cell r="S408">
            <v>19</v>
          </cell>
          <cell r="T408">
            <v>20</v>
          </cell>
          <cell r="U408">
            <v>21</v>
          </cell>
          <cell r="V408">
            <v>22</v>
          </cell>
          <cell r="W408">
            <v>23</v>
          </cell>
          <cell r="X408">
            <v>24</v>
          </cell>
          <cell r="Y408">
            <v>25</v>
          </cell>
          <cell r="Z408">
            <v>26</v>
          </cell>
          <cell r="AA408">
            <v>27</v>
          </cell>
          <cell r="AB408">
            <v>28</v>
          </cell>
          <cell r="AC408">
            <v>29</v>
          </cell>
          <cell r="AD408">
            <v>30</v>
          </cell>
          <cell r="AE408">
            <v>31</v>
          </cell>
          <cell r="AF408">
            <v>32</v>
          </cell>
        </row>
        <row r="409">
          <cell r="E409" t="str">
            <v>Actual</v>
          </cell>
          <cell r="F409" t="str">
            <v>Actual</v>
          </cell>
          <cell r="G409" t="str">
            <v>Actual</v>
          </cell>
          <cell r="H409" t="str">
            <v>Actual</v>
          </cell>
          <cell r="I409" t="str">
            <v>Actual</v>
          </cell>
          <cell r="J409" t="str">
            <v>Actual</v>
          </cell>
          <cell r="K409" t="str">
            <v>Actual</v>
          </cell>
          <cell r="L409" t="str">
            <v>Actual</v>
          </cell>
          <cell r="M409" t="str">
            <v>Actual</v>
          </cell>
          <cell r="N409" t="str">
            <v>Actual</v>
          </cell>
          <cell r="O409" t="str">
            <v>Actual</v>
          </cell>
          <cell r="P409" t="str">
            <v>Actual</v>
          </cell>
          <cell r="Q409" t="str">
            <v>Actual</v>
          </cell>
          <cell r="R409" t="str">
            <v>Actual</v>
          </cell>
          <cell r="S409" t="str">
            <v>Actual</v>
          </cell>
          <cell r="T409" t="str">
            <v>Actual</v>
          </cell>
          <cell r="U409" t="str">
            <v>Cumu Aud</v>
          </cell>
          <cell r="V409" t="str">
            <v>Cumu Aud</v>
          </cell>
          <cell r="W409" t="str">
            <v>Cumu Aud</v>
          </cell>
          <cell r="X409" t="str">
            <v>Cumu Aud</v>
          </cell>
          <cell r="Y409" t="str">
            <v>Cumu Aud</v>
          </cell>
          <cell r="Z409" t="str">
            <v>Cumu Aud</v>
          </cell>
          <cell r="AA409" t="str">
            <v>Cumu Aud</v>
          </cell>
          <cell r="AB409" t="str">
            <v>Cumu Aud</v>
          </cell>
          <cell r="AC409" t="str">
            <v>Cumu Aud</v>
          </cell>
          <cell r="AD409" t="str">
            <v>Cumu Aud</v>
          </cell>
          <cell r="AE409" t="str">
            <v>Cumu Aud</v>
          </cell>
          <cell r="AF409" t="str">
            <v>Cumu Aud</v>
          </cell>
        </row>
        <row r="410">
          <cell r="D410" t="str">
            <v>Particulars</v>
          </cell>
          <cell r="E410">
            <v>41286</v>
          </cell>
          <cell r="F410">
            <v>41317</v>
          </cell>
          <cell r="G410">
            <v>41345</v>
          </cell>
          <cell r="H410" t="str">
            <v>Q-1</v>
          </cell>
          <cell r="I410">
            <v>41376</v>
          </cell>
          <cell r="J410">
            <v>41406</v>
          </cell>
          <cell r="K410">
            <v>41437</v>
          </cell>
          <cell r="L410" t="str">
            <v>Q-2</v>
          </cell>
          <cell r="M410">
            <v>41467</v>
          </cell>
          <cell r="N410">
            <v>41498</v>
          </cell>
          <cell r="O410">
            <v>41529</v>
          </cell>
          <cell r="P410" t="str">
            <v>Q-3</v>
          </cell>
          <cell r="Q410">
            <v>41559</v>
          </cell>
          <cell r="R410">
            <v>41590</v>
          </cell>
          <cell r="S410">
            <v>41620</v>
          </cell>
          <cell r="T410" t="str">
            <v>Q-4</v>
          </cell>
          <cell r="U410">
            <v>41286</v>
          </cell>
          <cell r="V410">
            <v>41317</v>
          </cell>
          <cell r="W410">
            <v>41345</v>
          </cell>
          <cell r="X410">
            <v>41376</v>
          </cell>
          <cell r="Y410">
            <v>41406</v>
          </cell>
          <cell r="Z410">
            <v>41437</v>
          </cell>
          <cell r="AA410">
            <v>41467</v>
          </cell>
          <cell r="AB410">
            <v>41498</v>
          </cell>
          <cell r="AC410">
            <v>41529</v>
          </cell>
          <cell r="AD410">
            <v>41559</v>
          </cell>
          <cell r="AE410">
            <v>41590</v>
          </cell>
          <cell r="AF410">
            <v>41620</v>
          </cell>
        </row>
        <row r="412">
          <cell r="D412" t="str">
            <v>Sales</v>
          </cell>
          <cell r="E412">
            <v>91.28</v>
          </cell>
          <cell r="F412">
            <v>49.18</v>
          </cell>
          <cell r="G412">
            <v>37.04</v>
          </cell>
          <cell r="H412">
            <v>177.5</v>
          </cell>
          <cell r="I412">
            <v>37.270000000000003</v>
          </cell>
          <cell r="J412">
            <v>45.454166000000065</v>
          </cell>
          <cell r="K412">
            <v>27.805489000000026</v>
          </cell>
          <cell r="L412">
            <v>110.52965500000009</v>
          </cell>
          <cell r="M412">
            <v>15.27</v>
          </cell>
          <cell r="N412">
            <v>13.89</v>
          </cell>
          <cell r="O412">
            <v>8.1999999999999993</v>
          </cell>
          <cell r="P412">
            <v>37.36</v>
          </cell>
          <cell r="Q412">
            <v>6.1911753999999979</v>
          </cell>
          <cell r="R412">
            <v>-2.3101704000000001</v>
          </cell>
          <cell r="S412">
            <v>2.34</v>
          </cell>
          <cell r="T412">
            <v>6.2210049999999981</v>
          </cell>
          <cell r="U412">
            <v>91.28</v>
          </cell>
          <cell r="V412">
            <v>140.46</v>
          </cell>
          <cell r="W412">
            <v>177.5</v>
          </cell>
          <cell r="X412">
            <v>214.77</v>
          </cell>
          <cell r="Y412">
            <v>260.22416600000008</v>
          </cell>
          <cell r="Z412">
            <v>288.0296550000001</v>
          </cell>
          <cell r="AA412">
            <v>303.29965500000009</v>
          </cell>
          <cell r="AB412">
            <v>317.18965500000007</v>
          </cell>
          <cell r="AC412">
            <v>325.38965500000006</v>
          </cell>
          <cell r="AD412">
            <v>331.58083040000008</v>
          </cell>
          <cell r="AE412">
            <v>329.27066000000008</v>
          </cell>
          <cell r="AF412">
            <v>331.61066000000005</v>
          </cell>
        </row>
        <row r="413">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row>
        <row r="414">
          <cell r="D414" t="str">
            <v>Cost of Goods Sold</v>
          </cell>
          <cell r="E414">
            <v>34.82</v>
          </cell>
          <cell r="F414">
            <v>18.73</v>
          </cell>
          <cell r="G414">
            <v>14.14</v>
          </cell>
          <cell r="H414">
            <v>67.69</v>
          </cell>
          <cell r="I414">
            <v>14.13</v>
          </cell>
          <cell r="J414">
            <v>18.43</v>
          </cell>
          <cell r="K414">
            <v>11.293065257639416</v>
          </cell>
          <cell r="L414">
            <v>43.853065257639415</v>
          </cell>
          <cell r="M414">
            <v>6.1</v>
          </cell>
          <cell r="N414">
            <v>5.55</v>
          </cell>
          <cell r="O414">
            <v>3.34</v>
          </cell>
          <cell r="P414">
            <v>14.989999999999998</v>
          </cell>
          <cell r="Q414">
            <v>2.1814073016275364</v>
          </cell>
          <cell r="R414">
            <v>-0.98302321625589395</v>
          </cell>
          <cell r="S414">
            <v>1.4298051710612927</v>
          </cell>
          <cell r="T414">
            <v>2.6281892564329352</v>
          </cell>
          <cell r="U414">
            <v>34.82</v>
          </cell>
          <cell r="V414">
            <v>53.55</v>
          </cell>
          <cell r="W414">
            <v>67.69</v>
          </cell>
          <cell r="X414">
            <v>81.819999999999993</v>
          </cell>
          <cell r="Y414">
            <v>100.25</v>
          </cell>
          <cell r="Z414">
            <v>111.54306525763941</v>
          </cell>
          <cell r="AA414">
            <v>117.64306525763941</v>
          </cell>
          <cell r="AB414">
            <v>123.1930652576394</v>
          </cell>
          <cell r="AC414">
            <v>126.53306525763941</v>
          </cell>
          <cell r="AD414">
            <v>128.71447255926694</v>
          </cell>
          <cell r="AE414">
            <v>127.73144934301105</v>
          </cell>
          <cell r="AF414">
            <v>129.16125451407234</v>
          </cell>
        </row>
        <row r="415">
          <cell r="D415" t="str">
            <v>ED Savings</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row>
        <row r="416">
          <cell r="D416" t="str">
            <v>PRISM II &amp; PSM Savings</v>
          </cell>
          <cell r="E416">
            <v>1.5644064386317906</v>
          </cell>
          <cell r="F416">
            <v>0.48042094819127251</v>
          </cell>
          <cell r="G416">
            <v>0.38144862897614756</v>
          </cell>
          <cell r="H416">
            <v>2.4262760157992105</v>
          </cell>
          <cell r="I416">
            <v>0.48351830635922105</v>
          </cell>
          <cell r="J416">
            <v>0.39645328570057131</v>
          </cell>
          <cell r="K416">
            <v>0.88601216022055296</v>
          </cell>
          <cell r="L416">
            <v>1.7659837522803454</v>
          </cell>
          <cell r="M416">
            <v>0.15196114847718123</v>
          </cell>
          <cell r="N416">
            <v>0.15323497078053583</v>
          </cell>
          <cell r="O416">
            <v>0.10008914489474047</v>
          </cell>
          <cell r="P416">
            <v>0.40528526415245753</v>
          </cell>
          <cell r="Q416">
            <v>6.4594841926762292E-2</v>
          </cell>
          <cell r="R416">
            <v>-2.2829948147734497E-2</v>
          </cell>
          <cell r="S416">
            <v>3.0789573039903297E-2</v>
          </cell>
          <cell r="T416">
            <v>7.2554466818931102E-2</v>
          </cell>
          <cell r="U416">
            <v>1.5644064386317906</v>
          </cell>
          <cell r="V416">
            <v>2.0448273868230631</v>
          </cell>
          <cell r="W416">
            <v>2.4262760157992105</v>
          </cell>
          <cell r="X416">
            <v>2.9097943221584317</v>
          </cell>
          <cell r="Y416">
            <v>3.3062476078590031</v>
          </cell>
          <cell r="Z416">
            <v>4.1922597680795564</v>
          </cell>
          <cell r="AA416">
            <v>4.344220916556738</v>
          </cell>
          <cell r="AB416">
            <v>4.4974558873372743</v>
          </cell>
          <cell r="AC416">
            <v>4.5975450322320146</v>
          </cell>
          <cell r="AD416">
            <v>4.6621398741587772</v>
          </cell>
          <cell r="AE416">
            <v>4.6393099260110429</v>
          </cell>
          <cell r="AF416">
            <v>4.6700994990509459</v>
          </cell>
        </row>
        <row r="417">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row>
        <row r="418">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row>
        <row r="419">
          <cell r="D419" t="str">
            <v>Contribution</v>
          </cell>
          <cell r="E419">
            <v>58.024406438631793</v>
          </cell>
          <cell r="F419">
            <v>30.930420948191273</v>
          </cell>
          <cell r="G419">
            <v>23.281448628976147</v>
          </cell>
          <cell r="H419">
            <v>112.23627601579921</v>
          </cell>
          <cell r="I419">
            <v>23.623518306359223</v>
          </cell>
          <cell r="J419">
            <v>27.420619285700635</v>
          </cell>
          <cell r="K419">
            <v>17.398435902581163</v>
          </cell>
          <cell r="L419">
            <v>68.442573494641024</v>
          </cell>
          <cell r="M419">
            <v>9.3219611484771807</v>
          </cell>
          <cell r="N419">
            <v>8.4932349707805361</v>
          </cell>
          <cell r="O419">
            <v>4.9600891448947397</v>
          </cell>
          <cell r="P419">
            <v>22.775285264152458</v>
          </cell>
          <cell r="Q419">
            <v>4.0743629402992241</v>
          </cell>
          <cell r="R419">
            <v>-1.3499771318918408</v>
          </cell>
          <cell r="S419">
            <v>0.94098440197861044</v>
          </cell>
          <cell r="T419">
            <v>3.6653702103859942</v>
          </cell>
          <cell r="U419">
            <v>58.024406438631793</v>
          </cell>
          <cell r="V419">
            <v>88.954827386823069</v>
          </cell>
          <cell r="W419">
            <v>112.23627601579922</v>
          </cell>
          <cell r="X419">
            <v>135.85979432215845</v>
          </cell>
          <cell r="Y419">
            <v>163.28041360785909</v>
          </cell>
          <cell r="Z419">
            <v>180.67884951044024</v>
          </cell>
          <cell r="AA419">
            <v>190.00081065891743</v>
          </cell>
          <cell r="AB419">
            <v>198.49404562969798</v>
          </cell>
          <cell r="AC419">
            <v>203.45413477459272</v>
          </cell>
          <cell r="AD419">
            <v>207.52849771489196</v>
          </cell>
          <cell r="AE419">
            <v>206.17852058300011</v>
          </cell>
          <cell r="AF419">
            <v>207.1195049849787</v>
          </cell>
        </row>
        <row r="420">
          <cell r="D420">
            <v>0</v>
          </cell>
          <cell r="E420">
            <v>0.63567491716292501</v>
          </cell>
          <cell r="F420">
            <v>0.62892275209823656</v>
          </cell>
          <cell r="G420">
            <v>0.62854882907602994</v>
          </cell>
          <cell r="H420">
            <v>0.63231704797633359</v>
          </cell>
          <cell r="I420">
            <v>0.63384808978693907</v>
          </cell>
          <cell r="J420">
            <v>0.60325866028870923</v>
          </cell>
          <cell r="K420">
            <v>0.62571947224453228</v>
          </cell>
          <cell r="L420">
            <v>0.61922362369303485</v>
          </cell>
          <cell r="M420">
            <v>0.61047551725456328</v>
          </cell>
          <cell r="N420">
            <v>0.6114640007761365</v>
          </cell>
          <cell r="O420">
            <v>0.60488892010911466</v>
          </cell>
          <cell r="P420">
            <v>0.60961684325889876</v>
          </cell>
          <cell r="Q420">
            <v>0.65809199014119768</v>
          </cell>
          <cell r="R420">
            <v>0.58436257857508722</v>
          </cell>
          <cell r="S420">
            <v>0.40213008631564551</v>
          </cell>
          <cell r="T420">
            <v>0.58919261604612039</v>
          </cell>
          <cell r="U420">
            <v>0.63567491716292501</v>
          </cell>
          <cell r="V420">
            <v>0.63331074602607906</v>
          </cell>
          <cell r="W420">
            <v>0.63231704797633359</v>
          </cell>
          <cell r="X420">
            <v>0.63258273651887342</v>
          </cell>
          <cell r="Y420">
            <v>0.62746060874246024</v>
          </cell>
          <cell r="Z420">
            <v>0.62729252482852915</v>
          </cell>
          <cell r="AA420">
            <v>0.62644585157512744</v>
          </cell>
          <cell r="AB420">
            <v>0.62578978381151151</v>
          </cell>
          <cell r="AC420">
            <v>0.62526307043963236</v>
          </cell>
          <cell r="AD420">
            <v>0.6258760419428997</v>
          </cell>
          <cell r="AE420">
            <v>0.62616730134109144</v>
          </cell>
          <cell r="AF420">
            <v>0.62458638990971727</v>
          </cell>
        </row>
        <row r="421">
          <cell r="D421" t="str">
            <v>Overheads</v>
          </cell>
        </row>
        <row r="422">
          <cell r="D422" t="str">
            <v>Advertisement Exp.</v>
          </cell>
          <cell r="E422">
            <v>173</v>
          </cell>
          <cell r="F422">
            <v>142</v>
          </cell>
          <cell r="G422">
            <v>8</v>
          </cell>
          <cell r="H422">
            <v>323</v>
          </cell>
          <cell r="I422">
            <v>251.97</v>
          </cell>
          <cell r="J422">
            <v>122</v>
          </cell>
          <cell r="K422">
            <v>0.66</v>
          </cell>
          <cell r="L422">
            <v>374.63000000000005</v>
          </cell>
          <cell r="M422">
            <v>0</v>
          </cell>
          <cell r="N422">
            <v>12</v>
          </cell>
          <cell r="O422">
            <v>0</v>
          </cell>
          <cell r="P422">
            <v>12</v>
          </cell>
          <cell r="Q422">
            <v>0</v>
          </cell>
          <cell r="R422">
            <v>-3</v>
          </cell>
          <cell r="S422">
            <v>0</v>
          </cell>
          <cell r="T422">
            <v>-3</v>
          </cell>
          <cell r="U422">
            <v>173</v>
          </cell>
          <cell r="V422">
            <v>315</v>
          </cell>
          <cell r="W422">
            <v>323</v>
          </cell>
          <cell r="X422">
            <v>574.97</v>
          </cell>
          <cell r="Y422">
            <v>696.97</v>
          </cell>
          <cell r="Z422">
            <v>697.63</v>
          </cell>
          <cell r="AA422">
            <v>697.63</v>
          </cell>
          <cell r="AB422">
            <v>709.63</v>
          </cell>
          <cell r="AC422">
            <v>709.63</v>
          </cell>
          <cell r="AD422">
            <v>709.63</v>
          </cell>
          <cell r="AE422">
            <v>706.63</v>
          </cell>
          <cell r="AF422">
            <v>706.63</v>
          </cell>
        </row>
        <row r="423">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row>
        <row r="424">
          <cell r="D424" t="str">
            <v>Total Overheads (a+b)</v>
          </cell>
          <cell r="E424">
            <v>173</v>
          </cell>
          <cell r="F424">
            <v>142</v>
          </cell>
          <cell r="G424">
            <v>8</v>
          </cell>
          <cell r="H424">
            <v>323</v>
          </cell>
          <cell r="I424">
            <v>251.97</v>
          </cell>
          <cell r="J424">
            <v>122</v>
          </cell>
          <cell r="K424">
            <v>0.66</v>
          </cell>
          <cell r="L424">
            <v>374.63000000000005</v>
          </cell>
          <cell r="M424">
            <v>0</v>
          </cell>
          <cell r="N424">
            <v>12</v>
          </cell>
          <cell r="O424">
            <v>0</v>
          </cell>
          <cell r="P424">
            <v>12</v>
          </cell>
          <cell r="Q424">
            <v>0</v>
          </cell>
          <cell r="R424">
            <v>-3</v>
          </cell>
          <cell r="S424">
            <v>0</v>
          </cell>
          <cell r="T424">
            <v>-3</v>
          </cell>
          <cell r="U424">
            <v>173</v>
          </cell>
          <cell r="V424">
            <v>315</v>
          </cell>
          <cell r="W424">
            <v>323</v>
          </cell>
          <cell r="X424">
            <v>574.97</v>
          </cell>
          <cell r="Y424">
            <v>696.97</v>
          </cell>
          <cell r="Z424">
            <v>697.63</v>
          </cell>
          <cell r="AA424">
            <v>697.63</v>
          </cell>
          <cell r="AB424">
            <v>709.63</v>
          </cell>
          <cell r="AC424">
            <v>709.63</v>
          </cell>
          <cell r="AD424">
            <v>709.63</v>
          </cell>
          <cell r="AE424">
            <v>706.63</v>
          </cell>
          <cell r="AF424">
            <v>706.63</v>
          </cell>
        </row>
        <row r="425">
          <cell r="D425" t="str">
            <v>OPERATING PROFIT (LOSS)</v>
          </cell>
          <cell r="E425">
            <v>-114.97559356136821</v>
          </cell>
          <cell r="F425">
            <v>-111.06957905180873</v>
          </cell>
          <cell r="G425">
            <v>15.281448628976147</v>
          </cell>
          <cell r="H425">
            <v>-210.76372398420079</v>
          </cell>
          <cell r="I425">
            <v>-228.34648169364078</v>
          </cell>
          <cell r="J425">
            <v>-94.579380714299361</v>
          </cell>
          <cell r="K425">
            <v>16.738435902581163</v>
          </cell>
          <cell r="L425">
            <v>-306.18742650535904</v>
          </cell>
          <cell r="M425">
            <v>9.3219611484771807</v>
          </cell>
          <cell r="N425">
            <v>-3.5067650292194639</v>
          </cell>
          <cell r="O425">
            <v>4.9600891448947397</v>
          </cell>
          <cell r="P425">
            <v>10.775285264152458</v>
          </cell>
          <cell r="Q425">
            <v>4.0743629402992241</v>
          </cell>
          <cell r="R425">
            <v>1.6500228681081592</v>
          </cell>
          <cell r="S425">
            <v>0.94098440197861044</v>
          </cell>
          <cell r="T425">
            <v>6.6653702103859942</v>
          </cell>
          <cell r="U425">
            <v>-114.97559356136821</v>
          </cell>
          <cell r="V425">
            <v>-226.04517261317693</v>
          </cell>
          <cell r="W425">
            <v>-210.76372398420079</v>
          </cell>
          <cell r="X425">
            <v>-439.11020567784158</v>
          </cell>
          <cell r="Y425">
            <v>-533.68958639214088</v>
          </cell>
          <cell r="Z425">
            <v>-516.95115048955972</v>
          </cell>
          <cell r="AA425">
            <v>-507.62918934108257</v>
          </cell>
          <cell r="AB425">
            <v>-511.13595437030204</v>
          </cell>
          <cell r="AC425">
            <v>-506.17586522540728</v>
          </cell>
          <cell r="AD425">
            <v>-502.10150228510804</v>
          </cell>
          <cell r="AE425">
            <v>-500.45147941699986</v>
          </cell>
          <cell r="AF425">
            <v>-499.51049501502126</v>
          </cell>
        </row>
        <row r="428">
          <cell r="D428">
            <v>4</v>
          </cell>
          <cell r="E428">
            <v>5</v>
          </cell>
          <cell r="F428">
            <v>6</v>
          </cell>
          <cell r="G428">
            <v>7</v>
          </cell>
          <cell r="H428">
            <v>8</v>
          </cell>
          <cell r="I428">
            <v>9</v>
          </cell>
          <cell r="J428">
            <v>10</v>
          </cell>
          <cell r="K428">
            <v>11</v>
          </cell>
          <cell r="L428">
            <v>12</v>
          </cell>
          <cell r="M428">
            <v>13</v>
          </cell>
          <cell r="N428">
            <v>14</v>
          </cell>
          <cell r="O428">
            <v>15</v>
          </cell>
          <cell r="P428">
            <v>16</v>
          </cell>
          <cell r="Q428">
            <v>17</v>
          </cell>
          <cell r="R428">
            <v>18</v>
          </cell>
          <cell r="S428">
            <v>19</v>
          </cell>
          <cell r="T428">
            <v>20</v>
          </cell>
          <cell r="U428">
            <v>21</v>
          </cell>
          <cell r="V428">
            <v>22</v>
          </cell>
          <cell r="W428">
            <v>23</v>
          </cell>
          <cell r="X428">
            <v>24</v>
          </cell>
          <cell r="Y428">
            <v>25</v>
          </cell>
          <cell r="Z428">
            <v>26</v>
          </cell>
          <cell r="AA428">
            <v>27</v>
          </cell>
          <cell r="AB428">
            <v>28</v>
          </cell>
          <cell r="AC428">
            <v>29</v>
          </cell>
          <cell r="AD428">
            <v>30</v>
          </cell>
          <cell r="AE428">
            <v>31</v>
          </cell>
          <cell r="AF428">
            <v>32</v>
          </cell>
        </row>
        <row r="429">
          <cell r="E429" t="str">
            <v>Actual</v>
          </cell>
          <cell r="F429" t="str">
            <v>Actual</v>
          </cell>
          <cell r="G429" t="str">
            <v>Actual</v>
          </cell>
          <cell r="H429" t="str">
            <v>Actual</v>
          </cell>
          <cell r="I429" t="str">
            <v>Actual</v>
          </cell>
          <cell r="J429" t="str">
            <v>Actual</v>
          </cell>
          <cell r="K429" t="str">
            <v>Actual</v>
          </cell>
          <cell r="L429" t="str">
            <v>Actual</v>
          </cell>
          <cell r="M429" t="str">
            <v>Actual</v>
          </cell>
          <cell r="N429" t="str">
            <v>Actual</v>
          </cell>
          <cell r="O429" t="str">
            <v>Actual</v>
          </cell>
          <cell r="P429" t="str">
            <v>Actual</v>
          </cell>
          <cell r="Q429" t="str">
            <v>Actual</v>
          </cell>
          <cell r="R429" t="str">
            <v>Actual</v>
          </cell>
          <cell r="S429" t="str">
            <v>Actual</v>
          </cell>
          <cell r="T429" t="str">
            <v>Actual</v>
          </cell>
          <cell r="U429" t="str">
            <v>Cumu Aud</v>
          </cell>
          <cell r="V429" t="str">
            <v>Cumu Aud</v>
          </cell>
          <cell r="W429" t="str">
            <v>Cumu Aud</v>
          </cell>
          <cell r="X429" t="str">
            <v>Cumu Aud</v>
          </cell>
          <cell r="Y429" t="str">
            <v>Cumu Aud</v>
          </cell>
          <cell r="Z429" t="str">
            <v>Cumu Aud</v>
          </cell>
          <cell r="AA429" t="str">
            <v>Cumu Aud</v>
          </cell>
          <cell r="AB429" t="str">
            <v>Cumu Aud</v>
          </cell>
          <cell r="AC429" t="str">
            <v>Cumu Aud</v>
          </cell>
          <cell r="AD429" t="str">
            <v>Cumu Aud</v>
          </cell>
          <cell r="AE429" t="str">
            <v>Cumu Aud</v>
          </cell>
          <cell r="AF429" t="str">
            <v>Cumu Aud</v>
          </cell>
        </row>
        <row r="430">
          <cell r="D430" t="str">
            <v>Particulars</v>
          </cell>
          <cell r="E430">
            <v>41286</v>
          </cell>
          <cell r="F430">
            <v>41317</v>
          </cell>
          <cell r="G430">
            <v>41345</v>
          </cell>
          <cell r="H430" t="str">
            <v>Q-1</v>
          </cell>
          <cell r="I430">
            <v>41376</v>
          </cell>
          <cell r="J430">
            <v>41406</v>
          </cell>
          <cell r="K430">
            <v>41437</v>
          </cell>
          <cell r="L430" t="str">
            <v>Q-2</v>
          </cell>
          <cell r="M430">
            <v>41467</v>
          </cell>
          <cell r="N430">
            <v>41498</v>
          </cell>
          <cell r="O430">
            <v>41529</v>
          </cell>
          <cell r="P430" t="str">
            <v>Q-3</v>
          </cell>
          <cell r="Q430">
            <v>41559</v>
          </cell>
          <cell r="R430">
            <v>41590</v>
          </cell>
          <cell r="S430">
            <v>41620</v>
          </cell>
          <cell r="T430" t="str">
            <v>Q-4</v>
          </cell>
          <cell r="U430">
            <v>41286</v>
          </cell>
          <cell r="V430">
            <v>41317</v>
          </cell>
          <cell r="W430">
            <v>41345</v>
          </cell>
          <cell r="X430">
            <v>41376</v>
          </cell>
          <cell r="Y430">
            <v>41406</v>
          </cell>
          <cell r="Z430">
            <v>41437</v>
          </cell>
          <cell r="AA430">
            <v>41467</v>
          </cell>
          <cell r="AB430">
            <v>41498</v>
          </cell>
          <cell r="AC430">
            <v>41529</v>
          </cell>
          <cell r="AD430">
            <v>41559</v>
          </cell>
          <cell r="AE430">
            <v>41590</v>
          </cell>
          <cell r="AF430">
            <v>41620</v>
          </cell>
        </row>
        <row r="432">
          <cell r="D432" t="str">
            <v>Sales</v>
          </cell>
          <cell r="E432">
            <v>47.370000000000005</v>
          </cell>
          <cell r="F432">
            <v>31</v>
          </cell>
          <cell r="G432">
            <v>26.8</v>
          </cell>
          <cell r="H432">
            <v>105.17</v>
          </cell>
          <cell r="I432">
            <v>40.119999999999997</v>
          </cell>
          <cell r="J432">
            <v>28.19510719999996</v>
          </cell>
          <cell r="K432">
            <v>18.80142109999997</v>
          </cell>
          <cell r="L432">
            <v>87.116528299999928</v>
          </cell>
          <cell r="M432">
            <v>23.4</v>
          </cell>
          <cell r="N432">
            <v>25.92</v>
          </cell>
          <cell r="O432">
            <v>30.66</v>
          </cell>
          <cell r="P432">
            <v>79.98</v>
          </cell>
          <cell r="Q432">
            <v>18.325169299999985</v>
          </cell>
          <cell r="R432">
            <v>8.8214402999999955</v>
          </cell>
          <cell r="S432">
            <v>19.813979300000007</v>
          </cell>
          <cell r="T432">
            <v>46.960588899999991</v>
          </cell>
          <cell r="U432">
            <v>47.370000000000005</v>
          </cell>
          <cell r="V432">
            <v>78.37</v>
          </cell>
          <cell r="W432">
            <v>105.17</v>
          </cell>
          <cell r="X432">
            <v>145.29</v>
          </cell>
          <cell r="Y432">
            <v>173.48510719999996</v>
          </cell>
          <cell r="Z432">
            <v>192.28652829999993</v>
          </cell>
          <cell r="AA432">
            <v>215.68652829999994</v>
          </cell>
          <cell r="AB432">
            <v>241.60652829999992</v>
          </cell>
          <cell r="AC432">
            <v>272.26652829999995</v>
          </cell>
          <cell r="AD432">
            <v>290.59169759999992</v>
          </cell>
          <cell r="AE432">
            <v>299.41313789999992</v>
          </cell>
          <cell r="AF432">
            <v>319.22711719999995</v>
          </cell>
        </row>
        <row r="433">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row>
        <row r="434">
          <cell r="D434" t="str">
            <v>Cost of Goods Sold</v>
          </cell>
          <cell r="E434">
            <v>25.59</v>
          </cell>
          <cell r="F434">
            <v>16.95</v>
          </cell>
          <cell r="G434">
            <v>13.89</v>
          </cell>
          <cell r="H434">
            <v>56.43</v>
          </cell>
          <cell r="I434">
            <v>21.01</v>
          </cell>
          <cell r="J434">
            <v>14.762381222000002</v>
          </cell>
          <cell r="K434">
            <v>9.2322918839999968</v>
          </cell>
          <cell r="L434">
            <v>45.004673106000006</v>
          </cell>
          <cell r="M434">
            <v>13.22</v>
          </cell>
          <cell r="N434">
            <v>17.13</v>
          </cell>
          <cell r="O434">
            <v>33.76</v>
          </cell>
          <cell r="P434">
            <v>64.11</v>
          </cell>
          <cell r="Q434">
            <v>9.6232803300000036</v>
          </cell>
          <cell r="R434">
            <v>4.1130692699999996</v>
          </cell>
          <cell r="S434">
            <v>7.7405413039999988</v>
          </cell>
          <cell r="T434">
            <v>21.476890904000001</v>
          </cell>
          <cell r="U434">
            <v>25.59</v>
          </cell>
          <cell r="V434">
            <v>42.54</v>
          </cell>
          <cell r="W434">
            <v>56.43</v>
          </cell>
          <cell r="X434">
            <v>77.44</v>
          </cell>
          <cell r="Y434">
            <v>92.202381222</v>
          </cell>
          <cell r="Z434">
            <v>101.43467310599999</v>
          </cell>
          <cell r="AA434">
            <v>114.65467310599999</v>
          </cell>
          <cell r="AB434">
            <v>131.78467310599999</v>
          </cell>
          <cell r="AC434">
            <v>165.54467310599998</v>
          </cell>
          <cell r="AD434">
            <v>175.16795343599998</v>
          </cell>
          <cell r="AE434">
            <v>179.28102270599999</v>
          </cell>
          <cell r="AF434">
            <v>187.02156400999999</v>
          </cell>
        </row>
        <row r="435">
          <cell r="D435" t="str">
            <v>ED Savings</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row>
        <row r="436">
          <cell r="D436" t="str">
            <v>PRISM II &amp; PSM Savings</v>
          </cell>
          <cell r="E436">
            <v>0.81185290313308422</v>
          </cell>
          <cell r="F436">
            <v>0.30282735652560894</v>
          </cell>
          <cell r="G436">
            <v>0.27599414839526876</v>
          </cell>
          <cell r="H436">
            <v>1.3906744080539619</v>
          </cell>
          <cell r="I436">
            <v>0.52049247252835917</v>
          </cell>
          <cell r="J436">
            <v>0.24591899651441856</v>
          </cell>
          <cell r="K436">
            <v>0.59910069281742329</v>
          </cell>
          <cell r="L436">
            <v>1.3655121618602011</v>
          </cell>
          <cell r="M436">
            <v>0.23286777173320503</v>
          </cell>
          <cell r="N436">
            <v>0.28595035584099993</v>
          </cell>
          <cell r="O436">
            <v>0.37423575396009062</v>
          </cell>
          <cell r="P436">
            <v>0.89305388153429566</v>
          </cell>
          <cell r="Q436">
            <v>0.19119332561869537</v>
          </cell>
          <cell r="R436">
            <v>8.7176696852031069E-2</v>
          </cell>
          <cell r="S436">
            <v>0.26071109524294112</v>
          </cell>
          <cell r="T436">
            <v>0.53908111771366762</v>
          </cell>
          <cell r="U436">
            <v>0.81185290313308422</v>
          </cell>
          <cell r="V436">
            <v>1.1146802596586931</v>
          </cell>
          <cell r="W436">
            <v>1.3906744080539619</v>
          </cell>
          <cell r="X436">
            <v>1.911166880582321</v>
          </cell>
          <cell r="Y436">
            <v>2.1570858770967396</v>
          </cell>
          <cell r="Z436">
            <v>2.756186569914163</v>
          </cell>
          <cell r="AA436">
            <v>2.9890543416473681</v>
          </cell>
          <cell r="AB436">
            <v>3.275004697488368</v>
          </cell>
          <cell r="AC436">
            <v>3.6492404514484584</v>
          </cell>
          <cell r="AD436">
            <v>3.8404337770671537</v>
          </cell>
          <cell r="AE436">
            <v>3.9276104739191848</v>
          </cell>
          <cell r="AF436">
            <v>4.1883215691621256</v>
          </cell>
        </row>
        <row r="437">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row>
        <row r="438">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row>
        <row r="439">
          <cell r="D439" t="str">
            <v>Contribution</v>
          </cell>
          <cell r="E439">
            <v>22.591852903133088</v>
          </cell>
          <cell r="F439">
            <v>14.35282735652561</v>
          </cell>
          <cell r="G439">
            <v>13.185994148395269</v>
          </cell>
          <cell r="H439">
            <v>50.130674408053963</v>
          </cell>
          <cell r="I439">
            <v>19.630492472528356</v>
          </cell>
          <cell r="J439">
            <v>13.678644974514377</v>
          </cell>
          <cell r="K439">
            <v>10.168229908817397</v>
          </cell>
          <cell r="L439">
            <v>43.477367355860125</v>
          </cell>
          <cell r="M439">
            <v>10.412867771733202</v>
          </cell>
          <cell r="N439">
            <v>9.0759503558410017</v>
          </cell>
          <cell r="O439">
            <v>-2.7257642460399074</v>
          </cell>
          <cell r="P439">
            <v>16.763053881534301</v>
          </cell>
          <cell r="Q439">
            <v>8.8930822956186759</v>
          </cell>
          <cell r="R439">
            <v>4.7955477268520266</v>
          </cell>
          <cell r="S439">
            <v>12.334149091242949</v>
          </cell>
          <cell r="T439">
            <v>26.022779113713657</v>
          </cell>
          <cell r="U439">
            <v>22.591852903133088</v>
          </cell>
          <cell r="V439">
            <v>36.944680259658696</v>
          </cell>
          <cell r="W439">
            <v>50.130674408053963</v>
          </cell>
          <cell r="X439">
            <v>69.761166880582323</v>
          </cell>
          <cell r="Y439">
            <v>83.439811855096707</v>
          </cell>
          <cell r="Z439">
            <v>93.608041763914102</v>
          </cell>
          <cell r="AA439">
            <v>104.02090953564731</v>
          </cell>
          <cell r="AB439">
            <v>113.09685989148831</v>
          </cell>
          <cell r="AC439">
            <v>110.37109564544841</v>
          </cell>
          <cell r="AD439">
            <v>119.26417794106709</v>
          </cell>
          <cell r="AE439">
            <v>124.05972566791911</v>
          </cell>
          <cell r="AF439">
            <v>136.39387475916206</v>
          </cell>
        </row>
        <row r="440">
          <cell r="D440">
            <v>0</v>
          </cell>
          <cell r="E440">
            <v>0.47692321940327392</v>
          </cell>
          <cell r="F440">
            <v>0.46299443085566483</v>
          </cell>
          <cell r="G440">
            <v>0.4920147070296742</v>
          </cell>
          <cell r="H440">
            <v>0.47666325385617536</v>
          </cell>
          <cell r="I440">
            <v>0.48929442852762606</v>
          </cell>
          <cell r="J440">
            <v>0.48514250637480805</v>
          </cell>
          <cell r="K440">
            <v>0.54082241202594061</v>
          </cell>
          <cell r="L440">
            <v>0.499071395569607</v>
          </cell>
          <cell r="M440">
            <v>0.44499434921936765</v>
          </cell>
          <cell r="N440">
            <v>0.35015240570374234</v>
          </cell>
          <cell r="O440">
            <v>-8.8902943445528612E-2</v>
          </cell>
          <cell r="P440">
            <v>0.20959057116196925</v>
          </cell>
          <cell r="Q440">
            <v>0.4852933225352894</v>
          </cell>
          <cell r="R440">
            <v>0.54362412075180389</v>
          </cell>
          <cell r="S440">
            <v>0.62249732395970281</v>
          </cell>
          <cell r="T440">
            <v>0.5541408172952802</v>
          </cell>
          <cell r="U440">
            <v>0.47692321940327392</v>
          </cell>
          <cell r="V440">
            <v>0.47141355441697963</v>
          </cell>
          <cell r="W440">
            <v>0.47666325385617536</v>
          </cell>
          <cell r="X440">
            <v>0.48015119334147105</v>
          </cell>
          <cell r="Y440">
            <v>0.48096239038492367</v>
          </cell>
          <cell r="Z440">
            <v>0.48681539258886364</v>
          </cell>
          <cell r="AA440">
            <v>0.48227819491333218</v>
          </cell>
          <cell r="AB440">
            <v>0.46810349325932654</v>
          </cell>
          <cell r="AC440">
            <v>0.4053788628906847</v>
          </cell>
          <cell r="AD440">
            <v>0.41041839435218302</v>
          </cell>
          <cell r="AE440">
            <v>0.41434295949082045</v>
          </cell>
          <cell r="AF440">
            <v>0.42726280886003026</v>
          </cell>
        </row>
        <row r="441">
          <cell r="D441" t="str">
            <v>Overheads</v>
          </cell>
        </row>
        <row r="442">
          <cell r="D442" t="str">
            <v>Advertisement Exp.</v>
          </cell>
          <cell r="E442">
            <v>170.5</v>
          </cell>
          <cell r="F442">
            <v>0</v>
          </cell>
          <cell r="G442">
            <v>-12.45</v>
          </cell>
          <cell r="H442">
            <v>158.05000000000001</v>
          </cell>
          <cell r="I442">
            <v>279</v>
          </cell>
          <cell r="J442">
            <v>80</v>
          </cell>
          <cell r="K442">
            <v>-5.24</v>
          </cell>
          <cell r="L442">
            <v>353.76</v>
          </cell>
          <cell r="M442">
            <v>-109</v>
          </cell>
          <cell r="N442">
            <v>97.5</v>
          </cell>
          <cell r="O442">
            <v>-38</v>
          </cell>
          <cell r="P442">
            <v>-49.5</v>
          </cell>
          <cell r="Q442">
            <v>-100.5</v>
          </cell>
          <cell r="R442">
            <v>3</v>
          </cell>
          <cell r="S442">
            <v>0</v>
          </cell>
          <cell r="T442">
            <v>-97.5</v>
          </cell>
          <cell r="U442">
            <v>170.5</v>
          </cell>
          <cell r="V442">
            <v>170.5</v>
          </cell>
          <cell r="W442">
            <v>158.05000000000001</v>
          </cell>
          <cell r="X442">
            <v>437.05</v>
          </cell>
          <cell r="Y442">
            <v>517.04999999999995</v>
          </cell>
          <cell r="Z442">
            <v>511.80999999999995</v>
          </cell>
          <cell r="AA442">
            <v>402.80999999999995</v>
          </cell>
          <cell r="AB442">
            <v>500.30999999999995</v>
          </cell>
          <cell r="AC442">
            <v>462.30999999999995</v>
          </cell>
          <cell r="AD442">
            <v>361.80999999999995</v>
          </cell>
          <cell r="AE442">
            <v>364.80999999999995</v>
          </cell>
          <cell r="AF442">
            <v>364.80999999999995</v>
          </cell>
        </row>
        <row r="443">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row>
        <row r="444">
          <cell r="D444" t="str">
            <v>Total Overheads (a+b)</v>
          </cell>
          <cell r="E444">
            <v>170.5</v>
          </cell>
          <cell r="F444">
            <v>0</v>
          </cell>
          <cell r="G444">
            <v>-12.45</v>
          </cell>
          <cell r="H444">
            <v>158.05000000000001</v>
          </cell>
          <cell r="I444">
            <v>279</v>
          </cell>
          <cell r="J444">
            <v>80</v>
          </cell>
          <cell r="K444">
            <v>-5.24</v>
          </cell>
          <cell r="L444">
            <v>353.76</v>
          </cell>
          <cell r="M444">
            <v>-109</v>
          </cell>
          <cell r="N444">
            <v>97.5</v>
          </cell>
          <cell r="O444">
            <v>-38</v>
          </cell>
          <cell r="P444">
            <v>-49.5</v>
          </cell>
          <cell r="Q444">
            <v>-100.5</v>
          </cell>
          <cell r="R444">
            <v>3</v>
          </cell>
          <cell r="S444">
            <v>0</v>
          </cell>
          <cell r="T444">
            <v>-97.5</v>
          </cell>
          <cell r="U444">
            <v>170.5</v>
          </cell>
          <cell r="V444">
            <v>170.5</v>
          </cell>
          <cell r="W444">
            <v>158.05000000000001</v>
          </cell>
          <cell r="X444">
            <v>437.05</v>
          </cell>
          <cell r="Y444">
            <v>517.04999999999995</v>
          </cell>
          <cell r="Z444">
            <v>511.80999999999995</v>
          </cell>
          <cell r="AA444">
            <v>402.80999999999995</v>
          </cell>
          <cell r="AB444">
            <v>500.30999999999995</v>
          </cell>
          <cell r="AC444">
            <v>462.30999999999995</v>
          </cell>
          <cell r="AD444">
            <v>361.80999999999995</v>
          </cell>
          <cell r="AE444">
            <v>364.80999999999995</v>
          </cell>
          <cell r="AF444">
            <v>364.80999999999995</v>
          </cell>
        </row>
        <row r="445">
          <cell r="D445" t="str">
            <v>OPERATING PROFIT (LOSS)</v>
          </cell>
          <cell r="E445">
            <v>-147.90814709686691</v>
          </cell>
          <cell r="F445">
            <v>14.35282735652561</v>
          </cell>
          <cell r="G445">
            <v>25.63599414839527</v>
          </cell>
          <cell r="H445">
            <v>-107.91932559194605</v>
          </cell>
          <cell r="I445">
            <v>-259.36950752747163</v>
          </cell>
          <cell r="J445">
            <v>-66.321355025485616</v>
          </cell>
          <cell r="K445">
            <v>15.408229908817397</v>
          </cell>
          <cell r="L445">
            <v>-310.28263264413988</v>
          </cell>
          <cell r="M445">
            <v>119.4128677717332</v>
          </cell>
          <cell r="N445">
            <v>-88.424049644158998</v>
          </cell>
          <cell r="O445">
            <v>35.274235753960092</v>
          </cell>
          <cell r="P445">
            <v>66.263053881534304</v>
          </cell>
          <cell r="Q445">
            <v>109.39308229561868</v>
          </cell>
          <cell r="R445">
            <v>1.7955477268520266</v>
          </cell>
          <cell r="S445">
            <v>12.334149091242949</v>
          </cell>
          <cell r="T445">
            <v>123.52277911371365</v>
          </cell>
          <cell r="U445">
            <v>-147.90814709686691</v>
          </cell>
          <cell r="V445">
            <v>-133.5553197403413</v>
          </cell>
          <cell r="W445">
            <v>-107.91932559194603</v>
          </cell>
          <cell r="X445">
            <v>-367.28883311941763</v>
          </cell>
          <cell r="Y445">
            <v>-433.61018814490325</v>
          </cell>
          <cell r="Z445">
            <v>-418.20195823608583</v>
          </cell>
          <cell r="AA445">
            <v>-298.78909046435263</v>
          </cell>
          <cell r="AB445">
            <v>-387.21314010851165</v>
          </cell>
          <cell r="AC445">
            <v>-351.93890435455154</v>
          </cell>
          <cell r="AD445">
            <v>-242.54582205893286</v>
          </cell>
          <cell r="AE445">
            <v>-240.75027433208083</v>
          </cell>
          <cell r="AF445">
            <v>-228.41612524083789</v>
          </cell>
        </row>
        <row r="448">
          <cell r="D448">
            <v>4</v>
          </cell>
          <cell r="E448">
            <v>5</v>
          </cell>
          <cell r="F448">
            <v>6</v>
          </cell>
          <cell r="G448">
            <v>7</v>
          </cell>
          <cell r="H448">
            <v>8</v>
          </cell>
          <cell r="I448">
            <v>9</v>
          </cell>
          <cell r="J448">
            <v>10</v>
          </cell>
          <cell r="K448">
            <v>11</v>
          </cell>
          <cell r="L448">
            <v>12</v>
          </cell>
          <cell r="M448">
            <v>13</v>
          </cell>
          <cell r="N448">
            <v>14</v>
          </cell>
          <cell r="O448">
            <v>15</v>
          </cell>
          <cell r="P448">
            <v>16</v>
          </cell>
          <cell r="Q448">
            <v>17</v>
          </cell>
          <cell r="R448">
            <v>18</v>
          </cell>
          <cell r="S448">
            <v>19</v>
          </cell>
          <cell r="T448">
            <v>20</v>
          </cell>
          <cell r="U448">
            <v>21</v>
          </cell>
          <cell r="V448">
            <v>22</v>
          </cell>
          <cell r="W448">
            <v>23</v>
          </cell>
          <cell r="X448">
            <v>24</v>
          </cell>
          <cell r="Y448">
            <v>25</v>
          </cell>
          <cell r="Z448">
            <v>26</v>
          </cell>
          <cell r="AA448">
            <v>27</v>
          </cell>
          <cell r="AB448">
            <v>28</v>
          </cell>
          <cell r="AC448">
            <v>29</v>
          </cell>
          <cell r="AD448">
            <v>30</v>
          </cell>
          <cell r="AE448">
            <v>31</v>
          </cell>
          <cell r="AF448">
            <v>32</v>
          </cell>
        </row>
        <row r="449">
          <cell r="E449" t="str">
            <v>Actual</v>
          </cell>
          <cell r="F449" t="str">
            <v>Actual</v>
          </cell>
          <cell r="G449" t="str">
            <v>Actual</v>
          </cell>
          <cell r="H449" t="str">
            <v>Actual</v>
          </cell>
          <cell r="I449" t="str">
            <v>Actual</v>
          </cell>
          <cell r="J449" t="str">
            <v>Actual</v>
          </cell>
          <cell r="K449" t="str">
            <v>Actual</v>
          </cell>
          <cell r="L449" t="str">
            <v>Actual</v>
          </cell>
          <cell r="M449" t="str">
            <v>Actual</v>
          </cell>
          <cell r="N449" t="str">
            <v>Actual</v>
          </cell>
          <cell r="O449" t="str">
            <v>Actual</v>
          </cell>
          <cell r="P449" t="str">
            <v>Actual</v>
          </cell>
          <cell r="Q449" t="str">
            <v>Actual</v>
          </cell>
          <cell r="R449" t="str">
            <v>Actual</v>
          </cell>
          <cell r="S449" t="str">
            <v>Actual</v>
          </cell>
          <cell r="T449" t="str">
            <v>Actual</v>
          </cell>
          <cell r="U449" t="str">
            <v>Cumu Aud</v>
          </cell>
          <cell r="V449" t="str">
            <v>Cumu Aud</v>
          </cell>
          <cell r="W449" t="str">
            <v>Cumu Aud</v>
          </cell>
          <cell r="X449" t="str">
            <v>Cumu Aud</v>
          </cell>
          <cell r="Y449" t="str">
            <v>Cumu Aud</v>
          </cell>
          <cell r="Z449" t="str">
            <v>Cumu Aud</v>
          </cell>
          <cell r="AA449" t="str">
            <v>Cumu Aud</v>
          </cell>
          <cell r="AB449" t="str">
            <v>Cumu Aud</v>
          </cell>
          <cell r="AC449" t="str">
            <v>Cumu Aud</v>
          </cell>
          <cell r="AD449" t="str">
            <v>Cumu Aud</v>
          </cell>
          <cell r="AE449" t="str">
            <v>Cumu Aud</v>
          </cell>
          <cell r="AF449" t="str">
            <v>Cumu Aud</v>
          </cell>
        </row>
        <row r="450">
          <cell r="D450" t="str">
            <v>Particulars</v>
          </cell>
          <cell r="E450">
            <v>41286</v>
          </cell>
          <cell r="F450">
            <v>41317</v>
          </cell>
          <cell r="G450">
            <v>41345</v>
          </cell>
          <cell r="H450" t="str">
            <v>Q-1</v>
          </cell>
          <cell r="I450">
            <v>41376</v>
          </cell>
          <cell r="J450">
            <v>41406</v>
          </cell>
          <cell r="K450">
            <v>41437</v>
          </cell>
          <cell r="L450" t="str">
            <v>Q-2</v>
          </cell>
          <cell r="M450">
            <v>41467</v>
          </cell>
          <cell r="N450">
            <v>41498</v>
          </cell>
          <cell r="O450">
            <v>41529</v>
          </cell>
          <cell r="P450" t="str">
            <v>Q-3</v>
          </cell>
          <cell r="Q450">
            <v>41559</v>
          </cell>
          <cell r="R450">
            <v>41590</v>
          </cell>
          <cell r="S450">
            <v>41620</v>
          </cell>
          <cell r="T450" t="str">
            <v>Q-4</v>
          </cell>
          <cell r="U450">
            <v>41286</v>
          </cell>
          <cell r="V450">
            <v>41317</v>
          </cell>
          <cell r="W450">
            <v>41345</v>
          </cell>
          <cell r="X450">
            <v>41376</v>
          </cell>
          <cell r="Y450">
            <v>41406</v>
          </cell>
          <cell r="Z450">
            <v>41437</v>
          </cell>
          <cell r="AA450">
            <v>41467</v>
          </cell>
          <cell r="AB450">
            <v>41498</v>
          </cell>
          <cell r="AC450">
            <v>41529</v>
          </cell>
          <cell r="AD450">
            <v>41559</v>
          </cell>
          <cell r="AE450">
            <v>41590</v>
          </cell>
          <cell r="AF450">
            <v>41620</v>
          </cell>
        </row>
        <row r="452">
          <cell r="D452" t="str">
            <v>Sales</v>
          </cell>
          <cell r="E452">
            <v>-0.47</v>
          </cell>
          <cell r="F452">
            <v>-0.49</v>
          </cell>
          <cell r="G452">
            <v>0</v>
          </cell>
          <cell r="H452">
            <v>-0.96</v>
          </cell>
          <cell r="I452">
            <v>0</v>
          </cell>
          <cell r="J452">
            <v>-0.11577459999999999</v>
          </cell>
          <cell r="K452">
            <v>-0.15052559999999998</v>
          </cell>
          <cell r="L452">
            <v>-0.26630019999999999</v>
          </cell>
          <cell r="M452">
            <v>-0.66</v>
          </cell>
          <cell r="N452">
            <v>-0.09</v>
          </cell>
          <cell r="O452">
            <v>-0.12</v>
          </cell>
          <cell r="P452">
            <v>-0.87</v>
          </cell>
          <cell r="Q452">
            <v>-9.3358600000000014E-2</v>
          </cell>
          <cell r="R452">
            <v>-2.1602400000000001E-2</v>
          </cell>
          <cell r="S452">
            <v>-0.10323490000000002</v>
          </cell>
          <cell r="T452">
            <v>-0.21819590000000003</v>
          </cell>
          <cell r="U452">
            <v>-0.47</v>
          </cell>
          <cell r="V452">
            <v>-0.96</v>
          </cell>
          <cell r="W452">
            <v>-0.96</v>
          </cell>
          <cell r="X452">
            <v>-0.96</v>
          </cell>
          <cell r="Y452">
            <v>-1.0757745999999999</v>
          </cell>
          <cell r="Z452">
            <v>-1.2263001999999998</v>
          </cell>
          <cell r="AA452">
            <v>-1.8863002</v>
          </cell>
          <cell r="AB452">
            <v>-1.9763002000000001</v>
          </cell>
          <cell r="AC452">
            <v>-2.0963001999999999</v>
          </cell>
          <cell r="AD452">
            <v>-2.1896588000000001</v>
          </cell>
          <cell r="AE452">
            <v>-2.2112612</v>
          </cell>
          <cell r="AF452">
            <v>-2.3144960999999999</v>
          </cell>
        </row>
        <row r="453">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row>
        <row r="454">
          <cell r="D454" t="str">
            <v>Cost of Goods Sold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row>
        <row r="455">
          <cell r="D455" t="str">
            <v>ED Savings</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row>
        <row r="456">
          <cell r="D456" t="str">
            <v>PRISM II &amp; PSM Savings</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row>
        <row r="458">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row>
        <row r="459">
          <cell r="D459" t="str">
            <v>Contribution</v>
          </cell>
          <cell r="E459">
            <v>-0.47</v>
          </cell>
          <cell r="F459">
            <v>-0.49</v>
          </cell>
          <cell r="G459">
            <v>0</v>
          </cell>
          <cell r="H459">
            <v>-0.96</v>
          </cell>
          <cell r="I459">
            <v>0</v>
          </cell>
          <cell r="J459">
            <v>-0.11577459999999999</v>
          </cell>
          <cell r="K459">
            <v>-0.15052559999999998</v>
          </cell>
          <cell r="L459">
            <v>-0.26630019999999999</v>
          </cell>
          <cell r="M459">
            <v>-0.66</v>
          </cell>
          <cell r="N459">
            <v>-0.09</v>
          </cell>
          <cell r="O459">
            <v>-0.12</v>
          </cell>
          <cell r="P459">
            <v>-0.87</v>
          </cell>
          <cell r="Q459">
            <v>-9.3358600000000014E-2</v>
          </cell>
          <cell r="R459">
            <v>-2.1602400000000001E-2</v>
          </cell>
          <cell r="S459">
            <v>-0.10323490000000002</v>
          </cell>
          <cell r="T459">
            <v>-0.21819590000000003</v>
          </cell>
          <cell r="U459">
            <v>-0.47</v>
          </cell>
          <cell r="V459">
            <v>-0.96</v>
          </cell>
          <cell r="W459">
            <v>-0.96</v>
          </cell>
          <cell r="X459">
            <v>-0.96</v>
          </cell>
          <cell r="Y459">
            <v>-1.0757745999999999</v>
          </cell>
          <cell r="Z459">
            <v>-1.2263001999999998</v>
          </cell>
          <cell r="AA459">
            <v>-1.8863002</v>
          </cell>
          <cell r="AB459">
            <v>-1.9763002000000001</v>
          </cell>
          <cell r="AC459">
            <v>-2.0963001999999999</v>
          </cell>
          <cell r="AD459">
            <v>-2.1896588000000001</v>
          </cell>
          <cell r="AE459">
            <v>-2.2112612</v>
          </cell>
          <cell r="AF459">
            <v>-2.3144960999999999</v>
          </cell>
        </row>
        <row r="460">
          <cell r="D460">
            <v>0</v>
          </cell>
          <cell r="E460">
            <v>1</v>
          </cell>
          <cell r="F460">
            <v>1</v>
          </cell>
          <cell r="G460" t="e">
            <v>#DIV/0!</v>
          </cell>
          <cell r="H460">
            <v>1</v>
          </cell>
          <cell r="I460" t="e">
            <v>#DIV/0!</v>
          </cell>
          <cell r="J460">
            <v>1</v>
          </cell>
          <cell r="K460">
            <v>1</v>
          </cell>
          <cell r="L460">
            <v>1</v>
          </cell>
          <cell r="M460">
            <v>1</v>
          </cell>
          <cell r="N460">
            <v>1</v>
          </cell>
          <cell r="O460">
            <v>1</v>
          </cell>
          <cell r="P460">
            <v>1</v>
          </cell>
          <cell r="Q460">
            <v>1</v>
          </cell>
          <cell r="R460">
            <v>1</v>
          </cell>
          <cell r="S460">
            <v>1</v>
          </cell>
          <cell r="T460">
            <v>1</v>
          </cell>
          <cell r="U460">
            <v>1</v>
          </cell>
          <cell r="V460">
            <v>1</v>
          </cell>
          <cell r="W460">
            <v>1</v>
          </cell>
          <cell r="X460">
            <v>1</v>
          </cell>
          <cell r="Y460">
            <v>1</v>
          </cell>
          <cell r="Z460">
            <v>1</v>
          </cell>
          <cell r="AA460">
            <v>1</v>
          </cell>
          <cell r="AB460">
            <v>1</v>
          </cell>
          <cell r="AC460">
            <v>1</v>
          </cell>
          <cell r="AD460">
            <v>1</v>
          </cell>
          <cell r="AE460">
            <v>1</v>
          </cell>
          <cell r="AF460">
            <v>1</v>
          </cell>
        </row>
        <row r="461">
          <cell r="D461" t="str">
            <v>Overheads</v>
          </cell>
        </row>
        <row r="462">
          <cell r="D462" t="str">
            <v>Advertisement Exp.</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row>
        <row r="463">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row>
        <row r="464">
          <cell r="D464" t="str">
            <v>Total Overheads (a+b)</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row>
        <row r="465">
          <cell r="D465" t="str">
            <v>OPERATING PROFIT (LOSS)</v>
          </cell>
          <cell r="E465">
            <v>-0.47</v>
          </cell>
          <cell r="F465">
            <v>-0.49</v>
          </cell>
          <cell r="G465">
            <v>0</v>
          </cell>
          <cell r="H465">
            <v>-0.96</v>
          </cell>
          <cell r="I465">
            <v>0</v>
          </cell>
          <cell r="J465">
            <v>-0.11577459999999999</v>
          </cell>
          <cell r="K465">
            <v>-0.15052559999999998</v>
          </cell>
          <cell r="L465">
            <v>-0.26630019999999999</v>
          </cell>
          <cell r="M465">
            <v>-0.66</v>
          </cell>
          <cell r="N465">
            <v>-0.09</v>
          </cell>
          <cell r="O465">
            <v>-0.12</v>
          </cell>
          <cell r="P465">
            <v>-0.87</v>
          </cell>
          <cell r="Q465">
            <v>-9.3358600000000014E-2</v>
          </cell>
          <cell r="R465">
            <v>-2.1602400000000001E-2</v>
          </cell>
          <cell r="S465">
            <v>-0.10323490000000002</v>
          </cell>
          <cell r="T465">
            <v>-0.21819590000000003</v>
          </cell>
          <cell r="U465">
            <v>-0.47</v>
          </cell>
          <cell r="V465">
            <v>-0.96</v>
          </cell>
          <cell r="W465">
            <v>-0.96</v>
          </cell>
          <cell r="X465">
            <v>-0.96</v>
          </cell>
          <cell r="Y465">
            <v>-1.0757745999999999</v>
          </cell>
          <cell r="Z465">
            <v>-1.2263001999999998</v>
          </cell>
          <cell r="AA465">
            <v>-1.8863002</v>
          </cell>
          <cell r="AB465">
            <v>-1.9763002000000001</v>
          </cell>
          <cell r="AC465">
            <v>-2.0963001999999999</v>
          </cell>
          <cell r="AD465">
            <v>-2.1896588000000001</v>
          </cell>
          <cell r="AE465">
            <v>-2.2112612</v>
          </cell>
          <cell r="AF465">
            <v>-2.3144960999999999</v>
          </cell>
        </row>
      </sheetData>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1"/>
      <sheetName val="IND30"/>
      <sheetName val="JPN30"/>
      <sheetName val="SGP30"/>
      <sheetName val="APAC"/>
      <sheetName val="EMEA"/>
      <sheetName val="NA"/>
      <sheetName val="Summary"/>
      <sheetName val="For Excel"/>
      <sheetName val="PB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Highlights"/>
      <sheetName val="P&amp;L_New_Format"/>
      <sheetName val="Sheet2"/>
      <sheetName val="Estimated_P&amp;L"/>
      <sheetName val="Sheet1"/>
      <sheetName val="NP"/>
      <sheetName val="exp"/>
      <sheetName val="WC"/>
      <sheetName val="TB Nutralite"/>
      <sheetName val="TB_Nutralite"/>
      <sheetName val="TB_CPD"/>
      <sheetName val="TB_CPd (2)"/>
      <sheetName val="TB_Sikkim (2)"/>
      <sheetName val="TB_Sikkim"/>
      <sheetName val="Brand P&amp;L"/>
      <sheetName val="Performance"/>
      <sheetName val="Mat_Qty"/>
      <sheetName val="GC-Final_Cpd"/>
      <sheetName val="Pivot"/>
      <sheetName val="GC CPD"/>
      <sheetName val="Variances"/>
      <sheetName val="Brand (2)"/>
      <sheetName val="EC PnL Format"/>
      <sheetName val="Sheet3"/>
    </sheetNames>
    <sheetDataSet>
      <sheetData sheetId="0">
        <row r="7">
          <cell r="D7" t="str">
            <v>Particulars</v>
          </cell>
        </row>
        <row r="90">
          <cell r="D90" t="str">
            <v>Particulars</v>
          </cell>
          <cell r="E90">
            <v>41640</v>
          </cell>
          <cell r="F90">
            <v>41671</v>
          </cell>
          <cell r="G90">
            <v>41699</v>
          </cell>
          <cell r="H90">
            <v>41730</v>
          </cell>
          <cell r="I90">
            <v>41760</v>
          </cell>
          <cell r="J90">
            <v>41791</v>
          </cell>
          <cell r="K90">
            <v>41821</v>
          </cell>
          <cell r="L90">
            <v>41852</v>
          </cell>
          <cell r="M90">
            <v>41883</v>
          </cell>
          <cell r="N90">
            <v>41913</v>
          </cell>
          <cell r="O90">
            <v>41944</v>
          </cell>
          <cell r="P90">
            <v>41974</v>
          </cell>
          <cell r="Q90">
            <v>41640</v>
          </cell>
          <cell r="R90">
            <v>41671</v>
          </cell>
          <cell r="S90">
            <v>41699</v>
          </cell>
          <cell r="T90">
            <v>41730</v>
          </cell>
          <cell r="U90">
            <v>41760</v>
          </cell>
          <cell r="V90">
            <v>41791</v>
          </cell>
          <cell r="W90">
            <v>41821</v>
          </cell>
          <cell r="X90">
            <v>41852</v>
          </cell>
          <cell r="Y90">
            <v>41883</v>
          </cell>
          <cell r="Z90">
            <v>41913</v>
          </cell>
          <cell r="AA90">
            <v>41944</v>
          </cell>
          <cell r="AB90">
            <v>41974</v>
          </cell>
        </row>
        <row r="91">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D92" t="str">
            <v>Sales</v>
          </cell>
          <cell r="E92">
            <v>28.766750176429074</v>
          </cell>
          <cell r="F92">
            <v>25.570444601270278</v>
          </cell>
          <cell r="G92">
            <v>28.766750176429074</v>
          </cell>
          <cell r="H92">
            <v>44.748278052222993</v>
          </cell>
          <cell r="I92">
            <v>95.889167254763606</v>
          </cell>
          <cell r="J92">
            <v>57.533500352858148</v>
          </cell>
          <cell r="K92">
            <v>63.926111503175719</v>
          </cell>
          <cell r="L92">
            <v>63.926111503175719</v>
          </cell>
          <cell r="M92">
            <v>191.77833450952721</v>
          </cell>
          <cell r="N92">
            <v>81.186161609033149</v>
          </cell>
          <cell r="O92">
            <v>95.889167254763606</v>
          </cell>
          <cell r="P92">
            <v>127.85222300635144</v>
          </cell>
          <cell r="Q92">
            <v>28.766750176429074</v>
          </cell>
          <cell r="R92">
            <v>54.337194777699352</v>
          </cell>
          <cell r="S92">
            <v>83.103944954128423</v>
          </cell>
          <cell r="T92">
            <v>127.85222300635141</v>
          </cell>
          <cell r="U92">
            <v>223.74139026111501</v>
          </cell>
          <cell r="V92">
            <v>281.27489061397318</v>
          </cell>
          <cell r="W92">
            <v>345.2010021171489</v>
          </cell>
          <cell r="X92">
            <v>409.12711362032462</v>
          </cell>
          <cell r="Y92">
            <v>600.90544812985183</v>
          </cell>
          <cell r="Z92">
            <v>682.09160973888493</v>
          </cell>
          <cell r="AA92">
            <v>777.98077699364853</v>
          </cell>
          <cell r="AB92">
            <v>905.83299999999997</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row>
        <row r="94">
          <cell r="D94" t="str">
            <v>Cost of Goods Sold</v>
          </cell>
          <cell r="E94">
            <v>12.893530422563165</v>
          </cell>
          <cell r="F94">
            <v>11.460915931167253</v>
          </cell>
          <cell r="G94">
            <v>12.893530422563165</v>
          </cell>
          <cell r="H94">
            <v>20.056602879542698</v>
          </cell>
          <cell r="I94">
            <v>42.978434741877187</v>
          </cell>
          <cell r="J94">
            <v>25.78706084512633</v>
          </cell>
          <cell r="K94">
            <v>28.652289827918143</v>
          </cell>
          <cell r="L94">
            <v>28.652289827918143</v>
          </cell>
          <cell r="M94">
            <v>85.956869483754375</v>
          </cell>
          <cell r="N94">
            <v>36.388408081456049</v>
          </cell>
          <cell r="O94">
            <v>42.978434741877187</v>
          </cell>
          <cell r="P94">
            <v>57.304579655836285</v>
          </cell>
          <cell r="Q94">
            <v>12.893530422563165</v>
          </cell>
          <cell r="R94">
            <v>24.354446353730417</v>
          </cell>
          <cell r="S94">
            <v>37.247976776293584</v>
          </cell>
          <cell r="T94">
            <v>57.304579655836278</v>
          </cell>
          <cell r="U94">
            <v>100.28301439771346</v>
          </cell>
          <cell r="V94">
            <v>126.07007524283979</v>
          </cell>
          <cell r="W94">
            <v>154.72236507075795</v>
          </cell>
          <cell r="X94">
            <v>183.37465489867608</v>
          </cell>
          <cell r="Y94">
            <v>269.33152438243047</v>
          </cell>
          <cell r="Z94">
            <v>305.71993246388649</v>
          </cell>
          <cell r="AA94">
            <v>348.6983672057637</v>
          </cell>
          <cell r="AB94">
            <v>406.00294686159998</v>
          </cell>
        </row>
        <row r="95">
          <cell r="D95" t="str">
            <v>Excise Recredit</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D96" t="str">
            <v>PRISM - II Savings</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row>
        <row r="97">
          <cell r="D97" t="str">
            <v>PSM Savings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row>
        <row r="99">
          <cell r="D99" t="str">
            <v>Contribution</v>
          </cell>
          <cell r="E99">
            <v>15.873219753865909</v>
          </cell>
          <cell r="F99">
            <v>14.109528670103025</v>
          </cell>
          <cell r="G99">
            <v>15.873219753865909</v>
          </cell>
          <cell r="H99">
            <v>24.691675172680295</v>
          </cell>
          <cell r="I99">
            <v>52.910732512886419</v>
          </cell>
          <cell r="J99">
            <v>31.746439507731818</v>
          </cell>
          <cell r="K99">
            <v>35.273821675257579</v>
          </cell>
          <cell r="L99">
            <v>35.273821675257579</v>
          </cell>
          <cell r="M99">
            <v>105.82146502577284</v>
          </cell>
          <cell r="N99">
            <v>44.7977535275771</v>
          </cell>
          <cell r="O99">
            <v>52.910732512886419</v>
          </cell>
          <cell r="P99">
            <v>70.547643350515159</v>
          </cell>
          <cell r="Q99">
            <v>15.873219753865909</v>
          </cell>
          <cell r="R99">
            <v>29.982748423968935</v>
          </cell>
          <cell r="S99">
            <v>45.855968177834846</v>
          </cell>
          <cell r="T99">
            <v>70.547643350515145</v>
          </cell>
          <cell r="U99">
            <v>123.45837586340156</v>
          </cell>
          <cell r="V99">
            <v>155.20481537113338</v>
          </cell>
          <cell r="W99">
            <v>190.47863704639096</v>
          </cell>
          <cell r="X99">
            <v>225.75245872164854</v>
          </cell>
          <cell r="Y99">
            <v>331.57392374742136</v>
          </cell>
          <cell r="Z99">
            <v>376.37167727499843</v>
          </cell>
          <cell r="AA99">
            <v>429.28240978788483</v>
          </cell>
          <cell r="AB99">
            <v>499.83005313839999</v>
          </cell>
        </row>
        <row r="100">
          <cell r="E100">
            <v>0.55179051010329705</v>
          </cell>
          <cell r="F100">
            <v>0.55179051010329705</v>
          </cell>
          <cell r="G100">
            <v>0.55179051010329705</v>
          </cell>
          <cell r="H100">
            <v>0.55179051010329705</v>
          </cell>
          <cell r="I100">
            <v>0.55179051010329749</v>
          </cell>
          <cell r="J100">
            <v>0.55179051010329705</v>
          </cell>
          <cell r="K100">
            <v>0.55179051010329716</v>
          </cell>
          <cell r="L100">
            <v>0.55179051010329716</v>
          </cell>
          <cell r="M100">
            <v>0.55179051010329749</v>
          </cell>
          <cell r="N100">
            <v>0.55179051010329694</v>
          </cell>
          <cell r="O100">
            <v>0.55179051010329749</v>
          </cell>
          <cell r="P100">
            <v>0.55179051010329716</v>
          </cell>
          <cell r="Q100">
            <v>0.55179051010329705</v>
          </cell>
          <cell r="R100">
            <v>0.55179051010329705</v>
          </cell>
          <cell r="S100">
            <v>0.55179051010329716</v>
          </cell>
          <cell r="T100">
            <v>0.55179051010329716</v>
          </cell>
          <cell r="U100">
            <v>0.55179051010329727</v>
          </cell>
          <cell r="V100">
            <v>0.55179051010329716</v>
          </cell>
          <cell r="W100">
            <v>0.55179051010329716</v>
          </cell>
          <cell r="X100">
            <v>0.55179051010329716</v>
          </cell>
          <cell r="Y100">
            <v>0.55179051010329727</v>
          </cell>
          <cell r="Z100">
            <v>0.55179051010329716</v>
          </cell>
          <cell r="AA100">
            <v>0.55179051010329716</v>
          </cell>
          <cell r="AB100">
            <v>0.55179051010329716</v>
          </cell>
        </row>
        <row r="101">
          <cell r="D101" t="str">
            <v>Overheads</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t="str">
            <v>Personnel Costs</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t="str">
            <v>Administration Exp</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t="str">
            <v>Regulatory Exp.</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t="str">
            <v>Production Exp</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row>
        <row r="106">
          <cell r="D106" t="str">
            <v xml:space="preserve">Research &amp; Development </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t="str">
            <v>Marketing Exp</v>
          </cell>
          <cell r="E107">
            <v>8.8430820324629487</v>
          </cell>
          <cell r="F107">
            <v>8.2549618066337302</v>
          </cell>
          <cell r="G107">
            <v>8.8430820324629487</v>
          </cell>
          <cell r="H107">
            <v>11.78368316160903</v>
          </cell>
          <cell r="I107">
            <v>21.1936067748765</v>
          </cell>
          <cell r="J107">
            <v>14.136164064925898</v>
          </cell>
          <cell r="K107">
            <v>15.312404516584332</v>
          </cell>
          <cell r="L107">
            <v>15.312404516584332</v>
          </cell>
          <cell r="M107">
            <v>38.837213549753002</v>
          </cell>
          <cell r="N107">
            <v>18.488253736062099</v>
          </cell>
          <cell r="O107">
            <v>21.1936067748765</v>
          </cell>
          <cell r="P107">
            <v>27.074809033168666</v>
          </cell>
          <cell r="Q107">
            <v>8.8430820324629487</v>
          </cell>
          <cell r="R107">
            <v>17.098043839096679</v>
          </cell>
          <cell r="S107">
            <v>25.941125871559628</v>
          </cell>
          <cell r="T107">
            <v>37.724809033168654</v>
          </cell>
          <cell r="U107">
            <v>58.918415808045154</v>
          </cell>
          <cell r="V107">
            <v>73.054579872971047</v>
          </cell>
          <cell r="W107">
            <v>88.366984389555384</v>
          </cell>
          <cell r="X107">
            <v>103.67938890613972</v>
          </cell>
          <cell r="Y107">
            <v>142.51660245589272</v>
          </cell>
          <cell r="Z107">
            <v>161.00485619195481</v>
          </cell>
          <cell r="AA107">
            <v>182.1984629668313</v>
          </cell>
          <cell r="AB107">
            <v>209.27327199999996</v>
          </cell>
        </row>
        <row r="108">
          <cell r="D108" t="str">
            <v>Trade, MRF Schemes &amp; Rate Matching</v>
          </cell>
          <cell r="E108">
            <v>6.5362457762879318</v>
          </cell>
          <cell r="F108">
            <v>6.0599962455892715</v>
          </cell>
          <cell r="G108">
            <v>6.5362457762879318</v>
          </cell>
          <cell r="H108">
            <v>8.9174934297812261</v>
          </cell>
          <cell r="I108">
            <v>16.537485920959774</v>
          </cell>
          <cell r="J108">
            <v>10.822491552575864</v>
          </cell>
          <cell r="K108">
            <v>11.774990613973182</v>
          </cell>
          <cell r="L108">
            <v>11.774990613973182</v>
          </cell>
          <cell r="M108">
            <v>30.824971841919552</v>
          </cell>
          <cell r="N108">
            <v>14.346738079745938</v>
          </cell>
          <cell r="O108">
            <v>16.537485920959774</v>
          </cell>
          <cell r="P108">
            <v>21.299981227946365</v>
          </cell>
          <cell r="Q108">
            <v>6.5362457762879318</v>
          </cell>
          <cell r="R108">
            <v>12.596242021877202</v>
          </cell>
          <cell r="S108">
            <v>19.132487798165133</v>
          </cell>
          <cell r="T108">
            <v>28.049981227946361</v>
          </cell>
          <cell r="U108">
            <v>44.587467148906136</v>
          </cell>
          <cell r="V108">
            <v>55.409958701481997</v>
          </cell>
          <cell r="W108">
            <v>67.184949315455185</v>
          </cell>
          <cell r="X108">
            <v>78.959939929428373</v>
          </cell>
          <cell r="Y108">
            <v>109.78491177134792</v>
          </cell>
          <cell r="Z108">
            <v>124.13164985109385</v>
          </cell>
          <cell r="AA108">
            <v>140.66913577205364</v>
          </cell>
          <cell r="AB108">
            <v>161.96911700000001</v>
          </cell>
        </row>
        <row r="109">
          <cell r="D109" t="str">
            <v>Field Related Costs</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row>
        <row r="110">
          <cell r="D110" t="str">
            <v>Marketing Support (Adv. + SP)</v>
          </cell>
          <cell r="E110">
            <v>0.86300250529287215</v>
          </cell>
          <cell r="F110">
            <v>0.76711333803810833</v>
          </cell>
          <cell r="G110">
            <v>0.86300250529287215</v>
          </cell>
          <cell r="H110">
            <v>1.3424483415666897</v>
          </cell>
          <cell r="I110">
            <v>2.8766750176429081</v>
          </cell>
          <cell r="J110">
            <v>1.7260050105857443</v>
          </cell>
          <cell r="K110">
            <v>1.9177833450952715</v>
          </cell>
          <cell r="L110">
            <v>1.9177833450952715</v>
          </cell>
          <cell r="M110">
            <v>5.7533500352858162</v>
          </cell>
          <cell r="N110">
            <v>2.4355848482709943</v>
          </cell>
          <cell r="O110">
            <v>2.8766750176429081</v>
          </cell>
          <cell r="P110">
            <v>3.835566690190543</v>
          </cell>
          <cell r="Q110">
            <v>0.86300250529287215</v>
          </cell>
          <cell r="R110">
            <v>1.6301158433309806</v>
          </cell>
          <cell r="S110">
            <v>2.4931183486238528</v>
          </cell>
          <cell r="T110">
            <v>3.8355666901905425</v>
          </cell>
          <cell r="U110">
            <v>6.7122417078334511</v>
          </cell>
          <cell r="V110">
            <v>8.4382467184191956</v>
          </cell>
          <cell r="W110">
            <v>10.356030063514467</v>
          </cell>
          <cell r="X110">
            <v>12.273813408609739</v>
          </cell>
          <cell r="Y110">
            <v>18.027163443895553</v>
          </cell>
          <cell r="Z110">
            <v>20.462748292166548</v>
          </cell>
          <cell r="AA110">
            <v>23.339423309809455</v>
          </cell>
          <cell r="AB110">
            <v>27.174989999999998</v>
          </cell>
        </row>
        <row r="111">
          <cell r="D111" t="str">
            <v>Other Mktg. Costs</v>
          </cell>
          <cell r="E111">
            <v>1.4438337508821446</v>
          </cell>
          <cell r="F111">
            <v>1.4278522230063504</v>
          </cell>
          <cell r="G111">
            <v>1.4438337508821446</v>
          </cell>
          <cell r="H111">
            <v>1.5237413902611143</v>
          </cell>
          <cell r="I111">
            <v>1.7794458362738172</v>
          </cell>
          <cell r="J111">
            <v>1.5876675017642905</v>
          </cell>
          <cell r="K111">
            <v>1.6196305575158778</v>
          </cell>
          <cell r="L111">
            <v>1.6196305575158778</v>
          </cell>
          <cell r="M111">
            <v>2.2588916725476338</v>
          </cell>
          <cell r="N111">
            <v>1.7059308080451663</v>
          </cell>
          <cell r="O111">
            <v>1.7794458362738172</v>
          </cell>
          <cell r="P111">
            <v>1.9392611150317585</v>
          </cell>
          <cell r="Q111">
            <v>1.4438337508821446</v>
          </cell>
          <cell r="R111">
            <v>2.871685973888495</v>
          </cell>
          <cell r="S111">
            <v>4.3155197247706401</v>
          </cell>
          <cell r="T111">
            <v>5.8392611150317544</v>
          </cell>
          <cell r="U111">
            <v>7.6187069513055716</v>
          </cell>
          <cell r="V111">
            <v>9.2063744530698628</v>
          </cell>
          <cell r="W111">
            <v>10.826005010585741</v>
          </cell>
          <cell r="X111">
            <v>12.445635568101618</v>
          </cell>
          <cell r="Y111">
            <v>14.704527240649252</v>
          </cell>
          <cell r="Z111">
            <v>16.410458048694419</v>
          </cell>
          <cell r="AA111">
            <v>18.189903884968238</v>
          </cell>
          <cell r="AB111">
            <v>20.129164999999997</v>
          </cell>
        </row>
        <row r="112">
          <cell r="D112" t="str">
            <v>Sales &amp; Distribution Exp</v>
          </cell>
          <cell r="E112">
            <v>1.2709150227946364</v>
          </cell>
          <cell r="F112">
            <v>1.1297022424841208</v>
          </cell>
          <cell r="G112">
            <v>1.2709150227946364</v>
          </cell>
          <cell r="H112">
            <v>2.6436455910138785</v>
          </cell>
          <cell r="I112">
            <v>4.9030500759821232</v>
          </cell>
          <cell r="J112">
            <v>3.2084967122559394</v>
          </cell>
          <cell r="K112">
            <v>3.4909222728769698</v>
          </cell>
          <cell r="L112">
            <v>3.4909222728769698</v>
          </cell>
          <cell r="M112">
            <v>9.1394334852975785</v>
          </cell>
          <cell r="N112">
            <v>4.2534712865537516</v>
          </cell>
          <cell r="O112">
            <v>4.9030500759821232</v>
          </cell>
          <cell r="P112">
            <v>6.3151778790872735</v>
          </cell>
          <cell r="Q112">
            <v>1.2709150227946364</v>
          </cell>
          <cell r="R112">
            <v>2.4006172652787572</v>
          </cell>
          <cell r="S112">
            <v>3.6715322880733936</v>
          </cell>
          <cell r="T112">
            <v>6.3151778790872726</v>
          </cell>
          <cell r="U112">
            <v>11.218227955069395</v>
          </cell>
          <cell r="V112">
            <v>14.426724667325335</v>
          </cell>
          <cell r="W112">
            <v>17.917646940202303</v>
          </cell>
          <cell r="X112">
            <v>21.408569213079272</v>
          </cell>
          <cell r="Y112">
            <v>30.548002698376848</v>
          </cell>
          <cell r="Z112">
            <v>34.801473984930603</v>
          </cell>
          <cell r="AA112">
            <v>39.704524060912725</v>
          </cell>
          <cell r="AB112">
            <v>46.019701939999997</v>
          </cell>
        </row>
        <row r="113">
          <cell r="D113" t="str">
            <v>Slim Savings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t="str">
            <v>Total Overheads (a+b)</v>
          </cell>
          <cell r="E114">
            <v>10.113997055257585</v>
          </cell>
          <cell r="F114">
            <v>9.3846640491178519</v>
          </cell>
          <cell r="G114">
            <v>10.113997055257585</v>
          </cell>
          <cell r="H114">
            <v>14.427328752622913</v>
          </cell>
          <cell r="I114">
            <v>26.096656850858622</v>
          </cell>
          <cell r="J114">
            <v>17.344660777181836</v>
          </cell>
          <cell r="K114">
            <v>18.803326789461302</v>
          </cell>
          <cell r="L114">
            <v>18.803326789461302</v>
          </cell>
          <cell r="M114">
            <v>47.976647035050576</v>
          </cell>
          <cell r="N114">
            <v>22.741725022615853</v>
          </cell>
          <cell r="O114">
            <v>26.096656850858622</v>
          </cell>
          <cell r="P114">
            <v>33.389986912255935</v>
          </cell>
          <cell r="Q114">
            <v>10.113997055257585</v>
          </cell>
          <cell r="R114">
            <v>19.498661104375433</v>
          </cell>
          <cell r="S114">
            <v>29.612658159633021</v>
          </cell>
          <cell r="T114">
            <v>44.039986912255941</v>
          </cell>
          <cell r="U114">
            <v>70.136643763114563</v>
          </cell>
          <cell r="V114">
            <v>87.481304540296421</v>
          </cell>
          <cell r="W114">
            <v>106.28463132975772</v>
          </cell>
          <cell r="X114">
            <v>125.08795811921898</v>
          </cell>
          <cell r="Y114">
            <v>173.0646051542696</v>
          </cell>
          <cell r="Z114">
            <v>195.80633017688544</v>
          </cell>
          <cell r="AA114">
            <v>221.90298702774402</v>
          </cell>
          <cell r="AB114">
            <v>255.29297394000002</v>
          </cell>
        </row>
        <row r="115">
          <cell r="D115" t="str">
            <v>OPERATING PROFIT (LOSS)</v>
          </cell>
          <cell r="E115">
            <v>5.7592226986083244</v>
          </cell>
          <cell r="F115">
            <v>4.7248646209851728</v>
          </cell>
          <cell r="G115">
            <v>5.7592226986083244</v>
          </cell>
          <cell r="H115">
            <v>10.264346420057382</v>
          </cell>
          <cell r="I115">
            <v>26.814075662027797</v>
          </cell>
          <cell r="J115">
            <v>14.401778730549982</v>
          </cell>
          <cell r="K115">
            <v>16.470494885796278</v>
          </cell>
          <cell r="L115">
            <v>16.470494885796278</v>
          </cell>
          <cell r="M115">
            <v>57.844817990722262</v>
          </cell>
          <cell r="N115">
            <v>22.056028504961247</v>
          </cell>
          <cell r="O115">
            <v>26.814075662027797</v>
          </cell>
          <cell r="P115">
            <v>37.157656438259224</v>
          </cell>
          <cell r="Q115">
            <v>5.7592226986083244</v>
          </cell>
          <cell r="R115">
            <v>10.484087319593497</v>
          </cell>
          <cell r="S115">
            <v>16.243310018201822</v>
          </cell>
          <cell r="T115">
            <v>26.507656438259204</v>
          </cell>
          <cell r="U115">
            <v>53.321732100287001</v>
          </cell>
          <cell r="V115">
            <v>67.723510830836986</v>
          </cell>
          <cell r="W115">
            <v>84.194005716633256</v>
          </cell>
          <cell r="X115">
            <v>100.66450060242954</v>
          </cell>
          <cell r="Y115">
            <v>158.50931859315182</v>
          </cell>
          <cell r="Z115">
            <v>180.56534709811308</v>
          </cell>
          <cell r="AA115">
            <v>207.37942276014087</v>
          </cell>
          <cell r="AB115">
            <v>244.53707919840008</v>
          </cell>
        </row>
        <row r="257">
          <cell r="D257" t="str">
            <v>Particulars</v>
          </cell>
          <cell r="E257" t="str">
            <v>Jan'14</v>
          </cell>
          <cell r="F257" t="str">
            <v>Feb'14</v>
          </cell>
          <cell r="G257" t="str">
            <v>Mar'14</v>
          </cell>
          <cell r="H257" t="str">
            <v>Apr'14</v>
          </cell>
          <cell r="I257" t="str">
            <v>May'14</v>
          </cell>
          <cell r="J257" t="str">
            <v>Jun'14</v>
          </cell>
          <cell r="K257" t="str">
            <v>Jul'14</v>
          </cell>
          <cell r="L257" t="str">
            <v>Aug'14</v>
          </cell>
          <cell r="M257" t="str">
            <v>Sep'14</v>
          </cell>
          <cell r="N257" t="str">
            <v>Oct'14</v>
          </cell>
          <cell r="O257" t="str">
            <v>Nov'14</v>
          </cell>
          <cell r="P257" t="str">
            <v>Dec'14</v>
          </cell>
          <cell r="Q257" t="str">
            <v>Jan'14</v>
          </cell>
          <cell r="R257" t="str">
            <v>Feb'14</v>
          </cell>
          <cell r="S257" t="str">
            <v>Mar'14</v>
          </cell>
          <cell r="T257" t="str">
            <v>Apr'14</v>
          </cell>
          <cell r="U257" t="str">
            <v>May'14</v>
          </cell>
          <cell r="V257" t="str">
            <v>Jun'14</v>
          </cell>
          <cell r="W257" t="str">
            <v>Jul'14</v>
          </cell>
          <cell r="X257" t="str">
            <v>Aug'14</v>
          </cell>
          <cell r="Y257" t="str">
            <v>Sep'14</v>
          </cell>
          <cell r="Z257" t="str">
            <v>Oct'14</v>
          </cell>
          <cell r="AA257" t="str">
            <v>Nov'14</v>
          </cell>
          <cell r="AB257" t="str">
            <v>Dec'14</v>
          </cell>
        </row>
        <row r="259">
          <cell r="D259" t="str">
            <v>Sales</v>
          </cell>
          <cell r="E259">
            <v>5.0127749000000001</v>
          </cell>
          <cell r="F259">
            <v>10.536970200000001</v>
          </cell>
          <cell r="G259">
            <v>11.403056000000001</v>
          </cell>
          <cell r="H259">
            <v>11.2988368</v>
          </cell>
          <cell r="I259">
            <v>24.660939200000005</v>
          </cell>
          <cell r="Q259">
            <v>5.0127749000000001</v>
          </cell>
          <cell r="R259">
            <v>15.549745100000001</v>
          </cell>
          <cell r="S259">
            <v>26.952801100000002</v>
          </cell>
          <cell r="T259">
            <v>38.251637900000006</v>
          </cell>
          <cell r="U259">
            <v>62.912577100000007</v>
          </cell>
          <cell r="V259">
            <v>62.912577100000007</v>
          </cell>
          <cell r="W259">
            <v>62.912577100000007</v>
          </cell>
          <cell r="X259">
            <v>62.912577100000007</v>
          </cell>
          <cell r="Y259">
            <v>62.912577100000007</v>
          </cell>
          <cell r="Z259">
            <v>62.912577100000007</v>
          </cell>
          <cell r="AA259">
            <v>62.912577100000007</v>
          </cell>
          <cell r="AB259">
            <v>62.912577100000007</v>
          </cell>
        </row>
        <row r="261">
          <cell r="D261" t="str">
            <v>Cost of Goods Sold</v>
          </cell>
          <cell r="E261">
            <v>1.37</v>
          </cell>
          <cell r="F261">
            <v>2.5025230214255019</v>
          </cell>
          <cell r="G261">
            <v>7.22</v>
          </cell>
          <cell r="H261">
            <v>3.75</v>
          </cell>
          <cell r="I261">
            <v>14.531303132587515</v>
          </cell>
          <cell r="Q261">
            <v>1.37</v>
          </cell>
          <cell r="R261">
            <v>3.872523021425502</v>
          </cell>
          <cell r="S261">
            <v>11.092523021425501</v>
          </cell>
          <cell r="T261">
            <v>14.842523021425501</v>
          </cell>
          <cell r="U261">
            <v>29.373826154013017</v>
          </cell>
          <cell r="V261">
            <v>29.373826154013017</v>
          </cell>
          <cell r="W261">
            <v>29.373826154013017</v>
          </cell>
          <cell r="X261">
            <v>29.373826154013017</v>
          </cell>
          <cell r="Y261">
            <v>29.373826154013017</v>
          </cell>
          <cell r="Z261">
            <v>29.373826154013017</v>
          </cell>
          <cell r="AA261">
            <v>29.373826154013017</v>
          </cell>
          <cell r="AB261">
            <v>29.373826154013017</v>
          </cell>
        </row>
        <row r="262">
          <cell r="D262" t="str">
            <v>Excise Recredit</v>
          </cell>
        </row>
        <row r="263">
          <cell r="D263" t="str">
            <v>PRISM - II Savings</v>
          </cell>
        </row>
        <row r="264">
          <cell r="D264" t="str">
            <v>PSM Savings</v>
          </cell>
        </row>
        <row r="266">
          <cell r="D266" t="str">
            <v>Contribution</v>
          </cell>
          <cell r="E266">
            <v>3.6427749</v>
          </cell>
          <cell r="F266">
            <v>8.0344471785744993</v>
          </cell>
          <cell r="G266">
            <v>4.1830560000000014</v>
          </cell>
          <cell r="H266">
            <v>7.5488368000000001</v>
          </cell>
          <cell r="I266">
            <v>10.129636067412489</v>
          </cell>
          <cell r="J266">
            <v>0</v>
          </cell>
          <cell r="K266">
            <v>0</v>
          </cell>
          <cell r="L266">
            <v>0</v>
          </cell>
          <cell r="M266">
            <v>0</v>
          </cell>
          <cell r="N266">
            <v>0</v>
          </cell>
          <cell r="O266">
            <v>0</v>
          </cell>
          <cell r="P266">
            <v>0</v>
          </cell>
          <cell r="Q266">
            <v>3.6427749</v>
          </cell>
          <cell r="R266">
            <v>11.677222078574498</v>
          </cell>
          <cell r="S266">
            <v>15.860278078574499</v>
          </cell>
          <cell r="T266">
            <v>23.409114878574499</v>
          </cell>
          <cell r="U266">
            <v>33.53875094598699</v>
          </cell>
          <cell r="V266">
            <v>33.53875094598699</v>
          </cell>
          <cell r="W266">
            <v>33.53875094598699</v>
          </cell>
          <cell r="X266">
            <v>33.53875094598699</v>
          </cell>
          <cell r="Y266">
            <v>33.53875094598699</v>
          </cell>
          <cell r="Z266">
            <v>33.53875094598699</v>
          </cell>
          <cell r="AA266">
            <v>33.53875094598699</v>
          </cell>
          <cell r="AB266">
            <v>33.53875094598699</v>
          </cell>
        </row>
        <row r="267">
          <cell r="E267">
            <v>0.72669828042747342</v>
          </cell>
          <cell r="F267">
            <v>0.76250070239113887</v>
          </cell>
          <cell r="G267">
            <v>0.3668363989442831</v>
          </cell>
          <cell r="H267">
            <v>0.66810742854521099</v>
          </cell>
          <cell r="I267">
            <v>0.41075629704372685</v>
          </cell>
          <cell r="J267" t="e">
            <v>#DIV/0!</v>
          </cell>
          <cell r="K267" t="e">
            <v>#DIV/0!</v>
          </cell>
          <cell r="L267" t="e">
            <v>#DIV/0!</v>
          </cell>
          <cell r="M267" t="e">
            <v>#DIV/0!</v>
          </cell>
          <cell r="N267" t="e">
            <v>#DIV/0!</v>
          </cell>
          <cell r="O267" t="e">
            <v>#DIV/0!</v>
          </cell>
          <cell r="P267" t="e">
            <v>#DIV/0!</v>
          </cell>
          <cell r="Q267">
            <v>0.72669828042747342</v>
          </cell>
          <cell r="R267">
            <v>0.75095906739812079</v>
          </cell>
          <cell r="S267">
            <v>0.58844637407926026</v>
          </cell>
          <cell r="T267">
            <v>0.61197679795495752</v>
          </cell>
          <cell r="U267">
            <v>0.53310089161785401</v>
          </cell>
          <cell r="V267">
            <v>0.53310089161785401</v>
          </cell>
          <cell r="W267">
            <v>0.53310089161785401</v>
          </cell>
          <cell r="X267">
            <v>0.53310089161785401</v>
          </cell>
          <cell r="Y267">
            <v>0.53310089161785401</v>
          </cell>
          <cell r="Z267">
            <v>0.53310089161785401</v>
          </cell>
          <cell r="AA267">
            <v>0.53310089161785401</v>
          </cell>
          <cell r="AB267">
            <v>0.53310089161785401</v>
          </cell>
        </row>
        <row r="268">
          <cell r="D268" t="str">
            <v>Overheads</v>
          </cell>
        </row>
        <row r="269">
          <cell r="D269" t="str">
            <v>Personnel Costs</v>
          </cell>
          <cell r="Q269">
            <v>0</v>
          </cell>
          <cell r="R269">
            <v>0</v>
          </cell>
          <cell r="S269">
            <v>0</v>
          </cell>
          <cell r="T269">
            <v>0</v>
          </cell>
          <cell r="U269">
            <v>0</v>
          </cell>
          <cell r="V269">
            <v>0</v>
          </cell>
          <cell r="W269">
            <v>0</v>
          </cell>
          <cell r="X269">
            <v>0</v>
          </cell>
          <cell r="Y269">
            <v>0</v>
          </cell>
          <cell r="Z269">
            <v>0</v>
          </cell>
          <cell r="AA269">
            <v>0</v>
          </cell>
          <cell r="AB269">
            <v>0</v>
          </cell>
        </row>
        <row r="270">
          <cell r="D270" t="str">
            <v>Administration Exp</v>
          </cell>
          <cell r="Q270">
            <v>0</v>
          </cell>
          <cell r="R270">
            <v>0</v>
          </cell>
          <cell r="S270">
            <v>0</v>
          </cell>
          <cell r="T270">
            <v>0</v>
          </cell>
          <cell r="U270">
            <v>0</v>
          </cell>
          <cell r="V270">
            <v>0</v>
          </cell>
          <cell r="W270">
            <v>0</v>
          </cell>
          <cell r="X270">
            <v>0</v>
          </cell>
          <cell r="Y270">
            <v>0</v>
          </cell>
          <cell r="Z270">
            <v>0</v>
          </cell>
          <cell r="AA270">
            <v>0</v>
          </cell>
          <cell r="AB270">
            <v>0</v>
          </cell>
        </row>
        <row r="271">
          <cell r="D271" t="str">
            <v>Regulatory Exp.</v>
          </cell>
          <cell r="Q271">
            <v>0</v>
          </cell>
          <cell r="R271">
            <v>0</v>
          </cell>
          <cell r="S271">
            <v>0</v>
          </cell>
          <cell r="T271">
            <v>0</v>
          </cell>
          <cell r="U271">
            <v>0</v>
          </cell>
          <cell r="V271">
            <v>0</v>
          </cell>
          <cell r="W271">
            <v>0</v>
          </cell>
          <cell r="X271">
            <v>0</v>
          </cell>
          <cell r="Y271">
            <v>0</v>
          </cell>
          <cell r="Z271">
            <v>0</v>
          </cell>
          <cell r="AA271">
            <v>0</v>
          </cell>
          <cell r="AB271">
            <v>0</v>
          </cell>
        </row>
        <row r="272">
          <cell r="D272" t="str">
            <v>Production Exp</v>
          </cell>
          <cell r="Q272">
            <v>0</v>
          </cell>
          <cell r="R272">
            <v>0</v>
          </cell>
          <cell r="S272">
            <v>0</v>
          </cell>
          <cell r="T272">
            <v>0</v>
          </cell>
          <cell r="U272">
            <v>0</v>
          </cell>
          <cell r="V272">
            <v>0</v>
          </cell>
          <cell r="W272">
            <v>0</v>
          </cell>
          <cell r="X272">
            <v>0</v>
          </cell>
          <cell r="Y272">
            <v>0</v>
          </cell>
          <cell r="Z272">
            <v>0</v>
          </cell>
          <cell r="AA272">
            <v>0</v>
          </cell>
          <cell r="AB272">
            <v>0</v>
          </cell>
        </row>
        <row r="273">
          <cell r="D273" t="str">
            <v xml:space="preserve">Research &amp; Development </v>
          </cell>
          <cell r="Q273">
            <v>0</v>
          </cell>
          <cell r="R273">
            <v>0</v>
          </cell>
          <cell r="S273">
            <v>0</v>
          </cell>
          <cell r="T273">
            <v>0</v>
          </cell>
          <cell r="U273">
            <v>0</v>
          </cell>
          <cell r="V273">
            <v>0</v>
          </cell>
          <cell r="W273">
            <v>0</v>
          </cell>
          <cell r="X273">
            <v>0</v>
          </cell>
          <cell r="Y273">
            <v>0</v>
          </cell>
          <cell r="Z273">
            <v>0</v>
          </cell>
          <cell r="AA273">
            <v>0</v>
          </cell>
          <cell r="AB273">
            <v>0</v>
          </cell>
        </row>
        <row r="274">
          <cell r="D274" t="str">
            <v>Marketing Exp</v>
          </cell>
          <cell r="E274">
            <v>1.7492482815808019</v>
          </cell>
          <cell r="F274">
            <v>1.82</v>
          </cell>
          <cell r="G274">
            <v>3.17</v>
          </cell>
          <cell r="H274">
            <v>4.58</v>
          </cell>
          <cell r="I274">
            <v>9.3999999999999986</v>
          </cell>
          <cell r="J274">
            <v>0</v>
          </cell>
          <cell r="K274">
            <v>0</v>
          </cell>
          <cell r="L274">
            <v>0</v>
          </cell>
          <cell r="M274">
            <v>0</v>
          </cell>
          <cell r="N274">
            <v>0</v>
          </cell>
          <cell r="O274">
            <v>0</v>
          </cell>
          <cell r="P274">
            <v>0</v>
          </cell>
          <cell r="Q274">
            <v>1.7492482815808019</v>
          </cell>
          <cell r="R274">
            <v>3.5692482815808022</v>
          </cell>
          <cell r="S274">
            <v>6.7392482815808021</v>
          </cell>
          <cell r="T274">
            <v>11.319248281580801</v>
          </cell>
          <cell r="U274">
            <v>20.7192482815808</v>
          </cell>
          <cell r="V274">
            <v>20.7192482815808</v>
          </cell>
          <cell r="W274">
            <v>20.7192482815808</v>
          </cell>
          <cell r="X274">
            <v>20.7192482815808</v>
          </cell>
          <cell r="Y274">
            <v>20.7192482815808</v>
          </cell>
          <cell r="Z274">
            <v>20.7192482815808</v>
          </cell>
          <cell r="AA274">
            <v>20.7192482815808</v>
          </cell>
          <cell r="AB274">
            <v>20.7192482815808</v>
          </cell>
        </row>
        <row r="275">
          <cell r="D275" t="str">
            <v>Trade, MRF Schemes &amp; Rate Matching</v>
          </cell>
          <cell r="E275">
            <v>8.6245776287929843E-2</v>
          </cell>
          <cell r="F275">
            <v>1</v>
          </cell>
          <cell r="G275">
            <v>2.48</v>
          </cell>
          <cell r="H275">
            <v>3.41</v>
          </cell>
          <cell r="I275">
            <v>7.08</v>
          </cell>
          <cell r="J275">
            <v>0</v>
          </cell>
          <cell r="K275">
            <v>0</v>
          </cell>
          <cell r="L275">
            <v>0</v>
          </cell>
          <cell r="M275">
            <v>0</v>
          </cell>
          <cell r="N275">
            <v>0</v>
          </cell>
          <cell r="O275">
            <v>0</v>
          </cell>
          <cell r="P275">
            <v>0</v>
          </cell>
          <cell r="Q275">
            <v>8.6245776287929843E-2</v>
          </cell>
          <cell r="R275">
            <v>1.0862457762879298</v>
          </cell>
          <cell r="S275">
            <v>3.5662457762879298</v>
          </cell>
          <cell r="T275">
            <v>6.9762457762879304</v>
          </cell>
          <cell r="U275">
            <v>14.05624577628793</v>
          </cell>
          <cell r="V275">
            <v>14.05624577628793</v>
          </cell>
          <cell r="W275">
            <v>14.05624577628793</v>
          </cell>
          <cell r="X275">
            <v>14.05624577628793</v>
          </cell>
          <cell r="Y275">
            <v>14.05624577628793</v>
          </cell>
          <cell r="Z275">
            <v>14.05624577628793</v>
          </cell>
          <cell r="AA275">
            <v>14.05624577628793</v>
          </cell>
          <cell r="AB275">
            <v>14.05624577628793</v>
          </cell>
        </row>
        <row r="276">
          <cell r="D276" t="str">
            <v>Field Related Costs</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t="str">
            <v>Marketing Support (Adv. + SP)</v>
          </cell>
          <cell r="E277">
            <v>0.86300250529287215</v>
          </cell>
          <cell r="F277">
            <v>0</v>
          </cell>
          <cell r="G277">
            <v>0.39</v>
          </cell>
          <cell r="H277">
            <v>0.34</v>
          </cell>
          <cell r="I277">
            <v>1</v>
          </cell>
          <cell r="J277">
            <v>0</v>
          </cell>
          <cell r="K277">
            <v>0</v>
          </cell>
          <cell r="L277">
            <v>0</v>
          </cell>
          <cell r="M277">
            <v>0</v>
          </cell>
          <cell r="N277">
            <v>0</v>
          </cell>
          <cell r="O277">
            <v>0</v>
          </cell>
          <cell r="P277">
            <v>0</v>
          </cell>
          <cell r="Q277">
            <v>0.86300250529287215</v>
          </cell>
          <cell r="R277">
            <v>0.86300250529287215</v>
          </cell>
          <cell r="S277">
            <v>1.2530025052928722</v>
          </cell>
          <cell r="T277">
            <v>1.5930025052928722</v>
          </cell>
          <cell r="U277">
            <v>2.5930025052928722</v>
          </cell>
          <cell r="V277">
            <v>2.5930025052928722</v>
          </cell>
          <cell r="W277">
            <v>2.5930025052928722</v>
          </cell>
          <cell r="X277">
            <v>2.5930025052928722</v>
          </cell>
          <cell r="Y277">
            <v>2.5930025052928722</v>
          </cell>
          <cell r="Z277">
            <v>2.5930025052928722</v>
          </cell>
          <cell r="AA277">
            <v>2.5930025052928722</v>
          </cell>
          <cell r="AB277">
            <v>2.5930025052928722</v>
          </cell>
        </row>
        <row r="278">
          <cell r="D278" t="str">
            <v>Other Mktg. Costs</v>
          </cell>
          <cell r="E278">
            <v>0.79999999999999993</v>
          </cell>
          <cell r="F278">
            <v>0.82000000000000006</v>
          </cell>
          <cell r="G278">
            <v>0.29999999999999993</v>
          </cell>
          <cell r="H278">
            <v>0.82999999999999985</v>
          </cell>
          <cell r="I278">
            <v>1.3199999999999985</v>
          </cell>
          <cell r="J278">
            <v>0</v>
          </cell>
          <cell r="K278">
            <v>0</v>
          </cell>
          <cell r="L278">
            <v>0</v>
          </cell>
          <cell r="M278">
            <v>0</v>
          </cell>
          <cell r="N278">
            <v>0</v>
          </cell>
          <cell r="O278">
            <v>0</v>
          </cell>
          <cell r="P278">
            <v>0</v>
          </cell>
          <cell r="Q278">
            <v>0.79999999999999993</v>
          </cell>
          <cell r="R278">
            <v>1.62</v>
          </cell>
          <cell r="S278">
            <v>1.92</v>
          </cell>
          <cell r="T278">
            <v>2.75</v>
          </cell>
          <cell r="U278">
            <v>4.0699999999999985</v>
          </cell>
          <cell r="V278">
            <v>4.0699999999999985</v>
          </cell>
          <cell r="W278">
            <v>4.0699999999999985</v>
          </cell>
          <cell r="X278">
            <v>4.0699999999999985</v>
          </cell>
          <cell r="Y278">
            <v>4.0699999999999985</v>
          </cell>
          <cell r="Z278">
            <v>4.0699999999999985</v>
          </cell>
          <cell r="AA278">
            <v>4.0699999999999985</v>
          </cell>
          <cell r="AB278">
            <v>4.0699999999999985</v>
          </cell>
        </row>
        <row r="279">
          <cell r="D279" t="str">
            <v>Sales &amp; Distribution Exp</v>
          </cell>
          <cell r="E279">
            <v>0.22091502279464006</v>
          </cell>
          <cell r="F279">
            <v>0.45970999999999995</v>
          </cell>
          <cell r="G279">
            <v>0.6</v>
          </cell>
          <cell r="H279">
            <v>1.5</v>
          </cell>
          <cell r="I279">
            <v>0.59000000000000019</v>
          </cell>
          <cell r="J279">
            <v>0</v>
          </cell>
          <cell r="K279">
            <v>0</v>
          </cell>
          <cell r="L279">
            <v>0</v>
          </cell>
          <cell r="M279">
            <v>0</v>
          </cell>
          <cell r="N279">
            <v>0</v>
          </cell>
          <cell r="O279">
            <v>0</v>
          </cell>
          <cell r="P279">
            <v>0</v>
          </cell>
          <cell r="Q279">
            <v>0.22091502279464006</v>
          </cell>
          <cell r="R279">
            <v>0.68062502279463999</v>
          </cell>
          <cell r="S279">
            <v>1.2806250227946401</v>
          </cell>
          <cell r="T279">
            <v>2.7806250227946401</v>
          </cell>
          <cell r="U279">
            <v>3.3706250227946404</v>
          </cell>
          <cell r="V279">
            <v>3.3706250227946404</v>
          </cell>
          <cell r="W279">
            <v>3.3706250227946404</v>
          </cell>
          <cell r="X279">
            <v>3.3706250227946404</v>
          </cell>
          <cell r="Y279">
            <v>3.3706250227946404</v>
          </cell>
          <cell r="Z279">
            <v>3.3706250227946404</v>
          </cell>
          <cell r="AA279">
            <v>3.3706250227946404</v>
          </cell>
          <cell r="AB279">
            <v>3.3706250227946404</v>
          </cell>
        </row>
        <row r="280">
          <cell r="D280" t="str">
            <v>Slim Savings</v>
          </cell>
        </row>
        <row r="281">
          <cell r="D281" t="str">
            <v>Total Overheads (a+b)</v>
          </cell>
          <cell r="E281">
            <v>1.9701633043754421</v>
          </cell>
          <cell r="F281">
            <v>2.2797100000000006</v>
          </cell>
          <cell r="G281">
            <v>3.7699999999999996</v>
          </cell>
          <cell r="H281">
            <v>6.08</v>
          </cell>
          <cell r="I281">
            <v>9.9899999999999984</v>
          </cell>
          <cell r="J281">
            <v>0</v>
          </cell>
          <cell r="K281">
            <v>0</v>
          </cell>
          <cell r="L281">
            <v>0</v>
          </cell>
          <cell r="M281">
            <v>0</v>
          </cell>
          <cell r="N281">
            <v>0</v>
          </cell>
          <cell r="O281">
            <v>0</v>
          </cell>
          <cell r="P281">
            <v>0</v>
          </cell>
          <cell r="Q281">
            <v>1.9701633043754421</v>
          </cell>
          <cell r="R281">
            <v>4.2498733043754422</v>
          </cell>
          <cell r="S281">
            <v>8.0198733043754409</v>
          </cell>
          <cell r="T281">
            <v>14.099873304375443</v>
          </cell>
          <cell r="U281">
            <v>24.089873304375441</v>
          </cell>
          <cell r="V281">
            <v>24.089873304375441</v>
          </cell>
          <cell r="W281">
            <v>24.089873304375441</v>
          </cell>
          <cell r="X281">
            <v>24.089873304375441</v>
          </cell>
          <cell r="Y281">
            <v>24.089873304375441</v>
          </cell>
          <cell r="Z281">
            <v>24.089873304375441</v>
          </cell>
          <cell r="AA281">
            <v>24.089873304375441</v>
          </cell>
          <cell r="AB281">
            <v>24.089873304375441</v>
          </cell>
        </row>
        <row r="282">
          <cell r="D282" t="str">
            <v>OPERATING PROFIT (LOSS)</v>
          </cell>
          <cell r="E282">
            <v>1.672611595624558</v>
          </cell>
          <cell r="F282">
            <v>5.7547371785744987</v>
          </cell>
          <cell r="G282">
            <v>0.41305600000000187</v>
          </cell>
          <cell r="H282">
            <v>1.4688368000000001</v>
          </cell>
          <cell r="I282">
            <v>0.13963606741249102</v>
          </cell>
          <cell r="J282">
            <v>0</v>
          </cell>
          <cell r="K282">
            <v>0</v>
          </cell>
          <cell r="L282">
            <v>0</v>
          </cell>
          <cell r="M282">
            <v>0</v>
          </cell>
          <cell r="N282">
            <v>0</v>
          </cell>
          <cell r="O282">
            <v>0</v>
          </cell>
          <cell r="P282">
            <v>0</v>
          </cell>
          <cell r="Q282">
            <v>1.672611595624558</v>
          </cell>
          <cell r="R282">
            <v>7.4273487741990571</v>
          </cell>
          <cell r="S282">
            <v>7.840404774199059</v>
          </cell>
          <cell r="T282">
            <v>9.30924157419906</v>
          </cell>
          <cell r="U282">
            <v>9.448877641611551</v>
          </cell>
          <cell r="V282">
            <v>9.448877641611551</v>
          </cell>
          <cell r="W282">
            <v>9.448877641611551</v>
          </cell>
          <cell r="X282">
            <v>9.448877641611551</v>
          </cell>
          <cell r="Y282">
            <v>9.448877641611551</v>
          </cell>
          <cell r="Z282">
            <v>9.448877641611551</v>
          </cell>
          <cell r="AA282">
            <v>9.448877641611551</v>
          </cell>
          <cell r="AB282">
            <v>9.448877641611551</v>
          </cell>
        </row>
        <row r="462">
          <cell r="D462" t="str">
            <v>Particulars</v>
          </cell>
          <cell r="E462" t="str">
            <v>Actual</v>
          </cell>
          <cell r="F462" t="str">
            <v>Actual</v>
          </cell>
          <cell r="G462" t="str">
            <v>Actual</v>
          </cell>
          <cell r="H462" t="str">
            <v>Actual</v>
          </cell>
          <cell r="I462" t="str">
            <v>Actual</v>
          </cell>
          <cell r="J462" t="str">
            <v>Actual</v>
          </cell>
          <cell r="K462" t="str">
            <v>Actual</v>
          </cell>
          <cell r="L462" t="str">
            <v>Actual</v>
          </cell>
          <cell r="M462" t="str">
            <v>Actual</v>
          </cell>
          <cell r="N462" t="str">
            <v>Actual</v>
          </cell>
          <cell r="O462" t="str">
            <v>Actual</v>
          </cell>
          <cell r="P462" t="str">
            <v>Actual</v>
          </cell>
          <cell r="Q462" t="str">
            <v>Cumu Act</v>
          </cell>
          <cell r="R462" t="str">
            <v>Cumu Act</v>
          </cell>
          <cell r="S462" t="str">
            <v>Cumu Act</v>
          </cell>
          <cell r="T462" t="str">
            <v>Cumu Act</v>
          </cell>
          <cell r="U462" t="str">
            <v>Cumu Act</v>
          </cell>
          <cell r="V462" t="str">
            <v>Cumu Act</v>
          </cell>
          <cell r="W462" t="str">
            <v>Cumu Act</v>
          </cell>
          <cell r="X462" t="str">
            <v>Cumu Act</v>
          </cell>
          <cell r="Y462" t="str">
            <v>Cumu Act</v>
          </cell>
          <cell r="Z462" t="str">
            <v>Cumu Act</v>
          </cell>
          <cell r="AA462" t="str">
            <v>Cumu Act</v>
          </cell>
          <cell r="AB462" t="str">
            <v>Cumu Act</v>
          </cell>
        </row>
        <row r="463">
          <cell r="D463">
            <v>0</v>
          </cell>
          <cell r="E463">
            <v>41275</v>
          </cell>
          <cell r="F463">
            <v>41306</v>
          </cell>
          <cell r="G463">
            <v>41334</v>
          </cell>
          <cell r="H463">
            <v>41365</v>
          </cell>
          <cell r="I463">
            <v>41395</v>
          </cell>
          <cell r="J463">
            <v>41426</v>
          </cell>
          <cell r="K463">
            <v>41456</v>
          </cell>
          <cell r="L463">
            <v>41487</v>
          </cell>
          <cell r="M463">
            <v>41518</v>
          </cell>
          <cell r="N463">
            <v>41548</v>
          </cell>
          <cell r="O463">
            <v>41579</v>
          </cell>
          <cell r="P463">
            <v>41609</v>
          </cell>
          <cell r="Q463">
            <v>41275</v>
          </cell>
          <cell r="R463">
            <v>41306</v>
          </cell>
          <cell r="S463">
            <v>41334</v>
          </cell>
          <cell r="T463">
            <v>41365</v>
          </cell>
          <cell r="U463">
            <v>41395</v>
          </cell>
          <cell r="V463">
            <v>41426</v>
          </cell>
          <cell r="W463">
            <v>41456</v>
          </cell>
          <cell r="X463">
            <v>41487</v>
          </cell>
          <cell r="Y463">
            <v>41518</v>
          </cell>
          <cell r="Z463">
            <v>41548</v>
          </cell>
          <cell r="AA463">
            <v>41579</v>
          </cell>
          <cell r="AB463">
            <v>41609</v>
          </cell>
        </row>
        <row r="464">
          <cell r="D464" t="str">
            <v>Sales</v>
          </cell>
          <cell r="E464">
            <v>51.72</v>
          </cell>
          <cell r="F464">
            <v>40.94</v>
          </cell>
          <cell r="G464">
            <v>44.239103300000004</v>
          </cell>
          <cell r="H464">
            <v>0</v>
          </cell>
          <cell r="I464">
            <v>18.84</v>
          </cell>
          <cell r="J464">
            <v>66</v>
          </cell>
          <cell r="K464">
            <v>43</v>
          </cell>
          <cell r="L464">
            <v>30.763556300000001</v>
          </cell>
          <cell r="M464">
            <v>7.08</v>
          </cell>
          <cell r="N464">
            <v>23.421760099999997</v>
          </cell>
          <cell r="O464">
            <v>0</v>
          </cell>
          <cell r="P464">
            <v>8.6215132000000008</v>
          </cell>
          <cell r="Q464">
            <v>51.72</v>
          </cell>
          <cell r="R464">
            <v>92.66</v>
          </cell>
          <cell r="S464">
            <v>136.89910330000001</v>
          </cell>
          <cell r="T464">
            <v>136.89910330000001</v>
          </cell>
          <cell r="U464">
            <v>155.73910330000001</v>
          </cell>
          <cell r="V464">
            <v>221.73910330000001</v>
          </cell>
          <cell r="W464">
            <v>264.73910330000001</v>
          </cell>
          <cell r="X464">
            <v>295.50265960000002</v>
          </cell>
          <cell r="Y464">
            <v>302.5826596</v>
          </cell>
          <cell r="Z464">
            <v>326.00441969999997</v>
          </cell>
          <cell r="AA464">
            <v>326.00441969999997</v>
          </cell>
          <cell r="AB464">
            <v>334.62593289999995</v>
          </cell>
        </row>
        <row r="465">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row>
        <row r="466">
          <cell r="D466" t="str">
            <v>Cost of Goods Sold</v>
          </cell>
          <cell r="E466">
            <v>23.14</v>
          </cell>
          <cell r="F466">
            <v>14.52</v>
          </cell>
          <cell r="G466">
            <v>20.242535792000002</v>
          </cell>
          <cell r="H466">
            <v>0</v>
          </cell>
          <cell r="I466">
            <v>9.420517319597991</v>
          </cell>
          <cell r="J466">
            <v>23.713756146270217</v>
          </cell>
          <cell r="K466">
            <v>16.462724170469791</v>
          </cell>
          <cell r="L466">
            <v>12.028860478620986</v>
          </cell>
          <cell r="M466">
            <v>2</v>
          </cell>
          <cell r="N466">
            <v>9.6803219072720008</v>
          </cell>
          <cell r="O466">
            <v>0</v>
          </cell>
          <cell r="P466">
            <v>3.2336562439999996</v>
          </cell>
          <cell r="Q466">
            <v>23.14</v>
          </cell>
          <cell r="R466">
            <v>37.659999999999997</v>
          </cell>
          <cell r="S466">
            <v>57.902535791999995</v>
          </cell>
          <cell r="T466">
            <v>57.902535791999995</v>
          </cell>
          <cell r="U466">
            <v>67.323053111597986</v>
          </cell>
          <cell r="V466">
            <v>91.0368092578682</v>
          </cell>
          <cell r="W466">
            <v>107.499533428338</v>
          </cell>
          <cell r="X466">
            <v>119.52839390695898</v>
          </cell>
          <cell r="Y466">
            <v>121.52839390695898</v>
          </cell>
          <cell r="Z466">
            <v>131.20871581423097</v>
          </cell>
          <cell r="AA466">
            <v>131.20871581423097</v>
          </cell>
          <cell r="AB466">
            <v>134.44237205823097</v>
          </cell>
        </row>
        <row r="467">
          <cell r="D467" t="str">
            <v>Excise Recredit</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row>
        <row r="468">
          <cell r="D468" t="str">
            <v>PRISM - II Savings</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row>
        <row r="469">
          <cell r="D469" t="str">
            <v>PSM Savings</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row>
        <row r="470">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row>
        <row r="471">
          <cell r="D471" t="str">
            <v>Contribution</v>
          </cell>
          <cell r="E471">
            <v>28.58</v>
          </cell>
          <cell r="F471">
            <v>26.419999999999998</v>
          </cell>
          <cell r="G471">
            <v>23.996567508000002</v>
          </cell>
          <cell r="H471">
            <v>0</v>
          </cell>
          <cell r="I471">
            <v>9.4194826804020089</v>
          </cell>
          <cell r="J471">
            <v>42.286243853729786</v>
          </cell>
          <cell r="K471">
            <v>26.537275829530209</v>
          </cell>
          <cell r="L471">
            <v>18.734695821379013</v>
          </cell>
          <cell r="M471">
            <v>5.08</v>
          </cell>
          <cell r="N471">
            <v>13.741438192727996</v>
          </cell>
          <cell r="O471">
            <v>0</v>
          </cell>
          <cell r="P471">
            <v>5.3878569560000011</v>
          </cell>
          <cell r="Q471">
            <v>28.58</v>
          </cell>
          <cell r="R471">
            <v>55</v>
          </cell>
          <cell r="S471">
            <v>78.996567508000012</v>
          </cell>
          <cell r="T471">
            <v>78.996567508000012</v>
          </cell>
          <cell r="U471">
            <v>88.416050188402025</v>
          </cell>
          <cell r="V471">
            <v>130.70229404213183</v>
          </cell>
          <cell r="W471">
            <v>157.23956987166201</v>
          </cell>
          <cell r="X471">
            <v>175.97426569304105</v>
          </cell>
          <cell r="Y471">
            <v>181.05426569304103</v>
          </cell>
          <cell r="Z471">
            <v>194.795703885769</v>
          </cell>
          <cell r="AA471">
            <v>194.795703885769</v>
          </cell>
          <cell r="AB471">
            <v>200.18356084176898</v>
          </cell>
        </row>
        <row r="472">
          <cell r="D472">
            <v>0</v>
          </cell>
          <cell r="E472">
            <v>0.55259087393658157</v>
          </cell>
          <cell r="F472">
            <v>0.64533463605276009</v>
          </cell>
          <cell r="G472">
            <v>0.54242888571387471</v>
          </cell>
          <cell r="H472" t="e">
            <v>#DIV/0!</v>
          </cell>
          <cell r="I472">
            <v>0.49997254142261194</v>
          </cell>
          <cell r="J472">
            <v>0.64070066445045126</v>
          </cell>
          <cell r="K472">
            <v>0.6171459495239584</v>
          </cell>
          <cell r="L472">
            <v>0.60898992426889909</v>
          </cell>
          <cell r="M472">
            <v>0.71751412429378536</v>
          </cell>
          <cell r="N472">
            <v>0.58669536935134081</v>
          </cell>
          <cell r="O472" t="e">
            <v>#DIV/0!</v>
          </cell>
          <cell r="P472">
            <v>0.62493170642016771</v>
          </cell>
          <cell r="Q472">
            <v>0.55259087393658157</v>
          </cell>
          <cell r="R472">
            <v>0.59356788258148074</v>
          </cell>
          <cell r="S472">
            <v>0.57704225669679754</v>
          </cell>
          <cell r="T472">
            <v>0.57704225669679754</v>
          </cell>
          <cell r="U472">
            <v>0.56771901413921921</v>
          </cell>
          <cell r="V472">
            <v>0.58944179036071631</v>
          </cell>
          <cell r="W472">
            <v>0.59394161237102749</v>
          </cell>
          <cell r="X472">
            <v>0.59550822971016348</v>
          </cell>
          <cell r="Y472">
            <v>0.59836299255346037</v>
          </cell>
          <cell r="Z472">
            <v>0.59752473314633725</v>
          </cell>
          <cell r="AA472">
            <v>0.59752473314633725</v>
          </cell>
          <cell r="AB472">
            <v>0.59823086365990674</v>
          </cell>
        </row>
        <row r="473">
          <cell r="D473" t="str">
            <v>Overheads</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row>
        <row r="474">
          <cell r="D474" t="str">
            <v>Personnel Costs</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row>
        <row r="475">
          <cell r="D475" t="str">
            <v>Administration Exp</v>
          </cell>
          <cell r="E475">
            <v>0</v>
          </cell>
          <cell r="F475">
            <v>0</v>
          </cell>
          <cell r="G475">
            <v>0</v>
          </cell>
          <cell r="H475">
            <v>0</v>
          </cell>
          <cell r="I475">
            <v>0</v>
          </cell>
          <cell r="J475">
            <v>0.25</v>
          </cell>
          <cell r="K475">
            <v>0.25</v>
          </cell>
          <cell r="L475">
            <v>0.25</v>
          </cell>
          <cell r="M475">
            <v>0</v>
          </cell>
          <cell r="N475">
            <v>0</v>
          </cell>
          <cell r="O475">
            <v>0</v>
          </cell>
          <cell r="P475">
            <v>0</v>
          </cell>
          <cell r="Q475">
            <v>0</v>
          </cell>
          <cell r="R475">
            <v>0</v>
          </cell>
          <cell r="S475">
            <v>0</v>
          </cell>
          <cell r="T475">
            <v>0</v>
          </cell>
          <cell r="U475">
            <v>0</v>
          </cell>
          <cell r="V475">
            <v>0.25</v>
          </cell>
          <cell r="W475">
            <v>0.5</v>
          </cell>
          <cell r="X475">
            <v>0.75</v>
          </cell>
          <cell r="Y475">
            <v>0.75</v>
          </cell>
          <cell r="Z475">
            <v>0.75</v>
          </cell>
          <cell r="AA475">
            <v>0.75</v>
          </cell>
          <cell r="AB475">
            <v>0.75</v>
          </cell>
        </row>
        <row r="476">
          <cell r="D476" t="str">
            <v>Regulatory Exp.</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row>
        <row r="477">
          <cell r="D477" t="str">
            <v>Production Exp</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row>
        <row r="478">
          <cell r="D478" t="str">
            <v xml:space="preserve">Research &amp; Development </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row>
        <row r="479">
          <cell r="D479" t="str">
            <v>Marketing Exp</v>
          </cell>
          <cell r="E479">
            <v>12.93</v>
          </cell>
          <cell r="F479">
            <v>10.234999999999999</v>
          </cell>
          <cell r="G479">
            <v>11.059775825000001</v>
          </cell>
          <cell r="H479">
            <v>0</v>
          </cell>
          <cell r="I479">
            <v>4.71</v>
          </cell>
          <cell r="J479">
            <v>16.5</v>
          </cell>
          <cell r="K479">
            <v>10.75</v>
          </cell>
          <cell r="L479">
            <v>7.6908890750000003</v>
          </cell>
          <cell r="M479">
            <v>1.77</v>
          </cell>
          <cell r="N479">
            <v>5.8554400249999992</v>
          </cell>
          <cell r="O479">
            <v>0</v>
          </cell>
          <cell r="P479">
            <v>2.1553783000000002</v>
          </cell>
          <cell r="Q479">
            <v>12.93</v>
          </cell>
          <cell r="R479">
            <v>23.164999999999999</v>
          </cell>
          <cell r="S479">
            <v>34.224775825000002</v>
          </cell>
          <cell r="T479">
            <v>34.224775825000002</v>
          </cell>
          <cell r="U479">
            <v>38.934775825000003</v>
          </cell>
          <cell r="V479">
            <v>55.434775825000003</v>
          </cell>
          <cell r="W479">
            <v>66.184775825000003</v>
          </cell>
          <cell r="X479">
            <v>73.875664900000004</v>
          </cell>
          <cell r="Y479">
            <v>75.6456649</v>
          </cell>
          <cell r="Z479">
            <v>81.501104924999993</v>
          </cell>
          <cell r="AA479">
            <v>81.501104924999993</v>
          </cell>
          <cell r="AB479">
            <v>83.656483224999988</v>
          </cell>
        </row>
        <row r="480">
          <cell r="D480" t="str">
            <v>Trade, MRF Schemes &amp; Rate Matching</v>
          </cell>
          <cell r="E480">
            <v>12.93</v>
          </cell>
          <cell r="F480">
            <v>10.234999999999999</v>
          </cell>
          <cell r="G480">
            <v>11.059775825000001</v>
          </cell>
          <cell r="H480">
            <v>0</v>
          </cell>
          <cell r="I480">
            <v>4.71</v>
          </cell>
          <cell r="J480">
            <v>16.5</v>
          </cell>
          <cell r="K480">
            <v>10.75</v>
          </cell>
          <cell r="L480">
            <v>7.6908890750000003</v>
          </cell>
          <cell r="M480">
            <v>1.77</v>
          </cell>
          <cell r="N480">
            <v>5.8554400249999992</v>
          </cell>
          <cell r="O480">
            <v>0</v>
          </cell>
          <cell r="P480">
            <v>2.1553783000000002</v>
          </cell>
          <cell r="Q480">
            <v>12.93</v>
          </cell>
          <cell r="R480">
            <v>23.164999999999999</v>
          </cell>
          <cell r="S480">
            <v>34.224775825000002</v>
          </cell>
          <cell r="T480">
            <v>34.224775825000002</v>
          </cell>
          <cell r="U480">
            <v>38.934775825000003</v>
          </cell>
          <cell r="V480">
            <v>55.434775825000003</v>
          </cell>
          <cell r="W480">
            <v>66.184775825000003</v>
          </cell>
          <cell r="X480">
            <v>73.875664900000004</v>
          </cell>
          <cell r="Y480">
            <v>75.6456649</v>
          </cell>
          <cell r="Z480">
            <v>81.501104924999993</v>
          </cell>
          <cell r="AA480">
            <v>81.501104924999993</v>
          </cell>
          <cell r="AB480">
            <v>83.656483224999988</v>
          </cell>
        </row>
        <row r="481">
          <cell r="D481" t="str">
            <v>Field Related Costs</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row>
        <row r="482">
          <cell r="D482" t="str">
            <v>Marketing Support (Adv. + SP)</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row>
        <row r="483">
          <cell r="D483" t="str">
            <v>Other Mktg. Costs</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row>
        <row r="484">
          <cell r="D484" t="str">
            <v>Sales &amp; Distribution Exp</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row>
        <row r="486">
          <cell r="D486" t="str">
            <v>Total Overheads (a+b)</v>
          </cell>
          <cell r="E486">
            <v>12.93</v>
          </cell>
          <cell r="F486">
            <v>10.234999999999999</v>
          </cell>
          <cell r="G486">
            <v>11.059775825000001</v>
          </cell>
          <cell r="H486">
            <v>0</v>
          </cell>
          <cell r="I486">
            <v>4.71</v>
          </cell>
          <cell r="J486">
            <v>16.75</v>
          </cell>
          <cell r="K486">
            <v>11</v>
          </cell>
          <cell r="L486">
            <v>7.9408890750000003</v>
          </cell>
          <cell r="M486">
            <v>1.77</v>
          </cell>
          <cell r="N486">
            <v>5.8554400249999992</v>
          </cell>
          <cell r="O486">
            <v>0</v>
          </cell>
          <cell r="P486">
            <v>2.1553783000000002</v>
          </cell>
          <cell r="Q486">
            <v>12.93</v>
          </cell>
          <cell r="R486">
            <v>23.164999999999999</v>
          </cell>
          <cell r="S486">
            <v>34.224775825000002</v>
          </cell>
          <cell r="T486">
            <v>34.224775825000002</v>
          </cell>
          <cell r="U486">
            <v>38.934775825000003</v>
          </cell>
          <cell r="V486">
            <v>55.684775825000003</v>
          </cell>
          <cell r="W486">
            <v>66.684775825000003</v>
          </cell>
          <cell r="X486">
            <v>74.625664900000004</v>
          </cell>
          <cell r="Y486">
            <v>76.3956649</v>
          </cell>
          <cell r="Z486">
            <v>82.251104924999993</v>
          </cell>
          <cell r="AA486">
            <v>82.251104924999993</v>
          </cell>
          <cell r="AB486">
            <v>84.406483224999988</v>
          </cell>
        </row>
        <row r="487">
          <cell r="D487" t="str">
            <v>OPERATING PROFIT (LOSS)</v>
          </cell>
          <cell r="E487">
            <v>15.649999999999999</v>
          </cell>
          <cell r="F487">
            <v>16.184999999999999</v>
          </cell>
          <cell r="G487">
            <v>12.936791683000001</v>
          </cell>
          <cell r="H487">
            <v>0</v>
          </cell>
          <cell r="I487">
            <v>4.7094826804020089</v>
          </cell>
          <cell r="J487">
            <v>25.536243853729786</v>
          </cell>
          <cell r="K487">
            <v>15.537275829530209</v>
          </cell>
          <cell r="L487">
            <v>10.793806746379012</v>
          </cell>
          <cell r="M487">
            <v>3.31</v>
          </cell>
          <cell r="N487">
            <v>7.8859981677279967</v>
          </cell>
          <cell r="O487">
            <v>0</v>
          </cell>
          <cell r="P487">
            <v>3.2324786560000009</v>
          </cell>
          <cell r="Q487">
            <v>15.649999999999999</v>
          </cell>
          <cell r="R487">
            <v>31.834999999999997</v>
          </cell>
          <cell r="S487">
            <v>44.771791682999996</v>
          </cell>
          <cell r="T487">
            <v>44.771791682999996</v>
          </cell>
          <cell r="U487">
            <v>49.481274363402008</v>
          </cell>
          <cell r="V487">
            <v>75.017518217131794</v>
          </cell>
          <cell r="W487">
            <v>90.55479404666201</v>
          </cell>
          <cell r="X487">
            <v>101.34860079304102</v>
          </cell>
          <cell r="Y487">
            <v>104.65860079304102</v>
          </cell>
          <cell r="Z487">
            <v>112.54459896076901</v>
          </cell>
          <cell r="AA487">
            <v>112.54459896076901</v>
          </cell>
          <cell r="AB487">
            <v>115.77707761676901</v>
          </cell>
        </row>
      </sheetData>
      <sheetData sheetId="1"/>
      <sheetData sheetId="2">
        <row r="3">
          <cell r="O3">
            <v>0</v>
          </cell>
        </row>
      </sheetData>
      <sheetData sheetId="3"/>
      <sheetData sheetId="4"/>
      <sheetData sheetId="5"/>
      <sheetData sheetId="6"/>
      <sheetData sheetId="7">
        <row r="6">
          <cell r="BN6" t="str">
            <v>Actual</v>
          </cell>
          <cell r="BO6" t="str">
            <v>Actual</v>
          </cell>
          <cell r="BP6" t="str">
            <v>Actual</v>
          </cell>
          <cell r="BQ6" t="str">
            <v>Actual</v>
          </cell>
          <cell r="BR6" t="str">
            <v>Actual</v>
          </cell>
          <cell r="BS6" t="str">
            <v>Actual</v>
          </cell>
          <cell r="BT6" t="str">
            <v>Actual</v>
          </cell>
          <cell r="BU6" t="str">
            <v>Actual</v>
          </cell>
          <cell r="BV6" t="str">
            <v>Actual</v>
          </cell>
          <cell r="BW6" t="str">
            <v>Actual</v>
          </cell>
          <cell r="BX6" t="str">
            <v>Actual</v>
          </cell>
          <cell r="BY6" t="str">
            <v>Actual</v>
          </cell>
          <cell r="BZ6" t="str">
            <v>Cum_Actu</v>
          </cell>
          <cell r="CA6" t="str">
            <v>Cum_Actu</v>
          </cell>
          <cell r="CB6" t="str">
            <v>Cum_Actu</v>
          </cell>
          <cell r="CC6" t="str">
            <v>Cum_Actu</v>
          </cell>
          <cell r="CD6" t="str">
            <v>Cum_Actu</v>
          </cell>
          <cell r="CE6" t="str">
            <v>Cum_Actu</v>
          </cell>
          <cell r="CF6" t="str">
            <v>Cum_Actu</v>
          </cell>
          <cell r="CG6" t="str">
            <v>Cum_Actu</v>
          </cell>
          <cell r="CH6" t="str">
            <v>Cum_Actu</v>
          </cell>
          <cell r="CI6" t="str">
            <v>Cum_Actu</v>
          </cell>
          <cell r="CJ6" t="str">
            <v>Cum_Actu</v>
          </cell>
          <cell r="CK6" t="str">
            <v>Cum_Actu</v>
          </cell>
        </row>
        <row r="7">
          <cell r="BM7" t="str">
            <v>CODE</v>
          </cell>
          <cell r="BN7">
            <v>41285</v>
          </cell>
          <cell r="BO7">
            <v>41316</v>
          </cell>
          <cell r="BP7">
            <v>41344</v>
          </cell>
          <cell r="BQ7">
            <v>41375</v>
          </cell>
          <cell r="BR7">
            <v>41405</v>
          </cell>
          <cell r="BS7">
            <v>41436</v>
          </cell>
          <cell r="BT7">
            <v>41466</v>
          </cell>
          <cell r="BU7">
            <v>41497</v>
          </cell>
          <cell r="BV7">
            <v>41528</v>
          </cell>
          <cell r="BW7">
            <v>41558</v>
          </cell>
          <cell r="BX7">
            <v>41589</v>
          </cell>
          <cell r="BY7">
            <v>41619</v>
          </cell>
          <cell r="BZ7">
            <v>41285</v>
          </cell>
          <cell r="CA7">
            <v>41316</v>
          </cell>
          <cell r="CB7">
            <v>41344</v>
          </cell>
          <cell r="CC7">
            <v>41375</v>
          </cell>
          <cell r="CD7">
            <v>41405</v>
          </cell>
          <cell r="CE7">
            <v>41436</v>
          </cell>
          <cell r="CF7">
            <v>41466</v>
          </cell>
          <cell r="CG7">
            <v>41497</v>
          </cell>
          <cell r="CH7">
            <v>41528</v>
          </cell>
          <cell r="CI7">
            <v>41558</v>
          </cell>
          <cell r="CJ7">
            <v>41589</v>
          </cell>
          <cell r="CK7">
            <v>41619</v>
          </cell>
        </row>
        <row r="8">
          <cell r="BM8" t="str">
            <v>LM01</v>
          </cell>
          <cell r="BN8">
            <v>0.1125</v>
          </cell>
          <cell r="BO8">
            <v>8.2500000000000004E-2</v>
          </cell>
          <cell r="BP8">
            <v>8.2500000000000004E-2</v>
          </cell>
          <cell r="BQ8">
            <v>0.10250000000000001</v>
          </cell>
          <cell r="BR8">
            <v>9.2499999999999999E-2</v>
          </cell>
          <cell r="BS8">
            <v>9.2499999999999999E-2</v>
          </cell>
          <cell r="BT8">
            <v>9.2499999999999999E-2</v>
          </cell>
          <cell r="BU8">
            <v>9.2499999999999999E-2</v>
          </cell>
          <cell r="BV8">
            <v>9.2499999999999999E-2</v>
          </cell>
          <cell r="BW8">
            <v>9.2499999999999999E-2</v>
          </cell>
          <cell r="BX8">
            <v>9.2499999999999999E-2</v>
          </cell>
          <cell r="BY8">
            <v>9.2499999999999999E-2</v>
          </cell>
          <cell r="BZ8">
            <v>0.1125</v>
          </cell>
          <cell r="CA8">
            <v>0.19500000000000001</v>
          </cell>
          <cell r="CB8">
            <v>0.27750000000000002</v>
          </cell>
          <cell r="CC8">
            <v>0.38</v>
          </cell>
          <cell r="CD8">
            <v>0.47250000000000003</v>
          </cell>
          <cell r="CE8">
            <v>0.56500000000000006</v>
          </cell>
          <cell r="CF8">
            <v>0.65750000000000008</v>
          </cell>
          <cell r="CG8">
            <v>0.75000000000000011</v>
          </cell>
          <cell r="CH8">
            <v>0.84250000000000014</v>
          </cell>
          <cell r="CI8">
            <v>0.93500000000000016</v>
          </cell>
          <cell r="CJ8">
            <v>1.0275000000000001</v>
          </cell>
          <cell r="CK8">
            <v>1.1200000000000001</v>
          </cell>
        </row>
        <row r="9">
          <cell r="BM9" t="str">
            <v>LM02</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BM10" t="str">
            <v>LM03</v>
          </cell>
          <cell r="BN10">
            <v>1.5</v>
          </cell>
          <cell r="BO10">
            <v>1.5</v>
          </cell>
          <cell r="BP10">
            <v>1.5</v>
          </cell>
          <cell r="BQ10">
            <v>1.5</v>
          </cell>
          <cell r="BR10">
            <v>1.5</v>
          </cell>
          <cell r="BS10">
            <v>1.5</v>
          </cell>
          <cell r="BT10">
            <v>1.5</v>
          </cell>
          <cell r="BU10">
            <v>1.5</v>
          </cell>
          <cell r="BV10">
            <v>1.5</v>
          </cell>
          <cell r="BW10">
            <v>1.5</v>
          </cell>
          <cell r="BX10">
            <v>1.5</v>
          </cell>
          <cell r="BY10">
            <v>1.5</v>
          </cell>
          <cell r="BZ10">
            <v>1.5</v>
          </cell>
          <cell r="CA10">
            <v>3</v>
          </cell>
          <cell r="CB10">
            <v>4.5</v>
          </cell>
          <cell r="CC10">
            <v>6</v>
          </cell>
          <cell r="CD10">
            <v>7.5</v>
          </cell>
          <cell r="CE10">
            <v>9</v>
          </cell>
          <cell r="CF10">
            <v>10.5</v>
          </cell>
          <cell r="CG10">
            <v>12</v>
          </cell>
          <cell r="CH10">
            <v>13.5</v>
          </cell>
          <cell r="CI10">
            <v>15</v>
          </cell>
          <cell r="CJ10">
            <v>16.5</v>
          </cell>
          <cell r="CK10">
            <v>18</v>
          </cell>
        </row>
        <row r="11">
          <cell r="BM11" t="str">
            <v>LM04</v>
          </cell>
          <cell r="BN11">
            <v>0.64083333333333325</v>
          </cell>
          <cell r="BO11">
            <v>0.64083333333333325</v>
          </cell>
          <cell r="BP11">
            <v>0.64083333333333325</v>
          </cell>
          <cell r="BQ11">
            <v>0.64083333333333325</v>
          </cell>
          <cell r="BR11">
            <v>0.64083333333333325</v>
          </cell>
          <cell r="BS11">
            <v>0.64083333333333325</v>
          </cell>
          <cell r="BT11">
            <v>1.210833333333333</v>
          </cell>
          <cell r="BU11">
            <v>1.1108333333333329</v>
          </cell>
          <cell r="BV11">
            <v>0.64083333333333325</v>
          </cell>
          <cell r="BW11">
            <v>0.64083333333333325</v>
          </cell>
          <cell r="BX11">
            <v>0.64083333333333325</v>
          </cell>
          <cell r="BY11">
            <v>0.64083333333333325</v>
          </cell>
          <cell r="BZ11">
            <v>0.64083333333333325</v>
          </cell>
          <cell r="CA11">
            <v>1.2816666666666665</v>
          </cell>
          <cell r="CB11">
            <v>1.9224999999999999</v>
          </cell>
          <cell r="CC11">
            <v>2.563333333333333</v>
          </cell>
          <cell r="CD11">
            <v>3.2041666666666662</v>
          </cell>
          <cell r="CE11">
            <v>3.8449999999999993</v>
          </cell>
          <cell r="CF11">
            <v>5.0558333333333323</v>
          </cell>
          <cell r="CG11">
            <v>6.1666666666666652</v>
          </cell>
          <cell r="CH11">
            <v>6.8074999999999983</v>
          </cell>
          <cell r="CI11">
            <v>7.4483333333333315</v>
          </cell>
          <cell r="CJ11">
            <v>8.0891666666666655</v>
          </cell>
          <cell r="CK11">
            <v>8.7299999999999986</v>
          </cell>
        </row>
        <row r="12">
          <cell r="BM12" t="str">
            <v>LM05</v>
          </cell>
          <cell r="BN12">
            <v>0.81166666666666665</v>
          </cell>
          <cell r="BO12">
            <v>0.67166666666666663</v>
          </cell>
          <cell r="BP12">
            <v>0.67166666666666663</v>
          </cell>
          <cell r="BQ12">
            <v>0.67166666666666663</v>
          </cell>
          <cell r="BR12">
            <v>0.67166666666666663</v>
          </cell>
          <cell r="BS12">
            <v>10.941666666666666</v>
          </cell>
          <cell r="BT12">
            <v>0.17166666666666697</v>
          </cell>
          <cell r="BU12">
            <v>0.20166666666666699</v>
          </cell>
          <cell r="BV12">
            <v>0.67166666666666663</v>
          </cell>
          <cell r="BW12">
            <v>0.67166666666666663</v>
          </cell>
          <cell r="BX12">
            <v>0.67166666666666663</v>
          </cell>
          <cell r="BY12">
            <v>0.37</v>
          </cell>
          <cell r="BZ12">
            <v>0.81166666666666665</v>
          </cell>
          <cell r="CA12">
            <v>1.4833333333333334</v>
          </cell>
          <cell r="CB12">
            <v>2.1550000000000002</v>
          </cell>
          <cell r="CC12">
            <v>2.8266666666666671</v>
          </cell>
          <cell r="CD12">
            <v>3.498333333333334</v>
          </cell>
          <cell r="CE12">
            <v>14.440000000000001</v>
          </cell>
          <cell r="CF12">
            <v>14.611666666666668</v>
          </cell>
          <cell r="CG12">
            <v>14.813333333333334</v>
          </cell>
          <cell r="CH12">
            <v>15.485000000000001</v>
          </cell>
          <cell r="CI12">
            <v>16.156666666666666</v>
          </cell>
          <cell r="CJ12">
            <v>16.828333333333333</v>
          </cell>
          <cell r="CK12">
            <v>17.198333333333334</v>
          </cell>
        </row>
        <row r="13">
          <cell r="BM13" t="str">
            <v>LM06</v>
          </cell>
          <cell r="BN13">
            <v>0.58333333333333337</v>
          </cell>
          <cell r="BO13">
            <v>0.58333333333333337</v>
          </cell>
          <cell r="BP13">
            <v>0.58333333333333337</v>
          </cell>
          <cell r="BQ13">
            <v>0.58333333333333337</v>
          </cell>
          <cell r="BR13">
            <v>0.58333333333333337</v>
          </cell>
          <cell r="BS13">
            <v>0.58333333333333337</v>
          </cell>
          <cell r="BT13">
            <v>0.51333333333333298</v>
          </cell>
          <cell r="BU13">
            <v>1.3333333333333086E-2</v>
          </cell>
          <cell r="BV13">
            <v>0.22333333333333305</v>
          </cell>
          <cell r="BW13">
            <v>0.58333333333333337</v>
          </cell>
          <cell r="BX13">
            <v>0.58333333333333337</v>
          </cell>
          <cell r="BY13">
            <v>-0.95000000000000007</v>
          </cell>
          <cell r="BZ13">
            <v>0.58333333333333337</v>
          </cell>
          <cell r="CA13">
            <v>1.1666666666666667</v>
          </cell>
          <cell r="CB13">
            <v>1.75</v>
          </cell>
          <cell r="CC13">
            <v>2.3333333333333335</v>
          </cell>
          <cell r="CD13">
            <v>2.916666666666667</v>
          </cell>
          <cell r="CE13">
            <v>3.5000000000000004</v>
          </cell>
          <cell r="CF13">
            <v>4.0133333333333336</v>
          </cell>
          <cell r="CG13">
            <v>4.0266666666666664</v>
          </cell>
          <cell r="CH13">
            <v>4.2499999999999991</v>
          </cell>
          <cell r="CI13">
            <v>4.8333333333333321</v>
          </cell>
          <cell r="CJ13">
            <v>5.4166666666666652</v>
          </cell>
          <cell r="CK13">
            <v>4.466666666666665</v>
          </cell>
        </row>
        <row r="14">
          <cell r="BM14" t="str">
            <v>LM07</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BM15" t="str">
            <v>LM08</v>
          </cell>
          <cell r="BN15">
            <v>0.59922921208866298</v>
          </cell>
          <cell r="BO15">
            <v>0.56706420705125482</v>
          </cell>
          <cell r="BP15">
            <v>0.50835734694790458</v>
          </cell>
          <cell r="BQ15">
            <v>0.44681534342032619</v>
          </cell>
          <cell r="BR15">
            <v>0.47484408589381183</v>
          </cell>
          <cell r="BS15">
            <v>0.51101911884214202</v>
          </cell>
          <cell r="BT15">
            <v>0.42638555601568207</v>
          </cell>
          <cell r="BU15">
            <v>0.49908250612600402</v>
          </cell>
          <cell r="BV15">
            <v>0.53890857603603293</v>
          </cell>
          <cell r="BW15">
            <v>0.38270556856868398</v>
          </cell>
          <cell r="BX15">
            <v>0.53404650885195193</v>
          </cell>
          <cell r="BY15">
            <v>1.1985722373318699</v>
          </cell>
          <cell r="BZ15">
            <v>0.59922921208866298</v>
          </cell>
          <cell r="CA15">
            <v>1.1662934191399179</v>
          </cell>
          <cell r="CB15">
            <v>1.6746507660878225</v>
          </cell>
          <cell r="CC15">
            <v>2.1214661095081486</v>
          </cell>
          <cell r="CD15">
            <v>2.5963101954019603</v>
          </cell>
          <cell r="CE15">
            <v>3.1073293142441023</v>
          </cell>
          <cell r="CF15">
            <v>3.5337148702597845</v>
          </cell>
          <cell r="CG15">
            <v>4.0327973763857887</v>
          </cell>
          <cell r="CH15">
            <v>4.571705952421822</v>
          </cell>
          <cell r="CI15">
            <v>4.9544115209905062</v>
          </cell>
          <cell r="CJ15">
            <v>5.4884580298424579</v>
          </cell>
          <cell r="CK15">
            <v>6.687030267174328</v>
          </cell>
        </row>
        <row r="16">
          <cell r="BM16" t="str">
            <v>LM09</v>
          </cell>
          <cell r="BN16">
            <v>12.484521597603928</v>
          </cell>
          <cell r="BO16">
            <v>11.796208218061599</v>
          </cell>
          <cell r="BP16">
            <v>-0.58563416993757222</v>
          </cell>
          <cell r="BQ16">
            <v>9.3336655793979588</v>
          </cell>
          <cell r="BR16">
            <v>10.001345510702613</v>
          </cell>
          <cell r="BS16">
            <v>0.48880637581819997</v>
          </cell>
          <cell r="BT16">
            <v>-3.3691158212653995</v>
          </cell>
          <cell r="BU16">
            <v>10.3660594199767</v>
          </cell>
          <cell r="BV16">
            <v>11.2355242428764</v>
          </cell>
          <cell r="BW16">
            <v>7.8902224940008008</v>
          </cell>
          <cell r="BX16">
            <v>11.169024432660201</v>
          </cell>
          <cell r="BY16">
            <v>-15.929907255723801</v>
          </cell>
          <cell r="BZ16">
            <v>12.484521597603928</v>
          </cell>
          <cell r="CA16">
            <v>24.280729815665527</v>
          </cell>
          <cell r="CB16">
            <v>23.695095645727953</v>
          </cell>
          <cell r="CC16">
            <v>33.028761225125912</v>
          </cell>
          <cell r="CD16">
            <v>43.030106735828525</v>
          </cell>
          <cell r="CE16">
            <v>43.518913111646725</v>
          </cell>
          <cell r="CF16">
            <v>40.149797290381329</v>
          </cell>
          <cell r="CG16">
            <v>50.51585671035803</v>
          </cell>
          <cell r="CH16">
            <v>61.751380953234431</v>
          </cell>
          <cell r="CI16">
            <v>69.641603447235227</v>
          </cell>
          <cell r="CJ16">
            <v>80.810627879895435</v>
          </cell>
          <cell r="CK16">
            <v>64.88072062417163</v>
          </cell>
        </row>
        <row r="17">
          <cell r="BM17" t="str">
            <v>LM10</v>
          </cell>
          <cell r="BN17">
            <v>21.87</v>
          </cell>
          <cell r="BO17">
            <v>18.87</v>
          </cell>
          <cell r="BP17">
            <v>15.31</v>
          </cell>
          <cell r="BQ17">
            <v>18.87</v>
          </cell>
          <cell r="BR17">
            <v>18.87</v>
          </cell>
          <cell r="BS17">
            <v>18.87</v>
          </cell>
          <cell r="BT17">
            <v>18.87</v>
          </cell>
          <cell r="BU17">
            <v>20.48</v>
          </cell>
          <cell r="BV17">
            <v>22.79</v>
          </cell>
          <cell r="BW17">
            <v>20.79</v>
          </cell>
          <cell r="BX17">
            <v>20.79</v>
          </cell>
          <cell r="BY17">
            <v>16.660000000000004</v>
          </cell>
          <cell r="BZ17">
            <v>21.87</v>
          </cell>
          <cell r="CA17">
            <v>40.74</v>
          </cell>
          <cell r="CB17">
            <v>56.050000000000004</v>
          </cell>
          <cell r="CC17">
            <v>74.92</v>
          </cell>
          <cell r="CD17">
            <v>93.79</v>
          </cell>
          <cell r="CE17">
            <v>112.66000000000001</v>
          </cell>
          <cell r="CF17">
            <v>131.53</v>
          </cell>
          <cell r="CG17">
            <v>152.01</v>
          </cell>
          <cell r="CH17">
            <v>174.79999999999998</v>
          </cell>
          <cell r="CI17">
            <v>195.58999999999997</v>
          </cell>
          <cell r="CJ17">
            <v>216.37999999999997</v>
          </cell>
          <cell r="CK17">
            <v>233.03999999999996</v>
          </cell>
        </row>
        <row r="18">
          <cell r="BM18" t="str">
            <v>LM11</v>
          </cell>
          <cell r="BN18">
            <v>365</v>
          </cell>
          <cell r="BO18">
            <v>20</v>
          </cell>
          <cell r="BP18">
            <v>-2</v>
          </cell>
          <cell r="BQ18">
            <v>138</v>
          </cell>
          <cell r="BR18">
            <v>4</v>
          </cell>
          <cell r="BS18">
            <v>14</v>
          </cell>
          <cell r="BT18">
            <v>5.3000000000000007</v>
          </cell>
          <cell r="BU18">
            <v>69.5</v>
          </cell>
          <cell r="BV18">
            <v>-22.000000000000007</v>
          </cell>
          <cell r="BW18">
            <v>97</v>
          </cell>
          <cell r="BX18">
            <v>-27</v>
          </cell>
          <cell r="BY18">
            <v>-13.9</v>
          </cell>
          <cell r="BZ18">
            <v>365</v>
          </cell>
          <cell r="CA18">
            <v>385</v>
          </cell>
          <cell r="CB18">
            <v>383</v>
          </cell>
          <cell r="CC18">
            <v>521</v>
          </cell>
          <cell r="CD18">
            <v>525</v>
          </cell>
          <cell r="CE18">
            <v>539</v>
          </cell>
          <cell r="CF18">
            <v>544.29999999999995</v>
          </cell>
          <cell r="CG18">
            <v>613.79999999999995</v>
          </cell>
          <cell r="CH18">
            <v>591.79999999999995</v>
          </cell>
          <cell r="CI18">
            <v>688.8</v>
          </cell>
          <cell r="CJ18">
            <v>661.8</v>
          </cell>
          <cell r="CK18">
            <v>647.9</v>
          </cell>
        </row>
        <row r="19">
          <cell r="BM19" t="str">
            <v>LM12</v>
          </cell>
          <cell r="BN19">
            <v>128.30122981629449</v>
          </cell>
          <cell r="BO19">
            <v>177.9493707851112</v>
          </cell>
          <cell r="BP19">
            <v>137.63064475460763</v>
          </cell>
          <cell r="BQ19">
            <v>116.41021953880147</v>
          </cell>
          <cell r="BR19">
            <v>124.21493099569348</v>
          </cell>
          <cell r="BS19">
            <v>133.60935985654851</v>
          </cell>
          <cell r="BT19">
            <v>50.664228178934003</v>
          </cell>
          <cell r="BU19">
            <v>95.357301643929702</v>
          </cell>
          <cell r="BV19">
            <v>70.449381101809408</v>
          </cell>
          <cell r="BW19">
            <v>57.275557167801601</v>
          </cell>
          <cell r="BX19">
            <v>74.45319578696801</v>
          </cell>
          <cell r="BY19">
            <v>77.87</v>
          </cell>
          <cell r="BZ19">
            <v>128.30122981629449</v>
          </cell>
          <cell r="CA19">
            <v>306.25060060140572</v>
          </cell>
          <cell r="CB19">
            <v>443.88124535601332</v>
          </cell>
          <cell r="CC19">
            <v>560.29146489481479</v>
          </cell>
          <cell r="CD19">
            <v>684.50639589050832</v>
          </cell>
          <cell r="CE19">
            <v>818.11575574705682</v>
          </cell>
          <cell r="CF19">
            <v>868.77998392599079</v>
          </cell>
          <cell r="CG19">
            <v>964.13728556992055</v>
          </cell>
          <cell r="CH19">
            <v>1034.58666667173</v>
          </cell>
          <cell r="CI19">
            <v>1091.8622238395317</v>
          </cell>
          <cell r="CJ19">
            <v>1166.3154196264998</v>
          </cell>
          <cell r="CK19">
            <v>1244.1854196264999</v>
          </cell>
        </row>
        <row r="20">
          <cell r="BM20" t="str">
            <v>LM13</v>
          </cell>
          <cell r="BN20">
            <v>5.2649760640735241</v>
          </cell>
          <cell r="BO20">
            <v>4.9770438072836258</v>
          </cell>
          <cell r="BP20">
            <v>4.4803001553992292</v>
          </cell>
          <cell r="BQ20">
            <v>3.9452927614747328</v>
          </cell>
          <cell r="BR20">
            <v>4.226059376550765</v>
          </cell>
          <cell r="BS20">
            <v>4.5419030297944492</v>
          </cell>
          <cell r="BT20">
            <v>23.349203661872739</v>
          </cell>
          <cell r="BU20">
            <v>4.3211166026681394</v>
          </cell>
          <cell r="BV20">
            <v>30.598433112671579</v>
          </cell>
          <cell r="BW20">
            <v>19.50446678136646</v>
          </cell>
          <cell r="BX20">
            <v>30.101418785987121</v>
          </cell>
          <cell r="BY20">
            <v>63.470000000000006</v>
          </cell>
          <cell r="BZ20">
            <v>5.2649760640735241</v>
          </cell>
          <cell r="CA20">
            <v>10.242019871357151</v>
          </cell>
          <cell r="CB20">
            <v>14.72232002675638</v>
          </cell>
          <cell r="CC20">
            <v>18.667612788231114</v>
          </cell>
          <cell r="CD20">
            <v>22.893672164781879</v>
          </cell>
          <cell r="CE20">
            <v>27.43557519457633</v>
          </cell>
          <cell r="CF20">
            <v>50.784778856449066</v>
          </cell>
          <cell r="CG20">
            <v>55.105895459117207</v>
          </cell>
          <cell r="CH20">
            <v>85.704328571788778</v>
          </cell>
          <cell r="CI20">
            <v>105.20879535315524</v>
          </cell>
          <cell r="CJ20">
            <v>135.31021413914237</v>
          </cell>
          <cell r="CK20">
            <v>198.78021413914237</v>
          </cell>
        </row>
        <row r="21">
          <cell r="BM21" t="str">
            <v>LM14</v>
          </cell>
          <cell r="BN21">
            <v>3.0676366638179156</v>
          </cell>
          <cell r="BO21">
            <v>2.89855964681175</v>
          </cell>
          <cell r="BP21">
            <v>22.613869568405175</v>
          </cell>
          <cell r="BQ21">
            <v>2.2926805237503465</v>
          </cell>
          <cell r="BR21">
            <v>2.4538899983930156</v>
          </cell>
          <cell r="BS21">
            <v>2.6488591940570103</v>
          </cell>
          <cell r="BT21">
            <v>12.996403738841551</v>
          </cell>
          <cell r="BU21">
            <v>17.871573925248509</v>
          </cell>
          <cell r="BV21">
            <v>2.5386457885035298</v>
          </cell>
          <cell r="BW21">
            <v>1.59344451123749</v>
          </cell>
          <cell r="BX21">
            <v>2.5109466826029396</v>
          </cell>
          <cell r="BY21">
            <v>2.8100000000000005</v>
          </cell>
          <cell r="BZ21">
            <v>3.0676366638179156</v>
          </cell>
          <cell r="CA21">
            <v>5.966196310629666</v>
          </cell>
          <cell r="CB21">
            <v>28.580065879034841</v>
          </cell>
          <cell r="CC21">
            <v>30.872746402785186</v>
          </cell>
          <cell r="CD21">
            <v>33.326636401178199</v>
          </cell>
          <cell r="CE21">
            <v>35.975495595235209</v>
          </cell>
          <cell r="CF21">
            <v>48.97189933407676</v>
          </cell>
          <cell r="CG21">
            <v>66.843473259325265</v>
          </cell>
          <cell r="CH21">
            <v>69.382119047828795</v>
          </cell>
          <cell r="CI21">
            <v>70.975563559066288</v>
          </cell>
          <cell r="CJ21">
            <v>73.486510241669222</v>
          </cell>
          <cell r="CK21">
            <v>76.296510241669225</v>
          </cell>
        </row>
        <row r="22">
          <cell r="BM22" t="str">
            <v>LM15</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BM23" t="str">
            <v>LM16</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BM24" t="str">
            <v>LM17</v>
          </cell>
          <cell r="BN24">
            <v>0.29916666666666664</v>
          </cell>
          <cell r="BO24">
            <v>0.29916666666666664</v>
          </cell>
          <cell r="BP24">
            <v>0.29916666666666664</v>
          </cell>
          <cell r="BQ24">
            <v>0.29916666666666664</v>
          </cell>
          <cell r="BR24">
            <v>0.29916666666666664</v>
          </cell>
          <cell r="BS24">
            <v>0.29916666666666664</v>
          </cell>
          <cell r="BT24">
            <v>1.1991666666666672</v>
          </cell>
          <cell r="BU24">
            <v>1.1991666666666672</v>
          </cell>
          <cell r="BV24">
            <v>1.1991666666666672</v>
          </cell>
          <cell r="BW24">
            <v>1.1991666666666672</v>
          </cell>
          <cell r="BX24">
            <v>0.29916666666666664</v>
          </cell>
          <cell r="BY24">
            <v>1.1991666666666672</v>
          </cell>
          <cell r="BZ24">
            <v>0.29916666666666664</v>
          </cell>
          <cell r="CA24">
            <v>0.59833333333333327</v>
          </cell>
          <cell r="CB24">
            <v>0.89749999999999996</v>
          </cell>
          <cell r="CC24">
            <v>1.1966666666666665</v>
          </cell>
          <cell r="CD24">
            <v>1.4958333333333331</v>
          </cell>
          <cell r="CE24">
            <v>1.7949999999999997</v>
          </cell>
          <cell r="CF24">
            <v>2.9941666666666666</v>
          </cell>
          <cell r="CG24">
            <v>4.1933333333333334</v>
          </cell>
          <cell r="CH24">
            <v>5.3925000000000001</v>
          </cell>
          <cell r="CI24">
            <v>6.5916666666666668</v>
          </cell>
          <cell r="CJ24">
            <v>6.8908333333333331</v>
          </cell>
          <cell r="CK24">
            <v>8.09</v>
          </cell>
        </row>
        <row r="25">
          <cell r="BM25" t="str">
            <v>LM18</v>
          </cell>
          <cell r="BN25">
            <v>3.0676366638179156</v>
          </cell>
          <cell r="BO25">
            <v>2.89855964681175</v>
          </cell>
          <cell r="BP25">
            <v>2.6138695684051738</v>
          </cell>
          <cell r="BQ25">
            <v>2.2926805237503465</v>
          </cell>
          <cell r="BR25">
            <v>2.4538899983930156</v>
          </cell>
          <cell r="BS25">
            <v>2.6488591940570103</v>
          </cell>
          <cell r="BT25">
            <v>2.0964037388415502</v>
          </cell>
          <cell r="BU25">
            <v>2.5115739252485101</v>
          </cell>
          <cell r="BV25">
            <v>2.5386457885035298</v>
          </cell>
          <cell r="BW25">
            <v>1.59344451123749</v>
          </cell>
          <cell r="BX25">
            <v>2.5109466826029396</v>
          </cell>
          <cell r="BY25">
            <v>2.52</v>
          </cell>
          <cell r="BZ25">
            <v>3.0676366638179156</v>
          </cell>
          <cell r="CA25">
            <v>5.966196310629666</v>
          </cell>
          <cell r="CB25">
            <v>8.5800658790348407</v>
          </cell>
          <cell r="CC25">
            <v>10.872746402785188</v>
          </cell>
          <cell r="CD25">
            <v>13.326636401178202</v>
          </cell>
          <cell r="CE25">
            <v>15.975495595235213</v>
          </cell>
          <cell r="CF25">
            <v>18.071899334076761</v>
          </cell>
          <cell r="CG25">
            <v>20.58347325932527</v>
          </cell>
          <cell r="CH25">
            <v>23.1221190478288</v>
          </cell>
          <cell r="CI25">
            <v>24.71556355906629</v>
          </cell>
          <cell r="CJ25">
            <v>27.226510241669228</v>
          </cell>
          <cell r="CK25">
            <v>29.746510241669228</v>
          </cell>
        </row>
        <row r="26">
          <cell r="BM26" t="str">
            <v>LM19</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row>
        <row r="27">
          <cell r="BM27" t="str">
            <v>LM20</v>
          </cell>
          <cell r="BN27">
            <v>0.5116666666666666</v>
          </cell>
          <cell r="BO27">
            <v>0.4416666666666666</v>
          </cell>
          <cell r="BP27">
            <v>0.4416666666666666</v>
          </cell>
          <cell r="BQ27">
            <v>0.4416666666666666</v>
          </cell>
          <cell r="BR27">
            <v>0.4416666666666666</v>
          </cell>
          <cell r="BS27">
            <v>0.4416666666666666</v>
          </cell>
          <cell r="BT27">
            <v>0.4416666666666666</v>
          </cell>
          <cell r="BU27">
            <v>0.4416666666666666</v>
          </cell>
          <cell r="BV27">
            <v>0.4416666666666666</v>
          </cell>
          <cell r="BW27">
            <v>0.4416666666666666</v>
          </cell>
          <cell r="BX27">
            <v>0.4416666666666666</v>
          </cell>
          <cell r="BY27">
            <v>-0.44</v>
          </cell>
          <cell r="BZ27">
            <v>0.5116666666666666</v>
          </cell>
          <cell r="CA27">
            <v>0.95333333333333314</v>
          </cell>
          <cell r="CB27">
            <v>1.3949999999999998</v>
          </cell>
          <cell r="CC27">
            <v>1.8366666666666664</v>
          </cell>
          <cell r="CD27">
            <v>2.2783333333333329</v>
          </cell>
          <cell r="CE27">
            <v>2.7199999999999993</v>
          </cell>
          <cell r="CF27">
            <v>3.1616666666666657</v>
          </cell>
          <cell r="CG27">
            <v>3.6033333333333322</v>
          </cell>
          <cell r="CH27">
            <v>4.044999999999999</v>
          </cell>
          <cell r="CI27">
            <v>4.4866666666666655</v>
          </cell>
          <cell r="CJ27">
            <v>4.9283333333333319</v>
          </cell>
          <cell r="CK27">
            <v>4.4883333333333315</v>
          </cell>
        </row>
        <row r="28">
          <cell r="BM28" t="str">
            <v>LM21</v>
          </cell>
          <cell r="BN28">
            <v>0.98809851644569369</v>
          </cell>
          <cell r="BO28">
            <v>0.898977004799144</v>
          </cell>
          <cell r="BP28">
            <v>0.88649460358903132</v>
          </cell>
          <cell r="BQ28">
            <v>0.74092111180613129</v>
          </cell>
          <cell r="BR28">
            <v>0.75243134437873893</v>
          </cell>
          <cell r="BS28">
            <v>0.90464687834006163</v>
          </cell>
          <cell r="BT28">
            <v>0.91234035464195085</v>
          </cell>
          <cell r="BU28">
            <v>0.93054306187975766</v>
          </cell>
          <cell r="BV28">
            <v>1.016311409892366</v>
          </cell>
          <cell r="BW28">
            <v>1.07910001865599</v>
          </cell>
          <cell r="BX28">
            <v>1.1957126941063385</v>
          </cell>
          <cell r="BY28">
            <v>1.2452097561748925</v>
          </cell>
          <cell r="BZ28">
            <v>0.98809851644569369</v>
          </cell>
          <cell r="CA28">
            <v>1.8870755212448378</v>
          </cell>
          <cell r="CB28">
            <v>2.7735701248338689</v>
          </cell>
          <cell r="CC28">
            <v>3.5144912366400001</v>
          </cell>
          <cell r="CD28">
            <v>4.266922581018739</v>
          </cell>
          <cell r="CE28">
            <v>5.1715694593588006</v>
          </cell>
          <cell r="CF28">
            <v>6.0839098140007515</v>
          </cell>
          <cell r="CG28">
            <v>7.0144528758805089</v>
          </cell>
          <cell r="CH28">
            <v>8.0307642857728752</v>
          </cell>
          <cell r="CI28">
            <v>9.1098643044288643</v>
          </cell>
          <cell r="CJ28">
            <v>10.305576998535203</v>
          </cell>
          <cell r="CK28">
            <v>11.550786754710096</v>
          </cell>
        </row>
        <row r="29">
          <cell r="BM29" t="str">
            <v>LM22</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row>
        <row r="30">
          <cell r="BM30" t="str">
            <v>LM23</v>
          </cell>
          <cell r="BN30">
            <v>11.1</v>
          </cell>
          <cell r="BO30">
            <v>0</v>
          </cell>
          <cell r="BP30">
            <v>0</v>
          </cell>
          <cell r="BQ30">
            <v>0</v>
          </cell>
          <cell r="BR30">
            <v>-11.1</v>
          </cell>
          <cell r="BS30">
            <v>0</v>
          </cell>
          <cell r="BT30">
            <v>0</v>
          </cell>
          <cell r="BU30">
            <v>0</v>
          </cell>
          <cell r="BV30">
            <v>0</v>
          </cell>
          <cell r="BW30">
            <v>0</v>
          </cell>
          <cell r="BX30">
            <v>0</v>
          </cell>
          <cell r="BY30">
            <v>0</v>
          </cell>
          <cell r="BZ30">
            <v>11.1</v>
          </cell>
          <cell r="CA30">
            <v>11.1</v>
          </cell>
          <cell r="CB30">
            <v>11.1</v>
          </cell>
          <cell r="CC30">
            <v>11.1</v>
          </cell>
          <cell r="CD30">
            <v>0</v>
          </cell>
          <cell r="CE30">
            <v>0</v>
          </cell>
          <cell r="CF30">
            <v>0</v>
          </cell>
          <cell r="CG30">
            <v>0</v>
          </cell>
          <cell r="CH30">
            <v>0</v>
          </cell>
          <cell r="CI30">
            <v>0</v>
          </cell>
          <cell r="CJ30">
            <v>0</v>
          </cell>
          <cell r="CK30">
            <v>0</v>
          </cell>
        </row>
        <row r="31">
          <cell r="BM31" t="str">
            <v>TTL</v>
          </cell>
          <cell r="BN31">
            <v>556.20249520080881</v>
          </cell>
          <cell r="BO31">
            <v>245.07494998259699</v>
          </cell>
          <cell r="BP31">
            <v>185.67706849408322</v>
          </cell>
          <cell r="BQ31">
            <v>296.57144204906797</v>
          </cell>
          <cell r="BR31">
            <v>160.57655797667215</v>
          </cell>
          <cell r="BS31">
            <v>192.72262031412404</v>
          </cell>
          <cell r="BT31">
            <v>116.37501607454874</v>
          </cell>
          <cell r="BU31">
            <v>226.39641775174394</v>
          </cell>
          <cell r="BV31">
            <v>124.47501668695952</v>
          </cell>
          <cell r="BW31">
            <v>212.23810771953518</v>
          </cell>
          <cell r="BX31">
            <v>120.49445824044615</v>
          </cell>
          <cell r="BY31">
            <v>138.35637473778297</v>
          </cell>
          <cell r="BZ31">
            <v>556.20249520080881</v>
          </cell>
          <cell r="CA31">
            <v>801.27744518340592</v>
          </cell>
          <cell r="CB31">
            <v>986.9545136774891</v>
          </cell>
          <cell r="CC31">
            <v>1283.5259557265567</v>
          </cell>
          <cell r="CD31">
            <v>1444.1025137032291</v>
          </cell>
          <cell r="CE31">
            <v>1636.8251340173535</v>
          </cell>
          <cell r="CF31">
            <v>1753.2001500919018</v>
          </cell>
          <cell r="CG31">
            <v>1979.5965678436457</v>
          </cell>
          <cell r="CH31">
            <v>2104.0715845306054</v>
          </cell>
          <cell r="CI31">
            <v>2316.3096922501409</v>
          </cell>
          <cell r="CJ31">
            <v>2436.8041504905868</v>
          </cell>
          <cell r="CK31">
            <v>2575.1605252283703</v>
          </cell>
        </row>
        <row r="40">
          <cell r="BN40" t="str">
            <v>Actual</v>
          </cell>
          <cell r="BO40" t="str">
            <v>Actual</v>
          </cell>
          <cell r="BP40" t="str">
            <v>Actual</v>
          </cell>
          <cell r="BQ40" t="str">
            <v>Actual</v>
          </cell>
          <cell r="BR40" t="str">
            <v>Actual</v>
          </cell>
          <cell r="BS40" t="str">
            <v>Actual</v>
          </cell>
          <cell r="BT40" t="str">
            <v>Actual</v>
          </cell>
          <cell r="BU40" t="str">
            <v>Actual</v>
          </cell>
          <cell r="BV40" t="str">
            <v>Actual</v>
          </cell>
          <cell r="BW40" t="str">
            <v>Actual</v>
          </cell>
          <cell r="BX40" t="str">
            <v>Actual</v>
          </cell>
          <cell r="BY40" t="str">
            <v>Actual</v>
          </cell>
          <cell r="BZ40" t="str">
            <v>Cum_Actu</v>
          </cell>
          <cell r="CA40" t="str">
            <v>Cum_Actu</v>
          </cell>
          <cell r="CB40" t="str">
            <v>Cum_Actu</v>
          </cell>
          <cell r="CC40" t="str">
            <v>Cum_Actu</v>
          </cell>
          <cell r="CD40" t="str">
            <v>Cum_Actu</v>
          </cell>
          <cell r="CE40" t="str">
            <v>Cum_Actu</v>
          </cell>
          <cell r="CF40" t="str">
            <v>Cum_Actu</v>
          </cell>
          <cell r="CG40" t="str">
            <v>Cum_Actu</v>
          </cell>
          <cell r="CH40" t="str">
            <v>Cum_Actu</v>
          </cell>
          <cell r="CI40" t="str">
            <v>Cum_Actu</v>
          </cell>
          <cell r="CJ40" t="str">
            <v>Cum_Actu</v>
          </cell>
          <cell r="CK40" t="str">
            <v>Cum_Actu</v>
          </cell>
        </row>
        <row r="41">
          <cell r="BM41" t="str">
            <v>CODE</v>
          </cell>
          <cell r="BN41">
            <v>41285</v>
          </cell>
          <cell r="BO41">
            <v>41316</v>
          </cell>
          <cell r="BP41">
            <v>41344</v>
          </cell>
          <cell r="BQ41">
            <v>41375</v>
          </cell>
          <cell r="BR41">
            <v>41405</v>
          </cell>
          <cell r="BS41">
            <v>41436</v>
          </cell>
          <cell r="BT41">
            <v>41466</v>
          </cell>
          <cell r="BU41">
            <v>41497</v>
          </cell>
          <cell r="BV41">
            <v>41528</v>
          </cell>
          <cell r="BW41">
            <v>41558</v>
          </cell>
          <cell r="BX41">
            <v>41589</v>
          </cell>
          <cell r="BY41">
            <v>41619</v>
          </cell>
          <cell r="BZ41">
            <v>41285</v>
          </cell>
          <cell r="CA41">
            <v>41316</v>
          </cell>
          <cell r="CB41">
            <v>41344</v>
          </cell>
          <cell r="CC41">
            <v>41375</v>
          </cell>
          <cell r="CD41">
            <v>41405</v>
          </cell>
          <cell r="CE41">
            <v>41436</v>
          </cell>
          <cell r="CF41">
            <v>41466</v>
          </cell>
          <cell r="CG41">
            <v>41497</v>
          </cell>
          <cell r="CH41">
            <v>41528</v>
          </cell>
          <cell r="CI41">
            <v>41558</v>
          </cell>
          <cell r="CJ41">
            <v>41589</v>
          </cell>
          <cell r="CK41">
            <v>41619</v>
          </cell>
        </row>
        <row r="42">
          <cell r="BM42" t="str">
            <v>LA01</v>
          </cell>
          <cell r="BN42">
            <v>2.4166666666666666E-2</v>
          </cell>
          <cell r="BO42">
            <v>2.4166666666666666E-2</v>
          </cell>
          <cell r="BP42">
            <v>2.4166666666666666E-2</v>
          </cell>
          <cell r="BQ42">
            <v>2.4166666666666666E-2</v>
          </cell>
          <cell r="BR42">
            <v>2.4166666666666666E-2</v>
          </cell>
          <cell r="BS42">
            <v>2.4166666666666666E-2</v>
          </cell>
          <cell r="BT42">
            <v>2.4166666666666666E-2</v>
          </cell>
          <cell r="BU42">
            <v>2.4166666666666666E-2</v>
          </cell>
          <cell r="BV42">
            <v>2.4166666666666666E-2</v>
          </cell>
          <cell r="BW42">
            <v>2.4166666666666666E-2</v>
          </cell>
          <cell r="BX42">
            <v>2.4166666666666666E-2</v>
          </cell>
          <cell r="BY42">
            <v>2.4166666666666666E-2</v>
          </cell>
          <cell r="BZ42">
            <v>2.4166666666666666E-2</v>
          </cell>
          <cell r="CA42">
            <v>4.8333333333333332E-2</v>
          </cell>
          <cell r="CB42">
            <v>7.2499999999999995E-2</v>
          </cell>
          <cell r="CC42">
            <v>9.6666666666666665E-2</v>
          </cell>
          <cell r="CD42">
            <v>0.12083333333333333</v>
          </cell>
          <cell r="CE42">
            <v>0.14499999999999999</v>
          </cell>
          <cell r="CF42">
            <v>0.16916666666666666</v>
          </cell>
          <cell r="CG42">
            <v>0.19333333333333333</v>
          </cell>
          <cell r="CH42">
            <v>0.2175</v>
          </cell>
          <cell r="CI42">
            <v>0.24166666666666667</v>
          </cell>
          <cell r="CJ42">
            <v>0.26583333333333331</v>
          </cell>
          <cell r="CK42">
            <v>0.28999999999999998</v>
          </cell>
        </row>
        <row r="43">
          <cell r="BM43" t="str">
            <v>LA02</v>
          </cell>
          <cell r="BN43">
            <v>0.25</v>
          </cell>
          <cell r="BO43">
            <v>0.25</v>
          </cell>
          <cell r="BP43">
            <v>0.25</v>
          </cell>
          <cell r="BQ43">
            <v>0.25</v>
          </cell>
          <cell r="BR43">
            <v>0.25</v>
          </cell>
          <cell r="BS43">
            <v>0.25</v>
          </cell>
          <cell r="BT43">
            <v>0.25</v>
          </cell>
          <cell r="BU43">
            <v>0.25</v>
          </cell>
          <cell r="BV43">
            <v>0.25</v>
          </cell>
          <cell r="BW43">
            <v>0.25</v>
          </cell>
          <cell r="BX43">
            <v>0.25</v>
          </cell>
          <cell r="BY43">
            <v>0.25</v>
          </cell>
          <cell r="BZ43">
            <v>0.25</v>
          </cell>
          <cell r="CA43">
            <v>0.5</v>
          </cell>
          <cell r="CB43">
            <v>0.75</v>
          </cell>
          <cell r="CC43">
            <v>1</v>
          </cell>
          <cell r="CD43">
            <v>1.25</v>
          </cell>
          <cell r="CE43">
            <v>1.5</v>
          </cell>
          <cell r="CF43">
            <v>1.75</v>
          </cell>
          <cell r="CG43">
            <v>2</v>
          </cell>
          <cell r="CH43">
            <v>2.25</v>
          </cell>
          <cell r="CI43">
            <v>2.5</v>
          </cell>
          <cell r="CJ43">
            <v>2.75</v>
          </cell>
          <cell r="CK43">
            <v>3</v>
          </cell>
        </row>
        <row r="44">
          <cell r="BM44" t="str">
            <v>LA03</v>
          </cell>
          <cell r="BN44">
            <v>0.09</v>
          </cell>
          <cell r="BO44">
            <v>0.09</v>
          </cell>
          <cell r="BP44">
            <v>0.09</v>
          </cell>
          <cell r="BQ44">
            <v>9.0000000000000011E-2</v>
          </cell>
          <cell r="BR44">
            <v>9.0000000000000011E-2</v>
          </cell>
          <cell r="BS44">
            <v>9.0000000000000011E-2</v>
          </cell>
          <cell r="BT44">
            <v>9.0000000000000011E-2</v>
          </cell>
          <cell r="BU44">
            <v>9.0000000000000011E-2</v>
          </cell>
          <cell r="BV44">
            <v>9.0000000000000011E-2</v>
          </cell>
          <cell r="BW44">
            <v>9.0000000000000011E-2</v>
          </cell>
          <cell r="BX44">
            <v>9.0000000000000011E-2</v>
          </cell>
          <cell r="BY44">
            <v>9.0000000000000011E-2</v>
          </cell>
          <cell r="BZ44">
            <v>0.09</v>
          </cell>
          <cell r="CA44">
            <v>0.18</v>
          </cell>
          <cell r="CB44">
            <v>0.27</v>
          </cell>
          <cell r="CC44">
            <v>0.36000000000000004</v>
          </cell>
          <cell r="CD44">
            <v>0.45000000000000007</v>
          </cell>
          <cell r="CE44">
            <v>0.54</v>
          </cell>
          <cell r="CF44">
            <v>0.63</v>
          </cell>
          <cell r="CG44">
            <v>0.72</v>
          </cell>
          <cell r="CH44">
            <v>0.80999999999999994</v>
          </cell>
          <cell r="CI44">
            <v>0.89999999999999991</v>
          </cell>
          <cell r="CJ44">
            <v>0.98999999999999988</v>
          </cell>
          <cell r="CK44">
            <v>1.0799999999999998</v>
          </cell>
        </row>
        <row r="45">
          <cell r="BM45" t="str">
            <v>LA04</v>
          </cell>
          <cell r="BN45">
            <v>0.46</v>
          </cell>
          <cell r="BO45">
            <v>0.4</v>
          </cell>
          <cell r="BP45">
            <v>0.4</v>
          </cell>
          <cell r="BQ45">
            <v>0.39999999999999997</v>
          </cell>
          <cell r="BR45">
            <v>0.39999999999999997</v>
          </cell>
          <cell r="BS45">
            <v>0.39999999999999997</v>
          </cell>
          <cell r="BT45">
            <v>0.39999999999999997</v>
          </cell>
          <cell r="BU45">
            <v>0.39999999999999997</v>
          </cell>
          <cell r="BV45">
            <v>0.39999999999999997</v>
          </cell>
          <cell r="BW45">
            <v>0.39999999999999997</v>
          </cell>
          <cell r="BX45">
            <v>31.779999999999998</v>
          </cell>
          <cell r="BY45">
            <v>3.44</v>
          </cell>
          <cell r="BZ45">
            <v>0.46</v>
          </cell>
          <cell r="CA45">
            <v>0.8600000000000001</v>
          </cell>
          <cell r="CB45">
            <v>1.2600000000000002</v>
          </cell>
          <cell r="CC45">
            <v>1.6600000000000001</v>
          </cell>
          <cell r="CD45">
            <v>2.06</v>
          </cell>
          <cell r="CE45">
            <v>2.46</v>
          </cell>
          <cell r="CF45">
            <v>2.86</v>
          </cell>
          <cell r="CG45">
            <v>3.26</v>
          </cell>
          <cell r="CH45">
            <v>3.6599999999999997</v>
          </cell>
          <cell r="CI45">
            <v>4.0599999999999996</v>
          </cell>
          <cell r="CJ45">
            <v>35.839999999999996</v>
          </cell>
          <cell r="CK45">
            <v>39.279999999999994</v>
          </cell>
        </row>
        <row r="46">
          <cell r="BM46" t="str">
            <v>LA05</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row>
        <row r="47">
          <cell r="BM47" t="str">
            <v>LA06</v>
          </cell>
          <cell r="BN47">
            <v>0.29000000000000004</v>
          </cell>
          <cell r="BO47">
            <v>-0.52</v>
          </cell>
          <cell r="BP47">
            <v>0.27</v>
          </cell>
          <cell r="BQ47">
            <v>8.8333333333333333E-2</v>
          </cell>
          <cell r="BR47">
            <v>8.8333333333333333E-2</v>
          </cell>
          <cell r="BS47">
            <v>8.8333333333333333E-2</v>
          </cell>
          <cell r="BT47">
            <v>8.8333333333333333E-2</v>
          </cell>
          <cell r="BU47">
            <v>8.8333333333333333E-2</v>
          </cell>
          <cell r="BV47">
            <v>8.8333333333333333E-2</v>
          </cell>
          <cell r="BW47">
            <v>8.8333333333333333E-2</v>
          </cell>
          <cell r="BX47">
            <v>8.8333333333333333E-2</v>
          </cell>
          <cell r="BY47">
            <v>0.32999999999999996</v>
          </cell>
          <cell r="BZ47">
            <v>0.29000000000000004</v>
          </cell>
          <cell r="CA47">
            <v>-0.22999999999999998</v>
          </cell>
          <cell r="CB47">
            <v>4.0000000000000036E-2</v>
          </cell>
          <cell r="CC47">
            <v>0.12833333333333335</v>
          </cell>
          <cell r="CD47">
            <v>0.21666666666666667</v>
          </cell>
          <cell r="CE47">
            <v>0.30499999999999999</v>
          </cell>
          <cell r="CF47">
            <v>0.39333333333333331</v>
          </cell>
          <cell r="CG47">
            <v>0.48166666666666663</v>
          </cell>
          <cell r="CH47">
            <v>0.56999999999999995</v>
          </cell>
          <cell r="CI47">
            <v>0.65833333333333333</v>
          </cell>
          <cell r="CJ47">
            <v>0.7466666666666667</v>
          </cell>
          <cell r="CK47">
            <v>1.0766666666666667</v>
          </cell>
        </row>
        <row r="48">
          <cell r="BM48" t="str">
            <v>LA07</v>
          </cell>
          <cell r="BN48">
            <v>2.04</v>
          </cell>
          <cell r="BO48">
            <v>2.0299999999999998</v>
          </cell>
          <cell r="BP48">
            <v>2.04</v>
          </cell>
          <cell r="BQ48">
            <v>1.25</v>
          </cell>
          <cell r="BR48">
            <v>1.25</v>
          </cell>
          <cell r="BS48">
            <v>1.25</v>
          </cell>
          <cell r="BT48">
            <v>1.25</v>
          </cell>
          <cell r="BU48">
            <v>1.25</v>
          </cell>
          <cell r="BV48">
            <v>1.25</v>
          </cell>
          <cell r="BW48">
            <v>1.25</v>
          </cell>
          <cell r="BX48">
            <v>1.25</v>
          </cell>
          <cell r="BY48">
            <v>1.25</v>
          </cell>
          <cell r="BZ48">
            <v>2.04</v>
          </cell>
          <cell r="CA48">
            <v>4.07</v>
          </cell>
          <cell r="CB48">
            <v>6.11</v>
          </cell>
          <cell r="CC48">
            <v>7.36</v>
          </cell>
          <cell r="CD48">
            <v>8.61</v>
          </cell>
          <cell r="CE48">
            <v>9.86</v>
          </cell>
          <cell r="CF48">
            <v>11.11</v>
          </cell>
          <cell r="CG48">
            <v>12.36</v>
          </cell>
          <cell r="CH48">
            <v>13.61</v>
          </cell>
          <cell r="CI48">
            <v>14.86</v>
          </cell>
          <cell r="CJ48">
            <v>16.11</v>
          </cell>
          <cell r="CK48">
            <v>17.36</v>
          </cell>
        </row>
        <row r="49">
          <cell r="BM49" t="str">
            <v>LA08</v>
          </cell>
          <cell r="BN49">
            <v>0.77300000000000002</v>
          </cell>
          <cell r="BO49">
            <v>0.77300000000000002</v>
          </cell>
          <cell r="BP49">
            <v>0.77300000000000002</v>
          </cell>
          <cell r="BQ49">
            <v>0.77300000000000002</v>
          </cell>
          <cell r="BR49">
            <v>0.77300000000000002</v>
          </cell>
          <cell r="BS49">
            <v>0.77300000000000002</v>
          </cell>
          <cell r="BT49">
            <v>0.77300000000000002</v>
          </cell>
          <cell r="BU49">
            <v>0.77300000000000002</v>
          </cell>
          <cell r="BV49">
            <v>0.77300000000000002</v>
          </cell>
          <cell r="BW49">
            <v>0.77300000000000002</v>
          </cell>
          <cell r="BX49">
            <v>0.77300000000000002</v>
          </cell>
          <cell r="BY49">
            <v>0.77300000000000002</v>
          </cell>
          <cell r="BZ49">
            <v>0.77300000000000002</v>
          </cell>
          <cell r="CA49">
            <v>1.546</v>
          </cell>
          <cell r="CB49">
            <v>2.319</v>
          </cell>
          <cell r="CC49">
            <v>3.0920000000000001</v>
          </cell>
          <cell r="CD49">
            <v>3.8650000000000002</v>
          </cell>
          <cell r="CE49">
            <v>4.6379999999999999</v>
          </cell>
          <cell r="CF49">
            <v>5.4109999999999996</v>
          </cell>
          <cell r="CG49">
            <v>6.1839999999999993</v>
          </cell>
          <cell r="CH49">
            <v>6.956999999999999</v>
          </cell>
          <cell r="CI49">
            <v>7.7299999999999986</v>
          </cell>
          <cell r="CJ49">
            <v>8.5029999999999983</v>
          </cell>
          <cell r="CK49">
            <v>9.275999999999998</v>
          </cell>
        </row>
        <row r="50">
          <cell r="BM50" t="str">
            <v>LA09</v>
          </cell>
          <cell r="BN50">
            <v>0.28799999999999998</v>
          </cell>
          <cell r="BO50">
            <v>0.28799999999999998</v>
          </cell>
          <cell r="BP50">
            <v>0.28799999999999998</v>
          </cell>
          <cell r="BQ50">
            <v>0.28799999999999998</v>
          </cell>
          <cell r="BR50">
            <v>0.28799999999999998</v>
          </cell>
          <cell r="BS50">
            <v>0.28799999999999998</v>
          </cell>
          <cell r="BT50">
            <v>0.28799999999999998</v>
          </cell>
          <cell r="BU50">
            <v>0.28799999999999998</v>
          </cell>
          <cell r="BV50">
            <v>0.28799999999999998</v>
          </cell>
          <cell r="BW50">
            <v>0.28799999999999998</v>
          </cell>
          <cell r="BX50">
            <v>0.28799999999999998</v>
          </cell>
          <cell r="BY50">
            <v>0.28799999999999998</v>
          </cell>
          <cell r="BZ50">
            <v>0.28799999999999998</v>
          </cell>
          <cell r="CA50">
            <v>0.57599999999999996</v>
          </cell>
          <cell r="CB50">
            <v>0.86399999999999988</v>
          </cell>
          <cell r="CC50">
            <v>1.1519999999999999</v>
          </cell>
          <cell r="CD50">
            <v>1.44</v>
          </cell>
          <cell r="CE50">
            <v>1.728</v>
          </cell>
          <cell r="CF50">
            <v>2.016</v>
          </cell>
          <cell r="CG50">
            <v>2.3039999999999998</v>
          </cell>
          <cell r="CH50">
            <v>2.5919999999999996</v>
          </cell>
          <cell r="CI50">
            <v>2.8799999999999994</v>
          </cell>
          <cell r="CJ50">
            <v>3.1679999999999993</v>
          </cell>
          <cell r="CK50">
            <v>3.4559999999999991</v>
          </cell>
        </row>
        <row r="51">
          <cell r="BM51" t="str">
            <v>LA10</v>
          </cell>
          <cell r="BN51">
            <v>3.4175000000000004</v>
          </cell>
          <cell r="BO51">
            <v>2.3024999999999998</v>
          </cell>
          <cell r="BP51">
            <v>0.3125</v>
          </cell>
          <cell r="BQ51">
            <v>8.4425000000000008</v>
          </cell>
          <cell r="BR51">
            <v>1.1304999999999998</v>
          </cell>
          <cell r="BS51">
            <v>2.8345000000000002</v>
          </cell>
          <cell r="BT51">
            <v>18.819499999999998</v>
          </cell>
          <cell r="BU51">
            <v>1.0415000000000001</v>
          </cell>
          <cell r="BV51">
            <v>3.7414999999999998</v>
          </cell>
          <cell r="BW51">
            <v>3.4505000000000003</v>
          </cell>
          <cell r="BX51">
            <v>1.1304999999999998</v>
          </cell>
          <cell r="BY51">
            <v>2.0400000000000036</v>
          </cell>
          <cell r="BZ51">
            <v>3.4175000000000004</v>
          </cell>
          <cell r="CA51">
            <v>5.7200000000000006</v>
          </cell>
          <cell r="CB51">
            <v>6.0325000000000006</v>
          </cell>
          <cell r="CC51">
            <v>14.475000000000001</v>
          </cell>
          <cell r="CD51">
            <v>15.605500000000001</v>
          </cell>
          <cell r="CE51">
            <v>18.440000000000001</v>
          </cell>
          <cell r="CF51">
            <v>37.259500000000003</v>
          </cell>
          <cell r="CG51">
            <v>38.301000000000002</v>
          </cell>
          <cell r="CH51">
            <v>42.042500000000004</v>
          </cell>
          <cell r="CI51">
            <v>45.493000000000002</v>
          </cell>
          <cell r="CJ51">
            <v>46.6235</v>
          </cell>
          <cell r="CK51">
            <v>48.663500000000006</v>
          </cell>
        </row>
        <row r="52">
          <cell r="BN52">
            <v>7.6326666666666672</v>
          </cell>
          <cell r="BO52">
            <v>5.6376666666666662</v>
          </cell>
          <cell r="BP52">
            <v>4.4476666666666667</v>
          </cell>
          <cell r="BQ52">
            <v>11.606000000000002</v>
          </cell>
          <cell r="BR52">
            <v>4.2939999999999996</v>
          </cell>
          <cell r="BS52">
            <v>5.9980000000000002</v>
          </cell>
          <cell r="BT52">
            <v>21.982999999999997</v>
          </cell>
          <cell r="BU52">
            <v>4.2050000000000001</v>
          </cell>
          <cell r="BV52">
            <v>6.9049999999999994</v>
          </cell>
          <cell r="BW52">
            <v>6.6140000000000008</v>
          </cell>
          <cell r="BX52">
            <v>35.673999999999992</v>
          </cell>
          <cell r="BY52">
            <v>8.4851666666666699</v>
          </cell>
          <cell r="BZ52">
            <v>7.6326666666666672</v>
          </cell>
          <cell r="CA52">
            <v>13.270333333333333</v>
          </cell>
          <cell r="CB52">
            <v>17.718000000000004</v>
          </cell>
          <cell r="CC52">
            <v>29.324000000000002</v>
          </cell>
          <cell r="CD52">
            <v>33.618000000000002</v>
          </cell>
          <cell r="CE52">
            <v>39.616</v>
          </cell>
          <cell r="CF52">
            <v>61.599000000000004</v>
          </cell>
          <cell r="CG52">
            <v>65.804000000000002</v>
          </cell>
          <cell r="CH52">
            <v>72.709000000000003</v>
          </cell>
          <cell r="CI52">
            <v>79.323000000000008</v>
          </cell>
          <cell r="CJ52">
            <v>114.99700000000001</v>
          </cell>
          <cell r="CK52">
            <v>123.48216666666667</v>
          </cell>
        </row>
        <row r="58">
          <cell r="BN58" t="str">
            <v>Actual</v>
          </cell>
          <cell r="BO58" t="str">
            <v>Actual</v>
          </cell>
          <cell r="BP58" t="str">
            <v>Actual</v>
          </cell>
          <cell r="BQ58" t="str">
            <v>Actual</v>
          </cell>
          <cell r="BR58" t="str">
            <v>Actual</v>
          </cell>
          <cell r="BS58" t="str">
            <v>Actual</v>
          </cell>
          <cell r="BT58" t="str">
            <v>Actual</v>
          </cell>
          <cell r="BU58" t="str">
            <v>Actual</v>
          </cell>
          <cell r="BV58" t="str">
            <v>Actual</v>
          </cell>
          <cell r="BW58" t="str">
            <v>Actual</v>
          </cell>
          <cell r="BX58" t="str">
            <v>Actual</v>
          </cell>
          <cell r="BY58" t="str">
            <v>Actual</v>
          </cell>
          <cell r="BZ58" t="str">
            <v>Cum_Actu</v>
          </cell>
          <cell r="CA58" t="str">
            <v>Cum_Actu</v>
          </cell>
          <cell r="CB58" t="str">
            <v>Cum_Actu</v>
          </cell>
          <cell r="CC58" t="str">
            <v>Cum_Actu</v>
          </cell>
          <cell r="CD58" t="str">
            <v>Cum_Actu</v>
          </cell>
          <cell r="CE58" t="str">
            <v>Cum_Actu</v>
          </cell>
          <cell r="CF58" t="str">
            <v>Cum_Actu</v>
          </cell>
          <cell r="CG58" t="str">
            <v>Cum_Actu</v>
          </cell>
          <cell r="CH58" t="str">
            <v>Cum_Actu</v>
          </cell>
          <cell r="CI58" t="str">
            <v>Cum_Actu</v>
          </cell>
          <cell r="CJ58" t="str">
            <v>Cum_Actu</v>
          </cell>
          <cell r="CK58" t="str">
            <v>Cum_Actu</v>
          </cell>
        </row>
        <row r="59">
          <cell r="BM59" t="str">
            <v>CODE</v>
          </cell>
          <cell r="BN59">
            <v>41285</v>
          </cell>
          <cell r="BO59">
            <v>41316</v>
          </cell>
          <cell r="BP59">
            <v>41344</v>
          </cell>
          <cell r="BQ59">
            <v>41375</v>
          </cell>
          <cell r="BR59">
            <v>41405</v>
          </cell>
          <cell r="BS59">
            <v>41436</v>
          </cell>
          <cell r="BT59">
            <v>41466</v>
          </cell>
          <cell r="BU59">
            <v>41497</v>
          </cell>
          <cell r="BV59">
            <v>41528</v>
          </cell>
          <cell r="BW59">
            <v>41558</v>
          </cell>
          <cell r="BX59">
            <v>41589</v>
          </cell>
          <cell r="BY59">
            <v>41619</v>
          </cell>
          <cell r="BZ59">
            <v>41285</v>
          </cell>
          <cell r="CA59">
            <v>41316</v>
          </cell>
          <cell r="CB59">
            <v>41344</v>
          </cell>
          <cell r="CC59">
            <v>41375</v>
          </cell>
          <cell r="CD59">
            <v>41405</v>
          </cell>
          <cell r="CE59">
            <v>41436</v>
          </cell>
          <cell r="CF59">
            <v>41466</v>
          </cell>
          <cell r="CG59">
            <v>41497</v>
          </cell>
          <cell r="CH59">
            <v>41528</v>
          </cell>
          <cell r="CI59">
            <v>41558</v>
          </cell>
          <cell r="CJ59">
            <v>41589</v>
          </cell>
          <cell r="CK59">
            <v>41619</v>
          </cell>
        </row>
        <row r="60">
          <cell r="BM60" t="str">
            <v>LD01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row>
        <row r="61">
          <cell r="BM61" t="str">
            <v>LD02</v>
          </cell>
          <cell r="BN61">
            <v>8.5</v>
          </cell>
          <cell r="BO61">
            <v>8.5</v>
          </cell>
          <cell r="BP61">
            <v>17.5</v>
          </cell>
          <cell r="BQ61">
            <v>8.5</v>
          </cell>
          <cell r="BR61">
            <v>8.5</v>
          </cell>
          <cell r="BS61">
            <v>13.190000000000001</v>
          </cell>
          <cell r="BT61">
            <v>8.5</v>
          </cell>
          <cell r="BU61">
            <v>8.5</v>
          </cell>
          <cell r="BV61">
            <v>8.5</v>
          </cell>
          <cell r="BW61">
            <v>8.5</v>
          </cell>
          <cell r="BX61">
            <v>8.5</v>
          </cell>
          <cell r="BY61">
            <v>8.5</v>
          </cell>
          <cell r="BZ61">
            <v>8.5</v>
          </cell>
          <cell r="CA61">
            <v>17</v>
          </cell>
          <cell r="CB61">
            <v>34.5</v>
          </cell>
          <cell r="CC61">
            <v>43</v>
          </cell>
          <cell r="CD61">
            <v>51.5</v>
          </cell>
          <cell r="CE61">
            <v>64.69</v>
          </cell>
          <cell r="CF61">
            <v>73.19</v>
          </cell>
          <cell r="CG61">
            <v>81.69</v>
          </cell>
          <cell r="CH61">
            <v>90.19</v>
          </cell>
          <cell r="CI61">
            <v>98.69</v>
          </cell>
          <cell r="CJ61">
            <v>107.19</v>
          </cell>
          <cell r="CK61">
            <v>115.69</v>
          </cell>
        </row>
        <row r="62">
          <cell r="BM62" t="str">
            <v>LD03</v>
          </cell>
          <cell r="BN62">
            <v>51.017961102077066</v>
          </cell>
          <cell r="BO62">
            <v>48.164681026319421</v>
          </cell>
          <cell r="BP62">
            <v>43.281901102458392</v>
          </cell>
          <cell r="BQ62">
            <v>38.10937973957472</v>
          </cell>
          <cell r="BR62">
            <v>40.884309628463221</v>
          </cell>
          <cell r="BS62">
            <v>48.162073501223404</v>
          </cell>
          <cell r="BT62">
            <v>36.069882831780298</v>
          </cell>
          <cell r="BU62">
            <v>42.3430562748201</v>
          </cell>
          <cell r="BV62">
            <v>45.926802415817306</v>
          </cell>
          <cell r="BW62">
            <v>32.243112221257704</v>
          </cell>
          <cell r="BX62">
            <v>45.622286241883302</v>
          </cell>
          <cell r="BY62">
            <v>51.127666972382499</v>
          </cell>
          <cell r="BZ62">
            <v>51.017961102077066</v>
          </cell>
          <cell r="CA62">
            <v>99.182642128396481</v>
          </cell>
          <cell r="CB62">
            <v>142.46454323085487</v>
          </cell>
          <cell r="CC62">
            <v>180.57392297042958</v>
          </cell>
          <cell r="CD62">
            <v>221.45823259889281</v>
          </cell>
          <cell r="CE62">
            <v>269.62030610011618</v>
          </cell>
          <cell r="CF62">
            <v>305.6901889318965</v>
          </cell>
          <cell r="CG62">
            <v>348.03324520671663</v>
          </cell>
          <cell r="CH62">
            <v>393.96004762253392</v>
          </cell>
          <cell r="CI62">
            <v>426.20315984379164</v>
          </cell>
          <cell r="CJ62">
            <v>471.82544608567491</v>
          </cell>
          <cell r="CK62">
            <v>522.9531130580574</v>
          </cell>
        </row>
        <row r="63">
          <cell r="BM63" t="str">
            <v>LD04</v>
          </cell>
          <cell r="BN63">
            <v>35.95038927433567</v>
          </cell>
          <cell r="BO63">
            <v>33.960870892226787</v>
          </cell>
          <cell r="BP63">
            <v>22.587112173196104</v>
          </cell>
          <cell r="BQ63">
            <v>26.91888152929851</v>
          </cell>
          <cell r="BR63">
            <v>28.811848273156258</v>
          </cell>
          <cell r="BS63">
            <v>30.998777497924699</v>
          </cell>
          <cell r="BT63">
            <v>24.541594015751798</v>
          </cell>
          <cell r="BU63">
            <v>28.9553754761683</v>
          </cell>
          <cell r="BV63">
            <v>31.474195873966998</v>
          </cell>
          <cell r="BW63">
            <v>21.838791633404</v>
          </cell>
          <cell r="BX63">
            <v>32.171833003291503</v>
          </cell>
          <cell r="BY63">
            <v>36.048718482970301</v>
          </cell>
          <cell r="BZ63">
            <v>35.95038927433567</v>
          </cell>
          <cell r="CA63">
            <v>69.911260166562457</v>
          </cell>
          <cell r="CB63">
            <v>92.498372339758561</v>
          </cell>
          <cell r="CC63">
            <v>119.41725386905708</v>
          </cell>
          <cell r="CD63">
            <v>148.22910214221332</v>
          </cell>
          <cell r="CE63">
            <v>179.22787964013801</v>
          </cell>
          <cell r="CF63">
            <v>203.76947365588981</v>
          </cell>
          <cell r="CG63">
            <v>232.72484913205813</v>
          </cell>
          <cell r="CH63">
            <v>264.19904500602513</v>
          </cell>
          <cell r="CI63">
            <v>286.03783663942914</v>
          </cell>
          <cell r="CJ63">
            <v>318.20966964272066</v>
          </cell>
          <cell r="CK63">
            <v>354.25838812569094</v>
          </cell>
        </row>
        <row r="64">
          <cell r="BM64" t="str">
            <v>LD05</v>
          </cell>
          <cell r="BN64">
            <v>22</v>
          </cell>
          <cell r="BO64">
            <v>0</v>
          </cell>
          <cell r="BP64">
            <v>0</v>
          </cell>
          <cell r="BQ64">
            <v>0</v>
          </cell>
          <cell r="BR64">
            <v>0</v>
          </cell>
          <cell r="BS64">
            <v>0</v>
          </cell>
          <cell r="BT64">
            <v>0</v>
          </cell>
          <cell r="BU64">
            <v>0</v>
          </cell>
          <cell r="BV64">
            <v>0</v>
          </cell>
          <cell r="BW64">
            <v>0</v>
          </cell>
          <cell r="BX64">
            <v>0</v>
          </cell>
          <cell r="BY64">
            <v>0</v>
          </cell>
          <cell r="BZ64">
            <v>22</v>
          </cell>
          <cell r="CA64">
            <v>22</v>
          </cell>
          <cell r="CB64">
            <v>22</v>
          </cell>
          <cell r="CC64">
            <v>22</v>
          </cell>
          <cell r="CD64">
            <v>22</v>
          </cell>
          <cell r="CE64">
            <v>22</v>
          </cell>
          <cell r="CF64">
            <v>22</v>
          </cell>
          <cell r="CG64">
            <v>22</v>
          </cell>
          <cell r="CH64">
            <v>22</v>
          </cell>
          <cell r="CI64">
            <v>22</v>
          </cell>
          <cell r="CJ64">
            <v>22</v>
          </cell>
          <cell r="CK64">
            <v>22</v>
          </cell>
        </row>
        <row r="65">
          <cell r="BM65" t="str">
            <v>LD06</v>
          </cell>
          <cell r="BN65">
            <v>0</v>
          </cell>
          <cell r="BO65">
            <v>0</v>
          </cell>
          <cell r="BP65">
            <v>0</v>
          </cell>
          <cell r="BQ65">
            <v>0</v>
          </cell>
          <cell r="BR65">
            <v>0</v>
          </cell>
          <cell r="BS65">
            <v>0</v>
          </cell>
          <cell r="BT65">
            <v>0</v>
          </cell>
          <cell r="BU65">
            <v>0</v>
          </cell>
          <cell r="BV65">
            <v>-3.92</v>
          </cell>
          <cell r="BW65">
            <v>0</v>
          </cell>
          <cell r="BX65">
            <v>0</v>
          </cell>
          <cell r="BY65">
            <v>0</v>
          </cell>
          <cell r="BZ65">
            <v>0</v>
          </cell>
          <cell r="CA65">
            <v>0</v>
          </cell>
          <cell r="CB65">
            <v>0</v>
          </cell>
          <cell r="CC65">
            <v>0</v>
          </cell>
          <cell r="CD65">
            <v>0</v>
          </cell>
          <cell r="CE65">
            <v>0</v>
          </cell>
          <cell r="CF65">
            <v>0</v>
          </cell>
          <cell r="CG65">
            <v>0</v>
          </cell>
          <cell r="CH65">
            <v>-3.92</v>
          </cell>
          <cell r="CI65">
            <v>-3.92</v>
          </cell>
          <cell r="CJ65">
            <v>-3.92</v>
          </cell>
          <cell r="CK65">
            <v>-3.92</v>
          </cell>
        </row>
        <row r="66">
          <cell r="BM66" t="str">
            <v>LD07</v>
          </cell>
          <cell r="BN66">
            <v>1.9166666666666667</v>
          </cell>
          <cell r="BO66">
            <v>1.9166666666666667</v>
          </cell>
          <cell r="BP66">
            <v>0.80666666666666664</v>
          </cell>
          <cell r="BQ66">
            <v>1.9166666666666667</v>
          </cell>
          <cell r="BR66">
            <v>1.9166666666666667</v>
          </cell>
          <cell r="BS66">
            <v>1.9166666666666667</v>
          </cell>
          <cell r="BT66">
            <v>1.9166666666666667</v>
          </cell>
          <cell r="BU66">
            <v>0.30666666666666997</v>
          </cell>
          <cell r="BV66">
            <v>1.9166666666666667</v>
          </cell>
          <cell r="BW66">
            <v>-3.3333333333298576E-3</v>
          </cell>
          <cell r="BX66">
            <v>-3.3333333333298576E-3</v>
          </cell>
          <cell r="BY66">
            <v>0</v>
          </cell>
          <cell r="BZ66">
            <v>1.9166666666666667</v>
          </cell>
          <cell r="CA66">
            <v>3.8333333333333335</v>
          </cell>
          <cell r="CB66">
            <v>4.6400000000000006</v>
          </cell>
          <cell r="CC66">
            <v>6.5566666666666675</v>
          </cell>
          <cell r="CD66">
            <v>8.4733333333333345</v>
          </cell>
          <cell r="CE66">
            <v>10.39</v>
          </cell>
          <cell r="CF66">
            <v>12.306666666666667</v>
          </cell>
          <cell r="CG66">
            <v>12.613333333333337</v>
          </cell>
          <cell r="CH66">
            <v>14.530000000000003</v>
          </cell>
          <cell r="CI66">
            <v>14.526666666666673</v>
          </cell>
          <cell r="CJ66">
            <v>14.523333333333342</v>
          </cell>
          <cell r="CK66">
            <v>14.523333333333342</v>
          </cell>
        </row>
        <row r="67">
          <cell r="BN67">
            <v>119.3850170430794</v>
          </cell>
          <cell r="BO67">
            <v>92.542218585212879</v>
          </cell>
          <cell r="BP67">
            <v>84.175679942321167</v>
          </cell>
          <cell r="BQ67">
            <v>75.444927935539894</v>
          </cell>
          <cell r="BR67">
            <v>80.112824568286143</v>
          </cell>
          <cell r="BS67">
            <v>94.267517665814765</v>
          </cell>
          <cell r="BT67">
            <v>71.02814351419876</v>
          </cell>
          <cell r="BU67">
            <v>80.105098417655071</v>
          </cell>
          <cell r="BV67">
            <v>83.897664956450967</v>
          </cell>
          <cell r="BW67">
            <v>62.578570521328373</v>
          </cell>
          <cell r="BX67">
            <v>86.290785911841482</v>
          </cell>
          <cell r="BY67">
            <v>95.676385455352801</v>
          </cell>
          <cell r="BZ67">
            <v>119.3850170430794</v>
          </cell>
          <cell r="CA67">
            <v>211.92723562829227</v>
          </cell>
          <cell r="CB67">
            <v>296.10291557061339</v>
          </cell>
          <cell r="CC67">
            <v>371.54784350615336</v>
          </cell>
          <cell r="CD67">
            <v>451.66066807443946</v>
          </cell>
          <cell r="CE67">
            <v>545.92818574025421</v>
          </cell>
          <cell r="CF67">
            <v>616.95632925445295</v>
          </cell>
          <cell r="CG67">
            <v>697.06142767210815</v>
          </cell>
          <cell r="CH67">
            <v>780.95909262855901</v>
          </cell>
          <cell r="CI67">
            <v>843.53766314988741</v>
          </cell>
          <cell r="CJ67">
            <v>929.82844906172897</v>
          </cell>
          <cell r="CK67">
            <v>1025.5048345170819</v>
          </cell>
        </row>
        <row r="70">
          <cell r="BN70" t="str">
            <v>Actual</v>
          </cell>
          <cell r="BO70" t="str">
            <v>Actual</v>
          </cell>
          <cell r="BP70" t="str">
            <v>Actual</v>
          </cell>
          <cell r="BQ70" t="str">
            <v>Actual</v>
          </cell>
          <cell r="BR70" t="str">
            <v>Actual</v>
          </cell>
          <cell r="BS70" t="str">
            <v>Actual</v>
          </cell>
          <cell r="BT70" t="str">
            <v>Actual</v>
          </cell>
          <cell r="BU70" t="str">
            <v>Actual</v>
          </cell>
          <cell r="BV70" t="str">
            <v>Actual</v>
          </cell>
          <cell r="BW70" t="str">
            <v>Actual</v>
          </cell>
          <cell r="BX70" t="str">
            <v>Actual</v>
          </cell>
          <cell r="BY70" t="str">
            <v>Actual</v>
          </cell>
          <cell r="BZ70" t="str">
            <v>Cum_Actu</v>
          </cell>
          <cell r="CA70" t="str">
            <v>Cum_Actu</v>
          </cell>
          <cell r="CB70" t="str">
            <v>Cum_Actu</v>
          </cell>
          <cell r="CC70" t="str">
            <v>Cum_Actu</v>
          </cell>
          <cell r="CD70" t="str">
            <v>Cum_Actu</v>
          </cell>
          <cell r="CE70" t="str">
            <v>Cum_Actu</v>
          </cell>
          <cell r="CF70" t="str">
            <v>Cum_Actu</v>
          </cell>
          <cell r="CG70" t="str">
            <v>Cum_Actu</v>
          </cell>
          <cell r="CH70" t="str">
            <v>Cum_Actu</v>
          </cell>
          <cell r="CI70" t="str">
            <v>Cum_Actu</v>
          </cell>
          <cell r="CJ70" t="str">
            <v>Cum_Actu</v>
          </cell>
          <cell r="CK70" t="str">
            <v>Cum_Actu</v>
          </cell>
        </row>
        <row r="71">
          <cell r="BM71" t="str">
            <v>CODE</v>
          </cell>
          <cell r="BN71">
            <v>41285</v>
          </cell>
          <cell r="BO71">
            <v>41316</v>
          </cell>
          <cell r="BP71">
            <v>41344</v>
          </cell>
          <cell r="BQ71">
            <v>41375</v>
          </cell>
          <cell r="BR71">
            <v>41405</v>
          </cell>
          <cell r="BS71">
            <v>41436</v>
          </cell>
          <cell r="BT71">
            <v>41466</v>
          </cell>
          <cell r="BU71">
            <v>41497</v>
          </cell>
          <cell r="BV71">
            <v>41528</v>
          </cell>
          <cell r="BW71">
            <v>41558</v>
          </cell>
          <cell r="BX71">
            <v>41589</v>
          </cell>
          <cell r="BY71">
            <v>41619</v>
          </cell>
          <cell r="BZ71">
            <v>41285</v>
          </cell>
          <cell r="CA71">
            <v>41316</v>
          </cell>
          <cell r="CB71">
            <v>41344</v>
          </cell>
          <cell r="CC71">
            <v>41375</v>
          </cell>
          <cell r="CD71">
            <v>41405</v>
          </cell>
          <cell r="CE71">
            <v>41436</v>
          </cell>
          <cell r="CF71">
            <v>41466</v>
          </cell>
          <cell r="CG71">
            <v>41497</v>
          </cell>
          <cell r="CH71">
            <v>41528</v>
          </cell>
          <cell r="CI71">
            <v>41558</v>
          </cell>
          <cell r="CJ71">
            <v>41589</v>
          </cell>
          <cell r="CK71">
            <v>41619</v>
          </cell>
        </row>
        <row r="72">
          <cell r="BM72" t="str">
            <v>LP01</v>
          </cell>
          <cell r="BN72">
            <v>1</v>
          </cell>
          <cell r="BO72">
            <v>1</v>
          </cell>
          <cell r="BP72">
            <v>1</v>
          </cell>
          <cell r="BQ72">
            <v>1</v>
          </cell>
          <cell r="BR72">
            <v>0.7</v>
          </cell>
          <cell r="BS72">
            <v>0.81282999999999994</v>
          </cell>
          <cell r="BT72">
            <v>0.43999999999999995</v>
          </cell>
          <cell r="BU72">
            <v>1.7</v>
          </cell>
          <cell r="BV72">
            <v>1</v>
          </cell>
          <cell r="BW72">
            <v>0.66999999999999993</v>
          </cell>
          <cell r="BX72">
            <v>1</v>
          </cell>
          <cell r="BY72">
            <v>1</v>
          </cell>
          <cell r="BZ72">
            <v>1</v>
          </cell>
          <cell r="CA72">
            <v>2</v>
          </cell>
          <cell r="CB72">
            <v>3</v>
          </cell>
          <cell r="CC72">
            <v>4</v>
          </cell>
          <cell r="CD72">
            <v>4.7</v>
          </cell>
          <cell r="CE72">
            <v>5.5128300000000001</v>
          </cell>
          <cell r="CF72">
            <v>5.9528300000000005</v>
          </cell>
          <cell r="CG72">
            <v>7.6528300000000007</v>
          </cell>
          <cell r="CH72">
            <v>8.6528300000000016</v>
          </cell>
          <cell r="CI72">
            <v>9.3228300000000015</v>
          </cell>
          <cell r="CJ72">
            <v>10.322830000000002</v>
          </cell>
          <cell r="CK72">
            <v>11.322830000000002</v>
          </cell>
        </row>
        <row r="73">
          <cell r="BM73" t="str">
            <v>LP02</v>
          </cell>
          <cell r="BN73">
            <v>0.15</v>
          </cell>
          <cell r="BO73">
            <v>0.03</v>
          </cell>
          <cell r="BP73">
            <v>0.09</v>
          </cell>
          <cell r="BQ73">
            <v>0.09</v>
          </cell>
          <cell r="BR73">
            <v>-6.0000000000000012E-2</v>
          </cell>
          <cell r="BS73">
            <v>-0.13334000000000001</v>
          </cell>
          <cell r="BT73">
            <v>6.9999999999999993E-2</v>
          </cell>
          <cell r="BU73">
            <v>6.9999999999999993E-2</v>
          </cell>
          <cell r="BV73">
            <v>6.9999999999999993E-2</v>
          </cell>
          <cell r="BW73">
            <v>3.9999999999999994E-2</v>
          </cell>
          <cell r="BX73">
            <v>6.9999999999999993E-2</v>
          </cell>
          <cell r="BY73">
            <v>0.06</v>
          </cell>
          <cell r="BZ73">
            <v>0.15</v>
          </cell>
          <cell r="CA73">
            <v>0.18</v>
          </cell>
          <cell r="CB73">
            <v>0.27</v>
          </cell>
          <cell r="CC73">
            <v>0.36</v>
          </cell>
          <cell r="CD73">
            <v>0.3</v>
          </cell>
          <cell r="CE73">
            <v>0.16665999999999997</v>
          </cell>
          <cell r="CF73">
            <v>0.23665999999999998</v>
          </cell>
          <cell r="CG73">
            <v>0.30665999999999999</v>
          </cell>
          <cell r="CH73">
            <v>0.37665999999999999</v>
          </cell>
          <cell r="CI73">
            <v>0.41665999999999997</v>
          </cell>
          <cell r="CJ73">
            <v>0.48665999999999998</v>
          </cell>
          <cell r="CK73">
            <v>0.54665999999999992</v>
          </cell>
        </row>
        <row r="74">
          <cell r="BM74" t="str">
            <v>LP03</v>
          </cell>
          <cell r="BN74">
            <v>1.25</v>
          </cell>
          <cell r="BO74">
            <v>0.91999999999999993</v>
          </cell>
          <cell r="BP74">
            <v>1.085</v>
          </cell>
          <cell r="BQ74">
            <v>1.085</v>
          </cell>
          <cell r="BR74">
            <v>0.40400000000000003</v>
          </cell>
          <cell r="BS74">
            <v>0.52658000000000005</v>
          </cell>
          <cell r="BT74">
            <v>1.08</v>
          </cell>
          <cell r="BU74">
            <v>1.08</v>
          </cell>
          <cell r="BV74">
            <v>1.08</v>
          </cell>
          <cell r="BW74">
            <v>0.12000000000000011</v>
          </cell>
          <cell r="BX74">
            <v>1.08</v>
          </cell>
          <cell r="BY74">
            <v>1.08</v>
          </cell>
          <cell r="BZ74">
            <v>1.25</v>
          </cell>
          <cell r="CA74">
            <v>2.17</v>
          </cell>
          <cell r="CB74">
            <v>3.2549999999999999</v>
          </cell>
          <cell r="CC74">
            <v>4.34</v>
          </cell>
          <cell r="CD74">
            <v>4.7439999999999998</v>
          </cell>
          <cell r="CE74">
            <v>5.2705799999999998</v>
          </cell>
          <cell r="CF74">
            <v>6.3505799999999999</v>
          </cell>
          <cell r="CG74">
            <v>7.43058</v>
          </cell>
          <cell r="CH74">
            <v>8.5105800000000009</v>
          </cell>
          <cell r="CI74">
            <v>8.6305800000000019</v>
          </cell>
          <cell r="CJ74">
            <v>9.710580000000002</v>
          </cell>
          <cell r="CK74">
            <v>10.790580000000002</v>
          </cell>
        </row>
        <row r="75">
          <cell r="BM75" t="str">
            <v>LP04</v>
          </cell>
          <cell r="BN75">
            <v>1.75</v>
          </cell>
          <cell r="BO75">
            <v>1.41</v>
          </cell>
          <cell r="BP75">
            <v>1.58</v>
          </cell>
          <cell r="BQ75">
            <v>1.58</v>
          </cell>
          <cell r="BR75">
            <v>0.6140000000000001</v>
          </cell>
          <cell r="BS75">
            <v>-7.5500000000000324E-3</v>
          </cell>
          <cell r="BT75">
            <v>0.89</v>
          </cell>
          <cell r="BU75">
            <v>1.5</v>
          </cell>
          <cell r="BV75">
            <v>1.58</v>
          </cell>
          <cell r="BW75">
            <v>1.58</v>
          </cell>
          <cell r="BX75">
            <v>1.58</v>
          </cell>
          <cell r="BY75">
            <v>3.3</v>
          </cell>
          <cell r="BZ75">
            <v>1.75</v>
          </cell>
          <cell r="CA75">
            <v>3.16</v>
          </cell>
          <cell r="CB75">
            <v>4.74</v>
          </cell>
          <cell r="CC75">
            <v>6.32</v>
          </cell>
          <cell r="CD75">
            <v>6.9340000000000002</v>
          </cell>
          <cell r="CE75">
            <v>6.92645</v>
          </cell>
          <cell r="CF75">
            <v>7.8164499999999997</v>
          </cell>
          <cell r="CG75">
            <v>9.3164499999999997</v>
          </cell>
          <cell r="CH75">
            <v>10.89645</v>
          </cell>
          <cell r="CI75">
            <v>12.47645</v>
          </cell>
          <cell r="CJ75">
            <v>14.05645</v>
          </cell>
          <cell r="CK75">
            <v>17.356449999999999</v>
          </cell>
        </row>
        <row r="76">
          <cell r="BM76" t="str">
            <v>LP05</v>
          </cell>
          <cell r="BN76">
            <v>0.1</v>
          </cell>
          <cell r="BO76">
            <v>0.1</v>
          </cell>
          <cell r="BP76">
            <v>0.1</v>
          </cell>
          <cell r="BQ76">
            <v>0.1</v>
          </cell>
          <cell r="BR76">
            <v>-7.0000000000000007E-2</v>
          </cell>
          <cell r="BS76">
            <v>0.1</v>
          </cell>
          <cell r="BT76">
            <v>0.1</v>
          </cell>
          <cell r="BU76">
            <v>-0.29000000000000004</v>
          </cell>
          <cell r="BV76">
            <v>0.1</v>
          </cell>
          <cell r="BW76">
            <v>-7.0000000000000007E-2</v>
          </cell>
          <cell r="BX76">
            <v>0.1</v>
          </cell>
          <cell r="BY76">
            <v>0.1</v>
          </cell>
          <cell r="BZ76">
            <v>0.1</v>
          </cell>
          <cell r="CA76">
            <v>0.2</v>
          </cell>
          <cell r="CB76">
            <v>0.30000000000000004</v>
          </cell>
          <cell r="CC76">
            <v>0.4</v>
          </cell>
          <cell r="CD76">
            <v>0.33</v>
          </cell>
          <cell r="CE76">
            <v>0.43000000000000005</v>
          </cell>
          <cell r="CF76">
            <v>0.53</v>
          </cell>
          <cell r="CG76">
            <v>0.24</v>
          </cell>
          <cell r="CH76">
            <v>0.33999999999999997</v>
          </cell>
          <cell r="CI76">
            <v>0.26999999999999996</v>
          </cell>
          <cell r="CJ76">
            <v>0.37</v>
          </cell>
          <cell r="CK76">
            <v>0.47</v>
          </cell>
        </row>
        <row r="77">
          <cell r="BM77" t="str">
            <v>LP06</v>
          </cell>
          <cell r="BN77">
            <v>2.4</v>
          </cell>
          <cell r="BO77">
            <v>1.73</v>
          </cell>
          <cell r="BP77">
            <v>2.0649999999999999</v>
          </cell>
          <cell r="BQ77">
            <v>2.0649999999999999</v>
          </cell>
          <cell r="BR77">
            <v>1.3899999999999997</v>
          </cell>
          <cell r="BS77">
            <v>0.25665999999999967</v>
          </cell>
          <cell r="BT77">
            <v>1.34</v>
          </cell>
          <cell r="BU77">
            <v>1.23</v>
          </cell>
          <cell r="BV77">
            <v>2.0699999999999998</v>
          </cell>
          <cell r="BW77">
            <v>0.46999999999999975</v>
          </cell>
          <cell r="BX77">
            <v>2.0699999999999998</v>
          </cell>
          <cell r="BY77">
            <v>2.06</v>
          </cell>
          <cell r="BZ77">
            <v>2.4</v>
          </cell>
          <cell r="CA77">
            <v>4.13</v>
          </cell>
          <cell r="CB77">
            <v>6.1950000000000003</v>
          </cell>
          <cell r="CC77">
            <v>8.26</v>
          </cell>
          <cell r="CD77">
            <v>9.6499999999999986</v>
          </cell>
          <cell r="CE77">
            <v>9.9066599999999987</v>
          </cell>
          <cell r="CF77">
            <v>11.246659999999999</v>
          </cell>
          <cell r="CG77">
            <v>12.476659999999999</v>
          </cell>
          <cell r="CH77">
            <v>14.546659999999999</v>
          </cell>
          <cell r="CI77">
            <v>15.016659999999998</v>
          </cell>
          <cell r="CJ77">
            <v>17.086659999999998</v>
          </cell>
          <cell r="CK77">
            <v>19.146659999999997</v>
          </cell>
        </row>
        <row r="78">
          <cell r="BM78" t="str">
            <v>LP07</v>
          </cell>
          <cell r="BN78">
            <v>11.99</v>
          </cell>
          <cell r="BO78">
            <v>8.66</v>
          </cell>
          <cell r="BP78">
            <v>10.323</v>
          </cell>
          <cell r="BQ78">
            <v>10.323</v>
          </cell>
          <cell r="BR78">
            <v>8.9730000000000008</v>
          </cell>
          <cell r="BS78">
            <v>8.393320000000001</v>
          </cell>
          <cell r="BT78">
            <v>8.1</v>
          </cell>
          <cell r="BU78">
            <v>10.32</v>
          </cell>
          <cell r="BV78">
            <v>10.040000000000001</v>
          </cell>
          <cell r="BW78">
            <v>6.44</v>
          </cell>
          <cell r="BX78">
            <v>-0.93</v>
          </cell>
          <cell r="BY78">
            <v>12.42</v>
          </cell>
          <cell r="BZ78">
            <v>11.99</v>
          </cell>
          <cell r="CA78">
            <v>20.65</v>
          </cell>
          <cell r="CB78">
            <v>30.972999999999999</v>
          </cell>
          <cell r="CC78">
            <v>41.295999999999999</v>
          </cell>
          <cell r="CD78">
            <v>50.268999999999998</v>
          </cell>
          <cell r="CE78">
            <v>58.662320000000001</v>
          </cell>
          <cell r="CF78">
            <v>66.762320000000003</v>
          </cell>
          <cell r="CG78">
            <v>77.08232000000001</v>
          </cell>
          <cell r="CH78">
            <v>87.122320000000016</v>
          </cell>
          <cell r="CI78">
            <v>93.562320000000014</v>
          </cell>
          <cell r="CJ78">
            <v>92.632320000000007</v>
          </cell>
          <cell r="CK78">
            <v>105.05232000000001</v>
          </cell>
        </row>
        <row r="79">
          <cell r="BM79" t="str">
            <v>LP08</v>
          </cell>
          <cell r="BN79">
            <v>0.1</v>
          </cell>
          <cell r="BO79">
            <v>0</v>
          </cell>
          <cell r="BP79">
            <v>0.05</v>
          </cell>
          <cell r="BQ79">
            <v>0.05</v>
          </cell>
          <cell r="BR79">
            <v>1.3000000000000005E-2</v>
          </cell>
          <cell r="BS79">
            <v>9.6259999999999957E-3</v>
          </cell>
          <cell r="BT79">
            <v>2.0000000000000004E-2</v>
          </cell>
          <cell r="BU79">
            <v>2.0000000000000004E-2</v>
          </cell>
          <cell r="BV79">
            <v>2.0000000000000004E-2</v>
          </cell>
          <cell r="BW79">
            <v>1.0000000000000004E-2</v>
          </cell>
          <cell r="BX79">
            <v>2.0000000000000004E-2</v>
          </cell>
          <cell r="BY79">
            <v>-0.12</v>
          </cell>
          <cell r="BZ79">
            <v>0.1</v>
          </cell>
          <cell r="CA79">
            <v>0.1</v>
          </cell>
          <cell r="CB79">
            <v>0.15000000000000002</v>
          </cell>
          <cell r="CC79">
            <v>0.2</v>
          </cell>
          <cell r="CD79">
            <v>0.21300000000000002</v>
          </cell>
          <cell r="CE79">
            <v>0.22262600000000002</v>
          </cell>
          <cell r="CF79">
            <v>0.24262600000000001</v>
          </cell>
          <cell r="CG79">
            <v>0.26262600000000003</v>
          </cell>
          <cell r="CH79">
            <v>0.28262600000000004</v>
          </cell>
          <cell r="CI79">
            <v>0.29262600000000005</v>
          </cell>
          <cell r="CJ79">
            <v>0.31262600000000007</v>
          </cell>
          <cell r="CK79">
            <v>0.19262600000000007</v>
          </cell>
        </row>
        <row r="80">
          <cell r="BM80" t="str">
            <v>LP09</v>
          </cell>
          <cell r="BN80">
            <v>0.5</v>
          </cell>
          <cell r="BO80">
            <v>0.5</v>
          </cell>
          <cell r="BP80">
            <v>0.5</v>
          </cell>
          <cell r="BQ80">
            <v>0.5</v>
          </cell>
          <cell r="BR80">
            <v>-0.18000000000000005</v>
          </cell>
          <cell r="BS80">
            <v>-0.51967999999999992</v>
          </cell>
          <cell r="BT80">
            <v>0.1</v>
          </cell>
          <cell r="BU80">
            <v>-0.5</v>
          </cell>
          <cell r="BV80">
            <v>0.78</v>
          </cell>
          <cell r="BW80">
            <v>0.14000000000000001</v>
          </cell>
          <cell r="BX80">
            <v>3.75</v>
          </cell>
          <cell r="BY80">
            <v>0.49</v>
          </cell>
          <cell r="BZ80">
            <v>0.5</v>
          </cell>
          <cell r="CA80">
            <v>1</v>
          </cell>
          <cell r="CB80">
            <v>1.5</v>
          </cell>
          <cell r="CC80">
            <v>2</v>
          </cell>
          <cell r="CD80">
            <v>1.8199999999999998</v>
          </cell>
          <cell r="CE80">
            <v>1.3003199999999999</v>
          </cell>
          <cell r="CF80">
            <v>1.40032</v>
          </cell>
          <cell r="CG80">
            <v>0.90032000000000001</v>
          </cell>
          <cell r="CH80">
            <v>1.68032</v>
          </cell>
          <cell r="CI80">
            <v>1.8203200000000002</v>
          </cell>
          <cell r="CJ80">
            <v>5.5703200000000006</v>
          </cell>
          <cell r="CK80">
            <v>6.0603200000000008</v>
          </cell>
        </row>
        <row r="81">
          <cell r="BM81" t="str">
            <v>LP10</v>
          </cell>
          <cell r="BN81">
            <v>10.18</v>
          </cell>
          <cell r="BO81">
            <v>8.51</v>
          </cell>
          <cell r="BP81">
            <v>9.35</v>
          </cell>
          <cell r="BQ81">
            <v>9.35</v>
          </cell>
          <cell r="BR81">
            <v>3.5</v>
          </cell>
          <cell r="BS81">
            <v>3.8711900000000004</v>
          </cell>
          <cell r="BT81">
            <v>9.35</v>
          </cell>
          <cell r="BU81">
            <v>8.14</v>
          </cell>
          <cell r="BV81">
            <v>9.35</v>
          </cell>
          <cell r="BW81">
            <v>8.5599999999999987</v>
          </cell>
          <cell r="BX81">
            <v>4.3499999999999996</v>
          </cell>
          <cell r="BY81">
            <v>6.9499999999999993</v>
          </cell>
          <cell r="BZ81">
            <v>10.18</v>
          </cell>
          <cell r="CA81">
            <v>18.689999999999998</v>
          </cell>
          <cell r="CB81">
            <v>28.04</v>
          </cell>
          <cell r="CC81">
            <v>37.39</v>
          </cell>
          <cell r="CD81">
            <v>40.89</v>
          </cell>
          <cell r="CE81">
            <v>44.761189999999999</v>
          </cell>
          <cell r="CF81">
            <v>54.111190000000001</v>
          </cell>
          <cell r="CG81">
            <v>62.251190000000001</v>
          </cell>
          <cell r="CH81">
            <v>71.601190000000003</v>
          </cell>
          <cell r="CI81">
            <v>80.161190000000005</v>
          </cell>
          <cell r="CJ81">
            <v>84.511189999999999</v>
          </cell>
          <cell r="CK81">
            <v>91.461190000000002</v>
          </cell>
        </row>
        <row r="82">
          <cell r="BM82" t="str">
            <v>LP11</v>
          </cell>
          <cell r="BN82">
            <v>1.75</v>
          </cell>
          <cell r="BO82">
            <v>1.25</v>
          </cell>
          <cell r="BP82">
            <v>1.5</v>
          </cell>
          <cell r="BQ82">
            <v>33.5</v>
          </cell>
          <cell r="BR82">
            <v>1.5</v>
          </cell>
          <cell r="BS82">
            <v>-4.4600000000000035</v>
          </cell>
          <cell r="BT82">
            <v>1.5</v>
          </cell>
          <cell r="BU82">
            <v>-1</v>
          </cell>
          <cell r="BV82">
            <v>1.5</v>
          </cell>
          <cell r="BW82">
            <v>1.5</v>
          </cell>
          <cell r="BX82">
            <v>1.5</v>
          </cell>
          <cell r="BY82">
            <v>1.5</v>
          </cell>
          <cell r="BZ82">
            <v>1.75</v>
          </cell>
          <cell r="CA82">
            <v>3</v>
          </cell>
          <cell r="CB82">
            <v>4.5</v>
          </cell>
          <cell r="CC82">
            <v>38</v>
          </cell>
          <cell r="CD82">
            <v>39.5</v>
          </cell>
          <cell r="CE82">
            <v>35.04</v>
          </cell>
          <cell r="CF82">
            <v>36.54</v>
          </cell>
          <cell r="CG82">
            <v>35.54</v>
          </cell>
          <cell r="CH82">
            <v>37.04</v>
          </cell>
          <cell r="CI82">
            <v>38.54</v>
          </cell>
          <cell r="CJ82">
            <v>40.04</v>
          </cell>
          <cell r="CK82">
            <v>41.54</v>
          </cell>
        </row>
        <row r="83">
          <cell r="BM83" t="str">
            <v>LP12</v>
          </cell>
          <cell r="BN83">
            <v>1.61</v>
          </cell>
          <cell r="BO83">
            <v>1.61</v>
          </cell>
          <cell r="BP83">
            <v>1.61</v>
          </cell>
          <cell r="BQ83">
            <v>1.61</v>
          </cell>
          <cell r="BR83">
            <v>0.77000000000000013</v>
          </cell>
          <cell r="BS83">
            <v>0.24017000000000022</v>
          </cell>
          <cell r="BT83">
            <v>1.36</v>
          </cell>
          <cell r="BU83">
            <v>1.02</v>
          </cell>
          <cell r="BV83">
            <v>1.61</v>
          </cell>
          <cell r="BW83">
            <v>1.1300000000000001</v>
          </cell>
          <cell r="BX83">
            <v>1.61</v>
          </cell>
          <cell r="BY83">
            <v>1.61</v>
          </cell>
          <cell r="BZ83">
            <v>1.61</v>
          </cell>
          <cell r="CA83">
            <v>3.22</v>
          </cell>
          <cell r="CB83">
            <v>4.83</v>
          </cell>
          <cell r="CC83">
            <v>6.44</v>
          </cell>
          <cell r="CD83">
            <v>7.2100000000000009</v>
          </cell>
          <cell r="CE83">
            <v>7.4501700000000008</v>
          </cell>
          <cell r="CF83">
            <v>8.8101700000000012</v>
          </cell>
          <cell r="CG83">
            <v>9.8301700000000007</v>
          </cell>
          <cell r="CH83">
            <v>11.44017</v>
          </cell>
          <cell r="CI83">
            <v>12.570170000000001</v>
          </cell>
          <cell r="CJ83">
            <v>14.18017</v>
          </cell>
          <cell r="CK83">
            <v>15.79017</v>
          </cell>
        </row>
        <row r="84">
          <cell r="BM84" t="str">
            <v>LP13</v>
          </cell>
          <cell r="BN84">
            <v>2</v>
          </cell>
          <cell r="BO84">
            <v>1.67</v>
          </cell>
          <cell r="BP84">
            <v>1.835</v>
          </cell>
          <cell r="BQ84">
            <v>1.835</v>
          </cell>
          <cell r="BR84">
            <v>0.59799999999999986</v>
          </cell>
          <cell r="BS84">
            <v>1.1720000000000002</v>
          </cell>
          <cell r="BT84">
            <v>0.87</v>
          </cell>
          <cell r="BU84">
            <v>-0.75</v>
          </cell>
          <cell r="BV84">
            <v>1.83</v>
          </cell>
          <cell r="BW84">
            <v>1.69</v>
          </cell>
          <cell r="BX84">
            <v>1.83</v>
          </cell>
          <cell r="BY84">
            <v>3.98</v>
          </cell>
          <cell r="BZ84">
            <v>2</v>
          </cell>
          <cell r="CA84">
            <v>3.67</v>
          </cell>
          <cell r="CB84">
            <v>5.5049999999999999</v>
          </cell>
          <cell r="CC84">
            <v>7.34</v>
          </cell>
          <cell r="CD84">
            <v>7.9379999999999997</v>
          </cell>
          <cell r="CE84">
            <v>9.11</v>
          </cell>
          <cell r="CF84">
            <v>9.9799999999999986</v>
          </cell>
          <cell r="CG84">
            <v>9.2299999999999986</v>
          </cell>
          <cell r="CH84">
            <v>11.059999999999999</v>
          </cell>
          <cell r="CI84">
            <v>12.749999999999998</v>
          </cell>
          <cell r="CJ84">
            <v>14.579999999999998</v>
          </cell>
          <cell r="CK84">
            <v>18.559999999999999</v>
          </cell>
        </row>
        <row r="85">
          <cell r="BM85" t="str">
            <v>LP14</v>
          </cell>
          <cell r="BN85">
            <v>1</v>
          </cell>
          <cell r="BO85">
            <v>1</v>
          </cell>
          <cell r="BP85">
            <v>1</v>
          </cell>
          <cell r="BQ85">
            <v>1</v>
          </cell>
          <cell r="BR85">
            <v>0.44999999999999996</v>
          </cell>
          <cell r="BS85">
            <v>-0.55000000000000004</v>
          </cell>
          <cell r="BT85">
            <v>1</v>
          </cell>
          <cell r="BU85">
            <v>-0.39999999999999991</v>
          </cell>
          <cell r="BV85">
            <v>1</v>
          </cell>
          <cell r="BW85">
            <v>1</v>
          </cell>
          <cell r="BX85">
            <v>1</v>
          </cell>
          <cell r="BY85">
            <v>1</v>
          </cell>
          <cell r="BZ85">
            <v>1</v>
          </cell>
          <cell r="CA85">
            <v>2</v>
          </cell>
          <cell r="CB85">
            <v>3</v>
          </cell>
          <cell r="CC85">
            <v>4</v>
          </cell>
          <cell r="CD85">
            <v>4.45</v>
          </cell>
          <cell r="CE85">
            <v>3.9000000000000004</v>
          </cell>
          <cell r="CF85">
            <v>4.9000000000000004</v>
          </cell>
          <cell r="CG85">
            <v>4.5</v>
          </cell>
          <cell r="CH85">
            <v>5.5</v>
          </cell>
          <cell r="CI85">
            <v>6.5</v>
          </cell>
          <cell r="CJ85">
            <v>7.5</v>
          </cell>
          <cell r="CK85">
            <v>8.5</v>
          </cell>
        </row>
        <row r="86">
          <cell r="BM86" t="str">
            <v>LP15</v>
          </cell>
          <cell r="BN86">
            <v>0.08</v>
          </cell>
          <cell r="BO86">
            <v>0.08</v>
          </cell>
          <cell r="BP86">
            <v>0.08</v>
          </cell>
          <cell r="BQ86">
            <v>0.08</v>
          </cell>
          <cell r="BR86">
            <v>-0.08</v>
          </cell>
          <cell r="BS86">
            <v>-0.16</v>
          </cell>
          <cell r="BT86">
            <v>0.08</v>
          </cell>
          <cell r="BU86">
            <v>-0.14000000000000001</v>
          </cell>
          <cell r="BV86">
            <v>0.08</v>
          </cell>
          <cell r="BW86">
            <v>0</v>
          </cell>
          <cell r="BX86">
            <v>0.08</v>
          </cell>
          <cell r="BY86">
            <v>0.08</v>
          </cell>
          <cell r="BZ86">
            <v>0.08</v>
          </cell>
          <cell r="CA86">
            <v>0.16</v>
          </cell>
          <cell r="CB86">
            <v>0.24</v>
          </cell>
          <cell r="CC86">
            <v>0.32</v>
          </cell>
          <cell r="CD86">
            <v>0.24</v>
          </cell>
          <cell r="CE86">
            <v>7.9999999999999988E-2</v>
          </cell>
          <cell r="CF86">
            <v>0.15999999999999998</v>
          </cell>
          <cell r="CG86">
            <v>1.9999999999999962E-2</v>
          </cell>
          <cell r="CH86">
            <v>9.9999999999999964E-2</v>
          </cell>
          <cell r="CI86">
            <v>9.9999999999999964E-2</v>
          </cell>
          <cell r="CJ86">
            <v>0.17999999999999997</v>
          </cell>
          <cell r="CK86">
            <v>0.25999999999999995</v>
          </cell>
        </row>
        <row r="87">
          <cell r="BM87" t="str">
            <v>LP16</v>
          </cell>
          <cell r="BN87">
            <v>0.5</v>
          </cell>
          <cell r="BO87">
            <v>0.5</v>
          </cell>
          <cell r="BP87">
            <v>0.5</v>
          </cell>
          <cell r="BQ87">
            <v>0.5</v>
          </cell>
          <cell r="BR87">
            <v>-0.43999999999999995</v>
          </cell>
          <cell r="BS87">
            <v>0</v>
          </cell>
          <cell r="BT87">
            <v>0.43</v>
          </cell>
          <cell r="BU87">
            <v>-0.29000000000000004</v>
          </cell>
          <cell r="BV87">
            <v>0.5</v>
          </cell>
          <cell r="BW87">
            <v>-0.4</v>
          </cell>
          <cell r="BX87">
            <v>0.5</v>
          </cell>
          <cell r="BY87">
            <v>0.49</v>
          </cell>
          <cell r="BZ87">
            <v>0.5</v>
          </cell>
          <cell r="CA87">
            <v>1</v>
          </cell>
          <cell r="CB87">
            <v>1.5</v>
          </cell>
          <cell r="CC87">
            <v>2</v>
          </cell>
          <cell r="CD87">
            <v>1.56</v>
          </cell>
          <cell r="CE87">
            <v>1.56</v>
          </cell>
          <cell r="CF87">
            <v>1.99</v>
          </cell>
          <cell r="CG87">
            <v>1.7</v>
          </cell>
          <cell r="CH87">
            <v>2.2000000000000002</v>
          </cell>
          <cell r="CI87">
            <v>1.8000000000000003</v>
          </cell>
          <cell r="CJ87">
            <v>2.3000000000000003</v>
          </cell>
          <cell r="CK87">
            <v>2.79</v>
          </cell>
        </row>
        <row r="88">
          <cell r="BM88" t="str">
            <v>LP17</v>
          </cell>
          <cell r="BN88">
            <v>0.25</v>
          </cell>
          <cell r="BO88">
            <v>0.25</v>
          </cell>
          <cell r="BP88">
            <v>0.25</v>
          </cell>
          <cell r="BQ88">
            <v>0.25</v>
          </cell>
          <cell r="BR88">
            <v>-0.15000000000000002</v>
          </cell>
          <cell r="BS88">
            <v>0.15960000000000002</v>
          </cell>
          <cell r="BT88">
            <v>0.25</v>
          </cell>
          <cell r="BU88">
            <v>-4.9999999999999989E-2</v>
          </cell>
          <cell r="BV88">
            <v>0.25</v>
          </cell>
          <cell r="BW88">
            <v>4.0000000000000008E-2</v>
          </cell>
          <cell r="BX88">
            <v>0.25</v>
          </cell>
          <cell r="BY88">
            <v>0.24</v>
          </cell>
          <cell r="BZ88">
            <v>0.25</v>
          </cell>
          <cell r="CA88">
            <v>0.5</v>
          </cell>
          <cell r="CB88">
            <v>0.75</v>
          </cell>
          <cell r="CC88">
            <v>1</v>
          </cell>
          <cell r="CD88">
            <v>0.85</v>
          </cell>
          <cell r="CE88">
            <v>1.0096000000000001</v>
          </cell>
          <cell r="CF88">
            <v>1.2596000000000001</v>
          </cell>
          <cell r="CG88">
            <v>1.2096</v>
          </cell>
          <cell r="CH88">
            <v>1.4596</v>
          </cell>
          <cell r="CI88">
            <v>1.4996</v>
          </cell>
          <cell r="CJ88">
            <v>1.7496</v>
          </cell>
          <cell r="CK88">
            <v>1.9896</v>
          </cell>
        </row>
        <row r="89">
          <cell r="BM89" t="str">
            <v>LP18</v>
          </cell>
          <cell r="BN89">
            <v>0.2</v>
          </cell>
          <cell r="BO89">
            <v>0.2</v>
          </cell>
          <cell r="BP89">
            <v>0.2</v>
          </cell>
          <cell r="BQ89">
            <v>0.2</v>
          </cell>
          <cell r="BR89">
            <v>0</v>
          </cell>
          <cell r="BS89">
            <v>-6.5119999999999983E-2</v>
          </cell>
          <cell r="BT89">
            <v>0.14000000000000001</v>
          </cell>
          <cell r="BU89">
            <v>1.4</v>
          </cell>
          <cell r="BV89">
            <v>0.2</v>
          </cell>
          <cell r="BW89">
            <v>-0.03</v>
          </cell>
          <cell r="BX89">
            <v>0.2</v>
          </cell>
          <cell r="BY89">
            <v>0.19</v>
          </cell>
          <cell r="BZ89">
            <v>0.2</v>
          </cell>
          <cell r="CA89">
            <v>0.4</v>
          </cell>
          <cell r="CB89">
            <v>0.60000000000000009</v>
          </cell>
          <cell r="CC89">
            <v>0.8</v>
          </cell>
          <cell r="CD89">
            <v>0.8</v>
          </cell>
          <cell r="CE89">
            <v>0.73488000000000009</v>
          </cell>
          <cell r="CF89">
            <v>0.8748800000000001</v>
          </cell>
          <cell r="CG89">
            <v>2.27488</v>
          </cell>
          <cell r="CH89">
            <v>2.4748800000000002</v>
          </cell>
          <cell r="CI89">
            <v>2.4448800000000004</v>
          </cell>
          <cell r="CJ89">
            <v>2.6448800000000006</v>
          </cell>
          <cell r="CK89">
            <v>2.8348800000000005</v>
          </cell>
        </row>
        <row r="90">
          <cell r="BM90" t="str">
            <v>LP19</v>
          </cell>
          <cell r="BN90">
            <v>2</v>
          </cell>
          <cell r="BO90">
            <v>2</v>
          </cell>
          <cell r="BP90">
            <v>2</v>
          </cell>
          <cell r="BQ90">
            <v>2</v>
          </cell>
          <cell r="BR90">
            <v>-2</v>
          </cell>
          <cell r="BS90">
            <v>2</v>
          </cell>
          <cell r="BT90">
            <v>1.7</v>
          </cell>
          <cell r="BU90">
            <v>1.19</v>
          </cell>
          <cell r="BV90">
            <v>2</v>
          </cell>
          <cell r="BW90">
            <v>-0.14000000000000012</v>
          </cell>
          <cell r="BX90">
            <v>2</v>
          </cell>
          <cell r="BY90">
            <v>1.99</v>
          </cell>
          <cell r="BZ90">
            <v>2</v>
          </cell>
          <cell r="CA90">
            <v>4</v>
          </cell>
          <cell r="CB90">
            <v>6</v>
          </cell>
          <cell r="CC90">
            <v>8</v>
          </cell>
          <cell r="CD90">
            <v>6</v>
          </cell>
          <cell r="CE90">
            <v>8</v>
          </cell>
          <cell r="CF90">
            <v>9.6999999999999993</v>
          </cell>
          <cell r="CG90">
            <v>10.889999999999999</v>
          </cell>
          <cell r="CH90">
            <v>12.889999999999999</v>
          </cell>
          <cell r="CI90">
            <v>12.749999999999998</v>
          </cell>
          <cell r="CJ90">
            <v>14.749999999999998</v>
          </cell>
          <cell r="CK90">
            <v>16.739999999999998</v>
          </cell>
        </row>
        <row r="91">
          <cell r="BM91" t="str">
            <v>LP20</v>
          </cell>
          <cell r="BN91">
            <v>0</v>
          </cell>
          <cell r="BO91">
            <v>0</v>
          </cell>
          <cell r="BP91">
            <v>-0.98199999999999998</v>
          </cell>
          <cell r="BQ91">
            <v>0</v>
          </cell>
          <cell r="BR91">
            <v>-0.89</v>
          </cell>
          <cell r="BS91">
            <v>-0.24</v>
          </cell>
          <cell r="BT91">
            <v>-0.33</v>
          </cell>
          <cell r="BU91">
            <v>-1.2999999999999998</v>
          </cell>
          <cell r="BV91">
            <v>-1.59</v>
          </cell>
          <cell r="BW91">
            <v>-0.96</v>
          </cell>
          <cell r="BX91">
            <v>-1.1156999999999999</v>
          </cell>
          <cell r="BY91">
            <v>-2.5499999999999998</v>
          </cell>
          <cell r="BZ91">
            <v>0</v>
          </cell>
          <cell r="CA91">
            <v>0</v>
          </cell>
          <cell r="CB91">
            <v>-0.98199999999999998</v>
          </cell>
          <cell r="CC91">
            <v>-0.98199999999999998</v>
          </cell>
          <cell r="CD91">
            <v>-1.8719999999999999</v>
          </cell>
          <cell r="CE91">
            <v>-2.1120000000000001</v>
          </cell>
          <cell r="CF91">
            <v>-2.4420000000000002</v>
          </cell>
          <cell r="CG91">
            <v>-3.742</v>
          </cell>
          <cell r="CH91">
            <v>-5.3319999999999999</v>
          </cell>
          <cell r="CI91">
            <v>-6.2919999999999998</v>
          </cell>
          <cell r="CJ91">
            <v>-7.4077000000000002</v>
          </cell>
          <cell r="CK91">
            <v>-9.9576999999999991</v>
          </cell>
        </row>
        <row r="92">
          <cell r="BN92">
            <v>38.81</v>
          </cell>
          <cell r="BO92">
            <v>31.419999999999998</v>
          </cell>
          <cell r="BP92">
            <v>34.136000000000003</v>
          </cell>
          <cell r="BQ92">
            <v>67.117999999999995</v>
          </cell>
          <cell r="BR92">
            <v>15.041999999999998</v>
          </cell>
          <cell r="BS92">
            <v>11.406286</v>
          </cell>
          <cell r="BT92">
            <v>28.49</v>
          </cell>
          <cell r="BU92">
            <v>22.95</v>
          </cell>
          <cell r="BV92">
            <v>33.47</v>
          </cell>
          <cell r="BW92">
            <v>21.79</v>
          </cell>
          <cell r="BX92">
            <v>20.944299999999998</v>
          </cell>
          <cell r="BY92">
            <v>35.869999999999997</v>
          </cell>
          <cell r="BZ92">
            <v>38.81</v>
          </cell>
          <cell r="CA92">
            <v>70.22999999999999</v>
          </cell>
          <cell r="CB92">
            <v>104.36599999999999</v>
          </cell>
          <cell r="CC92">
            <v>171.48400000000001</v>
          </cell>
          <cell r="CD92">
            <v>186.52599999999995</v>
          </cell>
          <cell r="CE92">
            <v>197.93228600000006</v>
          </cell>
          <cell r="CF92">
            <v>226.42228599999996</v>
          </cell>
          <cell r="CG92">
            <v>249.37228599999997</v>
          </cell>
          <cell r="CH92">
            <v>282.842286</v>
          </cell>
          <cell r="CI92">
            <v>304.63228600000014</v>
          </cell>
          <cell r="CJ92">
            <v>325.57658600000002</v>
          </cell>
          <cell r="CK92">
            <v>361.44658600000002</v>
          </cell>
        </row>
        <row r="97">
          <cell r="BN97" t="str">
            <v>Actual</v>
          </cell>
          <cell r="BO97" t="str">
            <v>Actual</v>
          </cell>
          <cell r="BP97" t="str">
            <v>Actual</v>
          </cell>
          <cell r="BQ97" t="str">
            <v>Actual</v>
          </cell>
          <cell r="BR97" t="str">
            <v>Actual</v>
          </cell>
          <cell r="BS97" t="str">
            <v>Actual</v>
          </cell>
          <cell r="BT97" t="str">
            <v>Actual</v>
          </cell>
          <cell r="BU97" t="str">
            <v>Actual</v>
          </cell>
          <cell r="BV97" t="str">
            <v>Actual</v>
          </cell>
          <cell r="BW97" t="str">
            <v>Actual</v>
          </cell>
          <cell r="BX97" t="str">
            <v>Actual</v>
          </cell>
          <cell r="BY97" t="str">
            <v>Actual</v>
          </cell>
          <cell r="BZ97" t="str">
            <v>Cum_Actu</v>
          </cell>
          <cell r="CA97" t="str">
            <v>Cum_Actu</v>
          </cell>
          <cell r="CB97" t="str">
            <v>Cum_Actu</v>
          </cell>
          <cell r="CC97" t="str">
            <v>Cum_Actu</v>
          </cell>
          <cell r="CD97" t="str">
            <v>Cum_Actu</v>
          </cell>
          <cell r="CE97" t="str">
            <v>Cum_Actu</v>
          </cell>
          <cell r="CF97" t="str">
            <v>Cum_Actu</v>
          </cell>
          <cell r="CG97" t="str">
            <v>Cum_Actu</v>
          </cell>
          <cell r="CH97" t="str">
            <v>Cum_Actu</v>
          </cell>
          <cell r="CI97" t="str">
            <v>Cum_Actu</v>
          </cell>
          <cell r="CJ97" t="str">
            <v>Cum_Actu</v>
          </cell>
          <cell r="CK97" t="str">
            <v>Cum_Actu</v>
          </cell>
        </row>
        <row r="98">
          <cell r="BM98" t="str">
            <v>CODE</v>
          </cell>
          <cell r="BN98">
            <v>41285</v>
          </cell>
          <cell r="BO98">
            <v>41316</v>
          </cell>
          <cell r="BP98">
            <v>41344</v>
          </cell>
          <cell r="BQ98">
            <v>41375</v>
          </cell>
          <cell r="BR98">
            <v>41405</v>
          </cell>
          <cell r="BS98">
            <v>41436</v>
          </cell>
          <cell r="BT98">
            <v>41466</v>
          </cell>
          <cell r="BU98">
            <v>41497</v>
          </cell>
          <cell r="BV98">
            <v>41528</v>
          </cell>
          <cell r="BW98">
            <v>41558</v>
          </cell>
          <cell r="BX98">
            <v>41589</v>
          </cell>
          <cell r="BY98">
            <v>41619</v>
          </cell>
          <cell r="BZ98">
            <v>41285</v>
          </cell>
          <cell r="CA98">
            <v>41316</v>
          </cell>
          <cell r="CB98">
            <v>41344</v>
          </cell>
          <cell r="CC98">
            <v>41375</v>
          </cell>
          <cell r="CD98">
            <v>41405</v>
          </cell>
          <cell r="CE98">
            <v>41436</v>
          </cell>
          <cell r="CF98">
            <v>41466</v>
          </cell>
          <cell r="CG98">
            <v>41497</v>
          </cell>
          <cell r="CH98">
            <v>41528</v>
          </cell>
          <cell r="CI98">
            <v>41558</v>
          </cell>
          <cell r="CJ98">
            <v>41589</v>
          </cell>
          <cell r="CK98">
            <v>41619</v>
          </cell>
        </row>
        <row r="99">
          <cell r="BM99" t="str">
            <v>CM01</v>
          </cell>
          <cell r="BN99">
            <v>0.25</v>
          </cell>
          <cell r="BO99">
            <v>0.23</v>
          </cell>
          <cell r="BP99">
            <v>0.23</v>
          </cell>
          <cell r="BQ99">
            <v>0.23</v>
          </cell>
          <cell r="BR99">
            <v>0.23</v>
          </cell>
          <cell r="BS99">
            <v>0.23</v>
          </cell>
          <cell r="BT99">
            <v>0.23</v>
          </cell>
          <cell r="BU99">
            <v>0.23</v>
          </cell>
          <cell r="BV99">
            <v>0.23</v>
          </cell>
          <cell r="BW99">
            <v>0.23</v>
          </cell>
          <cell r="BX99">
            <v>0.23</v>
          </cell>
          <cell r="BY99">
            <v>0.23</v>
          </cell>
          <cell r="BZ99">
            <v>0.25</v>
          </cell>
          <cell r="CA99">
            <v>0.48</v>
          </cell>
          <cell r="CB99">
            <v>0.71</v>
          </cell>
          <cell r="CC99">
            <v>0.94</v>
          </cell>
          <cell r="CD99">
            <v>1.17</v>
          </cell>
          <cell r="CE99">
            <v>1.4</v>
          </cell>
          <cell r="CF99">
            <v>1.63</v>
          </cell>
          <cell r="CG99">
            <v>1.8599999999999999</v>
          </cell>
          <cell r="CH99">
            <v>2.09</v>
          </cell>
          <cell r="CI99">
            <v>2.3199999999999998</v>
          </cell>
          <cell r="CJ99">
            <v>2.5499999999999998</v>
          </cell>
          <cell r="CK99">
            <v>2.78</v>
          </cell>
        </row>
        <row r="100">
          <cell r="BM100" t="str">
            <v>CM02</v>
          </cell>
          <cell r="BN100">
            <v>0</v>
          </cell>
          <cell r="BO100">
            <v>0</v>
          </cell>
          <cell r="BP100">
            <v>25</v>
          </cell>
          <cell r="BQ100">
            <v>0</v>
          </cell>
          <cell r="BR100">
            <v>0</v>
          </cell>
          <cell r="BS100">
            <v>0</v>
          </cell>
          <cell r="BT100">
            <v>0</v>
          </cell>
          <cell r="BU100">
            <v>0</v>
          </cell>
          <cell r="BV100">
            <v>0</v>
          </cell>
          <cell r="BW100">
            <v>0</v>
          </cell>
          <cell r="BX100">
            <v>0</v>
          </cell>
          <cell r="BY100">
            <v>0</v>
          </cell>
          <cell r="BZ100">
            <v>0</v>
          </cell>
          <cell r="CA100">
            <v>0</v>
          </cell>
          <cell r="CB100">
            <v>25</v>
          </cell>
          <cell r="CC100">
            <v>25</v>
          </cell>
          <cell r="CD100">
            <v>25</v>
          </cell>
          <cell r="CE100">
            <v>25</v>
          </cell>
          <cell r="CF100">
            <v>25</v>
          </cell>
          <cell r="CG100">
            <v>25</v>
          </cell>
          <cell r="CH100">
            <v>25</v>
          </cell>
          <cell r="CI100">
            <v>25</v>
          </cell>
          <cell r="CJ100">
            <v>25</v>
          </cell>
          <cell r="CK100">
            <v>25</v>
          </cell>
        </row>
        <row r="101">
          <cell r="BM101" t="str">
            <v>CM03</v>
          </cell>
          <cell r="BN101">
            <v>1.5</v>
          </cell>
          <cell r="BO101">
            <v>1.5</v>
          </cell>
          <cell r="BP101">
            <v>1</v>
          </cell>
          <cell r="BQ101">
            <v>1.5</v>
          </cell>
          <cell r="BR101">
            <v>1.5</v>
          </cell>
          <cell r="BS101">
            <v>1</v>
          </cell>
          <cell r="BT101">
            <v>1.5</v>
          </cell>
          <cell r="BU101">
            <v>1.5</v>
          </cell>
          <cell r="BV101">
            <v>1</v>
          </cell>
          <cell r="BW101">
            <v>1.5</v>
          </cell>
          <cell r="BX101">
            <v>1.5</v>
          </cell>
          <cell r="BY101">
            <v>1</v>
          </cell>
          <cell r="BZ101">
            <v>1.5</v>
          </cell>
          <cell r="CA101">
            <v>3</v>
          </cell>
          <cell r="CB101">
            <v>4</v>
          </cell>
          <cell r="CC101">
            <v>5.5</v>
          </cell>
          <cell r="CD101">
            <v>7</v>
          </cell>
          <cell r="CE101">
            <v>8</v>
          </cell>
          <cell r="CF101">
            <v>9.5</v>
          </cell>
          <cell r="CG101">
            <v>11</v>
          </cell>
          <cell r="CH101">
            <v>12</v>
          </cell>
          <cell r="CI101">
            <v>13.5</v>
          </cell>
          <cell r="CJ101">
            <v>15</v>
          </cell>
          <cell r="CK101">
            <v>16</v>
          </cell>
        </row>
        <row r="102">
          <cell r="BM102" t="str">
            <v>CM04</v>
          </cell>
          <cell r="BN102">
            <v>3.2</v>
          </cell>
          <cell r="BO102">
            <v>3.2</v>
          </cell>
          <cell r="BP102">
            <v>3.2</v>
          </cell>
          <cell r="BQ102">
            <v>3.2</v>
          </cell>
          <cell r="BR102">
            <v>3.2</v>
          </cell>
          <cell r="BS102">
            <v>3.2</v>
          </cell>
          <cell r="BT102">
            <v>3.7</v>
          </cell>
          <cell r="BU102">
            <v>3.2</v>
          </cell>
          <cell r="BV102">
            <v>3.2</v>
          </cell>
          <cell r="BW102">
            <v>3.2</v>
          </cell>
          <cell r="BX102">
            <v>3.2</v>
          </cell>
          <cell r="BY102">
            <v>8.7899999999999991</v>
          </cell>
          <cell r="BZ102">
            <v>3.2</v>
          </cell>
          <cell r="CA102">
            <v>6.4</v>
          </cell>
          <cell r="CB102">
            <v>9.6000000000000014</v>
          </cell>
          <cell r="CC102">
            <v>12.8</v>
          </cell>
          <cell r="CD102">
            <v>16</v>
          </cell>
          <cell r="CE102">
            <v>19.2</v>
          </cell>
          <cell r="CF102">
            <v>22.9</v>
          </cell>
          <cell r="CG102">
            <v>26.099999999999998</v>
          </cell>
          <cell r="CH102">
            <v>29.299999999999997</v>
          </cell>
          <cell r="CI102">
            <v>32.5</v>
          </cell>
          <cell r="CJ102">
            <v>35.700000000000003</v>
          </cell>
          <cell r="CK102">
            <v>44.49</v>
          </cell>
        </row>
        <row r="103">
          <cell r="BM103" t="str">
            <v>CM05</v>
          </cell>
          <cell r="BN103">
            <v>2</v>
          </cell>
          <cell r="BO103">
            <v>1.69</v>
          </cell>
          <cell r="BP103">
            <v>1.89</v>
          </cell>
          <cell r="BQ103">
            <v>1.69</v>
          </cell>
          <cell r="BR103">
            <v>1.69</v>
          </cell>
          <cell r="BS103">
            <v>21.82</v>
          </cell>
          <cell r="BT103">
            <v>5.7</v>
          </cell>
          <cell r="BU103">
            <v>1.69</v>
          </cell>
          <cell r="BV103">
            <v>1.19</v>
          </cell>
          <cell r="BW103">
            <v>1.69</v>
          </cell>
          <cell r="BX103">
            <v>41.74</v>
          </cell>
          <cell r="BY103">
            <v>-11.67</v>
          </cell>
          <cell r="BZ103">
            <v>2</v>
          </cell>
          <cell r="CA103">
            <v>3.69</v>
          </cell>
          <cell r="CB103">
            <v>5.58</v>
          </cell>
          <cell r="CC103">
            <v>7.27</v>
          </cell>
          <cell r="CD103">
            <v>8.9599999999999991</v>
          </cell>
          <cell r="CE103">
            <v>30.78</v>
          </cell>
          <cell r="CF103">
            <v>36.480000000000004</v>
          </cell>
          <cell r="CG103">
            <v>38.17</v>
          </cell>
          <cell r="CH103">
            <v>39.36</v>
          </cell>
          <cell r="CI103">
            <v>41.05</v>
          </cell>
          <cell r="CJ103">
            <v>82.789999999999992</v>
          </cell>
          <cell r="CK103">
            <v>71.11999999999999</v>
          </cell>
        </row>
        <row r="104">
          <cell r="BM104" t="str">
            <v>CM06</v>
          </cell>
          <cell r="BN104">
            <v>1.5</v>
          </cell>
          <cell r="BO104">
            <v>1.5</v>
          </cell>
          <cell r="BP104">
            <v>1</v>
          </cell>
          <cell r="BQ104">
            <v>1.5</v>
          </cell>
          <cell r="BR104">
            <v>1.5</v>
          </cell>
          <cell r="BS104">
            <v>1.49</v>
          </cell>
          <cell r="BT104">
            <v>0</v>
          </cell>
          <cell r="BU104">
            <v>1.5</v>
          </cell>
          <cell r="BV104">
            <v>1</v>
          </cell>
          <cell r="BW104">
            <v>1.5</v>
          </cell>
          <cell r="BX104">
            <v>1.5</v>
          </cell>
          <cell r="BY104">
            <v>0.09</v>
          </cell>
          <cell r="BZ104">
            <v>1.5</v>
          </cell>
          <cell r="CA104">
            <v>3</v>
          </cell>
          <cell r="CB104">
            <v>4</v>
          </cell>
          <cell r="CC104">
            <v>5.5</v>
          </cell>
          <cell r="CD104">
            <v>7</v>
          </cell>
          <cell r="CE104">
            <v>8.49</v>
          </cell>
          <cell r="CF104">
            <v>8.49</v>
          </cell>
          <cell r="CG104">
            <v>9.99</v>
          </cell>
          <cell r="CH104">
            <v>10.99</v>
          </cell>
          <cell r="CI104">
            <v>12.49</v>
          </cell>
          <cell r="CJ104">
            <v>13.99</v>
          </cell>
          <cell r="CK104">
            <v>14.08</v>
          </cell>
        </row>
        <row r="105">
          <cell r="BM105" t="str">
            <v>CM07</v>
          </cell>
          <cell r="BN105">
            <v>0.16</v>
          </cell>
          <cell r="BO105">
            <v>0.16</v>
          </cell>
          <cell r="BP105">
            <v>0.18</v>
          </cell>
          <cell r="BQ105">
            <v>0.16</v>
          </cell>
          <cell r="BR105">
            <v>0.16</v>
          </cell>
          <cell r="BS105">
            <v>0.18</v>
          </cell>
          <cell r="BT105">
            <v>0.16</v>
          </cell>
          <cell r="BU105">
            <v>0.16</v>
          </cell>
          <cell r="BV105">
            <v>0.18</v>
          </cell>
          <cell r="BW105">
            <v>0.16</v>
          </cell>
          <cell r="BX105">
            <v>0.16</v>
          </cell>
          <cell r="BY105">
            <v>0.18</v>
          </cell>
          <cell r="BZ105">
            <v>0.16</v>
          </cell>
          <cell r="CA105">
            <v>0.32</v>
          </cell>
          <cell r="CB105">
            <v>0.5</v>
          </cell>
          <cell r="CC105">
            <v>0.66</v>
          </cell>
          <cell r="CD105">
            <v>0.82000000000000006</v>
          </cell>
          <cell r="CE105">
            <v>1</v>
          </cell>
          <cell r="CF105">
            <v>1.1599999999999999</v>
          </cell>
          <cell r="CG105">
            <v>1.3199999999999998</v>
          </cell>
          <cell r="CH105">
            <v>1.4999999999999998</v>
          </cell>
          <cell r="CI105">
            <v>1.6599999999999997</v>
          </cell>
          <cell r="CJ105">
            <v>1.8199999999999996</v>
          </cell>
          <cell r="CK105">
            <v>1.9999999999999996</v>
          </cell>
        </row>
        <row r="106">
          <cell r="BM106" t="str">
            <v>CM08</v>
          </cell>
          <cell r="BN106">
            <v>0.36058414701958968</v>
          </cell>
          <cell r="BO106">
            <v>0.35167896273907345</v>
          </cell>
          <cell r="BP106">
            <v>0.28704720617221746</v>
          </cell>
          <cell r="BQ106">
            <v>0.40414540641534485</v>
          </cell>
          <cell r="BR106">
            <v>0.38977570561188946</v>
          </cell>
          <cell r="BS106">
            <v>0.35485762615245703</v>
          </cell>
          <cell r="BT106">
            <v>0.34268565873975199</v>
          </cell>
          <cell r="BU106">
            <v>0.34108188860366601</v>
          </cell>
          <cell r="BV106">
            <v>0.3832673944819</v>
          </cell>
          <cell r="BW106">
            <v>0.29114641212799197</v>
          </cell>
          <cell r="BX106">
            <v>0.31999999999999995</v>
          </cell>
          <cell r="BY106">
            <v>0.35</v>
          </cell>
          <cell r="BZ106">
            <v>0.36058414701958968</v>
          </cell>
          <cell r="CA106">
            <v>0.71226310975866314</v>
          </cell>
          <cell r="CB106">
            <v>0.9993103159308806</v>
          </cell>
          <cell r="CC106">
            <v>1.4034557223462254</v>
          </cell>
          <cell r="CD106">
            <v>1.7932314279581147</v>
          </cell>
          <cell r="CE106">
            <v>2.1480890541105717</v>
          </cell>
          <cell r="CF106">
            <v>2.4907747128503237</v>
          </cell>
          <cell r="CG106">
            <v>2.8318566014539899</v>
          </cell>
          <cell r="CH106">
            <v>3.2151239959358899</v>
          </cell>
          <cell r="CI106">
            <v>3.506270408063882</v>
          </cell>
          <cell r="CJ106">
            <v>3.8262704080638819</v>
          </cell>
          <cell r="CK106">
            <v>4.1762704080638819</v>
          </cell>
        </row>
        <row r="107">
          <cell r="BM107" t="str">
            <v>CM09</v>
          </cell>
          <cell r="BN107">
            <v>33.691293684131047</v>
          </cell>
          <cell r="BO107">
            <v>33.173964993406067</v>
          </cell>
          <cell r="BP107">
            <v>20.128239959106395</v>
          </cell>
          <cell r="BQ107">
            <v>37.501226289428253</v>
          </cell>
          <cell r="BR107">
            <v>36.586046445414325</v>
          </cell>
          <cell r="BS107">
            <v>-0.1183686427328</v>
          </cell>
          <cell r="BT107">
            <v>15.079972851930696</v>
          </cell>
          <cell r="BU107">
            <v>18.862237323879704</v>
          </cell>
          <cell r="BV107">
            <v>18.089965178699902</v>
          </cell>
          <cell r="BW107">
            <v>-39.860218563471498</v>
          </cell>
          <cell r="BX107">
            <v>17.979999999999997</v>
          </cell>
          <cell r="BY107">
            <v>20.439999999999998</v>
          </cell>
          <cell r="BZ107">
            <v>33.691293684131047</v>
          </cell>
          <cell r="CA107">
            <v>66.865258677537113</v>
          </cell>
          <cell r="CB107">
            <v>86.993498636643508</v>
          </cell>
          <cell r="CC107">
            <v>124.49472492607177</v>
          </cell>
          <cell r="CD107">
            <v>161.08077137148609</v>
          </cell>
          <cell r="CE107">
            <v>160.96240272875329</v>
          </cell>
          <cell r="CF107">
            <v>176.04237558068399</v>
          </cell>
          <cell r="CG107">
            <v>194.90461290456369</v>
          </cell>
          <cell r="CH107">
            <v>212.9945780832636</v>
          </cell>
          <cell r="CI107">
            <v>173.1343595197921</v>
          </cell>
          <cell r="CJ107">
            <v>191.11435951979209</v>
          </cell>
          <cell r="CK107">
            <v>211.55435951979209</v>
          </cell>
        </row>
        <row r="108">
          <cell r="BM108" t="str">
            <v>CM10</v>
          </cell>
          <cell r="BN108">
            <v>36.666666666666664</v>
          </cell>
          <cell r="BO108">
            <v>36.666666666666664</v>
          </cell>
          <cell r="BP108">
            <v>36.666666666666664</v>
          </cell>
          <cell r="BQ108">
            <v>36.666666666666664</v>
          </cell>
          <cell r="BR108">
            <v>36.666666666666664</v>
          </cell>
          <cell r="BS108">
            <v>49.176666666666698</v>
          </cell>
          <cell r="BT108">
            <v>51.7366666666667</v>
          </cell>
          <cell r="BU108">
            <v>57.506666666666703</v>
          </cell>
          <cell r="BV108">
            <v>51.256666666666696</v>
          </cell>
          <cell r="BW108">
            <v>51.256666666666696</v>
          </cell>
          <cell r="BX108">
            <v>51.253</v>
          </cell>
          <cell r="BY108">
            <v>51.25</v>
          </cell>
          <cell r="BZ108">
            <v>36.666666666666664</v>
          </cell>
          <cell r="CA108">
            <v>73.333333333333329</v>
          </cell>
          <cell r="CB108">
            <v>110</v>
          </cell>
          <cell r="CC108">
            <v>146.66666666666666</v>
          </cell>
          <cell r="CD108">
            <v>183.33333333333331</v>
          </cell>
          <cell r="CE108">
            <v>232.51000000000002</v>
          </cell>
          <cell r="CF108">
            <v>284.24666666666673</v>
          </cell>
          <cell r="CG108">
            <v>341.75333333333344</v>
          </cell>
          <cell r="CH108">
            <v>393.01000000000016</v>
          </cell>
          <cell r="CI108">
            <v>444.26666666666688</v>
          </cell>
          <cell r="CJ108">
            <v>495.51966666666686</v>
          </cell>
          <cell r="CK108">
            <v>546.76966666666681</v>
          </cell>
        </row>
        <row r="109">
          <cell r="BM109" t="str">
            <v>CM11</v>
          </cell>
          <cell r="BN109">
            <v>1552.5</v>
          </cell>
          <cell r="BO109">
            <v>343.5</v>
          </cell>
          <cell r="BP109">
            <v>-160</v>
          </cell>
          <cell r="BQ109">
            <v>1795.5</v>
          </cell>
          <cell r="BR109">
            <v>392.5</v>
          </cell>
          <cell r="BS109">
            <v>636.98</v>
          </cell>
          <cell r="BT109">
            <v>100.81000000000006</v>
          </cell>
          <cell r="BU109">
            <v>547</v>
          </cell>
          <cell r="BV109">
            <v>1182.5</v>
          </cell>
          <cell r="BW109">
            <v>732.36000000000013</v>
          </cell>
          <cell r="BX109">
            <v>-226.88</v>
          </cell>
          <cell r="BY109">
            <v>-114.22</v>
          </cell>
          <cell r="BZ109">
            <v>1552.5</v>
          </cell>
          <cell r="CA109">
            <v>1896</v>
          </cell>
          <cell r="CB109">
            <v>1736</v>
          </cell>
          <cell r="CC109">
            <v>3531.5</v>
          </cell>
          <cell r="CD109">
            <v>3924</v>
          </cell>
          <cell r="CE109">
            <v>4560.9799999999996</v>
          </cell>
          <cell r="CF109">
            <v>4661.79</v>
          </cell>
          <cell r="CG109">
            <v>5208.79</v>
          </cell>
          <cell r="CH109">
            <v>6391.29</v>
          </cell>
          <cell r="CI109">
            <v>7123.65</v>
          </cell>
          <cell r="CJ109">
            <v>6896.7699999999995</v>
          </cell>
          <cell r="CK109">
            <v>6782.5499999999993</v>
          </cell>
        </row>
        <row r="110">
          <cell r="BM110" t="str">
            <v>CM12</v>
          </cell>
          <cell r="BN110">
            <v>47.715619225638655</v>
          </cell>
          <cell r="BO110">
            <v>47.186479742801922</v>
          </cell>
          <cell r="BP110">
            <v>38.884634653289979</v>
          </cell>
          <cell r="BQ110">
            <v>112.51593776200664</v>
          </cell>
          <cell r="BR110">
            <v>59.989899964631704</v>
          </cell>
          <cell r="BS110">
            <v>44.730612650706007</v>
          </cell>
          <cell r="BT110">
            <v>44.971201527505997</v>
          </cell>
          <cell r="BU110">
            <v>24.416862355864104</v>
          </cell>
          <cell r="BV110">
            <v>41.365736201479201</v>
          </cell>
          <cell r="BW110">
            <v>53.1206846628912</v>
          </cell>
          <cell r="BX110">
            <v>79.12</v>
          </cell>
          <cell r="BY110">
            <v>162.75</v>
          </cell>
          <cell r="BZ110">
            <v>47.715619225638655</v>
          </cell>
          <cell r="CA110">
            <v>94.902098968440583</v>
          </cell>
          <cell r="CB110">
            <v>133.78673362173055</v>
          </cell>
          <cell r="CC110">
            <v>246.30267138373719</v>
          </cell>
          <cell r="CD110">
            <v>306.29257134836888</v>
          </cell>
          <cell r="CE110">
            <v>351.02318399907489</v>
          </cell>
          <cell r="CF110">
            <v>395.99438552658091</v>
          </cell>
          <cell r="CG110">
            <v>420.41124788244502</v>
          </cell>
          <cell r="CH110">
            <v>461.77698408392422</v>
          </cell>
          <cell r="CI110">
            <v>514.89766874681538</v>
          </cell>
          <cell r="CJ110">
            <v>594.01766874681539</v>
          </cell>
          <cell r="CK110">
            <v>756.76766874681539</v>
          </cell>
        </row>
        <row r="111">
          <cell r="BM111" t="str">
            <v>CM12A</v>
          </cell>
          <cell r="BN111">
            <v>52.136022618398421</v>
          </cell>
          <cell r="BO111">
            <v>49.15291734447284</v>
          </cell>
          <cell r="BP111">
            <v>18.839570180341155</v>
          </cell>
          <cell r="BQ111">
            <v>69.166985602360768</v>
          </cell>
          <cell r="BR111">
            <v>70.651647017213762</v>
          </cell>
          <cell r="BS111">
            <v>63.824250177301202</v>
          </cell>
          <cell r="BT111">
            <v>55.713178267654094</v>
          </cell>
          <cell r="BU111">
            <v>53.183367477487096</v>
          </cell>
          <cell r="BV111">
            <v>58.984983766446106</v>
          </cell>
          <cell r="BW111">
            <v>64.460217250460289</v>
          </cell>
          <cell r="BX111">
            <v>58.45</v>
          </cell>
          <cell r="BY111">
            <v>78.16</v>
          </cell>
          <cell r="BZ111">
            <v>52.136022618398421</v>
          </cell>
          <cell r="CA111">
            <v>101.28893996287127</v>
          </cell>
          <cell r="CB111">
            <v>120.12851014321242</v>
          </cell>
          <cell r="CC111">
            <v>189.29549574557319</v>
          </cell>
          <cell r="CD111">
            <v>259.94714276278694</v>
          </cell>
          <cell r="CE111">
            <v>323.77139294008816</v>
          </cell>
          <cell r="CF111">
            <v>379.48457120774225</v>
          </cell>
          <cell r="CG111">
            <v>432.66793868522933</v>
          </cell>
          <cell r="CH111">
            <v>491.65292245167541</v>
          </cell>
          <cell r="CI111">
            <v>556.11313970213564</v>
          </cell>
          <cell r="CJ111">
            <v>614.56313970213569</v>
          </cell>
          <cell r="CK111">
            <v>692.72313970213565</v>
          </cell>
        </row>
        <row r="112">
          <cell r="BM112" t="str">
            <v>CM13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row>
        <row r="113">
          <cell r="BM113" t="str">
            <v>CM14</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row>
        <row r="114">
          <cell r="BM114" t="str">
            <v>CM15</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BM115" t="str">
            <v>CM16</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row>
        <row r="116">
          <cell r="BM116" t="str">
            <v>CM17</v>
          </cell>
          <cell r="BN116">
            <v>1.1000000000000001</v>
          </cell>
          <cell r="BO116">
            <v>1.1000000000000001</v>
          </cell>
          <cell r="BP116">
            <v>1.05</v>
          </cell>
          <cell r="BQ116">
            <v>1.1000000000000001</v>
          </cell>
          <cell r="BR116">
            <v>1.1000000000000001</v>
          </cell>
          <cell r="BS116">
            <v>1.62</v>
          </cell>
          <cell r="BT116">
            <v>1.1000000000000001</v>
          </cell>
          <cell r="BU116">
            <v>1.1000000000000001</v>
          </cell>
          <cell r="BV116">
            <v>1.05</v>
          </cell>
          <cell r="BW116">
            <v>1.1000000000000001</v>
          </cell>
          <cell r="BX116">
            <v>1.1000000000000001</v>
          </cell>
          <cell r="BY116">
            <v>1.05</v>
          </cell>
          <cell r="BZ116">
            <v>1.1000000000000001</v>
          </cell>
          <cell r="CA116">
            <v>2.2000000000000002</v>
          </cell>
          <cell r="CB116">
            <v>3.25</v>
          </cell>
          <cell r="CC116">
            <v>4.3499999999999996</v>
          </cell>
          <cell r="CD116">
            <v>5.4499999999999993</v>
          </cell>
          <cell r="CE116">
            <v>7.0699999999999994</v>
          </cell>
          <cell r="CF116">
            <v>8.17</v>
          </cell>
          <cell r="CG116">
            <v>9.27</v>
          </cell>
          <cell r="CH116">
            <v>10.32</v>
          </cell>
          <cell r="CI116">
            <v>11.42</v>
          </cell>
          <cell r="CJ116">
            <v>12.52</v>
          </cell>
          <cell r="CK116">
            <v>13.57</v>
          </cell>
        </row>
        <row r="117">
          <cell r="BM117" t="str">
            <v>CM18</v>
          </cell>
          <cell r="BN117">
            <v>2.76</v>
          </cell>
          <cell r="BO117">
            <v>2.76</v>
          </cell>
          <cell r="BP117">
            <v>2.0599999999999996</v>
          </cell>
          <cell r="BQ117">
            <v>2.76</v>
          </cell>
          <cell r="BR117">
            <v>2.76</v>
          </cell>
          <cell r="BS117">
            <v>1.592039999999999</v>
          </cell>
          <cell r="BT117">
            <v>2.76</v>
          </cell>
          <cell r="BU117">
            <v>3.0799999999999996</v>
          </cell>
          <cell r="BV117">
            <v>2.76</v>
          </cell>
          <cell r="BW117">
            <v>2.76</v>
          </cell>
          <cell r="BX117">
            <v>2.76</v>
          </cell>
          <cell r="BY117">
            <v>2.76</v>
          </cell>
          <cell r="BZ117">
            <v>2.76</v>
          </cell>
          <cell r="CA117">
            <v>5.52</v>
          </cell>
          <cell r="CB117">
            <v>7.5799999999999992</v>
          </cell>
          <cell r="CC117">
            <v>10.34</v>
          </cell>
          <cell r="CD117">
            <v>13.1</v>
          </cell>
          <cell r="CE117">
            <v>14.692039999999999</v>
          </cell>
          <cell r="CF117">
            <v>17.452039999999997</v>
          </cell>
          <cell r="CG117">
            <v>20.532039999999995</v>
          </cell>
          <cell r="CH117">
            <v>23.292039999999993</v>
          </cell>
          <cell r="CI117">
            <v>26.052039999999991</v>
          </cell>
          <cell r="CJ117">
            <v>28.812039999999989</v>
          </cell>
          <cell r="CK117">
            <v>31.572039999999987</v>
          </cell>
        </row>
        <row r="118">
          <cell r="BM118" t="str">
            <v>CM19</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row>
        <row r="119">
          <cell r="BM119" t="str">
            <v>CM20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row>
        <row r="120">
          <cell r="BM120" t="str">
            <v>CM21</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row>
        <row r="121">
          <cell r="BM121" t="str">
            <v>CM22</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row>
        <row r="122">
          <cell r="BM122" t="str">
            <v>CM23</v>
          </cell>
          <cell r="BN122">
            <v>0</v>
          </cell>
          <cell r="BO122">
            <v>0</v>
          </cell>
          <cell r="BP122">
            <v>0</v>
          </cell>
          <cell r="BQ122">
            <v>0</v>
          </cell>
          <cell r="BR122">
            <v>0</v>
          </cell>
          <cell r="BS122">
            <v>11.24</v>
          </cell>
          <cell r="BT122">
            <v>0</v>
          </cell>
          <cell r="BU122">
            <v>0</v>
          </cell>
          <cell r="BV122">
            <v>0</v>
          </cell>
          <cell r="BW122">
            <v>0</v>
          </cell>
          <cell r="BX122">
            <v>0</v>
          </cell>
          <cell r="BY122">
            <v>0</v>
          </cell>
          <cell r="BZ122">
            <v>0</v>
          </cell>
          <cell r="CA122">
            <v>0</v>
          </cell>
          <cell r="CB122">
            <v>0</v>
          </cell>
          <cell r="CC122">
            <v>0</v>
          </cell>
          <cell r="CD122">
            <v>0</v>
          </cell>
          <cell r="CE122">
            <v>11.24</v>
          </cell>
          <cell r="CF122">
            <v>11.24</v>
          </cell>
          <cell r="CG122">
            <v>11.24</v>
          </cell>
          <cell r="CH122">
            <v>11.24</v>
          </cell>
          <cell r="CI122">
            <v>11.24</v>
          </cell>
          <cell r="CJ122">
            <v>11.24</v>
          </cell>
          <cell r="CK122">
            <v>11.24</v>
          </cell>
        </row>
        <row r="123">
          <cell r="BM123" t="str">
            <v>CM24</v>
          </cell>
          <cell r="BN123">
            <v>25.9</v>
          </cell>
          <cell r="BO123">
            <v>0</v>
          </cell>
          <cell r="BP123">
            <v>0</v>
          </cell>
          <cell r="BQ123">
            <v>0</v>
          </cell>
          <cell r="BR123">
            <v>-25.9</v>
          </cell>
          <cell r="BS123">
            <v>0</v>
          </cell>
          <cell r="BT123">
            <v>0</v>
          </cell>
          <cell r="BU123">
            <v>0</v>
          </cell>
          <cell r="BV123">
            <v>0</v>
          </cell>
          <cell r="BW123">
            <v>0</v>
          </cell>
          <cell r="BX123">
            <v>0</v>
          </cell>
          <cell r="BY123">
            <v>0</v>
          </cell>
          <cell r="BZ123">
            <v>25.9</v>
          </cell>
          <cell r="CA123">
            <v>25.9</v>
          </cell>
          <cell r="CB123">
            <v>25.9</v>
          </cell>
          <cell r="CC123">
            <v>25.9</v>
          </cell>
          <cell r="CD123">
            <v>0</v>
          </cell>
          <cell r="CE123">
            <v>0</v>
          </cell>
          <cell r="CF123">
            <v>0</v>
          </cell>
          <cell r="CG123">
            <v>0</v>
          </cell>
          <cell r="CH123">
            <v>0</v>
          </cell>
          <cell r="CI123">
            <v>0</v>
          </cell>
          <cell r="CJ123">
            <v>0</v>
          </cell>
          <cell r="CK123">
            <v>0</v>
          </cell>
        </row>
        <row r="124">
          <cell r="BM124" t="str">
            <v>CM25</v>
          </cell>
          <cell r="BN124">
            <v>1.6666666666666667</v>
          </cell>
          <cell r="BO124">
            <v>1.6666666666666667</v>
          </cell>
          <cell r="BP124">
            <v>1.6666666666666667</v>
          </cell>
          <cell r="BQ124">
            <v>1.6666666666666667</v>
          </cell>
          <cell r="BR124">
            <v>1.6666666666666667</v>
          </cell>
          <cell r="BS124">
            <v>1.6666666666666701</v>
          </cell>
          <cell r="BT124">
            <v>3.1766666666666703</v>
          </cell>
          <cell r="BU124">
            <v>2.2366666666666699</v>
          </cell>
          <cell r="BV124">
            <v>2.0266666666666699</v>
          </cell>
          <cell r="BW124">
            <v>1.6666666666666667</v>
          </cell>
          <cell r="BX124">
            <v>1.6666666666666667</v>
          </cell>
          <cell r="BY124">
            <v>4.29</v>
          </cell>
          <cell r="BZ124">
            <v>1.6666666666666667</v>
          </cell>
          <cell r="CA124">
            <v>3.3333333333333335</v>
          </cell>
          <cell r="CB124">
            <v>5</v>
          </cell>
          <cell r="CC124">
            <v>6.666666666666667</v>
          </cell>
          <cell r="CD124">
            <v>8.3333333333333339</v>
          </cell>
          <cell r="CE124">
            <v>10.000000000000004</v>
          </cell>
          <cell r="CF124">
            <v>13.176666666666673</v>
          </cell>
          <cell r="CG124">
            <v>15.413333333333343</v>
          </cell>
          <cell r="CH124">
            <v>17.440000000000012</v>
          </cell>
          <cell r="CI124">
            <v>19.10666666666668</v>
          </cell>
          <cell r="CJ124">
            <v>20.773333333333348</v>
          </cell>
          <cell r="CK124">
            <v>25.063333333333347</v>
          </cell>
        </row>
        <row r="125">
          <cell r="BM125" t="str">
            <v>TTL</v>
          </cell>
          <cell r="BN125">
            <v>1763.1068530085211</v>
          </cell>
          <cell r="BO125">
            <v>523.83837437675322</v>
          </cell>
          <cell r="BP125">
            <v>-7.917174667756929</v>
          </cell>
          <cell r="BQ125">
            <v>2065.5616283935442</v>
          </cell>
          <cell r="BR125">
            <v>584.69070246620504</v>
          </cell>
          <cell r="BS125">
            <v>838.98672514476027</v>
          </cell>
          <cell r="BT125">
            <v>286.98037163916399</v>
          </cell>
          <cell r="BU125">
            <v>716.00688237916791</v>
          </cell>
          <cell r="BV125">
            <v>1365.2172858744402</v>
          </cell>
          <cell r="BW125">
            <v>875.43516309534152</v>
          </cell>
          <cell r="BX125">
            <v>34.099666666666671</v>
          </cell>
          <cell r="BY125">
            <v>205.45</v>
          </cell>
          <cell r="BZ125">
            <v>1763.1068530085211</v>
          </cell>
          <cell r="CA125">
            <v>2286.9452273852739</v>
          </cell>
          <cell r="CB125">
            <v>2279.0280527175173</v>
          </cell>
          <cell r="CC125">
            <v>4344.5896811110624</v>
          </cell>
          <cell r="CD125">
            <v>4929.2803835772665</v>
          </cell>
          <cell r="CE125">
            <v>5768.2671087220251</v>
          </cell>
          <cell r="CF125">
            <v>6055.2474803611904</v>
          </cell>
          <cell r="CG125">
            <v>6771.2543627403593</v>
          </cell>
          <cell r="CH125">
            <v>8136.4716486147991</v>
          </cell>
          <cell r="CI125">
            <v>9011.9068117101415</v>
          </cell>
          <cell r="CJ125">
            <v>9046.0064783768066</v>
          </cell>
          <cell r="CK125">
            <v>9251.4564783768037</v>
          </cell>
        </row>
        <row r="136">
          <cell r="BN136" t="str">
            <v>Actual</v>
          </cell>
          <cell r="BO136" t="str">
            <v>Actual</v>
          </cell>
          <cell r="BP136" t="str">
            <v>Actual</v>
          </cell>
          <cell r="BQ136" t="str">
            <v>Actual</v>
          </cell>
          <cell r="BR136" t="str">
            <v>Actual</v>
          </cell>
          <cell r="BS136" t="str">
            <v>Actual</v>
          </cell>
          <cell r="BT136" t="str">
            <v>Actual</v>
          </cell>
          <cell r="BU136" t="str">
            <v>Actual</v>
          </cell>
          <cell r="BV136" t="str">
            <v>Actual</v>
          </cell>
          <cell r="BW136" t="str">
            <v>Actual</v>
          </cell>
          <cell r="BX136" t="str">
            <v>Actual</v>
          </cell>
          <cell r="BY136" t="str">
            <v>Actual</v>
          </cell>
          <cell r="BZ136" t="str">
            <v>Cum_Actu</v>
          </cell>
          <cell r="CA136" t="str">
            <v>Cum_Actu</v>
          </cell>
          <cell r="CB136" t="str">
            <v>Cum_Actu</v>
          </cell>
          <cell r="CC136" t="str">
            <v>Cum_Actu</v>
          </cell>
          <cell r="CD136" t="str">
            <v>Cum_Actu</v>
          </cell>
          <cell r="CE136" t="str">
            <v>Cum_Actu</v>
          </cell>
          <cell r="CF136" t="str">
            <v>Cum_Actu</v>
          </cell>
          <cell r="CG136" t="str">
            <v>Cum_Actu</v>
          </cell>
          <cell r="CH136" t="str">
            <v>Cum_Actu</v>
          </cell>
          <cell r="CI136" t="str">
            <v>Cum_Actu</v>
          </cell>
          <cell r="CJ136" t="str">
            <v>Cum_Actu</v>
          </cell>
          <cell r="CK136" t="str">
            <v>Cum_Actu</v>
          </cell>
        </row>
        <row r="137">
          <cell r="BM137" t="str">
            <v>CODE</v>
          </cell>
          <cell r="BN137">
            <v>41285</v>
          </cell>
          <cell r="BO137">
            <v>41316</v>
          </cell>
          <cell r="BP137">
            <v>41344</v>
          </cell>
          <cell r="BQ137">
            <v>41375</v>
          </cell>
          <cell r="BR137">
            <v>41405</v>
          </cell>
          <cell r="BS137">
            <v>41436</v>
          </cell>
          <cell r="BT137">
            <v>41466</v>
          </cell>
          <cell r="BU137">
            <v>41497</v>
          </cell>
          <cell r="BV137">
            <v>41528</v>
          </cell>
          <cell r="BW137">
            <v>41558</v>
          </cell>
          <cell r="BX137">
            <v>41589</v>
          </cell>
          <cell r="BY137">
            <v>41619</v>
          </cell>
          <cell r="BZ137">
            <v>41285</v>
          </cell>
          <cell r="CA137">
            <v>41316</v>
          </cell>
          <cell r="CB137">
            <v>41344</v>
          </cell>
          <cell r="CC137">
            <v>41375</v>
          </cell>
          <cell r="CD137">
            <v>41405</v>
          </cell>
          <cell r="CE137">
            <v>41436</v>
          </cell>
          <cell r="CF137">
            <v>41466</v>
          </cell>
          <cell r="CG137">
            <v>41497</v>
          </cell>
          <cell r="CH137">
            <v>41528</v>
          </cell>
          <cell r="CI137">
            <v>41558</v>
          </cell>
          <cell r="CJ137">
            <v>41589</v>
          </cell>
          <cell r="CK137">
            <v>41619</v>
          </cell>
        </row>
        <row r="138">
          <cell r="BM138" t="str">
            <v>CA01</v>
          </cell>
          <cell r="BN138">
            <v>0.09</v>
          </cell>
          <cell r="BO138">
            <v>0.09</v>
          </cell>
          <cell r="BP138">
            <v>7.0000000000000007E-2</v>
          </cell>
          <cell r="BQ138">
            <v>0.09</v>
          </cell>
          <cell r="BR138">
            <v>0.09</v>
          </cell>
          <cell r="BS138">
            <v>-0.10999999999999999</v>
          </cell>
          <cell r="BT138">
            <v>0.09</v>
          </cell>
          <cell r="BU138">
            <v>0.09</v>
          </cell>
          <cell r="BV138">
            <v>7.0000000000000007E-2</v>
          </cell>
          <cell r="BW138">
            <v>0.09</v>
          </cell>
          <cell r="BX138">
            <v>0.09</v>
          </cell>
          <cell r="BY138">
            <v>7.0000000000000007E-2</v>
          </cell>
          <cell r="BZ138">
            <v>0.09</v>
          </cell>
          <cell r="CA138">
            <v>0.18</v>
          </cell>
          <cell r="CB138">
            <v>0.25</v>
          </cell>
          <cell r="CC138">
            <v>0.33999999999999997</v>
          </cell>
          <cell r="CD138">
            <v>0.42999999999999994</v>
          </cell>
          <cell r="CE138">
            <v>0.31999999999999995</v>
          </cell>
          <cell r="CF138">
            <v>0.40999999999999992</v>
          </cell>
          <cell r="CG138">
            <v>0.49999999999999989</v>
          </cell>
          <cell r="CH138">
            <v>0.56999999999999984</v>
          </cell>
          <cell r="CI138">
            <v>0.65999999999999981</v>
          </cell>
          <cell r="CJ138">
            <v>0.74999999999999978</v>
          </cell>
          <cell r="CK138">
            <v>0.81999999999999984</v>
          </cell>
        </row>
        <row r="139">
          <cell r="BM139" t="str">
            <v>CA02</v>
          </cell>
          <cell r="BN139">
            <v>0.375</v>
          </cell>
          <cell r="BO139">
            <v>0.375</v>
          </cell>
          <cell r="BP139">
            <v>0.375</v>
          </cell>
          <cell r="BQ139">
            <v>0.375</v>
          </cell>
          <cell r="BR139">
            <v>0.375</v>
          </cell>
          <cell r="BS139">
            <v>0.375</v>
          </cell>
          <cell r="BT139">
            <v>0.375</v>
          </cell>
          <cell r="BU139">
            <v>0.375</v>
          </cell>
          <cell r="BV139">
            <v>0.375</v>
          </cell>
          <cell r="BW139">
            <v>0.375</v>
          </cell>
          <cell r="BX139">
            <v>0.375</v>
          </cell>
          <cell r="BY139">
            <v>0.375</v>
          </cell>
          <cell r="BZ139">
            <v>0.375</v>
          </cell>
          <cell r="CA139">
            <v>0.75</v>
          </cell>
          <cell r="CB139">
            <v>1.125</v>
          </cell>
          <cell r="CC139">
            <v>1.5</v>
          </cell>
          <cell r="CD139">
            <v>1.875</v>
          </cell>
          <cell r="CE139">
            <v>2.25</v>
          </cell>
          <cell r="CF139">
            <v>2.625</v>
          </cell>
          <cell r="CG139">
            <v>3</v>
          </cell>
          <cell r="CH139">
            <v>3.375</v>
          </cell>
          <cell r="CI139">
            <v>3.75</v>
          </cell>
          <cell r="CJ139">
            <v>4.125</v>
          </cell>
          <cell r="CK139">
            <v>4.5</v>
          </cell>
        </row>
        <row r="140">
          <cell r="BM140" t="str">
            <v>CA03</v>
          </cell>
          <cell r="BN140">
            <v>3.25</v>
          </cell>
          <cell r="BO140">
            <v>3.25</v>
          </cell>
          <cell r="BP140">
            <v>3.25</v>
          </cell>
          <cell r="BQ140">
            <v>3.25</v>
          </cell>
          <cell r="BR140">
            <v>3.25</v>
          </cell>
          <cell r="BS140">
            <v>3.25</v>
          </cell>
          <cell r="BT140">
            <v>3.25</v>
          </cell>
          <cell r="BU140">
            <v>3.25</v>
          </cell>
          <cell r="BV140">
            <v>3.25</v>
          </cell>
          <cell r="BW140">
            <v>3.25</v>
          </cell>
          <cell r="BX140">
            <v>3.25</v>
          </cell>
          <cell r="BY140">
            <v>3.25</v>
          </cell>
          <cell r="BZ140">
            <v>3.25</v>
          </cell>
          <cell r="CA140">
            <v>6.5</v>
          </cell>
          <cell r="CB140">
            <v>9.75</v>
          </cell>
          <cell r="CC140">
            <v>13</v>
          </cell>
          <cell r="CD140">
            <v>16.25</v>
          </cell>
          <cell r="CE140">
            <v>19.5</v>
          </cell>
          <cell r="CF140">
            <v>22.75</v>
          </cell>
          <cell r="CG140">
            <v>26</v>
          </cell>
          <cell r="CH140">
            <v>29.25</v>
          </cell>
          <cell r="CI140">
            <v>32.5</v>
          </cell>
          <cell r="CJ140">
            <v>35.75</v>
          </cell>
          <cell r="CK140">
            <v>39</v>
          </cell>
        </row>
        <row r="141">
          <cell r="BM141" t="str">
            <v>CA04</v>
          </cell>
          <cell r="BN141">
            <v>3.6483333333333334</v>
          </cell>
          <cell r="BO141">
            <v>3.3483333333333336</v>
          </cell>
          <cell r="BP141">
            <v>3.3483333333333336</v>
          </cell>
          <cell r="BQ141">
            <v>3.3483333333333336</v>
          </cell>
          <cell r="BR141">
            <v>8.1483333333333334</v>
          </cell>
          <cell r="BS141">
            <v>3.6483333333333334</v>
          </cell>
          <cell r="BT141">
            <v>3.6483333333333334</v>
          </cell>
          <cell r="BU141">
            <v>3.6483333333333334</v>
          </cell>
          <cell r="BV141">
            <v>3.6483333333333334</v>
          </cell>
          <cell r="BW141">
            <v>3.6483333333333334</v>
          </cell>
          <cell r="BX141">
            <v>3.6483333333333334</v>
          </cell>
          <cell r="BY141">
            <v>8.1283333333333303</v>
          </cell>
          <cell r="BZ141">
            <v>3.6483333333333334</v>
          </cell>
          <cell r="CA141">
            <v>6.996666666666667</v>
          </cell>
          <cell r="CB141">
            <v>10.345000000000001</v>
          </cell>
          <cell r="CC141">
            <v>13.693333333333335</v>
          </cell>
          <cell r="CD141">
            <v>21.841666666666669</v>
          </cell>
          <cell r="CE141">
            <v>25.490000000000002</v>
          </cell>
          <cell r="CF141">
            <v>29.138333333333335</v>
          </cell>
          <cell r="CG141">
            <v>32.786666666666669</v>
          </cell>
          <cell r="CH141">
            <v>36.435000000000002</v>
          </cell>
          <cell r="CI141">
            <v>40.083333333333336</v>
          </cell>
          <cell r="CJ141">
            <v>43.731666666666669</v>
          </cell>
          <cell r="CK141">
            <v>51.86</v>
          </cell>
        </row>
        <row r="142">
          <cell r="BM142" t="str">
            <v>CA05</v>
          </cell>
          <cell r="BN142">
            <v>4.1666666666666664E-2</v>
          </cell>
          <cell r="BO142">
            <v>4.1666666666666664E-2</v>
          </cell>
          <cell r="BP142">
            <v>0.06</v>
          </cell>
          <cell r="BQ142">
            <v>4.1666666666666664E-2</v>
          </cell>
          <cell r="BR142">
            <v>4.1666666666666664E-2</v>
          </cell>
          <cell r="BS142">
            <v>-4.5013333333333294E-2</v>
          </cell>
          <cell r="BT142">
            <v>4.1666666666666664E-2</v>
          </cell>
          <cell r="BU142">
            <v>4.1666666666666664E-2</v>
          </cell>
          <cell r="BV142">
            <v>4.1666666666666664E-2</v>
          </cell>
          <cell r="BW142">
            <v>4.1666666666666664E-2</v>
          </cell>
          <cell r="BX142">
            <v>4.1666666666666664E-2</v>
          </cell>
          <cell r="BY142">
            <v>0.53</v>
          </cell>
          <cell r="BZ142">
            <v>4.1666666666666664E-2</v>
          </cell>
          <cell r="CA142">
            <v>8.3333333333333329E-2</v>
          </cell>
          <cell r="CB142">
            <v>0.14333333333333331</v>
          </cell>
          <cell r="CC142">
            <v>0.18499999999999997</v>
          </cell>
          <cell r="CD142">
            <v>0.22666666666666663</v>
          </cell>
          <cell r="CE142">
            <v>0.18165333333333333</v>
          </cell>
          <cell r="CF142">
            <v>0.22331999999999999</v>
          </cell>
          <cell r="CG142">
            <v>0.26498666666666665</v>
          </cell>
          <cell r="CH142">
            <v>0.30665333333333333</v>
          </cell>
          <cell r="CI142">
            <v>0.34832000000000002</v>
          </cell>
          <cell r="CJ142">
            <v>0.3899866666666667</v>
          </cell>
          <cell r="CK142">
            <v>0.91998666666666673</v>
          </cell>
        </row>
        <row r="143">
          <cell r="BM143" t="str">
            <v>CA06</v>
          </cell>
          <cell r="BN143">
            <v>0.18333333333333329</v>
          </cell>
          <cell r="BO143">
            <v>0.18333333333333329</v>
          </cell>
          <cell r="BP143">
            <v>0.18333333333333329</v>
          </cell>
          <cell r="BQ143">
            <v>0.18333333333333329</v>
          </cell>
          <cell r="BR143">
            <v>0.18333333333333329</v>
          </cell>
          <cell r="BS143">
            <v>8.3333333333332982E-2</v>
          </cell>
          <cell r="BT143">
            <v>0.18333333333333329</v>
          </cell>
          <cell r="BU143">
            <v>0.18333333333333329</v>
          </cell>
          <cell r="BV143">
            <v>0.18333333333333329</v>
          </cell>
          <cell r="BW143">
            <v>0.18333333333333329</v>
          </cell>
          <cell r="BX143">
            <v>0.18333333333333329</v>
          </cell>
          <cell r="BY143">
            <v>0.18333333333333329</v>
          </cell>
          <cell r="BZ143">
            <v>0.18333333333333329</v>
          </cell>
          <cell r="CA143">
            <v>0.36666666666666659</v>
          </cell>
          <cell r="CB143">
            <v>0.54999999999999982</v>
          </cell>
          <cell r="CC143">
            <v>0.73333333333333317</v>
          </cell>
          <cell r="CD143">
            <v>0.91666666666666652</v>
          </cell>
          <cell r="CE143">
            <v>0.99999999999999956</v>
          </cell>
          <cell r="CF143">
            <v>1.1833333333333329</v>
          </cell>
          <cell r="CG143">
            <v>1.3666666666666663</v>
          </cell>
          <cell r="CH143">
            <v>1.5499999999999996</v>
          </cell>
          <cell r="CI143">
            <v>1.7333333333333329</v>
          </cell>
          <cell r="CJ143">
            <v>1.9166666666666663</v>
          </cell>
          <cell r="CK143">
            <v>2.0999999999999996</v>
          </cell>
        </row>
        <row r="144">
          <cell r="BM144" t="str">
            <v>CA07</v>
          </cell>
          <cell r="BN144">
            <v>0.16666666666666666</v>
          </cell>
          <cell r="BO144">
            <v>0.14666666666666667</v>
          </cell>
          <cell r="BP144">
            <v>0.14666666666666667</v>
          </cell>
          <cell r="BQ144">
            <v>0.14666666666666667</v>
          </cell>
          <cell r="BR144">
            <v>0.16666666666666666</v>
          </cell>
          <cell r="BS144">
            <v>0.16666666666666666</v>
          </cell>
          <cell r="BT144">
            <v>0.16666666666666666</v>
          </cell>
          <cell r="BU144">
            <v>0.16666666666666666</v>
          </cell>
          <cell r="BV144">
            <v>0.16666666666666666</v>
          </cell>
          <cell r="BW144">
            <v>0.16666666666666666</v>
          </cell>
          <cell r="BX144">
            <v>0.16666666666666666</v>
          </cell>
          <cell r="BY144">
            <v>0.16666666666666666</v>
          </cell>
          <cell r="BZ144">
            <v>0.16666666666666666</v>
          </cell>
          <cell r="CA144">
            <v>0.31333333333333335</v>
          </cell>
          <cell r="CB144">
            <v>0.46</v>
          </cell>
          <cell r="CC144">
            <v>0.60666666666666669</v>
          </cell>
          <cell r="CD144">
            <v>0.77333333333333332</v>
          </cell>
          <cell r="CE144">
            <v>0.94</v>
          </cell>
          <cell r="CF144">
            <v>1.1066666666666667</v>
          </cell>
          <cell r="CG144">
            <v>1.2733333333333334</v>
          </cell>
          <cell r="CH144">
            <v>1.4400000000000002</v>
          </cell>
          <cell r="CI144">
            <v>1.6066666666666669</v>
          </cell>
          <cell r="CJ144">
            <v>1.7733333333333337</v>
          </cell>
          <cell r="CK144">
            <v>1.9400000000000004</v>
          </cell>
        </row>
        <row r="145">
          <cell r="BM145" t="str">
            <v>CA08</v>
          </cell>
          <cell r="BN145">
            <v>0.77099999999999991</v>
          </cell>
          <cell r="BO145">
            <v>0.77099999999999991</v>
          </cell>
          <cell r="BP145">
            <v>0.77099999999999991</v>
          </cell>
          <cell r="BQ145">
            <v>0.77099999999999991</v>
          </cell>
          <cell r="BR145">
            <v>0.77099999999999991</v>
          </cell>
          <cell r="BS145">
            <v>0.77099999999999991</v>
          </cell>
          <cell r="BT145">
            <v>0.77099999999999991</v>
          </cell>
          <cell r="BU145">
            <v>0.77099999999999991</v>
          </cell>
          <cell r="BV145">
            <v>0.77099999999999991</v>
          </cell>
          <cell r="BW145">
            <v>0.77099999999999991</v>
          </cell>
          <cell r="BX145">
            <v>0.77099999999999991</v>
          </cell>
          <cell r="BY145">
            <v>0.77099999999999991</v>
          </cell>
          <cell r="BZ145">
            <v>0.77099999999999991</v>
          </cell>
          <cell r="CA145">
            <v>1.5419999999999998</v>
          </cell>
          <cell r="CB145">
            <v>2.3129999999999997</v>
          </cell>
          <cell r="CC145">
            <v>3.0839999999999996</v>
          </cell>
          <cell r="CD145">
            <v>3.8549999999999995</v>
          </cell>
          <cell r="CE145">
            <v>4.6259999999999994</v>
          </cell>
          <cell r="CF145">
            <v>5.3969999999999994</v>
          </cell>
          <cell r="CG145">
            <v>6.1679999999999993</v>
          </cell>
          <cell r="CH145">
            <v>6.9389999999999992</v>
          </cell>
          <cell r="CI145">
            <v>7.7099999999999991</v>
          </cell>
          <cell r="CJ145">
            <v>8.4809999999999981</v>
          </cell>
          <cell r="CK145">
            <v>9.2519999999999989</v>
          </cell>
        </row>
        <row r="146">
          <cell r="BM146" t="str">
            <v>CA09</v>
          </cell>
          <cell r="BN146">
            <v>0.70000000000000007</v>
          </cell>
          <cell r="BO146">
            <v>0.70000000000000007</v>
          </cell>
          <cell r="BP146">
            <v>0.70000000000000007</v>
          </cell>
          <cell r="BQ146">
            <v>0.70000000000000007</v>
          </cell>
          <cell r="BR146">
            <v>0.70000000000000007</v>
          </cell>
          <cell r="BS146">
            <v>0.70000000000000007</v>
          </cell>
          <cell r="BT146">
            <v>0.70000000000000007</v>
          </cell>
          <cell r="BU146">
            <v>0.70000000000000007</v>
          </cell>
          <cell r="BV146">
            <v>0.70000000000000007</v>
          </cell>
          <cell r="BW146">
            <v>0.70000000000000007</v>
          </cell>
          <cell r="BX146">
            <v>0.70000000000000007</v>
          </cell>
          <cell r="BY146">
            <v>0.70000000000000007</v>
          </cell>
          <cell r="BZ146">
            <v>0.70000000000000007</v>
          </cell>
          <cell r="CA146">
            <v>1.4000000000000001</v>
          </cell>
          <cell r="CB146">
            <v>2.1</v>
          </cell>
          <cell r="CC146">
            <v>2.8000000000000003</v>
          </cell>
          <cell r="CD146">
            <v>3.5000000000000004</v>
          </cell>
          <cell r="CE146">
            <v>4.2</v>
          </cell>
          <cell r="CF146">
            <v>4.9000000000000004</v>
          </cell>
          <cell r="CG146">
            <v>5.6000000000000005</v>
          </cell>
          <cell r="CH146">
            <v>6.3000000000000007</v>
          </cell>
          <cell r="CI146">
            <v>7.0000000000000009</v>
          </cell>
          <cell r="CJ146">
            <v>7.7000000000000011</v>
          </cell>
          <cell r="CK146">
            <v>8.4</v>
          </cell>
        </row>
        <row r="147">
          <cell r="BM147" t="str">
            <v>CA10</v>
          </cell>
          <cell r="BN147">
            <v>0</v>
          </cell>
          <cell r="BO147">
            <v>0</v>
          </cell>
          <cell r="BP147">
            <v>6.74</v>
          </cell>
          <cell r="BQ147">
            <v>6.74</v>
          </cell>
          <cell r="BR147">
            <v>6.74</v>
          </cell>
          <cell r="BS147">
            <v>6.74</v>
          </cell>
          <cell r="BT147">
            <v>6.74</v>
          </cell>
          <cell r="BU147">
            <v>9.26</v>
          </cell>
          <cell r="BV147">
            <v>6.74</v>
          </cell>
          <cell r="BW147">
            <v>6.74</v>
          </cell>
          <cell r="BX147">
            <v>6.74</v>
          </cell>
          <cell r="BY147">
            <v>6.74</v>
          </cell>
          <cell r="BZ147">
            <v>0</v>
          </cell>
          <cell r="CA147">
            <v>0</v>
          </cell>
          <cell r="CB147">
            <v>6.74</v>
          </cell>
          <cell r="CC147">
            <v>13.48</v>
          </cell>
          <cell r="CD147">
            <v>20.22</v>
          </cell>
          <cell r="CE147">
            <v>26.96</v>
          </cell>
          <cell r="CF147">
            <v>33.700000000000003</v>
          </cell>
          <cell r="CG147">
            <v>42.96</v>
          </cell>
          <cell r="CH147">
            <v>49.7</v>
          </cell>
          <cell r="CI147">
            <v>56.440000000000005</v>
          </cell>
          <cell r="CJ147">
            <v>63.180000000000007</v>
          </cell>
          <cell r="CK147">
            <v>69.92</v>
          </cell>
        </row>
        <row r="148">
          <cell r="BN148">
            <v>9.2259999999999991</v>
          </cell>
          <cell r="BO148">
            <v>8.9059999999999988</v>
          </cell>
          <cell r="BP148">
            <v>15.644333333333332</v>
          </cell>
          <cell r="BQ148">
            <v>15.645999999999999</v>
          </cell>
          <cell r="BR148">
            <v>20.466000000000001</v>
          </cell>
          <cell r="BS148">
            <v>15.579320000000001</v>
          </cell>
          <cell r="BT148">
            <v>15.965999999999999</v>
          </cell>
          <cell r="BU148">
            <v>18.485999999999997</v>
          </cell>
          <cell r="BV148">
            <v>15.946</v>
          </cell>
          <cell r="BW148">
            <v>15.965999999999999</v>
          </cell>
          <cell r="BX148">
            <v>15.965999999999999</v>
          </cell>
          <cell r="BY148">
            <v>20.914333333333332</v>
          </cell>
          <cell r="BZ148">
            <v>9.2259999999999991</v>
          </cell>
          <cell r="CA148">
            <v>18.131999999999998</v>
          </cell>
          <cell r="CB148">
            <v>33.776333333333334</v>
          </cell>
          <cell r="CC148">
            <v>49.422333333333327</v>
          </cell>
          <cell r="CD148">
            <v>69.888333333333321</v>
          </cell>
          <cell r="CE148">
            <v>85.467653333333345</v>
          </cell>
          <cell r="CF148">
            <v>101.43365333333334</v>
          </cell>
          <cell r="CG148">
            <v>119.91965333333334</v>
          </cell>
          <cell r="CH148">
            <v>135.86565333333331</v>
          </cell>
          <cell r="CI148">
            <v>151.83165333333335</v>
          </cell>
          <cell r="CJ148">
            <v>167.79765333333336</v>
          </cell>
          <cell r="CK148">
            <v>188.71198666666669</v>
          </cell>
        </row>
        <row r="162">
          <cell r="BN162" t="str">
            <v>Actual</v>
          </cell>
          <cell r="BO162" t="str">
            <v>Actual</v>
          </cell>
          <cell r="BP162" t="str">
            <v>Actual</v>
          </cell>
          <cell r="BQ162" t="str">
            <v>Actual</v>
          </cell>
          <cell r="BR162" t="str">
            <v>Actual</v>
          </cell>
          <cell r="BS162" t="str">
            <v>Actual</v>
          </cell>
          <cell r="BT162" t="str">
            <v>Actual</v>
          </cell>
          <cell r="BU162" t="str">
            <v>Actual</v>
          </cell>
          <cell r="BV162" t="str">
            <v>Actual</v>
          </cell>
          <cell r="BW162" t="str">
            <v>Actual</v>
          </cell>
          <cell r="BX162" t="str">
            <v>Actual</v>
          </cell>
          <cell r="BY162" t="str">
            <v>Actual</v>
          </cell>
          <cell r="BZ162" t="str">
            <v>Cum_Actu</v>
          </cell>
          <cell r="CA162" t="str">
            <v>Cum_Actu</v>
          </cell>
          <cell r="CB162" t="str">
            <v>Cum_Actu</v>
          </cell>
          <cell r="CC162" t="str">
            <v>Cum_Actu</v>
          </cell>
          <cell r="CD162" t="str">
            <v>Cum_Actu</v>
          </cell>
          <cell r="CE162" t="str">
            <v>Cum_Actu</v>
          </cell>
          <cell r="CF162" t="str">
            <v>Cum_Actu</v>
          </cell>
          <cell r="CG162" t="str">
            <v>Cum_Actu</v>
          </cell>
          <cell r="CH162" t="str">
            <v>Cum_Actu</v>
          </cell>
          <cell r="CI162" t="str">
            <v>Cum_Actu</v>
          </cell>
          <cell r="CJ162" t="str">
            <v>Cum_Actu</v>
          </cell>
          <cell r="CK162" t="str">
            <v>Cum_Actu</v>
          </cell>
        </row>
        <row r="163">
          <cell r="BM163" t="str">
            <v>CODE</v>
          </cell>
          <cell r="BN163">
            <v>41285</v>
          </cell>
          <cell r="BO163">
            <v>41316</v>
          </cell>
          <cell r="BP163">
            <v>41344</v>
          </cell>
          <cell r="BQ163">
            <v>41375</v>
          </cell>
          <cell r="BR163">
            <v>41405</v>
          </cell>
          <cell r="BS163">
            <v>41436</v>
          </cell>
          <cell r="BT163">
            <v>41466</v>
          </cell>
          <cell r="BU163">
            <v>41497</v>
          </cell>
          <cell r="BV163">
            <v>41528</v>
          </cell>
          <cell r="BW163">
            <v>41558</v>
          </cell>
          <cell r="BX163">
            <v>41589</v>
          </cell>
          <cell r="BY163">
            <v>41619</v>
          </cell>
          <cell r="BZ163">
            <v>41285</v>
          </cell>
          <cell r="CA163">
            <v>41316</v>
          </cell>
          <cell r="CB163">
            <v>41344</v>
          </cell>
          <cell r="CC163">
            <v>41375</v>
          </cell>
          <cell r="CD163">
            <v>41405</v>
          </cell>
          <cell r="CE163">
            <v>41436</v>
          </cell>
          <cell r="CF163">
            <v>41466</v>
          </cell>
          <cell r="CG163">
            <v>41497</v>
          </cell>
          <cell r="CH163">
            <v>41528</v>
          </cell>
          <cell r="CI163">
            <v>41558</v>
          </cell>
          <cell r="CJ163">
            <v>41589</v>
          </cell>
          <cell r="CK163">
            <v>41619</v>
          </cell>
        </row>
        <row r="164">
          <cell r="BM164" t="str">
            <v>CD01</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row>
        <row r="165">
          <cell r="BM165" t="str">
            <v>CD02</v>
          </cell>
          <cell r="BN165">
            <v>2.0833333333333335</v>
          </cell>
          <cell r="BO165">
            <v>2.0833333333333335</v>
          </cell>
          <cell r="BP165">
            <v>2.0833333333333335</v>
          </cell>
          <cell r="BQ165">
            <v>2.0833333333333335</v>
          </cell>
          <cell r="BR165">
            <v>2.0833333333333335</v>
          </cell>
          <cell r="BS165">
            <v>2.0833333333333335</v>
          </cell>
          <cell r="BT165">
            <v>-0.46666666666666989</v>
          </cell>
          <cell r="BU165">
            <v>-6.2466666666666697</v>
          </cell>
          <cell r="BV165">
            <v>3.3333333333298576E-3</v>
          </cell>
          <cell r="BW165">
            <v>3.3333333333298576E-3</v>
          </cell>
          <cell r="BX165">
            <v>0</v>
          </cell>
          <cell r="BY165">
            <v>0</v>
          </cell>
          <cell r="BZ165">
            <v>2.0833333333333335</v>
          </cell>
          <cell r="CA165">
            <v>4.166666666666667</v>
          </cell>
          <cell r="CB165">
            <v>6.25</v>
          </cell>
          <cell r="CC165">
            <v>8.3333333333333339</v>
          </cell>
          <cell r="CD165">
            <v>10.416666666666668</v>
          </cell>
          <cell r="CE165">
            <v>12.500000000000002</v>
          </cell>
          <cell r="CF165">
            <v>12.033333333333331</v>
          </cell>
          <cell r="CG165">
            <v>5.7866666666666617</v>
          </cell>
          <cell r="CH165">
            <v>5.789999999999992</v>
          </cell>
          <cell r="CI165">
            <v>5.7933333333333223</v>
          </cell>
          <cell r="CJ165">
            <v>5.7933333333333223</v>
          </cell>
          <cell r="CK165">
            <v>5.7933333333333223</v>
          </cell>
        </row>
        <row r="166">
          <cell r="BM166" t="str">
            <v>CD03</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row>
        <row r="167">
          <cell r="BM167" t="str">
            <v>CD04</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row>
        <row r="168">
          <cell r="BM168" t="str">
            <v>CD05</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row>
        <row r="169">
          <cell r="BM169" t="str">
            <v>CD06</v>
          </cell>
          <cell r="BN169">
            <v>1.38</v>
          </cell>
          <cell r="BO169">
            <v>1.38</v>
          </cell>
          <cell r="BP169">
            <v>1.38</v>
          </cell>
          <cell r="BQ169">
            <v>1.38</v>
          </cell>
          <cell r="BR169">
            <v>1.38</v>
          </cell>
          <cell r="BS169">
            <v>1.38</v>
          </cell>
          <cell r="BT169">
            <v>1.38</v>
          </cell>
          <cell r="BU169">
            <v>1.38</v>
          </cell>
          <cell r="BV169">
            <v>1.38</v>
          </cell>
          <cell r="BW169">
            <v>1.38</v>
          </cell>
          <cell r="BX169">
            <v>1.38</v>
          </cell>
          <cell r="BY169">
            <v>1.3</v>
          </cell>
          <cell r="BZ169">
            <v>1.38</v>
          </cell>
          <cell r="CA169">
            <v>2.76</v>
          </cell>
          <cell r="CB169">
            <v>4.1399999999999997</v>
          </cell>
          <cell r="CC169">
            <v>5.52</v>
          </cell>
          <cell r="CD169">
            <v>6.8999999999999995</v>
          </cell>
          <cell r="CE169">
            <v>8.2799999999999994</v>
          </cell>
          <cell r="CF169">
            <v>9.66</v>
          </cell>
          <cell r="CG169">
            <v>11.04</v>
          </cell>
          <cell r="CH169">
            <v>12.419999999999998</v>
          </cell>
          <cell r="CI169">
            <v>13.799999999999997</v>
          </cell>
          <cell r="CJ169">
            <v>15.179999999999996</v>
          </cell>
          <cell r="CK169">
            <v>16.479999999999997</v>
          </cell>
        </row>
        <row r="170">
          <cell r="BM170" t="str">
            <v>CD07</v>
          </cell>
          <cell r="BN170">
            <v>6</v>
          </cell>
          <cell r="BO170">
            <v>6</v>
          </cell>
          <cell r="BP170">
            <v>6</v>
          </cell>
          <cell r="BQ170">
            <v>6</v>
          </cell>
          <cell r="BR170">
            <v>6</v>
          </cell>
          <cell r="BS170">
            <v>6</v>
          </cell>
          <cell r="BT170">
            <v>4</v>
          </cell>
          <cell r="BU170">
            <v>6</v>
          </cell>
          <cell r="BV170">
            <v>6</v>
          </cell>
          <cell r="BW170">
            <v>6</v>
          </cell>
          <cell r="BX170">
            <v>6</v>
          </cell>
          <cell r="BY170">
            <v>6</v>
          </cell>
          <cell r="BZ170">
            <v>6</v>
          </cell>
          <cell r="CA170">
            <v>12</v>
          </cell>
          <cell r="CB170">
            <v>18</v>
          </cell>
          <cell r="CC170">
            <v>24</v>
          </cell>
          <cell r="CD170">
            <v>30</v>
          </cell>
          <cell r="CE170">
            <v>36</v>
          </cell>
          <cell r="CF170">
            <v>40</v>
          </cell>
          <cell r="CG170">
            <v>46</v>
          </cell>
          <cell r="CH170">
            <v>52</v>
          </cell>
          <cell r="CI170">
            <v>58</v>
          </cell>
          <cell r="CJ170">
            <v>64</v>
          </cell>
          <cell r="CK170">
            <v>70</v>
          </cell>
        </row>
        <row r="171">
          <cell r="BM171" t="str">
            <v>CD08</v>
          </cell>
          <cell r="BN171">
            <v>1.4</v>
          </cell>
          <cell r="BO171">
            <v>1.4</v>
          </cell>
          <cell r="BP171">
            <v>1.4</v>
          </cell>
          <cell r="BQ171">
            <v>1.4</v>
          </cell>
          <cell r="BR171">
            <v>1.4</v>
          </cell>
          <cell r="BS171">
            <v>6.1300000000000008</v>
          </cell>
          <cell r="BT171">
            <v>1.4</v>
          </cell>
          <cell r="BU171">
            <v>1.4</v>
          </cell>
          <cell r="BV171">
            <v>1.4</v>
          </cell>
          <cell r="BW171">
            <v>1.4</v>
          </cell>
          <cell r="BX171">
            <v>1.4</v>
          </cell>
          <cell r="BY171">
            <v>3.4</v>
          </cell>
          <cell r="BZ171">
            <v>1.4</v>
          </cell>
          <cell r="CA171">
            <v>2.8</v>
          </cell>
          <cell r="CB171">
            <v>4.1999999999999993</v>
          </cell>
          <cell r="CC171">
            <v>5.6</v>
          </cell>
          <cell r="CD171">
            <v>7</v>
          </cell>
          <cell r="CE171">
            <v>13.13</v>
          </cell>
          <cell r="CF171">
            <v>14.530000000000001</v>
          </cell>
          <cell r="CG171">
            <v>15.930000000000001</v>
          </cell>
          <cell r="CH171">
            <v>17.330000000000002</v>
          </cell>
          <cell r="CI171">
            <v>18.73</v>
          </cell>
          <cell r="CJ171">
            <v>20.13</v>
          </cell>
          <cell r="CK171">
            <v>23.529999999999998</v>
          </cell>
        </row>
        <row r="172">
          <cell r="BM172" t="str">
            <v>CD09</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row>
        <row r="173">
          <cell r="BM173" t="str">
            <v>CD10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row>
        <row r="174">
          <cell r="BM174" t="str">
            <v>CD11</v>
          </cell>
          <cell r="BN174">
            <v>78.9173440502706</v>
          </cell>
          <cell r="BO174">
            <v>77.69601387711802</v>
          </cell>
          <cell r="BP174">
            <v>56.796290945543397</v>
          </cell>
          <cell r="BQ174">
            <v>81.083698598545013</v>
          </cell>
          <cell r="BR174">
            <v>78.941103823392012</v>
          </cell>
          <cell r="BS174">
            <v>23.638962501235696</v>
          </cell>
          <cell r="BT174">
            <v>68.705473605265894</v>
          </cell>
          <cell r="BU174">
            <v>52.335851715599311</v>
          </cell>
          <cell r="BV174">
            <v>57.515091997054093</v>
          </cell>
          <cell r="BW174">
            <v>49.92991784390221</v>
          </cell>
          <cell r="BX174">
            <v>58.660000000000011</v>
          </cell>
          <cell r="BY174">
            <v>24.4</v>
          </cell>
          <cell r="BZ174">
            <v>78.9173440502706</v>
          </cell>
          <cell r="CA174">
            <v>156.61335792738862</v>
          </cell>
          <cell r="CB174">
            <v>213.40964887293202</v>
          </cell>
          <cell r="CC174">
            <v>294.49334747147702</v>
          </cell>
          <cell r="CD174">
            <v>373.43445129486906</v>
          </cell>
          <cell r="CE174">
            <v>397.07341379610477</v>
          </cell>
          <cell r="CF174">
            <v>465.77888740137064</v>
          </cell>
          <cell r="CG174">
            <v>518.11473911696999</v>
          </cell>
          <cell r="CH174">
            <v>575.62983111402411</v>
          </cell>
          <cell r="CI174">
            <v>625.55974895792633</v>
          </cell>
          <cell r="CJ174">
            <v>684.2197489579263</v>
          </cell>
          <cell r="CK174">
            <v>708.61974895792628</v>
          </cell>
        </row>
        <row r="175">
          <cell r="BM175" t="str">
            <v>CD12</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row>
        <row r="176">
          <cell r="BM176" t="str">
            <v>CD13</v>
          </cell>
          <cell r="BN176">
            <v>1.5</v>
          </cell>
          <cell r="BO176">
            <v>1.5</v>
          </cell>
          <cell r="BP176">
            <v>1.5</v>
          </cell>
          <cell r="BQ176">
            <v>1.5</v>
          </cell>
          <cell r="BR176">
            <v>1.5</v>
          </cell>
          <cell r="BS176">
            <v>1.5</v>
          </cell>
          <cell r="BT176">
            <v>1.5</v>
          </cell>
          <cell r="BU176">
            <v>1.5</v>
          </cell>
          <cell r="BV176">
            <v>1.5</v>
          </cell>
          <cell r="BW176">
            <v>1.5</v>
          </cell>
          <cell r="BX176">
            <v>1.5</v>
          </cell>
          <cell r="BY176">
            <v>-0.5</v>
          </cell>
          <cell r="BZ176">
            <v>1.5</v>
          </cell>
          <cell r="CA176">
            <v>3</v>
          </cell>
          <cell r="CB176">
            <v>4.5</v>
          </cell>
          <cell r="CC176">
            <v>6</v>
          </cell>
          <cell r="CD176">
            <v>7.5</v>
          </cell>
          <cell r="CE176">
            <v>9</v>
          </cell>
          <cell r="CF176">
            <v>10.5</v>
          </cell>
          <cell r="CG176">
            <v>12</v>
          </cell>
          <cell r="CH176">
            <v>13.5</v>
          </cell>
          <cell r="CI176">
            <v>15</v>
          </cell>
          <cell r="CJ176">
            <v>16.5</v>
          </cell>
          <cell r="CK176">
            <v>16</v>
          </cell>
        </row>
        <row r="177">
          <cell r="BM177" t="str">
            <v>CD14</v>
          </cell>
          <cell r="BN177">
            <v>51.069332741071349</v>
          </cell>
          <cell r="BO177">
            <v>50.284555204881592</v>
          </cell>
          <cell r="BP177">
            <v>41.116505855372836</v>
          </cell>
          <cell r="BQ177">
            <v>56.830205797364805</v>
          </cell>
          <cell r="BR177">
            <v>55.445280314785016</v>
          </cell>
          <cell r="BS177">
            <v>50.206837412585202</v>
          </cell>
          <cell r="BT177">
            <v>48.8188844714388</v>
          </cell>
          <cell r="BU177">
            <v>47.7041679768557</v>
          </cell>
          <cell r="BV177">
            <v>45.467600113831097</v>
          </cell>
          <cell r="BW177">
            <v>41.134809218672103</v>
          </cell>
          <cell r="BX177">
            <v>46.21</v>
          </cell>
          <cell r="BY177">
            <v>32.47</v>
          </cell>
          <cell r="BZ177">
            <v>51.069332741071349</v>
          </cell>
          <cell r="CA177">
            <v>101.35388794595295</v>
          </cell>
          <cell r="CB177">
            <v>142.47039380132577</v>
          </cell>
          <cell r="CC177">
            <v>199.30059959869058</v>
          </cell>
          <cell r="CD177">
            <v>254.74587991347559</v>
          </cell>
          <cell r="CE177">
            <v>304.95271732606079</v>
          </cell>
          <cell r="CF177">
            <v>353.77160179749961</v>
          </cell>
          <cell r="CG177">
            <v>401.47576977435529</v>
          </cell>
          <cell r="CH177">
            <v>446.9433698881864</v>
          </cell>
          <cell r="CI177">
            <v>488.0781791068585</v>
          </cell>
          <cell r="CJ177">
            <v>534.28817910685848</v>
          </cell>
          <cell r="CK177">
            <v>566.75817910685851</v>
          </cell>
        </row>
        <row r="178">
          <cell r="BM178" t="str">
            <v>CD15</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row>
        <row r="179">
          <cell r="BM179" t="str">
            <v>CD16</v>
          </cell>
          <cell r="BN179">
            <v>2.8667170318957034</v>
          </cell>
          <cell r="BO179">
            <v>2.9574390381791509</v>
          </cell>
          <cell r="BP179">
            <v>2.4289469231572185</v>
          </cell>
          <cell r="BQ179">
            <v>3.7953043603328518</v>
          </cell>
          <cell r="BR179">
            <v>3.923112891612095</v>
          </cell>
          <cell r="BS179">
            <v>3.3922795220875073</v>
          </cell>
          <cell r="BT179">
            <v>3.2109799477827727</v>
          </cell>
          <cell r="BU179">
            <v>3.3614054188768936</v>
          </cell>
          <cell r="BV179">
            <v>3.5395449077286405</v>
          </cell>
          <cell r="BW179">
            <v>3.5254724818432108</v>
          </cell>
          <cell r="BX179">
            <v>3.4671008917573163</v>
          </cell>
          <cell r="BY179">
            <v>3.3683559749766285</v>
          </cell>
          <cell r="BZ179">
            <v>2.8667170318957034</v>
          </cell>
          <cell r="CA179">
            <v>5.8241560700748547</v>
          </cell>
          <cell r="CB179">
            <v>8.2531029932320727</v>
          </cell>
          <cell r="CC179">
            <v>12.048407353564924</v>
          </cell>
          <cell r="CD179">
            <v>15.971520245177018</v>
          </cell>
          <cell r="CE179">
            <v>19.363799767264524</v>
          </cell>
          <cell r="CF179">
            <v>22.574779715047296</v>
          </cell>
          <cell r="CG179">
            <v>25.936185133924191</v>
          </cell>
          <cell r="CH179">
            <v>29.475730041652831</v>
          </cell>
          <cell r="CI179">
            <v>33.00120252349604</v>
          </cell>
          <cell r="CJ179">
            <v>36.468303415253359</v>
          </cell>
          <cell r="CK179">
            <v>39.83665939022999</v>
          </cell>
        </row>
        <row r="180">
          <cell r="BM180" t="str">
            <v>CD17</v>
          </cell>
          <cell r="BN180">
            <v>0.70166666666666666</v>
          </cell>
          <cell r="BO180">
            <v>0.70166666666666666</v>
          </cell>
          <cell r="BP180">
            <v>0.70166666666666666</v>
          </cell>
          <cell r="BQ180">
            <v>0.70166666666666666</v>
          </cell>
          <cell r="BR180">
            <v>0.70166666666666666</v>
          </cell>
          <cell r="BS180">
            <v>7.1666666666666989E-2</v>
          </cell>
          <cell r="BT180">
            <v>0.70166666666666666</v>
          </cell>
          <cell r="BU180">
            <v>0.70166666666666666</v>
          </cell>
          <cell r="BV180">
            <v>0.70166666666666666</v>
          </cell>
          <cell r="BW180">
            <v>0.70166666666666666</v>
          </cell>
          <cell r="BX180">
            <v>0.70166666666666666</v>
          </cell>
          <cell r="BY180">
            <v>0.06</v>
          </cell>
          <cell r="BZ180">
            <v>0.70166666666666666</v>
          </cell>
          <cell r="CA180">
            <v>1.4033333333333333</v>
          </cell>
          <cell r="CB180">
            <v>2.105</v>
          </cell>
          <cell r="CC180">
            <v>2.8066666666666666</v>
          </cell>
          <cell r="CD180">
            <v>3.5083333333333333</v>
          </cell>
          <cell r="CE180">
            <v>3.58</v>
          </cell>
          <cell r="CF180">
            <v>4.2816666666666663</v>
          </cell>
          <cell r="CG180">
            <v>4.9833333333333325</v>
          </cell>
          <cell r="CH180">
            <v>5.6849999999999987</v>
          </cell>
          <cell r="CI180">
            <v>6.3866666666666649</v>
          </cell>
          <cell r="CJ180">
            <v>7.0883333333333312</v>
          </cell>
          <cell r="CK180">
            <v>7.1483333333333308</v>
          </cell>
        </row>
        <row r="181">
          <cell r="BN181">
            <v>145.91839382323764</v>
          </cell>
          <cell r="BO181">
            <v>144.00300812017875</v>
          </cell>
          <cell r="BP181">
            <v>113.40674372407345</v>
          </cell>
          <cell r="BQ181">
            <v>154.77420875624267</v>
          </cell>
          <cell r="BR181">
            <v>151.37449702978913</v>
          </cell>
          <cell r="BS181">
            <v>94.40307943590841</v>
          </cell>
          <cell r="BT181">
            <v>129.25033802448743</v>
          </cell>
          <cell r="BU181">
            <v>108.13642511133192</v>
          </cell>
          <cell r="BV181">
            <v>117.50723701861382</v>
          </cell>
          <cell r="BW181">
            <v>105.57519954441753</v>
          </cell>
          <cell r="BX181">
            <v>119.31876755842399</v>
          </cell>
          <cell r="BY181">
            <v>70.498355974976619</v>
          </cell>
          <cell r="BZ181">
            <v>145.91839382323764</v>
          </cell>
          <cell r="CA181">
            <v>289.92140194341641</v>
          </cell>
          <cell r="CB181">
            <v>403.32814566748988</v>
          </cell>
          <cell r="CC181">
            <v>558.10235442373244</v>
          </cell>
          <cell r="CD181">
            <v>709.47685145352159</v>
          </cell>
          <cell r="CE181">
            <v>803.87993088943006</v>
          </cell>
          <cell r="CF181">
            <v>933.13026891391758</v>
          </cell>
          <cell r="CG181">
            <v>1041.2666940252495</v>
          </cell>
          <cell r="CH181">
            <v>1158.7739310438633</v>
          </cell>
          <cell r="CI181">
            <v>1264.3491305882808</v>
          </cell>
          <cell r="CJ181">
            <v>1383.6678981467048</v>
          </cell>
          <cell r="CK181">
            <v>1454.1662541216813</v>
          </cell>
        </row>
        <row r="186">
          <cell r="BN186" t="str">
            <v>Actual</v>
          </cell>
          <cell r="BO186" t="str">
            <v>Actual</v>
          </cell>
          <cell r="BP186" t="str">
            <v>Actual</v>
          </cell>
          <cell r="BQ186" t="str">
            <v>Actual</v>
          </cell>
          <cell r="BR186" t="str">
            <v>Actual</v>
          </cell>
          <cell r="BS186" t="str">
            <v>Actual</v>
          </cell>
          <cell r="BT186" t="str">
            <v>Actual</v>
          </cell>
          <cell r="BU186" t="str">
            <v>Actual</v>
          </cell>
          <cell r="BV186" t="str">
            <v>Actual</v>
          </cell>
          <cell r="BW186" t="str">
            <v>Actual</v>
          </cell>
          <cell r="BX186" t="str">
            <v>Actual</v>
          </cell>
          <cell r="BY186" t="str">
            <v>Actual</v>
          </cell>
          <cell r="BZ186" t="str">
            <v>Cum_Actu</v>
          </cell>
          <cell r="CA186" t="str">
            <v>Cum_Actu</v>
          </cell>
          <cell r="CB186" t="str">
            <v>Cum_Actu</v>
          </cell>
          <cell r="CC186" t="str">
            <v>Cum_Actu</v>
          </cell>
          <cell r="CD186" t="str">
            <v>Cum_Actu</v>
          </cell>
          <cell r="CE186" t="str">
            <v>Cum_Actu</v>
          </cell>
          <cell r="CF186" t="str">
            <v>Cum_Actu</v>
          </cell>
          <cell r="CG186" t="str">
            <v>Cum_Actu</v>
          </cell>
          <cell r="CH186" t="str">
            <v>Cum_Actu</v>
          </cell>
          <cell r="CI186" t="str">
            <v>Cum_Actu</v>
          </cell>
          <cell r="CJ186" t="str">
            <v>Cum_Actu</v>
          </cell>
          <cell r="CK186" t="str">
            <v>Cum_Actu</v>
          </cell>
        </row>
        <row r="187">
          <cell r="BM187" t="str">
            <v>CODE</v>
          </cell>
          <cell r="BN187">
            <v>41285</v>
          </cell>
          <cell r="BO187">
            <v>41316</v>
          </cell>
          <cell r="BP187">
            <v>41344</v>
          </cell>
          <cell r="BQ187">
            <v>41375</v>
          </cell>
          <cell r="BR187">
            <v>41405</v>
          </cell>
          <cell r="BS187">
            <v>41436</v>
          </cell>
          <cell r="BT187">
            <v>41466</v>
          </cell>
          <cell r="BU187">
            <v>41497</v>
          </cell>
          <cell r="BV187">
            <v>41528</v>
          </cell>
          <cell r="BW187">
            <v>41558</v>
          </cell>
          <cell r="BX187">
            <v>41589</v>
          </cell>
          <cell r="BY187">
            <v>41619</v>
          </cell>
          <cell r="BZ187">
            <v>41285</v>
          </cell>
          <cell r="CA187">
            <v>41316</v>
          </cell>
          <cell r="CB187">
            <v>41344</v>
          </cell>
          <cell r="CC187">
            <v>41375</v>
          </cell>
          <cell r="CD187">
            <v>41405</v>
          </cell>
          <cell r="CE187">
            <v>41436</v>
          </cell>
          <cell r="CF187">
            <v>41466</v>
          </cell>
          <cell r="CG187">
            <v>41497</v>
          </cell>
          <cell r="CH187">
            <v>41528</v>
          </cell>
          <cell r="CI187">
            <v>41558</v>
          </cell>
          <cell r="CJ187">
            <v>41589</v>
          </cell>
          <cell r="CK187">
            <v>41619</v>
          </cell>
        </row>
        <row r="188">
          <cell r="BM188" t="str">
            <v>E01</v>
          </cell>
          <cell r="BN188">
            <v>8</v>
          </cell>
          <cell r="BO188">
            <v>8</v>
          </cell>
          <cell r="BP188">
            <v>8</v>
          </cell>
          <cell r="BQ188">
            <v>8</v>
          </cell>
          <cell r="BR188">
            <v>3.5590000000000002</v>
          </cell>
          <cell r="BS188">
            <v>14.399999999999999</v>
          </cell>
          <cell r="BT188">
            <v>10.54</v>
          </cell>
          <cell r="BU188">
            <v>12.260000000000002</v>
          </cell>
          <cell r="BV188">
            <v>11.96</v>
          </cell>
          <cell r="BW188">
            <v>10.55</v>
          </cell>
          <cell r="BX188">
            <v>11.54</v>
          </cell>
          <cell r="BY188">
            <v>10.079999999999998</v>
          </cell>
          <cell r="BZ188">
            <v>8</v>
          </cell>
          <cell r="CA188">
            <v>16</v>
          </cell>
          <cell r="CB188">
            <v>24</v>
          </cell>
          <cell r="CC188">
            <v>32</v>
          </cell>
          <cell r="CD188">
            <v>35.558999999999997</v>
          </cell>
          <cell r="CE188">
            <v>49.958999999999996</v>
          </cell>
          <cell r="CF188">
            <v>60.498999999999995</v>
          </cell>
          <cell r="CG188">
            <v>72.759</v>
          </cell>
          <cell r="CH188">
            <v>84.718999999999994</v>
          </cell>
          <cell r="CI188">
            <v>95.268999999999991</v>
          </cell>
          <cell r="CJ188">
            <v>106.809</v>
          </cell>
          <cell r="CK188">
            <v>116.889</v>
          </cell>
        </row>
        <row r="189">
          <cell r="BM189" t="str">
            <v>E02</v>
          </cell>
          <cell r="BN189">
            <v>3</v>
          </cell>
          <cell r="BO189">
            <v>3</v>
          </cell>
          <cell r="BP189">
            <v>3</v>
          </cell>
          <cell r="BQ189">
            <v>3</v>
          </cell>
          <cell r="BR189">
            <v>2.76</v>
          </cell>
          <cell r="BS189">
            <v>2.89</v>
          </cell>
          <cell r="BT189">
            <v>2.8</v>
          </cell>
          <cell r="BU189">
            <v>8.5</v>
          </cell>
          <cell r="BV189">
            <v>6.26</v>
          </cell>
          <cell r="BW189">
            <v>5.45</v>
          </cell>
          <cell r="BX189">
            <v>3.65</v>
          </cell>
          <cell r="BY189">
            <v>5.7799999999999994</v>
          </cell>
          <cell r="BZ189">
            <v>3</v>
          </cell>
          <cell r="CA189">
            <v>6</v>
          </cell>
          <cell r="CB189">
            <v>9</v>
          </cell>
          <cell r="CC189">
            <v>12</v>
          </cell>
          <cell r="CD189">
            <v>14.76</v>
          </cell>
          <cell r="CE189">
            <v>17.649999999999999</v>
          </cell>
          <cell r="CF189">
            <v>20.45</v>
          </cell>
          <cell r="CG189">
            <v>28.95</v>
          </cell>
          <cell r="CH189">
            <v>35.21</v>
          </cell>
          <cell r="CI189">
            <v>40.660000000000004</v>
          </cell>
          <cell r="CJ189">
            <v>44.31</v>
          </cell>
          <cell r="CK189">
            <v>50.09</v>
          </cell>
        </row>
        <row r="190">
          <cell r="BM190" t="str">
            <v>E03</v>
          </cell>
          <cell r="BN190">
            <v>5</v>
          </cell>
          <cell r="BO190">
            <v>5</v>
          </cell>
          <cell r="BP190">
            <v>5</v>
          </cell>
          <cell r="BQ190">
            <v>5</v>
          </cell>
          <cell r="BR190">
            <v>3.36</v>
          </cell>
          <cell r="BS190">
            <v>6.28</v>
          </cell>
          <cell r="BT190">
            <v>3.11</v>
          </cell>
          <cell r="BU190">
            <v>6.28</v>
          </cell>
          <cell r="BV190">
            <v>3.18</v>
          </cell>
          <cell r="BW190">
            <v>4.92</v>
          </cell>
          <cell r="BX190">
            <v>4.97</v>
          </cell>
          <cell r="BY190">
            <v>5.03</v>
          </cell>
          <cell r="BZ190">
            <v>5</v>
          </cell>
          <cell r="CA190">
            <v>10</v>
          </cell>
          <cell r="CB190">
            <v>15</v>
          </cell>
          <cell r="CC190">
            <v>20</v>
          </cell>
          <cell r="CD190">
            <v>23.36</v>
          </cell>
          <cell r="CE190">
            <v>29.64</v>
          </cell>
          <cell r="CF190">
            <v>32.75</v>
          </cell>
          <cell r="CG190">
            <v>39.03</v>
          </cell>
          <cell r="CH190">
            <v>42.21</v>
          </cell>
          <cell r="CI190">
            <v>47.13</v>
          </cell>
          <cell r="CJ190">
            <v>52.1</v>
          </cell>
          <cell r="CK190">
            <v>57.13</v>
          </cell>
        </row>
        <row r="191">
          <cell r="BM191" t="str">
            <v>E04</v>
          </cell>
          <cell r="BN191">
            <v>0.8</v>
          </cell>
          <cell r="BO191">
            <v>0.6</v>
          </cell>
          <cell r="BP191">
            <v>0.8</v>
          </cell>
          <cell r="BQ191">
            <v>0.6</v>
          </cell>
          <cell r="BR191">
            <v>2.0379999999999998</v>
          </cell>
          <cell r="BS191">
            <v>0.44</v>
          </cell>
          <cell r="BT191">
            <v>0.78</v>
          </cell>
          <cell r="BU191">
            <v>0.28999999999999998</v>
          </cell>
          <cell r="BV191">
            <v>0.73</v>
          </cell>
          <cell r="BW191">
            <v>0.60000000000000009</v>
          </cell>
          <cell r="BX191">
            <v>7.81</v>
          </cell>
          <cell r="BY191">
            <v>0.4</v>
          </cell>
          <cell r="BZ191">
            <v>0.8</v>
          </cell>
          <cell r="CA191">
            <v>1.4</v>
          </cell>
          <cell r="CB191">
            <v>2.2000000000000002</v>
          </cell>
          <cell r="CC191">
            <v>2.8000000000000003</v>
          </cell>
          <cell r="CD191">
            <v>4.8380000000000001</v>
          </cell>
          <cell r="CE191">
            <v>5.2780000000000005</v>
          </cell>
          <cell r="CF191">
            <v>6.0580000000000007</v>
          </cell>
          <cell r="CG191">
            <v>6.3480000000000008</v>
          </cell>
          <cell r="CH191">
            <v>7.0780000000000012</v>
          </cell>
          <cell r="CI191">
            <v>7.6780000000000008</v>
          </cell>
          <cell r="CJ191">
            <v>15.488</v>
          </cell>
          <cell r="CK191">
            <v>15.888</v>
          </cell>
        </row>
        <row r="192">
          <cell r="BM192" t="str">
            <v>E05</v>
          </cell>
          <cell r="BN192">
            <v>5</v>
          </cell>
          <cell r="BO192">
            <v>0</v>
          </cell>
          <cell r="BP192">
            <v>0</v>
          </cell>
          <cell r="BQ192">
            <v>0</v>
          </cell>
          <cell r="BR192">
            <v>10.345000000000001</v>
          </cell>
          <cell r="BS192">
            <v>0</v>
          </cell>
          <cell r="BT192">
            <v>12.8</v>
          </cell>
          <cell r="BU192">
            <v>0</v>
          </cell>
          <cell r="BV192">
            <v>0</v>
          </cell>
          <cell r="BW192">
            <v>0</v>
          </cell>
          <cell r="BX192">
            <v>0</v>
          </cell>
          <cell r="BY192">
            <v>-3.05</v>
          </cell>
          <cell r="BZ192">
            <v>5</v>
          </cell>
          <cell r="CA192">
            <v>5</v>
          </cell>
          <cell r="CB192">
            <v>5</v>
          </cell>
          <cell r="CC192">
            <v>5</v>
          </cell>
          <cell r="CD192">
            <v>15.345000000000001</v>
          </cell>
          <cell r="CE192">
            <v>15.345000000000001</v>
          </cell>
          <cell r="CF192">
            <v>28.145000000000003</v>
          </cell>
          <cell r="CG192">
            <v>28.145000000000003</v>
          </cell>
          <cell r="CH192">
            <v>28.145000000000003</v>
          </cell>
          <cell r="CI192">
            <v>28.145000000000003</v>
          </cell>
          <cell r="CJ192">
            <v>28.145000000000003</v>
          </cell>
          <cell r="CK192">
            <v>25.095000000000002</v>
          </cell>
        </row>
        <row r="193">
          <cell r="BM193" t="str">
            <v>E06</v>
          </cell>
          <cell r="BN193">
            <v>0.5</v>
          </cell>
          <cell r="BO193">
            <v>0.4</v>
          </cell>
          <cell r="BP193">
            <v>0.4</v>
          </cell>
          <cell r="BQ193">
            <v>0.4</v>
          </cell>
          <cell r="BR193">
            <v>-7.5999999999999998E-2</v>
          </cell>
          <cell r="BS193">
            <v>0.4</v>
          </cell>
          <cell r="BT193">
            <v>0.13</v>
          </cell>
          <cell r="BU193">
            <v>0.4</v>
          </cell>
          <cell r="BV193">
            <v>0.15</v>
          </cell>
          <cell r="BW193">
            <v>0.39</v>
          </cell>
          <cell r="BX193">
            <v>0.34</v>
          </cell>
          <cell r="BY193">
            <v>0.17</v>
          </cell>
          <cell r="BZ193">
            <v>0.5</v>
          </cell>
          <cell r="CA193">
            <v>0.9</v>
          </cell>
          <cell r="CB193">
            <v>1.3</v>
          </cell>
          <cell r="CC193">
            <v>1.7000000000000002</v>
          </cell>
          <cell r="CD193">
            <v>1.6240000000000001</v>
          </cell>
          <cell r="CE193">
            <v>2.024</v>
          </cell>
          <cell r="CF193">
            <v>2.1539999999999999</v>
          </cell>
          <cell r="CG193">
            <v>2.5539999999999998</v>
          </cell>
          <cell r="CH193">
            <v>2.7039999999999997</v>
          </cell>
          <cell r="CI193">
            <v>3.0939999999999999</v>
          </cell>
          <cell r="CJ193">
            <v>3.4339999999999997</v>
          </cell>
          <cell r="CK193">
            <v>3.6039999999999996</v>
          </cell>
        </row>
        <row r="194">
          <cell r="BM194" t="str">
            <v>E07</v>
          </cell>
          <cell r="BN194">
            <v>8</v>
          </cell>
          <cell r="BO194">
            <v>0</v>
          </cell>
          <cell r="BP194">
            <v>0</v>
          </cell>
          <cell r="BQ194">
            <v>0</v>
          </cell>
          <cell r="BR194">
            <v>23.36</v>
          </cell>
          <cell r="BS194">
            <v>0</v>
          </cell>
          <cell r="BT194">
            <v>0</v>
          </cell>
          <cell r="BU194">
            <v>0</v>
          </cell>
          <cell r="BV194">
            <v>0</v>
          </cell>
          <cell r="BW194">
            <v>0</v>
          </cell>
          <cell r="BX194">
            <v>0</v>
          </cell>
          <cell r="BY194">
            <v>-5.92</v>
          </cell>
          <cell r="BZ194">
            <v>8</v>
          </cell>
          <cell r="CA194">
            <v>8</v>
          </cell>
          <cell r="CB194">
            <v>8</v>
          </cell>
          <cell r="CC194">
            <v>8</v>
          </cell>
          <cell r="CD194">
            <v>31.36</v>
          </cell>
          <cell r="CE194">
            <v>31.36</v>
          </cell>
          <cell r="CF194">
            <v>31.36</v>
          </cell>
          <cell r="CG194">
            <v>31.36</v>
          </cell>
          <cell r="CH194">
            <v>31.36</v>
          </cell>
          <cell r="CI194">
            <v>31.36</v>
          </cell>
          <cell r="CJ194">
            <v>31.36</v>
          </cell>
          <cell r="CK194">
            <v>25.439999999999998</v>
          </cell>
        </row>
        <row r="195">
          <cell r="BM195" t="str">
            <v>E08</v>
          </cell>
          <cell r="BN195">
            <v>0.15</v>
          </cell>
          <cell r="BO195">
            <v>0.15</v>
          </cell>
          <cell r="BP195">
            <v>0.15</v>
          </cell>
          <cell r="BQ195">
            <v>0.15</v>
          </cell>
          <cell r="BR195">
            <v>0.15</v>
          </cell>
          <cell r="BS195">
            <v>0.15</v>
          </cell>
          <cell r="BT195">
            <v>0.15</v>
          </cell>
          <cell r="BU195">
            <v>0.15</v>
          </cell>
          <cell r="BV195">
            <v>0.15</v>
          </cell>
          <cell r="BW195">
            <v>0.15</v>
          </cell>
          <cell r="BX195">
            <v>0.15</v>
          </cell>
          <cell r="BY195">
            <v>0.15</v>
          </cell>
          <cell r="BZ195">
            <v>0.15</v>
          </cell>
          <cell r="CA195">
            <v>0.3</v>
          </cell>
          <cell r="CB195">
            <v>0.44999999999999996</v>
          </cell>
          <cell r="CC195">
            <v>0.6</v>
          </cell>
          <cell r="CD195">
            <v>0.75</v>
          </cell>
          <cell r="CE195">
            <v>0.9</v>
          </cell>
          <cell r="CF195">
            <v>1.05</v>
          </cell>
          <cell r="CG195">
            <v>1.2</v>
          </cell>
          <cell r="CH195">
            <v>1.3499999999999999</v>
          </cell>
          <cell r="CI195">
            <v>1.4999999999999998</v>
          </cell>
          <cell r="CJ195">
            <v>1.6499999999999997</v>
          </cell>
          <cell r="CK195">
            <v>1.7999999999999996</v>
          </cell>
        </row>
        <row r="196">
          <cell r="BM196" t="str">
            <v>E09</v>
          </cell>
          <cell r="BN196">
            <v>8</v>
          </cell>
          <cell r="BO196">
            <v>0</v>
          </cell>
          <cell r="BP196">
            <v>0</v>
          </cell>
          <cell r="BQ196">
            <v>0</v>
          </cell>
          <cell r="BR196">
            <v>0</v>
          </cell>
          <cell r="BS196">
            <v>0</v>
          </cell>
          <cell r="BT196">
            <v>0</v>
          </cell>
          <cell r="BU196">
            <v>0</v>
          </cell>
          <cell r="BV196">
            <v>0</v>
          </cell>
          <cell r="BW196">
            <v>0</v>
          </cell>
          <cell r="BX196">
            <v>0</v>
          </cell>
          <cell r="BY196">
            <v>0</v>
          </cell>
          <cell r="BZ196">
            <v>8</v>
          </cell>
          <cell r="CA196">
            <v>8</v>
          </cell>
          <cell r="CB196">
            <v>8</v>
          </cell>
          <cell r="CC196">
            <v>8</v>
          </cell>
          <cell r="CD196">
            <v>8</v>
          </cell>
          <cell r="CE196">
            <v>8</v>
          </cell>
          <cell r="CF196">
            <v>8</v>
          </cell>
          <cell r="CG196">
            <v>8</v>
          </cell>
          <cell r="CH196">
            <v>8</v>
          </cell>
          <cell r="CI196">
            <v>8</v>
          </cell>
          <cell r="CJ196">
            <v>8</v>
          </cell>
          <cell r="CK196">
            <v>8</v>
          </cell>
        </row>
        <row r="197">
          <cell r="BM197" t="str">
            <v>E10</v>
          </cell>
          <cell r="BN197">
            <v>1.5</v>
          </cell>
          <cell r="BO197">
            <v>0</v>
          </cell>
          <cell r="BP197">
            <v>0</v>
          </cell>
          <cell r="BQ197">
            <v>0</v>
          </cell>
          <cell r="BR197">
            <v>0</v>
          </cell>
          <cell r="BS197">
            <v>0</v>
          </cell>
          <cell r="BT197">
            <v>0</v>
          </cell>
          <cell r="BU197">
            <v>0</v>
          </cell>
          <cell r="BV197">
            <v>0</v>
          </cell>
          <cell r="BW197">
            <v>0</v>
          </cell>
          <cell r="BX197">
            <v>0</v>
          </cell>
          <cell r="BY197">
            <v>0</v>
          </cell>
          <cell r="BZ197">
            <v>1.5</v>
          </cell>
          <cell r="CA197">
            <v>1.5</v>
          </cell>
          <cell r="CB197">
            <v>1.5</v>
          </cell>
          <cell r="CC197">
            <v>1.5</v>
          </cell>
          <cell r="CD197">
            <v>1.5</v>
          </cell>
          <cell r="CE197">
            <v>1.5</v>
          </cell>
          <cell r="CF197">
            <v>1.5</v>
          </cell>
          <cell r="CG197">
            <v>1.5</v>
          </cell>
          <cell r="CH197">
            <v>1.5</v>
          </cell>
          <cell r="CI197">
            <v>1.5</v>
          </cell>
          <cell r="CJ197">
            <v>1.5</v>
          </cell>
          <cell r="CK197">
            <v>1.5</v>
          </cell>
        </row>
        <row r="198">
          <cell r="BM198" t="str">
            <v>E11</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row>
        <row r="199">
          <cell r="BM199" t="str">
            <v>E12</v>
          </cell>
          <cell r="BN199">
            <v>0</v>
          </cell>
          <cell r="BO199">
            <v>0</v>
          </cell>
          <cell r="BP199">
            <v>0</v>
          </cell>
          <cell r="BQ199">
            <v>33</v>
          </cell>
          <cell r="BR199">
            <v>0</v>
          </cell>
          <cell r="BS199">
            <v>0</v>
          </cell>
          <cell r="BT199">
            <v>0</v>
          </cell>
          <cell r="BU199">
            <v>0</v>
          </cell>
          <cell r="BV199">
            <v>0</v>
          </cell>
          <cell r="BW199">
            <v>0</v>
          </cell>
          <cell r="BX199">
            <v>0</v>
          </cell>
          <cell r="BY199">
            <v>0</v>
          </cell>
          <cell r="BZ199">
            <v>0</v>
          </cell>
          <cell r="CA199">
            <v>0</v>
          </cell>
          <cell r="CB199">
            <v>0</v>
          </cell>
          <cell r="CC199">
            <v>33</v>
          </cell>
          <cell r="CD199">
            <v>33</v>
          </cell>
          <cell r="CE199">
            <v>33</v>
          </cell>
          <cell r="CF199">
            <v>33</v>
          </cell>
          <cell r="CG199">
            <v>33</v>
          </cell>
          <cell r="CH199">
            <v>33</v>
          </cell>
          <cell r="CI199">
            <v>33</v>
          </cell>
          <cell r="CJ199">
            <v>33</v>
          </cell>
          <cell r="CK199">
            <v>33</v>
          </cell>
        </row>
        <row r="200">
          <cell r="BM200" t="str">
            <v>E13</v>
          </cell>
          <cell r="BN200">
            <v>4</v>
          </cell>
          <cell r="BO200">
            <v>0</v>
          </cell>
          <cell r="BP200">
            <v>0</v>
          </cell>
          <cell r="BQ200">
            <v>0</v>
          </cell>
          <cell r="BR200">
            <v>0</v>
          </cell>
          <cell r="BS200">
            <v>0</v>
          </cell>
          <cell r="BT200">
            <v>0</v>
          </cell>
          <cell r="BU200">
            <v>0</v>
          </cell>
          <cell r="BV200">
            <v>0</v>
          </cell>
          <cell r="BW200">
            <v>0</v>
          </cell>
          <cell r="BX200">
            <v>0</v>
          </cell>
          <cell r="BY200">
            <v>-0.87</v>
          </cell>
          <cell r="BZ200">
            <v>4</v>
          </cell>
          <cell r="CA200">
            <v>4</v>
          </cell>
          <cell r="CB200">
            <v>4</v>
          </cell>
          <cell r="CC200">
            <v>4</v>
          </cell>
          <cell r="CD200">
            <v>4</v>
          </cell>
          <cell r="CE200">
            <v>4</v>
          </cell>
          <cell r="CF200">
            <v>4</v>
          </cell>
          <cell r="CG200">
            <v>4</v>
          </cell>
          <cell r="CH200">
            <v>4</v>
          </cell>
          <cell r="CI200">
            <v>4</v>
          </cell>
          <cell r="CJ200">
            <v>4</v>
          </cell>
          <cell r="CK200">
            <v>3.13</v>
          </cell>
        </row>
        <row r="201">
          <cell r="BM201" t="str">
            <v>E14</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row>
        <row r="202">
          <cell r="BM202" t="str">
            <v>PR1</v>
          </cell>
          <cell r="BN202">
            <v>3</v>
          </cell>
          <cell r="BO202">
            <v>3</v>
          </cell>
          <cell r="BP202">
            <v>3</v>
          </cell>
          <cell r="BQ202">
            <v>3</v>
          </cell>
          <cell r="BR202">
            <v>3.149</v>
          </cell>
          <cell r="BS202">
            <v>2.91</v>
          </cell>
          <cell r="BT202">
            <v>2.69</v>
          </cell>
          <cell r="BU202">
            <v>2.94</v>
          </cell>
          <cell r="BV202">
            <v>3</v>
          </cell>
          <cell r="BW202">
            <v>3</v>
          </cell>
          <cell r="BX202">
            <v>2.77</v>
          </cell>
          <cell r="BY202">
            <v>1.92</v>
          </cell>
          <cell r="BZ202">
            <v>3</v>
          </cell>
          <cell r="CA202">
            <v>6</v>
          </cell>
          <cell r="CB202">
            <v>9</v>
          </cell>
          <cell r="CC202">
            <v>12</v>
          </cell>
          <cell r="CD202">
            <v>15.149000000000001</v>
          </cell>
          <cell r="CE202">
            <v>18.059000000000001</v>
          </cell>
          <cell r="CF202">
            <v>20.749000000000002</v>
          </cell>
          <cell r="CG202">
            <v>23.689000000000004</v>
          </cell>
          <cell r="CH202">
            <v>26.689000000000004</v>
          </cell>
          <cell r="CI202">
            <v>29.689000000000004</v>
          </cell>
          <cell r="CJ202">
            <v>32.459000000000003</v>
          </cell>
          <cell r="CK202">
            <v>34.379000000000005</v>
          </cell>
        </row>
        <row r="203">
          <cell r="BM203" t="str">
            <v>PR2</v>
          </cell>
          <cell r="BN203">
            <v>0</v>
          </cell>
          <cell r="BO203">
            <v>0</v>
          </cell>
          <cell r="BP203">
            <v>0</v>
          </cell>
          <cell r="BQ203">
            <v>0</v>
          </cell>
          <cell r="BR203">
            <v>0</v>
          </cell>
          <cell r="BS203">
            <v>0.6</v>
          </cell>
          <cell r="BT203">
            <v>0</v>
          </cell>
          <cell r="BU203">
            <v>0</v>
          </cell>
          <cell r="BV203">
            <v>0</v>
          </cell>
          <cell r="BW203">
            <v>0</v>
          </cell>
          <cell r="BX203">
            <v>0</v>
          </cell>
          <cell r="BY203">
            <v>0</v>
          </cell>
          <cell r="BZ203">
            <v>0</v>
          </cell>
          <cell r="CA203">
            <v>0</v>
          </cell>
          <cell r="CB203">
            <v>0</v>
          </cell>
          <cell r="CC203">
            <v>0</v>
          </cell>
          <cell r="CD203">
            <v>0</v>
          </cell>
          <cell r="CE203">
            <v>0.6</v>
          </cell>
          <cell r="CF203">
            <v>0.6</v>
          </cell>
          <cell r="CG203">
            <v>0.6</v>
          </cell>
          <cell r="CH203">
            <v>0.6</v>
          </cell>
          <cell r="CI203">
            <v>0.6</v>
          </cell>
          <cell r="CJ203">
            <v>0.6</v>
          </cell>
          <cell r="CK203">
            <v>0.6</v>
          </cell>
        </row>
        <row r="204">
          <cell r="BM204" t="str">
            <v>PR3</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row>
        <row r="205">
          <cell r="BM205" t="str">
            <v>PR4</v>
          </cell>
          <cell r="BN205">
            <v>0.1</v>
          </cell>
          <cell r="BO205">
            <v>0.1</v>
          </cell>
          <cell r="BP205">
            <v>0.1</v>
          </cell>
          <cell r="BQ205">
            <v>0.1</v>
          </cell>
          <cell r="BR205">
            <v>0.1</v>
          </cell>
          <cell r="BS205">
            <v>0.1</v>
          </cell>
          <cell r="BT205">
            <v>0.1</v>
          </cell>
          <cell r="BU205">
            <v>0.1</v>
          </cell>
          <cell r="BV205">
            <v>0.1</v>
          </cell>
          <cell r="BW205">
            <v>0.1</v>
          </cell>
          <cell r="BX205">
            <v>0.1</v>
          </cell>
          <cell r="BY205">
            <v>0.06</v>
          </cell>
          <cell r="BZ205">
            <v>0.1</v>
          </cell>
          <cell r="CA205">
            <v>0.2</v>
          </cell>
          <cell r="CB205">
            <v>0.30000000000000004</v>
          </cell>
          <cell r="CC205">
            <v>0.4</v>
          </cell>
          <cell r="CD205">
            <v>0.5</v>
          </cell>
          <cell r="CE205">
            <v>0.6</v>
          </cell>
          <cell r="CF205">
            <v>0.7</v>
          </cell>
          <cell r="CG205">
            <v>0.79999999999999993</v>
          </cell>
          <cell r="CH205">
            <v>0.89999999999999991</v>
          </cell>
          <cell r="CI205">
            <v>0.99999999999999989</v>
          </cell>
          <cell r="CJ205">
            <v>1.0999999999999999</v>
          </cell>
          <cell r="CK205">
            <v>1.1599999999999999</v>
          </cell>
        </row>
        <row r="206">
          <cell r="BM206" t="str">
            <v>QC1</v>
          </cell>
          <cell r="BN206">
            <v>0.75</v>
          </cell>
          <cell r="BO206">
            <v>0.75</v>
          </cell>
          <cell r="BP206">
            <v>0.75</v>
          </cell>
          <cell r="BQ206">
            <v>0.75</v>
          </cell>
          <cell r="BR206">
            <v>0.73599999999999999</v>
          </cell>
          <cell r="BS206">
            <v>0.75</v>
          </cell>
          <cell r="BT206">
            <v>0.55000000000000004</v>
          </cell>
          <cell r="BU206">
            <v>0.75</v>
          </cell>
          <cell r="BV206">
            <v>0.75</v>
          </cell>
          <cell r="BW206">
            <v>0.75</v>
          </cell>
          <cell r="BX206">
            <v>0.75</v>
          </cell>
          <cell r="BY206">
            <v>0.66</v>
          </cell>
          <cell r="BZ206">
            <v>0.75</v>
          </cell>
          <cell r="CA206">
            <v>1.5</v>
          </cell>
          <cell r="CB206">
            <v>2.25</v>
          </cell>
          <cell r="CC206">
            <v>3</v>
          </cell>
          <cell r="CD206">
            <v>3.7359999999999998</v>
          </cell>
          <cell r="CE206">
            <v>4.4859999999999998</v>
          </cell>
          <cell r="CF206">
            <v>5.0359999999999996</v>
          </cell>
          <cell r="CG206">
            <v>5.7859999999999996</v>
          </cell>
          <cell r="CH206">
            <v>6.5359999999999996</v>
          </cell>
          <cell r="CI206">
            <v>7.2859999999999996</v>
          </cell>
          <cell r="CJ206">
            <v>8.0359999999999996</v>
          </cell>
          <cell r="CK206">
            <v>8.6959999999999997</v>
          </cell>
        </row>
        <row r="207">
          <cell r="BM207" t="str">
            <v>QC2</v>
          </cell>
          <cell r="BN207">
            <v>0.3</v>
          </cell>
          <cell r="BO207">
            <v>0</v>
          </cell>
          <cell r="BP207">
            <v>0</v>
          </cell>
          <cell r="BQ207">
            <v>0</v>
          </cell>
          <cell r="BR207">
            <v>0</v>
          </cell>
          <cell r="BS207">
            <v>0</v>
          </cell>
          <cell r="BT207">
            <v>0</v>
          </cell>
          <cell r="BU207">
            <v>0</v>
          </cell>
          <cell r="BV207">
            <v>0</v>
          </cell>
          <cell r="BW207">
            <v>0</v>
          </cell>
          <cell r="BX207">
            <v>0</v>
          </cell>
          <cell r="BY207">
            <v>0</v>
          </cell>
          <cell r="BZ207">
            <v>0.3</v>
          </cell>
          <cell r="CA207">
            <v>0.3</v>
          </cell>
          <cell r="CB207">
            <v>0.3</v>
          </cell>
          <cell r="CC207">
            <v>0.3</v>
          </cell>
          <cell r="CD207">
            <v>0.3</v>
          </cell>
          <cell r="CE207">
            <v>0.3</v>
          </cell>
          <cell r="CF207">
            <v>0.3</v>
          </cell>
          <cell r="CG207">
            <v>0.3</v>
          </cell>
          <cell r="CH207">
            <v>0.3</v>
          </cell>
          <cell r="CI207">
            <v>0.3</v>
          </cell>
          <cell r="CJ207">
            <v>0.3</v>
          </cell>
          <cell r="CK207">
            <v>0.3</v>
          </cell>
        </row>
        <row r="208">
          <cell r="BM208" t="str">
            <v>QC3</v>
          </cell>
          <cell r="BN208">
            <v>0.5</v>
          </cell>
          <cell r="BO208">
            <v>0</v>
          </cell>
          <cell r="BP208">
            <v>0</v>
          </cell>
          <cell r="BQ208">
            <v>0.5</v>
          </cell>
          <cell r="BR208">
            <v>-0.23599999999999999</v>
          </cell>
          <cell r="BS208">
            <v>0</v>
          </cell>
          <cell r="BT208">
            <v>0</v>
          </cell>
          <cell r="BU208">
            <v>0</v>
          </cell>
          <cell r="BV208">
            <v>0</v>
          </cell>
          <cell r="BW208">
            <v>0</v>
          </cell>
          <cell r="BX208">
            <v>0.5</v>
          </cell>
          <cell r="BY208">
            <v>0</v>
          </cell>
          <cell r="BZ208">
            <v>0.5</v>
          </cell>
          <cell r="CA208">
            <v>0.5</v>
          </cell>
          <cell r="CB208">
            <v>0.5</v>
          </cell>
          <cell r="CC208">
            <v>1</v>
          </cell>
          <cell r="CD208">
            <v>0.76400000000000001</v>
          </cell>
          <cell r="CE208">
            <v>0.76400000000000001</v>
          </cell>
          <cell r="CF208">
            <v>0.76400000000000001</v>
          </cell>
          <cell r="CG208">
            <v>0.76400000000000001</v>
          </cell>
          <cell r="CH208">
            <v>0.76400000000000001</v>
          </cell>
          <cell r="CI208">
            <v>0.76400000000000001</v>
          </cell>
          <cell r="CJ208">
            <v>1.264</v>
          </cell>
          <cell r="CK208">
            <v>1.264</v>
          </cell>
        </row>
        <row r="209">
          <cell r="BM209" t="str">
            <v>QC4</v>
          </cell>
          <cell r="BN209">
            <v>0.5</v>
          </cell>
          <cell r="BO209">
            <v>0</v>
          </cell>
          <cell r="BP209">
            <v>0.45</v>
          </cell>
          <cell r="BQ209">
            <v>0</v>
          </cell>
          <cell r="BR209">
            <v>-0.21</v>
          </cell>
          <cell r="BS209">
            <v>0</v>
          </cell>
          <cell r="BT209">
            <v>0.45</v>
          </cell>
          <cell r="BU209">
            <v>0</v>
          </cell>
          <cell r="BV209">
            <v>0.45</v>
          </cell>
          <cell r="BW209">
            <v>0</v>
          </cell>
          <cell r="BX209">
            <v>0.45</v>
          </cell>
          <cell r="BY209">
            <v>0</v>
          </cell>
          <cell r="BZ209">
            <v>0.5</v>
          </cell>
          <cell r="CA209">
            <v>0.5</v>
          </cell>
          <cell r="CB209">
            <v>0.95</v>
          </cell>
          <cell r="CC209">
            <v>0.95</v>
          </cell>
          <cell r="CD209">
            <v>0.74</v>
          </cell>
          <cell r="CE209">
            <v>0.74</v>
          </cell>
          <cell r="CF209">
            <v>1.19</v>
          </cell>
          <cell r="CG209">
            <v>1.19</v>
          </cell>
          <cell r="CH209">
            <v>1.64</v>
          </cell>
          <cell r="CI209">
            <v>1.64</v>
          </cell>
          <cell r="CJ209">
            <v>2.09</v>
          </cell>
          <cell r="CK209">
            <v>2.09</v>
          </cell>
        </row>
        <row r="210">
          <cell r="BM210" t="str">
            <v>QC5</v>
          </cell>
          <cell r="BN210">
            <v>1.5</v>
          </cell>
          <cell r="BO210">
            <v>0</v>
          </cell>
          <cell r="BP210">
            <v>0</v>
          </cell>
          <cell r="BQ210">
            <v>1.5</v>
          </cell>
          <cell r="BR210">
            <v>0</v>
          </cell>
          <cell r="BS210">
            <v>0</v>
          </cell>
          <cell r="BT210">
            <v>1.5</v>
          </cell>
          <cell r="BU210">
            <v>0</v>
          </cell>
          <cell r="BV210">
            <v>0</v>
          </cell>
          <cell r="BW210">
            <v>1.5</v>
          </cell>
          <cell r="BX210">
            <v>0</v>
          </cell>
          <cell r="BY210">
            <v>0</v>
          </cell>
          <cell r="BZ210">
            <v>1.5</v>
          </cell>
          <cell r="CA210">
            <v>1.5</v>
          </cell>
          <cell r="CB210">
            <v>1.5</v>
          </cell>
          <cell r="CC210">
            <v>3</v>
          </cell>
          <cell r="CD210">
            <v>3</v>
          </cell>
          <cell r="CE210">
            <v>3</v>
          </cell>
          <cell r="CF210">
            <v>4.5</v>
          </cell>
          <cell r="CG210">
            <v>4.5</v>
          </cell>
          <cell r="CH210">
            <v>4.5</v>
          </cell>
          <cell r="CI210">
            <v>6</v>
          </cell>
          <cell r="CJ210">
            <v>6</v>
          </cell>
          <cell r="CK210">
            <v>6</v>
          </cell>
        </row>
        <row r="211">
          <cell r="BM211" t="str">
            <v>QC6</v>
          </cell>
          <cell r="BN211">
            <v>0.5</v>
          </cell>
          <cell r="BO211">
            <v>0</v>
          </cell>
          <cell r="BP211">
            <v>0</v>
          </cell>
          <cell r="BQ211">
            <v>0</v>
          </cell>
          <cell r="BR211">
            <v>-0.26</v>
          </cell>
          <cell r="BS211">
            <v>0</v>
          </cell>
          <cell r="BT211">
            <v>0</v>
          </cell>
          <cell r="BU211">
            <v>0</v>
          </cell>
          <cell r="BV211">
            <v>0</v>
          </cell>
          <cell r="BW211">
            <v>0</v>
          </cell>
          <cell r="BX211">
            <v>0</v>
          </cell>
          <cell r="BY211">
            <v>0</v>
          </cell>
          <cell r="BZ211">
            <v>0.5</v>
          </cell>
          <cell r="CA211">
            <v>0.5</v>
          </cell>
          <cell r="CB211">
            <v>0.5</v>
          </cell>
          <cell r="CC211">
            <v>0.5</v>
          </cell>
          <cell r="CD211">
            <v>0.24</v>
          </cell>
          <cell r="CE211">
            <v>0.24</v>
          </cell>
          <cell r="CF211">
            <v>0.24</v>
          </cell>
          <cell r="CG211">
            <v>0.24</v>
          </cell>
          <cell r="CH211">
            <v>0.24</v>
          </cell>
          <cell r="CI211">
            <v>0.24</v>
          </cell>
          <cell r="CJ211">
            <v>0.24</v>
          </cell>
          <cell r="CK211">
            <v>0.24</v>
          </cell>
        </row>
        <row r="212">
          <cell r="BM212" t="str">
            <v>QC7</v>
          </cell>
          <cell r="BN212">
            <v>1</v>
          </cell>
          <cell r="BO212">
            <v>0</v>
          </cell>
          <cell r="BP212">
            <v>0</v>
          </cell>
          <cell r="BQ212">
            <v>0</v>
          </cell>
          <cell r="BR212">
            <v>0</v>
          </cell>
          <cell r="BS212">
            <v>0</v>
          </cell>
          <cell r="BT212">
            <v>0</v>
          </cell>
          <cell r="BU212">
            <v>0</v>
          </cell>
          <cell r="BV212">
            <v>0</v>
          </cell>
          <cell r="BW212">
            <v>0</v>
          </cell>
          <cell r="BX212">
            <v>0</v>
          </cell>
          <cell r="BY212">
            <v>0</v>
          </cell>
          <cell r="BZ212">
            <v>1</v>
          </cell>
          <cell r="CA212">
            <v>1</v>
          </cell>
          <cell r="CB212">
            <v>1</v>
          </cell>
          <cell r="CC212">
            <v>1</v>
          </cell>
          <cell r="CD212">
            <v>1</v>
          </cell>
          <cell r="CE212">
            <v>1</v>
          </cell>
          <cell r="CF212">
            <v>1</v>
          </cell>
          <cell r="CG212">
            <v>1</v>
          </cell>
          <cell r="CH212">
            <v>1</v>
          </cell>
          <cell r="CI212">
            <v>1</v>
          </cell>
          <cell r="CJ212">
            <v>1</v>
          </cell>
          <cell r="CK212">
            <v>1</v>
          </cell>
        </row>
        <row r="213">
          <cell r="BM213" t="str">
            <v>QC8</v>
          </cell>
          <cell r="BN213">
            <v>4</v>
          </cell>
          <cell r="BO213">
            <v>0</v>
          </cell>
          <cell r="BP213">
            <v>0</v>
          </cell>
          <cell r="BQ213">
            <v>0</v>
          </cell>
          <cell r="BR213">
            <v>0</v>
          </cell>
          <cell r="BS213">
            <v>0</v>
          </cell>
          <cell r="BT213">
            <v>0</v>
          </cell>
          <cell r="BU213">
            <v>0</v>
          </cell>
          <cell r="BV213">
            <v>0</v>
          </cell>
          <cell r="BW213">
            <v>0</v>
          </cell>
          <cell r="BX213">
            <v>0</v>
          </cell>
          <cell r="BY213">
            <v>0</v>
          </cell>
          <cell r="BZ213">
            <v>4</v>
          </cell>
          <cell r="CA213">
            <v>4</v>
          </cell>
          <cell r="CB213">
            <v>4</v>
          </cell>
          <cell r="CC213">
            <v>4</v>
          </cell>
          <cell r="CD213">
            <v>4</v>
          </cell>
          <cell r="CE213">
            <v>4</v>
          </cell>
          <cell r="CF213">
            <v>4</v>
          </cell>
          <cell r="CG213">
            <v>4</v>
          </cell>
          <cell r="CH213">
            <v>4</v>
          </cell>
          <cell r="CI213">
            <v>4</v>
          </cell>
          <cell r="CJ213">
            <v>4</v>
          </cell>
          <cell r="CK213">
            <v>4</v>
          </cell>
        </row>
        <row r="214">
          <cell r="BM214" t="str">
            <v>QC9</v>
          </cell>
          <cell r="BN214">
            <v>0.25</v>
          </cell>
          <cell r="BO214">
            <v>0.25</v>
          </cell>
          <cell r="BP214">
            <v>0.25</v>
          </cell>
          <cell r="BQ214">
            <v>0.25</v>
          </cell>
          <cell r="BR214">
            <v>-0.04</v>
          </cell>
          <cell r="BS214">
            <v>0.25</v>
          </cell>
          <cell r="BT214">
            <v>0.8</v>
          </cell>
          <cell r="BU214">
            <v>0.25</v>
          </cell>
          <cell r="BV214">
            <v>0.25</v>
          </cell>
          <cell r="BW214">
            <v>0.25</v>
          </cell>
          <cell r="BX214">
            <v>0.25</v>
          </cell>
          <cell r="BY214">
            <v>0</v>
          </cell>
          <cell r="BZ214">
            <v>0.25</v>
          </cell>
          <cell r="CA214">
            <v>0.5</v>
          </cell>
          <cell r="CB214">
            <v>0.75</v>
          </cell>
          <cell r="CC214">
            <v>1</v>
          </cell>
          <cell r="CD214">
            <v>0.96</v>
          </cell>
          <cell r="CE214">
            <v>1.21</v>
          </cell>
          <cell r="CF214">
            <v>2.0099999999999998</v>
          </cell>
          <cell r="CG214">
            <v>2.2599999999999998</v>
          </cell>
          <cell r="CH214">
            <v>2.5099999999999998</v>
          </cell>
          <cell r="CI214">
            <v>2.76</v>
          </cell>
          <cell r="CJ214">
            <v>3.01</v>
          </cell>
          <cell r="CK214">
            <v>3.01</v>
          </cell>
        </row>
        <row r="215">
          <cell r="BM215" t="str">
            <v>QC10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row>
        <row r="216">
          <cell r="BM216" t="str">
            <v>QC11</v>
          </cell>
          <cell r="BN216">
            <v>1</v>
          </cell>
          <cell r="BO216">
            <v>1</v>
          </cell>
          <cell r="BP216">
            <v>1</v>
          </cell>
          <cell r="BQ216">
            <v>18</v>
          </cell>
          <cell r="BR216">
            <v>-15.715</v>
          </cell>
          <cell r="BS216">
            <v>0</v>
          </cell>
          <cell r="BT216">
            <v>0</v>
          </cell>
          <cell r="BU216">
            <v>0</v>
          </cell>
          <cell r="BV216">
            <v>0</v>
          </cell>
          <cell r="BW216">
            <v>0</v>
          </cell>
          <cell r="BX216">
            <v>0</v>
          </cell>
          <cell r="BY216">
            <v>0</v>
          </cell>
          <cell r="BZ216">
            <v>1</v>
          </cell>
          <cell r="CA216">
            <v>2</v>
          </cell>
          <cell r="CB216">
            <v>3</v>
          </cell>
          <cell r="CC216">
            <v>21</v>
          </cell>
          <cell r="CD216">
            <v>5.2850000000000001</v>
          </cell>
          <cell r="CE216">
            <v>5.2850000000000001</v>
          </cell>
          <cell r="CF216">
            <v>5.2850000000000001</v>
          </cell>
          <cell r="CG216">
            <v>5.2850000000000001</v>
          </cell>
          <cell r="CH216">
            <v>5.2850000000000001</v>
          </cell>
          <cell r="CI216">
            <v>5.2850000000000001</v>
          </cell>
          <cell r="CJ216">
            <v>5.2850000000000001</v>
          </cell>
          <cell r="CK216">
            <v>5.2850000000000001</v>
          </cell>
        </row>
        <row r="217">
          <cell r="BM217" t="str">
            <v>QC12</v>
          </cell>
          <cell r="BN217">
            <v>0.5</v>
          </cell>
          <cell r="BO217">
            <v>0</v>
          </cell>
          <cell r="BP217">
            <v>0</v>
          </cell>
          <cell r="BQ217">
            <v>0</v>
          </cell>
          <cell r="BR217">
            <v>-1.14E-2</v>
          </cell>
          <cell r="BS217">
            <v>0</v>
          </cell>
          <cell r="BT217">
            <v>0</v>
          </cell>
          <cell r="BU217">
            <v>0</v>
          </cell>
          <cell r="BV217">
            <v>0</v>
          </cell>
          <cell r="BW217">
            <v>0</v>
          </cell>
          <cell r="BX217">
            <v>0</v>
          </cell>
          <cell r="BY217">
            <v>0</v>
          </cell>
          <cell r="BZ217">
            <v>0.5</v>
          </cell>
          <cell r="CA217">
            <v>0.5</v>
          </cell>
          <cell r="CB217">
            <v>0.5</v>
          </cell>
          <cell r="CC217">
            <v>0.5</v>
          </cell>
          <cell r="CD217">
            <v>0.48859999999999998</v>
          </cell>
          <cell r="CE217">
            <v>0.48859999999999998</v>
          </cell>
          <cell r="CF217">
            <v>0.48859999999999998</v>
          </cell>
          <cell r="CG217">
            <v>0.48859999999999998</v>
          </cell>
          <cell r="CH217">
            <v>0.48859999999999998</v>
          </cell>
          <cell r="CI217">
            <v>0.48859999999999998</v>
          </cell>
          <cell r="CJ217">
            <v>0.48859999999999998</v>
          </cell>
          <cell r="CK217">
            <v>0.48859999999999998</v>
          </cell>
        </row>
        <row r="218">
          <cell r="BM218" t="str">
            <v>QC13</v>
          </cell>
          <cell r="BN218">
            <v>0.3</v>
          </cell>
          <cell r="BO218">
            <v>0</v>
          </cell>
          <cell r="BP218">
            <v>0.3</v>
          </cell>
          <cell r="BQ218">
            <v>0</v>
          </cell>
          <cell r="BR218">
            <v>-0.04</v>
          </cell>
          <cell r="BS218">
            <v>0</v>
          </cell>
          <cell r="BT218">
            <v>0.04</v>
          </cell>
          <cell r="BU218">
            <v>0</v>
          </cell>
          <cell r="BV218">
            <v>0.30000000000000004</v>
          </cell>
          <cell r="BW218">
            <v>0</v>
          </cell>
          <cell r="BX218">
            <v>0.3</v>
          </cell>
          <cell r="BY218">
            <v>0</v>
          </cell>
          <cell r="BZ218">
            <v>0.3</v>
          </cell>
          <cell r="CA218">
            <v>0.3</v>
          </cell>
          <cell r="CB218">
            <v>0.6</v>
          </cell>
          <cell r="CC218">
            <v>0.6</v>
          </cell>
          <cell r="CD218">
            <v>0.55999999999999994</v>
          </cell>
          <cell r="CE218">
            <v>0.55999999999999994</v>
          </cell>
          <cell r="CF218">
            <v>0.6</v>
          </cell>
          <cell r="CG218">
            <v>0.6</v>
          </cell>
          <cell r="CH218">
            <v>0.9</v>
          </cell>
          <cell r="CI218">
            <v>0.9</v>
          </cell>
          <cell r="CJ218">
            <v>1.2</v>
          </cell>
          <cell r="CK218">
            <v>1.2</v>
          </cell>
        </row>
        <row r="219">
          <cell r="BM219" t="str">
            <v>QC14</v>
          </cell>
          <cell r="BN219">
            <v>0.5</v>
          </cell>
          <cell r="BO219">
            <v>0</v>
          </cell>
          <cell r="BP219">
            <v>0</v>
          </cell>
          <cell r="BQ219">
            <v>0</v>
          </cell>
          <cell r="BR219">
            <v>0</v>
          </cell>
          <cell r="BS219">
            <v>0</v>
          </cell>
          <cell r="BT219">
            <v>0</v>
          </cell>
          <cell r="BU219">
            <v>0</v>
          </cell>
          <cell r="BV219">
            <v>0</v>
          </cell>
          <cell r="BW219">
            <v>0</v>
          </cell>
          <cell r="BX219">
            <v>0</v>
          </cell>
          <cell r="BY219">
            <v>0</v>
          </cell>
          <cell r="BZ219">
            <v>0.5</v>
          </cell>
          <cell r="CA219">
            <v>0.5</v>
          </cell>
          <cell r="CB219">
            <v>0.5</v>
          </cell>
          <cell r="CC219">
            <v>0.5</v>
          </cell>
          <cell r="CD219">
            <v>0.5</v>
          </cell>
          <cell r="CE219">
            <v>0.5</v>
          </cell>
          <cell r="CF219">
            <v>0.5</v>
          </cell>
          <cell r="CG219">
            <v>0.5</v>
          </cell>
          <cell r="CH219">
            <v>0.5</v>
          </cell>
          <cell r="CI219">
            <v>0.5</v>
          </cell>
          <cell r="CJ219">
            <v>0.5</v>
          </cell>
          <cell r="CK219">
            <v>0.5</v>
          </cell>
        </row>
        <row r="220">
          <cell r="BM220" t="str">
            <v>QC15</v>
          </cell>
          <cell r="BN220">
            <v>1.5</v>
          </cell>
          <cell r="BO220">
            <v>0</v>
          </cell>
          <cell r="BP220">
            <v>0</v>
          </cell>
          <cell r="BQ220">
            <v>0</v>
          </cell>
          <cell r="BR220">
            <v>0</v>
          </cell>
          <cell r="BS220">
            <v>0</v>
          </cell>
          <cell r="BT220">
            <v>0</v>
          </cell>
          <cell r="BU220">
            <v>0</v>
          </cell>
          <cell r="BV220">
            <v>0</v>
          </cell>
          <cell r="BW220">
            <v>0</v>
          </cell>
          <cell r="BX220">
            <v>0</v>
          </cell>
          <cell r="BY220">
            <v>0</v>
          </cell>
          <cell r="BZ220">
            <v>1.5</v>
          </cell>
          <cell r="CA220">
            <v>1.5</v>
          </cell>
          <cell r="CB220">
            <v>1.5</v>
          </cell>
          <cell r="CC220">
            <v>1.5</v>
          </cell>
          <cell r="CD220">
            <v>1.5</v>
          </cell>
          <cell r="CE220">
            <v>1.5</v>
          </cell>
          <cell r="CF220">
            <v>1.5</v>
          </cell>
          <cell r="CG220">
            <v>1.5</v>
          </cell>
          <cell r="CH220">
            <v>1.5</v>
          </cell>
          <cell r="CI220">
            <v>1.5</v>
          </cell>
          <cell r="CJ220">
            <v>1.5</v>
          </cell>
          <cell r="CK220">
            <v>1.5</v>
          </cell>
        </row>
        <row r="221">
          <cell r="BM221" t="str">
            <v>QC16</v>
          </cell>
          <cell r="BN221">
            <v>0.04</v>
          </cell>
          <cell r="BO221">
            <v>0.04</v>
          </cell>
          <cell r="BP221">
            <v>0.04</v>
          </cell>
          <cell r="BQ221">
            <v>0.04</v>
          </cell>
          <cell r="BR221">
            <v>0.04</v>
          </cell>
          <cell r="BS221">
            <v>0.04</v>
          </cell>
          <cell r="BT221">
            <v>0</v>
          </cell>
          <cell r="BU221">
            <v>0.04</v>
          </cell>
          <cell r="BV221">
            <v>0.04</v>
          </cell>
          <cell r="BW221">
            <v>0.04</v>
          </cell>
          <cell r="BX221">
            <v>0.04</v>
          </cell>
          <cell r="BY221">
            <v>-0.04</v>
          </cell>
          <cell r="BZ221">
            <v>0.04</v>
          </cell>
          <cell r="CA221">
            <v>0.08</v>
          </cell>
          <cell r="CB221">
            <v>0.12</v>
          </cell>
          <cell r="CC221">
            <v>0.16</v>
          </cell>
          <cell r="CD221">
            <v>0.2</v>
          </cell>
          <cell r="CE221">
            <v>0.24000000000000002</v>
          </cell>
          <cell r="CF221">
            <v>0.24000000000000002</v>
          </cell>
          <cell r="CG221">
            <v>0.28000000000000003</v>
          </cell>
          <cell r="CH221">
            <v>0.32</v>
          </cell>
          <cell r="CI221">
            <v>0.36</v>
          </cell>
          <cell r="CJ221">
            <v>0.39999999999999997</v>
          </cell>
          <cell r="CK221">
            <v>0.36</v>
          </cell>
        </row>
        <row r="222">
          <cell r="BM222" t="str">
            <v>F1</v>
          </cell>
          <cell r="BN222">
            <v>0.02</v>
          </cell>
          <cell r="BO222">
            <v>0.02</v>
          </cell>
          <cell r="BP222">
            <v>0.02</v>
          </cell>
          <cell r="BQ222">
            <v>0.02</v>
          </cell>
          <cell r="BR222">
            <v>7.0000000000000001E-3</v>
          </cell>
          <cell r="BS222">
            <v>0.02</v>
          </cell>
          <cell r="BT222">
            <v>0.02</v>
          </cell>
          <cell r="BU222">
            <v>0.02</v>
          </cell>
          <cell r="BV222">
            <v>0</v>
          </cell>
          <cell r="BW222">
            <v>0.02</v>
          </cell>
          <cell r="BX222">
            <v>0.02</v>
          </cell>
          <cell r="BY222">
            <v>-0.05</v>
          </cell>
          <cell r="BZ222">
            <v>0.02</v>
          </cell>
          <cell r="CA222">
            <v>0.04</v>
          </cell>
          <cell r="CB222">
            <v>0.06</v>
          </cell>
          <cell r="CC222">
            <v>0.08</v>
          </cell>
          <cell r="CD222">
            <v>8.7000000000000008E-2</v>
          </cell>
          <cell r="CE222">
            <v>0.10700000000000001</v>
          </cell>
          <cell r="CF222">
            <v>0.127</v>
          </cell>
          <cell r="CG222">
            <v>0.14699999999999999</v>
          </cell>
          <cell r="CH222">
            <v>0.14699999999999999</v>
          </cell>
          <cell r="CI222">
            <v>0.16699999999999998</v>
          </cell>
          <cell r="CJ222">
            <v>0.18699999999999997</v>
          </cell>
          <cell r="CK222">
            <v>0.13699999999999996</v>
          </cell>
        </row>
        <row r="223">
          <cell r="BM223" t="str">
            <v>F2</v>
          </cell>
          <cell r="BN223">
            <v>0.25</v>
          </cell>
          <cell r="BO223">
            <v>0.25</v>
          </cell>
          <cell r="BP223">
            <v>0.25</v>
          </cell>
          <cell r="BQ223">
            <v>0.25</v>
          </cell>
          <cell r="BR223">
            <v>-9.8000000000000004E-2</v>
          </cell>
          <cell r="BS223">
            <v>0.25</v>
          </cell>
          <cell r="BT223">
            <v>0.23</v>
          </cell>
          <cell r="BU223">
            <v>0.25</v>
          </cell>
          <cell r="BV223">
            <v>0.25</v>
          </cell>
          <cell r="BW223">
            <v>0.19</v>
          </cell>
          <cell r="BX223">
            <v>0.25</v>
          </cell>
          <cell r="BY223">
            <v>-0.28999999999999998</v>
          </cell>
          <cell r="BZ223">
            <v>0.25</v>
          </cell>
          <cell r="CA223">
            <v>0.5</v>
          </cell>
          <cell r="CB223">
            <v>0.75</v>
          </cell>
          <cell r="CC223">
            <v>1</v>
          </cell>
          <cell r="CD223">
            <v>0.90200000000000002</v>
          </cell>
          <cell r="CE223">
            <v>1.1520000000000001</v>
          </cell>
          <cell r="CF223">
            <v>1.3820000000000001</v>
          </cell>
          <cell r="CG223">
            <v>1.6320000000000001</v>
          </cell>
          <cell r="CH223">
            <v>1.8820000000000001</v>
          </cell>
          <cell r="CI223">
            <v>2.0720000000000001</v>
          </cell>
          <cell r="CJ223">
            <v>2.3220000000000001</v>
          </cell>
          <cell r="CK223">
            <v>2.032</v>
          </cell>
        </row>
        <row r="224">
          <cell r="BM224" t="str">
            <v>F3</v>
          </cell>
          <cell r="BN224">
            <v>0.03</v>
          </cell>
          <cell r="BO224">
            <v>0.02</v>
          </cell>
          <cell r="BP224">
            <v>0.02</v>
          </cell>
          <cell r="BQ224">
            <v>0.02</v>
          </cell>
          <cell r="BR224">
            <v>-4.8000000000000001E-2</v>
          </cell>
          <cell r="BS224">
            <v>0.02</v>
          </cell>
          <cell r="BT224">
            <v>0.02</v>
          </cell>
          <cell r="BU224">
            <v>0.02</v>
          </cell>
          <cell r="BV224">
            <v>0.02</v>
          </cell>
          <cell r="BW224">
            <v>0</v>
          </cell>
          <cell r="BX224">
            <v>0.02</v>
          </cell>
          <cell r="BY224">
            <v>0.01</v>
          </cell>
          <cell r="BZ224">
            <v>0.03</v>
          </cell>
          <cell r="CA224">
            <v>0.05</v>
          </cell>
          <cell r="CB224">
            <v>7.0000000000000007E-2</v>
          </cell>
          <cell r="CC224">
            <v>9.0000000000000011E-2</v>
          </cell>
          <cell r="CD224">
            <v>4.200000000000001E-2</v>
          </cell>
          <cell r="CE224">
            <v>6.2000000000000013E-2</v>
          </cell>
          <cell r="CF224">
            <v>8.2000000000000017E-2</v>
          </cell>
          <cell r="CG224">
            <v>0.10200000000000002</v>
          </cell>
          <cell r="CH224">
            <v>0.12200000000000003</v>
          </cell>
          <cell r="CI224">
            <v>0.12200000000000003</v>
          </cell>
          <cell r="CJ224">
            <v>0.14200000000000002</v>
          </cell>
          <cell r="CK224">
            <v>0.15200000000000002</v>
          </cell>
        </row>
        <row r="225">
          <cell r="BM225" t="str">
            <v>S1</v>
          </cell>
          <cell r="BN225">
            <v>0.25</v>
          </cell>
          <cell r="BO225">
            <v>0</v>
          </cell>
          <cell r="BP225">
            <v>0</v>
          </cell>
          <cell r="BQ225">
            <v>0</v>
          </cell>
          <cell r="BR225">
            <v>0</v>
          </cell>
          <cell r="BS225">
            <v>0</v>
          </cell>
          <cell r="BT225">
            <v>0</v>
          </cell>
          <cell r="BU225">
            <v>0</v>
          </cell>
          <cell r="BV225">
            <v>0</v>
          </cell>
          <cell r="BW225">
            <v>0</v>
          </cell>
          <cell r="BX225">
            <v>0</v>
          </cell>
          <cell r="BY225">
            <v>0</v>
          </cell>
          <cell r="BZ225">
            <v>0.25</v>
          </cell>
          <cell r="CA225">
            <v>0.25</v>
          </cell>
          <cell r="CB225">
            <v>0.25</v>
          </cell>
          <cell r="CC225">
            <v>0.25</v>
          </cell>
          <cell r="CD225">
            <v>0.25</v>
          </cell>
          <cell r="CE225">
            <v>0.25</v>
          </cell>
          <cell r="CF225">
            <v>0.25</v>
          </cell>
          <cell r="CG225">
            <v>0.25</v>
          </cell>
          <cell r="CH225">
            <v>0.25</v>
          </cell>
          <cell r="CI225">
            <v>0.25</v>
          </cell>
          <cell r="CJ225">
            <v>0.25</v>
          </cell>
          <cell r="CK225">
            <v>0.25</v>
          </cell>
        </row>
        <row r="226">
          <cell r="BM226" t="str">
            <v>S2</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row>
        <row r="227">
          <cell r="BM227" t="str">
            <v>S3</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row>
        <row r="228">
          <cell r="BM228" t="str">
            <v>S4</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row>
        <row r="229">
          <cell r="BM229" t="str">
            <v>S5</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row>
        <row r="230">
          <cell r="BM230" t="str">
            <v>S6</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row>
        <row r="231">
          <cell r="BM231" t="str">
            <v>IT1</v>
          </cell>
          <cell r="BN231">
            <v>2</v>
          </cell>
          <cell r="BO231">
            <v>0</v>
          </cell>
          <cell r="BP231">
            <v>0</v>
          </cell>
          <cell r="BQ231">
            <v>0</v>
          </cell>
          <cell r="BR231">
            <v>0</v>
          </cell>
          <cell r="BS231">
            <v>0</v>
          </cell>
          <cell r="BT231">
            <v>0</v>
          </cell>
          <cell r="BU231">
            <v>0</v>
          </cell>
          <cell r="BV231">
            <v>0</v>
          </cell>
          <cell r="BW231">
            <v>0</v>
          </cell>
          <cell r="BX231">
            <v>0</v>
          </cell>
          <cell r="BY231">
            <v>0</v>
          </cell>
          <cell r="BZ231">
            <v>2</v>
          </cell>
          <cell r="CA231">
            <v>2</v>
          </cell>
          <cell r="CB231">
            <v>2</v>
          </cell>
          <cell r="CC231">
            <v>2</v>
          </cell>
          <cell r="CD231">
            <v>2</v>
          </cell>
          <cell r="CE231">
            <v>2</v>
          </cell>
          <cell r="CF231">
            <v>2</v>
          </cell>
          <cell r="CG231">
            <v>2</v>
          </cell>
          <cell r="CH231">
            <v>2</v>
          </cell>
          <cell r="CI231">
            <v>2</v>
          </cell>
          <cell r="CJ231">
            <v>2</v>
          </cell>
          <cell r="CK231">
            <v>2</v>
          </cell>
        </row>
        <row r="232">
          <cell r="BM232" t="str">
            <v>IT2</v>
          </cell>
          <cell r="BN232">
            <v>1</v>
          </cell>
          <cell r="BO232">
            <v>1</v>
          </cell>
          <cell r="BP232">
            <v>1</v>
          </cell>
          <cell r="BQ232">
            <v>15</v>
          </cell>
          <cell r="BR232">
            <v>0</v>
          </cell>
          <cell r="BS232">
            <v>0</v>
          </cell>
          <cell r="BT232">
            <v>0</v>
          </cell>
          <cell r="BU232">
            <v>0</v>
          </cell>
          <cell r="BV232">
            <v>0</v>
          </cell>
          <cell r="BW232">
            <v>0</v>
          </cell>
          <cell r="BX232">
            <v>0</v>
          </cell>
          <cell r="BY232">
            <v>0</v>
          </cell>
          <cell r="BZ232">
            <v>1</v>
          </cell>
          <cell r="CA232">
            <v>2</v>
          </cell>
          <cell r="CB232">
            <v>3</v>
          </cell>
          <cell r="CC232">
            <v>18</v>
          </cell>
          <cell r="CD232">
            <v>18</v>
          </cell>
          <cell r="CE232">
            <v>18</v>
          </cell>
          <cell r="CF232">
            <v>18</v>
          </cell>
          <cell r="CG232">
            <v>18</v>
          </cell>
          <cell r="CH232">
            <v>18</v>
          </cell>
          <cell r="CI232">
            <v>18</v>
          </cell>
          <cell r="CJ232">
            <v>18</v>
          </cell>
          <cell r="CK232">
            <v>18</v>
          </cell>
        </row>
        <row r="233">
          <cell r="BM233" t="str">
            <v>IT3</v>
          </cell>
          <cell r="BN233">
            <v>0.2</v>
          </cell>
          <cell r="BO233">
            <v>0.2</v>
          </cell>
          <cell r="BP233">
            <v>0.2</v>
          </cell>
          <cell r="BQ233">
            <v>0.2</v>
          </cell>
          <cell r="BR233">
            <v>0.2</v>
          </cell>
          <cell r="BS233">
            <v>0.2</v>
          </cell>
          <cell r="BT233">
            <v>0.13</v>
          </cell>
          <cell r="BU233">
            <v>0.2</v>
          </cell>
          <cell r="BV233">
            <v>0.18</v>
          </cell>
          <cell r="BW233">
            <v>0.02</v>
          </cell>
          <cell r="BX233">
            <v>0.2</v>
          </cell>
          <cell r="BY233">
            <v>0.15</v>
          </cell>
          <cell r="BZ233">
            <v>0.2</v>
          </cell>
          <cell r="CA233">
            <v>0.4</v>
          </cell>
          <cell r="CB233">
            <v>0.60000000000000009</v>
          </cell>
          <cell r="CC233">
            <v>0.8</v>
          </cell>
          <cell r="CD233">
            <v>1</v>
          </cell>
          <cell r="CE233">
            <v>1.2</v>
          </cell>
          <cell r="CF233">
            <v>1.33</v>
          </cell>
          <cell r="CG233">
            <v>1.53</v>
          </cell>
          <cell r="CH233">
            <v>1.71</v>
          </cell>
          <cell r="CI233">
            <v>1.73</v>
          </cell>
          <cell r="CJ233">
            <v>1.93</v>
          </cell>
          <cell r="CK233">
            <v>2.08</v>
          </cell>
        </row>
        <row r="234">
          <cell r="BM234" t="str">
            <v>WH1</v>
          </cell>
          <cell r="BN234">
            <v>0.04</v>
          </cell>
          <cell r="BO234">
            <v>0.04</v>
          </cell>
          <cell r="BP234">
            <v>0.04</v>
          </cell>
          <cell r="BQ234">
            <v>0.04</v>
          </cell>
          <cell r="BR234">
            <v>-3.5999999999999997E-2</v>
          </cell>
          <cell r="BS234">
            <v>0.06</v>
          </cell>
          <cell r="BT234">
            <v>0.01</v>
          </cell>
          <cell r="BU234">
            <v>0.04</v>
          </cell>
          <cell r="BV234">
            <v>0.04</v>
          </cell>
          <cell r="BW234">
            <v>0.04</v>
          </cell>
          <cell r="BX234">
            <v>0.04</v>
          </cell>
          <cell r="BY234">
            <v>-0.04</v>
          </cell>
          <cell r="BZ234">
            <v>0.04</v>
          </cell>
          <cell r="CA234">
            <v>0.08</v>
          </cell>
          <cell r="CB234">
            <v>0.12</v>
          </cell>
          <cell r="CC234">
            <v>0.16</v>
          </cell>
          <cell r="CD234">
            <v>0.124</v>
          </cell>
          <cell r="CE234">
            <v>0.184</v>
          </cell>
          <cell r="CF234">
            <v>0.19400000000000001</v>
          </cell>
          <cell r="CG234">
            <v>0.23400000000000001</v>
          </cell>
          <cell r="CH234">
            <v>0.27400000000000002</v>
          </cell>
          <cell r="CI234">
            <v>0.314</v>
          </cell>
          <cell r="CJ234">
            <v>0.35399999999999998</v>
          </cell>
          <cell r="CK234">
            <v>0.314</v>
          </cell>
        </row>
        <row r="235">
          <cell r="BM235" t="str">
            <v>WH2</v>
          </cell>
          <cell r="BN235">
            <v>0.17</v>
          </cell>
          <cell r="BO235">
            <v>0.17</v>
          </cell>
          <cell r="BP235">
            <v>-3.999999999999998E-2</v>
          </cell>
          <cell r="BQ235">
            <v>0.17</v>
          </cell>
          <cell r="BR235">
            <v>-0.313</v>
          </cell>
          <cell r="BS235">
            <v>3.1E-2</v>
          </cell>
          <cell r="BT235">
            <v>0.15</v>
          </cell>
          <cell r="BU235">
            <v>0.17</v>
          </cell>
          <cell r="BV235">
            <v>0.14000000000000001</v>
          </cell>
          <cell r="BW235">
            <v>0.08</v>
          </cell>
          <cell r="BX235">
            <v>0</v>
          </cell>
          <cell r="BY235">
            <v>-0.01</v>
          </cell>
          <cell r="BZ235">
            <v>0.17</v>
          </cell>
          <cell r="CA235">
            <v>0.34</v>
          </cell>
          <cell r="CB235">
            <v>0.30000000000000004</v>
          </cell>
          <cell r="CC235">
            <v>0.47000000000000008</v>
          </cell>
          <cell r="CD235">
            <v>0.15700000000000008</v>
          </cell>
          <cell r="CE235">
            <v>0.18800000000000008</v>
          </cell>
          <cell r="CF235">
            <v>0.33800000000000008</v>
          </cell>
          <cell r="CG235">
            <v>0.50800000000000012</v>
          </cell>
          <cell r="CH235">
            <v>0.64800000000000013</v>
          </cell>
          <cell r="CI235">
            <v>0.72800000000000009</v>
          </cell>
          <cell r="CJ235">
            <v>0.72800000000000009</v>
          </cell>
          <cell r="CK235">
            <v>0.71800000000000008</v>
          </cell>
        </row>
        <row r="236">
          <cell r="BM236" t="str">
            <v>BR1</v>
          </cell>
          <cell r="BN236">
            <v>0.24</v>
          </cell>
          <cell r="BO236">
            <v>0</v>
          </cell>
          <cell r="BP236">
            <v>0</v>
          </cell>
          <cell r="BQ236">
            <v>0</v>
          </cell>
          <cell r="BR236">
            <v>0</v>
          </cell>
          <cell r="BS236">
            <v>0</v>
          </cell>
          <cell r="BT236">
            <v>0</v>
          </cell>
          <cell r="BU236">
            <v>0</v>
          </cell>
          <cell r="BV236">
            <v>0</v>
          </cell>
          <cell r="BW236">
            <v>0</v>
          </cell>
          <cell r="BX236">
            <v>0</v>
          </cell>
          <cell r="BY236">
            <v>0</v>
          </cell>
          <cell r="BZ236">
            <v>0.24</v>
          </cell>
          <cell r="CA236">
            <v>0.24</v>
          </cell>
          <cell r="CB236">
            <v>0.24</v>
          </cell>
          <cell r="CC236">
            <v>0.24</v>
          </cell>
          <cell r="CD236">
            <v>0.24</v>
          </cell>
          <cell r="CE236">
            <v>0.24</v>
          </cell>
          <cell r="CF236">
            <v>0.24</v>
          </cell>
          <cell r="CG236">
            <v>0.24</v>
          </cell>
          <cell r="CH236">
            <v>0.24</v>
          </cell>
          <cell r="CI236">
            <v>0.24</v>
          </cell>
          <cell r="CJ236">
            <v>0.24</v>
          </cell>
          <cell r="CK236">
            <v>0.24</v>
          </cell>
        </row>
        <row r="237">
          <cell r="BM237" t="str">
            <v>BR2</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row>
        <row r="238">
          <cell r="BM238" t="str">
            <v>BR3</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row>
        <row r="239">
          <cell r="BM239" t="str">
            <v>BR4</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row>
        <row r="240">
          <cell r="BM240" t="str">
            <v>PHR1</v>
          </cell>
          <cell r="BN240">
            <v>6</v>
          </cell>
          <cell r="BO240">
            <v>7.5</v>
          </cell>
          <cell r="BP240">
            <v>0.87999999999999989</v>
          </cell>
          <cell r="BQ240">
            <v>5.65</v>
          </cell>
          <cell r="BR240">
            <v>4.28</v>
          </cell>
          <cell r="BS240">
            <v>2</v>
          </cell>
          <cell r="BT240">
            <v>3.75</v>
          </cell>
          <cell r="BU240">
            <v>0.89</v>
          </cell>
          <cell r="BV240">
            <v>3.25</v>
          </cell>
          <cell r="BW240">
            <v>5.0999999999999996</v>
          </cell>
          <cell r="BX240">
            <v>3.71</v>
          </cell>
          <cell r="BY240">
            <v>4.21</v>
          </cell>
          <cell r="BZ240">
            <v>6</v>
          </cell>
          <cell r="CA240">
            <v>13.5</v>
          </cell>
          <cell r="CB240">
            <v>14.379999999999999</v>
          </cell>
          <cell r="CC240">
            <v>20.03</v>
          </cell>
          <cell r="CD240">
            <v>24.310000000000002</v>
          </cell>
          <cell r="CE240">
            <v>26.310000000000002</v>
          </cell>
          <cell r="CF240">
            <v>30.060000000000002</v>
          </cell>
          <cell r="CG240">
            <v>30.950000000000003</v>
          </cell>
          <cell r="CH240">
            <v>34.200000000000003</v>
          </cell>
          <cell r="CI240">
            <v>39.300000000000004</v>
          </cell>
          <cell r="CJ240">
            <v>43.010000000000005</v>
          </cell>
          <cell r="CK240">
            <v>47.220000000000006</v>
          </cell>
        </row>
        <row r="241">
          <cell r="BM241" t="str">
            <v>PHR2</v>
          </cell>
          <cell r="BN241">
            <v>0</v>
          </cell>
          <cell r="BO241">
            <v>0</v>
          </cell>
          <cell r="BP241">
            <v>0.05</v>
          </cell>
          <cell r="BQ241">
            <v>0</v>
          </cell>
          <cell r="BR241">
            <v>-0.01</v>
          </cell>
          <cell r="BS241">
            <v>0</v>
          </cell>
          <cell r="BT241">
            <v>0</v>
          </cell>
          <cell r="BU241">
            <v>0</v>
          </cell>
          <cell r="BV241">
            <v>0</v>
          </cell>
          <cell r="BW241">
            <v>0</v>
          </cell>
          <cell r="BX241">
            <v>0</v>
          </cell>
          <cell r="BY241">
            <v>0</v>
          </cell>
          <cell r="BZ241">
            <v>0</v>
          </cell>
          <cell r="CA241">
            <v>0</v>
          </cell>
          <cell r="CB241">
            <v>0.05</v>
          </cell>
          <cell r="CC241">
            <v>0.05</v>
          </cell>
          <cell r="CD241">
            <v>0.04</v>
          </cell>
          <cell r="CE241">
            <v>0.04</v>
          </cell>
          <cell r="CF241">
            <v>0.04</v>
          </cell>
          <cell r="CG241">
            <v>0.04</v>
          </cell>
          <cell r="CH241">
            <v>0.04</v>
          </cell>
          <cell r="CI241">
            <v>0.04</v>
          </cell>
          <cell r="CJ241">
            <v>0.04</v>
          </cell>
          <cell r="CK241">
            <v>0.04</v>
          </cell>
        </row>
        <row r="242">
          <cell r="BM242" t="str">
            <v>PHR3</v>
          </cell>
          <cell r="BN242">
            <v>0.15</v>
          </cell>
          <cell r="BO242">
            <v>0.15</v>
          </cell>
          <cell r="BP242">
            <v>0.15</v>
          </cell>
          <cell r="BQ242">
            <v>0.15</v>
          </cell>
          <cell r="BR242">
            <v>0.15</v>
          </cell>
          <cell r="BS242">
            <v>0.15</v>
          </cell>
          <cell r="BT242">
            <v>0.16</v>
          </cell>
          <cell r="BU242">
            <v>0.15</v>
          </cell>
          <cell r="BV242">
            <v>0.15</v>
          </cell>
          <cell r="BW242">
            <v>0.15</v>
          </cell>
          <cell r="BX242">
            <v>0.15</v>
          </cell>
          <cell r="BY242">
            <v>0.15</v>
          </cell>
          <cell r="BZ242">
            <v>0.15</v>
          </cell>
          <cell r="CA242">
            <v>0.3</v>
          </cell>
          <cell r="CB242">
            <v>0.44999999999999996</v>
          </cell>
          <cell r="CC242">
            <v>0.6</v>
          </cell>
          <cell r="CD242">
            <v>0.75</v>
          </cell>
          <cell r="CE242">
            <v>0.9</v>
          </cell>
          <cell r="CF242">
            <v>1.06</v>
          </cell>
          <cell r="CG242">
            <v>1.21</v>
          </cell>
          <cell r="CH242">
            <v>1.3599999999999999</v>
          </cell>
          <cell r="CI242">
            <v>1.5099999999999998</v>
          </cell>
          <cell r="CJ242">
            <v>1.6599999999999997</v>
          </cell>
          <cell r="CK242">
            <v>1.8099999999999996</v>
          </cell>
        </row>
        <row r="243">
          <cell r="BM243" t="str">
            <v>PHR4</v>
          </cell>
          <cell r="BN243">
            <v>1</v>
          </cell>
          <cell r="BO243">
            <v>1</v>
          </cell>
          <cell r="BP243">
            <v>1</v>
          </cell>
          <cell r="BQ243">
            <v>1</v>
          </cell>
          <cell r="BR243">
            <v>0.39</v>
          </cell>
          <cell r="BS243">
            <v>0.69</v>
          </cell>
          <cell r="BT243">
            <v>1</v>
          </cell>
          <cell r="BU243">
            <v>1</v>
          </cell>
          <cell r="BV243">
            <v>0.8</v>
          </cell>
          <cell r="BW243">
            <v>0.67</v>
          </cell>
          <cell r="BX243">
            <v>0.95</v>
          </cell>
          <cell r="BY243">
            <v>1</v>
          </cell>
          <cell r="BZ243">
            <v>1</v>
          </cell>
          <cell r="CA243">
            <v>2</v>
          </cell>
          <cell r="CB243">
            <v>3</v>
          </cell>
          <cell r="CC243">
            <v>4</v>
          </cell>
          <cell r="CD243">
            <v>4.3899999999999997</v>
          </cell>
          <cell r="CE243">
            <v>5.08</v>
          </cell>
          <cell r="CF243">
            <v>6.08</v>
          </cell>
          <cell r="CG243">
            <v>7.08</v>
          </cell>
          <cell r="CH243">
            <v>7.88</v>
          </cell>
          <cell r="CI243">
            <v>8.5500000000000007</v>
          </cell>
          <cell r="CJ243">
            <v>9.5</v>
          </cell>
          <cell r="CK243">
            <v>10.5</v>
          </cell>
        </row>
        <row r="244">
          <cell r="BM244" t="str">
            <v>PHR5</v>
          </cell>
          <cell r="BN244">
            <v>0</v>
          </cell>
          <cell r="BO244">
            <v>0</v>
          </cell>
          <cell r="BP244">
            <v>0.12</v>
          </cell>
          <cell r="BQ244">
            <v>0</v>
          </cell>
          <cell r="BR244">
            <v>-0.12</v>
          </cell>
          <cell r="BS244">
            <v>0</v>
          </cell>
          <cell r="BT244">
            <v>0</v>
          </cell>
          <cell r="BU244">
            <v>0</v>
          </cell>
          <cell r="BV244">
            <v>0</v>
          </cell>
          <cell r="BW244">
            <v>0</v>
          </cell>
          <cell r="BX244">
            <v>0</v>
          </cell>
          <cell r="BY244">
            <v>0</v>
          </cell>
          <cell r="BZ244">
            <v>0</v>
          </cell>
          <cell r="CA244">
            <v>0</v>
          </cell>
          <cell r="CB244">
            <v>0.12</v>
          </cell>
          <cell r="CC244">
            <v>0.12</v>
          </cell>
          <cell r="CD244">
            <v>0</v>
          </cell>
          <cell r="CE244">
            <v>0</v>
          </cell>
          <cell r="CF244">
            <v>0</v>
          </cell>
          <cell r="CG244">
            <v>0</v>
          </cell>
          <cell r="CH244">
            <v>0</v>
          </cell>
          <cell r="CI244">
            <v>0</v>
          </cell>
          <cell r="CJ244">
            <v>0</v>
          </cell>
          <cell r="CK244">
            <v>0</v>
          </cell>
        </row>
        <row r="245">
          <cell r="BM245" t="str">
            <v>PHR6</v>
          </cell>
          <cell r="BN245">
            <v>0.02</v>
          </cell>
          <cell r="BO245">
            <v>0.02</v>
          </cell>
          <cell r="BP245">
            <v>0.02</v>
          </cell>
          <cell r="BQ245">
            <v>0.02</v>
          </cell>
          <cell r="BR245">
            <v>-2.1999999999999999E-2</v>
          </cell>
          <cell r="BS245">
            <v>0.02</v>
          </cell>
          <cell r="BT245">
            <v>0.02</v>
          </cell>
          <cell r="BU245">
            <v>0.02</v>
          </cell>
          <cell r="BV245">
            <v>0</v>
          </cell>
          <cell r="BW245">
            <v>0.02</v>
          </cell>
          <cell r="BX245">
            <v>0.02</v>
          </cell>
          <cell r="BY245">
            <v>-0.04</v>
          </cell>
          <cell r="BZ245">
            <v>0.02</v>
          </cell>
          <cell r="CA245">
            <v>0.04</v>
          </cell>
          <cell r="CB245">
            <v>0.06</v>
          </cell>
          <cell r="CC245">
            <v>0.08</v>
          </cell>
          <cell r="CD245">
            <v>5.8000000000000003E-2</v>
          </cell>
          <cell r="CE245">
            <v>7.8E-2</v>
          </cell>
          <cell r="CF245">
            <v>9.8000000000000004E-2</v>
          </cell>
          <cell r="CG245">
            <v>0.11800000000000001</v>
          </cell>
          <cell r="CH245">
            <v>0.11800000000000001</v>
          </cell>
          <cell r="CI245">
            <v>0.13800000000000001</v>
          </cell>
          <cell r="CJ245">
            <v>0.158</v>
          </cell>
          <cell r="CK245">
            <v>0.11799999999999999</v>
          </cell>
        </row>
        <row r="246">
          <cell r="BM246" t="str">
            <v>PHR7</v>
          </cell>
          <cell r="BN246">
            <v>0.33</v>
          </cell>
          <cell r="BO246">
            <v>0.33</v>
          </cell>
          <cell r="BP246">
            <v>0.19</v>
          </cell>
          <cell r="BQ246">
            <v>0.33</v>
          </cell>
          <cell r="BR246">
            <v>0.17699999999999999</v>
          </cell>
          <cell r="BS246">
            <v>0.32</v>
          </cell>
          <cell r="BT246">
            <v>0.3</v>
          </cell>
          <cell r="BU246">
            <v>0.25</v>
          </cell>
          <cell r="BV246">
            <v>0.33</v>
          </cell>
          <cell r="BW246">
            <v>0.33</v>
          </cell>
          <cell r="BX246">
            <v>0.3</v>
          </cell>
          <cell r="BY246">
            <v>7.0000000000000007E-2</v>
          </cell>
          <cell r="BZ246">
            <v>0.33</v>
          </cell>
          <cell r="CA246">
            <v>0.66</v>
          </cell>
          <cell r="CB246">
            <v>0.85000000000000009</v>
          </cell>
          <cell r="CC246">
            <v>1.1800000000000002</v>
          </cell>
          <cell r="CD246">
            <v>1.3570000000000002</v>
          </cell>
          <cell r="CE246">
            <v>1.6770000000000003</v>
          </cell>
          <cell r="CF246">
            <v>1.9770000000000003</v>
          </cell>
          <cell r="CG246">
            <v>2.2270000000000003</v>
          </cell>
          <cell r="CH246">
            <v>2.5570000000000004</v>
          </cell>
          <cell r="CI246">
            <v>2.8870000000000005</v>
          </cell>
          <cell r="CJ246">
            <v>3.1870000000000003</v>
          </cell>
          <cell r="CK246">
            <v>3.2570000000000001</v>
          </cell>
        </row>
        <row r="247">
          <cell r="BM247" t="str">
            <v>PHR8</v>
          </cell>
          <cell r="BN247">
            <v>0.42</v>
          </cell>
          <cell r="BO247">
            <v>0.4</v>
          </cell>
          <cell r="BP247">
            <v>0.18</v>
          </cell>
          <cell r="BQ247">
            <v>0.42</v>
          </cell>
          <cell r="BR247">
            <v>-0.439</v>
          </cell>
          <cell r="BS247">
            <v>4.07</v>
          </cell>
          <cell r="BT247">
            <v>0.25</v>
          </cell>
          <cell r="BU247">
            <v>0.87</v>
          </cell>
          <cell r="BV247">
            <v>0.2</v>
          </cell>
          <cell r="BW247">
            <v>0.13</v>
          </cell>
          <cell r="BX247">
            <v>0.24</v>
          </cell>
          <cell r="BY247">
            <v>-0.77</v>
          </cell>
          <cell r="BZ247">
            <v>0.42</v>
          </cell>
          <cell r="CA247">
            <v>0.82000000000000006</v>
          </cell>
          <cell r="CB247">
            <v>1</v>
          </cell>
          <cell r="CC247">
            <v>1.42</v>
          </cell>
          <cell r="CD247">
            <v>0.98099999999999987</v>
          </cell>
          <cell r="CE247">
            <v>5.0510000000000002</v>
          </cell>
          <cell r="CF247">
            <v>5.3010000000000002</v>
          </cell>
          <cell r="CG247">
            <v>6.1710000000000003</v>
          </cell>
          <cell r="CH247">
            <v>6.3710000000000004</v>
          </cell>
          <cell r="CI247">
            <v>6.5010000000000003</v>
          </cell>
          <cell r="CJ247">
            <v>6.7410000000000005</v>
          </cell>
          <cell r="CK247">
            <v>5.9710000000000001</v>
          </cell>
        </row>
        <row r="248">
          <cell r="BM248" t="str">
            <v>PHR9</v>
          </cell>
          <cell r="BN248">
            <v>0.33</v>
          </cell>
          <cell r="BO248">
            <v>0.43</v>
          </cell>
          <cell r="BP248">
            <v>0.93</v>
          </cell>
          <cell r="BQ248">
            <v>0.33</v>
          </cell>
          <cell r="BR248">
            <v>0.33</v>
          </cell>
          <cell r="BS248">
            <v>0.32</v>
          </cell>
          <cell r="BT248">
            <v>0.13</v>
          </cell>
          <cell r="BU248">
            <v>0.33</v>
          </cell>
          <cell r="BV248">
            <v>0.35</v>
          </cell>
          <cell r="BW248">
            <v>0.33</v>
          </cell>
          <cell r="BX248">
            <v>0.33</v>
          </cell>
          <cell r="BY248">
            <v>0.43</v>
          </cell>
          <cell r="BZ248">
            <v>0.33</v>
          </cell>
          <cell r="CA248">
            <v>0.76</v>
          </cell>
          <cell r="CB248">
            <v>1.69</v>
          </cell>
          <cell r="CC248">
            <v>2.02</v>
          </cell>
          <cell r="CD248">
            <v>2.35</v>
          </cell>
          <cell r="CE248">
            <v>2.67</v>
          </cell>
          <cell r="CF248">
            <v>2.8</v>
          </cell>
          <cell r="CG248">
            <v>3.13</v>
          </cell>
          <cell r="CH248">
            <v>3.48</v>
          </cell>
          <cell r="CI248">
            <v>3.81</v>
          </cell>
          <cell r="CJ248">
            <v>4.1399999999999997</v>
          </cell>
          <cell r="CK248">
            <v>4.5699999999999994</v>
          </cell>
        </row>
        <row r="249">
          <cell r="BM249" t="str">
            <v>PHR10</v>
          </cell>
          <cell r="BN249">
            <v>0.4</v>
          </cell>
          <cell r="BO249">
            <v>0.4</v>
          </cell>
          <cell r="BP249">
            <v>1.4</v>
          </cell>
          <cell r="BQ249">
            <v>0.4</v>
          </cell>
          <cell r="BR249">
            <v>-0.16400000000000001</v>
          </cell>
          <cell r="BS249">
            <v>0.38</v>
          </cell>
          <cell r="BT249">
            <v>0.39</v>
          </cell>
          <cell r="BU249">
            <v>0.39</v>
          </cell>
          <cell r="BV249">
            <v>1.4</v>
          </cell>
          <cell r="BW249">
            <v>0.4</v>
          </cell>
          <cell r="BX249">
            <v>0.4</v>
          </cell>
          <cell r="BY249">
            <v>1.5</v>
          </cell>
          <cell r="BZ249">
            <v>0.4</v>
          </cell>
          <cell r="CA249">
            <v>0.8</v>
          </cell>
          <cell r="CB249">
            <v>2.2000000000000002</v>
          </cell>
          <cell r="CC249">
            <v>2.6</v>
          </cell>
          <cell r="CD249">
            <v>2.4359999999999999</v>
          </cell>
          <cell r="CE249">
            <v>2.8159999999999998</v>
          </cell>
          <cell r="CF249">
            <v>3.206</v>
          </cell>
          <cell r="CG249">
            <v>3.5960000000000001</v>
          </cell>
          <cell r="CH249">
            <v>4.9960000000000004</v>
          </cell>
          <cell r="CI249">
            <v>5.3960000000000008</v>
          </cell>
          <cell r="CJ249">
            <v>5.7960000000000012</v>
          </cell>
          <cell r="CK249">
            <v>7.2960000000000012</v>
          </cell>
        </row>
        <row r="250">
          <cell r="BM250" t="str">
            <v>PHR11</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row>
        <row r="251">
          <cell r="BM251" t="str">
            <v>PHR12</v>
          </cell>
          <cell r="BN251">
            <v>0.8</v>
          </cell>
          <cell r="BO251">
            <v>0.8</v>
          </cell>
          <cell r="BP251">
            <v>0.8</v>
          </cell>
          <cell r="BQ251">
            <v>0.9</v>
          </cell>
          <cell r="BR251">
            <v>0.8</v>
          </cell>
          <cell r="BS251">
            <v>0.87</v>
          </cell>
          <cell r="BT251">
            <v>0.9</v>
          </cell>
          <cell r="BU251">
            <v>0.8</v>
          </cell>
          <cell r="BV251">
            <v>0.8</v>
          </cell>
          <cell r="BW251">
            <v>0.9</v>
          </cell>
          <cell r="BX251">
            <v>0.8</v>
          </cell>
          <cell r="BY251">
            <v>0.86</v>
          </cell>
          <cell r="BZ251">
            <v>0.8</v>
          </cell>
          <cell r="CA251">
            <v>1.6</v>
          </cell>
          <cell r="CB251">
            <v>2.4000000000000004</v>
          </cell>
          <cell r="CC251">
            <v>3.3000000000000003</v>
          </cell>
          <cell r="CD251">
            <v>4.1000000000000005</v>
          </cell>
          <cell r="CE251">
            <v>4.9700000000000006</v>
          </cell>
          <cell r="CF251">
            <v>5.870000000000001</v>
          </cell>
          <cell r="CG251">
            <v>6.6700000000000008</v>
          </cell>
          <cell r="CH251">
            <v>7.4700000000000006</v>
          </cell>
          <cell r="CI251">
            <v>8.370000000000001</v>
          </cell>
          <cell r="CJ251">
            <v>9.1700000000000017</v>
          </cell>
          <cell r="CK251">
            <v>10.030000000000001</v>
          </cell>
        </row>
        <row r="252">
          <cell r="BM252" t="str">
            <v>PHR13</v>
          </cell>
          <cell r="BN252">
            <v>0.2</v>
          </cell>
          <cell r="BO252">
            <v>0.2</v>
          </cell>
          <cell r="BP252">
            <v>0.2</v>
          </cell>
          <cell r="BQ252">
            <v>0.2</v>
          </cell>
          <cell r="BR252">
            <v>0.10299999999999999</v>
          </cell>
          <cell r="BS252">
            <v>0.18</v>
          </cell>
          <cell r="BT252">
            <v>0.18</v>
          </cell>
          <cell r="BU252">
            <v>0.16</v>
          </cell>
          <cell r="BV252">
            <v>0.2</v>
          </cell>
          <cell r="BW252">
            <v>0.14000000000000001</v>
          </cell>
          <cell r="BX252">
            <v>0.16</v>
          </cell>
          <cell r="BY252">
            <v>0.16</v>
          </cell>
          <cell r="BZ252">
            <v>0.2</v>
          </cell>
          <cell r="CA252">
            <v>0.4</v>
          </cell>
          <cell r="CB252">
            <v>0.60000000000000009</v>
          </cell>
          <cell r="CC252">
            <v>0.8</v>
          </cell>
          <cell r="CD252">
            <v>0.90300000000000002</v>
          </cell>
          <cell r="CE252">
            <v>1.083</v>
          </cell>
          <cell r="CF252">
            <v>1.2629999999999999</v>
          </cell>
          <cell r="CG252">
            <v>1.4229999999999998</v>
          </cell>
          <cell r="CH252">
            <v>1.6229999999999998</v>
          </cell>
          <cell r="CI252">
            <v>1.7629999999999999</v>
          </cell>
          <cell r="CJ252">
            <v>1.9229999999999998</v>
          </cell>
          <cell r="CK252">
            <v>2.0829999999999997</v>
          </cell>
        </row>
        <row r="253">
          <cell r="BM253" t="str">
            <v>PHR14</v>
          </cell>
          <cell r="BN253">
            <v>0.5</v>
          </cell>
          <cell r="BO253">
            <v>0.5</v>
          </cell>
          <cell r="BP253">
            <v>0.5</v>
          </cell>
          <cell r="BQ253">
            <v>0.5</v>
          </cell>
          <cell r="BR253">
            <v>-1.99</v>
          </cell>
          <cell r="BS253">
            <v>0.05</v>
          </cell>
          <cell r="BT253">
            <v>0.21</v>
          </cell>
          <cell r="BU253">
            <v>0</v>
          </cell>
          <cell r="BV253">
            <v>0.5</v>
          </cell>
          <cell r="BW253">
            <v>0.18</v>
          </cell>
          <cell r="BX253">
            <v>0.5</v>
          </cell>
          <cell r="BY253">
            <v>0.34</v>
          </cell>
          <cell r="BZ253">
            <v>0.5</v>
          </cell>
          <cell r="CA253">
            <v>1</v>
          </cell>
          <cell r="CB253">
            <v>1.5</v>
          </cell>
          <cell r="CC253">
            <v>2</v>
          </cell>
          <cell r="CD253">
            <v>1.0000000000000009E-2</v>
          </cell>
          <cell r="CE253">
            <v>6.0000000000000012E-2</v>
          </cell>
          <cell r="CF253">
            <v>0.27</v>
          </cell>
          <cell r="CG253">
            <v>0.27</v>
          </cell>
          <cell r="CH253">
            <v>0.77</v>
          </cell>
          <cell r="CI253">
            <v>0.95</v>
          </cell>
          <cell r="CJ253">
            <v>1.45</v>
          </cell>
          <cell r="CK253">
            <v>1.79</v>
          </cell>
        </row>
        <row r="254">
          <cell r="BM254" t="str">
            <v>PHR15</v>
          </cell>
          <cell r="BN254">
            <v>0.1</v>
          </cell>
          <cell r="BO254">
            <v>0.1</v>
          </cell>
          <cell r="BP254">
            <v>7.0000000000000007E-2</v>
          </cell>
          <cell r="BQ254">
            <v>0.1</v>
          </cell>
          <cell r="BR254">
            <v>1E-3</v>
          </cell>
          <cell r="BS254">
            <v>0.09</v>
          </cell>
          <cell r="BT254">
            <v>0.11</v>
          </cell>
          <cell r="BU254">
            <v>0.09</v>
          </cell>
          <cell r="BV254">
            <v>0.09</v>
          </cell>
          <cell r="BW254">
            <v>0.05</v>
          </cell>
          <cell r="BX254">
            <v>0.1</v>
          </cell>
          <cell r="BY254">
            <v>-0.13</v>
          </cell>
          <cell r="BZ254">
            <v>0.1</v>
          </cell>
          <cell r="CA254">
            <v>0.2</v>
          </cell>
          <cell r="CB254">
            <v>0.27</v>
          </cell>
          <cell r="CC254">
            <v>0.37</v>
          </cell>
          <cell r="CD254">
            <v>0.371</v>
          </cell>
          <cell r="CE254">
            <v>0.46099999999999997</v>
          </cell>
          <cell r="CF254">
            <v>0.57099999999999995</v>
          </cell>
          <cell r="CG254">
            <v>0.66099999999999992</v>
          </cell>
          <cell r="CH254">
            <v>0.75099999999999989</v>
          </cell>
          <cell r="CI254">
            <v>0.80099999999999993</v>
          </cell>
          <cell r="CJ254">
            <v>0.90099999999999991</v>
          </cell>
          <cell r="CK254">
            <v>0.77099999999999991</v>
          </cell>
        </row>
        <row r="255">
          <cell r="BM255" t="str">
            <v>PHR16</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row>
        <row r="256">
          <cell r="BM256" t="str">
            <v>PHR17</v>
          </cell>
          <cell r="BN256">
            <v>0.04</v>
          </cell>
          <cell r="BO256">
            <v>0.04</v>
          </cell>
          <cell r="BP256">
            <v>0.06</v>
          </cell>
          <cell r="BQ256">
            <v>0.04</v>
          </cell>
          <cell r="BR256">
            <v>-0.10299999999999999</v>
          </cell>
          <cell r="BS256">
            <v>5.0000000000000001E-3</v>
          </cell>
          <cell r="BT256">
            <v>0</v>
          </cell>
          <cell r="BU256">
            <v>1.1400000000000001</v>
          </cell>
          <cell r="BV256">
            <v>0.04</v>
          </cell>
          <cell r="BW256">
            <v>0.03</v>
          </cell>
          <cell r="BX256">
            <v>0.04</v>
          </cell>
          <cell r="BY256">
            <v>-0.04</v>
          </cell>
          <cell r="BZ256">
            <v>0.04</v>
          </cell>
          <cell r="CA256">
            <v>0.08</v>
          </cell>
          <cell r="CB256">
            <v>0.14000000000000001</v>
          </cell>
          <cell r="CC256">
            <v>0.18000000000000002</v>
          </cell>
          <cell r="CD256">
            <v>7.7000000000000027E-2</v>
          </cell>
          <cell r="CE256">
            <v>8.2000000000000031E-2</v>
          </cell>
          <cell r="CF256">
            <v>8.2000000000000031E-2</v>
          </cell>
          <cell r="CG256">
            <v>1.2220000000000002</v>
          </cell>
          <cell r="CH256">
            <v>1.2620000000000002</v>
          </cell>
          <cell r="CI256">
            <v>1.2920000000000003</v>
          </cell>
          <cell r="CJ256">
            <v>1.3320000000000003</v>
          </cell>
          <cell r="CK256">
            <v>1.2920000000000003</v>
          </cell>
        </row>
        <row r="257">
          <cell r="BM257" t="str">
            <v>PHR18</v>
          </cell>
          <cell r="BN257">
            <v>0.02</v>
          </cell>
          <cell r="BO257">
            <v>0.02</v>
          </cell>
          <cell r="BP257">
            <v>-3.9999999999999994E-2</v>
          </cell>
          <cell r="BQ257">
            <v>0.02</v>
          </cell>
          <cell r="BR257">
            <v>7.5999999999999998E-2</v>
          </cell>
          <cell r="BS257">
            <v>4.0000000000000001E-3</v>
          </cell>
          <cell r="BT257">
            <v>0</v>
          </cell>
          <cell r="BU257">
            <v>0</v>
          </cell>
          <cell r="BV257">
            <v>0</v>
          </cell>
          <cell r="BW257">
            <v>0</v>
          </cell>
          <cell r="BX257">
            <v>0</v>
          </cell>
          <cell r="BY257">
            <v>0</v>
          </cell>
          <cell r="BZ257">
            <v>0.02</v>
          </cell>
          <cell r="CA257">
            <v>0.04</v>
          </cell>
          <cell r="CB257">
            <v>0</v>
          </cell>
          <cell r="CC257">
            <v>0.02</v>
          </cell>
          <cell r="CD257">
            <v>9.6000000000000002E-2</v>
          </cell>
          <cell r="CE257">
            <v>0.1</v>
          </cell>
          <cell r="CF257">
            <v>0.1</v>
          </cell>
          <cell r="CG257">
            <v>0.1</v>
          </cell>
          <cell r="CH257">
            <v>0.1</v>
          </cell>
          <cell r="CI257">
            <v>0.1</v>
          </cell>
          <cell r="CJ257">
            <v>0.1</v>
          </cell>
          <cell r="CK257">
            <v>0.1</v>
          </cell>
        </row>
        <row r="258">
          <cell r="BM258" t="str">
            <v>PHR19</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row>
        <row r="259">
          <cell r="BM259" t="str">
            <v>PHR20</v>
          </cell>
          <cell r="BN259">
            <v>0.09</v>
          </cell>
          <cell r="BO259">
            <v>0.09</v>
          </cell>
          <cell r="BP259">
            <v>0.1</v>
          </cell>
          <cell r="BQ259">
            <v>0.09</v>
          </cell>
          <cell r="BR259">
            <v>-0.37</v>
          </cell>
          <cell r="BS259">
            <v>0.09</v>
          </cell>
          <cell r="BT259">
            <v>0.09</v>
          </cell>
          <cell r="BU259">
            <v>0.08</v>
          </cell>
          <cell r="BV259">
            <v>0.08</v>
          </cell>
          <cell r="BW259">
            <v>0.1</v>
          </cell>
          <cell r="BX259">
            <v>0.01</v>
          </cell>
          <cell r="BY259">
            <v>7.0000000000000007E-2</v>
          </cell>
          <cell r="BZ259">
            <v>0.09</v>
          </cell>
          <cell r="CA259">
            <v>0.18</v>
          </cell>
          <cell r="CB259">
            <v>0.28000000000000003</v>
          </cell>
          <cell r="CC259">
            <v>0.37</v>
          </cell>
          <cell r="CD259">
            <v>0</v>
          </cell>
          <cell r="CE259">
            <v>0.09</v>
          </cell>
          <cell r="CF259">
            <v>0.18</v>
          </cell>
          <cell r="CG259">
            <v>0.26</v>
          </cell>
          <cell r="CH259">
            <v>0.34</v>
          </cell>
          <cell r="CI259">
            <v>0.44000000000000006</v>
          </cell>
          <cell r="CJ259">
            <v>0.45000000000000007</v>
          </cell>
          <cell r="CK259">
            <v>0.52</v>
          </cell>
        </row>
        <row r="260">
          <cell r="BM260" t="str">
            <v>PHR21</v>
          </cell>
          <cell r="BN260">
            <v>0.02</v>
          </cell>
          <cell r="BO260">
            <v>0.02</v>
          </cell>
          <cell r="BP260">
            <v>0.02</v>
          </cell>
          <cell r="BQ260">
            <v>0.02</v>
          </cell>
          <cell r="BR260">
            <v>0.02</v>
          </cell>
          <cell r="BS260">
            <v>0.02</v>
          </cell>
          <cell r="BT260">
            <v>0.02</v>
          </cell>
          <cell r="BU260">
            <v>0.02</v>
          </cell>
          <cell r="BV260">
            <v>0.02</v>
          </cell>
          <cell r="BW260">
            <v>0.02</v>
          </cell>
          <cell r="BX260">
            <v>0.02</v>
          </cell>
          <cell r="BY260">
            <v>0.02</v>
          </cell>
          <cell r="BZ260">
            <v>0.02</v>
          </cell>
          <cell r="CA260">
            <v>0.04</v>
          </cell>
          <cell r="CB260">
            <v>0.06</v>
          </cell>
          <cell r="CC260">
            <v>0.08</v>
          </cell>
          <cell r="CD260">
            <v>0.1</v>
          </cell>
          <cell r="CE260">
            <v>0.12000000000000001</v>
          </cell>
          <cell r="CF260">
            <v>0.14000000000000001</v>
          </cell>
          <cell r="CG260">
            <v>0.16</v>
          </cell>
          <cell r="CH260">
            <v>0.18</v>
          </cell>
          <cell r="CI260">
            <v>0.19999999999999998</v>
          </cell>
          <cell r="CJ260">
            <v>0.21999999999999997</v>
          </cell>
          <cell r="CK260">
            <v>0.23999999999999996</v>
          </cell>
        </row>
        <row r="261">
          <cell r="BM261" t="str">
            <v>PHR22</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row>
        <row r="262">
          <cell r="BM262" t="str">
            <v>PHR23</v>
          </cell>
          <cell r="BN262">
            <v>0</v>
          </cell>
          <cell r="BO262">
            <v>0</v>
          </cell>
          <cell r="BP262">
            <v>0</v>
          </cell>
          <cell r="BQ262">
            <v>0</v>
          </cell>
          <cell r="BR262">
            <v>0</v>
          </cell>
          <cell r="BS262">
            <v>0</v>
          </cell>
          <cell r="BT262">
            <v>0</v>
          </cell>
          <cell r="BU262">
            <v>0</v>
          </cell>
          <cell r="BV262">
            <v>0</v>
          </cell>
          <cell r="BW262">
            <v>1.75</v>
          </cell>
          <cell r="BX262">
            <v>0</v>
          </cell>
          <cell r="BY262">
            <v>0</v>
          </cell>
          <cell r="BZ262">
            <v>0</v>
          </cell>
          <cell r="CA262">
            <v>0</v>
          </cell>
          <cell r="CB262">
            <v>0</v>
          </cell>
          <cell r="CC262">
            <v>0</v>
          </cell>
          <cell r="CD262">
            <v>0</v>
          </cell>
          <cell r="CE262">
            <v>0</v>
          </cell>
          <cell r="CF262">
            <v>0</v>
          </cell>
          <cell r="CG262">
            <v>0</v>
          </cell>
          <cell r="CH262">
            <v>0</v>
          </cell>
          <cell r="CI262">
            <v>1.75</v>
          </cell>
          <cell r="CJ262">
            <v>1.75</v>
          </cell>
          <cell r="CK262">
            <v>1.75</v>
          </cell>
        </row>
        <row r="263">
          <cell r="BM263" t="str">
            <v>PHR24</v>
          </cell>
          <cell r="BN263">
            <v>0</v>
          </cell>
          <cell r="BO263">
            <v>0</v>
          </cell>
          <cell r="BP263">
            <v>0</v>
          </cell>
          <cell r="BQ263">
            <v>0</v>
          </cell>
          <cell r="BR263">
            <v>0.5</v>
          </cell>
          <cell r="BS263">
            <v>0</v>
          </cell>
          <cell r="BT263">
            <v>0</v>
          </cell>
          <cell r="BU263">
            <v>0</v>
          </cell>
          <cell r="BV263">
            <v>0</v>
          </cell>
          <cell r="BW263">
            <v>0</v>
          </cell>
          <cell r="BX263">
            <v>0</v>
          </cell>
          <cell r="BY263">
            <v>0</v>
          </cell>
          <cell r="BZ263">
            <v>0</v>
          </cell>
          <cell r="CA263">
            <v>0</v>
          </cell>
          <cell r="CB263">
            <v>0</v>
          </cell>
          <cell r="CC263">
            <v>0</v>
          </cell>
          <cell r="CD263">
            <v>0.5</v>
          </cell>
          <cell r="CE263">
            <v>0.5</v>
          </cell>
          <cell r="CF263">
            <v>0.5</v>
          </cell>
          <cell r="CG263">
            <v>0.5</v>
          </cell>
          <cell r="CH263">
            <v>0.5</v>
          </cell>
          <cell r="CI263">
            <v>0.5</v>
          </cell>
          <cell r="CJ263">
            <v>0.5</v>
          </cell>
          <cell r="CK263">
            <v>0.5</v>
          </cell>
        </row>
        <row r="264">
          <cell r="BM264" t="str">
            <v>PHR25</v>
          </cell>
          <cell r="BN264">
            <v>0</v>
          </cell>
          <cell r="BO264">
            <v>0</v>
          </cell>
          <cell r="BP264">
            <v>0</v>
          </cell>
          <cell r="BQ264">
            <v>0</v>
          </cell>
          <cell r="BR264">
            <v>0.65</v>
          </cell>
          <cell r="BS264">
            <v>0</v>
          </cell>
          <cell r="BT264">
            <v>0</v>
          </cell>
          <cell r="BU264">
            <v>0</v>
          </cell>
          <cell r="BV264">
            <v>0</v>
          </cell>
          <cell r="BW264">
            <v>0.9</v>
          </cell>
          <cell r="BX264">
            <v>0</v>
          </cell>
          <cell r="BY264">
            <v>-0.05</v>
          </cell>
          <cell r="BZ264">
            <v>0</v>
          </cell>
          <cell r="CA264">
            <v>0</v>
          </cell>
          <cell r="CB264">
            <v>0</v>
          </cell>
          <cell r="CC264">
            <v>0</v>
          </cell>
          <cell r="CD264">
            <v>0.65</v>
          </cell>
          <cell r="CE264">
            <v>0.65</v>
          </cell>
          <cell r="CF264">
            <v>0.65</v>
          </cell>
          <cell r="CG264">
            <v>0.65</v>
          </cell>
          <cell r="CH264">
            <v>0.65</v>
          </cell>
          <cell r="CI264">
            <v>1.55</v>
          </cell>
          <cell r="CJ264">
            <v>1.55</v>
          </cell>
          <cell r="CK264">
            <v>1.5</v>
          </cell>
        </row>
        <row r="265">
          <cell r="BM265" t="str">
            <v>PHR26</v>
          </cell>
          <cell r="BN265">
            <v>0.08</v>
          </cell>
          <cell r="BO265">
            <v>0.08</v>
          </cell>
          <cell r="BP265">
            <v>0.09</v>
          </cell>
          <cell r="BQ265">
            <v>0.08</v>
          </cell>
          <cell r="BR265">
            <v>3.6999999999999998E-2</v>
          </cell>
          <cell r="BS265">
            <v>7.0000000000000007E-2</v>
          </cell>
          <cell r="BT265">
            <v>0.09</v>
          </cell>
          <cell r="BU265">
            <v>7.0000000000000007E-2</v>
          </cell>
          <cell r="BV265">
            <v>7.0000000000000007E-2</v>
          </cell>
          <cell r="BW265">
            <v>1.6</v>
          </cell>
          <cell r="BX265">
            <v>0</v>
          </cell>
          <cell r="BY265">
            <v>0.02</v>
          </cell>
          <cell r="BZ265">
            <v>0.08</v>
          </cell>
          <cell r="CA265">
            <v>0.16</v>
          </cell>
          <cell r="CB265">
            <v>0.25</v>
          </cell>
          <cell r="CC265">
            <v>0.33</v>
          </cell>
          <cell r="CD265">
            <v>0.36699999999999999</v>
          </cell>
          <cell r="CE265">
            <v>0.437</v>
          </cell>
          <cell r="CF265">
            <v>0.52700000000000002</v>
          </cell>
          <cell r="CG265">
            <v>0.59699999999999998</v>
          </cell>
          <cell r="CH265">
            <v>0.66700000000000004</v>
          </cell>
          <cell r="CI265">
            <v>2.2670000000000003</v>
          </cell>
          <cell r="CJ265">
            <v>2.2670000000000003</v>
          </cell>
          <cell r="CK265">
            <v>2.2870000000000004</v>
          </cell>
        </row>
        <row r="266">
          <cell r="BM266" t="str">
            <v>OTH1</v>
          </cell>
          <cell r="BN266">
            <v>0</v>
          </cell>
          <cell r="BO266">
            <v>0</v>
          </cell>
          <cell r="BP266">
            <v>0</v>
          </cell>
          <cell r="BQ266">
            <v>24</v>
          </cell>
          <cell r="BR266">
            <v>0</v>
          </cell>
          <cell r="BS266">
            <v>0</v>
          </cell>
          <cell r="BT266">
            <v>7</v>
          </cell>
          <cell r="BU266">
            <v>0</v>
          </cell>
          <cell r="BV266">
            <v>0</v>
          </cell>
          <cell r="BW266">
            <v>0</v>
          </cell>
          <cell r="BX266">
            <v>0</v>
          </cell>
          <cell r="BY266">
            <v>0</v>
          </cell>
          <cell r="BZ266">
            <v>0</v>
          </cell>
          <cell r="CA266">
            <v>0</v>
          </cell>
          <cell r="CB266">
            <v>0</v>
          </cell>
          <cell r="CC266">
            <v>24</v>
          </cell>
          <cell r="CD266">
            <v>24</v>
          </cell>
          <cell r="CE266">
            <v>24</v>
          </cell>
          <cell r="CF266">
            <v>31</v>
          </cell>
          <cell r="CG266">
            <v>31</v>
          </cell>
          <cell r="CH266">
            <v>31</v>
          </cell>
          <cell r="CI266">
            <v>31</v>
          </cell>
          <cell r="CJ266">
            <v>31</v>
          </cell>
          <cell r="CK266">
            <v>31</v>
          </cell>
        </row>
        <row r="267">
          <cell r="BM267" t="str">
            <v>OTH2</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row>
        <row r="268">
          <cell r="BM268" t="str">
            <v>OTH3</v>
          </cell>
          <cell r="BN268">
            <v>41</v>
          </cell>
          <cell r="BO268">
            <v>40</v>
          </cell>
          <cell r="BP268">
            <v>38</v>
          </cell>
          <cell r="BQ268">
            <v>38</v>
          </cell>
          <cell r="BR268">
            <v>31.27</v>
          </cell>
          <cell r="BS268">
            <v>43.75</v>
          </cell>
          <cell r="BT268">
            <v>33</v>
          </cell>
          <cell r="BU268">
            <v>43</v>
          </cell>
          <cell r="BV268">
            <v>48.12</v>
          </cell>
          <cell r="BW268">
            <v>45.5</v>
          </cell>
          <cell r="BX268">
            <v>36.549999999999997</v>
          </cell>
          <cell r="BY268">
            <v>33.909999999999997</v>
          </cell>
          <cell r="BZ268">
            <v>41</v>
          </cell>
          <cell r="CA268">
            <v>81</v>
          </cell>
          <cell r="CB268">
            <v>119</v>
          </cell>
          <cell r="CC268">
            <v>157</v>
          </cell>
          <cell r="CD268">
            <v>188.27</v>
          </cell>
          <cell r="CE268">
            <v>232.02</v>
          </cell>
          <cell r="CF268">
            <v>265.02</v>
          </cell>
          <cell r="CG268">
            <v>308.02</v>
          </cell>
          <cell r="CH268">
            <v>356.14</v>
          </cell>
          <cell r="CI268">
            <v>401.64</v>
          </cell>
          <cell r="CJ268">
            <v>438.19</v>
          </cell>
          <cell r="CK268">
            <v>472.1</v>
          </cell>
        </row>
        <row r="269">
          <cell r="BM269" t="str">
            <v>OTH4</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row>
        <row r="270">
          <cell r="BM270" t="str">
            <v>OTH5</v>
          </cell>
          <cell r="BN270">
            <v>2</v>
          </cell>
          <cell r="BO270">
            <v>2</v>
          </cell>
          <cell r="BP270">
            <v>2</v>
          </cell>
          <cell r="BQ270">
            <v>2</v>
          </cell>
          <cell r="BR270">
            <v>0</v>
          </cell>
          <cell r="BS270">
            <v>2</v>
          </cell>
          <cell r="BT270">
            <v>2</v>
          </cell>
          <cell r="BU270">
            <v>2</v>
          </cell>
          <cell r="BV270">
            <v>2</v>
          </cell>
          <cell r="BW270">
            <v>2</v>
          </cell>
          <cell r="BX270">
            <v>2</v>
          </cell>
          <cell r="BY270">
            <v>2</v>
          </cell>
          <cell r="BZ270">
            <v>2</v>
          </cell>
          <cell r="CA270">
            <v>4</v>
          </cell>
          <cell r="CB270">
            <v>6</v>
          </cell>
          <cell r="CC270">
            <v>8</v>
          </cell>
          <cell r="CD270">
            <v>8</v>
          </cell>
          <cell r="CE270">
            <v>10</v>
          </cell>
          <cell r="CF270">
            <v>12</v>
          </cell>
          <cell r="CG270">
            <v>14</v>
          </cell>
          <cell r="CH270">
            <v>16</v>
          </cell>
          <cell r="CI270">
            <v>18</v>
          </cell>
          <cell r="CJ270">
            <v>20</v>
          </cell>
          <cell r="CK270">
            <v>22</v>
          </cell>
        </row>
        <row r="271">
          <cell r="BM271" t="str">
            <v>OTH6</v>
          </cell>
          <cell r="BN271">
            <v>0</v>
          </cell>
          <cell r="BO271">
            <v>0</v>
          </cell>
          <cell r="BP271">
            <v>-24.24</v>
          </cell>
          <cell r="BQ271">
            <v>0</v>
          </cell>
          <cell r="BR271">
            <v>-4.66</v>
          </cell>
          <cell r="BS271">
            <v>-32.6</v>
          </cell>
          <cell r="BT271">
            <v>-6.31</v>
          </cell>
          <cell r="BU271">
            <v>-7.96</v>
          </cell>
          <cell r="BV271">
            <v>-10.92</v>
          </cell>
          <cell r="BW271">
            <v>-11.148</v>
          </cell>
          <cell r="BX271">
            <v>-4.9669999999999996</v>
          </cell>
          <cell r="BY271">
            <v>-10.4</v>
          </cell>
          <cell r="BZ271">
            <v>0</v>
          </cell>
          <cell r="CA271">
            <v>0</v>
          </cell>
          <cell r="CB271">
            <v>-24.24</v>
          </cell>
          <cell r="CC271">
            <v>-24.24</v>
          </cell>
          <cell r="CD271">
            <v>-28.9</v>
          </cell>
          <cell r="CE271">
            <v>-61.5</v>
          </cell>
          <cell r="CF271">
            <v>-67.81</v>
          </cell>
          <cell r="CG271">
            <v>-75.77</v>
          </cell>
          <cell r="CH271">
            <v>-86.69</v>
          </cell>
          <cell r="CI271">
            <v>-97.837999999999994</v>
          </cell>
          <cell r="CJ271">
            <v>-102.80499999999999</v>
          </cell>
          <cell r="CK271">
            <v>-113.205</v>
          </cell>
        </row>
        <row r="272">
          <cell r="BM272">
            <v>0</v>
          </cell>
          <cell r="BN272">
            <v>117.89</v>
          </cell>
          <cell r="BO272">
            <v>78.070000000000007</v>
          </cell>
          <cell r="BP272">
            <v>47.209999999999994</v>
          </cell>
          <cell r="BQ272">
            <v>164.24</v>
          </cell>
          <cell r="BR272">
            <v>63.62660000000001</v>
          </cell>
          <cell r="BS272">
            <v>52.27</v>
          </cell>
          <cell r="BT272">
            <v>80.290000000000006</v>
          </cell>
          <cell r="BU272">
            <v>75.960000000000022</v>
          </cell>
          <cell r="BV272">
            <v>75.429999999999993</v>
          </cell>
          <cell r="BW272">
            <v>77.201999999999998</v>
          </cell>
          <cell r="BX272">
            <v>75.463000000000008</v>
          </cell>
          <cell r="BY272">
            <v>47.449999999999996</v>
          </cell>
          <cell r="BZ272">
            <v>117.89</v>
          </cell>
          <cell r="CA272">
            <v>195.96</v>
          </cell>
          <cell r="CB272">
            <v>243.16999999999996</v>
          </cell>
          <cell r="CC272">
            <v>407.41000000000008</v>
          </cell>
          <cell r="CD272">
            <v>471.03660000000013</v>
          </cell>
          <cell r="CE272">
            <v>523.30660000000012</v>
          </cell>
          <cell r="CF272">
            <v>603.59660000000008</v>
          </cell>
          <cell r="CG272">
            <v>679.55659999999989</v>
          </cell>
          <cell r="CH272">
            <v>754.98659999999995</v>
          </cell>
          <cell r="CI272">
            <v>832.18860000000018</v>
          </cell>
          <cell r="CJ272">
            <v>907.65160000000026</v>
          </cell>
          <cell r="CK272">
            <v>955.1016000000003</v>
          </cell>
        </row>
        <row r="295">
          <cell r="N295">
            <v>0</v>
          </cell>
          <cell r="O295" t="str">
            <v>Budget</v>
          </cell>
          <cell r="P295" t="str">
            <v>Budget</v>
          </cell>
          <cell r="Q295" t="str">
            <v>Budget</v>
          </cell>
          <cell r="R295" t="str">
            <v>Budget</v>
          </cell>
          <cell r="S295" t="str">
            <v>Budget</v>
          </cell>
          <cell r="T295" t="str">
            <v>Budget</v>
          </cell>
          <cell r="U295" t="str">
            <v>Budget</v>
          </cell>
          <cell r="V295" t="str">
            <v>Budget</v>
          </cell>
          <cell r="W295" t="str">
            <v>Budget</v>
          </cell>
          <cell r="X295" t="str">
            <v>Budget</v>
          </cell>
          <cell r="Y295" t="str">
            <v>Budget</v>
          </cell>
          <cell r="Z295" t="str">
            <v>Budget</v>
          </cell>
          <cell r="AA295" t="str">
            <v>Cum_bud</v>
          </cell>
          <cell r="AB295" t="str">
            <v>Cum_bud</v>
          </cell>
          <cell r="AC295" t="str">
            <v>Cum_bud</v>
          </cell>
          <cell r="AD295" t="str">
            <v>Cum_bud</v>
          </cell>
          <cell r="AE295" t="str">
            <v>Cum_bud</v>
          </cell>
          <cell r="AF295" t="str">
            <v>Cum_bud</v>
          </cell>
          <cell r="AG295" t="str">
            <v>Cum_bud</v>
          </cell>
          <cell r="AH295" t="str">
            <v>Cum_bud</v>
          </cell>
          <cell r="AI295" t="str">
            <v>Cum_bud</v>
          </cell>
          <cell r="AJ295" t="str">
            <v>Cum_bud</v>
          </cell>
          <cell r="AK295" t="str">
            <v>Cum_bud</v>
          </cell>
          <cell r="AL295" t="str">
            <v>Cum_bud</v>
          </cell>
          <cell r="AM295">
            <v>0</v>
          </cell>
          <cell r="AN295" t="str">
            <v>Actual</v>
          </cell>
          <cell r="AO295" t="str">
            <v>Actual</v>
          </cell>
          <cell r="AP295" t="str">
            <v>Actual</v>
          </cell>
          <cell r="AQ295" t="str">
            <v>Actual</v>
          </cell>
          <cell r="AR295" t="str">
            <v>Actual</v>
          </cell>
          <cell r="AS295" t="str">
            <v>Actual</v>
          </cell>
          <cell r="AT295" t="str">
            <v>Actual</v>
          </cell>
          <cell r="AU295" t="str">
            <v>Actual</v>
          </cell>
          <cell r="AV295" t="str">
            <v>Actual</v>
          </cell>
          <cell r="AW295" t="str">
            <v>Actual</v>
          </cell>
          <cell r="AX295" t="str">
            <v>Actual</v>
          </cell>
          <cell r="AY295" t="str">
            <v>Actual</v>
          </cell>
          <cell r="AZ295" t="str">
            <v>Cum_Actu</v>
          </cell>
          <cell r="BA295" t="str">
            <v>Cum_Actu</v>
          </cell>
          <cell r="BB295" t="str">
            <v>Cum_Actu</v>
          </cell>
          <cell r="BC295" t="str">
            <v>Cum_Actu</v>
          </cell>
          <cell r="BD295" t="str">
            <v>Cum_Actu</v>
          </cell>
          <cell r="BE295" t="str">
            <v>Cum_Actu</v>
          </cell>
          <cell r="BF295" t="str">
            <v>Cum_Actu</v>
          </cell>
          <cell r="BG295" t="str">
            <v>Cum_Actu</v>
          </cell>
          <cell r="BH295" t="str">
            <v>Cum_Actu</v>
          </cell>
          <cell r="BI295" t="str">
            <v>Cum_Actu</v>
          </cell>
          <cell r="BJ295" t="str">
            <v>Cum_Actu</v>
          </cell>
          <cell r="BK295" t="str">
            <v>Cum_Actu</v>
          </cell>
          <cell r="BN295" t="str">
            <v>Actual</v>
          </cell>
          <cell r="BO295" t="str">
            <v>Actual</v>
          </cell>
          <cell r="BP295" t="str">
            <v>Actual</v>
          </cell>
          <cell r="BQ295" t="str">
            <v>Actual</v>
          </cell>
          <cell r="BR295" t="str">
            <v>Actual</v>
          </cell>
          <cell r="BS295" t="str">
            <v>Actual</v>
          </cell>
          <cell r="BT295" t="str">
            <v>Actual</v>
          </cell>
          <cell r="BU295" t="str">
            <v>Actual</v>
          </cell>
          <cell r="BV295" t="str">
            <v>Actual</v>
          </cell>
          <cell r="BW295" t="str">
            <v>Actual</v>
          </cell>
          <cell r="BX295" t="str">
            <v>Actual</v>
          </cell>
          <cell r="BY295" t="str">
            <v>Actual</v>
          </cell>
          <cell r="BZ295" t="str">
            <v>Cum_Actu</v>
          </cell>
          <cell r="CA295" t="str">
            <v>Cum_Actu</v>
          </cell>
          <cell r="CB295" t="str">
            <v>Cum_Actu</v>
          </cell>
          <cell r="CC295" t="str">
            <v>Cum_Actu</v>
          </cell>
          <cell r="CD295" t="str">
            <v>Cum_Actu</v>
          </cell>
          <cell r="CE295" t="str">
            <v>Cum_Actu</v>
          </cell>
          <cell r="CF295" t="str">
            <v>Cum_Actu</v>
          </cell>
          <cell r="CG295" t="str">
            <v>Cum_Actu</v>
          </cell>
          <cell r="CH295" t="str">
            <v>Cum_Actu</v>
          </cell>
          <cell r="CI295" t="str">
            <v>Cum_Actu</v>
          </cell>
          <cell r="CJ295" t="str">
            <v>Cum_Actu</v>
          </cell>
          <cell r="CK295" t="str">
            <v>Cum_Actu</v>
          </cell>
        </row>
        <row r="296">
          <cell r="N296" t="str">
            <v>Code</v>
          </cell>
          <cell r="O296">
            <v>41640</v>
          </cell>
          <cell r="P296">
            <v>41671</v>
          </cell>
          <cell r="Q296">
            <v>41699</v>
          </cell>
          <cell r="R296">
            <v>41730</v>
          </cell>
          <cell r="S296">
            <v>41760</v>
          </cell>
          <cell r="T296">
            <v>41791</v>
          </cell>
          <cell r="U296">
            <v>41821</v>
          </cell>
          <cell r="V296">
            <v>41852</v>
          </cell>
          <cell r="W296">
            <v>41883</v>
          </cell>
          <cell r="X296">
            <v>41913</v>
          </cell>
          <cell r="Y296">
            <v>41944</v>
          </cell>
          <cell r="Z296">
            <v>41974</v>
          </cell>
          <cell r="AA296">
            <v>41640</v>
          </cell>
          <cell r="AB296">
            <v>41671</v>
          </cell>
          <cell r="AC296">
            <v>41699</v>
          </cell>
          <cell r="AD296">
            <v>41730</v>
          </cell>
          <cell r="AE296">
            <v>41760</v>
          </cell>
          <cell r="AF296">
            <v>41791</v>
          </cell>
          <cell r="AG296">
            <v>41821</v>
          </cell>
          <cell r="AH296">
            <v>41852</v>
          </cell>
          <cell r="AI296">
            <v>41883</v>
          </cell>
          <cell r="AJ296">
            <v>41913</v>
          </cell>
          <cell r="AK296">
            <v>41944</v>
          </cell>
          <cell r="AL296">
            <v>41974</v>
          </cell>
          <cell r="AM296" t="str">
            <v>Code</v>
          </cell>
          <cell r="AN296">
            <v>41640</v>
          </cell>
          <cell r="AO296">
            <v>41671</v>
          </cell>
          <cell r="AP296">
            <v>41699</v>
          </cell>
          <cell r="AQ296">
            <v>41730</v>
          </cell>
          <cell r="AR296">
            <v>41760</v>
          </cell>
          <cell r="AS296">
            <v>41791</v>
          </cell>
          <cell r="AT296">
            <v>41821</v>
          </cell>
          <cell r="AU296">
            <v>41852</v>
          </cell>
          <cell r="AV296">
            <v>41883</v>
          </cell>
          <cell r="AW296">
            <v>41913</v>
          </cell>
          <cell r="AX296">
            <v>41944</v>
          </cell>
          <cell r="AY296">
            <v>41974</v>
          </cell>
          <cell r="AZ296">
            <v>41640</v>
          </cell>
          <cell r="BA296">
            <v>41671</v>
          </cell>
          <cell r="BB296">
            <v>41699</v>
          </cell>
          <cell r="BC296">
            <v>41730</v>
          </cell>
          <cell r="BD296">
            <v>41760</v>
          </cell>
          <cell r="BE296">
            <v>41791</v>
          </cell>
          <cell r="BF296">
            <v>41821</v>
          </cell>
          <cell r="BG296">
            <v>41852</v>
          </cell>
          <cell r="BH296">
            <v>41883</v>
          </cell>
          <cell r="BI296">
            <v>41913</v>
          </cell>
          <cell r="BJ296">
            <v>41944</v>
          </cell>
          <cell r="BK296">
            <v>41974</v>
          </cell>
          <cell r="BM296" t="str">
            <v>CODE</v>
          </cell>
          <cell r="BN296">
            <v>41285</v>
          </cell>
          <cell r="BO296">
            <v>41316</v>
          </cell>
          <cell r="BP296">
            <v>41344</v>
          </cell>
          <cell r="BQ296">
            <v>41375</v>
          </cell>
          <cell r="BR296">
            <v>41405</v>
          </cell>
          <cell r="BS296">
            <v>41436</v>
          </cell>
          <cell r="BT296">
            <v>41466</v>
          </cell>
          <cell r="BU296">
            <v>41497</v>
          </cell>
          <cell r="BV296">
            <v>41528</v>
          </cell>
          <cell r="BW296">
            <v>41558</v>
          </cell>
          <cell r="BX296">
            <v>41589</v>
          </cell>
          <cell r="BY296">
            <v>41619</v>
          </cell>
          <cell r="BZ296">
            <v>41285</v>
          </cell>
          <cell r="CA296">
            <v>41316</v>
          </cell>
          <cell r="CB296">
            <v>41344</v>
          </cell>
          <cell r="CC296">
            <v>41375</v>
          </cell>
          <cell r="CD296">
            <v>41405</v>
          </cell>
          <cell r="CE296">
            <v>41436</v>
          </cell>
          <cell r="CF296">
            <v>41466</v>
          </cell>
          <cell r="CG296">
            <v>41497</v>
          </cell>
          <cell r="CH296">
            <v>41528</v>
          </cell>
          <cell r="CI296">
            <v>41558</v>
          </cell>
          <cell r="CJ296">
            <v>41589</v>
          </cell>
          <cell r="CK296">
            <v>41619</v>
          </cell>
        </row>
        <row r="297">
          <cell r="N297" t="str">
            <v>CD1</v>
          </cell>
          <cell r="O297">
            <v>1.0154662812279462</v>
          </cell>
          <cell r="P297">
            <v>0.90263669442484074</v>
          </cell>
          <cell r="Q297">
            <v>1.0154662812279462</v>
          </cell>
          <cell r="R297">
            <v>1.5796142152434716</v>
          </cell>
          <cell r="S297">
            <v>3.384887604093155</v>
          </cell>
          <cell r="T297">
            <v>2.0309325624558925</v>
          </cell>
          <cell r="U297">
            <v>2.2565917360621026</v>
          </cell>
          <cell r="V297">
            <v>2.2565917360621026</v>
          </cell>
          <cell r="W297">
            <v>6.7697752081863101</v>
          </cell>
          <cell r="X297">
            <v>2.8658715047988701</v>
          </cell>
          <cell r="Y297">
            <v>3.384887604093155</v>
          </cell>
          <cell r="Z297">
            <v>4.5131834721242052</v>
          </cell>
          <cell r="AA297">
            <v>1.0154662812279462</v>
          </cell>
          <cell r="AB297">
            <v>1.918102975652787</v>
          </cell>
          <cell r="AC297">
            <v>2.933569256880733</v>
          </cell>
          <cell r="AD297">
            <v>4.5131834721242043</v>
          </cell>
          <cell r="AE297">
            <v>7.8980710762173594</v>
          </cell>
          <cell r="AF297">
            <v>9.929003638673251</v>
          </cell>
          <cell r="AG297">
            <v>12.185595374735353</v>
          </cell>
          <cell r="AH297">
            <v>14.442187110797455</v>
          </cell>
          <cell r="AI297">
            <v>21.211962318983765</v>
          </cell>
          <cell r="AJ297">
            <v>24.077833823782637</v>
          </cell>
          <cell r="AK297">
            <v>27.462721427875792</v>
          </cell>
          <cell r="AL297">
            <v>31.975904899999996</v>
          </cell>
          <cell r="AM297" t="str">
            <v>CD1</v>
          </cell>
          <cell r="AN297">
            <v>0.17546628122795005</v>
          </cell>
          <cell r="AO297">
            <v>0.37263999999999997</v>
          </cell>
          <cell r="AP297">
            <v>-0.13</v>
          </cell>
          <cell r="AQ297">
            <v>1.25</v>
          </cell>
          <cell r="AR297">
            <v>2.0000000000000129E-2</v>
          </cell>
          <cell r="AZ297">
            <v>0.17546628122795005</v>
          </cell>
          <cell r="BA297">
            <v>0.54810628122795002</v>
          </cell>
          <cell r="BB297">
            <v>0.41810628122795002</v>
          </cell>
          <cell r="BC297">
            <v>1.6681062812279501</v>
          </cell>
          <cell r="BD297">
            <v>1.6881062812279501</v>
          </cell>
          <cell r="BE297">
            <v>1.6881062812279501</v>
          </cell>
          <cell r="BF297">
            <v>1.6881062812279501</v>
          </cell>
          <cell r="BG297">
            <v>1.6881062812279501</v>
          </cell>
          <cell r="BH297">
            <v>1.6881062812279501</v>
          </cell>
          <cell r="BI297">
            <v>1.6881062812279501</v>
          </cell>
          <cell r="BJ297">
            <v>1.6881062812279501</v>
          </cell>
          <cell r="BK297">
            <v>1.6881062812279501</v>
          </cell>
          <cell r="BM297" t="str">
            <v>CD1</v>
          </cell>
          <cell r="BZ297">
            <v>0</v>
          </cell>
          <cell r="CA297">
            <v>0</v>
          </cell>
          <cell r="CB297">
            <v>0</v>
          </cell>
          <cell r="CC297">
            <v>0</v>
          </cell>
          <cell r="CD297">
            <v>0</v>
          </cell>
          <cell r="CE297">
            <v>0</v>
          </cell>
          <cell r="CF297">
            <v>0</v>
          </cell>
          <cell r="CG297">
            <v>0</v>
          </cell>
          <cell r="CH297">
            <v>0</v>
          </cell>
          <cell r="CI297">
            <v>0</v>
          </cell>
          <cell r="CJ297">
            <v>0</v>
          </cell>
          <cell r="CK297">
            <v>0</v>
          </cell>
        </row>
        <row r="298">
          <cell r="N298" t="str">
            <v>CD2</v>
          </cell>
          <cell r="O298">
            <v>0.25544874156669017</v>
          </cell>
          <cell r="P298">
            <v>0.22706554805928009</v>
          </cell>
          <cell r="Q298">
            <v>0.25544874156669017</v>
          </cell>
          <cell r="R298">
            <v>0.39736470910374022</v>
          </cell>
          <cell r="S298">
            <v>0.85149580522230095</v>
          </cell>
          <cell r="T298">
            <v>0.51089748313338035</v>
          </cell>
          <cell r="U298">
            <v>0.56766387014820041</v>
          </cell>
          <cell r="V298">
            <v>0.56766387014820041</v>
          </cell>
          <cell r="W298">
            <v>1.7029916104446019</v>
          </cell>
          <cell r="X298">
            <v>0.72093311508821445</v>
          </cell>
          <cell r="Y298">
            <v>0.85149580522230095</v>
          </cell>
          <cell r="Z298">
            <v>1.1353277402964008</v>
          </cell>
          <cell r="AA298">
            <v>0.25544874156669017</v>
          </cell>
          <cell r="AB298">
            <v>0.48251428962597026</v>
          </cell>
          <cell r="AC298">
            <v>0.73796303119266038</v>
          </cell>
          <cell r="AD298">
            <v>1.1353277402964006</v>
          </cell>
          <cell r="AE298">
            <v>1.9868235455187016</v>
          </cell>
          <cell r="AF298">
            <v>2.4977210286520819</v>
          </cell>
          <cell r="AG298">
            <v>3.0653848988002821</v>
          </cell>
          <cell r="AH298">
            <v>3.6330487689484823</v>
          </cell>
          <cell r="AI298">
            <v>5.3360403793930846</v>
          </cell>
          <cell r="AJ298">
            <v>6.0569734944812987</v>
          </cell>
          <cell r="AK298">
            <v>6.9084692997035999</v>
          </cell>
          <cell r="AL298">
            <v>8.0437970400000012</v>
          </cell>
          <cell r="AM298" t="str">
            <v>CD2</v>
          </cell>
          <cell r="AN298">
            <v>4.5448741566690015E-2</v>
          </cell>
          <cell r="AO298">
            <v>8.7069999999999981E-2</v>
          </cell>
          <cell r="AP298">
            <v>0.73</v>
          </cell>
          <cell r="AQ298">
            <v>0.25</v>
          </cell>
          <cell r="AR298">
            <v>7.0000000000000034E-2</v>
          </cell>
          <cell r="AZ298">
            <v>4.5448741566690015E-2</v>
          </cell>
          <cell r="BA298">
            <v>0.13251874156669</v>
          </cell>
          <cell r="BB298">
            <v>0.86251874156668995</v>
          </cell>
          <cell r="BC298">
            <v>1.11251874156669</v>
          </cell>
          <cell r="BD298">
            <v>1.18251874156669</v>
          </cell>
          <cell r="BE298">
            <v>1.18251874156669</v>
          </cell>
          <cell r="BF298">
            <v>1.18251874156669</v>
          </cell>
          <cell r="BG298">
            <v>1.18251874156669</v>
          </cell>
          <cell r="BH298">
            <v>1.18251874156669</v>
          </cell>
          <cell r="BI298">
            <v>1.18251874156669</v>
          </cell>
          <cell r="BJ298">
            <v>1.18251874156669</v>
          </cell>
          <cell r="BK298">
            <v>1.18251874156669</v>
          </cell>
          <cell r="BM298" t="str">
            <v>CD2</v>
          </cell>
          <cell r="BZ298">
            <v>0</v>
          </cell>
          <cell r="CA298">
            <v>0</v>
          </cell>
          <cell r="CB298">
            <v>0</v>
          </cell>
          <cell r="CC298">
            <v>0</v>
          </cell>
          <cell r="CD298">
            <v>0</v>
          </cell>
          <cell r="CE298">
            <v>0</v>
          </cell>
          <cell r="CF298">
            <v>0</v>
          </cell>
          <cell r="CG298">
            <v>0</v>
          </cell>
          <cell r="CH298">
            <v>0</v>
          </cell>
          <cell r="CI298">
            <v>0</v>
          </cell>
          <cell r="CJ298">
            <v>0</v>
          </cell>
          <cell r="CK298">
            <v>0</v>
          </cell>
        </row>
        <row r="299">
          <cell r="N299" t="str">
            <v>CD3</v>
          </cell>
          <cell r="O299">
            <v>0</v>
          </cell>
          <cell r="P299">
            <v>0</v>
          </cell>
          <cell r="Q299">
            <v>0</v>
          </cell>
          <cell r="R299">
            <v>0.66666666666666663</v>
          </cell>
          <cell r="S299">
            <v>0.66666666666666663</v>
          </cell>
          <cell r="T299">
            <v>0.66666666666666663</v>
          </cell>
          <cell r="U299">
            <v>0.66666666666666663</v>
          </cell>
          <cell r="V299">
            <v>0.66666666666666663</v>
          </cell>
          <cell r="W299">
            <v>0.66666666666666663</v>
          </cell>
          <cell r="X299">
            <v>0.66666666666666663</v>
          </cell>
          <cell r="Y299">
            <v>0.66666666666666663</v>
          </cell>
          <cell r="Z299">
            <v>0.66666666666666663</v>
          </cell>
          <cell r="AA299">
            <v>0</v>
          </cell>
          <cell r="AB299">
            <v>0</v>
          </cell>
          <cell r="AC299">
            <v>0</v>
          </cell>
          <cell r="AD299">
            <v>0.66666666666666663</v>
          </cell>
          <cell r="AE299">
            <v>1.3333333333333333</v>
          </cell>
          <cell r="AF299">
            <v>2</v>
          </cell>
          <cell r="AG299">
            <v>2.6666666666666665</v>
          </cell>
          <cell r="AH299">
            <v>3.333333333333333</v>
          </cell>
          <cell r="AI299">
            <v>3.9999999999999996</v>
          </cell>
          <cell r="AJ299">
            <v>4.6666666666666661</v>
          </cell>
          <cell r="AK299">
            <v>5.333333333333333</v>
          </cell>
          <cell r="AL299">
            <v>6</v>
          </cell>
          <cell r="AM299" t="str">
            <v>CD3</v>
          </cell>
          <cell r="AN299">
            <v>0</v>
          </cell>
          <cell r="AR299">
            <v>0.5</v>
          </cell>
          <cell r="AZ299">
            <v>0</v>
          </cell>
          <cell r="BA299">
            <v>0</v>
          </cell>
          <cell r="BB299">
            <v>0</v>
          </cell>
          <cell r="BC299">
            <v>0</v>
          </cell>
          <cell r="BD299">
            <v>0.5</v>
          </cell>
          <cell r="BE299">
            <v>0.5</v>
          </cell>
          <cell r="BF299">
            <v>0.5</v>
          </cell>
          <cell r="BG299">
            <v>0.5</v>
          </cell>
          <cell r="BH299">
            <v>0.5</v>
          </cell>
          <cell r="BI299">
            <v>0.5</v>
          </cell>
          <cell r="BJ299">
            <v>0.5</v>
          </cell>
          <cell r="BK299">
            <v>0.5</v>
          </cell>
          <cell r="BM299" t="str">
            <v>CD3</v>
          </cell>
          <cell r="BZ299">
            <v>0</v>
          </cell>
          <cell r="CA299">
            <v>0</v>
          </cell>
          <cell r="CB299">
            <v>0</v>
          </cell>
          <cell r="CC299">
            <v>0</v>
          </cell>
          <cell r="CD299">
            <v>0</v>
          </cell>
          <cell r="CE299">
            <v>0</v>
          </cell>
          <cell r="CF299">
            <v>0</v>
          </cell>
          <cell r="CG299">
            <v>0</v>
          </cell>
          <cell r="CH299">
            <v>0</v>
          </cell>
          <cell r="CI299">
            <v>0</v>
          </cell>
          <cell r="CJ299">
            <v>0</v>
          </cell>
          <cell r="CK299">
            <v>0</v>
          </cell>
        </row>
        <row r="300">
          <cell r="N300" t="str">
            <v>TTL</v>
          </cell>
          <cell r="O300">
            <v>1.2709150227946364</v>
          </cell>
          <cell r="P300">
            <v>1.1297022424841208</v>
          </cell>
          <cell r="Q300">
            <v>1.2709150227946364</v>
          </cell>
          <cell r="R300">
            <v>2.6436455910138785</v>
          </cell>
          <cell r="S300">
            <v>4.9030500759821232</v>
          </cell>
          <cell r="T300">
            <v>3.2084967122559394</v>
          </cell>
          <cell r="U300">
            <v>3.4909222728769698</v>
          </cell>
          <cell r="V300">
            <v>3.4909222728769698</v>
          </cell>
          <cell r="W300">
            <v>9.1394334852975785</v>
          </cell>
          <cell r="X300">
            <v>4.2534712865537516</v>
          </cell>
          <cell r="Y300">
            <v>4.9030500759821232</v>
          </cell>
          <cell r="Z300">
            <v>6.3151778790872735</v>
          </cell>
          <cell r="AA300">
            <v>1.2709150227946364</v>
          </cell>
          <cell r="AB300">
            <v>2.4006172652787572</v>
          </cell>
          <cell r="AC300">
            <v>3.6715322880733936</v>
          </cell>
          <cell r="AD300">
            <v>6.3151778790872717</v>
          </cell>
          <cell r="AE300">
            <v>11.218227955069395</v>
          </cell>
          <cell r="AF300">
            <v>14.426724667325333</v>
          </cell>
          <cell r="AG300">
            <v>17.917646940202303</v>
          </cell>
          <cell r="AH300">
            <v>21.408569213079272</v>
          </cell>
          <cell r="AI300">
            <v>30.548002698376848</v>
          </cell>
          <cell r="AJ300">
            <v>34.801473984930603</v>
          </cell>
          <cell r="AK300">
            <v>39.704524060912725</v>
          </cell>
          <cell r="AL300">
            <v>46.019701939999997</v>
          </cell>
          <cell r="AN300">
            <v>0.22091502279464006</v>
          </cell>
          <cell r="AO300">
            <v>0.45970999999999995</v>
          </cell>
          <cell r="AP300">
            <v>0.6</v>
          </cell>
          <cell r="AQ300">
            <v>1.5</v>
          </cell>
          <cell r="AR300">
            <v>0.59000000000000019</v>
          </cell>
          <cell r="AS300">
            <v>0</v>
          </cell>
          <cell r="AT300">
            <v>0</v>
          </cell>
          <cell r="AU300">
            <v>0</v>
          </cell>
          <cell r="AV300">
            <v>0</v>
          </cell>
          <cell r="AW300">
            <v>0</v>
          </cell>
          <cell r="AX300">
            <v>0</v>
          </cell>
          <cell r="AY300">
            <v>0</v>
          </cell>
          <cell r="AZ300">
            <v>0.22091502279464006</v>
          </cell>
          <cell r="BA300">
            <v>0.68062502279463999</v>
          </cell>
          <cell r="BB300">
            <v>1.2806250227946401</v>
          </cell>
          <cell r="BC300">
            <v>2.7806250227946401</v>
          </cell>
          <cell r="BD300">
            <v>3.3706250227946404</v>
          </cell>
          <cell r="BE300">
            <v>3.3706250227946404</v>
          </cell>
          <cell r="BF300">
            <v>3.3706250227946404</v>
          </cell>
          <cell r="BG300">
            <v>3.3706250227946404</v>
          </cell>
          <cell r="BH300">
            <v>3.3706250227946404</v>
          </cell>
          <cell r="BI300">
            <v>3.3706250227946404</v>
          </cell>
          <cell r="BJ300">
            <v>3.3706250227946404</v>
          </cell>
          <cell r="BK300">
            <v>3.3706250227946404</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4">
          <cell r="N304">
            <v>0</v>
          </cell>
          <cell r="O304" t="str">
            <v>Budget</v>
          </cell>
          <cell r="P304" t="str">
            <v>Budget</v>
          </cell>
          <cell r="Q304" t="str">
            <v>Budget</v>
          </cell>
          <cell r="R304" t="str">
            <v>Budget</v>
          </cell>
          <cell r="S304" t="str">
            <v>Budget</v>
          </cell>
          <cell r="T304" t="str">
            <v>Budget</v>
          </cell>
          <cell r="U304" t="str">
            <v>Budget</v>
          </cell>
          <cell r="V304" t="str">
            <v>Budget</v>
          </cell>
          <cell r="W304" t="str">
            <v>Budget</v>
          </cell>
          <cell r="X304" t="str">
            <v>Budget</v>
          </cell>
          <cell r="Y304" t="str">
            <v>Budget</v>
          </cell>
          <cell r="Z304" t="str">
            <v>Budget</v>
          </cell>
          <cell r="AA304" t="str">
            <v>Cum_bud</v>
          </cell>
          <cell r="AB304" t="str">
            <v>Cum_bud</v>
          </cell>
          <cell r="AC304" t="str">
            <v>Cum_bud</v>
          </cell>
          <cell r="AD304" t="str">
            <v>Cum_bud</v>
          </cell>
          <cell r="AE304" t="str">
            <v>Cum_bud</v>
          </cell>
          <cell r="AF304" t="str">
            <v>Cum_bud</v>
          </cell>
          <cell r="AG304" t="str">
            <v>Cum_bud</v>
          </cell>
          <cell r="AH304" t="str">
            <v>Cum_bud</v>
          </cell>
          <cell r="AI304" t="str">
            <v>Cum_bud</v>
          </cell>
          <cell r="AJ304" t="str">
            <v>Cum_bud</v>
          </cell>
          <cell r="AK304" t="str">
            <v>Cum_bud</v>
          </cell>
          <cell r="AL304" t="str">
            <v>Cum_bud</v>
          </cell>
          <cell r="AM304">
            <v>0</v>
          </cell>
          <cell r="AN304" t="str">
            <v>Actual</v>
          </cell>
          <cell r="AO304" t="str">
            <v>Actual</v>
          </cell>
          <cell r="AP304" t="str">
            <v>Actual</v>
          </cell>
          <cell r="AQ304" t="str">
            <v>Actual</v>
          </cell>
          <cell r="AR304" t="str">
            <v>Actual</v>
          </cell>
          <cell r="AS304" t="str">
            <v>Actual</v>
          </cell>
          <cell r="AT304" t="str">
            <v>Actual</v>
          </cell>
          <cell r="AU304" t="str">
            <v>Actual</v>
          </cell>
          <cell r="AV304" t="str">
            <v>Actual</v>
          </cell>
          <cell r="AW304" t="str">
            <v>Actual</v>
          </cell>
          <cell r="AX304" t="str">
            <v>Actual</v>
          </cell>
          <cell r="AY304" t="str">
            <v>Actual</v>
          </cell>
          <cell r="AZ304" t="str">
            <v>Cum_Actu</v>
          </cell>
          <cell r="BA304" t="str">
            <v>Cum_Actu</v>
          </cell>
          <cell r="BB304" t="str">
            <v>Cum_Actu</v>
          </cell>
          <cell r="BC304" t="str">
            <v>Cum_Actu</v>
          </cell>
          <cell r="BD304" t="str">
            <v>Cum_Actu</v>
          </cell>
          <cell r="BE304" t="str">
            <v>Cum_Actu</v>
          </cell>
          <cell r="BF304" t="str">
            <v>Cum_Actu</v>
          </cell>
          <cell r="BG304" t="str">
            <v>Cum_Actu</v>
          </cell>
          <cell r="BH304" t="str">
            <v>Cum_Actu</v>
          </cell>
          <cell r="BI304" t="str">
            <v>Cum_Actu</v>
          </cell>
          <cell r="BJ304" t="str">
            <v>Cum_Actu</v>
          </cell>
          <cell r="BK304" t="str">
            <v>Cum_Actu</v>
          </cell>
          <cell r="BN304" t="str">
            <v>Actual</v>
          </cell>
          <cell r="BO304" t="str">
            <v>Actual</v>
          </cell>
          <cell r="BP304" t="str">
            <v>Actual</v>
          </cell>
          <cell r="BQ304" t="str">
            <v>Actual</v>
          </cell>
          <cell r="BR304" t="str">
            <v>Actual</v>
          </cell>
          <cell r="BS304" t="str">
            <v>Actual</v>
          </cell>
          <cell r="BT304" t="str">
            <v>Actual</v>
          </cell>
          <cell r="BU304" t="str">
            <v>Actual</v>
          </cell>
          <cell r="BV304" t="str">
            <v>Actual</v>
          </cell>
          <cell r="BW304" t="str">
            <v>Actual</v>
          </cell>
          <cell r="BX304" t="str">
            <v>Actual</v>
          </cell>
          <cell r="BY304" t="str">
            <v>Actual</v>
          </cell>
          <cell r="BZ304" t="str">
            <v>Cum_Actu</v>
          </cell>
          <cell r="CA304" t="str">
            <v>Cum_Actu</v>
          </cell>
          <cell r="CB304" t="str">
            <v>Cum_Actu</v>
          </cell>
          <cell r="CC304" t="str">
            <v>Cum_Actu</v>
          </cell>
          <cell r="CD304" t="str">
            <v>Cum_Actu</v>
          </cell>
          <cell r="CE304" t="str">
            <v>Cum_Actu</v>
          </cell>
          <cell r="CF304" t="str">
            <v>Cum_Actu</v>
          </cell>
          <cell r="CG304" t="str">
            <v>Cum_Actu</v>
          </cell>
          <cell r="CH304" t="str">
            <v>Cum_Actu</v>
          </cell>
          <cell r="CI304" t="str">
            <v>Cum_Actu</v>
          </cell>
          <cell r="CJ304" t="str">
            <v>Cum_Actu</v>
          </cell>
          <cell r="CK304" t="str">
            <v>Cum_Actu</v>
          </cell>
        </row>
        <row r="305">
          <cell r="N305" t="str">
            <v>Code</v>
          </cell>
          <cell r="O305">
            <v>41640</v>
          </cell>
          <cell r="P305">
            <v>41671</v>
          </cell>
          <cell r="Q305">
            <v>41699</v>
          </cell>
          <cell r="R305">
            <v>41730</v>
          </cell>
          <cell r="S305">
            <v>41760</v>
          </cell>
          <cell r="T305">
            <v>41791</v>
          </cell>
          <cell r="U305">
            <v>41821</v>
          </cell>
          <cell r="V305">
            <v>41852</v>
          </cell>
          <cell r="W305">
            <v>41883</v>
          </cell>
          <cell r="X305">
            <v>41913</v>
          </cell>
          <cell r="Y305">
            <v>41944</v>
          </cell>
          <cell r="Z305">
            <v>41974</v>
          </cell>
          <cell r="AA305">
            <v>41640</v>
          </cell>
          <cell r="AB305">
            <v>41671</v>
          </cell>
          <cell r="AC305">
            <v>41699</v>
          </cell>
          <cell r="AD305">
            <v>41730</v>
          </cell>
          <cell r="AE305">
            <v>41760</v>
          </cell>
          <cell r="AF305">
            <v>41791</v>
          </cell>
          <cell r="AG305">
            <v>41821</v>
          </cell>
          <cell r="AH305">
            <v>41852</v>
          </cell>
          <cell r="AI305">
            <v>41883</v>
          </cell>
          <cell r="AJ305">
            <v>41913</v>
          </cell>
          <cell r="AK305">
            <v>41944</v>
          </cell>
          <cell r="AL305">
            <v>41974</v>
          </cell>
          <cell r="AM305" t="str">
            <v>Code</v>
          </cell>
          <cell r="AN305">
            <v>41640</v>
          </cell>
          <cell r="AO305">
            <v>41671</v>
          </cell>
          <cell r="AP305">
            <v>41699</v>
          </cell>
          <cell r="AQ305">
            <v>41730</v>
          </cell>
          <cell r="AR305">
            <v>41760</v>
          </cell>
          <cell r="AS305">
            <v>41791</v>
          </cell>
          <cell r="AT305">
            <v>41821</v>
          </cell>
          <cell r="AU305">
            <v>41852</v>
          </cell>
          <cell r="AV305">
            <v>41883</v>
          </cell>
          <cell r="AW305">
            <v>41913</v>
          </cell>
          <cell r="AX305">
            <v>41944</v>
          </cell>
          <cell r="AY305">
            <v>41974</v>
          </cell>
          <cell r="AZ305">
            <v>41640</v>
          </cell>
          <cell r="BA305">
            <v>41671</v>
          </cell>
          <cell r="BB305">
            <v>41699</v>
          </cell>
          <cell r="BC305">
            <v>41730</v>
          </cell>
          <cell r="BD305">
            <v>41760</v>
          </cell>
          <cell r="BE305">
            <v>41791</v>
          </cell>
          <cell r="BF305">
            <v>41821</v>
          </cell>
          <cell r="BG305">
            <v>41852</v>
          </cell>
          <cell r="BH305">
            <v>41883</v>
          </cell>
          <cell r="BI305">
            <v>41913</v>
          </cell>
          <cell r="BJ305">
            <v>41944</v>
          </cell>
          <cell r="BK305">
            <v>41974</v>
          </cell>
          <cell r="BM305" t="str">
            <v>CODE</v>
          </cell>
          <cell r="BN305">
            <v>41285</v>
          </cell>
          <cell r="BO305">
            <v>41316</v>
          </cell>
          <cell r="BP305">
            <v>41344</v>
          </cell>
          <cell r="BQ305">
            <v>41375</v>
          </cell>
          <cell r="BR305">
            <v>41405</v>
          </cell>
          <cell r="BS305">
            <v>41436</v>
          </cell>
          <cell r="BT305">
            <v>41466</v>
          </cell>
          <cell r="BU305">
            <v>41497</v>
          </cell>
          <cell r="BV305">
            <v>41528</v>
          </cell>
          <cell r="BW305">
            <v>41558</v>
          </cell>
          <cell r="BX305">
            <v>41589</v>
          </cell>
          <cell r="BY305">
            <v>41619</v>
          </cell>
          <cell r="BZ305">
            <v>41285</v>
          </cell>
          <cell r="CA305">
            <v>41316</v>
          </cell>
          <cell r="CB305">
            <v>41344</v>
          </cell>
          <cell r="CC305">
            <v>41375</v>
          </cell>
          <cell r="CD305">
            <v>41405</v>
          </cell>
          <cell r="CE305">
            <v>41436</v>
          </cell>
          <cell r="CF305">
            <v>41466</v>
          </cell>
          <cell r="CG305">
            <v>41497</v>
          </cell>
          <cell r="CH305">
            <v>41528</v>
          </cell>
          <cell r="CI305">
            <v>41558</v>
          </cell>
          <cell r="CJ305">
            <v>41589</v>
          </cell>
          <cell r="CK305">
            <v>41619</v>
          </cell>
        </row>
        <row r="306">
          <cell r="N306" t="str">
            <v>EM01</v>
          </cell>
          <cell r="O306">
            <v>2.25</v>
          </cell>
          <cell r="P306">
            <v>2.25</v>
          </cell>
          <cell r="Q306">
            <v>2.25</v>
          </cell>
          <cell r="R306">
            <v>2.25</v>
          </cell>
          <cell r="S306">
            <v>2.25</v>
          </cell>
          <cell r="T306">
            <v>2.25</v>
          </cell>
          <cell r="U306">
            <v>2.25</v>
          </cell>
          <cell r="V306">
            <v>2.25</v>
          </cell>
          <cell r="W306">
            <v>2.25</v>
          </cell>
          <cell r="X306">
            <v>2.25</v>
          </cell>
          <cell r="Y306">
            <v>2.25</v>
          </cell>
          <cell r="Z306">
            <v>2.25</v>
          </cell>
          <cell r="AA306">
            <v>2.25</v>
          </cell>
          <cell r="AB306">
            <v>4.5</v>
          </cell>
          <cell r="AC306">
            <v>6.75</v>
          </cell>
          <cell r="AD306">
            <v>9</v>
          </cell>
          <cell r="AE306">
            <v>11.25</v>
          </cell>
          <cell r="AF306">
            <v>13.5</v>
          </cell>
          <cell r="AG306">
            <v>15.75</v>
          </cell>
          <cell r="AH306">
            <v>18</v>
          </cell>
          <cell r="AI306">
            <v>20.25</v>
          </cell>
          <cell r="AJ306">
            <v>22.5</v>
          </cell>
          <cell r="AK306">
            <v>24.75</v>
          </cell>
          <cell r="AL306">
            <v>27</v>
          </cell>
          <cell r="AM306" t="str">
            <v>EM01</v>
          </cell>
          <cell r="AN306">
            <v>0</v>
          </cell>
          <cell r="AO306">
            <v>0</v>
          </cell>
          <cell r="AZ306">
            <v>0</v>
          </cell>
          <cell r="BA306">
            <v>0</v>
          </cell>
          <cell r="BB306">
            <v>0</v>
          </cell>
          <cell r="BC306">
            <v>0</v>
          </cell>
          <cell r="BD306">
            <v>0</v>
          </cell>
          <cell r="BE306">
            <v>0</v>
          </cell>
          <cell r="BF306">
            <v>0</v>
          </cell>
          <cell r="BG306">
            <v>0</v>
          </cell>
          <cell r="BH306">
            <v>0</v>
          </cell>
          <cell r="BI306">
            <v>0</v>
          </cell>
          <cell r="BJ306">
            <v>0</v>
          </cell>
          <cell r="BK306">
            <v>0</v>
          </cell>
          <cell r="BM306" t="str">
            <v>EM01</v>
          </cell>
          <cell r="BZ306">
            <v>0</v>
          </cell>
          <cell r="CA306">
            <v>0</v>
          </cell>
          <cell r="CB306">
            <v>0</v>
          </cell>
          <cell r="CC306">
            <v>0</v>
          </cell>
          <cell r="CD306">
            <v>0</v>
          </cell>
          <cell r="CE306">
            <v>0</v>
          </cell>
          <cell r="CF306">
            <v>0</v>
          </cell>
          <cell r="CG306">
            <v>0</v>
          </cell>
          <cell r="CH306">
            <v>0</v>
          </cell>
          <cell r="CI306">
            <v>0</v>
          </cell>
          <cell r="CJ306">
            <v>0</v>
          </cell>
          <cell r="CK306">
            <v>0</v>
          </cell>
        </row>
        <row r="307">
          <cell r="N307" t="str">
            <v>EM02</v>
          </cell>
          <cell r="O307">
            <v>0.79999999999999993</v>
          </cell>
          <cell r="P307">
            <v>0.79999999999999993</v>
          </cell>
          <cell r="Q307">
            <v>0.79999999999999993</v>
          </cell>
          <cell r="R307">
            <v>0.79999999999999993</v>
          </cell>
          <cell r="S307">
            <v>0.79999999999999993</v>
          </cell>
          <cell r="T307">
            <v>0.79999999999999993</v>
          </cell>
          <cell r="U307">
            <v>0.79999999999999993</v>
          </cell>
          <cell r="V307">
            <v>0.79999999999999993</v>
          </cell>
          <cell r="W307">
            <v>0.79999999999999993</v>
          </cell>
          <cell r="X307">
            <v>0.79999999999999993</v>
          </cell>
          <cell r="Y307">
            <v>0.79999999999999993</v>
          </cell>
          <cell r="Z307">
            <v>0.79999999999999993</v>
          </cell>
          <cell r="AA307">
            <v>0.79999999999999993</v>
          </cell>
          <cell r="AB307">
            <v>1.5999999999999999</v>
          </cell>
          <cell r="AC307">
            <v>2.4</v>
          </cell>
          <cell r="AD307">
            <v>3.1999999999999997</v>
          </cell>
          <cell r="AE307">
            <v>3.9999999999999996</v>
          </cell>
          <cell r="AF307">
            <v>4.8</v>
          </cell>
          <cell r="AG307">
            <v>5.6</v>
          </cell>
          <cell r="AH307">
            <v>6.3999999999999995</v>
          </cell>
          <cell r="AI307">
            <v>7.1999999999999993</v>
          </cell>
          <cell r="AJ307">
            <v>7.9999999999999991</v>
          </cell>
          <cell r="AK307">
            <v>8.7999999999999989</v>
          </cell>
          <cell r="AL307">
            <v>9.6</v>
          </cell>
          <cell r="AM307" t="str">
            <v>EM02</v>
          </cell>
          <cell r="AN307">
            <v>0.79999999999999993</v>
          </cell>
          <cell r="AO307">
            <v>0.8</v>
          </cell>
          <cell r="AP307">
            <v>0.2</v>
          </cell>
          <cell r="AQ307">
            <v>0.8</v>
          </cell>
          <cell r="AR307">
            <v>0.8</v>
          </cell>
          <cell r="AZ307">
            <v>0.79999999999999993</v>
          </cell>
          <cell r="BA307">
            <v>1.6</v>
          </cell>
          <cell r="BB307">
            <v>1.8</v>
          </cell>
          <cell r="BC307">
            <v>2.6</v>
          </cell>
          <cell r="BD307">
            <v>3.4000000000000004</v>
          </cell>
          <cell r="BE307">
            <v>3.4000000000000004</v>
          </cell>
          <cell r="BF307">
            <v>3.4000000000000004</v>
          </cell>
          <cell r="BG307">
            <v>3.4000000000000004</v>
          </cell>
          <cell r="BH307">
            <v>3.4000000000000004</v>
          </cell>
          <cell r="BI307">
            <v>3.4000000000000004</v>
          </cell>
          <cell r="BJ307">
            <v>3.4000000000000004</v>
          </cell>
          <cell r="BK307">
            <v>3.4000000000000004</v>
          </cell>
          <cell r="BM307" t="str">
            <v>EM02</v>
          </cell>
          <cell r="BZ307">
            <v>0</v>
          </cell>
          <cell r="CA307">
            <v>0</v>
          </cell>
          <cell r="CB307">
            <v>0</v>
          </cell>
          <cell r="CC307">
            <v>0</v>
          </cell>
          <cell r="CD307">
            <v>0</v>
          </cell>
          <cell r="CE307">
            <v>0</v>
          </cell>
          <cell r="CF307">
            <v>0</v>
          </cell>
          <cell r="CG307">
            <v>0</v>
          </cell>
          <cell r="CH307">
            <v>0</v>
          </cell>
          <cell r="CI307">
            <v>0</v>
          </cell>
          <cell r="CJ307">
            <v>0</v>
          </cell>
          <cell r="CK307">
            <v>0</v>
          </cell>
        </row>
        <row r="308">
          <cell r="N308" t="str">
            <v>EM03</v>
          </cell>
          <cell r="O308">
            <v>4.2862457762879318</v>
          </cell>
          <cell r="P308">
            <v>3.8099962455892711</v>
          </cell>
          <cell r="Q308">
            <v>4.2862457762879318</v>
          </cell>
          <cell r="R308">
            <v>6.6674934297812261</v>
          </cell>
          <cell r="S308">
            <v>14.287485920959776</v>
          </cell>
          <cell r="T308">
            <v>8.5724915525758636</v>
          </cell>
          <cell r="U308">
            <v>9.5249906139731824</v>
          </cell>
          <cell r="V308">
            <v>9.5249906139731824</v>
          </cell>
          <cell r="W308">
            <v>28.574971841919552</v>
          </cell>
          <cell r="X308">
            <v>12.096738079745938</v>
          </cell>
          <cell r="Y308">
            <v>14.287485920959776</v>
          </cell>
          <cell r="Z308">
            <v>19.049981227946365</v>
          </cell>
          <cell r="AA308">
            <v>4.2862457762879318</v>
          </cell>
          <cell r="AB308">
            <v>8.0962420218772024</v>
          </cell>
          <cell r="AC308">
            <v>12.382487798165133</v>
          </cell>
          <cell r="AD308">
            <v>19.049981227946361</v>
          </cell>
          <cell r="AE308">
            <v>33.337467148906136</v>
          </cell>
          <cell r="AF308">
            <v>41.909958701481997</v>
          </cell>
          <cell r="AG308">
            <v>51.434949315455178</v>
          </cell>
          <cell r="AH308">
            <v>60.959939929428359</v>
          </cell>
          <cell r="AI308">
            <v>89.534911771347907</v>
          </cell>
          <cell r="AJ308">
            <v>101.63164985109384</v>
          </cell>
          <cell r="AK308">
            <v>115.91913577205362</v>
          </cell>
          <cell r="AL308">
            <v>134.96911699999998</v>
          </cell>
          <cell r="AM308" t="str">
            <v>EM03</v>
          </cell>
          <cell r="AN308">
            <v>8.6245776287929843E-2</v>
          </cell>
          <cell r="AO308">
            <v>1</v>
          </cell>
          <cell r="AP308">
            <v>2.48</v>
          </cell>
          <cell r="AQ308">
            <v>3.41</v>
          </cell>
          <cell r="AR308">
            <v>7.08</v>
          </cell>
          <cell r="AZ308">
            <v>8.6245776287929843E-2</v>
          </cell>
          <cell r="BA308">
            <v>1.0862457762879298</v>
          </cell>
          <cell r="BB308">
            <v>3.5662457762879298</v>
          </cell>
          <cell r="BC308">
            <v>6.9762457762879304</v>
          </cell>
          <cell r="BD308">
            <v>14.05624577628793</v>
          </cell>
          <cell r="BE308">
            <v>14.05624577628793</v>
          </cell>
          <cell r="BF308">
            <v>14.05624577628793</v>
          </cell>
          <cell r="BG308">
            <v>14.05624577628793</v>
          </cell>
          <cell r="BH308">
            <v>14.05624577628793</v>
          </cell>
          <cell r="BI308">
            <v>14.05624577628793</v>
          </cell>
          <cell r="BJ308">
            <v>14.05624577628793</v>
          </cell>
          <cell r="BK308">
            <v>14.05624577628793</v>
          </cell>
          <cell r="BM308" t="str">
            <v>EM03</v>
          </cell>
          <cell r="BZ308">
            <v>0</v>
          </cell>
          <cell r="CA308">
            <v>0</v>
          </cell>
          <cell r="CB308">
            <v>0</v>
          </cell>
          <cell r="CC308">
            <v>0</v>
          </cell>
          <cell r="CD308">
            <v>0</v>
          </cell>
          <cell r="CE308">
            <v>0</v>
          </cell>
          <cell r="CF308">
            <v>0</v>
          </cell>
          <cell r="CG308">
            <v>0</v>
          </cell>
          <cell r="CH308">
            <v>0</v>
          </cell>
          <cell r="CI308">
            <v>0</v>
          </cell>
          <cell r="CJ308">
            <v>0</v>
          </cell>
          <cell r="CK308">
            <v>0</v>
          </cell>
        </row>
        <row r="309">
          <cell r="N309" t="str">
            <v>EM04</v>
          </cell>
          <cell r="O309">
            <v>0.86300250529287215</v>
          </cell>
          <cell r="P309">
            <v>0.76711333803810833</v>
          </cell>
          <cell r="Q309">
            <v>0.86300250529287215</v>
          </cell>
          <cell r="R309">
            <v>1.3424483415666897</v>
          </cell>
          <cell r="S309">
            <v>2.8766750176429081</v>
          </cell>
          <cell r="T309">
            <v>1.7260050105857443</v>
          </cell>
          <cell r="U309">
            <v>1.9177833450952715</v>
          </cell>
          <cell r="V309">
            <v>1.9177833450952715</v>
          </cell>
          <cell r="W309">
            <v>5.7533500352858162</v>
          </cell>
          <cell r="X309">
            <v>2.4355848482709943</v>
          </cell>
          <cell r="Y309">
            <v>2.8766750176429081</v>
          </cell>
          <cell r="Z309">
            <v>3.835566690190543</v>
          </cell>
          <cell r="AA309">
            <v>0.86300250529287215</v>
          </cell>
          <cell r="AB309">
            <v>1.6301158433309806</v>
          </cell>
          <cell r="AC309">
            <v>2.4931183486238528</v>
          </cell>
          <cell r="AD309">
            <v>3.8355666901905425</v>
          </cell>
          <cell r="AE309">
            <v>6.7122417078334511</v>
          </cell>
          <cell r="AF309">
            <v>8.4382467184191956</v>
          </cell>
          <cell r="AG309">
            <v>10.356030063514467</v>
          </cell>
          <cell r="AH309">
            <v>12.273813408609739</v>
          </cell>
          <cell r="AI309">
            <v>18.027163443895553</v>
          </cell>
          <cell r="AJ309">
            <v>20.462748292166548</v>
          </cell>
          <cell r="AK309">
            <v>23.339423309809455</v>
          </cell>
          <cell r="AL309">
            <v>27.174989999999998</v>
          </cell>
          <cell r="AM309" t="str">
            <v>EM04</v>
          </cell>
          <cell r="AN309">
            <v>0.86300250529287215</v>
          </cell>
          <cell r="AO309">
            <v>0</v>
          </cell>
          <cell r="AP309">
            <v>0.39</v>
          </cell>
          <cell r="AQ309">
            <v>0.34</v>
          </cell>
          <cell r="AR309">
            <v>1</v>
          </cell>
          <cell r="AZ309">
            <v>0.86300250529287215</v>
          </cell>
          <cell r="BA309">
            <v>0.86300250529287215</v>
          </cell>
          <cell r="BB309">
            <v>1.2530025052928722</v>
          </cell>
          <cell r="BC309">
            <v>1.5930025052928722</v>
          </cell>
          <cell r="BD309">
            <v>2.5930025052928722</v>
          </cell>
          <cell r="BE309">
            <v>2.5930025052928722</v>
          </cell>
          <cell r="BF309">
            <v>2.5930025052928722</v>
          </cell>
          <cell r="BG309">
            <v>2.5930025052928722</v>
          </cell>
          <cell r="BH309">
            <v>2.5930025052928722</v>
          </cell>
          <cell r="BI309">
            <v>2.5930025052928722</v>
          </cell>
          <cell r="BJ309">
            <v>2.5930025052928722</v>
          </cell>
          <cell r="BK309">
            <v>2.5930025052928722</v>
          </cell>
          <cell r="BM309" t="str">
            <v>EM04</v>
          </cell>
          <cell r="BZ309">
            <v>0</v>
          </cell>
          <cell r="CA309">
            <v>0</v>
          </cell>
          <cell r="CB309">
            <v>0</v>
          </cell>
          <cell r="CC309">
            <v>0</v>
          </cell>
          <cell r="CD309">
            <v>0</v>
          </cell>
          <cell r="CE309">
            <v>0</v>
          </cell>
          <cell r="CF309">
            <v>0</v>
          </cell>
          <cell r="CG309">
            <v>0</v>
          </cell>
          <cell r="CH309">
            <v>0</v>
          </cell>
          <cell r="CI309">
            <v>0</v>
          </cell>
          <cell r="CJ309">
            <v>0</v>
          </cell>
          <cell r="CK309">
            <v>0</v>
          </cell>
        </row>
        <row r="310">
          <cell r="N310" t="str">
            <v>EM05</v>
          </cell>
          <cell r="O310">
            <v>0.14383375088214537</v>
          </cell>
          <cell r="P310">
            <v>0.12785222300635141</v>
          </cell>
          <cell r="Q310">
            <v>0.14383375088214537</v>
          </cell>
          <cell r="R310">
            <v>0.22374139026111498</v>
          </cell>
          <cell r="S310">
            <v>0.47944583627381804</v>
          </cell>
          <cell r="T310">
            <v>0.28766750176429073</v>
          </cell>
          <cell r="U310">
            <v>0.3196305575158786</v>
          </cell>
          <cell r="V310">
            <v>0.3196305575158786</v>
          </cell>
          <cell r="W310">
            <v>0.95889167254763608</v>
          </cell>
          <cell r="X310">
            <v>0.40593080804516574</v>
          </cell>
          <cell r="Y310">
            <v>0.47944583627381804</v>
          </cell>
          <cell r="Z310">
            <v>0.6392611150317572</v>
          </cell>
          <cell r="AA310">
            <v>0.14383375088214537</v>
          </cell>
          <cell r="AB310">
            <v>0.2716859738884968</v>
          </cell>
          <cell r="AC310">
            <v>0.41551972477064214</v>
          </cell>
          <cell r="AD310">
            <v>0.63926111503175709</v>
          </cell>
          <cell r="AE310">
            <v>1.1187069513055752</v>
          </cell>
          <cell r="AF310">
            <v>1.4063744530698659</v>
          </cell>
          <cell r="AG310">
            <v>1.7260050105857445</v>
          </cell>
          <cell r="AH310">
            <v>2.0456355681016229</v>
          </cell>
          <cell r="AI310">
            <v>3.0045272406492591</v>
          </cell>
          <cell r="AJ310">
            <v>3.4104580486944247</v>
          </cell>
          <cell r="AK310">
            <v>3.8899038849682426</v>
          </cell>
          <cell r="AL310">
            <v>4.5291649999999999</v>
          </cell>
          <cell r="AM310" t="str">
            <v>EM05</v>
          </cell>
          <cell r="AN310">
            <v>0</v>
          </cell>
          <cell r="AO310">
            <v>0</v>
          </cell>
          <cell r="AR310">
            <v>0.02</v>
          </cell>
          <cell r="AZ310">
            <v>0</v>
          </cell>
          <cell r="BA310">
            <v>0</v>
          </cell>
          <cell r="BB310">
            <v>0</v>
          </cell>
          <cell r="BC310">
            <v>0</v>
          </cell>
          <cell r="BD310">
            <v>0.02</v>
          </cell>
          <cell r="BE310">
            <v>0.02</v>
          </cell>
          <cell r="BF310">
            <v>0.02</v>
          </cell>
          <cell r="BG310">
            <v>0.02</v>
          </cell>
          <cell r="BH310">
            <v>0.02</v>
          </cell>
          <cell r="BI310">
            <v>0.02</v>
          </cell>
          <cell r="BJ310">
            <v>0.02</v>
          </cell>
          <cell r="BK310">
            <v>0.02</v>
          </cell>
          <cell r="BM310" t="str">
            <v>EM05</v>
          </cell>
          <cell r="BZ310">
            <v>0</v>
          </cell>
          <cell r="CA310">
            <v>0</v>
          </cell>
          <cell r="CB310">
            <v>0</v>
          </cell>
          <cell r="CC310">
            <v>0</v>
          </cell>
          <cell r="CD310">
            <v>0</v>
          </cell>
          <cell r="CE310">
            <v>0</v>
          </cell>
          <cell r="CF310">
            <v>0</v>
          </cell>
          <cell r="CG310">
            <v>0</v>
          </cell>
          <cell r="CH310">
            <v>0</v>
          </cell>
          <cell r="CI310">
            <v>0</v>
          </cell>
          <cell r="CJ310">
            <v>0</v>
          </cell>
          <cell r="CK310">
            <v>0</v>
          </cell>
        </row>
        <row r="311">
          <cell r="N311" t="str">
            <v>EM06</v>
          </cell>
          <cell r="O311">
            <v>0.41666666666666669</v>
          </cell>
          <cell r="P311">
            <v>0.41666666666666669</v>
          </cell>
          <cell r="Q311">
            <v>0.41666666666666669</v>
          </cell>
          <cell r="R311">
            <v>0.41666666666666669</v>
          </cell>
          <cell r="S311">
            <v>0.41666666666666669</v>
          </cell>
          <cell r="T311">
            <v>0.41666666666666669</v>
          </cell>
          <cell r="U311">
            <v>0.41666666666666669</v>
          </cell>
          <cell r="V311">
            <v>0.41666666666666669</v>
          </cell>
          <cell r="W311">
            <v>0.41666666666666669</v>
          </cell>
          <cell r="X311">
            <v>0.41666666666666669</v>
          </cell>
          <cell r="Y311">
            <v>0.41666666666666669</v>
          </cell>
          <cell r="Z311">
            <v>0.41666666666666669</v>
          </cell>
          <cell r="AA311">
            <v>0.41666666666666669</v>
          </cell>
          <cell r="AB311">
            <v>0.83333333333333337</v>
          </cell>
          <cell r="AC311">
            <v>1.25</v>
          </cell>
          <cell r="AD311">
            <v>1.6666666666666667</v>
          </cell>
          <cell r="AE311">
            <v>2.0833333333333335</v>
          </cell>
          <cell r="AF311">
            <v>2.5</v>
          </cell>
          <cell r="AG311">
            <v>2.9166666666666665</v>
          </cell>
          <cell r="AH311">
            <v>3.333333333333333</v>
          </cell>
          <cell r="AI311">
            <v>3.7499999999999996</v>
          </cell>
          <cell r="AJ311">
            <v>4.1666666666666661</v>
          </cell>
          <cell r="AK311">
            <v>4.583333333333333</v>
          </cell>
          <cell r="AL311">
            <v>5</v>
          </cell>
          <cell r="AM311" t="str">
            <v>EM06</v>
          </cell>
          <cell r="AN311">
            <v>0</v>
          </cell>
          <cell r="AO311">
            <v>0</v>
          </cell>
          <cell r="AP311">
            <v>7.0000000000000007E-2</v>
          </cell>
          <cell r="AQ311">
            <v>0.03</v>
          </cell>
          <cell r="AR311">
            <v>0.42</v>
          </cell>
          <cell r="AZ311">
            <v>0</v>
          </cell>
          <cell r="BA311">
            <v>0</v>
          </cell>
          <cell r="BB311">
            <v>7.0000000000000007E-2</v>
          </cell>
          <cell r="BC311">
            <v>0.1</v>
          </cell>
          <cell r="BD311">
            <v>0.52</v>
          </cell>
          <cell r="BE311">
            <v>0.52</v>
          </cell>
          <cell r="BF311">
            <v>0.52</v>
          </cell>
          <cell r="BG311">
            <v>0.52</v>
          </cell>
          <cell r="BH311">
            <v>0.52</v>
          </cell>
          <cell r="BI311">
            <v>0.52</v>
          </cell>
          <cell r="BJ311">
            <v>0.52</v>
          </cell>
          <cell r="BK311">
            <v>0.52</v>
          </cell>
          <cell r="BM311" t="str">
            <v>EM06</v>
          </cell>
          <cell r="BZ311">
            <v>0</v>
          </cell>
          <cell r="CA311">
            <v>0</v>
          </cell>
          <cell r="CB311">
            <v>0</v>
          </cell>
          <cell r="CC311">
            <v>0</v>
          </cell>
          <cell r="CD311">
            <v>0</v>
          </cell>
          <cell r="CE311">
            <v>0</v>
          </cell>
          <cell r="CF311">
            <v>0</v>
          </cell>
          <cell r="CG311">
            <v>0</v>
          </cell>
          <cell r="CH311">
            <v>0</v>
          </cell>
          <cell r="CI311">
            <v>0</v>
          </cell>
          <cell r="CJ311">
            <v>0</v>
          </cell>
          <cell r="CK311">
            <v>0</v>
          </cell>
        </row>
        <row r="312">
          <cell r="N312" t="str">
            <v>EM07</v>
          </cell>
          <cell r="O312">
            <v>8.3333333333333329E-2</v>
          </cell>
          <cell r="P312">
            <v>8.3333333333333329E-2</v>
          </cell>
          <cell r="Q312">
            <v>8.3333333333333329E-2</v>
          </cell>
          <cell r="R312">
            <v>8.3333333333333329E-2</v>
          </cell>
          <cell r="S312">
            <v>8.3333333333333329E-2</v>
          </cell>
          <cell r="T312">
            <v>8.3333333333333329E-2</v>
          </cell>
          <cell r="U312">
            <v>8.3333333333333329E-2</v>
          </cell>
          <cell r="V312">
            <v>8.3333333333333329E-2</v>
          </cell>
          <cell r="W312">
            <v>8.3333333333333329E-2</v>
          </cell>
          <cell r="X312">
            <v>8.3333333333333329E-2</v>
          </cell>
          <cell r="Y312">
            <v>8.3333333333333329E-2</v>
          </cell>
          <cell r="Z312">
            <v>8.3333333333333329E-2</v>
          </cell>
          <cell r="AA312">
            <v>8.3333333333333329E-2</v>
          </cell>
          <cell r="AB312">
            <v>0.16666666666666666</v>
          </cell>
          <cell r="AC312">
            <v>0.25</v>
          </cell>
          <cell r="AD312">
            <v>0.33333333333333331</v>
          </cell>
          <cell r="AE312">
            <v>0.41666666666666663</v>
          </cell>
          <cell r="AF312">
            <v>0.49999999999999994</v>
          </cell>
          <cell r="AG312">
            <v>0.58333333333333326</v>
          </cell>
          <cell r="AH312">
            <v>0.66666666666666663</v>
          </cell>
          <cell r="AI312">
            <v>0.75</v>
          </cell>
          <cell r="AJ312">
            <v>0.83333333333333337</v>
          </cell>
          <cell r="AK312">
            <v>0.91666666666666674</v>
          </cell>
          <cell r="AL312">
            <v>1</v>
          </cell>
          <cell r="AM312" t="str">
            <v>EM07</v>
          </cell>
          <cell r="AN312">
            <v>0</v>
          </cell>
          <cell r="AO312">
            <v>0.02</v>
          </cell>
          <cell r="AP312">
            <v>0.03</v>
          </cell>
          <cell r="AR312">
            <v>0.08</v>
          </cell>
          <cell r="AZ312">
            <v>0</v>
          </cell>
          <cell r="BA312">
            <v>0.02</v>
          </cell>
          <cell r="BB312">
            <v>0.05</v>
          </cell>
          <cell r="BC312">
            <v>0.05</v>
          </cell>
          <cell r="BD312">
            <v>0.13</v>
          </cell>
          <cell r="BE312">
            <v>0.13</v>
          </cell>
          <cell r="BF312">
            <v>0.13</v>
          </cell>
          <cell r="BG312">
            <v>0.13</v>
          </cell>
          <cell r="BH312">
            <v>0.13</v>
          </cell>
          <cell r="BI312">
            <v>0.13</v>
          </cell>
          <cell r="BJ312">
            <v>0.13</v>
          </cell>
          <cell r="BK312">
            <v>0.13</v>
          </cell>
          <cell r="BM312" t="str">
            <v>EM07</v>
          </cell>
          <cell r="BZ312">
            <v>0</v>
          </cell>
          <cell r="CA312">
            <v>0</v>
          </cell>
          <cell r="CB312">
            <v>0</v>
          </cell>
          <cell r="CC312">
            <v>0</v>
          </cell>
          <cell r="CD312">
            <v>0</v>
          </cell>
          <cell r="CE312">
            <v>0</v>
          </cell>
          <cell r="CF312">
            <v>0</v>
          </cell>
          <cell r="CG312">
            <v>0</v>
          </cell>
          <cell r="CH312">
            <v>0</v>
          </cell>
          <cell r="CI312">
            <v>0</v>
          </cell>
          <cell r="CJ312">
            <v>0</v>
          </cell>
          <cell r="CK312">
            <v>0</v>
          </cell>
        </row>
        <row r="313">
          <cell r="N313" t="str">
            <v>TTL</v>
          </cell>
          <cell r="O313">
            <v>8.8430820324629487</v>
          </cell>
          <cell r="P313">
            <v>8.2549618066337302</v>
          </cell>
          <cell r="Q313">
            <v>8.8430820324629487</v>
          </cell>
          <cell r="R313">
            <v>11.78368316160903</v>
          </cell>
          <cell r="S313">
            <v>21.1936067748765</v>
          </cell>
          <cell r="T313">
            <v>14.136164064925898</v>
          </cell>
          <cell r="U313">
            <v>15.312404516584332</v>
          </cell>
          <cell r="V313">
            <v>15.312404516584332</v>
          </cell>
          <cell r="W313">
            <v>38.837213549753002</v>
          </cell>
          <cell r="X313">
            <v>18.488253736062099</v>
          </cell>
          <cell r="Y313">
            <v>21.1936067748765</v>
          </cell>
          <cell r="Z313">
            <v>27.074809033168666</v>
          </cell>
          <cell r="AA313">
            <v>8.8430820324629487</v>
          </cell>
          <cell r="AB313">
            <v>17.098043839096679</v>
          </cell>
          <cell r="AC313">
            <v>25.941125871559631</v>
          </cell>
          <cell r="AD313">
            <v>37.724809033168661</v>
          </cell>
          <cell r="AE313">
            <v>58.918415808045161</v>
          </cell>
          <cell r="AF313">
            <v>73.054579872971061</v>
          </cell>
          <cell r="AG313">
            <v>88.366984389555398</v>
          </cell>
          <cell r="AH313">
            <v>103.67938890613971</v>
          </cell>
          <cell r="AI313">
            <v>142.51660245589272</v>
          </cell>
          <cell r="AJ313">
            <v>161.00485619195481</v>
          </cell>
          <cell r="AK313">
            <v>182.19846296683133</v>
          </cell>
          <cell r="AL313">
            <v>209.27327199999999</v>
          </cell>
          <cell r="AN313">
            <v>1.7492482815808019</v>
          </cell>
          <cell r="AO313">
            <v>1.82</v>
          </cell>
          <cell r="AP313">
            <v>3.17</v>
          </cell>
          <cell r="AQ313">
            <v>4.58</v>
          </cell>
          <cell r="AR313">
            <v>9.3999999999999986</v>
          </cell>
          <cell r="AS313">
            <v>0</v>
          </cell>
          <cell r="AT313">
            <v>0</v>
          </cell>
          <cell r="AU313">
            <v>0</v>
          </cell>
          <cell r="AV313">
            <v>0</v>
          </cell>
          <cell r="AW313">
            <v>0</v>
          </cell>
          <cell r="AX313">
            <v>0</v>
          </cell>
          <cell r="AY313">
            <v>0</v>
          </cell>
          <cell r="AZ313">
            <v>1.7492482815808019</v>
          </cell>
          <cell r="BA313">
            <v>3.5692482815808022</v>
          </cell>
          <cell r="BB313">
            <v>6.7392482815808021</v>
          </cell>
          <cell r="BC313">
            <v>11.319248281580803</v>
          </cell>
          <cell r="BD313">
            <v>20.7192482815808</v>
          </cell>
          <cell r="BE313">
            <v>20.7192482815808</v>
          </cell>
          <cell r="BF313">
            <v>20.7192482815808</v>
          </cell>
          <cell r="BG313">
            <v>20.7192482815808</v>
          </cell>
          <cell r="BH313">
            <v>20.7192482815808</v>
          </cell>
          <cell r="BI313">
            <v>20.7192482815808</v>
          </cell>
          <cell r="BJ313">
            <v>20.7192482815808</v>
          </cell>
          <cell r="BK313">
            <v>20.7192482815808</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row>
        <row r="6">
          <cell r="E6" t="str">
            <v>Budget</v>
          </cell>
          <cell r="F6" t="str">
            <v>Budget</v>
          </cell>
          <cell r="G6" t="str">
            <v>Budget</v>
          </cell>
          <cell r="H6" t="str">
            <v>Budget</v>
          </cell>
          <cell r="I6" t="str">
            <v>Budget</v>
          </cell>
          <cell r="J6" t="str">
            <v>Budget</v>
          </cell>
          <cell r="K6" t="str">
            <v>Budget</v>
          </cell>
          <cell r="L6" t="str">
            <v>Budget</v>
          </cell>
          <cell r="M6" t="str">
            <v>Budget</v>
          </cell>
          <cell r="N6" t="str">
            <v>Budget</v>
          </cell>
          <cell r="O6" t="str">
            <v>Budget</v>
          </cell>
          <cell r="P6" t="str">
            <v>Budget</v>
          </cell>
          <cell r="Q6" t="str">
            <v>Budget</v>
          </cell>
          <cell r="R6" t="str">
            <v>Budget</v>
          </cell>
          <cell r="S6" t="str">
            <v>Budget</v>
          </cell>
          <cell r="T6" t="str">
            <v>Budget</v>
          </cell>
          <cell r="U6" t="str">
            <v>Cumu Bud</v>
          </cell>
          <cell r="V6" t="str">
            <v>Cumu Bud</v>
          </cell>
          <cell r="W6" t="str">
            <v>Cumu Bud</v>
          </cell>
          <cell r="X6" t="str">
            <v>Cumu Bud</v>
          </cell>
          <cell r="Y6" t="str">
            <v>Cumu Bud</v>
          </cell>
          <cell r="Z6" t="str">
            <v>Cumu Bud</v>
          </cell>
          <cell r="AA6" t="str">
            <v>Cumu Bud</v>
          </cell>
          <cell r="AB6" t="str">
            <v>Cumu Bud</v>
          </cell>
          <cell r="AC6" t="str">
            <v>Cumu Bud</v>
          </cell>
          <cell r="AD6" t="str">
            <v>Cumu Bud</v>
          </cell>
          <cell r="AE6" t="str">
            <v>Cumu Bud</v>
          </cell>
          <cell r="AF6" t="str">
            <v>Cumu Bud</v>
          </cell>
        </row>
        <row r="7">
          <cell r="D7" t="str">
            <v>Particulars</v>
          </cell>
          <cell r="E7">
            <v>41651</v>
          </cell>
          <cell r="F7">
            <v>41682</v>
          </cell>
          <cell r="G7">
            <v>41710</v>
          </cell>
          <cell r="H7" t="str">
            <v>Q-1</v>
          </cell>
          <cell r="I7">
            <v>41741</v>
          </cell>
          <cell r="J7">
            <v>41771</v>
          </cell>
          <cell r="K7">
            <v>41802</v>
          </cell>
          <cell r="L7" t="str">
            <v>Q-2</v>
          </cell>
          <cell r="M7">
            <v>41832</v>
          </cell>
          <cell r="N7">
            <v>41863</v>
          </cell>
          <cell r="O7">
            <v>41894</v>
          </cell>
          <cell r="P7" t="str">
            <v>Q-3</v>
          </cell>
          <cell r="Q7">
            <v>41924</v>
          </cell>
          <cell r="R7">
            <v>41955</v>
          </cell>
          <cell r="S7">
            <v>41985</v>
          </cell>
          <cell r="T7" t="str">
            <v>Q-4</v>
          </cell>
          <cell r="U7">
            <v>41651</v>
          </cell>
          <cell r="V7">
            <v>41682</v>
          </cell>
          <cell r="W7">
            <v>41710</v>
          </cell>
          <cell r="X7">
            <v>41741</v>
          </cell>
          <cell r="Y7">
            <v>41771</v>
          </cell>
          <cell r="Z7">
            <v>41802</v>
          </cell>
          <cell r="AA7">
            <v>41832</v>
          </cell>
          <cell r="AB7">
            <v>41863</v>
          </cell>
          <cell r="AC7">
            <v>41894</v>
          </cell>
          <cell r="AD7">
            <v>41924</v>
          </cell>
          <cell r="AE7">
            <v>41955</v>
          </cell>
          <cell r="AF7">
            <v>41985</v>
          </cell>
        </row>
        <row r="9">
          <cell r="D9" t="str">
            <v>Sales</v>
          </cell>
          <cell r="E9">
            <v>1948.6082754197653</v>
          </cell>
          <cell r="F9">
            <v>2110.1810583275137</v>
          </cell>
          <cell r="G9">
            <v>1927.3985728649122</v>
          </cell>
          <cell r="H9">
            <v>5986.187906612191</v>
          </cell>
          <cell r="I9">
            <v>2310.6505029252098</v>
          </cell>
          <cell r="J9">
            <v>2320.7068897575164</v>
          </cell>
          <cell r="K9">
            <v>2315.8848269415921</v>
          </cell>
          <cell r="L9">
            <v>6947.2422196243187</v>
          </cell>
          <cell r="M9">
            <v>2056.5626409876186</v>
          </cell>
          <cell r="N9">
            <v>2162.923123713214</v>
          </cell>
          <cell r="O9">
            <v>2219.3170100860357</v>
          </cell>
          <cell r="P9">
            <v>6438.8027747868673</v>
          </cell>
          <cell r="Q9">
            <v>1965.158884007134</v>
          </cell>
          <cell r="R9">
            <v>2109.0855758434127</v>
          </cell>
          <cell r="S9">
            <v>2159.0412186626149</v>
          </cell>
          <cell r="T9">
            <v>6233.2856785131617</v>
          </cell>
          <cell r="U9">
            <v>1948.6082754197653</v>
          </cell>
          <cell r="V9">
            <v>4058.7893337472788</v>
          </cell>
          <cell r="W9">
            <v>5986.187906612191</v>
          </cell>
          <cell r="X9">
            <v>8296.8384095374004</v>
          </cell>
          <cell r="Y9">
            <v>10617.545299294918</v>
          </cell>
          <cell r="Z9">
            <v>12933.43012623651</v>
          </cell>
          <cell r="AA9">
            <v>14989.992767224128</v>
          </cell>
          <cell r="AB9">
            <v>17152.915890937344</v>
          </cell>
          <cell r="AC9">
            <v>19372.232901023381</v>
          </cell>
          <cell r="AD9">
            <v>21337.391785030515</v>
          </cell>
          <cell r="AE9">
            <v>23446.477360873927</v>
          </cell>
          <cell r="AF9">
            <v>25605.518579536543</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row>
        <row r="11">
          <cell r="D11" t="str">
            <v>Cost of Goods Sold</v>
          </cell>
          <cell r="E11">
            <v>642.68434266447059</v>
          </cell>
          <cell r="F11">
            <v>689.90816384348227</v>
          </cell>
          <cell r="G11">
            <v>628.56657746447058</v>
          </cell>
          <cell r="H11">
            <v>1961.1590839724233</v>
          </cell>
          <cell r="I11">
            <v>754.77369754550136</v>
          </cell>
          <cell r="J11">
            <v>757.75101298287041</v>
          </cell>
          <cell r="K11">
            <v>742.66971793355287</v>
          </cell>
          <cell r="L11">
            <v>2255.1944284619249</v>
          </cell>
          <cell r="M11">
            <v>669.00426672941182</v>
          </cell>
          <cell r="N11">
            <v>705.95487396141175</v>
          </cell>
          <cell r="O11">
            <v>722.94466455788233</v>
          </cell>
          <cell r="P11">
            <v>2097.9038052487058</v>
          </cell>
          <cell r="Q11">
            <v>645.88972302459774</v>
          </cell>
          <cell r="R11">
            <v>685.66609758688571</v>
          </cell>
          <cell r="S11">
            <v>705.15694629681536</v>
          </cell>
          <cell r="T11">
            <v>2036.7127669082988</v>
          </cell>
          <cell r="U11">
            <v>642.68434266447059</v>
          </cell>
          <cell r="V11">
            <v>1332.5925065079527</v>
          </cell>
          <cell r="W11">
            <v>1961.1590839724233</v>
          </cell>
          <cell r="X11">
            <v>2715.9327815179249</v>
          </cell>
          <cell r="Y11">
            <v>3473.6837945007956</v>
          </cell>
          <cell r="Z11">
            <v>4216.3535124343489</v>
          </cell>
          <cell r="AA11">
            <v>4885.3577791637608</v>
          </cell>
          <cell r="AB11">
            <v>5591.3126531251728</v>
          </cell>
          <cell r="AC11">
            <v>6314.2573176830556</v>
          </cell>
          <cell r="AD11">
            <v>6960.1470407076531</v>
          </cell>
          <cell r="AE11">
            <v>7645.8131382945385</v>
          </cell>
          <cell r="AF11">
            <v>8350.970084591354</v>
          </cell>
        </row>
        <row r="12">
          <cell r="D12" t="str">
            <v>ED Savings</v>
          </cell>
          <cell r="E12">
            <v>81.842173986041487</v>
          </cell>
          <cell r="F12">
            <v>88.670011757206368</v>
          </cell>
          <cell r="G12">
            <v>80.805930553457173</v>
          </cell>
          <cell r="H12">
            <v>251.31811629670506</v>
          </cell>
          <cell r="I12">
            <v>96.616226803434145</v>
          </cell>
          <cell r="J12">
            <v>96.467188021848813</v>
          </cell>
          <cell r="K12">
            <v>95.71992808632838</v>
          </cell>
          <cell r="L12">
            <v>288.80334291161131</v>
          </cell>
          <cell r="M12">
            <v>83.833313855541135</v>
          </cell>
          <cell r="N12">
            <v>88.732762635714991</v>
          </cell>
          <cell r="O12">
            <v>92.194271848947992</v>
          </cell>
          <cell r="P12">
            <v>264.76034834020413</v>
          </cell>
          <cell r="Q12">
            <v>76.249217855078427</v>
          </cell>
          <cell r="R12">
            <v>82.732048783805908</v>
          </cell>
          <cell r="S12">
            <v>84.636763089695691</v>
          </cell>
          <cell r="T12">
            <v>243.61802972858004</v>
          </cell>
          <cell r="U12">
            <v>81.842173986041487</v>
          </cell>
          <cell r="V12">
            <v>170.51218574324787</v>
          </cell>
          <cell r="W12">
            <v>251.31811629670506</v>
          </cell>
          <cell r="X12">
            <v>347.93434310013919</v>
          </cell>
          <cell r="Y12">
            <v>444.401531121988</v>
          </cell>
          <cell r="Z12">
            <v>540.12145920831642</v>
          </cell>
          <cell r="AA12">
            <v>623.9547730638576</v>
          </cell>
          <cell r="AB12">
            <v>712.68753569957255</v>
          </cell>
          <cell r="AC12">
            <v>804.88180754852056</v>
          </cell>
          <cell r="AD12">
            <v>881.13102540359898</v>
          </cell>
          <cell r="AE12">
            <v>963.86307418740489</v>
          </cell>
          <cell r="AF12">
            <v>1048.4998372771006</v>
          </cell>
        </row>
        <row r="13">
          <cell r="D13" t="str">
            <v>PRISM II &amp; PSM Savings</v>
          </cell>
          <cell r="E13">
            <v>3.5</v>
          </cell>
          <cell r="F13">
            <v>3.5</v>
          </cell>
          <cell r="G13">
            <v>5.5</v>
          </cell>
          <cell r="H13">
            <v>12.5</v>
          </cell>
          <cell r="I13">
            <v>5</v>
          </cell>
          <cell r="J13">
            <v>5</v>
          </cell>
          <cell r="K13">
            <v>5</v>
          </cell>
          <cell r="L13">
            <v>15</v>
          </cell>
          <cell r="M13">
            <v>5</v>
          </cell>
          <cell r="N13">
            <v>5</v>
          </cell>
          <cell r="O13">
            <v>6.5</v>
          </cell>
          <cell r="P13">
            <v>16.5</v>
          </cell>
          <cell r="Q13">
            <v>10</v>
          </cell>
          <cell r="R13">
            <v>7</v>
          </cell>
          <cell r="S13">
            <v>8.5</v>
          </cell>
          <cell r="T13">
            <v>25.5</v>
          </cell>
          <cell r="U13">
            <v>3.5</v>
          </cell>
          <cell r="V13">
            <v>7</v>
          </cell>
          <cell r="W13">
            <v>12.5</v>
          </cell>
          <cell r="X13">
            <v>17.5</v>
          </cell>
          <cell r="Y13">
            <v>22.5</v>
          </cell>
          <cell r="Z13">
            <v>27.5</v>
          </cell>
          <cell r="AA13">
            <v>32.5</v>
          </cell>
          <cell r="AB13">
            <v>37.5</v>
          </cell>
          <cell r="AC13">
            <v>44</v>
          </cell>
          <cell r="AD13">
            <v>54</v>
          </cell>
          <cell r="AE13">
            <v>61</v>
          </cell>
          <cell r="AF13">
            <v>69.5</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D16" t="str">
            <v>Contribution</v>
          </cell>
          <cell r="E16">
            <v>1391.266106741336</v>
          </cell>
          <cell r="F16">
            <v>1512.4429062412378</v>
          </cell>
          <cell r="G16">
            <v>1385.1379259538987</v>
          </cell>
          <cell r="H16">
            <v>4288.8469389364727</v>
          </cell>
          <cell r="I16">
            <v>1657.4930321831425</v>
          </cell>
          <cell r="J16">
            <v>1664.4230647964948</v>
          </cell>
          <cell r="K16">
            <v>1673.9350370943675</v>
          </cell>
          <cell r="L16">
            <v>4995.8511340740051</v>
          </cell>
          <cell r="M16">
            <v>1476.3916881137477</v>
          </cell>
          <cell r="N16">
            <v>1550.7010123875173</v>
          </cell>
          <cell r="O16">
            <v>1595.0666173771012</v>
          </cell>
          <cell r="P16">
            <v>4622.159317878366</v>
          </cell>
          <cell r="Q16">
            <v>1405.5183788376148</v>
          </cell>
          <cell r="R16">
            <v>1513.1515270403329</v>
          </cell>
          <cell r="S16">
            <v>1547.0210354554952</v>
          </cell>
          <cell r="T16">
            <v>4465.6909413334424</v>
          </cell>
          <cell r="U16">
            <v>1391.266106741336</v>
          </cell>
          <cell r="V16">
            <v>2903.7090129825738</v>
          </cell>
          <cell r="W16">
            <v>4288.8469389364727</v>
          </cell>
          <cell r="X16">
            <v>5946.3399711196153</v>
          </cell>
          <cell r="Y16">
            <v>7610.7630359161103</v>
          </cell>
          <cell r="Z16">
            <v>9284.6980730104769</v>
          </cell>
          <cell r="AA16">
            <v>10761.089761124225</v>
          </cell>
          <cell r="AB16">
            <v>12311.790773511742</v>
          </cell>
          <cell r="AC16">
            <v>13906.857390888843</v>
          </cell>
          <cell r="AD16">
            <v>15312.375769726457</v>
          </cell>
          <cell r="AE16">
            <v>16825.527296766792</v>
          </cell>
          <cell r="AF16">
            <v>18372.548332222286</v>
          </cell>
        </row>
        <row r="17">
          <cell r="D17">
            <v>0</v>
          </cell>
          <cell r="E17">
            <v>0.71397936891222136</v>
          </cell>
          <cell r="F17">
            <v>0.71673608303543823</v>
          </cell>
          <cell r="G17">
            <v>0.7186567145242877</v>
          </cell>
          <cell r="H17">
            <v>0.71645711859447669</v>
          </cell>
          <cell r="I17">
            <v>0.71732744960123096</v>
          </cell>
          <cell r="J17">
            <v>0.71720520680248656</v>
          </cell>
          <cell r="K17">
            <v>0.72280582247477421</v>
          </cell>
          <cell r="L17">
            <v>0.71911284739171832</v>
          </cell>
          <cell r="M17">
            <v>0.71789288528782347</v>
          </cell>
          <cell r="N17">
            <v>0.71694689255776234</v>
          </cell>
          <cell r="O17">
            <v>0.71871959261703933</v>
          </cell>
          <cell r="P17">
            <v>0.7178600555957183</v>
          </cell>
          <cell r="Q17">
            <v>0.71521869823148221</v>
          </cell>
          <cell r="R17">
            <v>0.71744434857046102</v>
          </cell>
          <cell r="S17">
            <v>0.71653149651944748</v>
          </cell>
          <cell r="T17">
            <v>0.71642648382492435</v>
          </cell>
          <cell r="U17">
            <v>0.71397936891222136</v>
          </cell>
          <cell r="V17">
            <v>0.71541259578055594</v>
          </cell>
          <cell r="W17">
            <v>0.71645711859447669</v>
          </cell>
          <cell r="X17">
            <v>0.71669950378739034</v>
          </cell>
          <cell r="Y17">
            <v>0.71681003672492172</v>
          </cell>
          <cell r="Z17">
            <v>0.71788365363150763</v>
          </cell>
          <cell r="AA17">
            <v>0.71788492017511374</v>
          </cell>
          <cell r="AB17">
            <v>0.71776663815022934</v>
          </cell>
          <cell r="AC17">
            <v>0.71787581028690728</v>
          </cell>
          <cell r="AD17">
            <v>0.71763109212200082</v>
          </cell>
          <cell r="AE17">
            <v>0.71761429394268927</v>
          </cell>
          <cell r="AF17">
            <v>0.71752299314512957</v>
          </cell>
        </row>
        <row r="18">
          <cell r="D18" t="str">
            <v>Overheads</v>
          </cell>
        </row>
        <row r="19">
          <cell r="D19" t="str">
            <v>Advertisement Exp.</v>
          </cell>
          <cell r="E19">
            <v>452.5</v>
          </cell>
          <cell r="F19">
            <v>207</v>
          </cell>
          <cell r="G19">
            <v>82</v>
          </cell>
          <cell r="H19">
            <v>741.5</v>
          </cell>
          <cell r="I19">
            <v>507.5</v>
          </cell>
          <cell r="J19">
            <v>142</v>
          </cell>
          <cell r="K19">
            <v>72</v>
          </cell>
          <cell r="L19">
            <v>721.5</v>
          </cell>
          <cell r="M19">
            <v>196</v>
          </cell>
          <cell r="N19">
            <v>81</v>
          </cell>
          <cell r="O19">
            <v>82</v>
          </cell>
          <cell r="P19">
            <v>359</v>
          </cell>
          <cell r="Q19">
            <v>406</v>
          </cell>
          <cell r="R19">
            <v>260</v>
          </cell>
          <cell r="S19">
            <v>72</v>
          </cell>
          <cell r="T19">
            <v>738</v>
          </cell>
          <cell r="U19">
            <v>452.5</v>
          </cell>
          <cell r="V19">
            <v>659.5</v>
          </cell>
          <cell r="W19">
            <v>741.5</v>
          </cell>
          <cell r="X19">
            <v>1249</v>
          </cell>
          <cell r="Y19">
            <v>1391</v>
          </cell>
          <cell r="Z19">
            <v>1463</v>
          </cell>
          <cell r="AA19">
            <v>1659</v>
          </cell>
          <cell r="AB19">
            <v>1740</v>
          </cell>
          <cell r="AC19">
            <v>1822</v>
          </cell>
          <cell r="AD19">
            <v>2228</v>
          </cell>
          <cell r="AE19">
            <v>2488</v>
          </cell>
          <cell r="AF19">
            <v>2560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D21" t="str">
            <v>Total Overheads (a+b)</v>
          </cell>
          <cell r="E21">
            <v>452.5</v>
          </cell>
          <cell r="F21">
            <v>207</v>
          </cell>
          <cell r="G21">
            <v>82</v>
          </cell>
          <cell r="H21">
            <v>741.5</v>
          </cell>
          <cell r="I21">
            <v>507.5</v>
          </cell>
          <cell r="J21">
            <v>142</v>
          </cell>
          <cell r="K21">
            <v>72</v>
          </cell>
          <cell r="L21">
            <v>721.5</v>
          </cell>
          <cell r="M21">
            <v>196</v>
          </cell>
          <cell r="N21">
            <v>81</v>
          </cell>
          <cell r="O21">
            <v>82</v>
          </cell>
          <cell r="P21">
            <v>359</v>
          </cell>
          <cell r="Q21">
            <v>406</v>
          </cell>
          <cell r="R21">
            <v>260</v>
          </cell>
          <cell r="S21">
            <v>72</v>
          </cell>
          <cell r="T21">
            <v>738</v>
          </cell>
          <cell r="U21">
            <v>452.5</v>
          </cell>
          <cell r="V21">
            <v>659.5</v>
          </cell>
          <cell r="W21">
            <v>741.5</v>
          </cell>
          <cell r="X21">
            <v>1249</v>
          </cell>
          <cell r="Y21">
            <v>1391</v>
          </cell>
          <cell r="Z21">
            <v>1463</v>
          </cell>
          <cell r="AA21">
            <v>1659</v>
          </cell>
          <cell r="AB21">
            <v>1740</v>
          </cell>
          <cell r="AC21">
            <v>1822</v>
          </cell>
          <cell r="AD21">
            <v>2228</v>
          </cell>
          <cell r="AE21">
            <v>2488</v>
          </cell>
          <cell r="AF21">
            <v>2560</v>
          </cell>
        </row>
        <row r="22">
          <cell r="D22" t="str">
            <v>OPERATING PROFIT (LOSS)</v>
          </cell>
          <cell r="E22">
            <v>938.76610674133599</v>
          </cell>
          <cell r="F22">
            <v>1305.4429062412378</v>
          </cell>
          <cell r="G22">
            <v>1303.1379259538987</v>
          </cell>
          <cell r="H22">
            <v>3547.3469389364727</v>
          </cell>
          <cell r="I22">
            <v>1149.9930321831425</v>
          </cell>
          <cell r="J22">
            <v>1522.4230647964948</v>
          </cell>
          <cell r="K22">
            <v>1601.9350370943675</v>
          </cell>
          <cell r="L22">
            <v>4274.3511340740051</v>
          </cell>
          <cell r="M22">
            <v>1280.3916881137477</v>
          </cell>
          <cell r="N22">
            <v>1469.7010123875173</v>
          </cell>
          <cell r="O22">
            <v>1513.0666173771012</v>
          </cell>
          <cell r="P22">
            <v>4263.159317878366</v>
          </cell>
          <cell r="Q22">
            <v>999.51837883761482</v>
          </cell>
          <cell r="R22">
            <v>1253.1515270403329</v>
          </cell>
          <cell r="S22">
            <v>1475.0210354554952</v>
          </cell>
          <cell r="T22">
            <v>3727.6909413334424</v>
          </cell>
          <cell r="U22">
            <v>938.76610674133599</v>
          </cell>
          <cell r="V22">
            <v>2244.2090129825738</v>
          </cell>
          <cell r="W22">
            <v>3547.3469389364727</v>
          </cell>
          <cell r="X22">
            <v>4697.3399711196153</v>
          </cell>
          <cell r="Y22">
            <v>6219.7630359161103</v>
          </cell>
          <cell r="Z22">
            <v>7821.6980730104779</v>
          </cell>
          <cell r="AA22">
            <v>9102.0897611242253</v>
          </cell>
          <cell r="AB22">
            <v>10571.790773511742</v>
          </cell>
          <cell r="AC22">
            <v>12084.857390888843</v>
          </cell>
          <cell r="AD22">
            <v>13084.375769726457</v>
          </cell>
          <cell r="AE22">
            <v>14337.52729676679</v>
          </cell>
          <cell r="AF22">
            <v>15812.548332222284</v>
          </cell>
        </row>
        <row r="25">
          <cell r="D25">
            <v>4</v>
          </cell>
          <cell r="E25">
            <v>5</v>
          </cell>
          <cell r="F25">
            <v>6</v>
          </cell>
          <cell r="G25">
            <v>7</v>
          </cell>
          <cell r="H25">
            <v>8</v>
          </cell>
          <cell r="I25">
            <v>9</v>
          </cell>
          <cell r="J25">
            <v>10</v>
          </cell>
          <cell r="K25">
            <v>11</v>
          </cell>
          <cell r="L25">
            <v>12</v>
          </cell>
          <cell r="M25">
            <v>13</v>
          </cell>
          <cell r="N25">
            <v>14</v>
          </cell>
          <cell r="O25">
            <v>15</v>
          </cell>
          <cell r="P25">
            <v>16</v>
          </cell>
          <cell r="Q25">
            <v>17</v>
          </cell>
          <cell r="R25">
            <v>18</v>
          </cell>
          <cell r="S25">
            <v>19</v>
          </cell>
          <cell r="T25">
            <v>20</v>
          </cell>
          <cell r="U25">
            <v>21</v>
          </cell>
          <cell r="V25">
            <v>22</v>
          </cell>
          <cell r="W25">
            <v>23</v>
          </cell>
          <cell r="X25">
            <v>24</v>
          </cell>
          <cell r="Y25">
            <v>25</v>
          </cell>
          <cell r="Z25">
            <v>26</v>
          </cell>
          <cell r="AA25">
            <v>27</v>
          </cell>
          <cell r="AB25">
            <v>28</v>
          </cell>
          <cell r="AC25">
            <v>29</v>
          </cell>
          <cell r="AD25">
            <v>30</v>
          </cell>
          <cell r="AE25">
            <v>31</v>
          </cell>
          <cell r="AF25">
            <v>32</v>
          </cell>
        </row>
        <row r="26">
          <cell r="E26" t="str">
            <v>Budget</v>
          </cell>
          <cell r="F26" t="str">
            <v>Budget</v>
          </cell>
          <cell r="G26" t="str">
            <v>Budget</v>
          </cell>
          <cell r="H26" t="str">
            <v>Budget</v>
          </cell>
          <cell r="I26" t="str">
            <v>Budget</v>
          </cell>
          <cell r="J26" t="str">
            <v>Budget</v>
          </cell>
          <cell r="K26" t="str">
            <v>Budget</v>
          </cell>
          <cell r="L26" t="str">
            <v>Budget</v>
          </cell>
          <cell r="M26" t="str">
            <v>Budget</v>
          </cell>
          <cell r="N26" t="str">
            <v>Budget</v>
          </cell>
          <cell r="O26" t="str">
            <v>Budget</v>
          </cell>
          <cell r="P26" t="str">
            <v>Budget</v>
          </cell>
          <cell r="Q26" t="str">
            <v>Budget</v>
          </cell>
          <cell r="R26" t="str">
            <v>Budget</v>
          </cell>
          <cell r="S26" t="str">
            <v>Budget</v>
          </cell>
          <cell r="T26" t="str">
            <v>Budget</v>
          </cell>
          <cell r="U26" t="str">
            <v>Cumu Bud</v>
          </cell>
          <cell r="V26" t="str">
            <v>Cumu Bud</v>
          </cell>
          <cell r="W26" t="str">
            <v>Cumu Bud</v>
          </cell>
          <cell r="X26" t="str">
            <v>Cumu Bud</v>
          </cell>
          <cell r="Y26" t="str">
            <v>Cumu Bud</v>
          </cell>
          <cell r="Z26" t="str">
            <v>Cumu Bud</v>
          </cell>
          <cell r="AA26" t="str">
            <v>Cumu Bud</v>
          </cell>
          <cell r="AB26" t="str">
            <v>Cumu Bud</v>
          </cell>
          <cell r="AC26" t="str">
            <v>Cumu Bud</v>
          </cell>
          <cell r="AD26" t="str">
            <v>Cumu Bud</v>
          </cell>
          <cell r="AE26" t="str">
            <v>Cumu Bud</v>
          </cell>
          <cell r="AF26" t="str">
            <v>Cumu Bud</v>
          </cell>
        </row>
        <row r="27">
          <cell r="D27" t="str">
            <v>Particulars</v>
          </cell>
          <cell r="E27">
            <v>41651</v>
          </cell>
          <cell r="F27">
            <v>41682</v>
          </cell>
          <cell r="G27">
            <v>41710</v>
          </cell>
          <cell r="H27" t="str">
            <v>Q-1</v>
          </cell>
          <cell r="I27">
            <v>41741</v>
          </cell>
          <cell r="J27">
            <v>41771</v>
          </cell>
          <cell r="K27">
            <v>41802</v>
          </cell>
          <cell r="L27" t="str">
            <v>Q-2</v>
          </cell>
          <cell r="M27">
            <v>41832</v>
          </cell>
          <cell r="N27">
            <v>41863</v>
          </cell>
          <cell r="O27">
            <v>41894</v>
          </cell>
          <cell r="P27" t="str">
            <v>Q-3</v>
          </cell>
          <cell r="Q27">
            <v>41924</v>
          </cell>
          <cell r="R27">
            <v>41955</v>
          </cell>
          <cell r="S27">
            <v>41985</v>
          </cell>
          <cell r="T27" t="str">
            <v>Q-4</v>
          </cell>
          <cell r="U27">
            <v>41651</v>
          </cell>
          <cell r="V27">
            <v>41682</v>
          </cell>
          <cell r="W27">
            <v>41710</v>
          </cell>
          <cell r="X27">
            <v>41741</v>
          </cell>
          <cell r="Y27">
            <v>41771</v>
          </cell>
          <cell r="Z27">
            <v>41802</v>
          </cell>
          <cell r="AA27">
            <v>41832</v>
          </cell>
          <cell r="AB27">
            <v>41863</v>
          </cell>
          <cell r="AC27">
            <v>41894</v>
          </cell>
          <cell r="AD27">
            <v>41924</v>
          </cell>
          <cell r="AE27">
            <v>41955</v>
          </cell>
          <cell r="AF27">
            <v>41985</v>
          </cell>
        </row>
        <row r="29">
          <cell r="D29" t="str">
            <v>Sales</v>
          </cell>
          <cell r="E29">
            <v>0</v>
          </cell>
          <cell r="F29">
            <v>0</v>
          </cell>
          <cell r="G29">
            <v>0</v>
          </cell>
          <cell r="H29">
            <v>0</v>
          </cell>
          <cell r="I29">
            <v>72</v>
          </cell>
          <cell r="J29">
            <v>36</v>
          </cell>
          <cell r="K29">
            <v>36</v>
          </cell>
          <cell r="L29">
            <v>144</v>
          </cell>
          <cell r="M29">
            <v>36</v>
          </cell>
          <cell r="N29">
            <v>36</v>
          </cell>
          <cell r="O29">
            <v>36</v>
          </cell>
          <cell r="P29">
            <v>108</v>
          </cell>
          <cell r="Q29">
            <v>36</v>
          </cell>
          <cell r="R29">
            <v>36</v>
          </cell>
          <cell r="S29">
            <v>36</v>
          </cell>
          <cell r="T29">
            <v>108</v>
          </cell>
          <cell r="U29">
            <v>0</v>
          </cell>
          <cell r="V29">
            <v>0</v>
          </cell>
          <cell r="W29">
            <v>0</v>
          </cell>
          <cell r="X29">
            <v>72</v>
          </cell>
          <cell r="Y29">
            <v>108</v>
          </cell>
          <cell r="Z29">
            <v>144</v>
          </cell>
          <cell r="AA29">
            <v>180</v>
          </cell>
          <cell r="AB29">
            <v>216</v>
          </cell>
          <cell r="AC29">
            <v>252</v>
          </cell>
          <cell r="AD29">
            <v>288</v>
          </cell>
          <cell r="AE29">
            <v>324</v>
          </cell>
          <cell r="AF29">
            <v>360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D31" t="str">
            <v>Cost of Goods Sold</v>
          </cell>
          <cell r="E31">
            <v>0</v>
          </cell>
          <cell r="F31">
            <v>0</v>
          </cell>
          <cell r="G31">
            <v>0</v>
          </cell>
          <cell r="H31">
            <v>0</v>
          </cell>
          <cell r="I31">
            <v>43.2</v>
          </cell>
          <cell r="J31">
            <v>21.6</v>
          </cell>
          <cell r="K31">
            <v>21.6</v>
          </cell>
          <cell r="L31">
            <v>86.4</v>
          </cell>
          <cell r="M31">
            <v>21.6</v>
          </cell>
          <cell r="N31">
            <v>21.6</v>
          </cell>
          <cell r="O31">
            <v>21.6</v>
          </cell>
          <cell r="P31">
            <v>64.800000000000011</v>
          </cell>
          <cell r="Q31">
            <v>21.6</v>
          </cell>
          <cell r="R31">
            <v>21.6</v>
          </cell>
          <cell r="S31">
            <v>21.6</v>
          </cell>
          <cell r="T31">
            <v>64.800000000000011</v>
          </cell>
          <cell r="U31">
            <v>0</v>
          </cell>
          <cell r="V31">
            <v>0</v>
          </cell>
          <cell r="W31">
            <v>0</v>
          </cell>
          <cell r="X31">
            <v>43.2</v>
          </cell>
          <cell r="Y31">
            <v>64.800000000000011</v>
          </cell>
          <cell r="Z31">
            <v>86.4</v>
          </cell>
          <cell r="AA31">
            <v>108</v>
          </cell>
          <cell r="AB31">
            <v>129.6</v>
          </cell>
          <cell r="AC31">
            <v>151.19999999999999</v>
          </cell>
          <cell r="AD31">
            <v>172.79999999999998</v>
          </cell>
          <cell r="AE31">
            <v>194.39999999999998</v>
          </cell>
          <cell r="AF31">
            <v>215.99999999999997</v>
          </cell>
        </row>
        <row r="32">
          <cell r="D32" t="str">
            <v>ED Savings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D33" t="str">
            <v>PRISM II &amp; PSM Savings</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D36" t="str">
            <v>Contribution</v>
          </cell>
          <cell r="E36">
            <v>0</v>
          </cell>
          <cell r="F36">
            <v>0</v>
          </cell>
          <cell r="G36">
            <v>0</v>
          </cell>
          <cell r="H36">
            <v>0</v>
          </cell>
          <cell r="I36">
            <v>28.799999999999997</v>
          </cell>
          <cell r="J36">
            <v>14.399999999999999</v>
          </cell>
          <cell r="K36">
            <v>14.399999999999999</v>
          </cell>
          <cell r="L36">
            <v>57.599999999999994</v>
          </cell>
          <cell r="M36">
            <v>14.399999999999999</v>
          </cell>
          <cell r="N36">
            <v>14.399999999999999</v>
          </cell>
          <cell r="O36">
            <v>14.399999999999999</v>
          </cell>
          <cell r="P36">
            <v>43.199999999999989</v>
          </cell>
          <cell r="Q36">
            <v>14.399999999999999</v>
          </cell>
          <cell r="R36">
            <v>14.399999999999999</v>
          </cell>
          <cell r="S36">
            <v>14.399999999999999</v>
          </cell>
          <cell r="T36">
            <v>43.199999999999989</v>
          </cell>
          <cell r="U36">
            <v>0</v>
          </cell>
          <cell r="V36">
            <v>0</v>
          </cell>
          <cell r="W36">
            <v>0</v>
          </cell>
          <cell r="X36">
            <v>28.799999999999997</v>
          </cell>
          <cell r="Y36">
            <v>43.199999999999996</v>
          </cell>
          <cell r="Z36">
            <v>57.599999999999994</v>
          </cell>
          <cell r="AA36">
            <v>72</v>
          </cell>
          <cell r="AB36">
            <v>86.4</v>
          </cell>
          <cell r="AC36">
            <v>100.80000000000001</v>
          </cell>
          <cell r="AD36">
            <v>115.20000000000002</v>
          </cell>
          <cell r="AE36">
            <v>129.60000000000002</v>
          </cell>
          <cell r="AF36">
            <v>144.00000000000003</v>
          </cell>
        </row>
        <row r="37">
          <cell r="D37">
            <v>0</v>
          </cell>
          <cell r="E37" t="e">
            <v>#DIV/0!</v>
          </cell>
          <cell r="F37" t="e">
            <v>#DIV/0!</v>
          </cell>
          <cell r="G37" t="e">
            <v>#DIV/0!</v>
          </cell>
          <cell r="H37" t="e">
            <v>#DIV/0!</v>
          </cell>
          <cell r="I37">
            <v>0.39999999999999997</v>
          </cell>
          <cell r="J37">
            <v>0.39999999999999997</v>
          </cell>
          <cell r="K37">
            <v>0.39999999999999997</v>
          </cell>
          <cell r="L37">
            <v>0.39999999999999997</v>
          </cell>
          <cell r="M37">
            <v>0.39999999999999997</v>
          </cell>
          <cell r="N37">
            <v>0.39999999999999997</v>
          </cell>
          <cell r="O37">
            <v>0.39999999999999997</v>
          </cell>
          <cell r="P37">
            <v>0.39999999999999991</v>
          </cell>
          <cell r="Q37">
            <v>0.39999999999999997</v>
          </cell>
          <cell r="R37">
            <v>0.39999999999999997</v>
          </cell>
          <cell r="S37">
            <v>0.39999999999999997</v>
          </cell>
          <cell r="T37">
            <v>0.39999999999999991</v>
          </cell>
          <cell r="U37" t="e">
            <v>#DIV/0!</v>
          </cell>
          <cell r="V37" t="e">
            <v>#DIV/0!</v>
          </cell>
          <cell r="W37" t="e">
            <v>#DIV/0!</v>
          </cell>
          <cell r="X37">
            <v>0.39999999999999997</v>
          </cell>
          <cell r="Y37">
            <v>0.39999999999999997</v>
          </cell>
          <cell r="Z37">
            <v>0.39999999999999997</v>
          </cell>
          <cell r="AA37">
            <v>0.4</v>
          </cell>
          <cell r="AB37">
            <v>0.4</v>
          </cell>
          <cell r="AC37">
            <v>0.4</v>
          </cell>
          <cell r="AD37">
            <v>0.40000000000000008</v>
          </cell>
          <cell r="AE37">
            <v>0.40000000000000008</v>
          </cell>
          <cell r="AF37">
            <v>0.40000000000000008</v>
          </cell>
        </row>
        <row r="38">
          <cell r="D38" t="str">
            <v>Overheads</v>
          </cell>
        </row>
        <row r="39">
          <cell r="D39" t="str">
            <v>Advertisement Exp.</v>
          </cell>
          <cell r="E39">
            <v>0</v>
          </cell>
          <cell r="F39">
            <v>0</v>
          </cell>
          <cell r="G39">
            <v>0</v>
          </cell>
          <cell r="H39">
            <v>0</v>
          </cell>
          <cell r="I39">
            <v>10</v>
          </cell>
          <cell r="J39">
            <v>5</v>
          </cell>
          <cell r="K39">
            <v>0</v>
          </cell>
          <cell r="L39">
            <v>15</v>
          </cell>
          <cell r="M39">
            <v>0</v>
          </cell>
          <cell r="N39">
            <v>25</v>
          </cell>
          <cell r="O39">
            <v>60</v>
          </cell>
          <cell r="P39">
            <v>85</v>
          </cell>
          <cell r="Q39">
            <v>45</v>
          </cell>
          <cell r="R39">
            <v>0</v>
          </cell>
          <cell r="S39">
            <v>0</v>
          </cell>
          <cell r="T39">
            <v>45</v>
          </cell>
          <cell r="U39">
            <v>0</v>
          </cell>
          <cell r="V39">
            <v>0</v>
          </cell>
          <cell r="W39">
            <v>0</v>
          </cell>
          <cell r="X39">
            <v>10</v>
          </cell>
          <cell r="Y39">
            <v>15</v>
          </cell>
          <cell r="Z39">
            <v>15</v>
          </cell>
          <cell r="AA39">
            <v>15</v>
          </cell>
          <cell r="AB39">
            <v>40</v>
          </cell>
          <cell r="AC39">
            <v>100</v>
          </cell>
          <cell r="AD39">
            <v>145</v>
          </cell>
          <cell r="AE39">
            <v>145</v>
          </cell>
          <cell r="AF39">
            <v>145</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D41" t="str">
            <v>Total Overheads (a+b)</v>
          </cell>
          <cell r="E41">
            <v>0</v>
          </cell>
          <cell r="F41">
            <v>0</v>
          </cell>
          <cell r="G41">
            <v>0</v>
          </cell>
          <cell r="H41">
            <v>0</v>
          </cell>
          <cell r="I41">
            <v>10</v>
          </cell>
          <cell r="J41">
            <v>5</v>
          </cell>
          <cell r="K41">
            <v>0</v>
          </cell>
          <cell r="L41">
            <v>15</v>
          </cell>
          <cell r="M41">
            <v>0</v>
          </cell>
          <cell r="N41">
            <v>25</v>
          </cell>
          <cell r="O41">
            <v>60</v>
          </cell>
          <cell r="P41">
            <v>85</v>
          </cell>
          <cell r="Q41">
            <v>45</v>
          </cell>
          <cell r="R41">
            <v>0</v>
          </cell>
          <cell r="S41">
            <v>0</v>
          </cell>
          <cell r="T41">
            <v>45</v>
          </cell>
          <cell r="U41">
            <v>0</v>
          </cell>
          <cell r="V41">
            <v>0</v>
          </cell>
          <cell r="W41">
            <v>0</v>
          </cell>
          <cell r="X41">
            <v>10</v>
          </cell>
          <cell r="Y41">
            <v>15</v>
          </cell>
          <cell r="Z41">
            <v>15</v>
          </cell>
          <cell r="AA41">
            <v>15</v>
          </cell>
          <cell r="AB41">
            <v>40</v>
          </cell>
          <cell r="AC41">
            <v>100</v>
          </cell>
          <cell r="AD41">
            <v>145</v>
          </cell>
          <cell r="AE41">
            <v>145</v>
          </cell>
          <cell r="AF41">
            <v>145</v>
          </cell>
        </row>
        <row r="42">
          <cell r="D42" t="str">
            <v>OPERATING PROFIT (LOSS)</v>
          </cell>
          <cell r="E42">
            <v>0</v>
          </cell>
          <cell r="F42">
            <v>0</v>
          </cell>
          <cell r="G42">
            <v>0</v>
          </cell>
          <cell r="H42">
            <v>0</v>
          </cell>
          <cell r="I42">
            <v>18.799999999999997</v>
          </cell>
          <cell r="J42">
            <v>9.3999999999999986</v>
          </cell>
          <cell r="K42">
            <v>14.399999999999999</v>
          </cell>
          <cell r="L42">
            <v>42.599999999999994</v>
          </cell>
          <cell r="M42">
            <v>14.399999999999999</v>
          </cell>
          <cell r="N42">
            <v>-10.600000000000001</v>
          </cell>
          <cell r="O42">
            <v>-45.6</v>
          </cell>
          <cell r="P42">
            <v>-41.800000000000011</v>
          </cell>
          <cell r="Q42">
            <v>-30.6</v>
          </cell>
          <cell r="R42">
            <v>14.399999999999999</v>
          </cell>
          <cell r="S42">
            <v>14.399999999999999</v>
          </cell>
          <cell r="T42">
            <v>-1.8000000000000114</v>
          </cell>
          <cell r="U42">
            <v>0</v>
          </cell>
          <cell r="V42">
            <v>0</v>
          </cell>
          <cell r="W42">
            <v>0</v>
          </cell>
          <cell r="X42">
            <v>18.799999999999997</v>
          </cell>
          <cell r="Y42">
            <v>28.199999999999996</v>
          </cell>
          <cell r="Z42">
            <v>42.599999999999994</v>
          </cell>
          <cell r="AA42">
            <v>56.999999999999993</v>
          </cell>
          <cell r="AB42">
            <v>46.399999999999991</v>
          </cell>
          <cell r="AC42">
            <v>0.79999999999999005</v>
          </cell>
          <cell r="AD42">
            <v>-29.800000000000011</v>
          </cell>
          <cell r="AE42">
            <v>-15.400000000000013</v>
          </cell>
          <cell r="AF42">
            <v>-1.0000000000000142</v>
          </cell>
        </row>
        <row r="45">
          <cell r="D45">
            <v>4</v>
          </cell>
          <cell r="E45">
            <v>5</v>
          </cell>
          <cell r="F45">
            <v>6</v>
          </cell>
          <cell r="G45">
            <v>7</v>
          </cell>
          <cell r="H45">
            <v>8</v>
          </cell>
          <cell r="I45">
            <v>9</v>
          </cell>
          <cell r="J45">
            <v>10</v>
          </cell>
          <cell r="K45">
            <v>11</v>
          </cell>
          <cell r="L45">
            <v>12</v>
          </cell>
          <cell r="M45">
            <v>13</v>
          </cell>
          <cell r="N45">
            <v>14</v>
          </cell>
          <cell r="O45">
            <v>15</v>
          </cell>
          <cell r="P45">
            <v>16</v>
          </cell>
          <cell r="Q45">
            <v>17</v>
          </cell>
          <cell r="R45">
            <v>18</v>
          </cell>
          <cell r="S45">
            <v>19</v>
          </cell>
          <cell r="T45">
            <v>20</v>
          </cell>
          <cell r="U45">
            <v>21</v>
          </cell>
          <cell r="V45">
            <v>22</v>
          </cell>
          <cell r="W45">
            <v>23</v>
          </cell>
          <cell r="X45">
            <v>24</v>
          </cell>
          <cell r="Y45">
            <v>25</v>
          </cell>
          <cell r="Z45">
            <v>26</v>
          </cell>
          <cell r="AA45">
            <v>27</v>
          </cell>
          <cell r="AB45">
            <v>28</v>
          </cell>
          <cell r="AC45">
            <v>29</v>
          </cell>
          <cell r="AD45">
            <v>30</v>
          </cell>
          <cell r="AE45">
            <v>31</v>
          </cell>
          <cell r="AF45">
            <v>32</v>
          </cell>
        </row>
        <row r="46">
          <cell r="E46" t="str">
            <v>Budget</v>
          </cell>
          <cell r="F46" t="str">
            <v>Budget</v>
          </cell>
          <cell r="G46" t="str">
            <v>Budget</v>
          </cell>
          <cell r="H46" t="str">
            <v>Budget</v>
          </cell>
          <cell r="I46" t="str">
            <v>Budget</v>
          </cell>
          <cell r="J46" t="str">
            <v>Budget</v>
          </cell>
          <cell r="K46" t="str">
            <v>Budget</v>
          </cell>
          <cell r="L46" t="str">
            <v>Budget</v>
          </cell>
          <cell r="M46" t="str">
            <v>Budget</v>
          </cell>
          <cell r="N46" t="str">
            <v>Budget</v>
          </cell>
          <cell r="O46" t="str">
            <v>Budget</v>
          </cell>
          <cell r="P46" t="str">
            <v>Budget</v>
          </cell>
          <cell r="Q46" t="str">
            <v>Budget</v>
          </cell>
          <cell r="R46" t="str">
            <v>Budget</v>
          </cell>
          <cell r="S46" t="str">
            <v>Budget</v>
          </cell>
          <cell r="T46" t="str">
            <v>Budget</v>
          </cell>
          <cell r="U46" t="str">
            <v>Cumu Bud</v>
          </cell>
          <cell r="V46" t="str">
            <v>Cumu Bud</v>
          </cell>
          <cell r="W46" t="str">
            <v>Cumu Bud</v>
          </cell>
          <cell r="X46" t="str">
            <v>Cumu Bud</v>
          </cell>
          <cell r="Y46" t="str">
            <v>Cumu Bud</v>
          </cell>
          <cell r="Z46" t="str">
            <v>Cumu Bud</v>
          </cell>
          <cell r="AA46" t="str">
            <v>Cumu Bud</v>
          </cell>
          <cell r="AB46" t="str">
            <v>Cumu Bud</v>
          </cell>
          <cell r="AC46" t="str">
            <v>Cumu Bud</v>
          </cell>
          <cell r="AD46" t="str">
            <v>Cumu Bud</v>
          </cell>
          <cell r="AE46" t="str">
            <v>Cumu Bud</v>
          </cell>
          <cell r="AF46" t="str">
            <v>Cumu Bud</v>
          </cell>
        </row>
        <row r="47">
          <cell r="D47" t="str">
            <v>Particulars</v>
          </cell>
          <cell r="E47">
            <v>41651</v>
          </cell>
          <cell r="F47">
            <v>41682</v>
          </cell>
          <cell r="G47">
            <v>41710</v>
          </cell>
          <cell r="H47" t="str">
            <v>Q-1</v>
          </cell>
          <cell r="I47">
            <v>41741</v>
          </cell>
          <cell r="J47">
            <v>41771</v>
          </cell>
          <cell r="K47">
            <v>41802</v>
          </cell>
          <cell r="L47" t="str">
            <v>Q-2</v>
          </cell>
          <cell r="M47">
            <v>41832</v>
          </cell>
          <cell r="N47">
            <v>41863</v>
          </cell>
          <cell r="O47">
            <v>41894</v>
          </cell>
          <cell r="P47" t="str">
            <v>Q-3</v>
          </cell>
          <cell r="Q47">
            <v>41924</v>
          </cell>
          <cell r="R47">
            <v>41955</v>
          </cell>
          <cell r="S47">
            <v>41985</v>
          </cell>
          <cell r="T47" t="str">
            <v>Q-4</v>
          </cell>
          <cell r="U47">
            <v>41651</v>
          </cell>
          <cell r="V47">
            <v>41682</v>
          </cell>
          <cell r="W47">
            <v>41710</v>
          </cell>
          <cell r="X47">
            <v>41741</v>
          </cell>
          <cell r="Y47">
            <v>41771</v>
          </cell>
          <cell r="Z47">
            <v>41802</v>
          </cell>
          <cell r="AA47">
            <v>41832</v>
          </cell>
          <cell r="AB47">
            <v>41863</v>
          </cell>
          <cell r="AC47">
            <v>41894</v>
          </cell>
          <cell r="AD47">
            <v>41924</v>
          </cell>
          <cell r="AE47">
            <v>41955</v>
          </cell>
          <cell r="AF47">
            <v>41985</v>
          </cell>
        </row>
        <row r="49">
          <cell r="D49" t="str">
            <v>Sales</v>
          </cell>
          <cell r="E49">
            <v>1.9080267462010352</v>
          </cell>
          <cell r="F49">
            <v>1.9080267462010352</v>
          </cell>
          <cell r="G49">
            <v>1.9080267462010352</v>
          </cell>
          <cell r="H49">
            <v>5.724080238603106</v>
          </cell>
          <cell r="I49">
            <v>1.9080267462010352</v>
          </cell>
          <cell r="J49">
            <v>1.9080267462010352</v>
          </cell>
          <cell r="K49">
            <v>0</v>
          </cell>
          <cell r="L49">
            <v>3.8160534924020704</v>
          </cell>
          <cell r="M49">
            <v>39.71080665530905</v>
          </cell>
          <cell r="N49">
            <v>99.09813913081625</v>
          </cell>
          <cell r="O49">
            <v>119.37092330920227</v>
          </cell>
          <cell r="P49">
            <v>258.17986909532755</v>
          </cell>
          <cell r="Q49">
            <v>33.032713043605419</v>
          </cell>
          <cell r="R49">
            <v>33.032713043605419</v>
          </cell>
          <cell r="S49">
            <v>33.032713043605419</v>
          </cell>
          <cell r="T49">
            <v>99.098139130816264</v>
          </cell>
          <cell r="U49">
            <v>1.9080267462010352</v>
          </cell>
          <cell r="V49">
            <v>3.8160534924020704</v>
          </cell>
          <cell r="W49">
            <v>5.724080238603106</v>
          </cell>
          <cell r="X49">
            <v>7.6321069848041407</v>
          </cell>
          <cell r="Y49">
            <v>9.5401337310051755</v>
          </cell>
          <cell r="Z49">
            <v>9.5401337310051755</v>
          </cell>
          <cell r="AA49">
            <v>49.250940386314227</v>
          </cell>
          <cell r="AB49">
            <v>148.34907951713046</v>
          </cell>
          <cell r="AC49">
            <v>267.72000282633275</v>
          </cell>
          <cell r="AD49">
            <v>300.75271586993819</v>
          </cell>
          <cell r="AE49">
            <v>333.78542891354363</v>
          </cell>
          <cell r="AF49">
            <v>366.81814195714907</v>
          </cell>
        </row>
        <row r="50">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D51" t="str">
            <v>Cost of Goods Sold</v>
          </cell>
          <cell r="E51">
            <v>1.52</v>
          </cell>
          <cell r="F51">
            <v>1.52</v>
          </cell>
          <cell r="G51">
            <v>1.52</v>
          </cell>
          <cell r="H51">
            <v>4.5600000000000005</v>
          </cell>
          <cell r="I51">
            <v>1.52</v>
          </cell>
          <cell r="J51">
            <v>1.52</v>
          </cell>
          <cell r="K51">
            <v>0</v>
          </cell>
          <cell r="L51">
            <v>3.04</v>
          </cell>
          <cell r="M51">
            <v>31.635000000000005</v>
          </cell>
          <cell r="N51">
            <v>78.944999999999993</v>
          </cell>
          <cell r="O51">
            <v>95.094999999999999</v>
          </cell>
          <cell r="P51">
            <v>205.67500000000001</v>
          </cell>
          <cell r="Q51">
            <v>26.315000000000001</v>
          </cell>
          <cell r="R51">
            <v>26.315000000000001</v>
          </cell>
          <cell r="S51">
            <v>26.315000000000001</v>
          </cell>
          <cell r="T51">
            <v>78.945000000000007</v>
          </cell>
          <cell r="U51">
            <v>1.52</v>
          </cell>
          <cell r="V51">
            <v>3.04</v>
          </cell>
          <cell r="W51">
            <v>4.5600000000000005</v>
          </cell>
          <cell r="X51">
            <v>6.08</v>
          </cell>
          <cell r="Y51">
            <v>7.6</v>
          </cell>
          <cell r="Z51">
            <v>7.6</v>
          </cell>
          <cell r="AA51">
            <v>39.235000000000007</v>
          </cell>
          <cell r="AB51">
            <v>118.18</v>
          </cell>
          <cell r="AC51">
            <v>213.27500000000001</v>
          </cell>
          <cell r="AD51">
            <v>239.59</v>
          </cell>
          <cell r="AE51">
            <v>265.90500000000003</v>
          </cell>
          <cell r="AF51">
            <v>292.22000000000003</v>
          </cell>
        </row>
        <row r="52">
          <cell r="D52" t="str">
            <v>ED Savings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D53" t="str">
            <v>PRISM II &amp; PSM Savings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row>
        <row r="56">
          <cell r="D56" t="str">
            <v>Contribution</v>
          </cell>
          <cell r="E56">
            <v>0.38802674620103517</v>
          </cell>
          <cell r="F56">
            <v>0.38802674620103517</v>
          </cell>
          <cell r="G56">
            <v>0.38802674620103517</v>
          </cell>
          <cell r="H56">
            <v>1.1640802386031055</v>
          </cell>
          <cell r="I56">
            <v>0.38802674620103517</v>
          </cell>
          <cell r="J56">
            <v>0.38802674620103517</v>
          </cell>
          <cell r="K56">
            <v>0</v>
          </cell>
          <cell r="L56">
            <v>0.77605349240207033</v>
          </cell>
          <cell r="M56">
            <v>8.0758066553090444</v>
          </cell>
          <cell r="N56">
            <v>20.153139130816257</v>
          </cell>
          <cell r="O56">
            <v>24.27592330920227</v>
          </cell>
          <cell r="P56">
            <v>52.504869095327535</v>
          </cell>
          <cell r="Q56">
            <v>6.7177130436054178</v>
          </cell>
          <cell r="R56">
            <v>6.7177130436054178</v>
          </cell>
          <cell r="S56">
            <v>6.7177130436054178</v>
          </cell>
          <cell r="T56">
            <v>20.153139130816257</v>
          </cell>
          <cell r="U56">
            <v>0.38802674620103517</v>
          </cell>
          <cell r="V56">
            <v>0.77605349240207033</v>
          </cell>
          <cell r="W56">
            <v>1.1640802386031055</v>
          </cell>
          <cell r="X56">
            <v>1.5521069848041407</v>
          </cell>
          <cell r="Y56">
            <v>1.9401337310051758</v>
          </cell>
          <cell r="Z56">
            <v>1.9401337310051758</v>
          </cell>
          <cell r="AA56">
            <v>10.01594038631422</v>
          </cell>
          <cell r="AB56">
            <v>30.169079517130477</v>
          </cell>
          <cell r="AC56">
            <v>54.445002826332747</v>
          </cell>
          <cell r="AD56">
            <v>61.162715869938168</v>
          </cell>
          <cell r="AE56">
            <v>67.880428913543582</v>
          </cell>
          <cell r="AF56">
            <v>74.598141957148997</v>
          </cell>
        </row>
        <row r="57">
          <cell r="D57">
            <v>0</v>
          </cell>
          <cell r="E57">
            <v>0.20336546485714282</v>
          </cell>
          <cell r="F57">
            <v>0.20336546485714282</v>
          </cell>
          <cell r="G57">
            <v>0.20336546485714282</v>
          </cell>
          <cell r="H57">
            <v>0.2033654648571428</v>
          </cell>
          <cell r="I57">
            <v>0.20336546485714282</v>
          </cell>
          <cell r="J57">
            <v>0.20336546485714282</v>
          </cell>
          <cell r="K57" t="e">
            <v>#DIV/0!</v>
          </cell>
          <cell r="L57">
            <v>0.20336546485714282</v>
          </cell>
          <cell r="M57">
            <v>0.2033654648571428</v>
          </cell>
          <cell r="N57">
            <v>0.20336546485714277</v>
          </cell>
          <cell r="O57">
            <v>0.20336546485714285</v>
          </cell>
          <cell r="P57">
            <v>0.20336546485714269</v>
          </cell>
          <cell r="Q57">
            <v>0.20336546485714271</v>
          </cell>
          <cell r="R57">
            <v>0.20336546485714271</v>
          </cell>
          <cell r="S57">
            <v>0.20336546485714271</v>
          </cell>
          <cell r="T57">
            <v>0.20336546485714274</v>
          </cell>
          <cell r="U57">
            <v>0.20336546485714282</v>
          </cell>
          <cell r="V57">
            <v>0.20336546485714282</v>
          </cell>
          <cell r="W57">
            <v>0.2033654648571428</v>
          </cell>
          <cell r="X57">
            <v>0.20336546485714282</v>
          </cell>
          <cell r="Y57">
            <v>0.20336546485714282</v>
          </cell>
          <cell r="Z57">
            <v>0.20336546485714282</v>
          </cell>
          <cell r="AA57">
            <v>0.2033654648571428</v>
          </cell>
          <cell r="AB57">
            <v>0.2033654648571428</v>
          </cell>
          <cell r="AC57">
            <v>0.20336546485714282</v>
          </cell>
          <cell r="AD57">
            <v>0.2033654648571428</v>
          </cell>
          <cell r="AE57">
            <v>0.20336546485714277</v>
          </cell>
          <cell r="AF57">
            <v>0.20336546485714274</v>
          </cell>
        </row>
        <row r="58">
          <cell r="D58" t="str">
            <v>Overheads</v>
          </cell>
        </row>
        <row r="59">
          <cell r="D59" t="str">
            <v>Advertisement Exp.</v>
          </cell>
          <cell r="E59">
            <v>10</v>
          </cell>
          <cell r="F59">
            <v>20</v>
          </cell>
          <cell r="G59">
            <v>30</v>
          </cell>
          <cell r="H59">
            <v>60</v>
          </cell>
          <cell r="I59">
            <v>30</v>
          </cell>
          <cell r="J59">
            <v>30</v>
          </cell>
          <cell r="K59">
            <v>15</v>
          </cell>
          <cell r="L59">
            <v>75</v>
          </cell>
          <cell r="M59">
            <v>0</v>
          </cell>
          <cell r="N59">
            <v>5</v>
          </cell>
          <cell r="O59">
            <v>5</v>
          </cell>
          <cell r="P59">
            <v>10</v>
          </cell>
          <cell r="Q59">
            <v>20</v>
          </cell>
          <cell r="R59">
            <v>15</v>
          </cell>
          <cell r="S59">
            <v>15</v>
          </cell>
          <cell r="T59">
            <v>50</v>
          </cell>
          <cell r="U59">
            <v>10</v>
          </cell>
          <cell r="V59">
            <v>30</v>
          </cell>
          <cell r="W59">
            <v>60</v>
          </cell>
          <cell r="X59">
            <v>90</v>
          </cell>
          <cell r="Y59">
            <v>120</v>
          </cell>
          <cell r="Z59">
            <v>135</v>
          </cell>
          <cell r="AA59">
            <v>135</v>
          </cell>
          <cell r="AB59">
            <v>140</v>
          </cell>
          <cell r="AC59">
            <v>145</v>
          </cell>
          <cell r="AD59">
            <v>165</v>
          </cell>
          <cell r="AE59">
            <v>180</v>
          </cell>
          <cell r="AF59">
            <v>195</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D61" t="str">
            <v>Total Overheads (a+b)</v>
          </cell>
          <cell r="E61">
            <v>10</v>
          </cell>
          <cell r="F61">
            <v>20</v>
          </cell>
          <cell r="G61">
            <v>30</v>
          </cell>
          <cell r="H61">
            <v>60</v>
          </cell>
          <cell r="I61">
            <v>30</v>
          </cell>
          <cell r="J61">
            <v>30</v>
          </cell>
          <cell r="K61">
            <v>15</v>
          </cell>
          <cell r="L61">
            <v>75</v>
          </cell>
          <cell r="M61">
            <v>0</v>
          </cell>
          <cell r="N61">
            <v>5</v>
          </cell>
          <cell r="O61">
            <v>5</v>
          </cell>
          <cell r="P61">
            <v>10</v>
          </cell>
          <cell r="Q61">
            <v>20</v>
          </cell>
          <cell r="R61">
            <v>15</v>
          </cell>
          <cell r="S61">
            <v>15</v>
          </cell>
          <cell r="T61">
            <v>50</v>
          </cell>
          <cell r="U61">
            <v>10</v>
          </cell>
          <cell r="V61">
            <v>30</v>
          </cell>
          <cell r="W61">
            <v>60</v>
          </cell>
          <cell r="X61">
            <v>90</v>
          </cell>
          <cell r="Y61">
            <v>120</v>
          </cell>
          <cell r="Z61">
            <v>135</v>
          </cell>
          <cell r="AA61">
            <v>135</v>
          </cell>
          <cell r="AB61">
            <v>140</v>
          </cell>
          <cell r="AC61">
            <v>145</v>
          </cell>
          <cell r="AD61">
            <v>165</v>
          </cell>
          <cell r="AE61">
            <v>180</v>
          </cell>
          <cell r="AF61">
            <v>195</v>
          </cell>
        </row>
        <row r="62">
          <cell r="D62" t="str">
            <v>OPERATING PROFIT (LOSS)</v>
          </cell>
          <cell r="E62">
            <v>-9.6119732537989648</v>
          </cell>
          <cell r="F62">
            <v>-19.611973253798965</v>
          </cell>
          <cell r="G62">
            <v>-29.611973253798965</v>
          </cell>
          <cell r="H62">
            <v>-58.835919761396895</v>
          </cell>
          <cell r="I62">
            <v>-29.611973253798965</v>
          </cell>
          <cell r="J62">
            <v>-29.611973253798965</v>
          </cell>
          <cell r="K62">
            <v>-15</v>
          </cell>
          <cell r="L62">
            <v>-74.22394650759793</v>
          </cell>
          <cell r="M62">
            <v>8.0758066553090444</v>
          </cell>
          <cell r="N62">
            <v>15.153139130816257</v>
          </cell>
          <cell r="O62">
            <v>19.27592330920227</v>
          </cell>
          <cell r="P62">
            <v>42.504869095327535</v>
          </cell>
          <cell r="Q62">
            <v>-13.282286956394582</v>
          </cell>
          <cell r="R62">
            <v>-8.2822869563945822</v>
          </cell>
          <cell r="S62">
            <v>-8.2822869563945822</v>
          </cell>
          <cell r="T62">
            <v>-29.846860869183743</v>
          </cell>
          <cell r="U62">
            <v>-9.6119732537989648</v>
          </cell>
          <cell r="V62">
            <v>-29.22394650759793</v>
          </cell>
          <cell r="W62">
            <v>-58.835919761396895</v>
          </cell>
          <cell r="X62">
            <v>-88.447893015195859</v>
          </cell>
          <cell r="Y62">
            <v>-118.05986626899482</v>
          </cell>
          <cell r="Z62">
            <v>-133.05986626899482</v>
          </cell>
          <cell r="AA62">
            <v>-124.98405961368579</v>
          </cell>
          <cell r="AB62">
            <v>-109.83092048286953</v>
          </cell>
          <cell r="AC62">
            <v>-90.55499717366726</v>
          </cell>
          <cell r="AD62">
            <v>-103.83728413006185</v>
          </cell>
          <cell r="AE62">
            <v>-112.11957108645643</v>
          </cell>
          <cell r="AF62">
            <v>-120.40185804285102</v>
          </cell>
        </row>
        <row r="65">
          <cell r="D65">
            <v>4</v>
          </cell>
          <cell r="E65">
            <v>5</v>
          </cell>
          <cell r="F65">
            <v>6</v>
          </cell>
          <cell r="G65">
            <v>7</v>
          </cell>
          <cell r="H65">
            <v>8</v>
          </cell>
          <cell r="I65">
            <v>9</v>
          </cell>
          <cell r="J65">
            <v>10</v>
          </cell>
          <cell r="K65">
            <v>11</v>
          </cell>
          <cell r="L65">
            <v>12</v>
          </cell>
          <cell r="M65">
            <v>13</v>
          </cell>
          <cell r="N65">
            <v>14</v>
          </cell>
          <cell r="O65">
            <v>15</v>
          </cell>
          <cell r="P65">
            <v>16</v>
          </cell>
          <cell r="Q65">
            <v>17</v>
          </cell>
          <cell r="R65">
            <v>18</v>
          </cell>
          <cell r="S65">
            <v>19</v>
          </cell>
          <cell r="T65">
            <v>20</v>
          </cell>
          <cell r="U65">
            <v>21</v>
          </cell>
          <cell r="V65">
            <v>22</v>
          </cell>
          <cell r="W65">
            <v>23</v>
          </cell>
          <cell r="X65">
            <v>24</v>
          </cell>
          <cell r="Y65">
            <v>25</v>
          </cell>
          <cell r="Z65">
            <v>26</v>
          </cell>
          <cell r="AA65">
            <v>27</v>
          </cell>
          <cell r="AB65">
            <v>28</v>
          </cell>
          <cell r="AC65">
            <v>29</v>
          </cell>
          <cell r="AD65">
            <v>30</v>
          </cell>
          <cell r="AE65">
            <v>31</v>
          </cell>
          <cell r="AF65">
            <v>32</v>
          </cell>
        </row>
        <row r="66">
          <cell r="E66" t="str">
            <v>Budget</v>
          </cell>
          <cell r="F66" t="str">
            <v>Budget</v>
          </cell>
          <cell r="G66" t="str">
            <v>Budget</v>
          </cell>
          <cell r="H66" t="str">
            <v>Budget</v>
          </cell>
          <cell r="I66" t="str">
            <v>Budget</v>
          </cell>
          <cell r="J66" t="str">
            <v>Budget</v>
          </cell>
          <cell r="K66" t="str">
            <v>Budget</v>
          </cell>
          <cell r="L66" t="str">
            <v>Budget</v>
          </cell>
          <cell r="M66" t="str">
            <v>Budget</v>
          </cell>
          <cell r="N66" t="str">
            <v>Budget</v>
          </cell>
          <cell r="O66" t="str">
            <v>Budget</v>
          </cell>
          <cell r="P66" t="str">
            <v>Budget</v>
          </cell>
          <cell r="Q66" t="str">
            <v>Budget</v>
          </cell>
          <cell r="R66" t="str">
            <v>Budget</v>
          </cell>
          <cell r="S66" t="str">
            <v>Budget</v>
          </cell>
          <cell r="T66" t="str">
            <v>Budget</v>
          </cell>
          <cell r="U66" t="str">
            <v>Cumu Bud</v>
          </cell>
          <cell r="V66" t="str">
            <v>Cumu Bud</v>
          </cell>
          <cell r="W66" t="str">
            <v>Cumu Bud</v>
          </cell>
          <cell r="X66" t="str">
            <v>Cumu Bud</v>
          </cell>
          <cell r="Y66" t="str">
            <v>Cumu Bud</v>
          </cell>
          <cell r="Z66" t="str">
            <v>Cumu Bud</v>
          </cell>
          <cell r="AA66" t="str">
            <v>Cumu Bud</v>
          </cell>
          <cell r="AB66" t="str">
            <v>Cumu Bud</v>
          </cell>
          <cell r="AC66" t="str">
            <v>Cumu Bud</v>
          </cell>
          <cell r="AD66" t="str">
            <v>Cumu Bud</v>
          </cell>
          <cell r="AE66" t="str">
            <v>Cumu Bud</v>
          </cell>
          <cell r="AF66" t="str">
            <v>Cumu Bud</v>
          </cell>
        </row>
        <row r="67">
          <cell r="D67" t="str">
            <v>Particulars</v>
          </cell>
          <cell r="E67">
            <v>41651</v>
          </cell>
          <cell r="F67">
            <v>41682</v>
          </cell>
          <cell r="G67">
            <v>41710</v>
          </cell>
          <cell r="H67" t="str">
            <v>Q-1</v>
          </cell>
          <cell r="I67">
            <v>41741</v>
          </cell>
          <cell r="J67">
            <v>41771</v>
          </cell>
          <cell r="K67">
            <v>41802</v>
          </cell>
          <cell r="L67" t="str">
            <v>Q-2</v>
          </cell>
          <cell r="M67">
            <v>41832</v>
          </cell>
          <cell r="N67">
            <v>41863</v>
          </cell>
          <cell r="O67">
            <v>41894</v>
          </cell>
          <cell r="P67" t="str">
            <v>Q-3</v>
          </cell>
          <cell r="Q67">
            <v>41924</v>
          </cell>
          <cell r="R67">
            <v>41955</v>
          </cell>
          <cell r="S67">
            <v>41985</v>
          </cell>
          <cell r="T67" t="str">
            <v>Q-4</v>
          </cell>
          <cell r="U67">
            <v>41651</v>
          </cell>
          <cell r="V67">
            <v>41682</v>
          </cell>
          <cell r="W67">
            <v>41710</v>
          </cell>
          <cell r="X67">
            <v>41741</v>
          </cell>
          <cell r="Y67">
            <v>41771</v>
          </cell>
          <cell r="Z67">
            <v>41802</v>
          </cell>
          <cell r="AA67">
            <v>41832</v>
          </cell>
          <cell r="AB67">
            <v>41863</v>
          </cell>
          <cell r="AC67">
            <v>41894</v>
          </cell>
          <cell r="AD67">
            <v>41924</v>
          </cell>
          <cell r="AE67">
            <v>41955</v>
          </cell>
          <cell r="AF67">
            <v>41985</v>
          </cell>
        </row>
        <row r="69">
          <cell r="D69" t="str">
            <v>Sales</v>
          </cell>
          <cell r="E69">
            <v>1009.4004933273026</v>
          </cell>
          <cell r="F69">
            <v>1106.5192916582675</v>
          </cell>
          <cell r="G69">
            <v>843.35129414803714</v>
          </cell>
          <cell r="H69">
            <v>2959.2710791336071</v>
          </cell>
          <cell r="I69">
            <v>983.22480812091214</v>
          </cell>
          <cell r="J69">
            <v>985.27742859615114</v>
          </cell>
          <cell r="K69">
            <v>1005.863947594024</v>
          </cell>
          <cell r="L69">
            <v>2974.3661843110872</v>
          </cell>
          <cell r="M69">
            <v>1105.5311183033537</v>
          </cell>
          <cell r="N69">
            <v>999.94150013902197</v>
          </cell>
          <cell r="O69">
            <v>880.7048837722906</v>
          </cell>
          <cell r="P69">
            <v>2986.1775022146662</v>
          </cell>
          <cell r="Q69">
            <v>1228.4360284242757</v>
          </cell>
          <cell r="R69">
            <v>1235.5305828374294</v>
          </cell>
          <cell r="S69">
            <v>1163.5058068766555</v>
          </cell>
          <cell r="T69">
            <v>3627.4724181383608</v>
          </cell>
          <cell r="U69">
            <v>1009.4004933273026</v>
          </cell>
          <cell r="V69">
            <v>2115.91978498557</v>
          </cell>
          <cell r="W69">
            <v>2959.2710791336071</v>
          </cell>
          <cell r="X69">
            <v>3942.4958872545194</v>
          </cell>
          <cell r="Y69">
            <v>4927.7733158506708</v>
          </cell>
          <cell r="Z69">
            <v>5933.6372634446943</v>
          </cell>
          <cell r="AA69">
            <v>7039.168381748048</v>
          </cell>
          <cell r="AB69">
            <v>8039.1098818870696</v>
          </cell>
          <cell r="AC69">
            <v>8919.814765659361</v>
          </cell>
          <cell r="AD69">
            <v>10148.250794083637</v>
          </cell>
          <cell r="AE69">
            <v>11383.781376921066</v>
          </cell>
          <cell r="AF69">
            <v>12547.287183797722</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D71" t="str">
            <v>Cost of Goods Sold</v>
          </cell>
          <cell r="E71">
            <v>341.10666915691166</v>
          </cell>
          <cell r="F71">
            <v>370.99711184264709</v>
          </cell>
          <cell r="G71">
            <v>277.03170584674331</v>
          </cell>
          <cell r="H71">
            <v>989.135486846302</v>
          </cell>
          <cell r="I71">
            <v>335.52226481181373</v>
          </cell>
          <cell r="J71">
            <v>334.2772598743627</v>
          </cell>
          <cell r="K71">
            <v>357.42769957275493</v>
          </cell>
          <cell r="L71">
            <v>1027.2272242589315</v>
          </cell>
          <cell r="M71">
            <v>405.47718398199027</v>
          </cell>
          <cell r="N71">
            <v>367.01327890866673</v>
          </cell>
          <cell r="O71">
            <v>300.92977522986268</v>
          </cell>
          <cell r="P71">
            <v>1073.4202381205196</v>
          </cell>
          <cell r="Q71">
            <v>462.72050655669898</v>
          </cell>
          <cell r="R71">
            <v>489.5870940687667</v>
          </cell>
          <cell r="S71">
            <v>454.26315337408107</v>
          </cell>
          <cell r="T71">
            <v>1406.5707539995469</v>
          </cell>
          <cell r="U71">
            <v>341.10666915691166</v>
          </cell>
          <cell r="V71">
            <v>712.10378099955869</v>
          </cell>
          <cell r="W71">
            <v>989.135486846302</v>
          </cell>
          <cell r="X71">
            <v>1324.6577516581158</v>
          </cell>
          <cell r="Y71">
            <v>1658.9350115324785</v>
          </cell>
          <cell r="Z71">
            <v>2016.3627111052333</v>
          </cell>
          <cell r="AA71">
            <v>2421.8398950872233</v>
          </cell>
          <cell r="AB71">
            <v>2788.8531739958898</v>
          </cell>
          <cell r="AC71">
            <v>3089.7829492257524</v>
          </cell>
          <cell r="AD71">
            <v>3552.5034557824515</v>
          </cell>
          <cell r="AE71">
            <v>4042.0905498512184</v>
          </cell>
          <cell r="AF71">
            <v>4496.3537032252998</v>
          </cell>
        </row>
        <row r="72">
          <cell r="D72" t="str">
            <v>ED Savings</v>
          </cell>
          <cell r="E72">
            <v>43.155705413120316</v>
          </cell>
          <cell r="F72">
            <v>47.256965739930109</v>
          </cell>
          <cell r="G72">
            <v>35.915045346629284</v>
          </cell>
          <cell r="H72">
            <v>126.32771649967971</v>
          </cell>
          <cell r="I72">
            <v>42.182544488888809</v>
          </cell>
          <cell r="J72">
            <v>42.810081159147813</v>
          </cell>
          <cell r="K72">
            <v>47.34722282717739</v>
          </cell>
          <cell r="L72">
            <v>132.33984847521401</v>
          </cell>
          <cell r="M72">
            <v>48.466778296529711</v>
          </cell>
          <cell r="N72">
            <v>44.300466917740337</v>
          </cell>
          <cell r="O72">
            <v>38.623022157318346</v>
          </cell>
          <cell r="P72">
            <v>131.39026737158838</v>
          </cell>
          <cell r="Q72">
            <v>49.483024968437348</v>
          </cell>
          <cell r="R72">
            <v>50.19044921200495</v>
          </cell>
          <cell r="S72">
            <v>47.323283432827239</v>
          </cell>
          <cell r="T72">
            <v>146.99675761326955</v>
          </cell>
          <cell r="U72">
            <v>43.155705413120316</v>
          </cell>
          <cell r="V72">
            <v>90.412671153050425</v>
          </cell>
          <cell r="W72">
            <v>126.32771649967971</v>
          </cell>
          <cell r="X72">
            <v>168.51026098856852</v>
          </cell>
          <cell r="Y72">
            <v>211.32034214771633</v>
          </cell>
          <cell r="Z72">
            <v>258.66756497489371</v>
          </cell>
          <cell r="AA72">
            <v>307.1343432714234</v>
          </cell>
          <cell r="AB72">
            <v>351.43481018916373</v>
          </cell>
          <cell r="AC72">
            <v>390.05783234648209</v>
          </cell>
          <cell r="AD72">
            <v>439.54085731491944</v>
          </cell>
          <cell r="AE72">
            <v>489.73130652692441</v>
          </cell>
          <cell r="AF72">
            <v>537.05458995975164</v>
          </cell>
        </row>
        <row r="73">
          <cell r="D73" t="str">
            <v>PRISM II &amp; PSM Savings</v>
          </cell>
          <cell r="E73">
            <v>3.5</v>
          </cell>
          <cell r="F73">
            <v>3.5</v>
          </cell>
          <cell r="G73">
            <v>5.5</v>
          </cell>
          <cell r="H73">
            <v>12.5</v>
          </cell>
          <cell r="I73">
            <v>5</v>
          </cell>
          <cell r="J73">
            <v>5</v>
          </cell>
          <cell r="K73">
            <v>5</v>
          </cell>
          <cell r="L73">
            <v>15</v>
          </cell>
          <cell r="M73">
            <v>5</v>
          </cell>
          <cell r="N73">
            <v>5</v>
          </cell>
          <cell r="O73">
            <v>6.5</v>
          </cell>
          <cell r="P73">
            <v>16.5</v>
          </cell>
          <cell r="Q73">
            <v>10</v>
          </cell>
          <cell r="R73">
            <v>7</v>
          </cell>
          <cell r="S73">
            <v>8.5</v>
          </cell>
          <cell r="T73">
            <v>25.5</v>
          </cell>
          <cell r="U73">
            <v>3.5</v>
          </cell>
          <cell r="V73">
            <v>7</v>
          </cell>
          <cell r="W73">
            <v>12.5</v>
          </cell>
          <cell r="X73">
            <v>17.5</v>
          </cell>
          <cell r="Y73">
            <v>22.5</v>
          </cell>
          <cell r="Z73">
            <v>27.5</v>
          </cell>
          <cell r="AA73">
            <v>32.5</v>
          </cell>
          <cell r="AB73">
            <v>37.5</v>
          </cell>
          <cell r="AC73">
            <v>44</v>
          </cell>
          <cell r="AD73">
            <v>54</v>
          </cell>
          <cell r="AE73">
            <v>61</v>
          </cell>
          <cell r="AF73">
            <v>69.5</v>
          </cell>
        </row>
        <row r="74">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row>
        <row r="76">
          <cell r="D76" t="str">
            <v>Contribution</v>
          </cell>
          <cell r="E76">
            <v>714.94952958351132</v>
          </cell>
          <cell r="F76">
            <v>786.2791455555506</v>
          </cell>
          <cell r="G76">
            <v>607.73463364792315</v>
          </cell>
          <cell r="H76">
            <v>2108.9633087869847</v>
          </cell>
          <cell r="I76">
            <v>694.88508779798724</v>
          </cell>
          <cell r="J76">
            <v>698.81024988093623</v>
          </cell>
          <cell r="K76">
            <v>700.78347084844643</v>
          </cell>
          <cell r="L76">
            <v>2094.4788085273694</v>
          </cell>
          <cell r="M76">
            <v>753.52071261789308</v>
          </cell>
          <cell r="N76">
            <v>682.22868814809556</v>
          </cell>
          <cell r="O76">
            <v>624.89813069974628</v>
          </cell>
          <cell r="P76">
            <v>2060.647531465735</v>
          </cell>
          <cell r="Q76">
            <v>825.19854683601409</v>
          </cell>
          <cell r="R76">
            <v>803.13393798066772</v>
          </cell>
          <cell r="S76">
            <v>765.06593693540162</v>
          </cell>
          <cell r="T76">
            <v>2393.3984217520833</v>
          </cell>
          <cell r="U76">
            <v>714.94952958351132</v>
          </cell>
          <cell r="V76">
            <v>1501.228675139062</v>
          </cell>
          <cell r="W76">
            <v>2108.9633087869852</v>
          </cell>
          <cell r="X76">
            <v>2803.8483965849723</v>
          </cell>
          <cell r="Y76">
            <v>3502.6586464659085</v>
          </cell>
          <cell r="Z76">
            <v>4203.4421173143546</v>
          </cell>
          <cell r="AA76">
            <v>4956.9628299322476</v>
          </cell>
          <cell r="AB76">
            <v>5639.1915180803435</v>
          </cell>
          <cell r="AC76">
            <v>6264.0896487800901</v>
          </cell>
          <cell r="AD76">
            <v>7089.2881956161045</v>
          </cell>
          <cell r="AE76">
            <v>7892.4221335967723</v>
          </cell>
          <cell r="AF76">
            <v>8657.4880705321739</v>
          </cell>
        </row>
        <row r="77">
          <cell r="D77">
            <v>0</v>
          </cell>
          <cell r="E77">
            <v>0.70829124248474662</v>
          </cell>
          <cell r="F77">
            <v>0.71058783293078054</v>
          </cell>
          <cell r="G77">
            <v>0.72061860563321178</v>
          </cell>
          <cell r="H77">
            <v>0.7126631026328385</v>
          </cell>
          <cell r="I77">
            <v>0.70674080033234243</v>
          </cell>
          <cell r="J77">
            <v>0.70925226702556177</v>
          </cell>
          <cell r="K77">
            <v>0.69669806987782523</v>
          </cell>
          <cell r="L77">
            <v>0.70417651315938612</v>
          </cell>
          <cell r="M77">
            <v>0.6815915899086703</v>
          </cell>
          <cell r="N77">
            <v>0.68226860076639007</v>
          </cell>
          <cell r="O77">
            <v>0.70954316504200965</v>
          </cell>
          <cell r="P77">
            <v>0.69006197050827622</v>
          </cell>
          <cell r="Q77">
            <v>0.67174726867503431</v>
          </cell>
          <cell r="R77">
            <v>0.65003161324930459</v>
          </cell>
          <cell r="S77">
            <v>0.65755231509257706</v>
          </cell>
          <cell r="T77">
            <v>0.65979782776139995</v>
          </cell>
          <cell r="U77">
            <v>0.70829124248474662</v>
          </cell>
          <cell r="V77">
            <v>0.70949224341663786</v>
          </cell>
          <cell r="W77">
            <v>0.71266310263283872</v>
          </cell>
          <cell r="X77">
            <v>0.71118613101141881</v>
          </cell>
          <cell r="Y77">
            <v>0.71079946701266883</v>
          </cell>
          <cell r="Z77">
            <v>0.70840901300294556</v>
          </cell>
          <cell r="AA77">
            <v>0.70419722346537716</v>
          </cell>
          <cell r="AB77">
            <v>0.70146964041205784</v>
          </cell>
          <cell r="AC77">
            <v>0.70226678617771077</v>
          </cell>
          <cell r="AD77">
            <v>0.6985724278462957</v>
          </cell>
          <cell r="AE77">
            <v>0.69330408519593423</v>
          </cell>
          <cell r="AF77">
            <v>0.68998883533259403</v>
          </cell>
        </row>
        <row r="78">
          <cell r="D78" t="str">
            <v>Overheads</v>
          </cell>
        </row>
        <row r="79">
          <cell r="D79" t="str">
            <v>Advertisement Exp.</v>
          </cell>
          <cell r="E79">
            <v>826.80000000000007</v>
          </cell>
          <cell r="F79">
            <v>375.8</v>
          </cell>
          <cell r="G79">
            <v>127.79999999999998</v>
          </cell>
          <cell r="H79">
            <v>1330.4</v>
          </cell>
          <cell r="I79">
            <v>720.8</v>
          </cell>
          <cell r="J79">
            <v>577.79999999999995</v>
          </cell>
          <cell r="K79">
            <v>219.79999999999998</v>
          </cell>
          <cell r="L79">
            <v>1518.3999999999999</v>
          </cell>
          <cell r="M79">
            <v>687.8</v>
          </cell>
          <cell r="N79">
            <v>247.8</v>
          </cell>
          <cell r="O79">
            <v>248.79999999999998</v>
          </cell>
          <cell r="P79">
            <v>1184.3999999999999</v>
          </cell>
          <cell r="Q79">
            <v>371.79999999999995</v>
          </cell>
          <cell r="R79">
            <v>89.800000000000011</v>
          </cell>
          <cell r="S79">
            <v>34.799999999999997</v>
          </cell>
          <cell r="T79">
            <v>496.4</v>
          </cell>
          <cell r="U79">
            <v>826.80000000000007</v>
          </cell>
          <cell r="V79">
            <v>1202.6000000000001</v>
          </cell>
          <cell r="W79">
            <v>1330.4</v>
          </cell>
          <cell r="X79">
            <v>2051.1999999999998</v>
          </cell>
          <cell r="Y79">
            <v>2629</v>
          </cell>
          <cell r="Z79">
            <v>2848.8</v>
          </cell>
          <cell r="AA79">
            <v>3536.6000000000004</v>
          </cell>
          <cell r="AB79">
            <v>3784.4000000000005</v>
          </cell>
          <cell r="AC79">
            <v>4033.2000000000007</v>
          </cell>
          <cell r="AD79">
            <v>4405.0000000000009</v>
          </cell>
          <cell r="AE79">
            <v>4494.8000000000011</v>
          </cell>
          <cell r="AF79">
            <v>4529.6000000000013</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row>
        <row r="81">
          <cell r="D81" t="str">
            <v>Total Overheads (a+b)</v>
          </cell>
          <cell r="E81">
            <v>826.80000000000007</v>
          </cell>
          <cell r="F81">
            <v>375.8</v>
          </cell>
          <cell r="G81">
            <v>127.79999999999998</v>
          </cell>
          <cell r="H81">
            <v>1330.4</v>
          </cell>
          <cell r="I81">
            <v>720.8</v>
          </cell>
          <cell r="J81">
            <v>577.79999999999995</v>
          </cell>
          <cell r="K81">
            <v>219.79999999999998</v>
          </cell>
          <cell r="L81">
            <v>1518.3999999999999</v>
          </cell>
          <cell r="M81">
            <v>687.8</v>
          </cell>
          <cell r="N81">
            <v>247.8</v>
          </cell>
          <cell r="O81">
            <v>248.79999999999998</v>
          </cell>
          <cell r="P81">
            <v>1184.3999999999999</v>
          </cell>
          <cell r="Q81">
            <v>371.79999999999995</v>
          </cell>
          <cell r="R81">
            <v>89.800000000000011</v>
          </cell>
          <cell r="S81">
            <v>34.799999999999997</v>
          </cell>
          <cell r="T81">
            <v>496.4</v>
          </cell>
          <cell r="U81">
            <v>826.80000000000007</v>
          </cell>
          <cell r="V81">
            <v>1202.6000000000001</v>
          </cell>
          <cell r="W81">
            <v>1330.4</v>
          </cell>
          <cell r="X81">
            <v>2051.1999999999998</v>
          </cell>
          <cell r="Y81">
            <v>2629</v>
          </cell>
          <cell r="Z81">
            <v>2848.8</v>
          </cell>
          <cell r="AA81">
            <v>3536.6000000000004</v>
          </cell>
          <cell r="AB81">
            <v>3784.4000000000005</v>
          </cell>
          <cell r="AC81">
            <v>4033.2000000000007</v>
          </cell>
          <cell r="AD81">
            <v>4405.0000000000009</v>
          </cell>
          <cell r="AE81">
            <v>4494.8000000000011</v>
          </cell>
          <cell r="AF81">
            <v>4529.6000000000013</v>
          </cell>
        </row>
        <row r="82">
          <cell r="D82" t="str">
            <v>OPERATING PROFIT (LOSS)</v>
          </cell>
          <cell r="E82">
            <v>-111.85047041648875</v>
          </cell>
          <cell r="F82">
            <v>410.47914555555059</v>
          </cell>
          <cell r="G82">
            <v>479.93463364792319</v>
          </cell>
          <cell r="H82">
            <v>778.56330878698463</v>
          </cell>
          <cell r="I82">
            <v>-25.914912202012715</v>
          </cell>
          <cell r="J82">
            <v>121.01024988093627</v>
          </cell>
          <cell r="K82">
            <v>480.98347084844647</v>
          </cell>
          <cell r="L82">
            <v>576.07880852736957</v>
          </cell>
          <cell r="M82">
            <v>65.720712617893128</v>
          </cell>
          <cell r="N82">
            <v>434.42868814809555</v>
          </cell>
          <cell r="O82">
            <v>376.09813069974632</v>
          </cell>
          <cell r="P82">
            <v>876.24753146573516</v>
          </cell>
          <cell r="Q82">
            <v>453.39854683601413</v>
          </cell>
          <cell r="R82">
            <v>713.33393798066777</v>
          </cell>
          <cell r="S82">
            <v>730.26593693540167</v>
          </cell>
          <cell r="T82">
            <v>1896.9984217520832</v>
          </cell>
          <cell r="U82">
            <v>-111.85047041648875</v>
          </cell>
          <cell r="V82">
            <v>298.62867513906184</v>
          </cell>
          <cell r="W82">
            <v>778.56330878698509</v>
          </cell>
          <cell r="X82">
            <v>752.64839658497237</v>
          </cell>
          <cell r="Y82">
            <v>873.65864646590865</v>
          </cell>
          <cell r="Z82">
            <v>1354.6421173143551</v>
          </cell>
          <cell r="AA82">
            <v>1420.3628299322481</v>
          </cell>
          <cell r="AB82">
            <v>1854.7915180803436</v>
          </cell>
          <cell r="AC82">
            <v>2230.8896487800898</v>
          </cell>
          <cell r="AD82">
            <v>2684.2881956161041</v>
          </cell>
          <cell r="AE82">
            <v>3397.6221335967721</v>
          </cell>
          <cell r="AF82">
            <v>4127.8880705321735</v>
          </cell>
        </row>
        <row r="85">
          <cell r="D85">
            <v>4</v>
          </cell>
          <cell r="E85">
            <v>5</v>
          </cell>
          <cell r="F85">
            <v>6</v>
          </cell>
          <cell r="G85">
            <v>7</v>
          </cell>
          <cell r="H85">
            <v>8</v>
          </cell>
          <cell r="I85">
            <v>9</v>
          </cell>
          <cell r="J85">
            <v>10</v>
          </cell>
          <cell r="K85">
            <v>11</v>
          </cell>
          <cell r="L85">
            <v>12</v>
          </cell>
          <cell r="M85">
            <v>13</v>
          </cell>
          <cell r="N85">
            <v>14</v>
          </cell>
          <cell r="O85">
            <v>15</v>
          </cell>
          <cell r="P85">
            <v>16</v>
          </cell>
          <cell r="Q85">
            <v>17</v>
          </cell>
          <cell r="R85">
            <v>18</v>
          </cell>
          <cell r="S85">
            <v>19</v>
          </cell>
          <cell r="T85">
            <v>20</v>
          </cell>
          <cell r="U85">
            <v>21</v>
          </cell>
          <cell r="V85">
            <v>22</v>
          </cell>
          <cell r="W85">
            <v>23</v>
          </cell>
          <cell r="X85">
            <v>24</v>
          </cell>
          <cell r="Y85">
            <v>25</v>
          </cell>
          <cell r="Z85">
            <v>26</v>
          </cell>
          <cell r="AA85">
            <v>27</v>
          </cell>
          <cell r="AB85">
            <v>28</v>
          </cell>
          <cell r="AC85">
            <v>29</v>
          </cell>
          <cell r="AD85">
            <v>30</v>
          </cell>
          <cell r="AE85">
            <v>31</v>
          </cell>
          <cell r="AF85">
            <v>32</v>
          </cell>
        </row>
        <row r="86">
          <cell r="E86" t="str">
            <v>Budget</v>
          </cell>
          <cell r="F86" t="str">
            <v>Budget</v>
          </cell>
          <cell r="G86" t="str">
            <v>Budget</v>
          </cell>
          <cell r="H86" t="str">
            <v>Budget</v>
          </cell>
          <cell r="I86" t="str">
            <v>Budget</v>
          </cell>
          <cell r="J86" t="str">
            <v>Budget</v>
          </cell>
          <cell r="K86" t="str">
            <v>Budget</v>
          </cell>
          <cell r="L86" t="str">
            <v>Budget</v>
          </cell>
          <cell r="M86" t="str">
            <v>Budget</v>
          </cell>
          <cell r="N86" t="str">
            <v>Budget</v>
          </cell>
          <cell r="O86" t="str">
            <v>Budget</v>
          </cell>
          <cell r="P86" t="str">
            <v>Budget</v>
          </cell>
          <cell r="Q86" t="str">
            <v>Budget</v>
          </cell>
          <cell r="R86" t="str">
            <v>Budget</v>
          </cell>
          <cell r="S86" t="str">
            <v>Budget</v>
          </cell>
          <cell r="T86" t="str">
            <v>Budget</v>
          </cell>
          <cell r="U86" t="str">
            <v>Cumu Bud</v>
          </cell>
          <cell r="V86" t="str">
            <v>Cumu Bud</v>
          </cell>
          <cell r="W86" t="str">
            <v>Cumu Bud</v>
          </cell>
          <cell r="X86" t="str">
            <v>Cumu Bud</v>
          </cell>
          <cell r="Y86" t="str">
            <v>Cumu Bud</v>
          </cell>
          <cell r="Z86" t="str">
            <v>Cumu Bud</v>
          </cell>
          <cell r="AA86" t="str">
            <v>Cumu Bud</v>
          </cell>
          <cell r="AB86" t="str">
            <v>Cumu Bud</v>
          </cell>
          <cell r="AC86" t="str">
            <v>Cumu Bud</v>
          </cell>
          <cell r="AD86" t="str">
            <v>Cumu Bud</v>
          </cell>
          <cell r="AE86" t="str">
            <v>Cumu Bud</v>
          </cell>
          <cell r="AF86" t="str">
            <v>Cumu Bud</v>
          </cell>
        </row>
        <row r="87">
          <cell r="D87" t="str">
            <v>Particulars</v>
          </cell>
          <cell r="E87">
            <v>41651</v>
          </cell>
          <cell r="F87">
            <v>41682</v>
          </cell>
          <cell r="G87">
            <v>41710</v>
          </cell>
          <cell r="H87" t="str">
            <v>Q-1</v>
          </cell>
          <cell r="I87">
            <v>41741</v>
          </cell>
          <cell r="J87">
            <v>41771</v>
          </cell>
          <cell r="K87">
            <v>41802</v>
          </cell>
          <cell r="L87" t="str">
            <v>Q-2</v>
          </cell>
          <cell r="M87">
            <v>41832</v>
          </cell>
          <cell r="N87">
            <v>41863</v>
          </cell>
          <cell r="O87">
            <v>41894</v>
          </cell>
          <cell r="P87" t="str">
            <v>Q-3</v>
          </cell>
          <cell r="Q87">
            <v>41924</v>
          </cell>
          <cell r="R87">
            <v>41955</v>
          </cell>
          <cell r="S87">
            <v>41985</v>
          </cell>
          <cell r="T87" t="str">
            <v>Q-4</v>
          </cell>
          <cell r="U87">
            <v>41651</v>
          </cell>
          <cell r="V87">
            <v>41682</v>
          </cell>
          <cell r="W87">
            <v>41710</v>
          </cell>
          <cell r="X87">
            <v>41741</v>
          </cell>
          <cell r="Y87">
            <v>41771</v>
          </cell>
          <cell r="Z87">
            <v>41802</v>
          </cell>
          <cell r="AA87">
            <v>41832</v>
          </cell>
          <cell r="AB87">
            <v>41863</v>
          </cell>
          <cell r="AC87">
            <v>41894</v>
          </cell>
          <cell r="AD87">
            <v>41924</v>
          </cell>
          <cell r="AE87">
            <v>41955</v>
          </cell>
          <cell r="AF87">
            <v>41985</v>
          </cell>
        </row>
        <row r="89">
          <cell r="D89" t="str">
            <v>Sales</v>
          </cell>
          <cell r="E89">
            <v>18.108437629569387</v>
          </cell>
          <cell r="F89">
            <v>18.108437629569387</v>
          </cell>
          <cell r="G89">
            <v>13.301264288595211</v>
          </cell>
          <cell r="H89">
            <v>49.518139547733988</v>
          </cell>
          <cell r="I89">
            <v>25.602806687695793</v>
          </cell>
          <cell r="J89">
            <v>44.602806687695796</v>
          </cell>
          <cell r="K89">
            <v>139.67300730621736</v>
          </cell>
          <cell r="L89">
            <v>209.87862068160894</v>
          </cell>
          <cell r="M89">
            <v>83.434950071674919</v>
          </cell>
          <cell r="N89">
            <v>79.91335213293722</v>
          </cell>
          <cell r="O89">
            <v>49.03541717726975</v>
          </cell>
          <cell r="P89">
            <v>212.38371938188189</v>
          </cell>
          <cell r="Q89">
            <v>46.88205167842915</v>
          </cell>
          <cell r="R89">
            <v>43.972995694296948</v>
          </cell>
          <cell r="S89">
            <v>43.687330054250609</v>
          </cell>
          <cell r="T89">
            <v>134.54237742697671</v>
          </cell>
          <cell r="U89">
            <v>18.108437629569387</v>
          </cell>
          <cell r="V89">
            <v>36.216875259138774</v>
          </cell>
          <cell r="W89">
            <v>49.518139547733988</v>
          </cell>
          <cell r="X89">
            <v>75.120946235429784</v>
          </cell>
          <cell r="Y89">
            <v>119.72375292312557</v>
          </cell>
          <cell r="Z89">
            <v>259.39676022934293</v>
          </cell>
          <cell r="AA89">
            <v>342.83171030101784</v>
          </cell>
          <cell r="AB89">
            <v>422.74506243395507</v>
          </cell>
          <cell r="AC89">
            <v>471.78047961122479</v>
          </cell>
          <cell r="AD89">
            <v>518.662531289654</v>
          </cell>
          <cell r="AE89">
            <v>562.63552698395097</v>
          </cell>
          <cell r="AF89">
            <v>606.32285703820162</v>
          </cell>
        </row>
        <row r="90">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D91" t="str">
            <v>Cost of Goods Sold</v>
          </cell>
          <cell r="E91">
            <v>7.2722882188235296</v>
          </cell>
          <cell r="F91">
            <v>7.2722882188235296</v>
          </cell>
          <cell r="G91">
            <v>5.3030536870588234</v>
          </cell>
          <cell r="H91">
            <v>19.847630124705884</v>
          </cell>
          <cell r="I91">
            <v>10.266288822352941</v>
          </cell>
          <cell r="J91">
            <v>19.006288822352943</v>
          </cell>
          <cell r="K91">
            <v>57.38079439470588</v>
          </cell>
          <cell r="L91">
            <v>86.653372039411764</v>
          </cell>
          <cell r="M91">
            <v>34.311582944117646</v>
          </cell>
          <cell r="N91">
            <v>32.496363647058821</v>
          </cell>
          <cell r="O91">
            <v>19.99588753529412</v>
          </cell>
          <cell r="P91">
            <v>86.803834126470576</v>
          </cell>
          <cell r="Q91">
            <v>19.143232504257647</v>
          </cell>
          <cell r="R91">
            <v>17.998622034117645</v>
          </cell>
          <cell r="S91">
            <v>17.861567008836484</v>
          </cell>
          <cell r="T91">
            <v>55.003421547211772</v>
          </cell>
          <cell r="U91">
            <v>7.2722882188235296</v>
          </cell>
          <cell r="V91">
            <v>14.544576437647059</v>
          </cell>
          <cell r="W91">
            <v>19.847630124705884</v>
          </cell>
          <cell r="X91">
            <v>30.113918947058824</v>
          </cell>
          <cell r="Y91">
            <v>49.120207769411763</v>
          </cell>
          <cell r="Z91">
            <v>106.50100216411764</v>
          </cell>
          <cell r="AA91">
            <v>140.81258510823528</v>
          </cell>
          <cell r="AB91">
            <v>173.3089487552941</v>
          </cell>
          <cell r="AC91">
            <v>193.30483629058821</v>
          </cell>
          <cell r="AD91">
            <v>212.44806879484585</v>
          </cell>
          <cell r="AE91">
            <v>230.44669082896348</v>
          </cell>
          <cell r="AF91">
            <v>248.30825783779997</v>
          </cell>
        </row>
        <row r="92">
          <cell r="D92" t="str">
            <v>ED Savings</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D93" t="str">
            <v>PRISM II &amp; PSM Savings</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D96" t="str">
            <v>Contribution</v>
          </cell>
          <cell r="E96">
            <v>10.836149410745858</v>
          </cell>
          <cell r="F96">
            <v>10.836149410745858</v>
          </cell>
          <cell r="G96">
            <v>7.9982106015363881</v>
          </cell>
          <cell r="H96">
            <v>29.670509423028104</v>
          </cell>
          <cell r="I96">
            <v>15.336517865342852</v>
          </cell>
          <cell r="J96">
            <v>25.596517865342854</v>
          </cell>
          <cell r="K96">
            <v>82.292212911511484</v>
          </cell>
          <cell r="L96">
            <v>123.22524864219717</v>
          </cell>
          <cell r="M96">
            <v>49.123367127557273</v>
          </cell>
          <cell r="N96">
            <v>47.416988485878399</v>
          </cell>
          <cell r="O96">
            <v>29.03952964197563</v>
          </cell>
          <cell r="P96">
            <v>125.57988525541131</v>
          </cell>
          <cell r="Q96">
            <v>27.738819174171503</v>
          </cell>
          <cell r="R96">
            <v>25.974373660179303</v>
          </cell>
          <cell r="S96">
            <v>25.825763045414124</v>
          </cell>
          <cell r="T96">
            <v>79.538955879764941</v>
          </cell>
          <cell r="U96">
            <v>10.836149410745858</v>
          </cell>
          <cell r="V96">
            <v>21.672298821491715</v>
          </cell>
          <cell r="W96">
            <v>29.670509423028104</v>
          </cell>
          <cell r="X96">
            <v>45.007027288370956</v>
          </cell>
          <cell r="Y96">
            <v>70.60354515371381</v>
          </cell>
          <cell r="Z96">
            <v>152.89575806522529</v>
          </cell>
          <cell r="AA96">
            <v>202.01912519278255</v>
          </cell>
          <cell r="AB96">
            <v>249.43611367866094</v>
          </cell>
          <cell r="AC96">
            <v>278.47564332063655</v>
          </cell>
          <cell r="AD96">
            <v>306.21446249480806</v>
          </cell>
          <cell r="AE96">
            <v>332.18883615498737</v>
          </cell>
          <cell r="AF96">
            <v>358.01459920040151</v>
          </cell>
        </row>
        <row r="97">
          <cell r="D97">
            <v>0</v>
          </cell>
          <cell r="E97">
            <v>0.59840333177344007</v>
          </cell>
          <cell r="F97">
            <v>0.59840333177344007</v>
          </cell>
          <cell r="G97">
            <v>0.60131205786161435</v>
          </cell>
          <cell r="H97">
            <v>0.59918465624958772</v>
          </cell>
          <cell r="I97">
            <v>0.59901705513846193</v>
          </cell>
          <cell r="J97">
            <v>0.57387684242758541</v>
          </cell>
          <cell r="K97">
            <v>0.58917764068110212</v>
          </cell>
          <cell r="L97">
            <v>0.58712625536610952</v>
          </cell>
          <cell r="M97">
            <v>0.58876246807072785</v>
          </cell>
          <cell r="N97">
            <v>0.59335501790738843</v>
          </cell>
          <cell r="O97">
            <v>0.59221540905818648</v>
          </cell>
          <cell r="P97">
            <v>0.59128772026828125</v>
          </cell>
          <cell r="Q97">
            <v>0.59167246699090992</v>
          </cell>
          <cell r="R97">
            <v>0.59068920027088434</v>
          </cell>
          <cell r="S97">
            <v>0.59114995156133088</v>
          </cell>
          <cell r="T97">
            <v>0.59118143592293038</v>
          </cell>
          <cell r="U97">
            <v>0.59840333177344007</v>
          </cell>
          <cell r="V97">
            <v>0.59840333177344007</v>
          </cell>
          <cell r="W97">
            <v>0.59918465624958772</v>
          </cell>
          <cell r="X97">
            <v>0.59912753424748522</v>
          </cell>
          <cell r="Y97">
            <v>0.58972044752930719</v>
          </cell>
          <cell r="Z97">
            <v>0.5894281714622962</v>
          </cell>
          <cell r="AA97">
            <v>0.58926615923422876</v>
          </cell>
          <cell r="AB97">
            <v>0.59003909411154865</v>
          </cell>
          <cell r="AC97">
            <v>0.59026529361731339</v>
          </cell>
          <cell r="AD97">
            <v>0.59039248841323866</v>
          </cell>
          <cell r="AE97">
            <v>0.59041567804242656</v>
          </cell>
          <cell r="AF97">
            <v>0.59046858459080764</v>
          </cell>
        </row>
        <row r="98">
          <cell r="D98" t="str">
            <v>Overheads</v>
          </cell>
        </row>
        <row r="99">
          <cell r="D99" t="str">
            <v>Advertisement Exp.</v>
          </cell>
          <cell r="E99">
            <v>6</v>
          </cell>
          <cell r="F99">
            <v>1</v>
          </cell>
          <cell r="G99">
            <v>5</v>
          </cell>
          <cell r="H99">
            <v>12</v>
          </cell>
          <cell r="I99">
            <v>126</v>
          </cell>
          <cell r="J99">
            <v>71</v>
          </cell>
          <cell r="K99">
            <v>25</v>
          </cell>
          <cell r="L99">
            <v>222</v>
          </cell>
          <cell r="M99">
            <v>106</v>
          </cell>
          <cell r="N99">
            <v>51</v>
          </cell>
          <cell r="O99">
            <v>6</v>
          </cell>
          <cell r="P99">
            <v>163</v>
          </cell>
          <cell r="Q99">
            <v>3</v>
          </cell>
          <cell r="R99">
            <v>0</v>
          </cell>
          <cell r="S99">
            <v>0</v>
          </cell>
          <cell r="T99">
            <v>3</v>
          </cell>
          <cell r="U99">
            <v>6</v>
          </cell>
          <cell r="V99">
            <v>7</v>
          </cell>
          <cell r="W99">
            <v>12</v>
          </cell>
          <cell r="X99">
            <v>138</v>
          </cell>
          <cell r="Y99">
            <v>209</v>
          </cell>
          <cell r="Z99">
            <v>234</v>
          </cell>
          <cell r="AA99">
            <v>340</v>
          </cell>
          <cell r="AB99">
            <v>391</v>
          </cell>
          <cell r="AC99">
            <v>397</v>
          </cell>
          <cell r="AD99">
            <v>400</v>
          </cell>
          <cell r="AE99">
            <v>400</v>
          </cell>
          <cell r="AF99">
            <v>400</v>
          </cell>
        </row>
        <row r="100">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D101" t="str">
            <v>Total Overheads (a+b)</v>
          </cell>
          <cell r="E101">
            <v>6</v>
          </cell>
          <cell r="F101">
            <v>1</v>
          </cell>
          <cell r="G101">
            <v>5</v>
          </cell>
          <cell r="H101">
            <v>12</v>
          </cell>
          <cell r="I101">
            <v>126</v>
          </cell>
          <cell r="J101">
            <v>71</v>
          </cell>
          <cell r="K101">
            <v>25</v>
          </cell>
          <cell r="L101">
            <v>222</v>
          </cell>
          <cell r="M101">
            <v>106</v>
          </cell>
          <cell r="N101">
            <v>51</v>
          </cell>
          <cell r="O101">
            <v>6</v>
          </cell>
          <cell r="P101">
            <v>163</v>
          </cell>
          <cell r="Q101">
            <v>3</v>
          </cell>
          <cell r="R101">
            <v>0</v>
          </cell>
          <cell r="S101">
            <v>0</v>
          </cell>
          <cell r="T101">
            <v>3</v>
          </cell>
          <cell r="U101">
            <v>6</v>
          </cell>
          <cell r="V101">
            <v>7</v>
          </cell>
          <cell r="W101">
            <v>12</v>
          </cell>
          <cell r="X101">
            <v>138</v>
          </cell>
          <cell r="Y101">
            <v>209</v>
          </cell>
          <cell r="Z101">
            <v>234</v>
          </cell>
          <cell r="AA101">
            <v>340</v>
          </cell>
          <cell r="AB101">
            <v>391</v>
          </cell>
          <cell r="AC101">
            <v>397</v>
          </cell>
          <cell r="AD101">
            <v>400</v>
          </cell>
          <cell r="AE101">
            <v>400</v>
          </cell>
          <cell r="AF101">
            <v>400</v>
          </cell>
        </row>
        <row r="102">
          <cell r="D102" t="str">
            <v>OPERATING PROFIT (LOSS)</v>
          </cell>
          <cell r="E102">
            <v>4.8361494107458576</v>
          </cell>
          <cell r="F102">
            <v>9.8361494107458576</v>
          </cell>
          <cell r="G102">
            <v>2.9982106015363881</v>
          </cell>
          <cell r="H102">
            <v>17.670509423028104</v>
          </cell>
          <cell r="I102">
            <v>-110.66348213465714</v>
          </cell>
          <cell r="J102">
            <v>-45.403482134657146</v>
          </cell>
          <cell r="K102">
            <v>57.292212911511484</v>
          </cell>
          <cell r="L102">
            <v>-98.774751357802828</v>
          </cell>
          <cell r="M102">
            <v>-56.876632872442727</v>
          </cell>
          <cell r="N102">
            <v>-3.5830115141216012</v>
          </cell>
          <cell r="O102">
            <v>23.03952964197563</v>
          </cell>
          <cell r="P102">
            <v>-37.420114744588687</v>
          </cell>
          <cell r="Q102">
            <v>24.738819174171503</v>
          </cell>
          <cell r="R102">
            <v>25.974373660179303</v>
          </cell>
          <cell r="S102">
            <v>25.825763045414124</v>
          </cell>
          <cell r="T102">
            <v>76.538955879764941</v>
          </cell>
          <cell r="U102">
            <v>4.8361494107458576</v>
          </cell>
          <cell r="V102">
            <v>14.672298821491715</v>
          </cell>
          <cell r="W102">
            <v>17.670509423028104</v>
          </cell>
          <cell r="X102">
            <v>-92.992972711629037</v>
          </cell>
          <cell r="Y102">
            <v>-138.39645484628619</v>
          </cell>
          <cell r="Z102">
            <v>-81.104241934774706</v>
          </cell>
          <cell r="AA102">
            <v>-137.98087480721745</v>
          </cell>
          <cell r="AB102">
            <v>-141.56388632133906</v>
          </cell>
          <cell r="AC102">
            <v>-118.52435667936342</v>
          </cell>
          <cell r="AD102">
            <v>-93.785537505191911</v>
          </cell>
          <cell r="AE102">
            <v>-67.811163845012601</v>
          </cell>
          <cell r="AF102">
            <v>-41.98540079959848</v>
          </cell>
        </row>
        <row r="105">
          <cell r="D105">
            <v>4</v>
          </cell>
          <cell r="E105">
            <v>5</v>
          </cell>
          <cell r="F105">
            <v>6</v>
          </cell>
          <cell r="G105">
            <v>7</v>
          </cell>
          <cell r="H105">
            <v>8</v>
          </cell>
          <cell r="I105">
            <v>9</v>
          </cell>
          <cell r="J105">
            <v>10</v>
          </cell>
          <cell r="K105">
            <v>11</v>
          </cell>
          <cell r="L105">
            <v>12</v>
          </cell>
          <cell r="M105">
            <v>13</v>
          </cell>
          <cell r="N105">
            <v>14</v>
          </cell>
          <cell r="O105">
            <v>15</v>
          </cell>
          <cell r="P105">
            <v>16</v>
          </cell>
          <cell r="Q105">
            <v>17</v>
          </cell>
          <cell r="R105">
            <v>18</v>
          </cell>
          <cell r="S105">
            <v>19</v>
          </cell>
          <cell r="T105">
            <v>20</v>
          </cell>
          <cell r="U105">
            <v>21</v>
          </cell>
          <cell r="V105">
            <v>22</v>
          </cell>
          <cell r="W105">
            <v>23</v>
          </cell>
          <cell r="X105">
            <v>24</v>
          </cell>
          <cell r="Y105">
            <v>25</v>
          </cell>
          <cell r="Z105">
            <v>26</v>
          </cell>
          <cell r="AA105">
            <v>27</v>
          </cell>
          <cell r="AB105">
            <v>28</v>
          </cell>
          <cell r="AC105">
            <v>29</v>
          </cell>
          <cell r="AD105">
            <v>30</v>
          </cell>
          <cell r="AE105">
            <v>31</v>
          </cell>
          <cell r="AF105">
            <v>32</v>
          </cell>
        </row>
        <row r="106">
          <cell r="E106" t="str">
            <v>Budget</v>
          </cell>
          <cell r="F106" t="str">
            <v>Budget</v>
          </cell>
          <cell r="G106" t="str">
            <v>Budget</v>
          </cell>
          <cell r="H106" t="str">
            <v>Budget</v>
          </cell>
          <cell r="I106" t="str">
            <v>Budget</v>
          </cell>
          <cell r="J106" t="str">
            <v>Budget</v>
          </cell>
          <cell r="K106" t="str">
            <v>Budget</v>
          </cell>
          <cell r="L106" t="str">
            <v>Budget</v>
          </cell>
          <cell r="M106" t="str">
            <v>Budget</v>
          </cell>
          <cell r="N106" t="str">
            <v>Budget</v>
          </cell>
          <cell r="O106" t="str">
            <v>Budget</v>
          </cell>
          <cell r="P106" t="str">
            <v>Budget</v>
          </cell>
          <cell r="Q106" t="str">
            <v>Budget</v>
          </cell>
          <cell r="R106" t="str">
            <v>Budget</v>
          </cell>
          <cell r="S106" t="str">
            <v>Budget</v>
          </cell>
          <cell r="T106" t="str">
            <v>Budget</v>
          </cell>
          <cell r="U106" t="str">
            <v>Cumu Bud</v>
          </cell>
          <cell r="V106" t="str">
            <v>Cumu Bud</v>
          </cell>
          <cell r="W106" t="str">
            <v>Cumu Bud</v>
          </cell>
          <cell r="X106" t="str">
            <v>Cumu Bud</v>
          </cell>
          <cell r="Y106" t="str">
            <v>Cumu Bud</v>
          </cell>
          <cell r="Z106" t="str">
            <v>Cumu Bud</v>
          </cell>
          <cell r="AA106" t="str">
            <v>Cumu Bud</v>
          </cell>
          <cell r="AB106" t="str">
            <v>Cumu Bud</v>
          </cell>
          <cell r="AC106" t="str">
            <v>Cumu Bud</v>
          </cell>
          <cell r="AD106" t="str">
            <v>Cumu Bud</v>
          </cell>
          <cell r="AE106" t="str">
            <v>Cumu Bud</v>
          </cell>
          <cell r="AF106" t="str">
            <v>Cumu Bud</v>
          </cell>
        </row>
        <row r="107">
          <cell r="D107" t="str">
            <v>Particulars</v>
          </cell>
          <cell r="E107">
            <v>41651</v>
          </cell>
          <cell r="F107">
            <v>41682</v>
          </cell>
          <cell r="G107">
            <v>41710</v>
          </cell>
          <cell r="H107" t="str">
            <v>Q-1</v>
          </cell>
          <cell r="I107">
            <v>41741</v>
          </cell>
          <cell r="J107">
            <v>41771</v>
          </cell>
          <cell r="K107">
            <v>41802</v>
          </cell>
          <cell r="L107" t="str">
            <v>Q-2</v>
          </cell>
          <cell r="M107">
            <v>41832</v>
          </cell>
          <cell r="N107">
            <v>41863</v>
          </cell>
          <cell r="O107">
            <v>41894</v>
          </cell>
          <cell r="P107" t="str">
            <v>Q-3</v>
          </cell>
          <cell r="Q107">
            <v>41924</v>
          </cell>
          <cell r="R107">
            <v>41955</v>
          </cell>
          <cell r="S107">
            <v>41985</v>
          </cell>
          <cell r="T107" t="str">
            <v>Q-4</v>
          </cell>
          <cell r="U107">
            <v>41651</v>
          </cell>
          <cell r="V107">
            <v>41682</v>
          </cell>
          <cell r="W107">
            <v>41710</v>
          </cell>
          <cell r="X107">
            <v>41741</v>
          </cell>
          <cell r="Y107">
            <v>41771</v>
          </cell>
          <cell r="Z107">
            <v>41802</v>
          </cell>
          <cell r="AA107">
            <v>41832</v>
          </cell>
          <cell r="AB107">
            <v>41863</v>
          </cell>
          <cell r="AC107">
            <v>41894</v>
          </cell>
          <cell r="AD107">
            <v>41924</v>
          </cell>
          <cell r="AE107">
            <v>41955</v>
          </cell>
          <cell r="AF107">
            <v>41985</v>
          </cell>
        </row>
        <row r="109">
          <cell r="D109" t="str">
            <v>Sales</v>
          </cell>
          <cell r="E109">
            <v>31.052787143336008</v>
          </cell>
          <cell r="F109">
            <v>28.669349533650131</v>
          </cell>
          <cell r="G109">
            <v>21.723331356851286</v>
          </cell>
          <cell r="H109">
            <v>81.445468033837429</v>
          </cell>
          <cell r="I109">
            <v>32.142358622049557</v>
          </cell>
          <cell r="J109">
            <v>32.142358622049557</v>
          </cell>
          <cell r="K109">
            <v>32.993586339794504</v>
          </cell>
          <cell r="L109">
            <v>97.278303583893617</v>
          </cell>
          <cell r="M109">
            <v>40.484390255950125</v>
          </cell>
          <cell r="N109">
            <v>54.580721261806602</v>
          </cell>
          <cell r="O109">
            <v>33.436224753021889</v>
          </cell>
          <cell r="P109">
            <v>128.50133627077861</v>
          </cell>
          <cell r="Q109">
            <v>45.948659319915969</v>
          </cell>
          <cell r="R109">
            <v>44.842676170804303</v>
          </cell>
          <cell r="S109">
            <v>25.162291336540907</v>
          </cell>
          <cell r="T109">
            <v>115.95362682726117</v>
          </cell>
          <cell r="U109">
            <v>31.052787143336008</v>
          </cell>
          <cell r="V109">
            <v>59.722136676986139</v>
          </cell>
          <cell r="W109">
            <v>81.445468033837429</v>
          </cell>
          <cell r="X109">
            <v>113.58782665588699</v>
          </cell>
          <cell r="Y109">
            <v>145.73018527793653</v>
          </cell>
          <cell r="Z109">
            <v>178.72377161773102</v>
          </cell>
          <cell r="AA109">
            <v>219.20816187368115</v>
          </cell>
          <cell r="AB109">
            <v>273.78888313548777</v>
          </cell>
          <cell r="AC109">
            <v>307.22510788850968</v>
          </cell>
          <cell r="AD109">
            <v>353.17376720842566</v>
          </cell>
          <cell r="AE109">
            <v>398.01644337922994</v>
          </cell>
          <cell r="AF109">
            <v>423.17873471577087</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D111" t="str">
            <v>Cost of Goods Sold</v>
          </cell>
          <cell r="E111">
            <v>15.667337</v>
          </cell>
          <cell r="F111">
            <v>14.462836500000002</v>
          </cell>
          <cell r="G111">
            <v>10.957229500000002</v>
          </cell>
          <cell r="H111">
            <v>41.087403000000002</v>
          </cell>
          <cell r="I111">
            <v>16.21564</v>
          </cell>
          <cell r="J111">
            <v>16.21564</v>
          </cell>
          <cell r="K111">
            <v>15.813141750000003</v>
          </cell>
          <cell r="L111">
            <v>48.244421750000001</v>
          </cell>
          <cell r="M111">
            <v>19.859693</v>
          </cell>
          <cell r="N111">
            <v>25.642249500000002</v>
          </cell>
          <cell r="O111">
            <v>17.276112000000001</v>
          </cell>
          <cell r="P111">
            <v>62.778054499999996</v>
          </cell>
          <cell r="Q111">
            <v>22.422799115499998</v>
          </cell>
          <cell r="R111">
            <v>21.709885750000002</v>
          </cell>
          <cell r="S111">
            <v>12.70561775</v>
          </cell>
          <cell r="T111">
            <v>56.838302615499998</v>
          </cell>
          <cell r="U111">
            <v>15.667337</v>
          </cell>
          <cell r="V111">
            <v>30.130173500000001</v>
          </cell>
          <cell r="W111">
            <v>41.087403000000002</v>
          </cell>
          <cell r="X111">
            <v>57.303043000000002</v>
          </cell>
          <cell r="Y111">
            <v>73.51868300000001</v>
          </cell>
          <cell r="Z111">
            <v>89.33182475000001</v>
          </cell>
          <cell r="AA111">
            <v>109.19151775</v>
          </cell>
          <cell r="AB111">
            <v>134.83376724999999</v>
          </cell>
          <cell r="AC111">
            <v>152.10987925000001</v>
          </cell>
          <cell r="AD111">
            <v>174.5326783655</v>
          </cell>
          <cell r="AE111">
            <v>196.24256411550002</v>
          </cell>
          <cell r="AF111">
            <v>208.9481818655</v>
          </cell>
        </row>
        <row r="112">
          <cell r="D112" t="str">
            <v>ED Savings</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D113" t="str">
            <v>PRISM II &amp; PSM Savings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row>
        <row r="115">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row>
        <row r="116">
          <cell r="D116" t="str">
            <v>Contribution</v>
          </cell>
          <cell r="E116">
            <v>15.385450143336008</v>
          </cell>
          <cell r="F116">
            <v>14.206513033650129</v>
          </cell>
          <cell r="G116">
            <v>10.766101856851284</v>
          </cell>
          <cell r="H116">
            <v>40.358065033837427</v>
          </cell>
          <cell r="I116">
            <v>15.926718622049556</v>
          </cell>
          <cell r="J116">
            <v>15.926718622049556</v>
          </cell>
          <cell r="K116">
            <v>17.180444589794501</v>
          </cell>
          <cell r="L116">
            <v>49.033881833893616</v>
          </cell>
          <cell r="M116">
            <v>20.624697255950124</v>
          </cell>
          <cell r="N116">
            <v>28.9384717618066</v>
          </cell>
          <cell r="O116">
            <v>16.160112753021888</v>
          </cell>
          <cell r="P116">
            <v>65.723281770778613</v>
          </cell>
          <cell r="Q116">
            <v>23.52586020441597</v>
          </cell>
          <cell r="R116">
            <v>23.132790420804302</v>
          </cell>
          <cell r="S116">
            <v>12.456673586540907</v>
          </cell>
          <cell r="T116">
            <v>59.115324211761177</v>
          </cell>
          <cell r="U116">
            <v>15.385450143336008</v>
          </cell>
          <cell r="V116">
            <v>29.591963176986138</v>
          </cell>
          <cell r="W116">
            <v>40.35806503383742</v>
          </cell>
          <cell r="X116">
            <v>56.284783655886976</v>
          </cell>
          <cell r="Y116">
            <v>72.211502277936532</v>
          </cell>
          <cell r="Z116">
            <v>89.391946867731036</v>
          </cell>
          <cell r="AA116">
            <v>110.01664412368116</v>
          </cell>
          <cell r="AB116">
            <v>138.95511588548777</v>
          </cell>
          <cell r="AC116">
            <v>155.11522863850965</v>
          </cell>
          <cell r="AD116">
            <v>178.64108884292563</v>
          </cell>
          <cell r="AE116">
            <v>201.77387926372992</v>
          </cell>
          <cell r="AF116">
            <v>214.23055285027084</v>
          </cell>
        </row>
        <row r="117">
          <cell r="D117">
            <v>0</v>
          </cell>
          <cell r="E117">
            <v>0.49546116657157319</v>
          </cell>
          <cell r="F117">
            <v>0.49552966023786105</v>
          </cell>
          <cell r="G117">
            <v>0.49560086710438089</v>
          </cell>
          <cell r="H117">
            <v>0.49552253806277125</v>
          </cell>
          <cell r="I117">
            <v>0.49550559774800962</v>
          </cell>
          <cell r="J117">
            <v>0.49550559774800962</v>
          </cell>
          <cell r="K117">
            <v>0.5207207368382587</v>
          </cell>
          <cell r="L117">
            <v>0.50405773977756907</v>
          </cell>
          <cell r="M117">
            <v>0.50944813854319682</v>
          </cell>
          <cell r="N117">
            <v>0.53019584741282233</v>
          </cell>
          <cell r="O117">
            <v>0.48331152432397062</v>
          </cell>
          <cell r="P117">
            <v>0.51145990911943673</v>
          </cell>
          <cell r="Q117">
            <v>0.51200319122736471</v>
          </cell>
          <cell r="R117">
            <v>0.51586551910265688</v>
          </cell>
          <cell r="S117">
            <v>0.49505322945097663</v>
          </cell>
          <cell r="T117">
            <v>0.50981867345837018</v>
          </cell>
          <cell r="U117">
            <v>0.49546116657157319</v>
          </cell>
          <cell r="V117">
            <v>0.49549404665538982</v>
          </cell>
          <cell r="W117">
            <v>0.49552253806277119</v>
          </cell>
          <cell r="X117">
            <v>0.49551774440056046</v>
          </cell>
          <cell r="Y117">
            <v>0.49551506532579231</v>
          </cell>
          <cell r="Z117">
            <v>0.50016819843601901</v>
          </cell>
          <cell r="AA117">
            <v>0.5018820612486059</v>
          </cell>
          <cell r="AB117">
            <v>0.50752650835981583</v>
          </cell>
          <cell r="AC117">
            <v>0.50489111942895015</v>
          </cell>
          <cell r="AD117">
            <v>0.50581641511754893</v>
          </cell>
          <cell r="AE117">
            <v>0.50694860129554953</v>
          </cell>
          <cell r="AF117">
            <v>0.50624130013092306</v>
          </cell>
        </row>
        <row r="118">
          <cell r="D118" t="str">
            <v>Overheads</v>
          </cell>
        </row>
        <row r="119">
          <cell r="D119" t="str">
            <v>Advertisement Exp.</v>
          </cell>
          <cell r="E119">
            <v>5</v>
          </cell>
          <cell r="F119">
            <v>5</v>
          </cell>
          <cell r="G119">
            <v>5</v>
          </cell>
          <cell r="H119">
            <v>15</v>
          </cell>
          <cell r="I119">
            <v>8.8888888888888893</v>
          </cell>
          <cell r="J119">
            <v>8.8888888888888893</v>
          </cell>
          <cell r="K119">
            <v>8.8888888888888893</v>
          </cell>
          <cell r="L119">
            <v>26.666666666666668</v>
          </cell>
          <cell r="M119">
            <v>8.8888888888888893</v>
          </cell>
          <cell r="N119">
            <v>8.8888888888888893</v>
          </cell>
          <cell r="O119">
            <v>8.8888888888888893</v>
          </cell>
          <cell r="P119">
            <v>26.666666666666668</v>
          </cell>
          <cell r="Q119">
            <v>8.8888888888888893</v>
          </cell>
          <cell r="R119">
            <v>8.8888888888888893</v>
          </cell>
          <cell r="S119">
            <v>8.8888888888888893</v>
          </cell>
          <cell r="T119">
            <v>26.666666666666668</v>
          </cell>
          <cell r="U119">
            <v>5</v>
          </cell>
          <cell r="V119">
            <v>10</v>
          </cell>
          <cell r="W119">
            <v>15</v>
          </cell>
          <cell r="X119">
            <v>23.888888888888889</v>
          </cell>
          <cell r="Y119">
            <v>32.777777777777779</v>
          </cell>
          <cell r="Z119">
            <v>41.666666666666671</v>
          </cell>
          <cell r="AA119">
            <v>50.555555555555557</v>
          </cell>
          <cell r="AB119">
            <v>59.444444444444443</v>
          </cell>
          <cell r="AC119">
            <v>68.333333333333329</v>
          </cell>
          <cell r="AD119">
            <v>77.222222222222214</v>
          </cell>
          <cell r="AE119">
            <v>86.1111111111111</v>
          </cell>
          <cell r="AF119">
            <v>94.999999999999986</v>
          </cell>
        </row>
        <row r="120">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D121" t="str">
            <v>Total Overheads (a+b)</v>
          </cell>
          <cell r="E121">
            <v>5</v>
          </cell>
          <cell r="F121">
            <v>5</v>
          </cell>
          <cell r="G121">
            <v>5</v>
          </cell>
          <cell r="H121">
            <v>15</v>
          </cell>
          <cell r="I121">
            <v>8.8888888888888893</v>
          </cell>
          <cell r="J121">
            <v>8.8888888888888893</v>
          </cell>
          <cell r="K121">
            <v>8.8888888888888893</v>
          </cell>
          <cell r="L121">
            <v>26.666666666666668</v>
          </cell>
          <cell r="M121">
            <v>8.8888888888888893</v>
          </cell>
          <cell r="N121">
            <v>8.8888888888888893</v>
          </cell>
          <cell r="O121">
            <v>8.8888888888888893</v>
          </cell>
          <cell r="P121">
            <v>26.666666666666668</v>
          </cell>
          <cell r="Q121">
            <v>8.8888888888888893</v>
          </cell>
          <cell r="R121">
            <v>8.8888888888888893</v>
          </cell>
          <cell r="S121">
            <v>8.8888888888888893</v>
          </cell>
          <cell r="T121">
            <v>26.666666666666668</v>
          </cell>
          <cell r="U121">
            <v>5</v>
          </cell>
          <cell r="V121">
            <v>10</v>
          </cell>
          <cell r="W121">
            <v>15</v>
          </cell>
          <cell r="X121">
            <v>23.888888888888889</v>
          </cell>
          <cell r="Y121">
            <v>32.777777777777779</v>
          </cell>
          <cell r="Z121">
            <v>41.666666666666671</v>
          </cell>
          <cell r="AA121">
            <v>50.555555555555557</v>
          </cell>
          <cell r="AB121">
            <v>59.444444444444443</v>
          </cell>
          <cell r="AC121">
            <v>68.333333333333329</v>
          </cell>
          <cell r="AD121">
            <v>77.222222222222214</v>
          </cell>
          <cell r="AE121">
            <v>86.1111111111111</v>
          </cell>
          <cell r="AF121">
            <v>94.999999999999986</v>
          </cell>
        </row>
        <row r="122">
          <cell r="D122" t="str">
            <v>OPERATING PROFIT (LOSS)</v>
          </cell>
          <cell r="E122">
            <v>10.385450143336008</v>
          </cell>
          <cell r="F122">
            <v>9.2065130336501291</v>
          </cell>
          <cell r="G122">
            <v>5.7661018568512841</v>
          </cell>
          <cell r="H122">
            <v>25.358065033837427</v>
          </cell>
          <cell r="I122">
            <v>7.0378297331606667</v>
          </cell>
          <cell r="J122">
            <v>7.0378297331606667</v>
          </cell>
          <cell r="K122">
            <v>8.2915557009056116</v>
          </cell>
          <cell r="L122">
            <v>22.367215167226949</v>
          </cell>
          <cell r="M122">
            <v>11.735808367061235</v>
          </cell>
          <cell r="N122">
            <v>20.049582872917711</v>
          </cell>
          <cell r="O122">
            <v>7.2712238641329989</v>
          </cell>
          <cell r="P122">
            <v>39.056615104111941</v>
          </cell>
          <cell r="Q122">
            <v>14.636971315527081</v>
          </cell>
          <cell r="R122">
            <v>14.243901531915412</v>
          </cell>
          <cell r="S122">
            <v>3.5677846976520176</v>
          </cell>
          <cell r="T122">
            <v>32.448657545094505</v>
          </cell>
          <cell r="U122">
            <v>10.385450143336008</v>
          </cell>
          <cell r="V122">
            <v>19.591963176986138</v>
          </cell>
          <cell r="W122">
            <v>25.35806503383742</v>
          </cell>
          <cell r="X122">
            <v>32.395894766998083</v>
          </cell>
          <cell r="Y122">
            <v>39.433724500158746</v>
          </cell>
          <cell r="Z122">
            <v>47.725280201064358</v>
          </cell>
          <cell r="AA122">
            <v>59.461088568125589</v>
          </cell>
          <cell r="AB122">
            <v>79.5106714410433</v>
          </cell>
          <cell r="AC122">
            <v>86.781895305176306</v>
          </cell>
          <cell r="AD122">
            <v>101.41886662070338</v>
          </cell>
          <cell r="AE122">
            <v>115.6627681526188</v>
          </cell>
          <cell r="AF122">
            <v>119.23055285027081</v>
          </cell>
        </row>
        <row r="125">
          <cell r="D125">
            <v>4</v>
          </cell>
          <cell r="E125">
            <v>5</v>
          </cell>
          <cell r="F125">
            <v>6</v>
          </cell>
          <cell r="G125">
            <v>7</v>
          </cell>
          <cell r="H125">
            <v>8</v>
          </cell>
          <cell r="I125">
            <v>9</v>
          </cell>
          <cell r="J125">
            <v>10</v>
          </cell>
          <cell r="K125">
            <v>11</v>
          </cell>
          <cell r="L125">
            <v>12</v>
          </cell>
          <cell r="M125">
            <v>13</v>
          </cell>
          <cell r="N125">
            <v>14</v>
          </cell>
          <cell r="O125">
            <v>15</v>
          </cell>
          <cell r="P125">
            <v>16</v>
          </cell>
          <cell r="Q125">
            <v>17</v>
          </cell>
          <cell r="R125">
            <v>18</v>
          </cell>
          <cell r="S125">
            <v>19</v>
          </cell>
          <cell r="T125">
            <v>20</v>
          </cell>
          <cell r="U125">
            <v>21</v>
          </cell>
          <cell r="V125">
            <v>22</v>
          </cell>
          <cell r="W125">
            <v>23</v>
          </cell>
          <cell r="X125">
            <v>24</v>
          </cell>
          <cell r="Y125">
            <v>25</v>
          </cell>
          <cell r="Z125">
            <v>26</v>
          </cell>
          <cell r="AA125">
            <v>27</v>
          </cell>
          <cell r="AB125">
            <v>28</v>
          </cell>
          <cell r="AC125">
            <v>29</v>
          </cell>
          <cell r="AD125">
            <v>30</v>
          </cell>
          <cell r="AE125">
            <v>31</v>
          </cell>
          <cell r="AF125">
            <v>32</v>
          </cell>
        </row>
        <row r="126">
          <cell r="E126" t="str">
            <v>Budget</v>
          </cell>
          <cell r="F126" t="str">
            <v>Budget</v>
          </cell>
          <cell r="G126" t="str">
            <v>Budget</v>
          </cell>
          <cell r="H126" t="str">
            <v>Budget</v>
          </cell>
          <cell r="I126" t="str">
            <v>Budget</v>
          </cell>
          <cell r="J126" t="str">
            <v>Budget</v>
          </cell>
          <cell r="K126" t="str">
            <v>Budget</v>
          </cell>
          <cell r="L126" t="str">
            <v>Budget</v>
          </cell>
          <cell r="M126" t="str">
            <v>Budget</v>
          </cell>
          <cell r="N126" t="str">
            <v>Budget</v>
          </cell>
          <cell r="O126" t="str">
            <v>Budget</v>
          </cell>
          <cell r="P126" t="str">
            <v>Budget</v>
          </cell>
          <cell r="Q126" t="str">
            <v>Budget</v>
          </cell>
          <cell r="R126" t="str">
            <v>Budget</v>
          </cell>
          <cell r="S126" t="str">
            <v>Budget</v>
          </cell>
          <cell r="T126" t="str">
            <v>Budget</v>
          </cell>
          <cell r="U126" t="str">
            <v>Cumu Bud</v>
          </cell>
          <cell r="V126" t="str">
            <v>Cumu Bud</v>
          </cell>
          <cell r="W126" t="str">
            <v>Cumu Bud</v>
          </cell>
          <cell r="X126" t="str">
            <v>Cumu Bud</v>
          </cell>
          <cell r="Y126" t="str">
            <v>Cumu Bud</v>
          </cell>
          <cell r="Z126" t="str">
            <v>Cumu Bud</v>
          </cell>
          <cell r="AA126" t="str">
            <v>Cumu Bud</v>
          </cell>
          <cell r="AB126" t="str">
            <v>Cumu Bud</v>
          </cell>
          <cell r="AC126" t="str">
            <v>Cumu Bud</v>
          </cell>
          <cell r="AD126" t="str">
            <v>Cumu Bud</v>
          </cell>
          <cell r="AE126" t="str">
            <v>Cumu Bud</v>
          </cell>
          <cell r="AF126" t="str">
            <v>Cumu Bud</v>
          </cell>
        </row>
        <row r="127">
          <cell r="D127" t="str">
            <v>Particulars</v>
          </cell>
          <cell r="E127">
            <v>41651</v>
          </cell>
          <cell r="F127">
            <v>41682</v>
          </cell>
          <cell r="G127">
            <v>41710</v>
          </cell>
          <cell r="H127" t="str">
            <v>Q-1</v>
          </cell>
          <cell r="I127">
            <v>41741</v>
          </cell>
          <cell r="J127">
            <v>41771</v>
          </cell>
          <cell r="K127">
            <v>41802</v>
          </cell>
          <cell r="L127" t="str">
            <v>Q-2</v>
          </cell>
          <cell r="M127">
            <v>41832</v>
          </cell>
          <cell r="N127">
            <v>41863</v>
          </cell>
          <cell r="O127">
            <v>41894</v>
          </cell>
          <cell r="P127" t="str">
            <v>Q-3</v>
          </cell>
          <cell r="Q127">
            <v>41924</v>
          </cell>
          <cell r="R127">
            <v>41955</v>
          </cell>
          <cell r="S127">
            <v>41985</v>
          </cell>
          <cell r="T127" t="str">
            <v>Q-4</v>
          </cell>
          <cell r="U127">
            <v>41651</v>
          </cell>
          <cell r="V127">
            <v>41682</v>
          </cell>
          <cell r="W127">
            <v>41710</v>
          </cell>
          <cell r="X127">
            <v>41741</v>
          </cell>
          <cell r="Y127">
            <v>41771</v>
          </cell>
          <cell r="Z127">
            <v>41802</v>
          </cell>
          <cell r="AA127">
            <v>41832</v>
          </cell>
          <cell r="AB127">
            <v>41863</v>
          </cell>
          <cell r="AC127">
            <v>41894</v>
          </cell>
          <cell r="AD127">
            <v>41924</v>
          </cell>
          <cell r="AE127">
            <v>41955</v>
          </cell>
          <cell r="AF127">
            <v>41985</v>
          </cell>
        </row>
        <row r="129">
          <cell r="D129" t="str">
            <v>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D131" t="str">
            <v>Cost of Goods Sold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D132" t="str">
            <v>ED Savings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D133" t="str">
            <v>PRISM II &amp; PSM Savings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row>
        <row r="136">
          <cell r="D136" t="str">
            <v>Contribution</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D137">
            <v>0</v>
          </cell>
          <cell r="E137" t="e">
            <v>#DIV/0!</v>
          </cell>
          <cell r="F137" t="e">
            <v>#DIV/0!</v>
          </cell>
          <cell r="G137" t="e">
            <v>#DIV/0!</v>
          </cell>
          <cell r="H137" t="e">
            <v>#DIV/0!</v>
          </cell>
          <cell r="I137" t="e">
            <v>#DIV/0!</v>
          </cell>
          <cell r="J137" t="e">
            <v>#DIV/0!</v>
          </cell>
          <cell r="K137" t="e">
            <v>#DIV/0!</v>
          </cell>
          <cell r="L137" t="e">
            <v>#DIV/0!</v>
          </cell>
          <cell r="M137" t="e">
            <v>#DIV/0!</v>
          </cell>
          <cell r="N137" t="e">
            <v>#DIV/0!</v>
          </cell>
          <cell r="O137" t="e">
            <v>#DIV/0!</v>
          </cell>
          <cell r="P137" t="e">
            <v>#DIV/0!</v>
          </cell>
          <cell r="Q137" t="e">
            <v>#DIV/0!</v>
          </cell>
          <cell r="R137" t="e">
            <v>#DIV/0!</v>
          </cell>
          <cell r="S137" t="e">
            <v>#DIV/0!</v>
          </cell>
          <cell r="T137" t="e">
            <v>#DIV/0!</v>
          </cell>
          <cell r="U137" t="e">
            <v>#DIV/0!</v>
          </cell>
          <cell r="V137" t="e">
            <v>#DIV/0!</v>
          </cell>
          <cell r="W137" t="e">
            <v>#DIV/0!</v>
          </cell>
          <cell r="X137" t="e">
            <v>#DIV/0!</v>
          </cell>
          <cell r="Y137" t="e">
            <v>#DIV/0!</v>
          </cell>
          <cell r="Z137" t="e">
            <v>#DIV/0!</v>
          </cell>
          <cell r="AA137" t="e">
            <v>#DIV/0!</v>
          </cell>
          <cell r="AB137" t="e">
            <v>#DIV/0!</v>
          </cell>
          <cell r="AC137" t="e">
            <v>#DIV/0!</v>
          </cell>
          <cell r="AD137" t="e">
            <v>#DIV/0!</v>
          </cell>
          <cell r="AE137" t="e">
            <v>#DIV/0!</v>
          </cell>
          <cell r="AF137" t="e">
            <v>#DIV/0!</v>
          </cell>
        </row>
        <row r="138">
          <cell r="D138" t="str">
            <v>Overheads</v>
          </cell>
        </row>
        <row r="139">
          <cell r="D139" t="str">
            <v>Advertisement Exp.</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D141" t="str">
            <v>Total Overheads (a+b)</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D142" t="str">
            <v>OPERATING PROFIT (LOSS)</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68">
          <cell r="D168">
            <v>4</v>
          </cell>
          <cell r="E168">
            <v>5</v>
          </cell>
          <cell r="F168">
            <v>6</v>
          </cell>
          <cell r="G168">
            <v>7</v>
          </cell>
          <cell r="H168">
            <v>8</v>
          </cell>
          <cell r="I168">
            <v>9</v>
          </cell>
          <cell r="J168">
            <v>10</v>
          </cell>
          <cell r="K168">
            <v>11</v>
          </cell>
          <cell r="L168">
            <v>12</v>
          </cell>
          <cell r="M168">
            <v>13</v>
          </cell>
          <cell r="N168">
            <v>14</v>
          </cell>
          <cell r="O168">
            <v>15</v>
          </cell>
          <cell r="P168">
            <v>16</v>
          </cell>
          <cell r="Q168">
            <v>17</v>
          </cell>
          <cell r="R168">
            <v>18</v>
          </cell>
          <cell r="S168">
            <v>19</v>
          </cell>
          <cell r="T168">
            <v>20</v>
          </cell>
          <cell r="U168">
            <v>21</v>
          </cell>
          <cell r="V168">
            <v>22</v>
          </cell>
          <cell r="W168">
            <v>23</v>
          </cell>
          <cell r="X168">
            <v>24</v>
          </cell>
          <cell r="Y168">
            <v>25</v>
          </cell>
          <cell r="Z168">
            <v>26</v>
          </cell>
          <cell r="AA168">
            <v>27</v>
          </cell>
          <cell r="AB168">
            <v>28</v>
          </cell>
          <cell r="AC168">
            <v>29</v>
          </cell>
          <cell r="AD168">
            <v>30</v>
          </cell>
          <cell r="AE168">
            <v>31</v>
          </cell>
          <cell r="AF168">
            <v>32</v>
          </cell>
        </row>
        <row r="169">
          <cell r="E169" t="str">
            <v>Actual</v>
          </cell>
          <cell r="F169" t="str">
            <v>Actual</v>
          </cell>
          <cell r="G169" t="str">
            <v>Actual</v>
          </cell>
          <cell r="H169" t="str">
            <v>Actual</v>
          </cell>
          <cell r="I169" t="str">
            <v>Actual</v>
          </cell>
          <cell r="J169" t="str">
            <v>Actual</v>
          </cell>
          <cell r="K169" t="str">
            <v>Actual</v>
          </cell>
          <cell r="L169" t="str">
            <v>Actual</v>
          </cell>
          <cell r="M169" t="str">
            <v>Actual</v>
          </cell>
          <cell r="N169" t="str">
            <v>Actual</v>
          </cell>
          <cell r="O169" t="str">
            <v>Actual</v>
          </cell>
          <cell r="P169" t="str">
            <v>Actual</v>
          </cell>
          <cell r="Q169" t="str">
            <v>Actual</v>
          </cell>
          <cell r="R169" t="str">
            <v>Actual</v>
          </cell>
          <cell r="S169" t="str">
            <v>Actual</v>
          </cell>
          <cell r="T169" t="str">
            <v>Actual</v>
          </cell>
          <cell r="U169" t="str">
            <v>Cumu Act</v>
          </cell>
          <cell r="V169" t="str">
            <v>Cumu Act</v>
          </cell>
          <cell r="W169" t="str">
            <v>Cumu Act</v>
          </cell>
          <cell r="X169" t="str">
            <v>Cumu Act</v>
          </cell>
          <cell r="Y169" t="str">
            <v>Cumu Act</v>
          </cell>
          <cell r="Z169" t="str">
            <v>Cumu Act</v>
          </cell>
          <cell r="AA169" t="str">
            <v>Cumu Act</v>
          </cell>
          <cell r="AB169" t="str">
            <v>Cumu Act</v>
          </cell>
          <cell r="AC169" t="str">
            <v>Cumu Act</v>
          </cell>
          <cell r="AD169" t="str">
            <v>Cumu Act</v>
          </cell>
          <cell r="AE169" t="str">
            <v>Cumu Act</v>
          </cell>
          <cell r="AF169" t="str">
            <v>Cumu Act</v>
          </cell>
        </row>
        <row r="170">
          <cell r="D170" t="str">
            <v>Particulars</v>
          </cell>
          <cell r="E170">
            <v>41651</v>
          </cell>
          <cell r="F170">
            <v>41682</v>
          </cell>
          <cell r="G170">
            <v>41710</v>
          </cell>
          <cell r="H170" t="str">
            <v>Q-1</v>
          </cell>
          <cell r="I170">
            <v>41741</v>
          </cell>
          <cell r="J170">
            <v>41771</v>
          </cell>
          <cell r="K170">
            <v>41802</v>
          </cell>
          <cell r="L170" t="str">
            <v>Q-2</v>
          </cell>
          <cell r="M170">
            <v>41832</v>
          </cell>
          <cell r="N170">
            <v>41863</v>
          </cell>
          <cell r="O170">
            <v>41894</v>
          </cell>
          <cell r="P170" t="str">
            <v>Q-3</v>
          </cell>
          <cell r="Q170">
            <v>41924</v>
          </cell>
          <cell r="R170">
            <v>41955</v>
          </cell>
          <cell r="S170">
            <v>41985</v>
          </cell>
          <cell r="T170" t="str">
            <v>Q-4</v>
          </cell>
          <cell r="U170">
            <v>41651</v>
          </cell>
          <cell r="V170">
            <v>41682</v>
          </cell>
          <cell r="W170">
            <v>41710</v>
          </cell>
          <cell r="X170">
            <v>41741</v>
          </cell>
          <cell r="Y170">
            <v>41771</v>
          </cell>
          <cell r="Z170">
            <v>41802</v>
          </cell>
          <cell r="AA170">
            <v>41832</v>
          </cell>
          <cell r="AB170">
            <v>41863</v>
          </cell>
          <cell r="AC170">
            <v>41894</v>
          </cell>
          <cell r="AD170">
            <v>41924</v>
          </cell>
          <cell r="AE170">
            <v>41955</v>
          </cell>
          <cell r="AF170">
            <v>41985</v>
          </cell>
        </row>
        <row r="172">
          <cell r="D172" t="str">
            <v>Sales</v>
          </cell>
          <cell r="E172">
            <v>1976.41</v>
          </cell>
          <cell r="F172">
            <v>1823.2</v>
          </cell>
          <cell r="G172">
            <v>1737.8</v>
          </cell>
          <cell r="H172">
            <v>5537.41</v>
          </cell>
          <cell r="I172">
            <v>1900.22</v>
          </cell>
          <cell r="J172">
            <v>1876.2</v>
          </cell>
          <cell r="K172">
            <v>0</v>
          </cell>
          <cell r="L172">
            <v>3776.42</v>
          </cell>
          <cell r="M172">
            <v>0</v>
          </cell>
          <cell r="N172">
            <v>0</v>
          </cell>
          <cell r="O172">
            <v>0</v>
          </cell>
          <cell r="P172">
            <v>0</v>
          </cell>
          <cell r="Q172">
            <v>0</v>
          </cell>
          <cell r="R172">
            <v>0</v>
          </cell>
          <cell r="S172">
            <v>0</v>
          </cell>
          <cell r="T172">
            <v>0</v>
          </cell>
          <cell r="U172">
            <v>1976.41</v>
          </cell>
          <cell r="V172">
            <v>3799.61</v>
          </cell>
          <cell r="W172">
            <v>5537.41</v>
          </cell>
          <cell r="X172">
            <v>7437.63</v>
          </cell>
          <cell r="Y172">
            <v>9313.83</v>
          </cell>
          <cell r="Z172">
            <v>9313.83</v>
          </cell>
          <cell r="AA172">
            <v>9313.83</v>
          </cell>
          <cell r="AB172">
            <v>9313.83</v>
          </cell>
          <cell r="AC172">
            <v>9313.83</v>
          </cell>
          <cell r="AD172">
            <v>9313.83</v>
          </cell>
          <cell r="AE172">
            <v>9313.83</v>
          </cell>
          <cell r="AF172">
            <v>9313.83</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D174" t="str">
            <v>Cost of Goods Sold</v>
          </cell>
          <cell r="E174">
            <v>654.23</v>
          </cell>
          <cell r="F174">
            <v>604.59</v>
          </cell>
          <cell r="G174">
            <v>577.11</v>
          </cell>
          <cell r="H174">
            <v>1835.9300000000003</v>
          </cell>
          <cell r="I174">
            <v>639.66</v>
          </cell>
          <cell r="J174">
            <v>621.54</v>
          </cell>
          <cell r="K174">
            <v>0</v>
          </cell>
          <cell r="L174">
            <v>1261.1999999999998</v>
          </cell>
          <cell r="M174">
            <v>0</v>
          </cell>
          <cell r="N174">
            <v>0</v>
          </cell>
          <cell r="O174">
            <v>0</v>
          </cell>
          <cell r="P174">
            <v>0</v>
          </cell>
          <cell r="Q174">
            <v>0</v>
          </cell>
          <cell r="R174">
            <v>0</v>
          </cell>
          <cell r="S174">
            <v>0</v>
          </cell>
          <cell r="T174">
            <v>0</v>
          </cell>
          <cell r="U174">
            <v>654.23</v>
          </cell>
          <cell r="V174">
            <v>1258.8200000000002</v>
          </cell>
          <cell r="W174">
            <v>1835.9300000000003</v>
          </cell>
          <cell r="X174">
            <v>2475.59</v>
          </cell>
          <cell r="Y174">
            <v>3097.13</v>
          </cell>
          <cell r="Z174">
            <v>3097.13</v>
          </cell>
          <cell r="AA174">
            <v>3097.13</v>
          </cell>
          <cell r="AB174">
            <v>3097.13</v>
          </cell>
          <cell r="AC174">
            <v>3097.13</v>
          </cell>
          <cell r="AD174">
            <v>3097.13</v>
          </cell>
          <cell r="AE174">
            <v>3097.13</v>
          </cell>
          <cell r="AF174">
            <v>3097.13</v>
          </cell>
        </row>
        <row r="175">
          <cell r="D175" t="str">
            <v>ED Savings</v>
          </cell>
          <cell r="E175">
            <v>89.6424510599999</v>
          </cell>
          <cell r="F175">
            <v>82.624115340000003</v>
          </cell>
          <cell r="G175">
            <v>77.319999999999993</v>
          </cell>
          <cell r="H175">
            <v>249.5865663999999</v>
          </cell>
          <cell r="I175">
            <v>95.86</v>
          </cell>
          <cell r="J175">
            <v>71.67</v>
          </cell>
          <cell r="K175">
            <v>0</v>
          </cell>
          <cell r="L175">
            <v>167.53</v>
          </cell>
          <cell r="M175">
            <v>0</v>
          </cell>
          <cell r="N175">
            <v>0</v>
          </cell>
          <cell r="O175">
            <v>0</v>
          </cell>
          <cell r="P175">
            <v>0</v>
          </cell>
          <cell r="Q175">
            <v>0</v>
          </cell>
          <cell r="R175">
            <v>0</v>
          </cell>
          <cell r="S175">
            <v>0</v>
          </cell>
          <cell r="T175">
            <v>0</v>
          </cell>
          <cell r="U175">
            <v>89.6424510599999</v>
          </cell>
          <cell r="V175">
            <v>172.2665663999999</v>
          </cell>
          <cell r="W175">
            <v>249.5865663999999</v>
          </cell>
          <cell r="X175">
            <v>345.44656639999988</v>
          </cell>
          <cell r="Y175">
            <v>417.1165663999999</v>
          </cell>
          <cell r="Z175">
            <v>417.1165663999999</v>
          </cell>
          <cell r="AA175">
            <v>417.1165663999999</v>
          </cell>
          <cell r="AB175">
            <v>417.1165663999999</v>
          </cell>
          <cell r="AC175">
            <v>417.1165663999999</v>
          </cell>
          <cell r="AD175">
            <v>417.1165663999999</v>
          </cell>
          <cell r="AE175">
            <v>417.1165663999999</v>
          </cell>
          <cell r="AF175">
            <v>417.1165663999999</v>
          </cell>
        </row>
        <row r="176">
          <cell r="D176" t="str">
            <v>PRISM II &amp; PSM Savings</v>
          </cell>
          <cell r="E176">
            <v>29.631296716191162</v>
          </cell>
          <cell r="F176">
            <v>30.820565941706075</v>
          </cell>
          <cell r="G176">
            <v>35.536570175920751</v>
          </cell>
          <cell r="H176">
            <v>95.988432833817996</v>
          </cell>
          <cell r="I176">
            <v>42.32060252894982</v>
          </cell>
          <cell r="J176">
            <v>46.056064808828694</v>
          </cell>
          <cell r="K176">
            <v>0</v>
          </cell>
          <cell r="L176">
            <v>88.376667337778514</v>
          </cell>
          <cell r="M176">
            <v>0</v>
          </cell>
          <cell r="N176">
            <v>0</v>
          </cell>
          <cell r="O176">
            <v>0</v>
          </cell>
          <cell r="P176">
            <v>0</v>
          </cell>
          <cell r="Q176">
            <v>0</v>
          </cell>
          <cell r="R176">
            <v>0</v>
          </cell>
          <cell r="S176">
            <v>0</v>
          </cell>
          <cell r="T176">
            <v>0</v>
          </cell>
          <cell r="U176">
            <v>29.631296716191162</v>
          </cell>
          <cell r="V176">
            <v>60.451862657897237</v>
          </cell>
          <cell r="W176">
            <v>95.988432833817996</v>
          </cell>
          <cell r="X176">
            <v>138.30903536276782</v>
          </cell>
          <cell r="Y176">
            <v>184.36510017159651</v>
          </cell>
          <cell r="Z176">
            <v>184.36510017159651</v>
          </cell>
          <cell r="AA176">
            <v>184.36510017159651</v>
          </cell>
          <cell r="AB176">
            <v>184.36510017159651</v>
          </cell>
          <cell r="AC176">
            <v>184.36510017159651</v>
          </cell>
          <cell r="AD176">
            <v>184.36510017159651</v>
          </cell>
          <cell r="AE176">
            <v>184.36510017159651</v>
          </cell>
          <cell r="AF176">
            <v>184.36510017159651</v>
          </cell>
        </row>
        <row r="177">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8">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row>
        <row r="179">
          <cell r="D179" t="str">
            <v>Contribution</v>
          </cell>
          <cell r="E179">
            <v>1441.4537477761912</v>
          </cell>
          <cell r="F179">
            <v>1332.0546812817063</v>
          </cell>
          <cell r="G179">
            <v>1273.5465701759208</v>
          </cell>
          <cell r="H179">
            <v>4047.0549992338174</v>
          </cell>
          <cell r="I179">
            <v>1398.7406025289497</v>
          </cell>
          <cell r="J179">
            <v>1372.3860648088289</v>
          </cell>
          <cell r="K179">
            <v>0</v>
          </cell>
          <cell r="L179">
            <v>2771.1266673377791</v>
          </cell>
          <cell r="M179">
            <v>0</v>
          </cell>
          <cell r="N179">
            <v>0</v>
          </cell>
          <cell r="O179">
            <v>0</v>
          </cell>
          <cell r="P179">
            <v>0</v>
          </cell>
          <cell r="Q179">
            <v>0</v>
          </cell>
          <cell r="R179">
            <v>0</v>
          </cell>
          <cell r="S179">
            <v>0</v>
          </cell>
          <cell r="T179">
            <v>0</v>
          </cell>
          <cell r="U179">
            <v>1441.4537477761912</v>
          </cell>
          <cell r="V179">
            <v>2773.5084290578975</v>
          </cell>
          <cell r="W179">
            <v>4047.0549992338183</v>
          </cell>
          <cell r="X179">
            <v>5445.7956017627675</v>
          </cell>
          <cell r="Y179">
            <v>6818.181666571596</v>
          </cell>
          <cell r="Z179">
            <v>6818.181666571596</v>
          </cell>
          <cell r="AA179">
            <v>6818.181666571596</v>
          </cell>
          <cell r="AB179">
            <v>6818.181666571596</v>
          </cell>
          <cell r="AC179">
            <v>6818.181666571596</v>
          </cell>
          <cell r="AD179">
            <v>6818.181666571596</v>
          </cell>
          <cell r="AE179">
            <v>6818.181666571596</v>
          </cell>
          <cell r="AF179">
            <v>6818.181666571596</v>
          </cell>
        </row>
        <row r="180">
          <cell r="D180">
            <v>0</v>
          </cell>
          <cell r="E180">
            <v>0.72932931313654104</v>
          </cell>
          <cell r="F180">
            <v>0.73061358122076914</v>
          </cell>
          <cell r="G180">
            <v>0.73284990803079808</v>
          </cell>
          <cell r="H180">
            <v>0.73085702507739492</v>
          </cell>
          <cell r="I180">
            <v>0.73609403254831007</v>
          </cell>
          <cell r="J180">
            <v>0.73147109306514702</v>
          </cell>
          <cell r="K180" t="e">
            <v>#DIV/0!</v>
          </cell>
          <cell r="L180">
            <v>0.73379726495934749</v>
          </cell>
          <cell r="M180" t="e">
            <v>#DIV/0!</v>
          </cell>
          <cell r="N180" t="e">
            <v>#DIV/0!</v>
          </cell>
          <cell r="O180" t="e">
            <v>#DIV/0!</v>
          </cell>
          <cell r="P180" t="e">
            <v>#DIV/0!</v>
          </cell>
          <cell r="Q180" t="e">
            <v>#DIV/0!</v>
          </cell>
          <cell r="R180" t="e">
            <v>#DIV/0!</v>
          </cell>
          <cell r="S180" t="e">
            <v>#DIV/0!</v>
          </cell>
          <cell r="T180" t="e">
            <v>#DIV/0!</v>
          </cell>
          <cell r="U180">
            <v>0.72932931313654104</v>
          </cell>
          <cell r="V180">
            <v>0.72994555469058597</v>
          </cell>
          <cell r="W180">
            <v>0.73085702507739514</v>
          </cell>
          <cell r="X180">
            <v>0.73219501397122033</v>
          </cell>
          <cell r="Y180">
            <v>0.73204918562735155</v>
          </cell>
          <cell r="Z180">
            <v>0.73204918562735155</v>
          </cell>
          <cell r="AA180">
            <v>0.73204918562735155</v>
          </cell>
          <cell r="AB180">
            <v>0.73204918562735155</v>
          </cell>
          <cell r="AC180">
            <v>0.73204918562735155</v>
          </cell>
          <cell r="AD180">
            <v>0.73204918562735155</v>
          </cell>
          <cell r="AE180">
            <v>0.73204918562735155</v>
          </cell>
          <cell r="AF180">
            <v>0.73204918562735155</v>
          </cell>
        </row>
        <row r="181">
          <cell r="D181" t="str">
            <v>Overheads</v>
          </cell>
        </row>
        <row r="182">
          <cell r="D182" t="str">
            <v>Advertisement Exp.</v>
          </cell>
          <cell r="E182">
            <v>434.5</v>
          </cell>
          <cell r="F182">
            <v>207</v>
          </cell>
          <cell r="G182">
            <v>82</v>
          </cell>
          <cell r="H182">
            <v>723.5</v>
          </cell>
          <cell r="I182">
            <v>507.5</v>
          </cell>
          <cell r="J182">
            <v>155</v>
          </cell>
          <cell r="K182">
            <v>72</v>
          </cell>
          <cell r="L182">
            <v>734.5</v>
          </cell>
          <cell r="M182">
            <v>196</v>
          </cell>
          <cell r="N182">
            <v>81</v>
          </cell>
          <cell r="O182">
            <v>82</v>
          </cell>
          <cell r="P182">
            <v>359</v>
          </cell>
          <cell r="Q182">
            <v>406</v>
          </cell>
          <cell r="R182">
            <v>260</v>
          </cell>
          <cell r="S182">
            <v>72</v>
          </cell>
          <cell r="T182">
            <v>738</v>
          </cell>
          <cell r="U182">
            <v>434.5</v>
          </cell>
          <cell r="V182">
            <v>641.5</v>
          </cell>
          <cell r="W182">
            <v>723.5</v>
          </cell>
          <cell r="X182">
            <v>1231</v>
          </cell>
          <cell r="Y182">
            <v>1386</v>
          </cell>
          <cell r="Z182">
            <v>1458</v>
          </cell>
          <cell r="AA182">
            <v>1654</v>
          </cell>
          <cell r="AB182">
            <v>1735</v>
          </cell>
          <cell r="AC182">
            <v>1817</v>
          </cell>
          <cell r="AD182">
            <v>2223</v>
          </cell>
          <cell r="AE182">
            <v>2483</v>
          </cell>
          <cell r="AF182">
            <v>2555</v>
          </cell>
        </row>
        <row r="183">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D184" t="str">
            <v>Total Overheads (a+b)</v>
          </cell>
          <cell r="E184">
            <v>434.5</v>
          </cell>
          <cell r="F184">
            <v>207</v>
          </cell>
          <cell r="G184">
            <v>82</v>
          </cell>
          <cell r="H184">
            <v>723.5</v>
          </cell>
          <cell r="I184">
            <v>507.5</v>
          </cell>
          <cell r="J184">
            <v>155</v>
          </cell>
          <cell r="K184">
            <v>72</v>
          </cell>
          <cell r="L184">
            <v>734.5</v>
          </cell>
          <cell r="M184">
            <v>196</v>
          </cell>
          <cell r="N184">
            <v>81</v>
          </cell>
          <cell r="O184">
            <v>82</v>
          </cell>
          <cell r="P184">
            <v>359</v>
          </cell>
          <cell r="Q184">
            <v>406</v>
          </cell>
          <cell r="R184">
            <v>260</v>
          </cell>
          <cell r="S184">
            <v>72</v>
          </cell>
          <cell r="T184">
            <v>738</v>
          </cell>
          <cell r="U184">
            <v>434.5</v>
          </cell>
          <cell r="V184">
            <v>641.5</v>
          </cell>
          <cell r="W184">
            <v>723.5</v>
          </cell>
          <cell r="X184">
            <v>1231</v>
          </cell>
          <cell r="Y184">
            <v>1386</v>
          </cell>
          <cell r="Z184">
            <v>1458</v>
          </cell>
          <cell r="AA184">
            <v>1654</v>
          </cell>
          <cell r="AB184">
            <v>1735</v>
          </cell>
          <cell r="AC184">
            <v>1817</v>
          </cell>
          <cell r="AD184">
            <v>2223</v>
          </cell>
          <cell r="AE184">
            <v>2483</v>
          </cell>
          <cell r="AF184">
            <v>2555</v>
          </cell>
        </row>
        <row r="185">
          <cell r="D185" t="str">
            <v>OPERATING PROFIT (LOSS)</v>
          </cell>
          <cell r="E185">
            <v>1006.9537477761912</v>
          </cell>
          <cell r="F185">
            <v>1125.0546812817063</v>
          </cell>
          <cell r="G185">
            <v>1191.5465701759208</v>
          </cell>
          <cell r="H185">
            <v>3323.5549992338174</v>
          </cell>
          <cell r="I185">
            <v>891.24060252894969</v>
          </cell>
          <cell r="J185">
            <v>1217.3860648088289</v>
          </cell>
          <cell r="K185">
            <v>-72</v>
          </cell>
          <cell r="L185">
            <v>2036.6266673377791</v>
          </cell>
          <cell r="M185">
            <v>-196</v>
          </cell>
          <cell r="N185">
            <v>-81</v>
          </cell>
          <cell r="O185">
            <v>-82</v>
          </cell>
          <cell r="P185">
            <v>-359</v>
          </cell>
          <cell r="Q185">
            <v>-406</v>
          </cell>
          <cell r="R185">
            <v>-260</v>
          </cell>
          <cell r="S185">
            <v>-72</v>
          </cell>
          <cell r="T185">
            <v>-738</v>
          </cell>
          <cell r="U185">
            <v>1006.9537477761912</v>
          </cell>
          <cell r="V185">
            <v>2132.0084290578975</v>
          </cell>
          <cell r="W185">
            <v>3323.5549992338183</v>
          </cell>
          <cell r="X185">
            <v>4214.7956017627675</v>
          </cell>
          <cell r="Y185">
            <v>5432.181666571596</v>
          </cell>
          <cell r="Z185">
            <v>5360.181666571596</v>
          </cell>
          <cell r="AA185">
            <v>5164.181666571596</v>
          </cell>
          <cell r="AB185">
            <v>5083.181666571596</v>
          </cell>
          <cell r="AC185">
            <v>5001.181666571596</v>
          </cell>
          <cell r="AD185">
            <v>4595.181666571596</v>
          </cell>
          <cell r="AE185">
            <v>4335.181666571596</v>
          </cell>
          <cell r="AF185">
            <v>4263.181666571596</v>
          </cell>
        </row>
        <row r="188">
          <cell r="D188">
            <v>4</v>
          </cell>
          <cell r="E188">
            <v>5</v>
          </cell>
          <cell r="F188">
            <v>6</v>
          </cell>
          <cell r="G188">
            <v>7</v>
          </cell>
          <cell r="H188">
            <v>8</v>
          </cell>
          <cell r="I188">
            <v>9</v>
          </cell>
          <cell r="J188">
            <v>10</v>
          </cell>
          <cell r="K188">
            <v>11</v>
          </cell>
          <cell r="L188">
            <v>12</v>
          </cell>
          <cell r="M188">
            <v>13</v>
          </cell>
          <cell r="N188">
            <v>14</v>
          </cell>
          <cell r="O188">
            <v>15</v>
          </cell>
          <cell r="P188">
            <v>16</v>
          </cell>
          <cell r="Q188">
            <v>17</v>
          </cell>
          <cell r="R188">
            <v>18</v>
          </cell>
          <cell r="S188">
            <v>19</v>
          </cell>
          <cell r="T188">
            <v>20</v>
          </cell>
          <cell r="U188">
            <v>21</v>
          </cell>
          <cell r="V188">
            <v>22</v>
          </cell>
          <cell r="W188">
            <v>23</v>
          </cell>
          <cell r="X188">
            <v>24</v>
          </cell>
          <cell r="Y188">
            <v>25</v>
          </cell>
          <cell r="Z188">
            <v>26</v>
          </cell>
          <cell r="AA188">
            <v>27</v>
          </cell>
          <cell r="AB188">
            <v>28</v>
          </cell>
          <cell r="AC188">
            <v>29</v>
          </cell>
          <cell r="AD188">
            <v>30</v>
          </cell>
          <cell r="AE188">
            <v>31</v>
          </cell>
          <cell r="AF188">
            <v>32</v>
          </cell>
        </row>
        <row r="189">
          <cell r="E189" t="str">
            <v>Actual</v>
          </cell>
          <cell r="F189" t="str">
            <v>Actual</v>
          </cell>
          <cell r="G189" t="str">
            <v>Actual</v>
          </cell>
          <cell r="H189" t="str">
            <v>Actual</v>
          </cell>
          <cell r="I189" t="str">
            <v>Actual</v>
          </cell>
          <cell r="J189" t="str">
            <v>Actual</v>
          </cell>
          <cell r="K189" t="str">
            <v>Actual</v>
          </cell>
          <cell r="L189" t="str">
            <v>Actual</v>
          </cell>
          <cell r="M189" t="str">
            <v>Actual</v>
          </cell>
          <cell r="N189" t="str">
            <v>Actual</v>
          </cell>
          <cell r="O189" t="str">
            <v>Actual</v>
          </cell>
          <cell r="P189" t="str">
            <v>Actual</v>
          </cell>
          <cell r="Q189" t="str">
            <v>Actual</v>
          </cell>
          <cell r="R189" t="str">
            <v>Actual</v>
          </cell>
          <cell r="S189" t="str">
            <v>Actual</v>
          </cell>
          <cell r="T189" t="str">
            <v>Actual</v>
          </cell>
          <cell r="U189" t="str">
            <v>Cumu Act</v>
          </cell>
          <cell r="V189" t="str">
            <v>Cumu Act</v>
          </cell>
          <cell r="W189" t="str">
            <v>Cumu Act</v>
          </cell>
          <cell r="X189" t="str">
            <v>Cumu Act</v>
          </cell>
          <cell r="Y189" t="str">
            <v>Cumu Act</v>
          </cell>
          <cell r="Z189" t="str">
            <v>Cumu Act</v>
          </cell>
          <cell r="AA189" t="str">
            <v>Cumu Act</v>
          </cell>
          <cell r="AB189" t="str">
            <v>Cumu Act</v>
          </cell>
          <cell r="AC189" t="str">
            <v>Cumu Act</v>
          </cell>
          <cell r="AD189" t="str">
            <v>Cumu Act</v>
          </cell>
          <cell r="AE189" t="str">
            <v>Cumu Act</v>
          </cell>
          <cell r="AF189" t="str">
            <v>Cumu Act</v>
          </cell>
        </row>
        <row r="190">
          <cell r="D190" t="str">
            <v>Particulars</v>
          </cell>
          <cell r="E190">
            <v>41651</v>
          </cell>
          <cell r="F190">
            <v>41682</v>
          </cell>
          <cell r="G190">
            <v>41710</v>
          </cell>
          <cell r="H190" t="str">
            <v>Q-1</v>
          </cell>
          <cell r="I190">
            <v>41741</v>
          </cell>
          <cell r="J190">
            <v>41771</v>
          </cell>
          <cell r="K190">
            <v>41802</v>
          </cell>
          <cell r="L190" t="str">
            <v>Q-2</v>
          </cell>
          <cell r="M190">
            <v>41832</v>
          </cell>
          <cell r="N190">
            <v>41863</v>
          </cell>
          <cell r="O190">
            <v>41894</v>
          </cell>
          <cell r="P190" t="str">
            <v>Q-3</v>
          </cell>
          <cell r="Q190">
            <v>41924</v>
          </cell>
          <cell r="R190">
            <v>41955</v>
          </cell>
          <cell r="S190">
            <v>41985</v>
          </cell>
          <cell r="T190" t="str">
            <v>Q-4</v>
          </cell>
          <cell r="U190">
            <v>41651</v>
          </cell>
          <cell r="V190">
            <v>41682</v>
          </cell>
          <cell r="W190">
            <v>41710</v>
          </cell>
          <cell r="X190">
            <v>41741</v>
          </cell>
          <cell r="Y190">
            <v>41771</v>
          </cell>
          <cell r="Z190">
            <v>41802</v>
          </cell>
          <cell r="AA190">
            <v>41832</v>
          </cell>
          <cell r="AB190">
            <v>41863</v>
          </cell>
          <cell r="AC190">
            <v>41894</v>
          </cell>
          <cell r="AD190">
            <v>41924</v>
          </cell>
          <cell r="AE190">
            <v>41955</v>
          </cell>
          <cell r="AF190">
            <v>41985</v>
          </cell>
        </row>
        <row r="192">
          <cell r="D192" t="str">
            <v>Sales</v>
          </cell>
          <cell r="E192">
            <v>-2.21</v>
          </cell>
          <cell r="F192">
            <v>-1.6</v>
          </cell>
          <cell r="G192">
            <v>-1.0900000000000001</v>
          </cell>
          <cell r="H192">
            <v>-4.9000000000000004</v>
          </cell>
          <cell r="I192">
            <v>-1.29</v>
          </cell>
          <cell r="J192">
            <v>-0.7</v>
          </cell>
          <cell r="K192">
            <v>0</v>
          </cell>
          <cell r="L192">
            <v>-1.99</v>
          </cell>
          <cell r="M192">
            <v>0</v>
          </cell>
          <cell r="N192">
            <v>0</v>
          </cell>
          <cell r="O192">
            <v>0</v>
          </cell>
          <cell r="P192">
            <v>0</v>
          </cell>
          <cell r="Q192">
            <v>0</v>
          </cell>
          <cell r="R192">
            <v>0</v>
          </cell>
          <cell r="S192">
            <v>0</v>
          </cell>
          <cell r="T192">
            <v>0</v>
          </cell>
          <cell r="U192">
            <v>-2.21</v>
          </cell>
          <cell r="V192">
            <v>-3.81</v>
          </cell>
          <cell r="W192">
            <v>-4.9000000000000004</v>
          </cell>
          <cell r="X192">
            <v>-6.19</v>
          </cell>
          <cell r="Y192">
            <v>-6.8900000000000006</v>
          </cell>
          <cell r="Z192">
            <v>-6.8900000000000006</v>
          </cell>
          <cell r="AA192">
            <v>-6.8900000000000006</v>
          </cell>
          <cell r="AB192">
            <v>-6.8900000000000006</v>
          </cell>
          <cell r="AC192">
            <v>-6.8900000000000006</v>
          </cell>
          <cell r="AD192">
            <v>-6.8900000000000006</v>
          </cell>
          <cell r="AE192">
            <v>-6.8900000000000006</v>
          </cell>
          <cell r="AF192">
            <v>-6.8900000000000006</v>
          </cell>
        </row>
        <row r="193">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D194" t="str">
            <v>Cost of Goods Sold</v>
          </cell>
          <cell r="E194">
            <v>-1.67</v>
          </cell>
          <cell r="F194">
            <v>-1.1000000000000001</v>
          </cell>
          <cell r="G194">
            <v>-0.74</v>
          </cell>
          <cell r="H194">
            <v>-3.51</v>
          </cell>
          <cell r="I194">
            <v>-0.84</v>
          </cell>
          <cell r="J194">
            <v>-0.52</v>
          </cell>
          <cell r="K194">
            <v>0</v>
          </cell>
          <cell r="L194">
            <v>-1.3599999999999999</v>
          </cell>
          <cell r="M194">
            <v>0</v>
          </cell>
          <cell r="N194">
            <v>0</v>
          </cell>
          <cell r="O194">
            <v>0</v>
          </cell>
          <cell r="P194">
            <v>0</v>
          </cell>
          <cell r="Q194">
            <v>0</v>
          </cell>
          <cell r="R194">
            <v>0</v>
          </cell>
          <cell r="S194">
            <v>0</v>
          </cell>
          <cell r="T194">
            <v>0</v>
          </cell>
          <cell r="U194">
            <v>-1.67</v>
          </cell>
          <cell r="V194">
            <v>-2.77</v>
          </cell>
          <cell r="W194">
            <v>-3.51</v>
          </cell>
          <cell r="X194">
            <v>-4.3499999999999996</v>
          </cell>
          <cell r="Y194">
            <v>-4.8699999999999992</v>
          </cell>
          <cell r="Z194">
            <v>-4.8699999999999992</v>
          </cell>
          <cell r="AA194">
            <v>-4.8699999999999992</v>
          </cell>
          <cell r="AB194">
            <v>-4.8699999999999992</v>
          </cell>
          <cell r="AC194">
            <v>-4.8699999999999992</v>
          </cell>
          <cell r="AD194">
            <v>-4.8699999999999992</v>
          </cell>
          <cell r="AE194">
            <v>-4.8699999999999992</v>
          </cell>
          <cell r="AF194">
            <v>-4.8699999999999992</v>
          </cell>
        </row>
        <row r="195">
          <cell r="D195" t="str">
            <v>ED Savings</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D196" t="str">
            <v>PRISM II &amp; PSM Savings</v>
          </cell>
          <cell r="E196">
            <v>-3.3133391220841052E-2</v>
          </cell>
          <cell r="F196">
            <v>-2.7047447074774966E-2</v>
          </cell>
          <cell r="G196">
            <v>-2.2289596899386362E-2</v>
          </cell>
          <cell r="H196">
            <v>-8.2470435195002384E-2</v>
          </cell>
          <cell r="I196">
            <v>-2.8730135069805218E-2</v>
          </cell>
          <cell r="J196">
            <v>-1.718326690447718E-2</v>
          </cell>
          <cell r="K196">
            <v>0</v>
          </cell>
          <cell r="L196">
            <v>-4.5913401974282397E-2</v>
          </cell>
          <cell r="M196">
            <v>0</v>
          </cell>
          <cell r="N196">
            <v>0</v>
          </cell>
          <cell r="O196">
            <v>0</v>
          </cell>
          <cell r="P196">
            <v>0</v>
          </cell>
          <cell r="Q196">
            <v>0</v>
          </cell>
          <cell r="R196">
            <v>0</v>
          </cell>
          <cell r="S196">
            <v>0</v>
          </cell>
          <cell r="T196">
            <v>0</v>
          </cell>
          <cell r="U196">
            <v>-3.3133391220841052E-2</v>
          </cell>
          <cell r="V196">
            <v>-6.0180838295616018E-2</v>
          </cell>
          <cell r="W196">
            <v>-8.2470435195002384E-2</v>
          </cell>
          <cell r="X196">
            <v>-0.1112005702648076</v>
          </cell>
          <cell r="Y196">
            <v>-0.12838383716928478</v>
          </cell>
          <cell r="Z196">
            <v>-0.12838383716928478</v>
          </cell>
          <cell r="AA196">
            <v>-0.12838383716928478</v>
          </cell>
          <cell r="AB196">
            <v>-0.12838383716928478</v>
          </cell>
          <cell r="AC196">
            <v>-0.12838383716928478</v>
          </cell>
          <cell r="AD196">
            <v>-0.12838383716928478</v>
          </cell>
          <cell r="AE196">
            <v>-0.12838383716928478</v>
          </cell>
          <cell r="AF196">
            <v>-0.12838383716928478</v>
          </cell>
        </row>
        <row r="197">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D199" t="str">
            <v>Contribution</v>
          </cell>
          <cell r="E199">
            <v>-0.57313339122084106</v>
          </cell>
          <cell r="F199">
            <v>-0.52704744707477502</v>
          </cell>
          <cell r="G199">
            <v>-0.37228959689938645</v>
          </cell>
          <cell r="H199">
            <v>-1.4724704351950029</v>
          </cell>
          <cell r="I199">
            <v>-0.47873013506980527</v>
          </cell>
          <cell r="J199">
            <v>-0.19718326690447713</v>
          </cell>
          <cell r="K199">
            <v>0</v>
          </cell>
          <cell r="L199">
            <v>-0.67591340197428251</v>
          </cell>
          <cell r="M199">
            <v>0</v>
          </cell>
          <cell r="N199">
            <v>0</v>
          </cell>
          <cell r="O199">
            <v>0</v>
          </cell>
          <cell r="P199">
            <v>0</v>
          </cell>
          <cell r="Q199">
            <v>0</v>
          </cell>
          <cell r="R199">
            <v>0</v>
          </cell>
          <cell r="S199">
            <v>0</v>
          </cell>
          <cell r="T199">
            <v>0</v>
          </cell>
          <cell r="U199">
            <v>-0.57313339122084106</v>
          </cell>
          <cell r="V199">
            <v>-1.100180838295616</v>
          </cell>
          <cell r="W199">
            <v>-1.4724704351950024</v>
          </cell>
          <cell r="X199">
            <v>-1.9512005702648076</v>
          </cell>
          <cell r="Y199">
            <v>-2.1483838371692849</v>
          </cell>
          <cell r="Z199">
            <v>-2.1483838371692849</v>
          </cell>
          <cell r="AA199">
            <v>-2.1483838371692849</v>
          </cell>
          <cell r="AB199">
            <v>-2.1483838371692849</v>
          </cell>
          <cell r="AC199">
            <v>-2.1483838371692849</v>
          </cell>
          <cell r="AD199">
            <v>-2.1483838371692849</v>
          </cell>
          <cell r="AE199">
            <v>-2.1483838371692849</v>
          </cell>
          <cell r="AF199">
            <v>-2.1483838371692849</v>
          </cell>
        </row>
        <row r="200">
          <cell r="D200">
            <v>0</v>
          </cell>
          <cell r="E200">
            <v>0.25933637611802762</v>
          </cell>
          <cell r="F200">
            <v>0.32940465442173439</v>
          </cell>
          <cell r="G200">
            <v>0.34155008889851968</v>
          </cell>
          <cell r="H200">
            <v>0.30050417044795974</v>
          </cell>
          <cell r="I200">
            <v>0.37110863183705833</v>
          </cell>
          <cell r="J200">
            <v>0.28169038129211021</v>
          </cell>
          <cell r="K200" t="e">
            <v>#DIV/0!</v>
          </cell>
          <cell r="L200">
            <v>0.33965497586647364</v>
          </cell>
          <cell r="M200" t="e">
            <v>#DIV/0!</v>
          </cell>
          <cell r="N200" t="e">
            <v>#DIV/0!</v>
          </cell>
          <cell r="O200" t="e">
            <v>#DIV/0!</v>
          </cell>
          <cell r="P200" t="e">
            <v>#DIV/0!</v>
          </cell>
          <cell r="Q200" t="e">
            <v>#DIV/0!</v>
          </cell>
          <cell r="R200" t="e">
            <v>#DIV/0!</v>
          </cell>
          <cell r="S200" t="e">
            <v>#DIV/0!</v>
          </cell>
          <cell r="T200" t="e">
            <v>#DIV/0!</v>
          </cell>
          <cell r="U200">
            <v>0.25933637611802762</v>
          </cell>
          <cell r="V200">
            <v>0.28876137488073911</v>
          </cell>
          <cell r="W200">
            <v>0.30050417044795968</v>
          </cell>
          <cell r="X200">
            <v>0.31521818582630168</v>
          </cell>
          <cell r="Y200">
            <v>0.31181187767333596</v>
          </cell>
          <cell r="Z200">
            <v>0.31181187767333596</v>
          </cell>
          <cell r="AA200">
            <v>0.31181187767333596</v>
          </cell>
          <cell r="AB200">
            <v>0.31181187767333596</v>
          </cell>
          <cell r="AC200">
            <v>0.31181187767333596</v>
          </cell>
          <cell r="AD200">
            <v>0.31181187767333596</v>
          </cell>
          <cell r="AE200">
            <v>0.31181187767333596</v>
          </cell>
          <cell r="AF200">
            <v>0.31181187767333596</v>
          </cell>
        </row>
        <row r="201">
          <cell r="D201" t="str">
            <v>Overheads</v>
          </cell>
        </row>
        <row r="202">
          <cell r="D202" t="str">
            <v>Advertisement Exp.</v>
          </cell>
          <cell r="E202">
            <v>0</v>
          </cell>
          <cell r="F202">
            <v>0</v>
          </cell>
          <cell r="G202">
            <v>0</v>
          </cell>
          <cell r="H202">
            <v>0</v>
          </cell>
          <cell r="I202">
            <v>10</v>
          </cell>
          <cell r="J202">
            <v>5</v>
          </cell>
          <cell r="K202">
            <v>0</v>
          </cell>
          <cell r="L202">
            <v>15</v>
          </cell>
          <cell r="M202">
            <v>0</v>
          </cell>
          <cell r="N202">
            <v>25</v>
          </cell>
          <cell r="O202">
            <v>60</v>
          </cell>
          <cell r="P202">
            <v>85</v>
          </cell>
          <cell r="Q202">
            <v>45</v>
          </cell>
          <cell r="R202">
            <v>0</v>
          </cell>
          <cell r="S202">
            <v>0</v>
          </cell>
          <cell r="T202">
            <v>45</v>
          </cell>
          <cell r="U202">
            <v>0</v>
          </cell>
          <cell r="V202">
            <v>0</v>
          </cell>
          <cell r="W202">
            <v>0</v>
          </cell>
          <cell r="X202">
            <v>10</v>
          </cell>
          <cell r="Y202">
            <v>15</v>
          </cell>
          <cell r="Z202">
            <v>15</v>
          </cell>
          <cell r="AA202">
            <v>15</v>
          </cell>
          <cell r="AB202">
            <v>40</v>
          </cell>
          <cell r="AC202">
            <v>100</v>
          </cell>
          <cell r="AD202">
            <v>145</v>
          </cell>
          <cell r="AE202">
            <v>145</v>
          </cell>
          <cell r="AF202">
            <v>145</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row>
        <row r="204">
          <cell r="D204" t="str">
            <v>Total Overheads (a+b)</v>
          </cell>
          <cell r="E204">
            <v>0</v>
          </cell>
          <cell r="F204">
            <v>0</v>
          </cell>
          <cell r="G204">
            <v>0</v>
          </cell>
          <cell r="H204">
            <v>0</v>
          </cell>
          <cell r="I204">
            <v>10</v>
          </cell>
          <cell r="J204">
            <v>5</v>
          </cell>
          <cell r="K204">
            <v>0</v>
          </cell>
          <cell r="L204">
            <v>15</v>
          </cell>
          <cell r="M204">
            <v>0</v>
          </cell>
          <cell r="N204">
            <v>25</v>
          </cell>
          <cell r="O204">
            <v>60</v>
          </cell>
          <cell r="P204">
            <v>85</v>
          </cell>
          <cell r="Q204">
            <v>45</v>
          </cell>
          <cell r="R204">
            <v>0</v>
          </cell>
          <cell r="S204">
            <v>0</v>
          </cell>
          <cell r="T204">
            <v>45</v>
          </cell>
          <cell r="U204">
            <v>0</v>
          </cell>
          <cell r="V204">
            <v>0</v>
          </cell>
          <cell r="W204">
            <v>0</v>
          </cell>
          <cell r="X204">
            <v>10</v>
          </cell>
          <cell r="Y204">
            <v>15</v>
          </cell>
          <cell r="Z204">
            <v>15</v>
          </cell>
          <cell r="AA204">
            <v>15</v>
          </cell>
          <cell r="AB204">
            <v>40</v>
          </cell>
          <cell r="AC204">
            <v>100</v>
          </cell>
          <cell r="AD204">
            <v>145</v>
          </cell>
          <cell r="AE204">
            <v>145</v>
          </cell>
          <cell r="AF204">
            <v>145</v>
          </cell>
        </row>
        <row r="205">
          <cell r="D205" t="str">
            <v>OPERATING PROFIT (LOSS)</v>
          </cell>
          <cell r="E205">
            <v>-0.57313339122084106</v>
          </cell>
          <cell r="F205">
            <v>-0.52704744707477502</v>
          </cell>
          <cell r="G205">
            <v>-0.37228959689938645</v>
          </cell>
          <cell r="H205">
            <v>-1.4724704351950029</v>
          </cell>
          <cell r="I205">
            <v>-10.478730135069805</v>
          </cell>
          <cell r="J205">
            <v>-5.1971832669044771</v>
          </cell>
          <cell r="K205">
            <v>0</v>
          </cell>
          <cell r="L205">
            <v>-15.675913401974283</v>
          </cell>
          <cell r="M205">
            <v>0</v>
          </cell>
          <cell r="N205">
            <v>-25</v>
          </cell>
          <cell r="O205">
            <v>-60</v>
          </cell>
          <cell r="P205">
            <v>-85</v>
          </cell>
          <cell r="Q205">
            <v>-45</v>
          </cell>
          <cell r="R205">
            <v>0</v>
          </cell>
          <cell r="S205">
            <v>0</v>
          </cell>
          <cell r="T205">
            <v>-45</v>
          </cell>
          <cell r="U205">
            <v>-0.57313339122084106</v>
          </cell>
          <cell r="V205">
            <v>-1.100180838295616</v>
          </cell>
          <cell r="W205">
            <v>-1.4724704351950024</v>
          </cell>
          <cell r="X205">
            <v>-11.951200570264808</v>
          </cell>
          <cell r="Y205">
            <v>-17.148383837169284</v>
          </cell>
          <cell r="Z205">
            <v>-17.148383837169284</v>
          </cell>
          <cell r="AA205">
            <v>-17.148383837169284</v>
          </cell>
          <cell r="AB205">
            <v>-42.148383837169284</v>
          </cell>
          <cell r="AC205">
            <v>-102.14838383716929</v>
          </cell>
          <cell r="AD205">
            <v>-147.14838383716929</v>
          </cell>
          <cell r="AE205">
            <v>-147.14838383716929</v>
          </cell>
          <cell r="AF205">
            <v>-147.14838383716929</v>
          </cell>
        </row>
        <row r="208">
          <cell r="D208">
            <v>4</v>
          </cell>
          <cell r="E208">
            <v>5</v>
          </cell>
          <cell r="F208">
            <v>6</v>
          </cell>
          <cell r="G208">
            <v>7</v>
          </cell>
          <cell r="H208">
            <v>8</v>
          </cell>
          <cell r="I208">
            <v>9</v>
          </cell>
          <cell r="J208">
            <v>10</v>
          </cell>
          <cell r="K208">
            <v>11</v>
          </cell>
          <cell r="L208">
            <v>12</v>
          </cell>
          <cell r="M208">
            <v>13</v>
          </cell>
          <cell r="N208">
            <v>14</v>
          </cell>
          <cell r="O208">
            <v>15</v>
          </cell>
          <cell r="P208">
            <v>16</v>
          </cell>
          <cell r="Q208">
            <v>17</v>
          </cell>
          <cell r="R208">
            <v>18</v>
          </cell>
          <cell r="S208">
            <v>19</v>
          </cell>
          <cell r="T208">
            <v>20</v>
          </cell>
          <cell r="U208">
            <v>21</v>
          </cell>
          <cell r="V208">
            <v>22</v>
          </cell>
          <cell r="W208">
            <v>23</v>
          </cell>
          <cell r="X208">
            <v>24</v>
          </cell>
          <cell r="Y208">
            <v>25</v>
          </cell>
          <cell r="Z208">
            <v>26</v>
          </cell>
          <cell r="AA208">
            <v>27</v>
          </cell>
          <cell r="AB208">
            <v>28</v>
          </cell>
          <cell r="AC208">
            <v>29</v>
          </cell>
          <cell r="AD208">
            <v>30</v>
          </cell>
          <cell r="AE208">
            <v>31</v>
          </cell>
          <cell r="AF208">
            <v>32</v>
          </cell>
        </row>
        <row r="209">
          <cell r="E209" t="str">
            <v>Actual</v>
          </cell>
          <cell r="F209" t="str">
            <v>Actual</v>
          </cell>
          <cell r="G209" t="str">
            <v>Actual</v>
          </cell>
          <cell r="H209" t="str">
            <v>Actual</v>
          </cell>
          <cell r="I209" t="str">
            <v>Actual</v>
          </cell>
          <cell r="J209" t="str">
            <v>Actual</v>
          </cell>
          <cell r="K209" t="str">
            <v>Actual</v>
          </cell>
          <cell r="L209" t="str">
            <v>Actual</v>
          </cell>
          <cell r="M209" t="str">
            <v>Actual</v>
          </cell>
          <cell r="N209" t="str">
            <v>Actual</v>
          </cell>
          <cell r="O209" t="str">
            <v>Actual</v>
          </cell>
          <cell r="P209" t="str">
            <v>Actual</v>
          </cell>
          <cell r="Q209" t="str">
            <v>Actual</v>
          </cell>
          <cell r="R209" t="str">
            <v>Actual</v>
          </cell>
          <cell r="S209" t="str">
            <v>Actual</v>
          </cell>
          <cell r="T209" t="str">
            <v>Actual</v>
          </cell>
          <cell r="U209" t="str">
            <v>Cumu Act</v>
          </cell>
          <cell r="V209" t="str">
            <v>Cumu Act</v>
          </cell>
          <cell r="W209" t="str">
            <v>Cumu Act</v>
          </cell>
          <cell r="X209" t="str">
            <v>Cumu Act</v>
          </cell>
          <cell r="Y209" t="str">
            <v>Cumu Act</v>
          </cell>
          <cell r="Z209" t="str">
            <v>Cumu Act</v>
          </cell>
          <cell r="AA209" t="str">
            <v>Cumu Act</v>
          </cell>
          <cell r="AB209" t="str">
            <v>Cumu Act</v>
          </cell>
          <cell r="AC209" t="str">
            <v>Cumu Act</v>
          </cell>
          <cell r="AD209" t="str">
            <v>Cumu Act</v>
          </cell>
          <cell r="AE209" t="str">
            <v>Cumu Act</v>
          </cell>
          <cell r="AF209" t="str">
            <v>Cumu Act</v>
          </cell>
        </row>
        <row r="210">
          <cell r="D210" t="str">
            <v>Particulars</v>
          </cell>
          <cell r="E210">
            <v>41651</v>
          </cell>
          <cell r="F210">
            <v>41682</v>
          </cell>
          <cell r="G210">
            <v>41710</v>
          </cell>
          <cell r="H210" t="str">
            <v>Q-1</v>
          </cell>
          <cell r="I210">
            <v>41741</v>
          </cell>
          <cell r="J210">
            <v>41771</v>
          </cell>
          <cell r="K210">
            <v>41802</v>
          </cell>
          <cell r="L210" t="str">
            <v>Q-2</v>
          </cell>
          <cell r="M210">
            <v>41832</v>
          </cell>
          <cell r="N210">
            <v>41863</v>
          </cell>
          <cell r="O210">
            <v>41894</v>
          </cell>
          <cell r="P210" t="str">
            <v>Q-3</v>
          </cell>
          <cell r="Q210">
            <v>41924</v>
          </cell>
          <cell r="R210">
            <v>41955</v>
          </cell>
          <cell r="S210">
            <v>41985</v>
          </cell>
          <cell r="T210" t="str">
            <v>Q-4</v>
          </cell>
          <cell r="U210">
            <v>41651</v>
          </cell>
          <cell r="V210">
            <v>41682</v>
          </cell>
          <cell r="W210">
            <v>41710</v>
          </cell>
          <cell r="X210">
            <v>41741</v>
          </cell>
          <cell r="Y210">
            <v>41771</v>
          </cell>
          <cell r="Z210">
            <v>41802</v>
          </cell>
          <cell r="AA210">
            <v>41832</v>
          </cell>
          <cell r="AB210">
            <v>41863</v>
          </cell>
          <cell r="AC210">
            <v>41894</v>
          </cell>
          <cell r="AD210">
            <v>41924</v>
          </cell>
          <cell r="AE210">
            <v>41955</v>
          </cell>
          <cell r="AF210">
            <v>41985</v>
          </cell>
        </row>
        <row r="212">
          <cell r="D212" t="str">
            <v>Sales</v>
          </cell>
          <cell r="E212">
            <v>-0.37</v>
          </cell>
          <cell r="F212">
            <v>0</v>
          </cell>
          <cell r="G212">
            <v>0</v>
          </cell>
          <cell r="H212">
            <v>-0.37</v>
          </cell>
          <cell r="I212">
            <v>0</v>
          </cell>
          <cell r="J212">
            <v>-0.4</v>
          </cell>
          <cell r="K212">
            <v>0</v>
          </cell>
          <cell r="L212">
            <v>-0.4</v>
          </cell>
          <cell r="M212">
            <v>0</v>
          </cell>
          <cell r="N212">
            <v>0</v>
          </cell>
          <cell r="O212">
            <v>0</v>
          </cell>
          <cell r="P212">
            <v>0</v>
          </cell>
          <cell r="Q212">
            <v>0</v>
          </cell>
          <cell r="R212">
            <v>0</v>
          </cell>
          <cell r="S212">
            <v>0</v>
          </cell>
          <cell r="T212">
            <v>0</v>
          </cell>
          <cell r="U212">
            <v>-0.37</v>
          </cell>
          <cell r="V212">
            <v>-0.37</v>
          </cell>
          <cell r="W212">
            <v>-0.37</v>
          </cell>
          <cell r="X212">
            <v>-0.37</v>
          </cell>
          <cell r="Y212">
            <v>-0.77</v>
          </cell>
          <cell r="Z212">
            <v>-0.77</v>
          </cell>
          <cell r="AA212">
            <v>-0.77</v>
          </cell>
          <cell r="AB212">
            <v>-0.77</v>
          </cell>
          <cell r="AC212">
            <v>-0.77</v>
          </cell>
          <cell r="AD212">
            <v>-0.77</v>
          </cell>
          <cell r="AE212">
            <v>-0.77</v>
          </cell>
          <cell r="AF212">
            <v>-0.77</v>
          </cell>
        </row>
        <row r="213">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row>
        <row r="214">
          <cell r="D214" t="str">
            <v>Cost of Goods Sold</v>
          </cell>
          <cell r="E214">
            <v>2.34</v>
          </cell>
          <cell r="F214">
            <v>0</v>
          </cell>
          <cell r="G214">
            <v>0</v>
          </cell>
          <cell r="H214">
            <v>2.34</v>
          </cell>
          <cell r="I214">
            <v>0</v>
          </cell>
          <cell r="J214">
            <v>-0.27</v>
          </cell>
          <cell r="K214">
            <v>0</v>
          </cell>
          <cell r="L214">
            <v>-0.27</v>
          </cell>
          <cell r="M214">
            <v>0</v>
          </cell>
          <cell r="N214">
            <v>0</v>
          </cell>
          <cell r="O214">
            <v>0</v>
          </cell>
          <cell r="P214">
            <v>0</v>
          </cell>
          <cell r="Q214">
            <v>0</v>
          </cell>
          <cell r="R214">
            <v>0</v>
          </cell>
          <cell r="S214">
            <v>0</v>
          </cell>
          <cell r="T214">
            <v>0</v>
          </cell>
          <cell r="U214">
            <v>2.34</v>
          </cell>
          <cell r="V214">
            <v>2.34</v>
          </cell>
          <cell r="W214">
            <v>2.34</v>
          </cell>
          <cell r="X214">
            <v>2.34</v>
          </cell>
          <cell r="Y214">
            <v>2.0699999999999998</v>
          </cell>
          <cell r="Z214">
            <v>2.0699999999999998</v>
          </cell>
          <cell r="AA214">
            <v>2.0699999999999998</v>
          </cell>
          <cell r="AB214">
            <v>2.0699999999999998</v>
          </cell>
          <cell r="AC214">
            <v>2.0699999999999998</v>
          </cell>
          <cell r="AD214">
            <v>2.0699999999999998</v>
          </cell>
          <cell r="AE214">
            <v>2.0699999999999998</v>
          </cell>
          <cell r="AF214">
            <v>2.0699999999999998</v>
          </cell>
        </row>
        <row r="215">
          <cell r="D215" t="str">
            <v>ED Savings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D216" t="str">
            <v>PRISM II &amp; PSM Savings</v>
          </cell>
          <cell r="E216">
            <v>-5.5472193446656961E-3</v>
          </cell>
          <cell r="F216">
            <v>0</v>
          </cell>
          <cell r="G216">
            <v>0</v>
          </cell>
          <cell r="H216">
            <v>-5.5472193446656961E-3</v>
          </cell>
          <cell r="I216">
            <v>0</v>
          </cell>
          <cell r="J216">
            <v>0</v>
          </cell>
          <cell r="K216">
            <v>0</v>
          </cell>
          <cell r="L216">
            <v>0</v>
          </cell>
          <cell r="M216">
            <v>0</v>
          </cell>
          <cell r="N216">
            <v>0</v>
          </cell>
          <cell r="O216">
            <v>0</v>
          </cell>
          <cell r="P216">
            <v>0</v>
          </cell>
          <cell r="Q216">
            <v>0</v>
          </cell>
          <cell r="R216">
            <v>0</v>
          </cell>
          <cell r="S216">
            <v>0</v>
          </cell>
          <cell r="T216">
            <v>0</v>
          </cell>
          <cell r="U216">
            <v>-5.5472193446656961E-3</v>
          </cell>
          <cell r="V216">
            <v>-5.5472193446656961E-3</v>
          </cell>
          <cell r="W216">
            <v>-5.5472193446656961E-3</v>
          </cell>
          <cell r="X216">
            <v>-5.5472193446656961E-3</v>
          </cell>
          <cell r="Y216">
            <v>-5.5472193446656961E-3</v>
          </cell>
          <cell r="Z216">
            <v>-5.5472193446656961E-3</v>
          </cell>
          <cell r="AA216">
            <v>-5.5472193446656961E-3</v>
          </cell>
          <cell r="AB216">
            <v>-5.5472193446656961E-3</v>
          </cell>
          <cell r="AC216">
            <v>-5.5472193446656961E-3</v>
          </cell>
          <cell r="AD216">
            <v>-5.5472193446656961E-3</v>
          </cell>
          <cell r="AE216">
            <v>-5.5472193446656961E-3</v>
          </cell>
          <cell r="AF216">
            <v>-5.5472193446656961E-3</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D219" t="str">
            <v>Contribution</v>
          </cell>
          <cell r="E219">
            <v>-2.7155472193446655</v>
          </cell>
          <cell r="F219">
            <v>0</v>
          </cell>
          <cell r="G219">
            <v>0</v>
          </cell>
          <cell r="H219">
            <v>-2.7155472193446655</v>
          </cell>
          <cell r="I219">
            <v>0</v>
          </cell>
          <cell r="J219">
            <v>-0.13</v>
          </cell>
          <cell r="K219">
            <v>0</v>
          </cell>
          <cell r="L219">
            <v>-0.13</v>
          </cell>
          <cell r="M219">
            <v>0</v>
          </cell>
          <cell r="N219">
            <v>0</v>
          </cell>
          <cell r="O219">
            <v>0</v>
          </cell>
          <cell r="P219">
            <v>0</v>
          </cell>
          <cell r="Q219">
            <v>0</v>
          </cell>
          <cell r="R219">
            <v>0</v>
          </cell>
          <cell r="S219">
            <v>0</v>
          </cell>
          <cell r="T219">
            <v>0</v>
          </cell>
          <cell r="U219">
            <v>-2.7155472193446655</v>
          </cell>
          <cell r="V219">
            <v>-2.7155472193446655</v>
          </cell>
          <cell r="W219">
            <v>-2.7155472193446655</v>
          </cell>
          <cell r="X219">
            <v>-2.7155472193446655</v>
          </cell>
          <cell r="Y219">
            <v>-2.8455472193446654</v>
          </cell>
          <cell r="Z219">
            <v>-2.8455472193446654</v>
          </cell>
          <cell r="AA219">
            <v>-2.8455472193446654</v>
          </cell>
          <cell r="AB219">
            <v>-2.8455472193446654</v>
          </cell>
          <cell r="AC219">
            <v>-2.8455472193446654</v>
          </cell>
          <cell r="AD219">
            <v>-2.8455472193446654</v>
          </cell>
          <cell r="AE219">
            <v>-2.8455472193446654</v>
          </cell>
          <cell r="AF219">
            <v>-2.8455472193446654</v>
          </cell>
        </row>
        <row r="220">
          <cell r="D220">
            <v>0</v>
          </cell>
          <cell r="E220">
            <v>7.3393168090396363</v>
          </cell>
          <cell r="F220" t="e">
            <v>#DIV/0!</v>
          </cell>
          <cell r="G220" t="e">
            <v>#DIV/0!</v>
          </cell>
          <cell r="H220">
            <v>7.3393168090396363</v>
          </cell>
          <cell r="I220" t="e">
            <v>#DIV/0!</v>
          </cell>
          <cell r="J220">
            <v>0.32500000000000001</v>
          </cell>
          <cell r="K220" t="e">
            <v>#DIV/0!</v>
          </cell>
          <cell r="L220">
            <v>0.32500000000000001</v>
          </cell>
          <cell r="M220" t="e">
            <v>#DIV/0!</v>
          </cell>
          <cell r="N220" t="e">
            <v>#DIV/0!</v>
          </cell>
          <cell r="O220" t="e">
            <v>#DIV/0!</v>
          </cell>
          <cell r="P220" t="e">
            <v>#DIV/0!</v>
          </cell>
          <cell r="Q220" t="e">
            <v>#DIV/0!</v>
          </cell>
          <cell r="R220" t="e">
            <v>#DIV/0!</v>
          </cell>
          <cell r="S220" t="e">
            <v>#DIV/0!</v>
          </cell>
          <cell r="T220" t="e">
            <v>#DIV/0!</v>
          </cell>
          <cell r="U220">
            <v>7.3393168090396363</v>
          </cell>
          <cell r="V220">
            <v>7.3393168090396363</v>
          </cell>
          <cell r="W220">
            <v>7.3393168090396363</v>
          </cell>
          <cell r="X220">
            <v>7.3393168090396363</v>
          </cell>
          <cell r="Y220">
            <v>3.6955158692787862</v>
          </cell>
          <cell r="Z220">
            <v>3.6955158692787862</v>
          </cell>
          <cell r="AA220">
            <v>3.6955158692787862</v>
          </cell>
          <cell r="AB220">
            <v>3.6955158692787862</v>
          </cell>
          <cell r="AC220">
            <v>3.6955158692787862</v>
          </cell>
          <cell r="AD220">
            <v>3.6955158692787862</v>
          </cell>
          <cell r="AE220">
            <v>3.6955158692787862</v>
          </cell>
          <cell r="AF220">
            <v>3.6955158692787862</v>
          </cell>
        </row>
        <row r="221">
          <cell r="D221" t="str">
            <v>Overheads</v>
          </cell>
        </row>
        <row r="222">
          <cell r="D222" t="str">
            <v>Advertisement Exp.</v>
          </cell>
          <cell r="E222">
            <v>10</v>
          </cell>
          <cell r="F222">
            <v>20</v>
          </cell>
          <cell r="G222">
            <v>-30</v>
          </cell>
          <cell r="H222">
            <v>0</v>
          </cell>
          <cell r="I222">
            <v>0</v>
          </cell>
          <cell r="J222">
            <v>0</v>
          </cell>
          <cell r="K222">
            <v>15</v>
          </cell>
          <cell r="L222">
            <v>15</v>
          </cell>
          <cell r="M222">
            <v>0</v>
          </cell>
          <cell r="N222">
            <v>5</v>
          </cell>
          <cell r="O222">
            <v>5</v>
          </cell>
          <cell r="P222">
            <v>10</v>
          </cell>
          <cell r="Q222">
            <v>20</v>
          </cell>
          <cell r="R222">
            <v>15</v>
          </cell>
          <cell r="S222">
            <v>15</v>
          </cell>
          <cell r="T222">
            <v>50</v>
          </cell>
          <cell r="U222">
            <v>10</v>
          </cell>
          <cell r="V222">
            <v>30</v>
          </cell>
          <cell r="W222">
            <v>0</v>
          </cell>
          <cell r="X222">
            <v>0</v>
          </cell>
          <cell r="Y222">
            <v>0</v>
          </cell>
          <cell r="Z222">
            <v>15</v>
          </cell>
          <cell r="AA222">
            <v>15</v>
          </cell>
          <cell r="AB222">
            <v>20</v>
          </cell>
          <cell r="AC222">
            <v>25</v>
          </cell>
          <cell r="AD222">
            <v>45</v>
          </cell>
          <cell r="AE222">
            <v>60</v>
          </cell>
          <cell r="AF222">
            <v>75</v>
          </cell>
        </row>
        <row r="223">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D224" t="str">
            <v>Total Overheads (a+b)</v>
          </cell>
          <cell r="E224">
            <v>10</v>
          </cell>
          <cell r="F224">
            <v>20</v>
          </cell>
          <cell r="G224">
            <v>-30</v>
          </cell>
          <cell r="H224">
            <v>0</v>
          </cell>
          <cell r="I224">
            <v>0</v>
          </cell>
          <cell r="J224">
            <v>0</v>
          </cell>
          <cell r="K224">
            <v>15</v>
          </cell>
          <cell r="L224">
            <v>15</v>
          </cell>
          <cell r="M224">
            <v>0</v>
          </cell>
          <cell r="N224">
            <v>5</v>
          </cell>
          <cell r="O224">
            <v>5</v>
          </cell>
          <cell r="P224">
            <v>10</v>
          </cell>
          <cell r="Q224">
            <v>20</v>
          </cell>
          <cell r="R224">
            <v>15</v>
          </cell>
          <cell r="S224">
            <v>15</v>
          </cell>
          <cell r="T224">
            <v>50</v>
          </cell>
          <cell r="U224">
            <v>10</v>
          </cell>
          <cell r="V224">
            <v>30</v>
          </cell>
          <cell r="W224">
            <v>0</v>
          </cell>
          <cell r="X224">
            <v>0</v>
          </cell>
          <cell r="Y224">
            <v>0</v>
          </cell>
          <cell r="Z224">
            <v>15</v>
          </cell>
          <cell r="AA224">
            <v>15</v>
          </cell>
          <cell r="AB224">
            <v>20</v>
          </cell>
          <cell r="AC224">
            <v>25</v>
          </cell>
          <cell r="AD224">
            <v>45</v>
          </cell>
          <cell r="AE224">
            <v>60</v>
          </cell>
          <cell r="AF224">
            <v>75</v>
          </cell>
        </row>
        <row r="225">
          <cell r="D225" t="str">
            <v>OPERATING PROFIT (LOSS)</v>
          </cell>
          <cell r="E225">
            <v>-12.715547219344666</v>
          </cell>
          <cell r="F225">
            <v>-20</v>
          </cell>
          <cell r="G225">
            <v>30</v>
          </cell>
          <cell r="H225">
            <v>-2.7155472193446655</v>
          </cell>
          <cell r="I225">
            <v>0</v>
          </cell>
          <cell r="J225">
            <v>-0.13</v>
          </cell>
          <cell r="K225">
            <v>-15</v>
          </cell>
          <cell r="L225">
            <v>-15.13</v>
          </cell>
          <cell r="M225">
            <v>0</v>
          </cell>
          <cell r="N225">
            <v>-5</v>
          </cell>
          <cell r="O225">
            <v>-5</v>
          </cell>
          <cell r="P225">
            <v>-10</v>
          </cell>
          <cell r="Q225">
            <v>-20</v>
          </cell>
          <cell r="R225">
            <v>-15</v>
          </cell>
          <cell r="S225">
            <v>-15</v>
          </cell>
          <cell r="T225">
            <v>-50</v>
          </cell>
          <cell r="U225">
            <v>-12.715547219344666</v>
          </cell>
          <cell r="V225">
            <v>-32.715547219344664</v>
          </cell>
          <cell r="W225">
            <v>-2.7155472193446641</v>
          </cell>
          <cell r="X225">
            <v>-2.7155472193446641</v>
          </cell>
          <cell r="Y225">
            <v>-2.845547219344664</v>
          </cell>
          <cell r="Z225">
            <v>-17.845547219344663</v>
          </cell>
          <cell r="AA225">
            <v>-17.845547219344663</v>
          </cell>
          <cell r="AB225">
            <v>-22.845547219344663</v>
          </cell>
          <cell r="AC225">
            <v>-27.845547219344663</v>
          </cell>
          <cell r="AD225">
            <v>-47.845547219344667</v>
          </cell>
          <cell r="AE225">
            <v>-62.845547219344667</v>
          </cell>
          <cell r="AF225">
            <v>-77.845547219344667</v>
          </cell>
        </row>
        <row r="228">
          <cell r="D228">
            <v>4</v>
          </cell>
          <cell r="E228">
            <v>5</v>
          </cell>
          <cell r="F228">
            <v>6</v>
          </cell>
          <cell r="G228">
            <v>7</v>
          </cell>
          <cell r="H228">
            <v>8</v>
          </cell>
          <cell r="I228">
            <v>9</v>
          </cell>
          <cell r="J228">
            <v>10</v>
          </cell>
          <cell r="K228">
            <v>11</v>
          </cell>
          <cell r="L228">
            <v>12</v>
          </cell>
          <cell r="M228">
            <v>13</v>
          </cell>
          <cell r="N228">
            <v>14</v>
          </cell>
          <cell r="O228">
            <v>15</v>
          </cell>
          <cell r="P228">
            <v>16</v>
          </cell>
          <cell r="Q228">
            <v>17</v>
          </cell>
          <cell r="R228">
            <v>18</v>
          </cell>
          <cell r="S228">
            <v>19</v>
          </cell>
          <cell r="T228">
            <v>20</v>
          </cell>
          <cell r="U228">
            <v>21</v>
          </cell>
          <cell r="V228">
            <v>22</v>
          </cell>
          <cell r="W228">
            <v>23</v>
          </cell>
          <cell r="X228">
            <v>24</v>
          </cell>
          <cell r="Y228">
            <v>25</v>
          </cell>
          <cell r="Z228">
            <v>26</v>
          </cell>
          <cell r="AA228">
            <v>27</v>
          </cell>
          <cell r="AB228">
            <v>28</v>
          </cell>
          <cell r="AC228">
            <v>29</v>
          </cell>
          <cell r="AD228">
            <v>30</v>
          </cell>
          <cell r="AE228">
            <v>31</v>
          </cell>
          <cell r="AF228">
            <v>32</v>
          </cell>
        </row>
        <row r="229">
          <cell r="E229" t="str">
            <v>Actual</v>
          </cell>
          <cell r="F229" t="str">
            <v>Actual</v>
          </cell>
          <cell r="G229" t="str">
            <v>Actual</v>
          </cell>
          <cell r="H229" t="str">
            <v>Actual</v>
          </cell>
          <cell r="I229" t="str">
            <v>Actual</v>
          </cell>
          <cell r="J229" t="str">
            <v>Actual</v>
          </cell>
          <cell r="K229" t="str">
            <v>Actual</v>
          </cell>
          <cell r="L229" t="str">
            <v>Actual</v>
          </cell>
          <cell r="M229" t="str">
            <v>Actual</v>
          </cell>
          <cell r="N229" t="str">
            <v>Actual</v>
          </cell>
          <cell r="O229" t="str">
            <v>Actual</v>
          </cell>
          <cell r="P229" t="str">
            <v>Actual</v>
          </cell>
          <cell r="Q229" t="str">
            <v>Actual</v>
          </cell>
          <cell r="R229" t="str">
            <v>Actual</v>
          </cell>
          <cell r="S229" t="str">
            <v>Actual</v>
          </cell>
          <cell r="T229" t="str">
            <v>Actual</v>
          </cell>
          <cell r="U229" t="str">
            <v>Cumu Act</v>
          </cell>
          <cell r="V229" t="str">
            <v>Cumu Act</v>
          </cell>
          <cell r="W229" t="str">
            <v>Cumu Act</v>
          </cell>
          <cell r="X229" t="str">
            <v>Cumu Act</v>
          </cell>
          <cell r="Y229" t="str">
            <v>Cumu Act</v>
          </cell>
          <cell r="Z229" t="str">
            <v>Cumu Act</v>
          </cell>
          <cell r="AA229" t="str">
            <v>Cumu Act</v>
          </cell>
          <cell r="AB229" t="str">
            <v>Cumu Act</v>
          </cell>
          <cell r="AC229" t="str">
            <v>Cumu Act</v>
          </cell>
          <cell r="AD229" t="str">
            <v>Cumu Act</v>
          </cell>
          <cell r="AE229" t="str">
            <v>Cumu Act</v>
          </cell>
          <cell r="AF229" t="str">
            <v>Cumu Act</v>
          </cell>
        </row>
        <row r="230">
          <cell r="D230" t="str">
            <v>Particulars</v>
          </cell>
          <cell r="E230">
            <v>41651</v>
          </cell>
          <cell r="F230">
            <v>41682</v>
          </cell>
          <cell r="G230">
            <v>41710</v>
          </cell>
          <cell r="H230" t="str">
            <v>Q-1</v>
          </cell>
          <cell r="I230">
            <v>41741</v>
          </cell>
          <cell r="J230">
            <v>41771</v>
          </cell>
          <cell r="K230">
            <v>41802</v>
          </cell>
          <cell r="L230" t="str">
            <v>Q-2</v>
          </cell>
          <cell r="M230">
            <v>41832</v>
          </cell>
          <cell r="N230">
            <v>41863</v>
          </cell>
          <cell r="O230">
            <v>41894</v>
          </cell>
          <cell r="P230" t="str">
            <v>Q-3</v>
          </cell>
          <cell r="Q230">
            <v>41924</v>
          </cell>
          <cell r="R230">
            <v>41955</v>
          </cell>
          <cell r="S230">
            <v>41985</v>
          </cell>
          <cell r="T230" t="str">
            <v>Q-4</v>
          </cell>
          <cell r="U230">
            <v>41651</v>
          </cell>
          <cell r="V230">
            <v>41682</v>
          </cell>
          <cell r="W230">
            <v>41710</v>
          </cell>
          <cell r="X230">
            <v>41741</v>
          </cell>
          <cell r="Y230">
            <v>41771</v>
          </cell>
          <cell r="Z230">
            <v>41802</v>
          </cell>
          <cell r="AA230">
            <v>41832</v>
          </cell>
          <cell r="AB230">
            <v>41863</v>
          </cell>
          <cell r="AC230">
            <v>41894</v>
          </cell>
          <cell r="AD230">
            <v>41924</v>
          </cell>
          <cell r="AE230">
            <v>41955</v>
          </cell>
          <cell r="AF230">
            <v>41985</v>
          </cell>
        </row>
        <row r="232">
          <cell r="D232" t="str">
            <v>Sales</v>
          </cell>
          <cell r="E232">
            <v>673.49</v>
          </cell>
          <cell r="F232">
            <v>845.3</v>
          </cell>
          <cell r="G232">
            <v>810.2</v>
          </cell>
          <cell r="H232">
            <v>2328.9899999999998</v>
          </cell>
          <cell r="I232">
            <v>916.78</v>
          </cell>
          <cell r="J232">
            <v>928.03</v>
          </cell>
          <cell r="K232">
            <v>0</v>
          </cell>
          <cell r="L232">
            <v>1844.81</v>
          </cell>
          <cell r="M232">
            <v>0</v>
          </cell>
          <cell r="N232">
            <v>0</v>
          </cell>
          <cell r="O232">
            <v>0</v>
          </cell>
          <cell r="P232">
            <v>0</v>
          </cell>
          <cell r="Q232">
            <v>0</v>
          </cell>
          <cell r="R232">
            <v>0</v>
          </cell>
          <cell r="S232">
            <v>0</v>
          </cell>
          <cell r="T232">
            <v>0</v>
          </cell>
          <cell r="U232">
            <v>673.49</v>
          </cell>
          <cell r="V232">
            <v>1518.79</v>
          </cell>
          <cell r="W232">
            <v>2328.9899999999998</v>
          </cell>
          <cell r="X232">
            <v>3245.7699999999995</v>
          </cell>
          <cell r="Y232">
            <v>4173.7999999999993</v>
          </cell>
          <cell r="Z232">
            <v>4173.7999999999993</v>
          </cell>
          <cell r="AA232">
            <v>4173.7999999999993</v>
          </cell>
          <cell r="AB232">
            <v>4173.7999999999993</v>
          </cell>
          <cell r="AC232">
            <v>4173.7999999999993</v>
          </cell>
          <cell r="AD232">
            <v>4173.7999999999993</v>
          </cell>
          <cell r="AE232">
            <v>4173.7999999999993</v>
          </cell>
          <cell r="AF232">
            <v>4173.7999999999993</v>
          </cell>
        </row>
        <row r="233">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D234" t="str">
            <v>Cost of Goods Sold</v>
          </cell>
          <cell r="E234">
            <v>221.35</v>
          </cell>
          <cell r="F234">
            <v>304.91000000000003</v>
          </cell>
          <cell r="G234">
            <v>319.83</v>
          </cell>
          <cell r="H234">
            <v>846.08999999999992</v>
          </cell>
          <cell r="I234">
            <v>327.14999999999998</v>
          </cell>
          <cell r="J234">
            <v>337.15</v>
          </cell>
          <cell r="K234">
            <v>0</v>
          </cell>
          <cell r="L234">
            <v>664.3</v>
          </cell>
          <cell r="M234">
            <v>0</v>
          </cell>
          <cell r="N234">
            <v>0</v>
          </cell>
          <cell r="O234">
            <v>0</v>
          </cell>
          <cell r="P234">
            <v>0</v>
          </cell>
          <cell r="Q234">
            <v>0</v>
          </cell>
          <cell r="R234">
            <v>0</v>
          </cell>
          <cell r="S234">
            <v>0</v>
          </cell>
          <cell r="T234">
            <v>0</v>
          </cell>
          <cell r="U234">
            <v>221.35</v>
          </cell>
          <cell r="V234">
            <v>526.26</v>
          </cell>
          <cell r="W234">
            <v>846.08999999999992</v>
          </cell>
          <cell r="X234">
            <v>1173.2399999999998</v>
          </cell>
          <cell r="Y234">
            <v>1510.3899999999999</v>
          </cell>
          <cell r="Z234">
            <v>1510.3899999999999</v>
          </cell>
          <cell r="AA234">
            <v>1510.3899999999999</v>
          </cell>
          <cell r="AB234">
            <v>1510.3899999999999</v>
          </cell>
          <cell r="AC234">
            <v>1510.3899999999999</v>
          </cell>
          <cell r="AD234">
            <v>1510.3899999999999</v>
          </cell>
          <cell r="AE234">
            <v>1510.3899999999999</v>
          </cell>
          <cell r="AF234">
            <v>1510.3899999999999</v>
          </cell>
        </row>
        <row r="235">
          <cell r="D235" t="str">
            <v>ED Savings</v>
          </cell>
          <cell r="E235">
            <v>27.169879463999997</v>
          </cell>
          <cell r="F235">
            <v>30.111976888000001</v>
          </cell>
          <cell r="G235">
            <v>43.32</v>
          </cell>
          <cell r="H235">
            <v>100.601856352</v>
          </cell>
          <cell r="I235">
            <v>44.55</v>
          </cell>
          <cell r="J235">
            <v>47.51</v>
          </cell>
          <cell r="K235">
            <v>0</v>
          </cell>
          <cell r="L235">
            <v>92.06</v>
          </cell>
          <cell r="M235">
            <v>0</v>
          </cell>
          <cell r="N235">
            <v>0</v>
          </cell>
          <cell r="O235">
            <v>0</v>
          </cell>
          <cell r="P235">
            <v>0</v>
          </cell>
          <cell r="Q235">
            <v>0</v>
          </cell>
          <cell r="R235">
            <v>0</v>
          </cell>
          <cell r="S235">
            <v>0</v>
          </cell>
          <cell r="T235">
            <v>0</v>
          </cell>
          <cell r="U235">
            <v>27.169879463999997</v>
          </cell>
          <cell r="V235">
            <v>57.281856351999998</v>
          </cell>
          <cell r="W235">
            <v>100.601856352</v>
          </cell>
          <cell r="X235">
            <v>145.15185635199998</v>
          </cell>
          <cell r="Y235">
            <v>192.66185635199997</v>
          </cell>
          <cell r="Z235">
            <v>192.66185635199997</v>
          </cell>
          <cell r="AA235">
            <v>192.66185635199997</v>
          </cell>
          <cell r="AB235">
            <v>192.66185635199997</v>
          </cell>
          <cell r="AC235">
            <v>192.66185635199997</v>
          </cell>
          <cell r="AD235">
            <v>192.66185635199997</v>
          </cell>
          <cell r="AE235">
            <v>192.66185635199997</v>
          </cell>
          <cell r="AF235">
            <v>192.66185635199997</v>
          </cell>
        </row>
        <row r="236">
          <cell r="D236" t="str">
            <v>PRISM II &amp; PSM Savings</v>
          </cell>
          <cell r="E236">
            <v>10.097288530915947</v>
          </cell>
          <cell r="F236">
            <v>14.289504382692048</v>
          </cell>
          <cell r="G236">
            <v>16.567918722828285</v>
          </cell>
          <cell r="H236">
            <v>40.954711636436279</v>
          </cell>
          <cell r="I236">
            <v>20.417994751392268</v>
          </cell>
          <cell r="J236">
            <v>22.780838836231368</v>
          </cell>
          <cell r="K236">
            <v>0</v>
          </cell>
          <cell r="L236">
            <v>43.198833587623639</v>
          </cell>
          <cell r="M236">
            <v>0</v>
          </cell>
          <cell r="N236">
            <v>0</v>
          </cell>
          <cell r="O236">
            <v>0</v>
          </cell>
          <cell r="P236">
            <v>0</v>
          </cell>
          <cell r="Q236">
            <v>0</v>
          </cell>
          <cell r="R236">
            <v>0</v>
          </cell>
          <cell r="S236">
            <v>0</v>
          </cell>
          <cell r="T236">
            <v>0</v>
          </cell>
          <cell r="U236">
            <v>10.097288530915947</v>
          </cell>
          <cell r="V236">
            <v>24.386792913607994</v>
          </cell>
          <cell r="W236">
            <v>40.954711636436279</v>
          </cell>
          <cell r="X236">
            <v>61.372706387828543</v>
          </cell>
          <cell r="Y236">
            <v>84.153545224059911</v>
          </cell>
          <cell r="Z236">
            <v>84.153545224059911</v>
          </cell>
          <cell r="AA236">
            <v>84.153545224059911</v>
          </cell>
          <cell r="AB236">
            <v>84.153545224059911</v>
          </cell>
          <cell r="AC236">
            <v>84.153545224059911</v>
          </cell>
          <cell r="AD236">
            <v>84.153545224059911</v>
          </cell>
          <cell r="AE236">
            <v>84.153545224059911</v>
          </cell>
          <cell r="AF236">
            <v>84.153545224059911</v>
          </cell>
        </row>
        <row r="237">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D239" t="str">
            <v>Contribution</v>
          </cell>
          <cell r="E239">
            <v>489.40716799491594</v>
          </cell>
          <cell r="F239">
            <v>584.79148127069186</v>
          </cell>
          <cell r="G239">
            <v>550.25791872282832</v>
          </cell>
          <cell r="H239">
            <v>1624.4565679884361</v>
          </cell>
          <cell r="I239">
            <v>654.59799475139221</v>
          </cell>
          <cell r="J239">
            <v>661.17083883623138</v>
          </cell>
          <cell r="K239">
            <v>0</v>
          </cell>
          <cell r="L239">
            <v>1315.7688335876235</v>
          </cell>
          <cell r="M239">
            <v>0</v>
          </cell>
          <cell r="N239">
            <v>0</v>
          </cell>
          <cell r="O239">
            <v>0</v>
          </cell>
          <cell r="P239">
            <v>0</v>
          </cell>
          <cell r="Q239">
            <v>0</v>
          </cell>
          <cell r="R239">
            <v>0</v>
          </cell>
          <cell r="S239">
            <v>0</v>
          </cell>
          <cell r="T239">
            <v>0</v>
          </cell>
          <cell r="U239">
            <v>489.40716799491594</v>
          </cell>
          <cell r="V239">
            <v>1074.1986492656079</v>
          </cell>
          <cell r="W239">
            <v>1624.4565679884363</v>
          </cell>
          <cell r="X239">
            <v>2279.0545627398287</v>
          </cell>
          <cell r="Y239">
            <v>2940.22540157606</v>
          </cell>
          <cell r="Z239">
            <v>2940.22540157606</v>
          </cell>
          <cell r="AA239">
            <v>2940.22540157606</v>
          </cell>
          <cell r="AB239">
            <v>2940.22540157606</v>
          </cell>
          <cell r="AC239">
            <v>2940.22540157606</v>
          </cell>
          <cell r="AD239">
            <v>2940.22540157606</v>
          </cell>
          <cell r="AE239">
            <v>2940.22540157606</v>
          </cell>
          <cell r="AF239">
            <v>2940.22540157606</v>
          </cell>
        </row>
        <row r="240">
          <cell r="D240">
            <v>0</v>
          </cell>
          <cell r="E240">
            <v>0.72667325126566973</v>
          </cell>
          <cell r="F240">
            <v>0.69181530967785621</v>
          </cell>
          <cell r="G240">
            <v>0.67916306927033854</v>
          </cell>
          <cell r="H240">
            <v>0.69749400726857402</v>
          </cell>
          <cell r="I240">
            <v>0.71401862469882871</v>
          </cell>
          <cell r="J240">
            <v>0.7124455446873823</v>
          </cell>
          <cell r="K240" t="e">
            <v>#DIV/0!</v>
          </cell>
          <cell r="L240">
            <v>0.71322728822351544</v>
          </cell>
          <cell r="M240" t="e">
            <v>#DIV/0!</v>
          </cell>
          <cell r="N240" t="e">
            <v>#DIV/0!</v>
          </cell>
          <cell r="O240" t="e">
            <v>#DIV/0!</v>
          </cell>
          <cell r="P240" t="e">
            <v>#DIV/0!</v>
          </cell>
          <cell r="Q240" t="e">
            <v>#DIV/0!</v>
          </cell>
          <cell r="R240" t="e">
            <v>#DIV/0!</v>
          </cell>
          <cell r="S240" t="e">
            <v>#DIV/0!</v>
          </cell>
          <cell r="T240" t="e">
            <v>#DIV/0!</v>
          </cell>
          <cell r="U240">
            <v>0.72667325126566973</v>
          </cell>
          <cell r="V240">
            <v>0.70727266394011545</v>
          </cell>
          <cell r="W240">
            <v>0.69749400726857413</v>
          </cell>
          <cell r="X240">
            <v>0.70216144789674839</v>
          </cell>
          <cell r="Y240">
            <v>0.70444808126313208</v>
          </cell>
          <cell r="Z240">
            <v>0.70444808126313208</v>
          </cell>
          <cell r="AA240">
            <v>0.70444808126313208</v>
          </cell>
          <cell r="AB240">
            <v>0.70444808126313208</v>
          </cell>
          <cell r="AC240">
            <v>0.70444808126313208</v>
          </cell>
          <cell r="AD240">
            <v>0.70444808126313208</v>
          </cell>
          <cell r="AE240">
            <v>0.70444808126313208</v>
          </cell>
          <cell r="AF240">
            <v>0.70444808126313208</v>
          </cell>
        </row>
        <row r="241">
          <cell r="D241" t="str">
            <v>Overheads</v>
          </cell>
        </row>
        <row r="242">
          <cell r="D242" t="str">
            <v>Advertisement Exp.</v>
          </cell>
          <cell r="E242">
            <v>826.80000000000007</v>
          </cell>
          <cell r="F242">
            <v>375.79999999999995</v>
          </cell>
          <cell r="G242">
            <v>147.48999999999998</v>
          </cell>
          <cell r="H242">
            <v>1350.09</v>
          </cell>
          <cell r="I242">
            <v>846.8</v>
          </cell>
          <cell r="J242">
            <v>479.79999999999995</v>
          </cell>
          <cell r="K242">
            <v>219.79999999999998</v>
          </cell>
          <cell r="L242">
            <v>1546.3999999999999</v>
          </cell>
          <cell r="M242">
            <v>687.8</v>
          </cell>
          <cell r="N242">
            <v>247.8</v>
          </cell>
          <cell r="O242">
            <v>248.79999999999998</v>
          </cell>
          <cell r="P242">
            <v>1184.3999999999999</v>
          </cell>
          <cell r="Q242">
            <v>371.79999999999995</v>
          </cell>
          <cell r="R242">
            <v>89.800000000000011</v>
          </cell>
          <cell r="S242">
            <v>34.799999999999997</v>
          </cell>
          <cell r="T242">
            <v>496.4</v>
          </cell>
          <cell r="U242">
            <v>826.80000000000007</v>
          </cell>
          <cell r="V242">
            <v>1202.5999999999999</v>
          </cell>
          <cell r="W242">
            <v>1350.09</v>
          </cell>
          <cell r="X242">
            <v>2196.89</v>
          </cell>
          <cell r="Y242">
            <v>2676.6899999999996</v>
          </cell>
          <cell r="Z242">
            <v>2896.49</v>
          </cell>
          <cell r="AA242">
            <v>3584.29</v>
          </cell>
          <cell r="AB242">
            <v>3832.09</v>
          </cell>
          <cell r="AC242">
            <v>4080.8900000000003</v>
          </cell>
          <cell r="AD242">
            <v>4452.6900000000005</v>
          </cell>
          <cell r="AE242">
            <v>4542.4900000000007</v>
          </cell>
          <cell r="AF242">
            <v>4577.2900000000009</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D244" t="str">
            <v>Total Overheads (a+b)</v>
          </cell>
          <cell r="E244">
            <v>826.80000000000007</v>
          </cell>
          <cell r="F244">
            <v>375.79999999999995</v>
          </cell>
          <cell r="G244">
            <v>147.48999999999998</v>
          </cell>
          <cell r="H244">
            <v>1350.09</v>
          </cell>
          <cell r="I244">
            <v>846.8</v>
          </cell>
          <cell r="J244">
            <v>479.79999999999995</v>
          </cell>
          <cell r="K244">
            <v>219.79999999999998</v>
          </cell>
          <cell r="L244">
            <v>1546.3999999999999</v>
          </cell>
          <cell r="M244">
            <v>687.8</v>
          </cell>
          <cell r="N244">
            <v>247.8</v>
          </cell>
          <cell r="O244">
            <v>248.79999999999998</v>
          </cell>
          <cell r="P244">
            <v>1184.3999999999999</v>
          </cell>
          <cell r="Q244">
            <v>371.79999999999995</v>
          </cell>
          <cell r="R244">
            <v>89.800000000000011</v>
          </cell>
          <cell r="S244">
            <v>34.799999999999997</v>
          </cell>
          <cell r="T244">
            <v>496.4</v>
          </cell>
          <cell r="U244">
            <v>826.80000000000007</v>
          </cell>
          <cell r="V244">
            <v>1202.5999999999999</v>
          </cell>
          <cell r="W244">
            <v>1350.09</v>
          </cell>
          <cell r="X244">
            <v>2196.89</v>
          </cell>
          <cell r="Y244">
            <v>2676.6899999999996</v>
          </cell>
          <cell r="Z244">
            <v>2896.49</v>
          </cell>
          <cell r="AA244">
            <v>3584.29</v>
          </cell>
          <cell r="AB244">
            <v>3832.09</v>
          </cell>
          <cell r="AC244">
            <v>4080.8900000000003</v>
          </cell>
          <cell r="AD244">
            <v>4452.6900000000005</v>
          </cell>
          <cell r="AE244">
            <v>4542.4900000000007</v>
          </cell>
          <cell r="AF244">
            <v>4577.2900000000009</v>
          </cell>
        </row>
        <row r="245">
          <cell r="D245" t="str">
            <v>OPERATING PROFIT (LOSS)</v>
          </cell>
          <cell r="E245">
            <v>-337.39283200508413</v>
          </cell>
          <cell r="F245">
            <v>208.99148127069191</v>
          </cell>
          <cell r="G245">
            <v>402.76791872282831</v>
          </cell>
          <cell r="H245">
            <v>274.36656798843615</v>
          </cell>
          <cell r="I245">
            <v>-192.20200524860775</v>
          </cell>
          <cell r="J245">
            <v>181.37083883623143</v>
          </cell>
          <cell r="K245">
            <v>-219.79999999999998</v>
          </cell>
          <cell r="L245">
            <v>-230.63116641237639</v>
          </cell>
          <cell r="M245">
            <v>-687.8</v>
          </cell>
          <cell r="N245">
            <v>-247.8</v>
          </cell>
          <cell r="O245">
            <v>-248.79999999999998</v>
          </cell>
          <cell r="P245">
            <v>-1184.3999999999999</v>
          </cell>
          <cell r="Q245">
            <v>-371.79999999999995</v>
          </cell>
          <cell r="R245">
            <v>-89.800000000000011</v>
          </cell>
          <cell r="S245">
            <v>-34.799999999999997</v>
          </cell>
          <cell r="T245">
            <v>-496.4</v>
          </cell>
          <cell r="U245">
            <v>-337.39283200508413</v>
          </cell>
          <cell r="V245">
            <v>-128.40135073439222</v>
          </cell>
          <cell r="W245">
            <v>274.36656798843609</v>
          </cell>
          <cell r="X245">
            <v>82.164562739828341</v>
          </cell>
          <cell r="Y245">
            <v>263.53540157605977</v>
          </cell>
          <cell r="Z245">
            <v>43.735401576059786</v>
          </cell>
          <cell r="AA245">
            <v>-644.0645984239402</v>
          </cell>
          <cell r="AB245">
            <v>-891.86459842394015</v>
          </cell>
          <cell r="AC245">
            <v>-1140.6645984239401</v>
          </cell>
          <cell r="AD245">
            <v>-1512.4645984239401</v>
          </cell>
          <cell r="AE245">
            <v>-1602.26459842394</v>
          </cell>
          <cell r="AF245">
            <v>-1637.06459842394</v>
          </cell>
        </row>
        <row r="248">
          <cell r="D248">
            <v>4</v>
          </cell>
          <cell r="E248">
            <v>5</v>
          </cell>
          <cell r="F248">
            <v>6</v>
          </cell>
          <cell r="G248">
            <v>7</v>
          </cell>
          <cell r="H248">
            <v>8</v>
          </cell>
          <cell r="I248">
            <v>9</v>
          </cell>
          <cell r="J248">
            <v>10</v>
          </cell>
          <cell r="K248">
            <v>11</v>
          </cell>
          <cell r="L248">
            <v>12</v>
          </cell>
          <cell r="M248">
            <v>13</v>
          </cell>
          <cell r="N248">
            <v>14</v>
          </cell>
          <cell r="O248">
            <v>15</v>
          </cell>
          <cell r="P248">
            <v>16</v>
          </cell>
          <cell r="Q248">
            <v>17</v>
          </cell>
          <cell r="R248">
            <v>18</v>
          </cell>
          <cell r="S248">
            <v>19</v>
          </cell>
          <cell r="T248">
            <v>20</v>
          </cell>
          <cell r="U248">
            <v>21</v>
          </cell>
          <cell r="V248">
            <v>22</v>
          </cell>
          <cell r="W248">
            <v>23</v>
          </cell>
          <cell r="X248">
            <v>24</v>
          </cell>
          <cell r="Y248">
            <v>25</v>
          </cell>
          <cell r="Z248">
            <v>26</v>
          </cell>
          <cell r="AA248">
            <v>27</v>
          </cell>
          <cell r="AB248">
            <v>28</v>
          </cell>
          <cell r="AC248">
            <v>29</v>
          </cell>
          <cell r="AD248">
            <v>30</v>
          </cell>
          <cell r="AE248">
            <v>31</v>
          </cell>
          <cell r="AF248">
            <v>32</v>
          </cell>
        </row>
        <row r="249">
          <cell r="E249" t="str">
            <v>Actual</v>
          </cell>
          <cell r="F249" t="str">
            <v>Actual</v>
          </cell>
          <cell r="G249" t="str">
            <v>Actual</v>
          </cell>
          <cell r="H249" t="str">
            <v>Actual</v>
          </cell>
          <cell r="I249" t="str">
            <v>Actual</v>
          </cell>
          <cell r="J249" t="str">
            <v>Actual</v>
          </cell>
          <cell r="K249" t="str">
            <v>Actual</v>
          </cell>
          <cell r="L249" t="str">
            <v>Actual</v>
          </cell>
          <cell r="M249" t="str">
            <v>Actual</v>
          </cell>
          <cell r="N249" t="str">
            <v>Actual</v>
          </cell>
          <cell r="O249" t="str">
            <v>Actual</v>
          </cell>
          <cell r="P249" t="str">
            <v>Actual</v>
          </cell>
          <cell r="Q249" t="str">
            <v>Actual</v>
          </cell>
          <cell r="R249" t="str">
            <v>Actual</v>
          </cell>
          <cell r="S249" t="str">
            <v>Actual</v>
          </cell>
          <cell r="T249" t="str">
            <v>Actual</v>
          </cell>
          <cell r="U249" t="str">
            <v>Cumu Act</v>
          </cell>
          <cell r="V249" t="str">
            <v>Cumu Act</v>
          </cell>
          <cell r="W249" t="str">
            <v>Cumu Act</v>
          </cell>
          <cell r="X249" t="str">
            <v>Cumu Act</v>
          </cell>
          <cell r="Y249" t="str">
            <v>Cumu Act</v>
          </cell>
          <cell r="Z249" t="str">
            <v>Cumu Act</v>
          </cell>
          <cell r="AA249" t="str">
            <v>Cumu Act</v>
          </cell>
          <cell r="AB249" t="str">
            <v>Cumu Act</v>
          </cell>
          <cell r="AC249" t="str">
            <v>Cumu Act</v>
          </cell>
          <cell r="AD249" t="str">
            <v>Cumu Act</v>
          </cell>
          <cell r="AE249" t="str">
            <v>Cumu Act</v>
          </cell>
          <cell r="AF249" t="str">
            <v>Cumu Act</v>
          </cell>
        </row>
        <row r="250">
          <cell r="D250" t="str">
            <v>Particulars</v>
          </cell>
          <cell r="E250">
            <v>41651</v>
          </cell>
          <cell r="F250">
            <v>41682</v>
          </cell>
          <cell r="G250">
            <v>41710</v>
          </cell>
          <cell r="H250" t="str">
            <v>Q-1</v>
          </cell>
          <cell r="I250">
            <v>41741</v>
          </cell>
          <cell r="J250">
            <v>41771</v>
          </cell>
          <cell r="K250">
            <v>41802</v>
          </cell>
          <cell r="L250" t="str">
            <v>Q-2</v>
          </cell>
          <cell r="M250">
            <v>41832</v>
          </cell>
          <cell r="N250">
            <v>41863</v>
          </cell>
          <cell r="O250">
            <v>41894</v>
          </cell>
          <cell r="P250" t="str">
            <v>Q-3</v>
          </cell>
          <cell r="Q250">
            <v>41924</v>
          </cell>
          <cell r="R250">
            <v>41955</v>
          </cell>
          <cell r="S250">
            <v>41985</v>
          </cell>
          <cell r="T250" t="str">
            <v>Q-4</v>
          </cell>
          <cell r="U250">
            <v>41651</v>
          </cell>
          <cell r="V250">
            <v>41682</v>
          </cell>
          <cell r="W250">
            <v>41710</v>
          </cell>
          <cell r="X250">
            <v>41741</v>
          </cell>
          <cell r="Y250">
            <v>41771</v>
          </cell>
          <cell r="Z250">
            <v>41802</v>
          </cell>
          <cell r="AA250">
            <v>41832</v>
          </cell>
          <cell r="AB250">
            <v>41863</v>
          </cell>
          <cell r="AC250">
            <v>41894</v>
          </cell>
          <cell r="AD250">
            <v>41924</v>
          </cell>
          <cell r="AE250">
            <v>41955</v>
          </cell>
          <cell r="AF250">
            <v>41985</v>
          </cell>
        </row>
        <row r="252">
          <cell r="D252" t="str">
            <v>Sales</v>
          </cell>
          <cell r="E252">
            <v>4.1301157999999996</v>
          </cell>
          <cell r="F252">
            <v>3.3463172999999995</v>
          </cell>
          <cell r="G252">
            <v>7.1556499999998135E-2</v>
          </cell>
          <cell r="H252">
            <v>7.5479895999999975</v>
          </cell>
          <cell r="I252">
            <v>1.195262600000002</v>
          </cell>
          <cell r="J252">
            <v>-0.72549070000000049</v>
          </cell>
          <cell r="K252">
            <v>0</v>
          </cell>
          <cell r="L252">
            <v>0.46977190000000146</v>
          </cell>
          <cell r="M252">
            <v>0</v>
          </cell>
          <cell r="N252">
            <v>0</v>
          </cell>
          <cell r="O252">
            <v>0</v>
          </cell>
          <cell r="P252">
            <v>0</v>
          </cell>
          <cell r="Q252">
            <v>0</v>
          </cell>
          <cell r="R252">
            <v>0</v>
          </cell>
          <cell r="S252">
            <v>0</v>
          </cell>
          <cell r="T252">
            <v>0</v>
          </cell>
          <cell r="U252">
            <v>4.1301157999999996</v>
          </cell>
          <cell r="V252">
            <v>7.4764330999999995</v>
          </cell>
          <cell r="W252">
            <v>7.5479895999999975</v>
          </cell>
          <cell r="X252">
            <v>8.7432521999999988</v>
          </cell>
          <cell r="Y252">
            <v>8.0177614999999989</v>
          </cell>
          <cell r="Z252">
            <v>8.0177614999999989</v>
          </cell>
          <cell r="AA252">
            <v>8.0177614999999989</v>
          </cell>
          <cell r="AB252">
            <v>8.0177614999999989</v>
          </cell>
          <cell r="AC252">
            <v>8.0177614999999989</v>
          </cell>
          <cell r="AD252">
            <v>8.0177614999999989</v>
          </cell>
          <cell r="AE252">
            <v>8.0177614999999989</v>
          </cell>
          <cell r="AF252">
            <v>8.0177614999999989</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D254" t="str">
            <v>Cost of Goods Sold</v>
          </cell>
          <cell r="E254">
            <v>1.7093602377925694</v>
          </cell>
          <cell r="F254">
            <v>1.5436402669898173</v>
          </cell>
          <cell r="G254">
            <v>0.35534341516950257</v>
          </cell>
          <cell r="H254">
            <v>3.6083439199518894</v>
          </cell>
          <cell r="I254">
            <v>0.59092042795417021</v>
          </cell>
          <cell r="J254">
            <v>-0.30911856048762454</v>
          </cell>
          <cell r="K254">
            <v>0</v>
          </cell>
          <cell r="L254">
            <v>0.28180186746654567</v>
          </cell>
          <cell r="M254">
            <v>0</v>
          </cell>
          <cell r="N254">
            <v>0</v>
          </cell>
          <cell r="O254">
            <v>0</v>
          </cell>
          <cell r="P254">
            <v>0</v>
          </cell>
          <cell r="Q254">
            <v>0</v>
          </cell>
          <cell r="R254">
            <v>0</v>
          </cell>
          <cell r="S254">
            <v>0</v>
          </cell>
          <cell r="T254">
            <v>0</v>
          </cell>
          <cell r="U254">
            <v>1.7093602377925694</v>
          </cell>
          <cell r="V254">
            <v>3.2530005047823867</v>
          </cell>
          <cell r="W254">
            <v>3.6083439199518894</v>
          </cell>
          <cell r="X254">
            <v>4.1992643479060598</v>
          </cell>
          <cell r="Y254">
            <v>3.8901457874184353</v>
          </cell>
          <cell r="Z254">
            <v>3.8901457874184353</v>
          </cell>
          <cell r="AA254">
            <v>3.8901457874184353</v>
          </cell>
          <cell r="AB254">
            <v>3.8901457874184353</v>
          </cell>
          <cell r="AC254">
            <v>3.8901457874184353</v>
          </cell>
          <cell r="AD254">
            <v>3.8901457874184353</v>
          </cell>
          <cell r="AE254">
            <v>3.8901457874184353</v>
          </cell>
          <cell r="AF254">
            <v>3.8901457874184353</v>
          </cell>
        </row>
        <row r="255">
          <cell r="D255" t="str">
            <v>ED Savings</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D256" t="str">
            <v>PRISM II &amp; PSM Savings</v>
          </cell>
          <cell r="E256">
            <v>6.1920698003971451E-2</v>
          </cell>
          <cell r="F256">
            <v>5.6568337541971159E-2</v>
          </cell>
          <cell r="G256">
            <v>1.4632711381017418E-3</v>
          </cell>
          <cell r="H256">
            <v>0.11995230668404436</v>
          </cell>
          <cell r="I256">
            <v>2.6620198404563273E-2</v>
          </cell>
          <cell r="J256">
            <v>-1.7809000478308558E-2</v>
          </cell>
          <cell r="K256">
            <v>0</v>
          </cell>
          <cell r="L256">
            <v>8.8111979262547151E-3</v>
          </cell>
          <cell r="M256">
            <v>0</v>
          </cell>
          <cell r="N256">
            <v>0</v>
          </cell>
          <cell r="O256">
            <v>0</v>
          </cell>
          <cell r="P256">
            <v>0</v>
          </cell>
          <cell r="Q256">
            <v>0</v>
          </cell>
          <cell r="R256">
            <v>0</v>
          </cell>
          <cell r="S256">
            <v>0</v>
          </cell>
          <cell r="T256">
            <v>0</v>
          </cell>
          <cell r="U256">
            <v>6.1920698003971451E-2</v>
          </cell>
          <cell r="V256">
            <v>0.11848903554594262</v>
          </cell>
          <cell r="W256">
            <v>0.11995230668404436</v>
          </cell>
          <cell r="X256">
            <v>0.14657250508860764</v>
          </cell>
          <cell r="Y256">
            <v>0.12876350461029909</v>
          </cell>
          <cell r="Z256">
            <v>0.12876350461029909</v>
          </cell>
          <cell r="AA256">
            <v>0.12876350461029909</v>
          </cell>
          <cell r="AB256">
            <v>0.12876350461029909</v>
          </cell>
          <cell r="AC256">
            <v>0.12876350461029909</v>
          </cell>
          <cell r="AD256">
            <v>0.12876350461029909</v>
          </cell>
          <cell r="AE256">
            <v>0.12876350461029909</v>
          </cell>
          <cell r="AF256">
            <v>0.12876350461029909</v>
          </cell>
        </row>
        <row r="257">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D259" t="str">
            <v>Contribution</v>
          </cell>
          <cell r="E259">
            <v>2.4826762602114014</v>
          </cell>
          <cell r="F259">
            <v>1.8592453705521534</v>
          </cell>
          <cell r="G259">
            <v>-0.2823236440314027</v>
          </cell>
          <cell r="H259">
            <v>4.0595979867321521</v>
          </cell>
          <cell r="I259">
            <v>0.63096237045039505</v>
          </cell>
          <cell r="J259">
            <v>-0.43418113999068453</v>
          </cell>
          <cell r="K259">
            <v>0</v>
          </cell>
          <cell r="L259">
            <v>0.19678123045971049</v>
          </cell>
          <cell r="M259">
            <v>0</v>
          </cell>
          <cell r="N259">
            <v>0</v>
          </cell>
          <cell r="O259">
            <v>0</v>
          </cell>
          <cell r="P259">
            <v>0</v>
          </cell>
          <cell r="Q259">
            <v>0</v>
          </cell>
          <cell r="R259">
            <v>0</v>
          </cell>
          <cell r="S259">
            <v>0</v>
          </cell>
          <cell r="T259">
            <v>0</v>
          </cell>
          <cell r="U259">
            <v>2.4826762602114014</v>
          </cell>
          <cell r="V259">
            <v>4.3419216307635544</v>
          </cell>
          <cell r="W259">
            <v>4.0595979867321521</v>
          </cell>
          <cell r="X259">
            <v>4.6905603571825472</v>
          </cell>
          <cell r="Y259">
            <v>4.2563792171918626</v>
          </cell>
          <cell r="Z259">
            <v>4.2563792171918626</v>
          </cell>
          <cell r="AA259">
            <v>4.2563792171918626</v>
          </cell>
          <cell r="AB259">
            <v>4.2563792171918626</v>
          </cell>
          <cell r="AC259">
            <v>4.2563792171918626</v>
          </cell>
          <cell r="AD259">
            <v>4.2563792171918626</v>
          </cell>
          <cell r="AE259">
            <v>4.2563792171918626</v>
          </cell>
          <cell r="AF259">
            <v>4.2563792171918626</v>
          </cell>
        </row>
        <row r="260">
          <cell r="D260">
            <v>0</v>
          </cell>
          <cell r="E260">
            <v>0.60111541187571582</v>
          </cell>
          <cell r="F260">
            <v>0.55560940695975058</v>
          </cell>
          <cell r="G260">
            <v>-3.9454646891814167</v>
          </cell>
          <cell r="H260">
            <v>0.53783831216886591</v>
          </cell>
          <cell r="I260">
            <v>0.52788598124829977</v>
          </cell>
          <cell r="J260">
            <v>0.59846547997194754</v>
          </cell>
          <cell r="K260" t="e">
            <v>#DIV/0!</v>
          </cell>
          <cell r="L260">
            <v>0.41888676283045001</v>
          </cell>
          <cell r="M260" t="e">
            <v>#DIV/0!</v>
          </cell>
          <cell r="N260" t="e">
            <v>#DIV/0!</v>
          </cell>
          <cell r="O260" t="e">
            <v>#DIV/0!</v>
          </cell>
          <cell r="P260" t="e">
            <v>#DIV/0!</v>
          </cell>
          <cell r="Q260" t="e">
            <v>#DIV/0!</v>
          </cell>
          <cell r="R260" t="e">
            <v>#DIV/0!</v>
          </cell>
          <cell r="S260" t="e">
            <v>#DIV/0!</v>
          </cell>
          <cell r="T260" t="e">
            <v>#DIV/0!</v>
          </cell>
          <cell r="U260">
            <v>0.60111541187571582</v>
          </cell>
          <cell r="V260">
            <v>0.58074774062561396</v>
          </cell>
          <cell r="W260">
            <v>0.53783831216886591</v>
          </cell>
          <cell r="X260">
            <v>0.53647776020718563</v>
          </cell>
          <cell r="Y260">
            <v>0.53086877393295662</v>
          </cell>
          <cell r="Z260">
            <v>0.53086877393295662</v>
          </cell>
          <cell r="AA260">
            <v>0.53086877393295662</v>
          </cell>
          <cell r="AB260">
            <v>0.53086877393295662</v>
          </cell>
          <cell r="AC260">
            <v>0.53086877393295662</v>
          </cell>
          <cell r="AD260">
            <v>0.53086877393295662</v>
          </cell>
          <cell r="AE260">
            <v>0.53086877393295662</v>
          </cell>
          <cell r="AF260">
            <v>0.53086877393295662</v>
          </cell>
        </row>
        <row r="261">
          <cell r="D261" t="str">
            <v>Overheads</v>
          </cell>
        </row>
        <row r="262">
          <cell r="D262" t="str">
            <v>Advertisement Exp.</v>
          </cell>
          <cell r="E262">
            <v>6</v>
          </cell>
          <cell r="F262">
            <v>1</v>
          </cell>
          <cell r="G262">
            <v>-6.98</v>
          </cell>
          <cell r="H262">
            <v>1.9999999999999574E-2</v>
          </cell>
          <cell r="I262">
            <v>0</v>
          </cell>
          <cell r="J262">
            <v>177</v>
          </cell>
          <cell r="K262">
            <v>25</v>
          </cell>
          <cell r="L262">
            <v>202</v>
          </cell>
          <cell r="M262">
            <v>106</v>
          </cell>
          <cell r="N262">
            <v>51</v>
          </cell>
          <cell r="O262">
            <v>6</v>
          </cell>
          <cell r="P262">
            <v>163</v>
          </cell>
          <cell r="Q262">
            <v>3</v>
          </cell>
          <cell r="R262">
            <v>0</v>
          </cell>
          <cell r="S262">
            <v>0</v>
          </cell>
          <cell r="T262">
            <v>3</v>
          </cell>
          <cell r="U262">
            <v>6</v>
          </cell>
          <cell r="V262">
            <v>7</v>
          </cell>
          <cell r="W262">
            <v>1.9999999999999574E-2</v>
          </cell>
          <cell r="X262">
            <v>1.9999999999999574E-2</v>
          </cell>
          <cell r="Y262">
            <v>177.02</v>
          </cell>
          <cell r="Z262">
            <v>202.02</v>
          </cell>
          <cell r="AA262">
            <v>308.02</v>
          </cell>
          <cell r="AB262">
            <v>359.02</v>
          </cell>
          <cell r="AC262">
            <v>365.02</v>
          </cell>
          <cell r="AD262">
            <v>368.02</v>
          </cell>
          <cell r="AE262">
            <v>368.02</v>
          </cell>
          <cell r="AF262">
            <v>368.02</v>
          </cell>
        </row>
        <row r="263">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D264" t="str">
            <v>Total Overheads (a+b)</v>
          </cell>
          <cell r="E264">
            <v>6</v>
          </cell>
          <cell r="F264">
            <v>1</v>
          </cell>
          <cell r="G264">
            <v>-6.98</v>
          </cell>
          <cell r="H264">
            <v>1.9999999999999574E-2</v>
          </cell>
          <cell r="I264">
            <v>0</v>
          </cell>
          <cell r="J264">
            <v>177</v>
          </cell>
          <cell r="K264">
            <v>25</v>
          </cell>
          <cell r="L264">
            <v>202</v>
          </cell>
          <cell r="M264">
            <v>106</v>
          </cell>
          <cell r="N264">
            <v>51</v>
          </cell>
          <cell r="O264">
            <v>6</v>
          </cell>
          <cell r="P264">
            <v>163</v>
          </cell>
          <cell r="Q264">
            <v>3</v>
          </cell>
          <cell r="R264">
            <v>0</v>
          </cell>
          <cell r="S264">
            <v>0</v>
          </cell>
          <cell r="T264">
            <v>3</v>
          </cell>
          <cell r="U264">
            <v>6</v>
          </cell>
          <cell r="V264">
            <v>7</v>
          </cell>
          <cell r="W264">
            <v>1.9999999999999574E-2</v>
          </cell>
          <cell r="X264">
            <v>1.9999999999999574E-2</v>
          </cell>
          <cell r="Y264">
            <v>177.02</v>
          </cell>
          <cell r="Z264">
            <v>202.02</v>
          </cell>
          <cell r="AA264">
            <v>308.02</v>
          </cell>
          <cell r="AB264">
            <v>359.02</v>
          </cell>
          <cell r="AC264">
            <v>365.02</v>
          </cell>
          <cell r="AD264">
            <v>368.02</v>
          </cell>
          <cell r="AE264">
            <v>368.02</v>
          </cell>
          <cell r="AF264">
            <v>368.02</v>
          </cell>
        </row>
        <row r="265">
          <cell r="D265" t="str">
            <v>OPERATING PROFIT (LOSS)</v>
          </cell>
          <cell r="E265">
            <v>-3.5173237397885986</v>
          </cell>
          <cell r="F265">
            <v>0.85924537055215344</v>
          </cell>
          <cell r="G265">
            <v>6.6976763559685981</v>
          </cell>
          <cell r="H265">
            <v>4.0395979867321525</v>
          </cell>
          <cell r="I265">
            <v>0.63096237045039505</v>
          </cell>
          <cell r="J265">
            <v>-177.4341811399907</v>
          </cell>
          <cell r="K265">
            <v>-25</v>
          </cell>
          <cell r="L265">
            <v>-201.80321876954028</v>
          </cell>
          <cell r="M265">
            <v>-106</v>
          </cell>
          <cell r="N265">
            <v>-51</v>
          </cell>
          <cell r="O265">
            <v>-6</v>
          </cell>
          <cell r="P265">
            <v>-163</v>
          </cell>
          <cell r="Q265">
            <v>-3</v>
          </cell>
          <cell r="R265">
            <v>0</v>
          </cell>
          <cell r="S265">
            <v>0</v>
          </cell>
          <cell r="T265">
            <v>-3</v>
          </cell>
          <cell r="U265">
            <v>-3.5173237397885986</v>
          </cell>
          <cell r="V265">
            <v>-2.6580783692364451</v>
          </cell>
          <cell r="W265">
            <v>4.0395979867321525</v>
          </cell>
          <cell r="X265">
            <v>4.6705603571825476</v>
          </cell>
          <cell r="Y265">
            <v>-172.76362078280815</v>
          </cell>
          <cell r="Z265">
            <v>-197.76362078280815</v>
          </cell>
          <cell r="AA265">
            <v>-303.76362078280818</v>
          </cell>
          <cell r="AB265">
            <v>-354.76362078280818</v>
          </cell>
          <cell r="AC265">
            <v>-360.76362078280818</v>
          </cell>
          <cell r="AD265">
            <v>-363.76362078280818</v>
          </cell>
          <cell r="AE265">
            <v>-363.76362078280818</v>
          </cell>
          <cell r="AF265">
            <v>-363.76362078280818</v>
          </cell>
        </row>
        <row r="268">
          <cell r="D268">
            <v>4</v>
          </cell>
          <cell r="E268">
            <v>5</v>
          </cell>
          <cell r="F268">
            <v>6</v>
          </cell>
          <cell r="G268">
            <v>7</v>
          </cell>
          <cell r="H268">
            <v>8</v>
          </cell>
          <cell r="I268">
            <v>9</v>
          </cell>
          <cell r="J268">
            <v>10</v>
          </cell>
          <cell r="K268">
            <v>11</v>
          </cell>
          <cell r="L268">
            <v>12</v>
          </cell>
          <cell r="M268">
            <v>13</v>
          </cell>
          <cell r="N268">
            <v>14</v>
          </cell>
          <cell r="O268">
            <v>15</v>
          </cell>
          <cell r="P268">
            <v>16</v>
          </cell>
          <cell r="Q268">
            <v>17</v>
          </cell>
          <cell r="R268">
            <v>18</v>
          </cell>
          <cell r="S268">
            <v>19</v>
          </cell>
          <cell r="T268">
            <v>20</v>
          </cell>
          <cell r="U268">
            <v>21</v>
          </cell>
          <cell r="V268">
            <v>22</v>
          </cell>
          <cell r="W268">
            <v>23</v>
          </cell>
          <cell r="X268">
            <v>24</v>
          </cell>
          <cell r="Y268">
            <v>25</v>
          </cell>
          <cell r="Z268">
            <v>26</v>
          </cell>
          <cell r="AA268">
            <v>27</v>
          </cell>
          <cell r="AB268">
            <v>28</v>
          </cell>
          <cell r="AC268">
            <v>29</v>
          </cell>
          <cell r="AD268">
            <v>30</v>
          </cell>
          <cell r="AE268">
            <v>31</v>
          </cell>
          <cell r="AF268">
            <v>32</v>
          </cell>
        </row>
        <row r="269">
          <cell r="E269" t="str">
            <v>Actual</v>
          </cell>
          <cell r="F269" t="str">
            <v>Actual</v>
          </cell>
          <cell r="G269" t="str">
            <v>Actual</v>
          </cell>
          <cell r="H269" t="str">
            <v>Actual</v>
          </cell>
          <cell r="I269" t="str">
            <v>Actual</v>
          </cell>
          <cell r="J269" t="str">
            <v>Actual</v>
          </cell>
          <cell r="K269" t="str">
            <v>Actual</v>
          </cell>
          <cell r="L269" t="str">
            <v>Actual</v>
          </cell>
          <cell r="M269" t="str">
            <v>Actual</v>
          </cell>
          <cell r="N269" t="str">
            <v>Actual</v>
          </cell>
          <cell r="O269" t="str">
            <v>Actual</v>
          </cell>
          <cell r="P269" t="str">
            <v>Actual</v>
          </cell>
          <cell r="Q269" t="str">
            <v>Actual</v>
          </cell>
          <cell r="R269" t="str">
            <v>Actual</v>
          </cell>
          <cell r="S269" t="str">
            <v>Actual</v>
          </cell>
          <cell r="T269" t="str">
            <v>Actual</v>
          </cell>
          <cell r="U269" t="str">
            <v>Cumu Act</v>
          </cell>
          <cell r="V269" t="str">
            <v>Cumu Act</v>
          </cell>
          <cell r="W269" t="str">
            <v>Cumu Act</v>
          </cell>
          <cell r="X269" t="str">
            <v>Cumu Act</v>
          </cell>
          <cell r="Y269" t="str">
            <v>Cumu Act</v>
          </cell>
          <cell r="Z269" t="str">
            <v>Cumu Act</v>
          </cell>
          <cell r="AA269" t="str">
            <v>Cumu Act</v>
          </cell>
          <cell r="AB269" t="str">
            <v>Cumu Act</v>
          </cell>
          <cell r="AC269" t="str">
            <v>Cumu Act</v>
          </cell>
          <cell r="AD269" t="str">
            <v>Cumu Act</v>
          </cell>
          <cell r="AE269" t="str">
            <v>Cumu Act</v>
          </cell>
          <cell r="AF269" t="str">
            <v>Cumu Act</v>
          </cell>
        </row>
        <row r="270">
          <cell r="D270" t="str">
            <v>Particulars</v>
          </cell>
          <cell r="E270">
            <v>41651</v>
          </cell>
          <cell r="F270">
            <v>41682</v>
          </cell>
          <cell r="G270">
            <v>41710</v>
          </cell>
          <cell r="H270" t="str">
            <v>Q-1</v>
          </cell>
          <cell r="I270">
            <v>41741</v>
          </cell>
          <cell r="J270">
            <v>41771</v>
          </cell>
          <cell r="K270">
            <v>41802</v>
          </cell>
          <cell r="L270" t="str">
            <v>Q-2</v>
          </cell>
          <cell r="M270">
            <v>41832</v>
          </cell>
          <cell r="N270">
            <v>41863</v>
          </cell>
          <cell r="O270">
            <v>41894</v>
          </cell>
          <cell r="P270" t="str">
            <v>Q-3</v>
          </cell>
          <cell r="Q270">
            <v>41924</v>
          </cell>
          <cell r="R270">
            <v>41955</v>
          </cell>
          <cell r="S270">
            <v>41985</v>
          </cell>
          <cell r="T270" t="str">
            <v>Q-4</v>
          </cell>
          <cell r="U270">
            <v>41651</v>
          </cell>
          <cell r="V270">
            <v>41682</v>
          </cell>
          <cell r="W270">
            <v>41710</v>
          </cell>
          <cell r="X270">
            <v>41741</v>
          </cell>
          <cell r="Y270">
            <v>41771</v>
          </cell>
          <cell r="Z270">
            <v>41802</v>
          </cell>
          <cell r="AA270">
            <v>41832</v>
          </cell>
          <cell r="AB270">
            <v>41863</v>
          </cell>
          <cell r="AC270">
            <v>41894</v>
          </cell>
          <cell r="AD270">
            <v>41924</v>
          </cell>
          <cell r="AE270">
            <v>41955</v>
          </cell>
          <cell r="AF270">
            <v>41985</v>
          </cell>
        </row>
        <row r="272">
          <cell r="D272" t="str">
            <v>Sales</v>
          </cell>
          <cell r="E272">
            <v>16.603844899999967</v>
          </cell>
          <cell r="F272">
            <v>18.146883699999979</v>
          </cell>
          <cell r="G272">
            <v>31.58361620000008</v>
          </cell>
          <cell r="H272">
            <v>66.334344800000025</v>
          </cell>
          <cell r="I272">
            <v>11.931040499999993</v>
          </cell>
          <cell r="J272">
            <v>8.5088565999999854</v>
          </cell>
          <cell r="K272">
            <v>0</v>
          </cell>
          <cell r="L272">
            <v>20.439897099999978</v>
          </cell>
          <cell r="M272">
            <v>0</v>
          </cell>
          <cell r="N272">
            <v>0</v>
          </cell>
          <cell r="O272">
            <v>0</v>
          </cell>
          <cell r="P272">
            <v>0</v>
          </cell>
          <cell r="Q272">
            <v>0</v>
          </cell>
          <cell r="R272">
            <v>0</v>
          </cell>
          <cell r="S272">
            <v>0</v>
          </cell>
          <cell r="T272">
            <v>0</v>
          </cell>
          <cell r="U272">
            <v>16.603844899999967</v>
          </cell>
          <cell r="V272">
            <v>34.750728599999945</v>
          </cell>
          <cell r="W272">
            <v>66.334344800000025</v>
          </cell>
          <cell r="X272">
            <v>78.26538530000002</v>
          </cell>
          <cell r="Y272">
            <v>86.774241900000007</v>
          </cell>
          <cell r="Z272">
            <v>86.774241900000007</v>
          </cell>
          <cell r="AA272">
            <v>86.774241900000007</v>
          </cell>
          <cell r="AB272">
            <v>86.774241900000007</v>
          </cell>
          <cell r="AC272">
            <v>86.774241900000007</v>
          </cell>
          <cell r="AD272">
            <v>86.774241900000007</v>
          </cell>
          <cell r="AE272">
            <v>86.774241900000007</v>
          </cell>
          <cell r="AF272">
            <v>86.774241900000007</v>
          </cell>
        </row>
        <row r="273">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D274" t="str">
            <v>Cost of Goods Sold</v>
          </cell>
          <cell r="E274">
            <v>10.626590801500003</v>
          </cell>
          <cell r="F274">
            <v>10.405383408499999</v>
          </cell>
          <cell r="G274">
            <v>18.023497708999997</v>
          </cell>
          <cell r="H274">
            <v>39.055471918999999</v>
          </cell>
          <cell r="I274">
            <v>7.2246574364999994</v>
          </cell>
          <cell r="J274">
            <v>5.0725277645000002</v>
          </cell>
          <cell r="K274">
            <v>0</v>
          </cell>
          <cell r="L274">
            <v>12.297185201</v>
          </cell>
          <cell r="M274">
            <v>0</v>
          </cell>
          <cell r="N274">
            <v>0</v>
          </cell>
          <cell r="O274">
            <v>0</v>
          </cell>
          <cell r="P274">
            <v>0</v>
          </cell>
          <cell r="Q274">
            <v>0</v>
          </cell>
          <cell r="R274">
            <v>0</v>
          </cell>
          <cell r="S274">
            <v>0</v>
          </cell>
          <cell r="T274">
            <v>0</v>
          </cell>
          <cell r="U274">
            <v>10.626590801500003</v>
          </cell>
          <cell r="V274">
            <v>21.031974210000001</v>
          </cell>
          <cell r="W274">
            <v>39.055471918999999</v>
          </cell>
          <cell r="X274">
            <v>46.280129355499994</v>
          </cell>
          <cell r="Y274">
            <v>51.352657119999996</v>
          </cell>
          <cell r="Z274">
            <v>51.352657119999996</v>
          </cell>
          <cell r="AA274">
            <v>51.352657119999996</v>
          </cell>
          <cell r="AB274">
            <v>51.352657119999996</v>
          </cell>
          <cell r="AC274">
            <v>51.352657119999996</v>
          </cell>
          <cell r="AD274">
            <v>51.352657119999996</v>
          </cell>
          <cell r="AE274">
            <v>51.352657119999996</v>
          </cell>
          <cell r="AF274">
            <v>51.352657119999996</v>
          </cell>
        </row>
        <row r="275">
          <cell r="D275" t="str">
            <v>ED Savings</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D276" t="str">
            <v>PRISM II &amp; PSM Savings</v>
          </cell>
          <cell r="E276">
            <v>0.2489328908786721</v>
          </cell>
          <cell r="F276">
            <v>0.30676679777990373</v>
          </cell>
          <cell r="G276">
            <v>0.64585878323204637</v>
          </cell>
          <cell r="H276">
            <v>1.2015584718906223</v>
          </cell>
          <cell r="I276">
            <v>0.26572124425450866</v>
          </cell>
          <cell r="J276">
            <v>0.20887136287103139</v>
          </cell>
          <cell r="K276">
            <v>0</v>
          </cell>
          <cell r="L276">
            <v>0.47459260712554008</v>
          </cell>
          <cell r="M276">
            <v>0</v>
          </cell>
          <cell r="N276">
            <v>0</v>
          </cell>
          <cell r="O276">
            <v>0</v>
          </cell>
          <cell r="P276">
            <v>0</v>
          </cell>
          <cell r="Q276">
            <v>0</v>
          </cell>
          <cell r="R276">
            <v>0</v>
          </cell>
          <cell r="S276">
            <v>0</v>
          </cell>
          <cell r="T276">
            <v>0</v>
          </cell>
          <cell r="U276">
            <v>0.2489328908786721</v>
          </cell>
          <cell r="V276">
            <v>0.55569968865857589</v>
          </cell>
          <cell r="W276">
            <v>1.2015584718906223</v>
          </cell>
          <cell r="X276">
            <v>1.467279716145131</v>
          </cell>
          <cell r="Y276">
            <v>1.6761510790161624</v>
          </cell>
          <cell r="Z276">
            <v>1.6761510790161624</v>
          </cell>
          <cell r="AA276">
            <v>1.6761510790161624</v>
          </cell>
          <cell r="AB276">
            <v>1.6761510790161624</v>
          </cell>
          <cell r="AC276">
            <v>1.6761510790161624</v>
          </cell>
          <cell r="AD276">
            <v>1.6761510790161624</v>
          </cell>
          <cell r="AE276">
            <v>1.6761510790161624</v>
          </cell>
          <cell r="AF276">
            <v>1.6761510790161624</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row>
        <row r="279">
          <cell r="D279" t="str">
            <v>Contribution</v>
          </cell>
          <cell r="E279">
            <v>6.2261869893786361</v>
          </cell>
          <cell r="F279">
            <v>8.048267089279884</v>
          </cell>
          <cell r="G279">
            <v>14.205977274232129</v>
          </cell>
          <cell r="H279">
            <v>28.480431352890648</v>
          </cell>
          <cell r="I279">
            <v>4.9721043077545017</v>
          </cell>
          <cell r="J279">
            <v>3.6452001983710165</v>
          </cell>
          <cell r="K279">
            <v>0</v>
          </cell>
          <cell r="L279">
            <v>8.6173045061255191</v>
          </cell>
          <cell r="M279">
            <v>0</v>
          </cell>
          <cell r="N279">
            <v>0</v>
          </cell>
          <cell r="O279">
            <v>0</v>
          </cell>
          <cell r="P279">
            <v>0</v>
          </cell>
          <cell r="Q279">
            <v>0</v>
          </cell>
          <cell r="R279">
            <v>0</v>
          </cell>
          <cell r="S279">
            <v>0</v>
          </cell>
          <cell r="T279">
            <v>0</v>
          </cell>
          <cell r="U279">
            <v>6.2261869893786361</v>
          </cell>
          <cell r="V279">
            <v>14.27445407865852</v>
          </cell>
          <cell r="W279">
            <v>28.480431352890648</v>
          </cell>
          <cell r="X279">
            <v>33.452535660645147</v>
          </cell>
          <cell r="Y279">
            <v>37.097735859016161</v>
          </cell>
          <cell r="Z279">
            <v>37.097735859016161</v>
          </cell>
          <cell r="AA279">
            <v>37.097735859016161</v>
          </cell>
          <cell r="AB279">
            <v>37.097735859016161</v>
          </cell>
          <cell r="AC279">
            <v>37.097735859016161</v>
          </cell>
          <cell r="AD279">
            <v>37.097735859016161</v>
          </cell>
          <cell r="AE279">
            <v>37.097735859016161</v>
          </cell>
          <cell r="AF279">
            <v>37.097735859016161</v>
          </cell>
        </row>
        <row r="280">
          <cell r="D280">
            <v>0</v>
          </cell>
          <cell r="E280">
            <v>0.37498465125861591</v>
          </cell>
          <cell r="F280">
            <v>0.4435068424051174</v>
          </cell>
          <cell r="G280">
            <v>0.44978944729679476</v>
          </cell>
          <cell r="H280">
            <v>0.42934668969385276</v>
          </cell>
          <cell r="I280">
            <v>0.41673685608178973</v>
          </cell>
          <cell r="J280">
            <v>0.42840070878277847</v>
          </cell>
          <cell r="K280" t="e">
            <v>#DIV/0!</v>
          </cell>
          <cell r="L280">
            <v>0.42159236242561748</v>
          </cell>
          <cell r="M280" t="e">
            <v>#DIV/0!</v>
          </cell>
          <cell r="N280" t="e">
            <v>#DIV/0!</v>
          </cell>
          <cell r="O280" t="e">
            <v>#DIV/0!</v>
          </cell>
          <cell r="P280" t="e">
            <v>#DIV/0!</v>
          </cell>
          <cell r="Q280" t="e">
            <v>#DIV/0!</v>
          </cell>
          <cell r="R280" t="e">
            <v>#DIV/0!</v>
          </cell>
          <cell r="S280" t="e">
            <v>#DIV/0!</v>
          </cell>
          <cell r="T280" t="e">
            <v>#DIV/0!</v>
          </cell>
          <cell r="U280">
            <v>0.37498465125861591</v>
          </cell>
          <cell r="V280">
            <v>0.41076704442561074</v>
          </cell>
          <cell r="W280">
            <v>0.42934668969385276</v>
          </cell>
          <cell r="X280">
            <v>0.4274244039356328</v>
          </cell>
          <cell r="Y280">
            <v>0.4275201378511399</v>
          </cell>
          <cell r="Z280">
            <v>0.4275201378511399</v>
          </cell>
          <cell r="AA280">
            <v>0.4275201378511399</v>
          </cell>
          <cell r="AB280">
            <v>0.4275201378511399</v>
          </cell>
          <cell r="AC280">
            <v>0.4275201378511399</v>
          </cell>
          <cell r="AD280">
            <v>0.4275201378511399</v>
          </cell>
          <cell r="AE280">
            <v>0.4275201378511399</v>
          </cell>
          <cell r="AF280">
            <v>0.4275201378511399</v>
          </cell>
        </row>
        <row r="281">
          <cell r="D281" t="str">
            <v>Overheads</v>
          </cell>
        </row>
        <row r="282">
          <cell r="D282" t="str">
            <v>Advertisement Exp.</v>
          </cell>
          <cell r="E282">
            <v>23</v>
          </cell>
          <cell r="F282">
            <v>5</v>
          </cell>
          <cell r="G282">
            <v>5</v>
          </cell>
          <cell r="H282">
            <v>33</v>
          </cell>
          <cell r="I282">
            <v>8.8888888888888893</v>
          </cell>
          <cell r="J282">
            <v>8.8888888888888893</v>
          </cell>
          <cell r="K282">
            <v>8.8888888888888893</v>
          </cell>
          <cell r="L282">
            <v>26.666666666666668</v>
          </cell>
          <cell r="M282">
            <v>8.8888888888888893</v>
          </cell>
          <cell r="N282">
            <v>8.8888888888888893</v>
          </cell>
          <cell r="O282">
            <v>8.8888888888888893</v>
          </cell>
          <cell r="P282">
            <v>26.666666666666668</v>
          </cell>
          <cell r="Q282">
            <v>8.8888888888888893</v>
          </cell>
          <cell r="R282">
            <v>8.8888888888888893</v>
          </cell>
          <cell r="S282">
            <v>8.8888888888888893</v>
          </cell>
          <cell r="T282">
            <v>26.666666666666668</v>
          </cell>
          <cell r="U282">
            <v>23</v>
          </cell>
          <cell r="V282">
            <v>28</v>
          </cell>
          <cell r="W282">
            <v>33</v>
          </cell>
          <cell r="X282">
            <v>41.888888888888886</v>
          </cell>
          <cell r="Y282">
            <v>50.777777777777771</v>
          </cell>
          <cell r="Z282">
            <v>59.666666666666657</v>
          </cell>
          <cell r="AA282">
            <v>68.555555555555543</v>
          </cell>
          <cell r="AB282">
            <v>77.444444444444429</v>
          </cell>
          <cell r="AC282">
            <v>86.333333333333314</v>
          </cell>
          <cell r="AD282">
            <v>95.2222222222222</v>
          </cell>
          <cell r="AE282">
            <v>104.11111111111109</v>
          </cell>
          <cell r="AF282">
            <v>112.99999999999997</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row>
        <row r="284">
          <cell r="D284" t="str">
            <v>Total Overheads (a+b)</v>
          </cell>
          <cell r="E284">
            <v>23</v>
          </cell>
          <cell r="F284">
            <v>5</v>
          </cell>
          <cell r="G284">
            <v>5</v>
          </cell>
          <cell r="H284">
            <v>33</v>
          </cell>
          <cell r="I284">
            <v>8.8888888888888893</v>
          </cell>
          <cell r="J284">
            <v>8.8888888888888893</v>
          </cell>
          <cell r="K284">
            <v>8.8888888888888893</v>
          </cell>
          <cell r="L284">
            <v>26.666666666666668</v>
          </cell>
          <cell r="M284">
            <v>8.8888888888888893</v>
          </cell>
          <cell r="N284">
            <v>8.8888888888888893</v>
          </cell>
          <cell r="O284">
            <v>8.8888888888888893</v>
          </cell>
          <cell r="P284">
            <v>26.666666666666668</v>
          </cell>
          <cell r="Q284">
            <v>8.8888888888888893</v>
          </cell>
          <cell r="R284">
            <v>8.8888888888888893</v>
          </cell>
          <cell r="S284">
            <v>8.8888888888888893</v>
          </cell>
          <cell r="T284">
            <v>26.666666666666668</v>
          </cell>
          <cell r="U284">
            <v>23</v>
          </cell>
          <cell r="V284">
            <v>28</v>
          </cell>
          <cell r="W284">
            <v>33</v>
          </cell>
          <cell r="X284">
            <v>41.888888888888886</v>
          </cell>
          <cell r="Y284">
            <v>50.777777777777771</v>
          </cell>
          <cell r="Z284">
            <v>59.666666666666657</v>
          </cell>
          <cell r="AA284">
            <v>68.555555555555543</v>
          </cell>
          <cell r="AB284">
            <v>77.444444444444429</v>
          </cell>
          <cell r="AC284">
            <v>86.333333333333314</v>
          </cell>
          <cell r="AD284">
            <v>95.2222222222222</v>
          </cell>
          <cell r="AE284">
            <v>104.11111111111109</v>
          </cell>
          <cell r="AF284">
            <v>112.99999999999997</v>
          </cell>
        </row>
        <row r="285">
          <cell r="D285" t="str">
            <v>OPERATING PROFIT (LOSS)</v>
          </cell>
          <cell r="E285">
            <v>-16.773813010621364</v>
          </cell>
          <cell r="F285">
            <v>3.048267089279884</v>
          </cell>
          <cell r="G285">
            <v>9.2059772742321293</v>
          </cell>
          <cell r="H285">
            <v>-4.5195686471093524</v>
          </cell>
          <cell r="I285">
            <v>-3.9167845811343875</v>
          </cell>
          <cell r="J285">
            <v>-5.2436886905178728</v>
          </cell>
          <cell r="K285">
            <v>-8.8888888888888893</v>
          </cell>
          <cell r="L285">
            <v>-18.049362160541151</v>
          </cell>
          <cell r="M285">
            <v>-8.8888888888888893</v>
          </cell>
          <cell r="N285">
            <v>-8.8888888888888893</v>
          </cell>
          <cell r="O285">
            <v>-8.8888888888888893</v>
          </cell>
          <cell r="P285">
            <v>-26.666666666666668</v>
          </cell>
          <cell r="Q285">
            <v>-8.8888888888888893</v>
          </cell>
          <cell r="R285">
            <v>-8.8888888888888893</v>
          </cell>
          <cell r="S285">
            <v>-8.8888888888888893</v>
          </cell>
          <cell r="T285">
            <v>-26.666666666666668</v>
          </cell>
          <cell r="U285">
            <v>-16.773813010621364</v>
          </cell>
          <cell r="V285">
            <v>-13.72554592134148</v>
          </cell>
          <cell r="W285">
            <v>-4.5195686471093506</v>
          </cell>
          <cell r="X285">
            <v>-8.436353228243739</v>
          </cell>
          <cell r="Y285">
            <v>-13.680041918761612</v>
          </cell>
          <cell r="Z285">
            <v>-22.568930807650503</v>
          </cell>
          <cell r="AA285">
            <v>-31.457819696539392</v>
          </cell>
          <cell r="AB285">
            <v>-40.346708585428281</v>
          </cell>
          <cell r="AC285">
            <v>-49.235597474317174</v>
          </cell>
          <cell r="AD285">
            <v>-58.12448636320606</v>
          </cell>
          <cell r="AE285">
            <v>-67.013375252094946</v>
          </cell>
          <cell r="AF285">
            <v>-75.902264140983831</v>
          </cell>
        </row>
        <row r="288">
          <cell r="D288">
            <v>4</v>
          </cell>
          <cell r="E288">
            <v>5</v>
          </cell>
          <cell r="F288">
            <v>6</v>
          </cell>
          <cell r="G288">
            <v>7</v>
          </cell>
          <cell r="H288">
            <v>8</v>
          </cell>
          <cell r="I288">
            <v>9</v>
          </cell>
          <cell r="J288">
            <v>10</v>
          </cell>
          <cell r="K288">
            <v>11</v>
          </cell>
          <cell r="L288">
            <v>12</v>
          </cell>
          <cell r="M288">
            <v>13</v>
          </cell>
          <cell r="N288">
            <v>14</v>
          </cell>
          <cell r="O288">
            <v>15</v>
          </cell>
          <cell r="P288">
            <v>16</v>
          </cell>
          <cell r="Q288">
            <v>17</v>
          </cell>
          <cell r="R288">
            <v>18</v>
          </cell>
          <cell r="S288">
            <v>19</v>
          </cell>
          <cell r="T288">
            <v>20</v>
          </cell>
          <cell r="U288">
            <v>21</v>
          </cell>
          <cell r="V288">
            <v>22</v>
          </cell>
          <cell r="W288">
            <v>23</v>
          </cell>
          <cell r="X288">
            <v>24</v>
          </cell>
          <cell r="Y288">
            <v>25</v>
          </cell>
          <cell r="Z288">
            <v>26</v>
          </cell>
          <cell r="AA288">
            <v>27</v>
          </cell>
          <cell r="AB288">
            <v>28</v>
          </cell>
          <cell r="AC288">
            <v>29</v>
          </cell>
          <cell r="AD288">
            <v>30</v>
          </cell>
          <cell r="AE288">
            <v>31</v>
          </cell>
          <cell r="AF288">
            <v>32</v>
          </cell>
        </row>
        <row r="289">
          <cell r="E289" t="str">
            <v>Actual</v>
          </cell>
          <cell r="F289" t="str">
            <v>Actual</v>
          </cell>
          <cell r="G289" t="str">
            <v>Actual</v>
          </cell>
          <cell r="H289" t="str">
            <v>Actual</v>
          </cell>
          <cell r="I289" t="str">
            <v>Actual</v>
          </cell>
          <cell r="J289" t="str">
            <v>Actual</v>
          </cell>
          <cell r="K289" t="str">
            <v>Actual</v>
          </cell>
          <cell r="L289" t="str">
            <v>Actual</v>
          </cell>
          <cell r="M289" t="str">
            <v>Actual</v>
          </cell>
          <cell r="N289" t="str">
            <v>Actual</v>
          </cell>
          <cell r="O289" t="str">
            <v>Actual</v>
          </cell>
          <cell r="P289" t="str">
            <v>Actual</v>
          </cell>
          <cell r="Q289" t="str">
            <v>Actual</v>
          </cell>
          <cell r="R289" t="str">
            <v>Actual</v>
          </cell>
          <cell r="S289" t="str">
            <v>Actual</v>
          </cell>
          <cell r="T289" t="str">
            <v>Actual</v>
          </cell>
          <cell r="U289" t="str">
            <v>Cumu Act</v>
          </cell>
          <cell r="V289" t="str">
            <v>Cumu Act</v>
          </cell>
          <cell r="W289" t="str">
            <v>Cumu Act</v>
          </cell>
          <cell r="X289" t="str">
            <v>Cumu Act</v>
          </cell>
          <cell r="Y289" t="str">
            <v>Cumu Act</v>
          </cell>
          <cell r="Z289" t="str">
            <v>Cumu Act</v>
          </cell>
          <cell r="AA289" t="str">
            <v>Cumu Act</v>
          </cell>
          <cell r="AB289" t="str">
            <v>Cumu Act</v>
          </cell>
          <cell r="AC289" t="str">
            <v>Cumu Act</v>
          </cell>
          <cell r="AD289" t="str">
            <v>Cumu Act</v>
          </cell>
          <cell r="AE289" t="str">
            <v>Cumu Act</v>
          </cell>
          <cell r="AF289" t="str">
            <v>Cumu Act</v>
          </cell>
        </row>
        <row r="290">
          <cell r="D290" t="str">
            <v>Particulars</v>
          </cell>
          <cell r="E290">
            <v>41651</v>
          </cell>
          <cell r="F290">
            <v>41682</v>
          </cell>
          <cell r="G290">
            <v>41710</v>
          </cell>
          <cell r="H290" t="str">
            <v>Q-1</v>
          </cell>
          <cell r="I290">
            <v>41741</v>
          </cell>
          <cell r="J290">
            <v>41771</v>
          </cell>
          <cell r="K290">
            <v>41802</v>
          </cell>
          <cell r="L290" t="str">
            <v>Q-2</v>
          </cell>
          <cell r="M290">
            <v>41832</v>
          </cell>
          <cell r="N290">
            <v>41863</v>
          </cell>
          <cell r="O290">
            <v>41894</v>
          </cell>
          <cell r="P290" t="str">
            <v>Q-3</v>
          </cell>
          <cell r="Q290">
            <v>41924</v>
          </cell>
          <cell r="R290">
            <v>41955</v>
          </cell>
          <cell r="S290">
            <v>41985</v>
          </cell>
          <cell r="T290" t="str">
            <v>Q-4</v>
          </cell>
          <cell r="U290">
            <v>41651</v>
          </cell>
          <cell r="V290">
            <v>41682</v>
          </cell>
          <cell r="W290">
            <v>41710</v>
          </cell>
          <cell r="X290">
            <v>41741</v>
          </cell>
          <cell r="Y290">
            <v>41771</v>
          </cell>
          <cell r="Z290">
            <v>41802</v>
          </cell>
          <cell r="AA290">
            <v>41832</v>
          </cell>
          <cell r="AB290">
            <v>41863</v>
          </cell>
          <cell r="AC290">
            <v>41894</v>
          </cell>
          <cell r="AD290">
            <v>41924</v>
          </cell>
          <cell r="AE290">
            <v>41955</v>
          </cell>
          <cell r="AF290">
            <v>41985</v>
          </cell>
        </row>
        <row r="292">
          <cell r="D292" t="str">
            <v>Sales</v>
          </cell>
          <cell r="E292">
            <v>-5.0573700000000006E-2</v>
          </cell>
          <cell r="F292">
            <v>-6.9395499999999999E-2</v>
          </cell>
          <cell r="G292">
            <v>-1.8683399999999999E-2</v>
          </cell>
          <cell r="H292">
            <v>-0.13865259999999999</v>
          </cell>
          <cell r="I292">
            <v>-9.916690000000003E-2</v>
          </cell>
          <cell r="J292">
            <v>-3.9259800000000004E-2</v>
          </cell>
          <cell r="K292">
            <v>0</v>
          </cell>
          <cell r="L292">
            <v>-0.13842670000000004</v>
          </cell>
          <cell r="M292">
            <v>0</v>
          </cell>
          <cell r="N292">
            <v>0</v>
          </cell>
          <cell r="O292">
            <v>0</v>
          </cell>
          <cell r="P292">
            <v>0</v>
          </cell>
          <cell r="Q292">
            <v>0</v>
          </cell>
          <cell r="R292">
            <v>0</v>
          </cell>
          <cell r="S292">
            <v>0</v>
          </cell>
          <cell r="T292">
            <v>0</v>
          </cell>
          <cell r="U292">
            <v>-5.0573700000000006E-2</v>
          </cell>
          <cell r="V292">
            <v>-0.1199692</v>
          </cell>
          <cell r="W292">
            <v>-0.13865259999999999</v>
          </cell>
          <cell r="X292">
            <v>-0.23781950000000002</v>
          </cell>
          <cell r="Y292">
            <v>-0.27707930000000003</v>
          </cell>
          <cell r="Z292">
            <v>-0.27707930000000003</v>
          </cell>
          <cell r="AA292">
            <v>-0.27707930000000003</v>
          </cell>
          <cell r="AB292">
            <v>-0.27707930000000003</v>
          </cell>
          <cell r="AC292">
            <v>-0.27707930000000003</v>
          </cell>
          <cell r="AD292">
            <v>-0.27707930000000003</v>
          </cell>
          <cell r="AE292">
            <v>-0.27707930000000003</v>
          </cell>
          <cell r="AF292">
            <v>-0.27707930000000003</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row>
        <row r="294">
          <cell r="D294" t="str">
            <v>Cost of Goods Sold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row>
        <row r="295">
          <cell r="D295" t="str">
            <v>ED Savings</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row>
        <row r="296">
          <cell r="D296" t="str">
            <v>PRISM II &amp; PSM Savings</v>
          </cell>
          <cell r="E296">
            <v>-7.5822542424680962E-4</v>
          </cell>
          <cell r="F296">
            <v>-1.1731069459234664E-3</v>
          </cell>
          <cell r="G296">
            <v>-3.8206005019265606E-4</v>
          </cell>
          <cell r="H296">
            <v>-2.313392420362932E-3</v>
          </cell>
          <cell r="I296">
            <v>-2.2085879313595872E-3</v>
          </cell>
          <cell r="J296">
            <v>0</v>
          </cell>
          <cell r="K296">
            <v>0</v>
          </cell>
          <cell r="L296">
            <v>-2.2085879313595872E-3</v>
          </cell>
          <cell r="M296">
            <v>0</v>
          </cell>
          <cell r="N296">
            <v>0</v>
          </cell>
          <cell r="O296">
            <v>0</v>
          </cell>
          <cell r="P296">
            <v>0</v>
          </cell>
          <cell r="Q296">
            <v>0</v>
          </cell>
          <cell r="R296">
            <v>0</v>
          </cell>
          <cell r="S296">
            <v>0</v>
          </cell>
          <cell r="T296">
            <v>0</v>
          </cell>
          <cell r="U296">
            <v>-7.5822542424680962E-4</v>
          </cell>
          <cell r="V296">
            <v>-1.931332370170276E-3</v>
          </cell>
          <cell r="W296">
            <v>-2.313392420362932E-3</v>
          </cell>
          <cell r="X296">
            <v>-4.5219803517225193E-3</v>
          </cell>
          <cell r="Y296">
            <v>-4.5219803517225193E-3</v>
          </cell>
          <cell r="Z296">
            <v>-4.5219803517225193E-3</v>
          </cell>
          <cell r="AA296">
            <v>-4.5219803517225193E-3</v>
          </cell>
          <cell r="AB296">
            <v>-4.5219803517225193E-3</v>
          </cell>
          <cell r="AC296">
            <v>-4.5219803517225193E-3</v>
          </cell>
          <cell r="AD296">
            <v>-4.5219803517225193E-3</v>
          </cell>
          <cell r="AE296">
            <v>-4.5219803517225193E-3</v>
          </cell>
          <cell r="AF296">
            <v>-4.5219803517225193E-3</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row>
        <row r="298">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299">
          <cell r="D299" t="str">
            <v>Contribution</v>
          </cell>
          <cell r="E299">
            <v>-5.1331925424246819E-2</v>
          </cell>
          <cell r="F299">
            <v>-7.056860694592347E-2</v>
          </cell>
          <cell r="G299">
            <v>-1.9065460050192655E-2</v>
          </cell>
          <cell r="H299">
            <v>-0.14096599242036292</v>
          </cell>
          <cell r="I299">
            <v>-0.10137548793135961</v>
          </cell>
          <cell r="J299">
            <v>-3.9259800000000004E-2</v>
          </cell>
          <cell r="K299">
            <v>0</v>
          </cell>
          <cell r="L299">
            <v>-0.14063528793135963</v>
          </cell>
          <cell r="M299">
            <v>0</v>
          </cell>
          <cell r="N299">
            <v>0</v>
          </cell>
          <cell r="O299">
            <v>0</v>
          </cell>
          <cell r="P299">
            <v>0</v>
          </cell>
          <cell r="Q299">
            <v>0</v>
          </cell>
          <cell r="R299">
            <v>0</v>
          </cell>
          <cell r="S299">
            <v>0</v>
          </cell>
          <cell r="T299">
            <v>0</v>
          </cell>
          <cell r="U299">
            <v>-5.1331925424246819E-2</v>
          </cell>
          <cell r="V299">
            <v>-0.12190053237017029</v>
          </cell>
          <cell r="W299">
            <v>-0.14096599242036295</v>
          </cell>
          <cell r="X299">
            <v>-0.24234148035172257</v>
          </cell>
          <cell r="Y299">
            <v>-0.28160128035172255</v>
          </cell>
          <cell r="Z299">
            <v>-0.28160128035172255</v>
          </cell>
          <cell r="AA299">
            <v>-0.28160128035172255</v>
          </cell>
          <cell r="AB299">
            <v>-0.28160128035172255</v>
          </cell>
          <cell r="AC299">
            <v>-0.28160128035172255</v>
          </cell>
          <cell r="AD299">
            <v>-0.28160128035172255</v>
          </cell>
          <cell r="AE299">
            <v>-0.28160128035172255</v>
          </cell>
          <cell r="AF299">
            <v>-0.28160128035172255</v>
          </cell>
        </row>
        <row r="300">
          <cell r="D300">
            <v>0</v>
          </cell>
          <cell r="E300">
            <v>1.0149924847153127</v>
          </cell>
          <cell r="F300">
            <v>1.0169046544217344</v>
          </cell>
          <cell r="G300">
            <v>1.0204491714673269</v>
          </cell>
          <cell r="H300">
            <v>1.0166848109618063</v>
          </cell>
          <cell r="I300">
            <v>1.0222714225347327</v>
          </cell>
          <cell r="J300">
            <v>1</v>
          </cell>
          <cell r="K300" t="e">
            <v>#DIV/0!</v>
          </cell>
          <cell r="L300">
            <v>1.0159549272745763</v>
          </cell>
          <cell r="M300" t="e">
            <v>#DIV/0!</v>
          </cell>
          <cell r="N300" t="e">
            <v>#DIV/0!</v>
          </cell>
          <cell r="O300" t="e">
            <v>#DIV/0!</v>
          </cell>
          <cell r="P300" t="e">
            <v>#DIV/0!</v>
          </cell>
          <cell r="Q300" t="e">
            <v>#DIV/0!</v>
          </cell>
          <cell r="R300" t="e">
            <v>#DIV/0!</v>
          </cell>
          <cell r="S300" t="e">
            <v>#DIV/0!</v>
          </cell>
          <cell r="T300" t="e">
            <v>#DIV/0!</v>
          </cell>
          <cell r="U300">
            <v>1.0149924847153127</v>
          </cell>
          <cell r="V300">
            <v>1.0160985683839709</v>
          </cell>
          <cell r="W300">
            <v>1.0166848109618065</v>
          </cell>
          <cell r="X300">
            <v>1.0190143379820518</v>
          </cell>
          <cell r="Y300">
            <v>1.0163201666516499</v>
          </cell>
          <cell r="Z300">
            <v>1.0163201666516499</v>
          </cell>
          <cell r="AA300">
            <v>1.0163201666516499</v>
          </cell>
          <cell r="AB300">
            <v>1.0163201666516499</v>
          </cell>
          <cell r="AC300">
            <v>1.0163201666516499</v>
          </cell>
          <cell r="AD300">
            <v>1.0163201666516499</v>
          </cell>
          <cell r="AE300">
            <v>1.0163201666516499</v>
          </cell>
          <cell r="AF300">
            <v>1.0163201666516499</v>
          </cell>
        </row>
        <row r="301">
          <cell r="D301" t="str">
            <v>Overheads</v>
          </cell>
        </row>
        <row r="302">
          <cell r="D302" t="str">
            <v>Advertisement Exp.</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row>
        <row r="304">
          <cell r="D304" t="str">
            <v>Total Overheads (a+b)</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row>
        <row r="305">
          <cell r="D305" t="str">
            <v>OPERATING PROFIT (LOSS)</v>
          </cell>
          <cell r="E305">
            <v>-5.1331925424246819E-2</v>
          </cell>
          <cell r="F305">
            <v>-7.056860694592347E-2</v>
          </cell>
          <cell r="G305">
            <v>-1.9065460050192655E-2</v>
          </cell>
          <cell r="H305">
            <v>-0.14096599242036292</v>
          </cell>
          <cell r="I305">
            <v>-0.10137548793135961</v>
          </cell>
          <cell r="J305">
            <v>-3.9259800000000004E-2</v>
          </cell>
          <cell r="K305">
            <v>0</v>
          </cell>
          <cell r="L305">
            <v>-0.14063528793135963</v>
          </cell>
          <cell r="M305">
            <v>0</v>
          </cell>
          <cell r="N305">
            <v>0</v>
          </cell>
          <cell r="O305">
            <v>0</v>
          </cell>
          <cell r="P305">
            <v>0</v>
          </cell>
          <cell r="Q305">
            <v>0</v>
          </cell>
          <cell r="R305">
            <v>0</v>
          </cell>
          <cell r="S305">
            <v>0</v>
          </cell>
          <cell r="T305">
            <v>0</v>
          </cell>
          <cell r="U305">
            <v>-5.1331925424246819E-2</v>
          </cell>
          <cell r="V305">
            <v>-0.12190053237017029</v>
          </cell>
          <cell r="W305">
            <v>-0.14096599242036295</v>
          </cell>
          <cell r="X305">
            <v>-0.24234148035172257</v>
          </cell>
          <cell r="Y305">
            <v>-0.28160128035172255</v>
          </cell>
          <cell r="Z305">
            <v>-0.28160128035172255</v>
          </cell>
          <cell r="AA305">
            <v>-0.28160128035172255</v>
          </cell>
          <cell r="AB305">
            <v>-0.28160128035172255</v>
          </cell>
          <cell r="AC305">
            <v>-0.28160128035172255</v>
          </cell>
          <cell r="AD305">
            <v>-0.28160128035172255</v>
          </cell>
          <cell r="AE305">
            <v>-0.28160128035172255</v>
          </cell>
          <cell r="AF305">
            <v>-0.28160128035172255</v>
          </cell>
        </row>
        <row r="328">
          <cell r="D328">
            <v>4</v>
          </cell>
          <cell r="E328">
            <v>5</v>
          </cell>
          <cell r="F328">
            <v>6</v>
          </cell>
          <cell r="G328">
            <v>7</v>
          </cell>
          <cell r="H328">
            <v>8</v>
          </cell>
          <cell r="I328">
            <v>9</v>
          </cell>
          <cell r="J328">
            <v>10</v>
          </cell>
          <cell r="K328">
            <v>11</v>
          </cell>
          <cell r="L328">
            <v>12</v>
          </cell>
          <cell r="M328">
            <v>13</v>
          </cell>
          <cell r="N328">
            <v>14</v>
          </cell>
          <cell r="O328">
            <v>15</v>
          </cell>
          <cell r="P328">
            <v>16</v>
          </cell>
          <cell r="Q328">
            <v>17</v>
          </cell>
          <cell r="R328">
            <v>18</v>
          </cell>
          <cell r="S328">
            <v>19</v>
          </cell>
          <cell r="T328">
            <v>20</v>
          </cell>
          <cell r="U328">
            <v>21</v>
          </cell>
          <cell r="V328">
            <v>22</v>
          </cell>
          <cell r="W328">
            <v>23</v>
          </cell>
          <cell r="X328">
            <v>24</v>
          </cell>
          <cell r="Y328">
            <v>25</v>
          </cell>
          <cell r="Z328">
            <v>26</v>
          </cell>
          <cell r="AA328">
            <v>27</v>
          </cell>
          <cell r="AB328">
            <v>28</v>
          </cell>
          <cell r="AC328">
            <v>29</v>
          </cell>
          <cell r="AD328">
            <v>30</v>
          </cell>
          <cell r="AE328">
            <v>31</v>
          </cell>
          <cell r="AF328">
            <v>32</v>
          </cell>
        </row>
        <row r="329">
          <cell r="E329" t="str">
            <v>Actual</v>
          </cell>
          <cell r="F329" t="str">
            <v>Actual</v>
          </cell>
          <cell r="G329" t="str">
            <v>Actual</v>
          </cell>
          <cell r="H329" t="str">
            <v>Actual</v>
          </cell>
          <cell r="I329" t="str">
            <v>Actual</v>
          </cell>
          <cell r="J329" t="str">
            <v>Actual</v>
          </cell>
          <cell r="K329" t="str">
            <v>Actual</v>
          </cell>
          <cell r="L329" t="str">
            <v>Actual</v>
          </cell>
          <cell r="M329" t="str">
            <v>Actual</v>
          </cell>
          <cell r="N329" t="str">
            <v>Actual</v>
          </cell>
          <cell r="O329" t="str">
            <v>Actual</v>
          </cell>
          <cell r="P329" t="str">
            <v>Actual</v>
          </cell>
          <cell r="Q329" t="str">
            <v>Actual</v>
          </cell>
          <cell r="R329" t="str">
            <v>Actual</v>
          </cell>
          <cell r="S329" t="str">
            <v>Actual</v>
          </cell>
          <cell r="T329" t="str">
            <v>Actual</v>
          </cell>
          <cell r="U329" t="str">
            <v>Cumu Aud</v>
          </cell>
          <cell r="V329" t="str">
            <v>Cumu Aud</v>
          </cell>
          <cell r="W329" t="str">
            <v>Cumu Aud</v>
          </cell>
          <cell r="X329" t="str">
            <v>Cumu Aud</v>
          </cell>
          <cell r="Y329" t="str">
            <v>Cumu Aud</v>
          </cell>
          <cell r="Z329" t="str">
            <v>Cumu Aud</v>
          </cell>
          <cell r="AA329" t="str">
            <v>Cumu Aud</v>
          </cell>
          <cell r="AB329" t="str">
            <v>Cumu Aud</v>
          </cell>
          <cell r="AC329" t="str">
            <v>Cumu Aud</v>
          </cell>
          <cell r="AD329" t="str">
            <v>Cumu Aud</v>
          </cell>
          <cell r="AE329" t="str">
            <v>Cumu Aud</v>
          </cell>
          <cell r="AF329" t="str">
            <v>Cumu Aud</v>
          </cell>
        </row>
        <row r="330">
          <cell r="D330" t="str">
            <v>Particulars</v>
          </cell>
          <cell r="E330">
            <v>41286</v>
          </cell>
          <cell r="F330">
            <v>41317</v>
          </cell>
          <cell r="G330">
            <v>41345</v>
          </cell>
          <cell r="H330" t="str">
            <v>Q-1</v>
          </cell>
          <cell r="I330">
            <v>41376</v>
          </cell>
          <cell r="J330">
            <v>41406</v>
          </cell>
          <cell r="K330">
            <v>41437</v>
          </cell>
          <cell r="L330" t="str">
            <v>Q-2</v>
          </cell>
          <cell r="M330">
            <v>41467</v>
          </cell>
          <cell r="N330">
            <v>41498</v>
          </cell>
          <cell r="O330">
            <v>41529</v>
          </cell>
          <cell r="P330" t="str">
            <v>Q-3</v>
          </cell>
          <cell r="Q330">
            <v>41559</v>
          </cell>
          <cell r="R330">
            <v>41590</v>
          </cell>
          <cell r="S330">
            <v>41620</v>
          </cell>
          <cell r="T330" t="str">
            <v>Q-4</v>
          </cell>
          <cell r="U330">
            <v>41286</v>
          </cell>
          <cell r="V330">
            <v>41317</v>
          </cell>
          <cell r="W330">
            <v>41345</v>
          </cell>
          <cell r="X330">
            <v>41376</v>
          </cell>
          <cell r="Y330">
            <v>41406</v>
          </cell>
          <cell r="Z330">
            <v>41437</v>
          </cell>
          <cell r="AA330">
            <v>41467</v>
          </cell>
          <cell r="AB330">
            <v>41498</v>
          </cell>
          <cell r="AC330">
            <v>41529</v>
          </cell>
          <cell r="AD330">
            <v>41559</v>
          </cell>
          <cell r="AE330">
            <v>41590</v>
          </cell>
          <cell r="AF330">
            <v>41620</v>
          </cell>
        </row>
        <row r="332">
          <cell r="D332" t="str">
            <v>Sales</v>
          </cell>
          <cell r="E332">
            <v>1841.96</v>
          </cell>
          <cell r="F332">
            <v>1708.62</v>
          </cell>
          <cell r="G332">
            <v>1446.45</v>
          </cell>
          <cell r="H332">
            <v>4997.03</v>
          </cell>
          <cell r="I332">
            <v>1973.05</v>
          </cell>
          <cell r="J332">
            <v>1819.72</v>
          </cell>
          <cell r="K332">
            <v>1849.42</v>
          </cell>
          <cell r="L332">
            <v>5642.1900000000005</v>
          </cell>
          <cell r="M332">
            <v>1854.31</v>
          </cell>
          <cell r="N332">
            <v>1852.54</v>
          </cell>
          <cell r="O332">
            <v>1863.54</v>
          </cell>
          <cell r="P332">
            <v>5570.3899999999994</v>
          </cell>
          <cell r="Q332">
            <v>1538.29</v>
          </cell>
          <cell r="R332">
            <v>1832.18</v>
          </cell>
          <cell r="S332">
            <v>2003.37</v>
          </cell>
          <cell r="T332">
            <v>5373.84</v>
          </cell>
          <cell r="U332">
            <v>1841.96</v>
          </cell>
          <cell r="V332">
            <v>3550.58</v>
          </cell>
          <cell r="W332">
            <v>4997.03</v>
          </cell>
          <cell r="X332">
            <v>6970.08</v>
          </cell>
          <cell r="Y332">
            <v>8789.7999999999993</v>
          </cell>
          <cell r="Z332">
            <v>10639.22</v>
          </cell>
          <cell r="AA332">
            <v>12493.529999999999</v>
          </cell>
          <cell r="AB332">
            <v>14346.07</v>
          </cell>
          <cell r="AC332">
            <v>16209.61</v>
          </cell>
          <cell r="AD332">
            <v>17747.900000000001</v>
          </cell>
          <cell r="AE332">
            <v>19580.080000000002</v>
          </cell>
          <cell r="AF332">
            <v>21583.45</v>
          </cell>
        </row>
        <row r="333">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row>
        <row r="334">
          <cell r="D334" t="str">
            <v>Cost of Goods Sold</v>
          </cell>
          <cell r="E334">
            <v>564.67999999999995</v>
          </cell>
          <cell r="F334">
            <v>540.64</v>
          </cell>
          <cell r="G334">
            <v>447.99</v>
          </cell>
          <cell r="H334">
            <v>1553.31</v>
          </cell>
          <cell r="I334">
            <v>597.6</v>
          </cell>
          <cell r="J334">
            <v>590.35</v>
          </cell>
          <cell r="K334">
            <v>604.16000000000008</v>
          </cell>
          <cell r="L334">
            <v>1792.1100000000001</v>
          </cell>
          <cell r="M334">
            <v>579.69000000000005</v>
          </cell>
          <cell r="N334">
            <v>592.54999999999995</v>
          </cell>
          <cell r="O334">
            <v>595.91000000000008</v>
          </cell>
          <cell r="P334">
            <v>1768.15</v>
          </cell>
          <cell r="Q334">
            <v>487.56</v>
          </cell>
          <cell r="R334">
            <v>579.31999999999994</v>
          </cell>
          <cell r="S334">
            <v>674.19</v>
          </cell>
          <cell r="T334">
            <v>1741.07</v>
          </cell>
          <cell r="U334">
            <v>564.67999999999995</v>
          </cell>
          <cell r="V334">
            <v>1105.32</v>
          </cell>
          <cell r="W334">
            <v>1553.31</v>
          </cell>
          <cell r="X334">
            <v>2150.91</v>
          </cell>
          <cell r="Y334">
            <v>2741.2599999999998</v>
          </cell>
          <cell r="Z334">
            <v>3345.42</v>
          </cell>
          <cell r="AA334">
            <v>3925.11</v>
          </cell>
          <cell r="AB334">
            <v>4517.66</v>
          </cell>
          <cell r="AC334">
            <v>5113.57</v>
          </cell>
          <cell r="AD334">
            <v>5601.13</v>
          </cell>
          <cell r="AE334">
            <v>6180.45</v>
          </cell>
          <cell r="AF334">
            <v>6854.6399999999994</v>
          </cell>
        </row>
        <row r="335">
          <cell r="D335" t="str">
            <v>ED Savings</v>
          </cell>
          <cell r="E335">
            <v>46.46</v>
          </cell>
          <cell r="F335">
            <v>71</v>
          </cell>
          <cell r="G335">
            <v>70</v>
          </cell>
          <cell r="H335">
            <v>187.46</v>
          </cell>
          <cell r="I335">
            <v>60</v>
          </cell>
          <cell r="J335">
            <v>85</v>
          </cell>
          <cell r="K335">
            <v>64.77</v>
          </cell>
          <cell r="L335">
            <v>209.76999999999998</v>
          </cell>
          <cell r="M335">
            <v>53.13</v>
          </cell>
          <cell r="N335">
            <v>85.58</v>
          </cell>
          <cell r="O335">
            <v>67</v>
          </cell>
          <cell r="P335">
            <v>205.71</v>
          </cell>
          <cell r="Q335">
            <v>54.55</v>
          </cell>
          <cell r="R335">
            <v>51.3</v>
          </cell>
          <cell r="S335">
            <v>92.439778391999994</v>
          </cell>
          <cell r="T335">
            <v>198.28977839199999</v>
          </cell>
          <cell r="U335">
            <v>46.46</v>
          </cell>
          <cell r="V335">
            <v>117.46000000000001</v>
          </cell>
          <cell r="W335">
            <v>187.46</v>
          </cell>
          <cell r="X335">
            <v>247.46</v>
          </cell>
          <cell r="Y335">
            <v>332.46000000000004</v>
          </cell>
          <cell r="Z335">
            <v>397.23</v>
          </cell>
          <cell r="AA335">
            <v>450.36</v>
          </cell>
          <cell r="AB335">
            <v>535.94000000000005</v>
          </cell>
          <cell r="AC335">
            <v>602.94000000000005</v>
          </cell>
          <cell r="AD335">
            <v>657.49</v>
          </cell>
          <cell r="AE335">
            <v>708.79</v>
          </cell>
          <cell r="AF335">
            <v>801.22977839199996</v>
          </cell>
        </row>
        <row r="336">
          <cell r="D336" t="str">
            <v>PRISM II &amp; PSM Savings</v>
          </cell>
          <cell r="E336">
            <v>31.568515377982177</v>
          </cell>
          <cell r="F336">
            <v>16.690867029251159</v>
          </cell>
          <cell r="G336">
            <v>14.895960296505095</v>
          </cell>
          <cell r="H336">
            <v>63.155342703738427</v>
          </cell>
          <cell r="I336">
            <v>25.597150371936166</v>
          </cell>
          <cell r="J336">
            <v>15.871679903994774</v>
          </cell>
          <cell r="K336">
            <v>58.931120015731196</v>
          </cell>
          <cell r="L336">
            <v>100.39995029166214</v>
          </cell>
          <cell r="M336">
            <v>18.453377683871771</v>
          </cell>
          <cell r="N336">
            <v>20.437286736484797</v>
          </cell>
          <cell r="O336">
            <v>22.746356716724961</v>
          </cell>
          <cell r="P336">
            <v>61.637021137081533</v>
          </cell>
          <cell r="Q336">
            <v>16.049553270210886</v>
          </cell>
          <cell r="R336">
            <v>18.106272332688615</v>
          </cell>
          <cell r="S336">
            <v>26.360216641432078</v>
          </cell>
          <cell r="T336">
            <v>60.516042244331572</v>
          </cell>
          <cell r="U336">
            <v>31.568515377982177</v>
          </cell>
          <cell r="V336">
            <v>48.259382407233332</v>
          </cell>
          <cell r="W336">
            <v>63.155342703738427</v>
          </cell>
          <cell r="X336">
            <v>88.752493075674593</v>
          </cell>
          <cell r="Y336">
            <v>104.62417297966937</v>
          </cell>
          <cell r="Z336">
            <v>163.55529299540058</v>
          </cell>
          <cell r="AA336">
            <v>182.00867067927234</v>
          </cell>
          <cell r="AB336">
            <v>202.44595741575714</v>
          </cell>
          <cell r="AC336">
            <v>225.1923141324821</v>
          </cell>
          <cell r="AD336">
            <v>241.24186740269298</v>
          </cell>
          <cell r="AE336">
            <v>259.34813973538161</v>
          </cell>
          <cell r="AF336">
            <v>285.7083563768137</v>
          </cell>
        </row>
        <row r="337">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row>
        <row r="338">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row>
        <row r="339">
          <cell r="D339" t="str">
            <v>Contribution</v>
          </cell>
          <cell r="E339">
            <v>1355.3085153779823</v>
          </cell>
          <cell r="F339">
            <v>1255.6708670292512</v>
          </cell>
          <cell r="G339">
            <v>1083.3559602965051</v>
          </cell>
          <cell r="H339">
            <v>3694.3353427037382</v>
          </cell>
          <cell r="I339">
            <v>1461.0471503719359</v>
          </cell>
          <cell r="J339">
            <v>1330.2416799039947</v>
          </cell>
          <cell r="K339">
            <v>1368.9611200157312</v>
          </cell>
          <cell r="L339">
            <v>4160.2499502916626</v>
          </cell>
          <cell r="M339">
            <v>1346.2033776838718</v>
          </cell>
          <cell r="N339">
            <v>1366.0072867364847</v>
          </cell>
          <cell r="O339">
            <v>1357.3763567167248</v>
          </cell>
          <cell r="P339">
            <v>4069.5870211370807</v>
          </cell>
          <cell r="Q339">
            <v>1121.3295532702109</v>
          </cell>
          <cell r="R339">
            <v>1322.2662723326887</v>
          </cell>
          <cell r="S339">
            <v>1447.9799950334318</v>
          </cell>
          <cell r="T339">
            <v>3891.5758206363316</v>
          </cell>
          <cell r="U339">
            <v>1355.3085153779823</v>
          </cell>
          <cell r="V339">
            <v>2610.9793824072335</v>
          </cell>
          <cell r="W339">
            <v>3694.3353427037387</v>
          </cell>
          <cell r="X339">
            <v>5155.3824930756746</v>
          </cell>
          <cell r="Y339">
            <v>6485.6241729796693</v>
          </cell>
          <cell r="Z339">
            <v>7854.5852929954008</v>
          </cell>
          <cell r="AA339">
            <v>9200.7886706792724</v>
          </cell>
          <cell r="AB339">
            <v>10566.795957415758</v>
          </cell>
          <cell r="AC339">
            <v>11924.172314132482</v>
          </cell>
          <cell r="AD339">
            <v>13045.501867402692</v>
          </cell>
          <cell r="AE339">
            <v>14367.768139735381</v>
          </cell>
          <cell r="AF339">
            <v>15815.748134768812</v>
          </cell>
        </row>
        <row r="340">
          <cell r="D340">
            <v>0</v>
          </cell>
          <cell r="E340">
            <v>0.73579693119176437</v>
          </cell>
          <cell r="F340">
            <v>0.73490352859573882</v>
          </cell>
          <cell r="G340">
            <v>0.74897574081130014</v>
          </cell>
          <cell r="H340">
            <v>0.73930621643330907</v>
          </cell>
          <cell r="I340">
            <v>0.74050183744554676</v>
          </cell>
          <cell r="J340">
            <v>0.73101448569230143</v>
          </cell>
          <cell r="K340">
            <v>0.74021104995930143</v>
          </cell>
          <cell r="L340">
            <v>0.73734665977070291</v>
          </cell>
          <cell r="M340">
            <v>0.72598614993386856</v>
          </cell>
          <cell r="N340">
            <v>0.73736992817239289</v>
          </cell>
          <cell r="O340">
            <v>0.72838595185331401</v>
          </cell>
          <cell r="P340">
            <v>0.73057488275274818</v>
          </cell>
          <cell r="Q340">
            <v>0.72894548704744289</v>
          </cell>
          <cell r="R340">
            <v>0.72169015726221697</v>
          </cell>
          <cell r="S340">
            <v>0.72277212648359113</v>
          </cell>
          <cell r="T340">
            <v>0.72417039224024748</v>
          </cell>
          <cell r="U340">
            <v>0.73579693119176437</v>
          </cell>
          <cell r="V340">
            <v>0.73536700550536349</v>
          </cell>
          <cell r="W340">
            <v>0.73930621643330918</v>
          </cell>
          <cell r="X340">
            <v>0.73964466592573896</v>
          </cell>
          <cell r="Y340">
            <v>0.73785799141956243</v>
          </cell>
          <cell r="Z340">
            <v>0.73826702455587923</v>
          </cell>
          <cell r="AA340">
            <v>0.73644427721222694</v>
          </cell>
          <cell r="AB340">
            <v>0.73656380858421555</v>
          </cell>
          <cell r="AC340">
            <v>0.73562364018211923</v>
          </cell>
          <cell r="AD340">
            <v>0.7350448147331623</v>
          </cell>
          <cell r="AE340">
            <v>0.73379517038415465</v>
          </cell>
          <cell r="AF340">
            <v>0.73277201442627615</v>
          </cell>
        </row>
        <row r="341">
          <cell r="D341" t="str">
            <v>Overheads</v>
          </cell>
        </row>
        <row r="342">
          <cell r="D342" t="str">
            <v>Advertisement Exp.</v>
          </cell>
          <cell r="E342">
            <v>437</v>
          </cell>
          <cell r="F342">
            <v>60.5</v>
          </cell>
          <cell r="G342">
            <v>-30</v>
          </cell>
          <cell r="H342">
            <v>467.5</v>
          </cell>
          <cell r="I342">
            <v>577.53</v>
          </cell>
          <cell r="J342">
            <v>-124.5</v>
          </cell>
          <cell r="K342">
            <v>354.5</v>
          </cell>
          <cell r="L342">
            <v>807.53</v>
          </cell>
          <cell r="M342">
            <v>49.080000000000013</v>
          </cell>
          <cell r="N342">
            <v>33.5</v>
          </cell>
          <cell r="O342">
            <v>513.5</v>
          </cell>
          <cell r="P342">
            <v>596.08000000000004</v>
          </cell>
          <cell r="Q342">
            <v>30.5</v>
          </cell>
          <cell r="R342">
            <v>6.5</v>
          </cell>
          <cell r="S342">
            <v>0</v>
          </cell>
          <cell r="T342">
            <v>37</v>
          </cell>
          <cell r="U342">
            <v>437</v>
          </cell>
          <cell r="V342">
            <v>497.5</v>
          </cell>
          <cell r="W342">
            <v>467.5</v>
          </cell>
          <cell r="X342">
            <v>1045.03</v>
          </cell>
          <cell r="Y342">
            <v>920.53</v>
          </cell>
          <cell r="Z342">
            <v>1275.03</v>
          </cell>
          <cell r="AA342">
            <v>1324.11</v>
          </cell>
          <cell r="AB342">
            <v>1357.61</v>
          </cell>
          <cell r="AC342">
            <v>1871.11</v>
          </cell>
          <cell r="AD342">
            <v>1901.61</v>
          </cell>
          <cell r="AE342">
            <v>1908.11</v>
          </cell>
          <cell r="AF342">
            <v>1908.11</v>
          </cell>
        </row>
        <row r="343">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row>
        <row r="344">
          <cell r="D344" t="str">
            <v>Total Overheads (a+b)</v>
          </cell>
          <cell r="E344">
            <v>437</v>
          </cell>
          <cell r="F344">
            <v>60.5</v>
          </cell>
          <cell r="G344">
            <v>-30</v>
          </cell>
          <cell r="H344">
            <v>467.5</v>
          </cell>
          <cell r="I344">
            <v>577.53</v>
          </cell>
          <cell r="J344">
            <v>-124.5</v>
          </cell>
          <cell r="K344">
            <v>354.5</v>
          </cell>
          <cell r="L344">
            <v>807.53</v>
          </cell>
          <cell r="M344">
            <v>49.080000000000013</v>
          </cell>
          <cell r="N344">
            <v>33.5</v>
          </cell>
          <cell r="O344">
            <v>513.5</v>
          </cell>
          <cell r="P344">
            <v>596.08000000000004</v>
          </cell>
          <cell r="Q344">
            <v>30.5</v>
          </cell>
          <cell r="R344">
            <v>6.5</v>
          </cell>
          <cell r="S344">
            <v>0</v>
          </cell>
          <cell r="T344">
            <v>37</v>
          </cell>
          <cell r="U344">
            <v>437</v>
          </cell>
          <cell r="V344">
            <v>497.5</v>
          </cell>
          <cell r="W344">
            <v>467.5</v>
          </cell>
          <cell r="X344">
            <v>1045.03</v>
          </cell>
          <cell r="Y344">
            <v>920.53</v>
          </cell>
          <cell r="Z344">
            <v>1275.03</v>
          </cell>
          <cell r="AA344">
            <v>1324.11</v>
          </cell>
          <cell r="AB344">
            <v>1357.61</v>
          </cell>
          <cell r="AC344">
            <v>1871.11</v>
          </cell>
          <cell r="AD344">
            <v>1901.61</v>
          </cell>
          <cell r="AE344">
            <v>1908.11</v>
          </cell>
          <cell r="AF344">
            <v>1908.11</v>
          </cell>
        </row>
        <row r="345">
          <cell r="D345" t="str">
            <v>OPERATING PROFIT (LOSS)</v>
          </cell>
          <cell r="E345">
            <v>918.3085153779823</v>
          </cell>
          <cell r="F345">
            <v>1195.1708670292512</v>
          </cell>
          <cell r="G345">
            <v>1113.3559602965051</v>
          </cell>
          <cell r="H345">
            <v>3226.8353427037382</v>
          </cell>
          <cell r="I345">
            <v>883.51715037193594</v>
          </cell>
          <cell r="J345">
            <v>1454.7416799039947</v>
          </cell>
          <cell r="K345">
            <v>1014.4611200157312</v>
          </cell>
          <cell r="L345">
            <v>3352.7199502916628</v>
          </cell>
          <cell r="M345">
            <v>1297.1233776838719</v>
          </cell>
          <cell r="N345">
            <v>1332.5072867364847</v>
          </cell>
          <cell r="O345">
            <v>843.87635671672479</v>
          </cell>
          <cell r="P345">
            <v>3473.5070211370808</v>
          </cell>
          <cell r="Q345">
            <v>1090.8295532702109</v>
          </cell>
          <cell r="R345">
            <v>1315.7662723326887</v>
          </cell>
          <cell r="S345">
            <v>1447.9799950334318</v>
          </cell>
          <cell r="T345">
            <v>3854.5758206363316</v>
          </cell>
          <cell r="U345">
            <v>918.3085153779823</v>
          </cell>
          <cell r="V345">
            <v>2113.4793824072335</v>
          </cell>
          <cell r="W345">
            <v>3226.8353427037387</v>
          </cell>
          <cell r="X345">
            <v>4110.3524930756748</v>
          </cell>
          <cell r="Y345">
            <v>5565.0941729796696</v>
          </cell>
          <cell r="Z345">
            <v>6579.555292995401</v>
          </cell>
          <cell r="AA345">
            <v>7876.6786706792727</v>
          </cell>
          <cell r="AB345">
            <v>9209.185957415757</v>
          </cell>
          <cell r="AC345">
            <v>10053.062314132481</v>
          </cell>
          <cell r="AD345">
            <v>11143.891867402692</v>
          </cell>
          <cell r="AE345">
            <v>12459.65813973538</v>
          </cell>
          <cell r="AF345">
            <v>13907.638134768811</v>
          </cell>
        </row>
        <row r="346">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row>
        <row r="348">
          <cell r="D348">
            <v>4</v>
          </cell>
          <cell r="E348">
            <v>5</v>
          </cell>
          <cell r="F348">
            <v>6</v>
          </cell>
          <cell r="G348">
            <v>7</v>
          </cell>
          <cell r="H348">
            <v>8</v>
          </cell>
          <cell r="I348">
            <v>9</v>
          </cell>
          <cell r="J348">
            <v>10</v>
          </cell>
          <cell r="K348">
            <v>11</v>
          </cell>
          <cell r="L348">
            <v>12</v>
          </cell>
          <cell r="M348">
            <v>13</v>
          </cell>
          <cell r="N348">
            <v>14</v>
          </cell>
          <cell r="O348">
            <v>15</v>
          </cell>
          <cell r="P348">
            <v>16</v>
          </cell>
          <cell r="Q348">
            <v>17</v>
          </cell>
          <cell r="R348">
            <v>18</v>
          </cell>
          <cell r="S348">
            <v>19</v>
          </cell>
          <cell r="T348">
            <v>20</v>
          </cell>
          <cell r="U348">
            <v>21</v>
          </cell>
          <cell r="V348">
            <v>22</v>
          </cell>
          <cell r="W348">
            <v>23</v>
          </cell>
          <cell r="X348">
            <v>24</v>
          </cell>
          <cell r="Y348">
            <v>25</v>
          </cell>
          <cell r="Z348">
            <v>26</v>
          </cell>
          <cell r="AA348">
            <v>27</v>
          </cell>
          <cell r="AB348">
            <v>28</v>
          </cell>
          <cell r="AC348">
            <v>29</v>
          </cell>
          <cell r="AD348">
            <v>30</v>
          </cell>
          <cell r="AE348">
            <v>31</v>
          </cell>
          <cell r="AF348">
            <v>32</v>
          </cell>
        </row>
        <row r="349">
          <cell r="E349" t="str">
            <v>Actual</v>
          </cell>
          <cell r="F349" t="str">
            <v>Actual</v>
          </cell>
          <cell r="G349" t="str">
            <v>Actual</v>
          </cell>
          <cell r="H349" t="str">
            <v>Actual</v>
          </cell>
          <cell r="I349" t="str">
            <v>Actual</v>
          </cell>
          <cell r="J349" t="str">
            <v>Actual</v>
          </cell>
          <cell r="K349" t="str">
            <v>Actual</v>
          </cell>
          <cell r="L349" t="str">
            <v>Actual</v>
          </cell>
          <cell r="M349" t="str">
            <v>Actual</v>
          </cell>
          <cell r="N349" t="str">
            <v>Actual</v>
          </cell>
          <cell r="O349" t="str">
            <v>Actual</v>
          </cell>
          <cell r="P349" t="str">
            <v>Actual</v>
          </cell>
          <cell r="Q349" t="str">
            <v>Actual</v>
          </cell>
          <cell r="R349" t="str">
            <v>Actual</v>
          </cell>
          <cell r="S349" t="str">
            <v>Actual</v>
          </cell>
          <cell r="T349" t="str">
            <v>Actual</v>
          </cell>
          <cell r="U349" t="str">
            <v>Cumu Aud</v>
          </cell>
          <cell r="V349" t="str">
            <v>Cumu Aud</v>
          </cell>
          <cell r="W349" t="str">
            <v>Cumu Aud</v>
          </cell>
          <cell r="X349" t="str">
            <v>Cumu Aud</v>
          </cell>
          <cell r="Y349" t="str">
            <v>Cumu Aud</v>
          </cell>
          <cell r="Z349" t="str">
            <v>Cumu Aud</v>
          </cell>
          <cell r="AA349" t="str">
            <v>Cumu Aud</v>
          </cell>
          <cell r="AB349" t="str">
            <v>Cumu Aud</v>
          </cell>
          <cell r="AC349" t="str">
            <v>Cumu Aud</v>
          </cell>
          <cell r="AD349" t="str">
            <v>Cumu Aud</v>
          </cell>
          <cell r="AE349" t="str">
            <v>Cumu Aud</v>
          </cell>
          <cell r="AF349" t="str">
            <v>Cumu Aud</v>
          </cell>
        </row>
        <row r="350">
          <cell r="D350" t="str">
            <v>Particulars</v>
          </cell>
          <cell r="E350">
            <v>41286</v>
          </cell>
          <cell r="F350">
            <v>41317</v>
          </cell>
          <cell r="G350">
            <v>41345</v>
          </cell>
          <cell r="H350" t="str">
            <v>Q-1</v>
          </cell>
          <cell r="I350">
            <v>41376</v>
          </cell>
          <cell r="J350">
            <v>41406</v>
          </cell>
          <cell r="K350">
            <v>41437</v>
          </cell>
          <cell r="L350" t="str">
            <v>Q-2</v>
          </cell>
          <cell r="M350">
            <v>41467</v>
          </cell>
          <cell r="N350">
            <v>41498</v>
          </cell>
          <cell r="O350">
            <v>41529</v>
          </cell>
          <cell r="P350" t="str">
            <v>Q-3</v>
          </cell>
          <cell r="Q350">
            <v>41559</v>
          </cell>
          <cell r="R350">
            <v>41590</v>
          </cell>
          <cell r="S350">
            <v>41620</v>
          </cell>
          <cell r="T350" t="str">
            <v>Q-4</v>
          </cell>
          <cell r="U350">
            <v>41286</v>
          </cell>
          <cell r="V350">
            <v>41317</v>
          </cell>
          <cell r="W350">
            <v>41345</v>
          </cell>
          <cell r="X350">
            <v>41376</v>
          </cell>
          <cell r="Y350">
            <v>41406</v>
          </cell>
          <cell r="Z350">
            <v>41437</v>
          </cell>
          <cell r="AA350">
            <v>41467</v>
          </cell>
          <cell r="AB350">
            <v>41498</v>
          </cell>
          <cell r="AC350">
            <v>41529</v>
          </cell>
          <cell r="AD350">
            <v>41559</v>
          </cell>
          <cell r="AE350">
            <v>41590</v>
          </cell>
          <cell r="AF350">
            <v>41620</v>
          </cell>
        </row>
        <row r="352">
          <cell r="D352" t="str">
            <v>Sales</v>
          </cell>
          <cell r="E352">
            <v>-2.46</v>
          </cell>
          <cell r="F352">
            <v>-2.6</v>
          </cell>
          <cell r="G352">
            <v>9.33</v>
          </cell>
          <cell r="H352">
            <v>4.2699999999999996</v>
          </cell>
          <cell r="I352">
            <v>32.699999999999996</v>
          </cell>
          <cell r="J352">
            <v>34.520000000000003</v>
          </cell>
          <cell r="K352">
            <v>10.62</v>
          </cell>
          <cell r="L352">
            <v>77.84</v>
          </cell>
          <cell r="M352">
            <v>-0.2</v>
          </cell>
          <cell r="N352">
            <v>9</v>
          </cell>
          <cell r="O352">
            <v>4.5</v>
          </cell>
          <cell r="P352">
            <v>13.3</v>
          </cell>
          <cell r="Q352">
            <v>-2.56</v>
          </cell>
          <cell r="R352">
            <v>-1.27</v>
          </cell>
          <cell r="S352">
            <v>-3.09</v>
          </cell>
          <cell r="T352">
            <v>-6.92</v>
          </cell>
          <cell r="U352">
            <v>-2.46</v>
          </cell>
          <cell r="V352">
            <v>-5.0600000000000005</v>
          </cell>
          <cell r="W352">
            <v>4.2699999999999996</v>
          </cell>
          <cell r="X352">
            <v>36.97</v>
          </cell>
          <cell r="Y352">
            <v>71.490000000000009</v>
          </cell>
          <cell r="Z352">
            <v>82.110000000000014</v>
          </cell>
          <cell r="AA352">
            <v>81.910000000000011</v>
          </cell>
          <cell r="AB352">
            <v>90.910000000000011</v>
          </cell>
          <cell r="AC352">
            <v>95.410000000000011</v>
          </cell>
          <cell r="AD352">
            <v>92.850000000000009</v>
          </cell>
          <cell r="AE352">
            <v>91.580000000000013</v>
          </cell>
          <cell r="AF352">
            <v>88.490000000000009</v>
          </cell>
        </row>
        <row r="353">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row>
        <row r="354">
          <cell r="D354" t="str">
            <v>Cost of Goods Sold</v>
          </cell>
          <cell r="E354">
            <v>-0.72</v>
          </cell>
          <cell r="F354">
            <v>-0.47</v>
          </cell>
          <cell r="G354">
            <v>8.5399999999999991</v>
          </cell>
          <cell r="H354">
            <v>7.35</v>
          </cell>
          <cell r="I354">
            <v>21.52</v>
          </cell>
          <cell r="J354">
            <v>24.87</v>
          </cell>
          <cell r="K354">
            <v>8.2242601101599995</v>
          </cell>
          <cell r="L354">
            <v>54.614260110160004</v>
          </cell>
          <cell r="M354">
            <v>1.1299999999999999</v>
          </cell>
          <cell r="N354">
            <v>13.47</v>
          </cell>
          <cell r="O354">
            <v>6.8</v>
          </cell>
          <cell r="P354">
            <v>21.400000000000002</v>
          </cell>
          <cell r="Q354">
            <v>-1.49</v>
          </cell>
          <cell r="R354">
            <v>-0.85</v>
          </cell>
          <cell r="S354">
            <v>-1.57</v>
          </cell>
          <cell r="T354">
            <v>-3.91</v>
          </cell>
          <cell r="U354">
            <v>-0.72</v>
          </cell>
          <cell r="V354">
            <v>-1.19</v>
          </cell>
          <cell r="W354">
            <v>7.35</v>
          </cell>
          <cell r="X354">
            <v>28.869999999999997</v>
          </cell>
          <cell r="Y354">
            <v>53.739999999999995</v>
          </cell>
          <cell r="Z354">
            <v>61.964260110159998</v>
          </cell>
          <cell r="AA354">
            <v>63.09426011016</v>
          </cell>
          <cell r="AB354">
            <v>76.564260110160006</v>
          </cell>
          <cell r="AC354">
            <v>83.364260110160004</v>
          </cell>
          <cell r="AD354">
            <v>81.874260110160009</v>
          </cell>
          <cell r="AE354">
            <v>81.024260110160014</v>
          </cell>
          <cell r="AF354">
            <v>79.454260110160021</v>
          </cell>
        </row>
        <row r="355">
          <cell r="D355" t="str">
            <v>ED Savings</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row>
        <row r="356">
          <cell r="D356" t="str">
            <v>PRISM II &amp; PSM Savings</v>
          </cell>
          <cell r="E356">
            <v>-4.2160822075308989E-2</v>
          </cell>
          <cell r="F356">
            <v>-2.5398423450534946E-2</v>
          </cell>
          <cell r="G356">
            <v>9.6083037482382755E-2</v>
          </cell>
          <cell r="H356">
            <v>2.8523791956538813E-2</v>
          </cell>
          <cell r="I356">
            <v>0.42422990657221693</v>
          </cell>
          <cell r="J356">
            <v>0.30108499674999434</v>
          </cell>
          <cell r="K356">
            <v>0.33840257733076601</v>
          </cell>
          <cell r="L356">
            <v>1.0637174806529772</v>
          </cell>
          <cell r="M356">
            <v>-1.9903228353265389E-3</v>
          </cell>
          <cell r="N356">
            <v>9.9288318000347181E-2</v>
          </cell>
          <cell r="O356">
            <v>5.4926969759308795E-2</v>
          </cell>
          <cell r="P356">
            <v>0.15222496492432944</v>
          </cell>
          <cell r="Q356">
            <v>-2.6709434743604828E-2</v>
          </cell>
          <cell r="R356">
            <v>-1.2550604123238187E-2</v>
          </cell>
          <cell r="S356">
            <v>-4.0658025937308197E-2</v>
          </cell>
          <cell r="T356">
            <v>-7.9918064804151201E-2</v>
          </cell>
          <cell r="U356">
            <v>-4.2160822075308989E-2</v>
          </cell>
          <cell r="V356">
            <v>-6.7559245525843942E-2</v>
          </cell>
          <cell r="W356">
            <v>2.8523791956538813E-2</v>
          </cell>
          <cell r="X356">
            <v>0.45275369852875574</v>
          </cell>
          <cell r="Y356">
            <v>0.75383869527875014</v>
          </cell>
          <cell r="Z356">
            <v>1.0922412726095161</v>
          </cell>
          <cell r="AA356">
            <v>1.0902509497741895</v>
          </cell>
          <cell r="AB356">
            <v>1.1895392677745367</v>
          </cell>
          <cell r="AC356">
            <v>1.2444662375338456</v>
          </cell>
          <cell r="AD356">
            <v>1.2177568027902408</v>
          </cell>
          <cell r="AE356">
            <v>1.2052061986670026</v>
          </cell>
          <cell r="AF356">
            <v>1.1645481727296945</v>
          </cell>
        </row>
        <row r="357">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row>
        <row r="358">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row>
        <row r="359">
          <cell r="D359" t="str">
            <v>Contribution</v>
          </cell>
          <cell r="E359">
            <v>-1.7821608220753089</v>
          </cell>
          <cell r="F359">
            <v>-2.155398423450535</v>
          </cell>
          <cell r="G359">
            <v>0.88608303748238371</v>
          </cell>
          <cell r="H359">
            <v>-3.0514762080434612</v>
          </cell>
          <cell r="I359">
            <v>11.604229906572213</v>
          </cell>
          <cell r="J359">
            <v>9.9510849967499961</v>
          </cell>
          <cell r="K359">
            <v>2.7341424671707659</v>
          </cell>
          <cell r="L359">
            <v>24.289457370492975</v>
          </cell>
          <cell r="M359">
            <v>-1.3319903228353265</v>
          </cell>
          <cell r="N359">
            <v>-4.3707116819996532</v>
          </cell>
          <cell r="O359">
            <v>-2.2450730302406909</v>
          </cell>
          <cell r="P359">
            <v>-7.9477750350756722</v>
          </cell>
          <cell r="Q359">
            <v>-1.0967094347436048</v>
          </cell>
          <cell r="R359">
            <v>-0.4325506041232382</v>
          </cell>
          <cell r="S359">
            <v>-1.560658025937308</v>
          </cell>
          <cell r="T359">
            <v>-3.0899180648041509</v>
          </cell>
          <cell r="U359">
            <v>-1.7821608220753089</v>
          </cell>
          <cell r="V359">
            <v>-3.9375592455258439</v>
          </cell>
          <cell r="W359">
            <v>-3.0514762080434603</v>
          </cell>
          <cell r="X359">
            <v>8.5527536985287522</v>
          </cell>
          <cell r="Y359">
            <v>18.503838695278748</v>
          </cell>
          <cell r="Z359">
            <v>21.237981162449515</v>
          </cell>
          <cell r="AA359">
            <v>19.905990839614187</v>
          </cell>
          <cell r="AB359">
            <v>15.535279157614534</v>
          </cell>
          <cell r="AC359">
            <v>13.290206127373843</v>
          </cell>
          <cell r="AD359">
            <v>12.193496692630237</v>
          </cell>
          <cell r="AE359">
            <v>11.760946088507</v>
          </cell>
          <cell r="AF359">
            <v>10.200288062569692</v>
          </cell>
        </row>
        <row r="360">
          <cell r="D360">
            <v>0</v>
          </cell>
          <cell r="E360">
            <v>0.72445561872980035</v>
          </cell>
          <cell r="F360">
            <v>0.82899939363482111</v>
          </cell>
          <cell r="G360">
            <v>9.4971386654060422E-2</v>
          </cell>
          <cell r="H360">
            <v>-0.71463143045514321</v>
          </cell>
          <cell r="I360">
            <v>0.35486941610312583</v>
          </cell>
          <cell r="J360">
            <v>0.28827013316193495</v>
          </cell>
          <cell r="K360">
            <v>0.2574522097147614</v>
          </cell>
          <cell r="L360">
            <v>0.31204338862401049</v>
          </cell>
          <cell r="M360">
            <v>6.6599516141766317</v>
          </cell>
          <cell r="N360">
            <v>-0.48563463133329482</v>
          </cell>
          <cell r="O360">
            <v>-0.49890511783126468</v>
          </cell>
          <cell r="P360">
            <v>-0.59757707030644147</v>
          </cell>
          <cell r="Q360">
            <v>0.42840212294672064</v>
          </cell>
          <cell r="R360">
            <v>0.34059102686869147</v>
          </cell>
          <cell r="S360">
            <v>0.50506732230980844</v>
          </cell>
          <cell r="T360">
            <v>0.44651995156129348</v>
          </cell>
          <cell r="U360">
            <v>0.72445561872980035</v>
          </cell>
          <cell r="V360">
            <v>0.77817376393791371</v>
          </cell>
          <cell r="W360">
            <v>-0.71463143045514299</v>
          </cell>
          <cell r="X360">
            <v>0.23134308083659055</v>
          </cell>
          <cell r="Y360">
            <v>0.25883114694752757</v>
          </cell>
          <cell r="Z360">
            <v>0.25865279700949351</v>
          </cell>
          <cell r="AA360">
            <v>0.24302271810052722</v>
          </cell>
          <cell r="AB360">
            <v>0.17088636187014114</v>
          </cell>
          <cell r="AC360">
            <v>0.13929573553478505</v>
          </cell>
          <cell r="AD360">
            <v>0.13132468166537681</v>
          </cell>
          <cell r="AE360">
            <v>0.1284226478325726</v>
          </cell>
          <cell r="AF360">
            <v>0.11527051714961793</v>
          </cell>
        </row>
        <row r="361">
          <cell r="D361" t="str">
            <v>Overheads</v>
          </cell>
        </row>
        <row r="362">
          <cell r="D362" t="str">
            <v>Advertisement Exp.</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row>
        <row r="363">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row>
        <row r="364">
          <cell r="D364" t="str">
            <v>Total Overheads (a+b)</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row>
        <row r="365">
          <cell r="D365" t="str">
            <v>OPERATING PROFIT (LOSS)</v>
          </cell>
          <cell r="E365">
            <v>-1.7821608220753089</v>
          </cell>
          <cell r="F365">
            <v>-2.155398423450535</v>
          </cell>
          <cell r="G365">
            <v>0.88608303748238371</v>
          </cell>
          <cell r="H365">
            <v>-3.0514762080434612</v>
          </cell>
          <cell r="I365">
            <v>11.604229906572213</v>
          </cell>
          <cell r="J365">
            <v>9.9510849967499961</v>
          </cell>
          <cell r="K365">
            <v>2.7341424671707659</v>
          </cell>
          <cell r="L365">
            <v>24.289457370492975</v>
          </cell>
          <cell r="M365">
            <v>-1.3319903228353265</v>
          </cell>
          <cell r="N365">
            <v>-4.3707116819996532</v>
          </cell>
          <cell r="O365">
            <v>-2.2450730302406909</v>
          </cell>
          <cell r="P365">
            <v>-7.9477750350756722</v>
          </cell>
          <cell r="Q365">
            <v>-1.0967094347436048</v>
          </cell>
          <cell r="R365">
            <v>-0.4325506041232382</v>
          </cell>
          <cell r="S365">
            <v>-1.560658025937308</v>
          </cell>
          <cell r="T365">
            <v>-3.0899180648041509</v>
          </cell>
          <cell r="U365">
            <v>-1.7821608220753089</v>
          </cell>
          <cell r="V365">
            <v>-3.9375592455258439</v>
          </cell>
          <cell r="W365">
            <v>-3.0514762080434603</v>
          </cell>
          <cell r="X365">
            <v>8.5527536985287522</v>
          </cell>
          <cell r="Y365">
            <v>18.503838695278748</v>
          </cell>
          <cell r="Z365">
            <v>21.237981162449515</v>
          </cell>
          <cell r="AA365">
            <v>19.905990839614187</v>
          </cell>
          <cell r="AB365">
            <v>15.535279157614534</v>
          </cell>
          <cell r="AC365">
            <v>13.290206127373843</v>
          </cell>
          <cell r="AD365">
            <v>12.193496692630237</v>
          </cell>
          <cell r="AE365">
            <v>11.760946088507</v>
          </cell>
          <cell r="AF365">
            <v>10.200288062569692</v>
          </cell>
        </row>
        <row r="388">
          <cell r="D388">
            <v>4</v>
          </cell>
          <cell r="E388">
            <v>5</v>
          </cell>
          <cell r="F388">
            <v>6</v>
          </cell>
          <cell r="G388">
            <v>7</v>
          </cell>
          <cell r="H388">
            <v>8</v>
          </cell>
          <cell r="I388">
            <v>9</v>
          </cell>
          <cell r="J388">
            <v>10</v>
          </cell>
          <cell r="K388">
            <v>11</v>
          </cell>
          <cell r="L388">
            <v>12</v>
          </cell>
          <cell r="M388">
            <v>13</v>
          </cell>
          <cell r="N388">
            <v>14</v>
          </cell>
          <cell r="O388">
            <v>15</v>
          </cell>
          <cell r="P388">
            <v>16</v>
          </cell>
          <cell r="Q388">
            <v>17</v>
          </cell>
          <cell r="R388">
            <v>18</v>
          </cell>
          <cell r="S388">
            <v>19</v>
          </cell>
          <cell r="T388">
            <v>20</v>
          </cell>
          <cell r="U388">
            <v>21</v>
          </cell>
          <cell r="V388">
            <v>22</v>
          </cell>
          <cell r="W388">
            <v>23</v>
          </cell>
          <cell r="X388">
            <v>24</v>
          </cell>
          <cell r="Y388">
            <v>25</v>
          </cell>
          <cell r="Z388">
            <v>26</v>
          </cell>
          <cell r="AA388">
            <v>27</v>
          </cell>
          <cell r="AB388">
            <v>28</v>
          </cell>
          <cell r="AC388">
            <v>29</v>
          </cell>
          <cell r="AD388">
            <v>30</v>
          </cell>
          <cell r="AE388">
            <v>31</v>
          </cell>
          <cell r="AF388">
            <v>32</v>
          </cell>
        </row>
        <row r="389">
          <cell r="E389" t="str">
            <v>Actual</v>
          </cell>
          <cell r="F389" t="str">
            <v>Actual</v>
          </cell>
          <cell r="G389" t="str">
            <v>Actual</v>
          </cell>
          <cell r="H389" t="str">
            <v>Actual</v>
          </cell>
          <cell r="I389" t="str">
            <v>Actual</v>
          </cell>
          <cell r="J389" t="str">
            <v>Actual</v>
          </cell>
          <cell r="K389" t="str">
            <v>Actual</v>
          </cell>
          <cell r="L389" t="str">
            <v>Actual</v>
          </cell>
          <cell r="M389" t="str">
            <v>Actual</v>
          </cell>
          <cell r="N389" t="str">
            <v>Actual</v>
          </cell>
          <cell r="O389" t="str">
            <v>Actual</v>
          </cell>
          <cell r="P389" t="str">
            <v>Actual</v>
          </cell>
          <cell r="Q389" t="str">
            <v>Actual</v>
          </cell>
          <cell r="R389" t="str">
            <v>Actual</v>
          </cell>
          <cell r="S389" t="str">
            <v>Actual</v>
          </cell>
          <cell r="T389" t="str">
            <v>Actual</v>
          </cell>
          <cell r="U389" t="str">
            <v>Cumu Aud</v>
          </cell>
          <cell r="V389" t="str">
            <v>Cumu Aud</v>
          </cell>
          <cell r="W389" t="str">
            <v>Cumu Aud</v>
          </cell>
          <cell r="X389" t="str">
            <v>Cumu Aud</v>
          </cell>
          <cell r="Y389" t="str">
            <v>Cumu Aud</v>
          </cell>
          <cell r="Z389" t="str">
            <v>Cumu Aud</v>
          </cell>
          <cell r="AA389" t="str">
            <v>Cumu Aud</v>
          </cell>
          <cell r="AB389" t="str">
            <v>Cumu Aud</v>
          </cell>
          <cell r="AC389" t="str">
            <v>Cumu Aud</v>
          </cell>
          <cell r="AD389" t="str">
            <v>Cumu Aud</v>
          </cell>
          <cell r="AE389" t="str">
            <v>Cumu Aud</v>
          </cell>
          <cell r="AF389" t="str">
            <v>Cumu Aud</v>
          </cell>
        </row>
        <row r="390">
          <cell r="D390" t="str">
            <v>Particulars</v>
          </cell>
          <cell r="E390">
            <v>41286</v>
          </cell>
          <cell r="F390">
            <v>41317</v>
          </cell>
          <cell r="G390">
            <v>41345</v>
          </cell>
          <cell r="H390" t="str">
            <v>Q-1</v>
          </cell>
          <cell r="I390">
            <v>41376</v>
          </cell>
          <cell r="J390">
            <v>41406</v>
          </cell>
          <cell r="K390">
            <v>41437</v>
          </cell>
          <cell r="L390" t="str">
            <v>Q-2</v>
          </cell>
          <cell r="M390">
            <v>41467</v>
          </cell>
          <cell r="N390">
            <v>41498</v>
          </cell>
          <cell r="O390">
            <v>41529</v>
          </cell>
          <cell r="P390" t="str">
            <v>Q-3</v>
          </cell>
          <cell r="Q390">
            <v>41559</v>
          </cell>
          <cell r="R390">
            <v>41590</v>
          </cell>
          <cell r="S390">
            <v>41620</v>
          </cell>
          <cell r="T390" t="str">
            <v>Q-4</v>
          </cell>
          <cell r="U390">
            <v>41286</v>
          </cell>
          <cell r="V390">
            <v>41317</v>
          </cell>
          <cell r="W390">
            <v>41345</v>
          </cell>
          <cell r="X390">
            <v>41376</v>
          </cell>
          <cell r="Y390">
            <v>41406</v>
          </cell>
          <cell r="Z390">
            <v>41437</v>
          </cell>
          <cell r="AA390">
            <v>41467</v>
          </cell>
          <cell r="AB390">
            <v>41498</v>
          </cell>
          <cell r="AC390">
            <v>41529</v>
          </cell>
          <cell r="AD390">
            <v>41559</v>
          </cell>
          <cell r="AE390">
            <v>41590</v>
          </cell>
          <cell r="AF390">
            <v>41620</v>
          </cell>
        </row>
        <row r="392">
          <cell r="D392" t="str">
            <v>Sales</v>
          </cell>
          <cell r="E392">
            <v>805.5200000000001</v>
          </cell>
          <cell r="F392">
            <v>955.72</v>
          </cell>
          <cell r="G392">
            <v>722.5</v>
          </cell>
          <cell r="H392">
            <v>2483.7400000000002</v>
          </cell>
          <cell r="I392">
            <v>1015.51</v>
          </cell>
          <cell r="J392">
            <v>1095.5999999999999</v>
          </cell>
          <cell r="K392">
            <v>831.02</v>
          </cell>
          <cell r="L392">
            <v>2942.1299999999997</v>
          </cell>
          <cell r="M392">
            <v>766.46</v>
          </cell>
          <cell r="N392">
            <v>688.9</v>
          </cell>
          <cell r="O392">
            <v>569.62</v>
          </cell>
          <cell r="P392">
            <v>2024.98</v>
          </cell>
          <cell r="Q392">
            <v>682</v>
          </cell>
          <cell r="R392">
            <v>681.21</v>
          </cell>
          <cell r="S392">
            <v>845.04</v>
          </cell>
          <cell r="T392">
            <v>2208.25</v>
          </cell>
          <cell r="U392">
            <v>805.5200000000001</v>
          </cell>
          <cell r="V392">
            <v>1761.2400000000002</v>
          </cell>
          <cell r="W392">
            <v>2483.7400000000002</v>
          </cell>
          <cell r="X392">
            <v>3499.25</v>
          </cell>
          <cell r="Y392">
            <v>4594.8500000000004</v>
          </cell>
          <cell r="Z392">
            <v>5425.8700000000008</v>
          </cell>
          <cell r="AA392">
            <v>6192.3300000000008</v>
          </cell>
          <cell r="AB392">
            <v>6881.2300000000005</v>
          </cell>
          <cell r="AC392">
            <v>7450.85</v>
          </cell>
          <cell r="AD392">
            <v>8132.85</v>
          </cell>
          <cell r="AE392">
            <v>8814.0600000000013</v>
          </cell>
          <cell r="AF392">
            <v>9659.1000000000022</v>
          </cell>
        </row>
        <row r="393">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row>
        <row r="394">
          <cell r="D394" t="str">
            <v>Cost of Goods Sold</v>
          </cell>
          <cell r="E394">
            <v>290.24</v>
          </cell>
          <cell r="F394">
            <v>390.11</v>
          </cell>
          <cell r="G394">
            <v>244.65</v>
          </cell>
          <cell r="H394">
            <v>925</v>
          </cell>
          <cell r="I394">
            <v>386.01</v>
          </cell>
          <cell r="J394">
            <v>389.83</v>
          </cell>
          <cell r="K394">
            <v>305.52</v>
          </cell>
          <cell r="L394">
            <v>1081.3599999999999</v>
          </cell>
          <cell r="M394">
            <v>279.95</v>
          </cell>
          <cell r="N394">
            <v>249.52</v>
          </cell>
          <cell r="O394">
            <v>193.48</v>
          </cell>
          <cell r="P394">
            <v>722.95</v>
          </cell>
          <cell r="Q394">
            <v>244.02</v>
          </cell>
          <cell r="R394">
            <v>238.99</v>
          </cell>
          <cell r="S394">
            <v>398.81</v>
          </cell>
          <cell r="T394">
            <v>881.81999999999994</v>
          </cell>
          <cell r="U394">
            <v>290.24</v>
          </cell>
          <cell r="V394">
            <v>680.35</v>
          </cell>
          <cell r="W394">
            <v>925</v>
          </cell>
          <cell r="X394">
            <v>1311.01</v>
          </cell>
          <cell r="Y394">
            <v>1700.84</v>
          </cell>
          <cell r="Z394">
            <v>2006.36</v>
          </cell>
          <cell r="AA394">
            <v>2286.31</v>
          </cell>
          <cell r="AB394">
            <v>2535.83</v>
          </cell>
          <cell r="AC394">
            <v>2729.31</v>
          </cell>
          <cell r="AD394">
            <v>2973.33</v>
          </cell>
          <cell r="AE394">
            <v>3212.3199999999997</v>
          </cell>
          <cell r="AF394">
            <v>3611.1299999999997</v>
          </cell>
        </row>
        <row r="395">
          <cell r="D395" t="str">
            <v>ED Savings</v>
          </cell>
          <cell r="E395">
            <v>21.23</v>
          </cell>
          <cell r="F395">
            <v>71</v>
          </cell>
          <cell r="G395">
            <v>30.000000000000007</v>
          </cell>
          <cell r="H395">
            <v>122.23000000000002</v>
          </cell>
          <cell r="I395">
            <v>73</v>
          </cell>
          <cell r="J395">
            <v>0</v>
          </cell>
          <cell r="K395">
            <v>0</v>
          </cell>
          <cell r="L395">
            <v>73</v>
          </cell>
          <cell r="M395">
            <v>22.15</v>
          </cell>
          <cell r="N395">
            <v>22.450000000000003</v>
          </cell>
          <cell r="O395">
            <v>0</v>
          </cell>
          <cell r="P395">
            <v>44.6</v>
          </cell>
          <cell r="Q395">
            <v>8.23</v>
          </cell>
          <cell r="R395">
            <v>14.68</v>
          </cell>
          <cell r="S395">
            <v>53.283702808000001</v>
          </cell>
          <cell r="T395">
            <v>76.193702807999998</v>
          </cell>
          <cell r="U395">
            <v>21.23</v>
          </cell>
          <cell r="V395">
            <v>92.23</v>
          </cell>
          <cell r="W395">
            <v>122.23000000000002</v>
          </cell>
          <cell r="X395">
            <v>195.23000000000002</v>
          </cell>
          <cell r="Y395">
            <v>195.23000000000002</v>
          </cell>
          <cell r="Z395">
            <v>195.23000000000002</v>
          </cell>
          <cell r="AA395">
            <v>217.38000000000002</v>
          </cell>
          <cell r="AB395">
            <v>239.83000000000004</v>
          </cell>
          <cell r="AC395">
            <v>239.83000000000004</v>
          </cell>
          <cell r="AD395">
            <v>248.06000000000003</v>
          </cell>
          <cell r="AE395">
            <v>262.74</v>
          </cell>
          <cell r="AF395">
            <v>316.023702808</v>
          </cell>
        </row>
        <row r="396">
          <cell r="D396" t="str">
            <v>PRISM II &amp; PSM Savings</v>
          </cell>
          <cell r="E396">
            <v>13.805441218741018</v>
          </cell>
          <cell r="F396">
            <v>9.3360697154404839</v>
          </cell>
          <cell r="G396">
            <v>7.4405138886411075</v>
          </cell>
          <cell r="H396">
            <v>30.582024822822611</v>
          </cell>
          <cell r="I396">
            <v>13.174608942604038</v>
          </cell>
          <cell r="J396">
            <v>9.5558726083225292</v>
          </cell>
          <cell r="K396">
            <v>26.48016099937977</v>
          </cell>
          <cell r="L396">
            <v>49.210642550306339</v>
          </cell>
          <cell r="M396">
            <v>7.6275142018218949</v>
          </cell>
          <cell r="N396">
            <v>7.5999691411599075</v>
          </cell>
          <cell r="O396">
            <v>6.9527778920661065</v>
          </cell>
          <cell r="P396">
            <v>22.180261235047908</v>
          </cell>
          <cell r="Q396">
            <v>7.1155603496634736</v>
          </cell>
          <cell r="R396">
            <v>6.7319661691268395</v>
          </cell>
          <cell r="S396">
            <v>11.118983248564051</v>
          </cell>
          <cell r="T396">
            <v>24.966509767354367</v>
          </cell>
          <cell r="U396">
            <v>13.805441218741018</v>
          </cell>
          <cell r="V396">
            <v>23.141510934181504</v>
          </cell>
          <cell r="W396">
            <v>30.582024822822611</v>
          </cell>
          <cell r="X396">
            <v>43.756633765426649</v>
          </cell>
          <cell r="Y396">
            <v>53.31250637374918</v>
          </cell>
          <cell r="Z396">
            <v>79.79266737312895</v>
          </cell>
          <cell r="AA396">
            <v>87.420181574950846</v>
          </cell>
          <cell r="AB396">
            <v>95.020150716110749</v>
          </cell>
          <cell r="AC396">
            <v>101.97292860817686</v>
          </cell>
          <cell r="AD396">
            <v>109.08848895784033</v>
          </cell>
          <cell r="AE396">
            <v>115.82045512696716</v>
          </cell>
          <cell r="AF396">
            <v>126.93943837553121</v>
          </cell>
        </row>
        <row r="397">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row>
        <row r="398">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row>
        <row r="399">
          <cell r="D399" t="str">
            <v>Contribution</v>
          </cell>
          <cell r="E399">
            <v>550.31544121874117</v>
          </cell>
          <cell r="F399">
            <v>645.94606971544044</v>
          </cell>
          <cell r="G399">
            <v>515.29051388864116</v>
          </cell>
          <cell r="H399">
            <v>1711.5520248228229</v>
          </cell>
          <cell r="I399">
            <v>715.67460894260398</v>
          </cell>
          <cell r="J399">
            <v>715.32587260832247</v>
          </cell>
          <cell r="K399">
            <v>551.98016099937979</v>
          </cell>
          <cell r="L399">
            <v>1982.9806425503061</v>
          </cell>
          <cell r="M399">
            <v>516.28751420182186</v>
          </cell>
          <cell r="N399">
            <v>469.42996914115992</v>
          </cell>
          <cell r="O399">
            <v>383.09277789206607</v>
          </cell>
          <cell r="P399">
            <v>1368.8102612350478</v>
          </cell>
          <cell r="Q399">
            <v>453.32556034966353</v>
          </cell>
          <cell r="R399">
            <v>463.63196616912688</v>
          </cell>
          <cell r="S399">
            <v>510.63268605656401</v>
          </cell>
          <cell r="T399">
            <v>1427.5902125753544</v>
          </cell>
          <cell r="U399">
            <v>550.31544121874117</v>
          </cell>
          <cell r="V399">
            <v>1196.2615109341816</v>
          </cell>
          <cell r="W399">
            <v>1711.5520248228227</v>
          </cell>
          <cell r="X399">
            <v>2427.2266337654264</v>
          </cell>
          <cell r="Y399">
            <v>3142.5525063737487</v>
          </cell>
          <cell r="Z399">
            <v>3694.5326673731283</v>
          </cell>
          <cell r="AA399">
            <v>4210.8201815749499</v>
          </cell>
          <cell r="AB399">
            <v>4680.2501507161096</v>
          </cell>
          <cell r="AC399">
            <v>5063.3429286081755</v>
          </cell>
          <cell r="AD399">
            <v>5516.6684889578391</v>
          </cell>
          <cell r="AE399">
            <v>5980.300455126966</v>
          </cell>
          <cell r="AF399">
            <v>6490.9331411835301</v>
          </cell>
        </row>
        <row r="400">
          <cell r="D400">
            <v>0</v>
          </cell>
          <cell r="E400">
            <v>0.68318035705971436</v>
          </cell>
          <cell r="F400">
            <v>0.67587375979935593</v>
          </cell>
          <cell r="G400">
            <v>0.71320486351369017</v>
          </cell>
          <cell r="H400">
            <v>0.68910273411179224</v>
          </cell>
          <cell r="I400">
            <v>0.70474402905200739</v>
          </cell>
          <cell r="J400">
            <v>0.65290787934312022</v>
          </cell>
          <cell r="K400">
            <v>0.66422006810832446</v>
          </cell>
          <cell r="L400">
            <v>0.67399490931750339</v>
          </cell>
          <cell r="M400">
            <v>0.67360007593588944</v>
          </cell>
          <cell r="N400">
            <v>0.68141960972733329</v>
          </cell>
          <cell r="O400">
            <v>0.67254095342871756</v>
          </cell>
          <cell r="P400">
            <v>0.67596236073198146</v>
          </cell>
          <cell r="Q400">
            <v>0.66470023511680865</v>
          </cell>
          <cell r="R400">
            <v>0.68060064615775873</v>
          </cell>
          <cell r="S400">
            <v>0.60427043223582788</v>
          </cell>
          <cell r="T400">
            <v>0.64648034080170014</v>
          </cell>
          <cell r="U400">
            <v>0.68318035705971436</v>
          </cell>
          <cell r="V400">
            <v>0.67921550210884463</v>
          </cell>
          <cell r="W400">
            <v>0.68910273411179213</v>
          </cell>
          <cell r="X400">
            <v>0.69364196149615676</v>
          </cell>
          <cell r="Y400">
            <v>0.68392929178836048</v>
          </cell>
          <cell r="Z400">
            <v>0.68091064978945826</v>
          </cell>
          <cell r="AA400">
            <v>0.68000577837016907</v>
          </cell>
          <cell r="AB400">
            <v>0.68014732114986842</v>
          </cell>
          <cell r="AC400">
            <v>0.67956581176753994</v>
          </cell>
          <cell r="AD400">
            <v>0.67831922253058141</v>
          </cell>
          <cell r="AE400">
            <v>0.67849554633471576</v>
          </cell>
          <cell r="AF400">
            <v>0.67200185743842888</v>
          </cell>
        </row>
        <row r="401">
          <cell r="D401" t="str">
            <v>Overheads</v>
          </cell>
        </row>
        <row r="402">
          <cell r="D402" t="str">
            <v>Advertisement Exp.</v>
          </cell>
          <cell r="E402">
            <v>772</v>
          </cell>
          <cell r="F402">
            <v>141</v>
          </cell>
          <cell r="G402">
            <v>-125.6</v>
          </cell>
          <cell r="H402">
            <v>787.4</v>
          </cell>
          <cell r="I402">
            <v>687</v>
          </cell>
          <cell r="J402">
            <v>315</v>
          </cell>
          <cell r="K402">
            <v>137.06</v>
          </cell>
          <cell r="L402">
            <v>1139.06</v>
          </cell>
          <cell r="M402">
            <v>230.12</v>
          </cell>
          <cell r="N402">
            <v>404</v>
          </cell>
          <cell r="O402">
            <v>707</v>
          </cell>
          <cell r="P402">
            <v>1341.12</v>
          </cell>
          <cell r="Q402">
            <v>783.98</v>
          </cell>
          <cell r="R402">
            <v>-215</v>
          </cell>
          <cell r="S402">
            <v>-114.22</v>
          </cell>
          <cell r="T402">
            <v>454.76</v>
          </cell>
          <cell r="U402">
            <v>772</v>
          </cell>
          <cell r="V402">
            <v>913</v>
          </cell>
          <cell r="W402">
            <v>787.4</v>
          </cell>
          <cell r="X402">
            <v>1474.4</v>
          </cell>
          <cell r="Y402">
            <v>1789.4</v>
          </cell>
          <cell r="Z402">
            <v>1926.46</v>
          </cell>
          <cell r="AA402">
            <v>2156.58</v>
          </cell>
          <cell r="AB402">
            <v>2560.58</v>
          </cell>
          <cell r="AC402">
            <v>3267.58</v>
          </cell>
          <cell r="AD402">
            <v>4051.56</v>
          </cell>
          <cell r="AE402">
            <v>3836.56</v>
          </cell>
          <cell r="AF402">
            <v>3722.34</v>
          </cell>
        </row>
        <row r="403">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row>
        <row r="404">
          <cell r="D404" t="str">
            <v>Total Overheads (a+b)</v>
          </cell>
          <cell r="E404">
            <v>772</v>
          </cell>
          <cell r="F404">
            <v>141</v>
          </cell>
          <cell r="G404">
            <v>-125.6</v>
          </cell>
          <cell r="H404">
            <v>787.4</v>
          </cell>
          <cell r="I404">
            <v>687</v>
          </cell>
          <cell r="J404">
            <v>315</v>
          </cell>
          <cell r="K404">
            <v>137.06</v>
          </cell>
          <cell r="L404">
            <v>1139.06</v>
          </cell>
          <cell r="M404">
            <v>230.12</v>
          </cell>
          <cell r="N404">
            <v>404</v>
          </cell>
          <cell r="O404">
            <v>707</v>
          </cell>
          <cell r="P404">
            <v>1341.12</v>
          </cell>
          <cell r="Q404">
            <v>783.98</v>
          </cell>
          <cell r="R404">
            <v>-215</v>
          </cell>
          <cell r="S404">
            <v>-114.22</v>
          </cell>
          <cell r="T404">
            <v>454.76</v>
          </cell>
          <cell r="U404">
            <v>772</v>
          </cell>
          <cell r="V404">
            <v>913</v>
          </cell>
          <cell r="W404">
            <v>787.4</v>
          </cell>
          <cell r="X404">
            <v>1474.4</v>
          </cell>
          <cell r="Y404">
            <v>1789.4</v>
          </cell>
          <cell r="Z404">
            <v>1926.46</v>
          </cell>
          <cell r="AA404">
            <v>2156.58</v>
          </cell>
          <cell r="AB404">
            <v>2560.58</v>
          </cell>
          <cell r="AC404">
            <v>3267.58</v>
          </cell>
          <cell r="AD404">
            <v>4051.56</v>
          </cell>
          <cell r="AE404">
            <v>3836.56</v>
          </cell>
          <cell r="AF404">
            <v>3722.34</v>
          </cell>
        </row>
        <row r="405">
          <cell r="D405" t="str">
            <v>OPERATING PROFIT (LOSS)</v>
          </cell>
          <cell r="E405">
            <v>-221.68455878125883</v>
          </cell>
          <cell r="F405">
            <v>504.94606971544044</v>
          </cell>
          <cell r="G405">
            <v>640.89051388864118</v>
          </cell>
          <cell r="H405">
            <v>924.15202482282291</v>
          </cell>
          <cell r="I405">
            <v>28.674608942603982</v>
          </cell>
          <cell r="J405">
            <v>400.32587260832247</v>
          </cell>
          <cell r="K405">
            <v>414.92016099937979</v>
          </cell>
          <cell r="L405">
            <v>843.92064255030618</v>
          </cell>
          <cell r="M405">
            <v>286.16751420182186</v>
          </cell>
          <cell r="N405">
            <v>65.429969141159916</v>
          </cell>
          <cell r="O405">
            <v>-323.90722210793393</v>
          </cell>
          <cell r="P405">
            <v>27.690261235047956</v>
          </cell>
          <cell r="Q405">
            <v>-330.65443965033649</v>
          </cell>
          <cell r="R405">
            <v>678.63196616912683</v>
          </cell>
          <cell r="S405">
            <v>624.85268605656404</v>
          </cell>
          <cell r="T405">
            <v>972.83021257535438</v>
          </cell>
          <cell r="U405">
            <v>-221.68455878125883</v>
          </cell>
          <cell r="V405">
            <v>283.26151093418162</v>
          </cell>
          <cell r="W405">
            <v>924.1520248228228</v>
          </cell>
          <cell r="X405">
            <v>952.82663376542678</v>
          </cell>
          <cell r="Y405">
            <v>1353.1525063737492</v>
          </cell>
          <cell r="Z405">
            <v>1768.072667373129</v>
          </cell>
          <cell r="AA405">
            <v>2054.2401815749508</v>
          </cell>
          <cell r="AB405">
            <v>2119.6701507161106</v>
          </cell>
          <cell r="AC405">
            <v>1795.7629286081767</v>
          </cell>
          <cell r="AD405">
            <v>1465.1084889578401</v>
          </cell>
          <cell r="AE405">
            <v>2143.7404551269669</v>
          </cell>
          <cell r="AF405">
            <v>2768.5931411835309</v>
          </cell>
        </row>
        <row r="408">
          <cell r="D408">
            <v>4</v>
          </cell>
          <cell r="E408">
            <v>5</v>
          </cell>
          <cell r="F408">
            <v>6</v>
          </cell>
          <cell r="G408">
            <v>7</v>
          </cell>
          <cell r="H408">
            <v>8</v>
          </cell>
          <cell r="I408">
            <v>9</v>
          </cell>
          <cell r="J408">
            <v>10</v>
          </cell>
          <cell r="K408">
            <v>11</v>
          </cell>
          <cell r="L408">
            <v>12</v>
          </cell>
          <cell r="M408">
            <v>13</v>
          </cell>
          <cell r="N408">
            <v>14</v>
          </cell>
          <cell r="O408">
            <v>15</v>
          </cell>
          <cell r="P408">
            <v>16</v>
          </cell>
          <cell r="Q408">
            <v>17</v>
          </cell>
          <cell r="R408">
            <v>18</v>
          </cell>
          <cell r="S408">
            <v>19</v>
          </cell>
          <cell r="T408">
            <v>20</v>
          </cell>
          <cell r="U408">
            <v>21</v>
          </cell>
          <cell r="V408">
            <v>22</v>
          </cell>
          <cell r="W408">
            <v>23</v>
          </cell>
          <cell r="X408">
            <v>24</v>
          </cell>
          <cell r="Y408">
            <v>25</v>
          </cell>
          <cell r="Z408">
            <v>26</v>
          </cell>
          <cell r="AA408">
            <v>27</v>
          </cell>
          <cell r="AB408">
            <v>28</v>
          </cell>
          <cell r="AC408">
            <v>29</v>
          </cell>
          <cell r="AD408">
            <v>30</v>
          </cell>
          <cell r="AE408">
            <v>31</v>
          </cell>
          <cell r="AF408">
            <v>32</v>
          </cell>
        </row>
        <row r="409">
          <cell r="E409" t="str">
            <v>Actual</v>
          </cell>
          <cell r="F409" t="str">
            <v>Actual</v>
          </cell>
          <cell r="G409" t="str">
            <v>Actual</v>
          </cell>
          <cell r="H409" t="str">
            <v>Actual</v>
          </cell>
          <cell r="I409" t="str">
            <v>Actual</v>
          </cell>
          <cell r="J409" t="str">
            <v>Actual</v>
          </cell>
          <cell r="K409" t="str">
            <v>Actual</v>
          </cell>
          <cell r="L409" t="str">
            <v>Actual</v>
          </cell>
          <cell r="M409" t="str">
            <v>Actual</v>
          </cell>
          <cell r="N409" t="str">
            <v>Actual</v>
          </cell>
          <cell r="O409" t="str">
            <v>Actual</v>
          </cell>
          <cell r="P409" t="str">
            <v>Actual</v>
          </cell>
          <cell r="Q409" t="str">
            <v>Actual</v>
          </cell>
          <cell r="R409" t="str">
            <v>Actual</v>
          </cell>
          <cell r="S409" t="str">
            <v>Actual</v>
          </cell>
          <cell r="T409" t="str">
            <v>Actual</v>
          </cell>
          <cell r="U409" t="str">
            <v>Cumu Aud</v>
          </cell>
          <cell r="V409" t="str">
            <v>Cumu Aud</v>
          </cell>
          <cell r="W409" t="str">
            <v>Cumu Aud</v>
          </cell>
          <cell r="X409" t="str">
            <v>Cumu Aud</v>
          </cell>
          <cell r="Y409" t="str">
            <v>Cumu Aud</v>
          </cell>
          <cell r="Z409" t="str">
            <v>Cumu Aud</v>
          </cell>
          <cell r="AA409" t="str">
            <v>Cumu Aud</v>
          </cell>
          <cell r="AB409" t="str">
            <v>Cumu Aud</v>
          </cell>
          <cell r="AC409" t="str">
            <v>Cumu Aud</v>
          </cell>
          <cell r="AD409" t="str">
            <v>Cumu Aud</v>
          </cell>
          <cell r="AE409" t="str">
            <v>Cumu Aud</v>
          </cell>
          <cell r="AF409" t="str">
            <v>Cumu Aud</v>
          </cell>
        </row>
        <row r="410">
          <cell r="D410" t="str">
            <v>Particulars</v>
          </cell>
          <cell r="E410">
            <v>41286</v>
          </cell>
          <cell r="F410">
            <v>41317</v>
          </cell>
          <cell r="G410">
            <v>41345</v>
          </cell>
          <cell r="H410" t="str">
            <v>Q-1</v>
          </cell>
          <cell r="I410">
            <v>41376</v>
          </cell>
          <cell r="J410">
            <v>41406</v>
          </cell>
          <cell r="K410">
            <v>41437</v>
          </cell>
          <cell r="L410" t="str">
            <v>Q-2</v>
          </cell>
          <cell r="M410">
            <v>41467</v>
          </cell>
          <cell r="N410">
            <v>41498</v>
          </cell>
          <cell r="O410">
            <v>41529</v>
          </cell>
          <cell r="P410" t="str">
            <v>Q-3</v>
          </cell>
          <cell r="Q410">
            <v>41559</v>
          </cell>
          <cell r="R410">
            <v>41590</v>
          </cell>
          <cell r="S410">
            <v>41620</v>
          </cell>
          <cell r="T410" t="str">
            <v>Q-4</v>
          </cell>
          <cell r="U410">
            <v>41286</v>
          </cell>
          <cell r="V410">
            <v>41317</v>
          </cell>
          <cell r="W410">
            <v>41345</v>
          </cell>
          <cell r="X410">
            <v>41376</v>
          </cell>
          <cell r="Y410">
            <v>41406</v>
          </cell>
          <cell r="Z410">
            <v>41437</v>
          </cell>
          <cell r="AA410">
            <v>41467</v>
          </cell>
          <cell r="AB410">
            <v>41498</v>
          </cell>
          <cell r="AC410">
            <v>41529</v>
          </cell>
          <cell r="AD410">
            <v>41559</v>
          </cell>
          <cell r="AE410">
            <v>41590</v>
          </cell>
          <cell r="AF410">
            <v>41620</v>
          </cell>
        </row>
        <row r="412">
          <cell r="D412" t="str">
            <v>Sales</v>
          </cell>
          <cell r="E412">
            <v>91.28</v>
          </cell>
          <cell r="F412">
            <v>49.18</v>
          </cell>
          <cell r="G412">
            <v>37.04</v>
          </cell>
          <cell r="H412">
            <v>177.5</v>
          </cell>
          <cell r="I412">
            <v>37.270000000000003</v>
          </cell>
          <cell r="J412">
            <v>45.454166000000065</v>
          </cell>
          <cell r="K412">
            <v>27.805489000000026</v>
          </cell>
          <cell r="L412">
            <v>110.52965500000009</v>
          </cell>
          <cell r="M412">
            <v>15.27</v>
          </cell>
          <cell r="N412">
            <v>13.89</v>
          </cell>
          <cell r="O412">
            <v>8.1999999999999993</v>
          </cell>
          <cell r="P412">
            <v>37.36</v>
          </cell>
          <cell r="Q412">
            <v>6.1911753999999979</v>
          </cell>
          <cell r="R412">
            <v>-2.3101704000000001</v>
          </cell>
          <cell r="S412">
            <v>2.34</v>
          </cell>
          <cell r="T412">
            <v>6.2210049999999981</v>
          </cell>
          <cell r="U412">
            <v>91.28</v>
          </cell>
          <cell r="V412">
            <v>140.46</v>
          </cell>
          <cell r="W412">
            <v>177.5</v>
          </cell>
          <cell r="X412">
            <v>214.77</v>
          </cell>
          <cell r="Y412">
            <v>260.22416600000008</v>
          </cell>
          <cell r="Z412">
            <v>288.0296550000001</v>
          </cell>
          <cell r="AA412">
            <v>303.29965500000009</v>
          </cell>
          <cell r="AB412">
            <v>317.18965500000007</v>
          </cell>
          <cell r="AC412">
            <v>325.38965500000006</v>
          </cell>
          <cell r="AD412">
            <v>331.58083040000008</v>
          </cell>
          <cell r="AE412">
            <v>329.27066000000008</v>
          </cell>
          <cell r="AF412">
            <v>331.61066000000005</v>
          </cell>
        </row>
        <row r="413">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row>
        <row r="414">
          <cell r="D414" t="str">
            <v>Cost of Goods Sold</v>
          </cell>
          <cell r="E414">
            <v>34.82</v>
          </cell>
          <cell r="F414">
            <v>18.73</v>
          </cell>
          <cell r="G414">
            <v>14.14</v>
          </cell>
          <cell r="H414">
            <v>67.69</v>
          </cell>
          <cell r="I414">
            <v>14.13</v>
          </cell>
          <cell r="J414">
            <v>18.43</v>
          </cell>
          <cell r="K414">
            <v>11.293065257639416</v>
          </cell>
          <cell r="L414">
            <v>43.853065257639415</v>
          </cell>
          <cell r="M414">
            <v>6.1</v>
          </cell>
          <cell r="N414">
            <v>5.55</v>
          </cell>
          <cell r="O414">
            <v>3.34</v>
          </cell>
          <cell r="P414">
            <v>14.989999999999998</v>
          </cell>
          <cell r="Q414">
            <v>2.1814073016275364</v>
          </cell>
          <cell r="R414">
            <v>-0.98302321625589395</v>
          </cell>
          <cell r="S414">
            <v>1.4298051710612927</v>
          </cell>
          <cell r="T414">
            <v>2.6281892564329352</v>
          </cell>
          <cell r="U414">
            <v>34.82</v>
          </cell>
          <cell r="V414">
            <v>53.55</v>
          </cell>
          <cell r="W414">
            <v>67.69</v>
          </cell>
          <cell r="X414">
            <v>81.819999999999993</v>
          </cell>
          <cell r="Y414">
            <v>100.25</v>
          </cell>
          <cell r="Z414">
            <v>111.54306525763941</v>
          </cell>
          <cell r="AA414">
            <v>117.64306525763941</v>
          </cell>
          <cell r="AB414">
            <v>123.1930652576394</v>
          </cell>
          <cell r="AC414">
            <v>126.53306525763941</v>
          </cell>
          <cell r="AD414">
            <v>128.71447255926694</v>
          </cell>
          <cell r="AE414">
            <v>127.73144934301105</v>
          </cell>
          <cell r="AF414">
            <v>129.16125451407234</v>
          </cell>
        </row>
        <row r="415">
          <cell r="D415" t="str">
            <v>ED Savings</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row>
        <row r="416">
          <cell r="D416" t="str">
            <v>PRISM II &amp; PSM Savings</v>
          </cell>
          <cell r="E416">
            <v>1.5644064386317906</v>
          </cell>
          <cell r="F416">
            <v>0.48042094819127251</v>
          </cell>
          <cell r="G416">
            <v>0.38144862897614756</v>
          </cell>
          <cell r="H416">
            <v>2.4262760157992105</v>
          </cell>
          <cell r="I416">
            <v>0.48351830635922105</v>
          </cell>
          <cell r="J416">
            <v>0.39645328570057131</v>
          </cell>
          <cell r="K416">
            <v>0.88601216022055296</v>
          </cell>
          <cell r="L416">
            <v>1.7659837522803454</v>
          </cell>
          <cell r="M416">
            <v>0.15196114847718123</v>
          </cell>
          <cell r="N416">
            <v>0.15323497078053583</v>
          </cell>
          <cell r="O416">
            <v>0.10008914489474047</v>
          </cell>
          <cell r="P416">
            <v>0.40528526415245753</v>
          </cell>
          <cell r="Q416">
            <v>6.4594841926762292E-2</v>
          </cell>
          <cell r="R416">
            <v>-2.2829948147734497E-2</v>
          </cell>
          <cell r="S416">
            <v>3.0789573039903297E-2</v>
          </cell>
          <cell r="T416">
            <v>7.2554466818931102E-2</v>
          </cell>
          <cell r="U416">
            <v>1.5644064386317906</v>
          </cell>
          <cell r="V416">
            <v>2.0448273868230631</v>
          </cell>
          <cell r="W416">
            <v>2.4262760157992105</v>
          </cell>
          <cell r="X416">
            <v>2.9097943221584317</v>
          </cell>
          <cell r="Y416">
            <v>3.3062476078590031</v>
          </cell>
          <cell r="Z416">
            <v>4.1922597680795564</v>
          </cell>
          <cell r="AA416">
            <v>4.344220916556738</v>
          </cell>
          <cell r="AB416">
            <v>4.4974558873372743</v>
          </cell>
          <cell r="AC416">
            <v>4.5975450322320146</v>
          </cell>
          <cell r="AD416">
            <v>4.6621398741587772</v>
          </cell>
          <cell r="AE416">
            <v>4.6393099260110429</v>
          </cell>
          <cell r="AF416">
            <v>4.6700994990509459</v>
          </cell>
        </row>
        <row r="417">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row>
        <row r="418">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row>
        <row r="419">
          <cell r="D419" t="str">
            <v>Contribution</v>
          </cell>
          <cell r="E419">
            <v>58.024406438631793</v>
          </cell>
          <cell r="F419">
            <v>30.930420948191273</v>
          </cell>
          <cell r="G419">
            <v>23.281448628976147</v>
          </cell>
          <cell r="H419">
            <v>112.23627601579921</v>
          </cell>
          <cell r="I419">
            <v>23.623518306359223</v>
          </cell>
          <cell r="J419">
            <v>27.420619285700635</v>
          </cell>
          <cell r="K419">
            <v>17.398435902581163</v>
          </cell>
          <cell r="L419">
            <v>68.442573494641024</v>
          </cell>
          <cell r="M419">
            <v>9.3219611484771807</v>
          </cell>
          <cell r="N419">
            <v>8.4932349707805361</v>
          </cell>
          <cell r="O419">
            <v>4.9600891448947397</v>
          </cell>
          <cell r="P419">
            <v>22.775285264152458</v>
          </cell>
          <cell r="Q419">
            <v>4.0743629402992241</v>
          </cell>
          <cell r="R419">
            <v>-1.3499771318918408</v>
          </cell>
          <cell r="S419">
            <v>0.94098440197861044</v>
          </cell>
          <cell r="T419">
            <v>3.6653702103859942</v>
          </cell>
          <cell r="U419">
            <v>58.024406438631793</v>
          </cell>
          <cell r="V419">
            <v>88.954827386823069</v>
          </cell>
          <cell r="W419">
            <v>112.23627601579922</v>
          </cell>
          <cell r="X419">
            <v>135.85979432215845</v>
          </cell>
          <cell r="Y419">
            <v>163.28041360785909</v>
          </cell>
          <cell r="Z419">
            <v>180.67884951044024</v>
          </cell>
          <cell r="AA419">
            <v>190.00081065891743</v>
          </cell>
          <cell r="AB419">
            <v>198.49404562969798</v>
          </cell>
          <cell r="AC419">
            <v>203.45413477459272</v>
          </cell>
          <cell r="AD419">
            <v>207.52849771489196</v>
          </cell>
          <cell r="AE419">
            <v>206.17852058300011</v>
          </cell>
          <cell r="AF419">
            <v>207.1195049849787</v>
          </cell>
        </row>
        <row r="420">
          <cell r="D420">
            <v>0</v>
          </cell>
          <cell r="E420">
            <v>0.63567491716292501</v>
          </cell>
          <cell r="F420">
            <v>0.62892275209823656</v>
          </cell>
          <cell r="G420">
            <v>0.62854882907602994</v>
          </cell>
          <cell r="H420">
            <v>0.63231704797633359</v>
          </cell>
          <cell r="I420">
            <v>0.63384808978693907</v>
          </cell>
          <cell r="J420">
            <v>0.60325866028870923</v>
          </cell>
          <cell r="K420">
            <v>0.62571947224453228</v>
          </cell>
          <cell r="L420">
            <v>0.61922362369303485</v>
          </cell>
          <cell r="M420">
            <v>0.61047551725456328</v>
          </cell>
          <cell r="N420">
            <v>0.6114640007761365</v>
          </cell>
          <cell r="O420">
            <v>0.60488892010911466</v>
          </cell>
          <cell r="P420">
            <v>0.60961684325889876</v>
          </cell>
          <cell r="Q420">
            <v>0.65809199014119768</v>
          </cell>
          <cell r="R420">
            <v>0.58436257857508722</v>
          </cell>
          <cell r="S420">
            <v>0.40213008631564551</v>
          </cell>
          <cell r="T420">
            <v>0.58919261604612039</v>
          </cell>
          <cell r="U420">
            <v>0.63567491716292501</v>
          </cell>
          <cell r="V420">
            <v>0.63331074602607906</v>
          </cell>
          <cell r="W420">
            <v>0.63231704797633359</v>
          </cell>
          <cell r="X420">
            <v>0.63258273651887342</v>
          </cell>
          <cell r="Y420">
            <v>0.62746060874246024</v>
          </cell>
          <cell r="Z420">
            <v>0.62729252482852915</v>
          </cell>
          <cell r="AA420">
            <v>0.62644585157512744</v>
          </cell>
          <cell r="AB420">
            <v>0.62578978381151151</v>
          </cell>
          <cell r="AC420">
            <v>0.62526307043963236</v>
          </cell>
          <cell r="AD420">
            <v>0.6258760419428997</v>
          </cell>
          <cell r="AE420">
            <v>0.62616730134109144</v>
          </cell>
          <cell r="AF420">
            <v>0.62458638990971727</v>
          </cell>
        </row>
        <row r="421">
          <cell r="D421" t="str">
            <v>Overheads</v>
          </cell>
        </row>
        <row r="422">
          <cell r="D422" t="str">
            <v>Advertisement Exp.</v>
          </cell>
          <cell r="E422">
            <v>173</v>
          </cell>
          <cell r="F422">
            <v>142</v>
          </cell>
          <cell r="G422">
            <v>8</v>
          </cell>
          <cell r="H422">
            <v>323</v>
          </cell>
          <cell r="I422">
            <v>251.97</v>
          </cell>
          <cell r="J422">
            <v>122</v>
          </cell>
          <cell r="K422">
            <v>0.66</v>
          </cell>
          <cell r="L422">
            <v>374.63000000000005</v>
          </cell>
          <cell r="M422">
            <v>0</v>
          </cell>
          <cell r="N422">
            <v>12</v>
          </cell>
          <cell r="O422">
            <v>0</v>
          </cell>
          <cell r="P422">
            <v>12</v>
          </cell>
          <cell r="Q422">
            <v>0</v>
          </cell>
          <cell r="R422">
            <v>-3</v>
          </cell>
          <cell r="S422">
            <v>0</v>
          </cell>
          <cell r="T422">
            <v>-3</v>
          </cell>
          <cell r="U422">
            <v>173</v>
          </cell>
          <cell r="V422">
            <v>315</v>
          </cell>
          <cell r="W422">
            <v>323</v>
          </cell>
          <cell r="X422">
            <v>574.97</v>
          </cell>
          <cell r="Y422">
            <v>696.97</v>
          </cell>
          <cell r="Z422">
            <v>697.63</v>
          </cell>
          <cell r="AA422">
            <v>697.63</v>
          </cell>
          <cell r="AB422">
            <v>709.63</v>
          </cell>
          <cell r="AC422">
            <v>709.63</v>
          </cell>
          <cell r="AD422">
            <v>709.63</v>
          </cell>
          <cell r="AE422">
            <v>706.63</v>
          </cell>
          <cell r="AF422">
            <v>706.63</v>
          </cell>
        </row>
        <row r="423">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row>
        <row r="424">
          <cell r="D424" t="str">
            <v>Total Overheads (a+b)</v>
          </cell>
          <cell r="E424">
            <v>173</v>
          </cell>
          <cell r="F424">
            <v>142</v>
          </cell>
          <cell r="G424">
            <v>8</v>
          </cell>
          <cell r="H424">
            <v>323</v>
          </cell>
          <cell r="I424">
            <v>251.97</v>
          </cell>
          <cell r="J424">
            <v>122</v>
          </cell>
          <cell r="K424">
            <v>0.66</v>
          </cell>
          <cell r="L424">
            <v>374.63000000000005</v>
          </cell>
          <cell r="M424">
            <v>0</v>
          </cell>
          <cell r="N424">
            <v>12</v>
          </cell>
          <cell r="O424">
            <v>0</v>
          </cell>
          <cell r="P424">
            <v>12</v>
          </cell>
          <cell r="Q424">
            <v>0</v>
          </cell>
          <cell r="R424">
            <v>-3</v>
          </cell>
          <cell r="S424">
            <v>0</v>
          </cell>
          <cell r="T424">
            <v>-3</v>
          </cell>
          <cell r="U424">
            <v>173</v>
          </cell>
          <cell r="V424">
            <v>315</v>
          </cell>
          <cell r="W424">
            <v>323</v>
          </cell>
          <cell r="X424">
            <v>574.97</v>
          </cell>
          <cell r="Y424">
            <v>696.97</v>
          </cell>
          <cell r="Z424">
            <v>697.63</v>
          </cell>
          <cell r="AA424">
            <v>697.63</v>
          </cell>
          <cell r="AB424">
            <v>709.63</v>
          </cell>
          <cell r="AC424">
            <v>709.63</v>
          </cell>
          <cell r="AD424">
            <v>709.63</v>
          </cell>
          <cell r="AE424">
            <v>706.63</v>
          </cell>
          <cell r="AF424">
            <v>706.63</v>
          </cell>
        </row>
        <row r="425">
          <cell r="D425" t="str">
            <v>OPERATING PROFIT (LOSS)</v>
          </cell>
          <cell r="E425">
            <v>-114.97559356136821</v>
          </cell>
          <cell r="F425">
            <v>-111.06957905180873</v>
          </cell>
          <cell r="G425">
            <v>15.281448628976147</v>
          </cell>
          <cell r="H425">
            <v>-210.76372398420079</v>
          </cell>
          <cell r="I425">
            <v>-228.34648169364078</v>
          </cell>
          <cell r="J425">
            <v>-94.579380714299361</v>
          </cell>
          <cell r="K425">
            <v>16.738435902581163</v>
          </cell>
          <cell r="L425">
            <v>-306.18742650535904</v>
          </cell>
          <cell r="M425">
            <v>9.3219611484771807</v>
          </cell>
          <cell r="N425">
            <v>-3.5067650292194639</v>
          </cell>
          <cell r="O425">
            <v>4.9600891448947397</v>
          </cell>
          <cell r="P425">
            <v>10.775285264152458</v>
          </cell>
          <cell r="Q425">
            <v>4.0743629402992241</v>
          </cell>
          <cell r="R425">
            <v>1.6500228681081592</v>
          </cell>
          <cell r="S425">
            <v>0.94098440197861044</v>
          </cell>
          <cell r="T425">
            <v>6.6653702103859942</v>
          </cell>
          <cell r="U425">
            <v>-114.97559356136821</v>
          </cell>
          <cell r="V425">
            <v>-226.04517261317693</v>
          </cell>
          <cell r="W425">
            <v>-210.76372398420079</v>
          </cell>
          <cell r="X425">
            <v>-439.11020567784158</v>
          </cell>
          <cell r="Y425">
            <v>-533.68958639214088</v>
          </cell>
          <cell r="Z425">
            <v>-516.95115048955972</v>
          </cell>
          <cell r="AA425">
            <v>-507.62918934108257</v>
          </cell>
          <cell r="AB425">
            <v>-511.13595437030204</v>
          </cell>
          <cell r="AC425">
            <v>-506.17586522540728</v>
          </cell>
          <cell r="AD425">
            <v>-502.10150228510804</v>
          </cell>
          <cell r="AE425">
            <v>-500.45147941699986</v>
          </cell>
          <cell r="AF425">
            <v>-499.51049501502126</v>
          </cell>
        </row>
        <row r="428">
          <cell r="D428">
            <v>4</v>
          </cell>
          <cell r="E428">
            <v>5</v>
          </cell>
          <cell r="F428">
            <v>6</v>
          </cell>
          <cell r="G428">
            <v>7</v>
          </cell>
          <cell r="H428">
            <v>8</v>
          </cell>
          <cell r="I428">
            <v>9</v>
          </cell>
          <cell r="J428">
            <v>10</v>
          </cell>
          <cell r="K428">
            <v>11</v>
          </cell>
          <cell r="L428">
            <v>12</v>
          </cell>
          <cell r="M428">
            <v>13</v>
          </cell>
          <cell r="N428">
            <v>14</v>
          </cell>
          <cell r="O428">
            <v>15</v>
          </cell>
          <cell r="P428">
            <v>16</v>
          </cell>
          <cell r="Q428">
            <v>17</v>
          </cell>
          <cell r="R428">
            <v>18</v>
          </cell>
          <cell r="S428">
            <v>19</v>
          </cell>
          <cell r="T428">
            <v>20</v>
          </cell>
          <cell r="U428">
            <v>21</v>
          </cell>
          <cell r="V428">
            <v>22</v>
          </cell>
          <cell r="W428">
            <v>23</v>
          </cell>
          <cell r="X428">
            <v>24</v>
          </cell>
          <cell r="Y428">
            <v>25</v>
          </cell>
          <cell r="Z428">
            <v>26</v>
          </cell>
          <cell r="AA428">
            <v>27</v>
          </cell>
          <cell r="AB428">
            <v>28</v>
          </cell>
          <cell r="AC428">
            <v>29</v>
          </cell>
          <cell r="AD428">
            <v>30</v>
          </cell>
          <cell r="AE428">
            <v>31</v>
          </cell>
          <cell r="AF428">
            <v>32</v>
          </cell>
        </row>
        <row r="429">
          <cell r="E429" t="str">
            <v>Actual</v>
          </cell>
          <cell r="F429" t="str">
            <v>Actual</v>
          </cell>
          <cell r="G429" t="str">
            <v>Actual</v>
          </cell>
          <cell r="H429" t="str">
            <v>Actual</v>
          </cell>
          <cell r="I429" t="str">
            <v>Actual</v>
          </cell>
          <cell r="J429" t="str">
            <v>Actual</v>
          </cell>
          <cell r="K429" t="str">
            <v>Actual</v>
          </cell>
          <cell r="L429" t="str">
            <v>Actual</v>
          </cell>
          <cell r="M429" t="str">
            <v>Actual</v>
          </cell>
          <cell r="N429" t="str">
            <v>Actual</v>
          </cell>
          <cell r="O429" t="str">
            <v>Actual</v>
          </cell>
          <cell r="P429" t="str">
            <v>Actual</v>
          </cell>
          <cell r="Q429" t="str">
            <v>Actual</v>
          </cell>
          <cell r="R429" t="str">
            <v>Actual</v>
          </cell>
          <cell r="S429" t="str">
            <v>Actual</v>
          </cell>
          <cell r="T429" t="str">
            <v>Actual</v>
          </cell>
          <cell r="U429" t="str">
            <v>Cumu Aud</v>
          </cell>
          <cell r="V429" t="str">
            <v>Cumu Aud</v>
          </cell>
          <cell r="W429" t="str">
            <v>Cumu Aud</v>
          </cell>
          <cell r="X429" t="str">
            <v>Cumu Aud</v>
          </cell>
          <cell r="Y429" t="str">
            <v>Cumu Aud</v>
          </cell>
          <cell r="Z429" t="str">
            <v>Cumu Aud</v>
          </cell>
          <cell r="AA429" t="str">
            <v>Cumu Aud</v>
          </cell>
          <cell r="AB429" t="str">
            <v>Cumu Aud</v>
          </cell>
          <cell r="AC429" t="str">
            <v>Cumu Aud</v>
          </cell>
          <cell r="AD429" t="str">
            <v>Cumu Aud</v>
          </cell>
          <cell r="AE429" t="str">
            <v>Cumu Aud</v>
          </cell>
          <cell r="AF429" t="str">
            <v>Cumu Aud</v>
          </cell>
        </row>
        <row r="430">
          <cell r="D430" t="str">
            <v>Particulars</v>
          </cell>
          <cell r="E430">
            <v>41286</v>
          </cell>
          <cell r="F430">
            <v>41317</v>
          </cell>
          <cell r="G430">
            <v>41345</v>
          </cell>
          <cell r="H430" t="str">
            <v>Q-1</v>
          </cell>
          <cell r="I430">
            <v>41376</v>
          </cell>
          <cell r="J430">
            <v>41406</v>
          </cell>
          <cell r="K430">
            <v>41437</v>
          </cell>
          <cell r="L430" t="str">
            <v>Q-2</v>
          </cell>
          <cell r="M430">
            <v>41467</v>
          </cell>
          <cell r="N430">
            <v>41498</v>
          </cell>
          <cell r="O430">
            <v>41529</v>
          </cell>
          <cell r="P430" t="str">
            <v>Q-3</v>
          </cell>
          <cell r="Q430">
            <v>41559</v>
          </cell>
          <cell r="R430">
            <v>41590</v>
          </cell>
          <cell r="S430">
            <v>41620</v>
          </cell>
          <cell r="T430" t="str">
            <v>Q-4</v>
          </cell>
          <cell r="U430">
            <v>41286</v>
          </cell>
          <cell r="V430">
            <v>41317</v>
          </cell>
          <cell r="W430">
            <v>41345</v>
          </cell>
          <cell r="X430">
            <v>41376</v>
          </cell>
          <cell r="Y430">
            <v>41406</v>
          </cell>
          <cell r="Z430">
            <v>41437</v>
          </cell>
          <cell r="AA430">
            <v>41467</v>
          </cell>
          <cell r="AB430">
            <v>41498</v>
          </cell>
          <cell r="AC430">
            <v>41529</v>
          </cell>
          <cell r="AD430">
            <v>41559</v>
          </cell>
          <cell r="AE430">
            <v>41590</v>
          </cell>
          <cell r="AF430">
            <v>41620</v>
          </cell>
        </row>
        <row r="432">
          <cell r="D432" t="str">
            <v>Sales</v>
          </cell>
          <cell r="E432">
            <v>47.370000000000005</v>
          </cell>
          <cell r="F432">
            <v>31</v>
          </cell>
          <cell r="G432">
            <v>26.8</v>
          </cell>
          <cell r="H432">
            <v>105.17</v>
          </cell>
          <cell r="I432">
            <v>40.119999999999997</v>
          </cell>
          <cell r="J432">
            <v>28.19510719999996</v>
          </cell>
          <cell r="K432">
            <v>18.80142109999997</v>
          </cell>
          <cell r="L432">
            <v>87.116528299999928</v>
          </cell>
          <cell r="M432">
            <v>23.4</v>
          </cell>
          <cell r="N432">
            <v>25.92</v>
          </cell>
          <cell r="O432">
            <v>30.66</v>
          </cell>
          <cell r="P432">
            <v>79.98</v>
          </cell>
          <cell r="Q432">
            <v>18.325169299999985</v>
          </cell>
          <cell r="R432">
            <v>8.8214402999999955</v>
          </cell>
          <cell r="S432">
            <v>19.813979300000007</v>
          </cell>
          <cell r="T432">
            <v>46.960588899999991</v>
          </cell>
          <cell r="U432">
            <v>47.370000000000005</v>
          </cell>
          <cell r="V432">
            <v>78.37</v>
          </cell>
          <cell r="W432">
            <v>105.17</v>
          </cell>
          <cell r="X432">
            <v>145.29</v>
          </cell>
          <cell r="Y432">
            <v>173.48510719999996</v>
          </cell>
          <cell r="Z432">
            <v>192.28652829999993</v>
          </cell>
          <cell r="AA432">
            <v>215.68652829999994</v>
          </cell>
          <cell r="AB432">
            <v>241.60652829999992</v>
          </cell>
          <cell r="AC432">
            <v>272.26652829999995</v>
          </cell>
          <cell r="AD432">
            <v>290.59169759999992</v>
          </cell>
          <cell r="AE432">
            <v>299.41313789999992</v>
          </cell>
          <cell r="AF432">
            <v>319.22711719999995</v>
          </cell>
        </row>
        <row r="433">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row>
        <row r="434">
          <cell r="D434" t="str">
            <v>Cost of Goods Sold</v>
          </cell>
          <cell r="E434">
            <v>25.59</v>
          </cell>
          <cell r="F434">
            <v>16.95</v>
          </cell>
          <cell r="G434">
            <v>13.89</v>
          </cell>
          <cell r="H434">
            <v>56.43</v>
          </cell>
          <cell r="I434">
            <v>21.01</v>
          </cell>
          <cell r="J434">
            <v>14.762381222000002</v>
          </cell>
          <cell r="K434">
            <v>9.2322918839999968</v>
          </cell>
          <cell r="L434">
            <v>45.004673106000006</v>
          </cell>
          <cell r="M434">
            <v>13.22</v>
          </cell>
          <cell r="N434">
            <v>17.13</v>
          </cell>
          <cell r="O434">
            <v>33.76</v>
          </cell>
          <cell r="P434">
            <v>64.11</v>
          </cell>
          <cell r="Q434">
            <v>9.6232803300000036</v>
          </cell>
          <cell r="R434">
            <v>4.1130692699999996</v>
          </cell>
          <cell r="S434">
            <v>7.7405413039999988</v>
          </cell>
          <cell r="T434">
            <v>21.476890904000001</v>
          </cell>
          <cell r="U434">
            <v>25.59</v>
          </cell>
          <cell r="V434">
            <v>42.54</v>
          </cell>
          <cell r="W434">
            <v>56.43</v>
          </cell>
          <cell r="X434">
            <v>77.44</v>
          </cell>
          <cell r="Y434">
            <v>92.202381222</v>
          </cell>
          <cell r="Z434">
            <v>101.43467310599999</v>
          </cell>
          <cell r="AA434">
            <v>114.65467310599999</v>
          </cell>
          <cell r="AB434">
            <v>131.78467310599999</v>
          </cell>
          <cell r="AC434">
            <v>165.54467310599998</v>
          </cell>
          <cell r="AD434">
            <v>175.16795343599998</v>
          </cell>
          <cell r="AE434">
            <v>179.28102270599999</v>
          </cell>
          <cell r="AF434">
            <v>187.02156400999999</v>
          </cell>
        </row>
        <row r="435">
          <cell r="D435" t="str">
            <v>ED Savings</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row>
        <row r="436">
          <cell r="D436" t="str">
            <v>PRISM II &amp; PSM Savings</v>
          </cell>
          <cell r="E436">
            <v>0.81185290313308422</v>
          </cell>
          <cell r="F436">
            <v>0.30282735652560894</v>
          </cell>
          <cell r="G436">
            <v>0.27599414839526876</v>
          </cell>
          <cell r="H436">
            <v>1.3906744080539619</v>
          </cell>
          <cell r="I436">
            <v>0.52049247252835917</v>
          </cell>
          <cell r="J436">
            <v>0.24591899651441856</v>
          </cell>
          <cell r="K436">
            <v>0.59910069281742329</v>
          </cell>
          <cell r="L436">
            <v>1.3655121618602011</v>
          </cell>
          <cell r="M436">
            <v>0.23286777173320503</v>
          </cell>
          <cell r="N436">
            <v>0.28595035584099993</v>
          </cell>
          <cell r="O436">
            <v>0.37423575396009062</v>
          </cell>
          <cell r="P436">
            <v>0.89305388153429566</v>
          </cell>
          <cell r="Q436">
            <v>0.19119332561869537</v>
          </cell>
          <cell r="R436">
            <v>8.7176696852031069E-2</v>
          </cell>
          <cell r="S436">
            <v>0.26071109524294112</v>
          </cell>
          <cell r="T436">
            <v>0.53908111771366762</v>
          </cell>
          <cell r="U436">
            <v>0.81185290313308422</v>
          </cell>
          <cell r="V436">
            <v>1.1146802596586931</v>
          </cell>
          <cell r="W436">
            <v>1.3906744080539619</v>
          </cell>
          <cell r="X436">
            <v>1.911166880582321</v>
          </cell>
          <cell r="Y436">
            <v>2.1570858770967396</v>
          </cell>
          <cell r="Z436">
            <v>2.756186569914163</v>
          </cell>
          <cell r="AA436">
            <v>2.9890543416473681</v>
          </cell>
          <cell r="AB436">
            <v>3.275004697488368</v>
          </cell>
          <cell r="AC436">
            <v>3.6492404514484584</v>
          </cell>
          <cell r="AD436">
            <v>3.8404337770671537</v>
          </cell>
          <cell r="AE436">
            <v>3.9276104739191848</v>
          </cell>
          <cell r="AF436">
            <v>4.1883215691621256</v>
          </cell>
        </row>
        <row r="437">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row>
        <row r="438">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row>
        <row r="439">
          <cell r="D439" t="str">
            <v>Contribution</v>
          </cell>
          <cell r="E439">
            <v>22.591852903133088</v>
          </cell>
          <cell r="F439">
            <v>14.35282735652561</v>
          </cell>
          <cell r="G439">
            <v>13.185994148395269</v>
          </cell>
          <cell r="H439">
            <v>50.130674408053963</v>
          </cell>
          <cell r="I439">
            <v>19.630492472528356</v>
          </cell>
          <cell r="J439">
            <v>13.678644974514377</v>
          </cell>
          <cell r="K439">
            <v>10.168229908817397</v>
          </cell>
          <cell r="L439">
            <v>43.477367355860125</v>
          </cell>
          <cell r="M439">
            <v>10.412867771733202</v>
          </cell>
          <cell r="N439">
            <v>9.0759503558410017</v>
          </cell>
          <cell r="O439">
            <v>-2.7257642460399074</v>
          </cell>
          <cell r="P439">
            <v>16.763053881534301</v>
          </cell>
          <cell r="Q439">
            <v>8.8930822956186759</v>
          </cell>
          <cell r="R439">
            <v>4.7955477268520266</v>
          </cell>
          <cell r="S439">
            <v>12.334149091242949</v>
          </cell>
          <cell r="T439">
            <v>26.022779113713657</v>
          </cell>
          <cell r="U439">
            <v>22.591852903133088</v>
          </cell>
          <cell r="V439">
            <v>36.944680259658696</v>
          </cell>
          <cell r="W439">
            <v>50.130674408053963</v>
          </cell>
          <cell r="X439">
            <v>69.761166880582323</v>
          </cell>
          <cell r="Y439">
            <v>83.439811855096707</v>
          </cell>
          <cell r="Z439">
            <v>93.608041763914102</v>
          </cell>
          <cell r="AA439">
            <v>104.02090953564731</v>
          </cell>
          <cell r="AB439">
            <v>113.09685989148831</v>
          </cell>
          <cell r="AC439">
            <v>110.37109564544841</v>
          </cell>
          <cell r="AD439">
            <v>119.26417794106709</v>
          </cell>
          <cell r="AE439">
            <v>124.05972566791911</v>
          </cell>
          <cell r="AF439">
            <v>136.39387475916206</v>
          </cell>
        </row>
        <row r="440">
          <cell r="D440">
            <v>0</v>
          </cell>
          <cell r="E440">
            <v>0.47692321940327392</v>
          </cell>
          <cell r="F440">
            <v>0.46299443085566483</v>
          </cell>
          <cell r="G440">
            <v>0.4920147070296742</v>
          </cell>
          <cell r="H440">
            <v>0.47666325385617536</v>
          </cell>
          <cell r="I440">
            <v>0.48929442852762606</v>
          </cell>
          <cell r="J440">
            <v>0.48514250637480805</v>
          </cell>
          <cell r="K440">
            <v>0.54082241202594061</v>
          </cell>
          <cell r="L440">
            <v>0.499071395569607</v>
          </cell>
          <cell r="M440">
            <v>0.44499434921936765</v>
          </cell>
          <cell r="N440">
            <v>0.35015240570374234</v>
          </cell>
          <cell r="O440">
            <v>-8.8902943445528612E-2</v>
          </cell>
          <cell r="P440">
            <v>0.20959057116196925</v>
          </cell>
          <cell r="Q440">
            <v>0.4852933225352894</v>
          </cell>
          <cell r="R440">
            <v>0.54362412075180389</v>
          </cell>
          <cell r="S440">
            <v>0.62249732395970281</v>
          </cell>
          <cell r="T440">
            <v>0.5541408172952802</v>
          </cell>
          <cell r="U440">
            <v>0.47692321940327392</v>
          </cell>
          <cell r="V440">
            <v>0.47141355441697963</v>
          </cell>
          <cell r="W440">
            <v>0.47666325385617536</v>
          </cell>
          <cell r="X440">
            <v>0.48015119334147105</v>
          </cell>
          <cell r="Y440">
            <v>0.48096239038492367</v>
          </cell>
          <cell r="Z440">
            <v>0.48681539258886364</v>
          </cell>
          <cell r="AA440">
            <v>0.48227819491333218</v>
          </cell>
          <cell r="AB440">
            <v>0.46810349325932654</v>
          </cell>
          <cell r="AC440">
            <v>0.4053788628906847</v>
          </cell>
          <cell r="AD440">
            <v>0.41041839435218302</v>
          </cell>
          <cell r="AE440">
            <v>0.41434295949082045</v>
          </cell>
          <cell r="AF440">
            <v>0.42726280886003026</v>
          </cell>
        </row>
        <row r="441">
          <cell r="D441" t="str">
            <v>Overheads</v>
          </cell>
        </row>
        <row r="442">
          <cell r="D442" t="str">
            <v>Advertisement Exp.</v>
          </cell>
          <cell r="E442">
            <v>170.5</v>
          </cell>
          <cell r="F442">
            <v>0</v>
          </cell>
          <cell r="G442">
            <v>-12.45</v>
          </cell>
          <cell r="H442">
            <v>158.05000000000001</v>
          </cell>
          <cell r="I442">
            <v>279</v>
          </cell>
          <cell r="J442">
            <v>80</v>
          </cell>
          <cell r="K442">
            <v>-5.24</v>
          </cell>
          <cell r="L442">
            <v>353.76</v>
          </cell>
          <cell r="M442">
            <v>-109</v>
          </cell>
          <cell r="N442">
            <v>97.5</v>
          </cell>
          <cell r="O442">
            <v>-38</v>
          </cell>
          <cell r="P442">
            <v>-49.5</v>
          </cell>
          <cell r="Q442">
            <v>-100.5</v>
          </cell>
          <cell r="R442">
            <v>3</v>
          </cell>
          <cell r="S442">
            <v>0</v>
          </cell>
          <cell r="T442">
            <v>-97.5</v>
          </cell>
          <cell r="U442">
            <v>170.5</v>
          </cell>
          <cell r="V442">
            <v>170.5</v>
          </cell>
          <cell r="W442">
            <v>158.05000000000001</v>
          </cell>
          <cell r="X442">
            <v>437.05</v>
          </cell>
          <cell r="Y442">
            <v>517.04999999999995</v>
          </cell>
          <cell r="Z442">
            <v>511.80999999999995</v>
          </cell>
          <cell r="AA442">
            <v>402.80999999999995</v>
          </cell>
          <cell r="AB442">
            <v>500.30999999999995</v>
          </cell>
          <cell r="AC442">
            <v>462.30999999999995</v>
          </cell>
          <cell r="AD442">
            <v>361.80999999999995</v>
          </cell>
          <cell r="AE442">
            <v>364.80999999999995</v>
          </cell>
          <cell r="AF442">
            <v>364.80999999999995</v>
          </cell>
        </row>
        <row r="443">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row>
        <row r="444">
          <cell r="D444" t="str">
            <v>Total Overheads (a+b)</v>
          </cell>
          <cell r="E444">
            <v>170.5</v>
          </cell>
          <cell r="F444">
            <v>0</v>
          </cell>
          <cell r="G444">
            <v>-12.45</v>
          </cell>
          <cell r="H444">
            <v>158.05000000000001</v>
          </cell>
          <cell r="I444">
            <v>279</v>
          </cell>
          <cell r="J444">
            <v>80</v>
          </cell>
          <cell r="K444">
            <v>-5.24</v>
          </cell>
          <cell r="L444">
            <v>353.76</v>
          </cell>
          <cell r="M444">
            <v>-109</v>
          </cell>
          <cell r="N444">
            <v>97.5</v>
          </cell>
          <cell r="O444">
            <v>-38</v>
          </cell>
          <cell r="P444">
            <v>-49.5</v>
          </cell>
          <cell r="Q444">
            <v>-100.5</v>
          </cell>
          <cell r="R444">
            <v>3</v>
          </cell>
          <cell r="S444">
            <v>0</v>
          </cell>
          <cell r="T444">
            <v>-97.5</v>
          </cell>
          <cell r="U444">
            <v>170.5</v>
          </cell>
          <cell r="V444">
            <v>170.5</v>
          </cell>
          <cell r="W444">
            <v>158.05000000000001</v>
          </cell>
          <cell r="X444">
            <v>437.05</v>
          </cell>
          <cell r="Y444">
            <v>517.04999999999995</v>
          </cell>
          <cell r="Z444">
            <v>511.80999999999995</v>
          </cell>
          <cell r="AA444">
            <v>402.80999999999995</v>
          </cell>
          <cell r="AB444">
            <v>500.30999999999995</v>
          </cell>
          <cell r="AC444">
            <v>462.30999999999995</v>
          </cell>
          <cell r="AD444">
            <v>361.80999999999995</v>
          </cell>
          <cell r="AE444">
            <v>364.80999999999995</v>
          </cell>
          <cell r="AF444">
            <v>364.80999999999995</v>
          </cell>
        </row>
        <row r="445">
          <cell r="D445" t="str">
            <v>OPERATING PROFIT (LOSS)</v>
          </cell>
          <cell r="E445">
            <v>-147.90814709686691</v>
          </cell>
          <cell r="F445">
            <v>14.35282735652561</v>
          </cell>
          <cell r="G445">
            <v>25.63599414839527</v>
          </cell>
          <cell r="H445">
            <v>-107.91932559194605</v>
          </cell>
          <cell r="I445">
            <v>-259.36950752747163</v>
          </cell>
          <cell r="J445">
            <v>-66.321355025485616</v>
          </cell>
          <cell r="K445">
            <v>15.408229908817397</v>
          </cell>
          <cell r="L445">
            <v>-310.28263264413988</v>
          </cell>
          <cell r="M445">
            <v>119.4128677717332</v>
          </cell>
          <cell r="N445">
            <v>-88.424049644158998</v>
          </cell>
          <cell r="O445">
            <v>35.274235753960092</v>
          </cell>
          <cell r="P445">
            <v>66.263053881534304</v>
          </cell>
          <cell r="Q445">
            <v>109.39308229561868</v>
          </cell>
          <cell r="R445">
            <v>1.7955477268520266</v>
          </cell>
          <cell r="S445">
            <v>12.334149091242949</v>
          </cell>
          <cell r="T445">
            <v>123.52277911371365</v>
          </cell>
          <cell r="U445">
            <v>-147.90814709686691</v>
          </cell>
          <cell r="V445">
            <v>-133.5553197403413</v>
          </cell>
          <cell r="W445">
            <v>-107.91932559194603</v>
          </cell>
          <cell r="X445">
            <v>-367.28883311941763</v>
          </cell>
          <cell r="Y445">
            <v>-433.61018814490325</v>
          </cell>
          <cell r="Z445">
            <v>-418.20195823608583</v>
          </cell>
          <cell r="AA445">
            <v>-298.78909046435263</v>
          </cell>
          <cell r="AB445">
            <v>-387.21314010851165</v>
          </cell>
          <cell r="AC445">
            <v>-351.93890435455154</v>
          </cell>
          <cell r="AD445">
            <v>-242.54582205893286</v>
          </cell>
          <cell r="AE445">
            <v>-240.75027433208083</v>
          </cell>
          <cell r="AF445">
            <v>-228.41612524083789</v>
          </cell>
        </row>
        <row r="448">
          <cell r="D448">
            <v>4</v>
          </cell>
          <cell r="E448">
            <v>5</v>
          </cell>
          <cell r="F448">
            <v>6</v>
          </cell>
          <cell r="G448">
            <v>7</v>
          </cell>
          <cell r="H448">
            <v>8</v>
          </cell>
          <cell r="I448">
            <v>9</v>
          </cell>
          <cell r="J448">
            <v>10</v>
          </cell>
          <cell r="K448">
            <v>11</v>
          </cell>
          <cell r="L448">
            <v>12</v>
          </cell>
          <cell r="M448">
            <v>13</v>
          </cell>
          <cell r="N448">
            <v>14</v>
          </cell>
          <cell r="O448">
            <v>15</v>
          </cell>
          <cell r="P448">
            <v>16</v>
          </cell>
          <cell r="Q448">
            <v>17</v>
          </cell>
          <cell r="R448">
            <v>18</v>
          </cell>
          <cell r="S448">
            <v>19</v>
          </cell>
          <cell r="T448">
            <v>20</v>
          </cell>
          <cell r="U448">
            <v>21</v>
          </cell>
          <cell r="V448">
            <v>22</v>
          </cell>
          <cell r="W448">
            <v>23</v>
          </cell>
          <cell r="X448">
            <v>24</v>
          </cell>
          <cell r="Y448">
            <v>25</v>
          </cell>
          <cell r="Z448">
            <v>26</v>
          </cell>
          <cell r="AA448">
            <v>27</v>
          </cell>
          <cell r="AB448">
            <v>28</v>
          </cell>
          <cell r="AC448">
            <v>29</v>
          </cell>
          <cell r="AD448">
            <v>30</v>
          </cell>
          <cell r="AE448">
            <v>31</v>
          </cell>
          <cell r="AF448">
            <v>32</v>
          </cell>
        </row>
        <row r="449">
          <cell r="E449" t="str">
            <v>Actual</v>
          </cell>
          <cell r="F449" t="str">
            <v>Actual</v>
          </cell>
          <cell r="G449" t="str">
            <v>Actual</v>
          </cell>
          <cell r="H449" t="str">
            <v>Actual</v>
          </cell>
          <cell r="I449" t="str">
            <v>Actual</v>
          </cell>
          <cell r="J449" t="str">
            <v>Actual</v>
          </cell>
          <cell r="K449" t="str">
            <v>Actual</v>
          </cell>
          <cell r="L449" t="str">
            <v>Actual</v>
          </cell>
          <cell r="M449" t="str">
            <v>Actual</v>
          </cell>
          <cell r="N449" t="str">
            <v>Actual</v>
          </cell>
          <cell r="O449" t="str">
            <v>Actual</v>
          </cell>
          <cell r="P449" t="str">
            <v>Actual</v>
          </cell>
          <cell r="Q449" t="str">
            <v>Actual</v>
          </cell>
          <cell r="R449" t="str">
            <v>Actual</v>
          </cell>
          <cell r="S449" t="str">
            <v>Actual</v>
          </cell>
          <cell r="T449" t="str">
            <v>Actual</v>
          </cell>
          <cell r="U449" t="str">
            <v>Cumu Aud</v>
          </cell>
          <cell r="V449" t="str">
            <v>Cumu Aud</v>
          </cell>
          <cell r="W449" t="str">
            <v>Cumu Aud</v>
          </cell>
          <cell r="X449" t="str">
            <v>Cumu Aud</v>
          </cell>
          <cell r="Y449" t="str">
            <v>Cumu Aud</v>
          </cell>
          <cell r="Z449" t="str">
            <v>Cumu Aud</v>
          </cell>
          <cell r="AA449" t="str">
            <v>Cumu Aud</v>
          </cell>
          <cell r="AB449" t="str">
            <v>Cumu Aud</v>
          </cell>
          <cell r="AC449" t="str">
            <v>Cumu Aud</v>
          </cell>
          <cell r="AD449" t="str">
            <v>Cumu Aud</v>
          </cell>
          <cell r="AE449" t="str">
            <v>Cumu Aud</v>
          </cell>
          <cell r="AF449" t="str">
            <v>Cumu Aud</v>
          </cell>
        </row>
        <row r="450">
          <cell r="D450" t="str">
            <v>Particulars</v>
          </cell>
          <cell r="E450">
            <v>41286</v>
          </cell>
          <cell r="F450">
            <v>41317</v>
          </cell>
          <cell r="G450">
            <v>41345</v>
          </cell>
          <cell r="H450" t="str">
            <v>Q-1</v>
          </cell>
          <cell r="I450">
            <v>41376</v>
          </cell>
          <cell r="J450">
            <v>41406</v>
          </cell>
          <cell r="K450">
            <v>41437</v>
          </cell>
          <cell r="L450" t="str">
            <v>Q-2</v>
          </cell>
          <cell r="M450">
            <v>41467</v>
          </cell>
          <cell r="N450">
            <v>41498</v>
          </cell>
          <cell r="O450">
            <v>41529</v>
          </cell>
          <cell r="P450" t="str">
            <v>Q-3</v>
          </cell>
          <cell r="Q450">
            <v>41559</v>
          </cell>
          <cell r="R450">
            <v>41590</v>
          </cell>
          <cell r="S450">
            <v>41620</v>
          </cell>
          <cell r="T450" t="str">
            <v>Q-4</v>
          </cell>
          <cell r="U450">
            <v>41286</v>
          </cell>
          <cell r="V450">
            <v>41317</v>
          </cell>
          <cell r="W450">
            <v>41345</v>
          </cell>
          <cell r="X450">
            <v>41376</v>
          </cell>
          <cell r="Y450">
            <v>41406</v>
          </cell>
          <cell r="Z450">
            <v>41437</v>
          </cell>
          <cell r="AA450">
            <v>41467</v>
          </cell>
          <cell r="AB450">
            <v>41498</v>
          </cell>
          <cell r="AC450">
            <v>41529</v>
          </cell>
          <cell r="AD450">
            <v>41559</v>
          </cell>
          <cell r="AE450">
            <v>41590</v>
          </cell>
          <cell r="AF450">
            <v>41620</v>
          </cell>
        </row>
        <row r="452">
          <cell r="D452" t="str">
            <v>Sales</v>
          </cell>
          <cell r="E452">
            <v>-0.47</v>
          </cell>
          <cell r="F452">
            <v>-0.49</v>
          </cell>
          <cell r="G452">
            <v>0</v>
          </cell>
          <cell r="H452">
            <v>-0.96</v>
          </cell>
          <cell r="I452">
            <v>0</v>
          </cell>
          <cell r="J452">
            <v>-0.11577459999999999</v>
          </cell>
          <cell r="K452">
            <v>-0.15052559999999998</v>
          </cell>
          <cell r="L452">
            <v>-0.26630019999999999</v>
          </cell>
          <cell r="M452">
            <v>-0.66</v>
          </cell>
          <cell r="N452">
            <v>-0.09</v>
          </cell>
          <cell r="O452">
            <v>-0.12</v>
          </cell>
          <cell r="P452">
            <v>-0.87</v>
          </cell>
          <cell r="Q452">
            <v>-9.3358600000000014E-2</v>
          </cell>
          <cell r="R452">
            <v>-2.1602400000000001E-2</v>
          </cell>
          <cell r="S452">
            <v>-0.10323490000000002</v>
          </cell>
          <cell r="T452">
            <v>-0.21819590000000003</v>
          </cell>
          <cell r="U452">
            <v>-0.47</v>
          </cell>
          <cell r="V452">
            <v>-0.96</v>
          </cell>
          <cell r="W452">
            <v>-0.96</v>
          </cell>
          <cell r="X452">
            <v>-0.96</v>
          </cell>
          <cell r="Y452">
            <v>-1.0757745999999999</v>
          </cell>
          <cell r="Z452">
            <v>-1.2263001999999998</v>
          </cell>
          <cell r="AA452">
            <v>-1.8863002</v>
          </cell>
          <cell r="AB452">
            <v>-1.9763002000000001</v>
          </cell>
          <cell r="AC452">
            <v>-2.0963001999999999</v>
          </cell>
          <cell r="AD452">
            <v>-2.1896588000000001</v>
          </cell>
          <cell r="AE452">
            <v>-2.2112612</v>
          </cell>
          <cell r="AF452">
            <v>-2.3144960999999999</v>
          </cell>
        </row>
        <row r="453">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row>
        <row r="454">
          <cell r="D454" t="str">
            <v>Cost of Goods Sold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row>
        <row r="455">
          <cell r="D455" t="str">
            <v>ED Savings</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row>
        <row r="456">
          <cell r="D456" t="str">
            <v>PRISM II &amp; PSM Savings</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row>
        <row r="458">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row>
        <row r="459">
          <cell r="D459" t="str">
            <v>Contribution</v>
          </cell>
          <cell r="E459">
            <v>-0.47</v>
          </cell>
          <cell r="F459">
            <v>-0.49</v>
          </cell>
          <cell r="G459">
            <v>0</v>
          </cell>
          <cell r="H459">
            <v>-0.96</v>
          </cell>
          <cell r="I459">
            <v>0</v>
          </cell>
          <cell r="J459">
            <v>-0.11577459999999999</v>
          </cell>
          <cell r="K459">
            <v>-0.15052559999999998</v>
          </cell>
          <cell r="L459">
            <v>-0.26630019999999999</v>
          </cell>
          <cell r="M459">
            <v>-0.66</v>
          </cell>
          <cell r="N459">
            <v>-0.09</v>
          </cell>
          <cell r="O459">
            <v>-0.12</v>
          </cell>
          <cell r="P459">
            <v>-0.87</v>
          </cell>
          <cell r="Q459">
            <v>-9.3358600000000014E-2</v>
          </cell>
          <cell r="R459">
            <v>-2.1602400000000001E-2</v>
          </cell>
          <cell r="S459">
            <v>-0.10323490000000002</v>
          </cell>
          <cell r="T459">
            <v>-0.21819590000000003</v>
          </cell>
          <cell r="U459">
            <v>-0.47</v>
          </cell>
          <cell r="V459">
            <v>-0.96</v>
          </cell>
          <cell r="W459">
            <v>-0.96</v>
          </cell>
          <cell r="X459">
            <v>-0.96</v>
          </cell>
          <cell r="Y459">
            <v>-1.0757745999999999</v>
          </cell>
          <cell r="Z459">
            <v>-1.2263001999999998</v>
          </cell>
          <cell r="AA459">
            <v>-1.8863002</v>
          </cell>
          <cell r="AB459">
            <v>-1.9763002000000001</v>
          </cell>
          <cell r="AC459">
            <v>-2.0963001999999999</v>
          </cell>
          <cell r="AD459">
            <v>-2.1896588000000001</v>
          </cell>
          <cell r="AE459">
            <v>-2.2112612</v>
          </cell>
          <cell r="AF459">
            <v>-2.3144960999999999</v>
          </cell>
        </row>
        <row r="460">
          <cell r="D460">
            <v>0</v>
          </cell>
          <cell r="E460">
            <v>1</v>
          </cell>
          <cell r="F460">
            <v>1</v>
          </cell>
          <cell r="G460" t="e">
            <v>#DIV/0!</v>
          </cell>
          <cell r="H460">
            <v>1</v>
          </cell>
          <cell r="I460" t="e">
            <v>#DIV/0!</v>
          </cell>
          <cell r="J460">
            <v>1</v>
          </cell>
          <cell r="K460">
            <v>1</v>
          </cell>
          <cell r="L460">
            <v>1</v>
          </cell>
          <cell r="M460">
            <v>1</v>
          </cell>
          <cell r="N460">
            <v>1</v>
          </cell>
          <cell r="O460">
            <v>1</v>
          </cell>
          <cell r="P460">
            <v>1</v>
          </cell>
          <cell r="Q460">
            <v>1</v>
          </cell>
          <cell r="R460">
            <v>1</v>
          </cell>
          <cell r="S460">
            <v>1</v>
          </cell>
          <cell r="T460">
            <v>1</v>
          </cell>
          <cell r="U460">
            <v>1</v>
          </cell>
          <cell r="V460">
            <v>1</v>
          </cell>
          <cell r="W460">
            <v>1</v>
          </cell>
          <cell r="X460">
            <v>1</v>
          </cell>
          <cell r="Y460">
            <v>1</v>
          </cell>
          <cell r="Z460">
            <v>1</v>
          </cell>
          <cell r="AA460">
            <v>1</v>
          </cell>
          <cell r="AB460">
            <v>1</v>
          </cell>
          <cell r="AC460">
            <v>1</v>
          </cell>
          <cell r="AD460">
            <v>1</v>
          </cell>
          <cell r="AE460">
            <v>1</v>
          </cell>
          <cell r="AF460">
            <v>1</v>
          </cell>
        </row>
        <row r="461">
          <cell r="D461" t="str">
            <v>Overheads</v>
          </cell>
        </row>
        <row r="462">
          <cell r="D462" t="str">
            <v>Advertisement Exp.</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row>
        <row r="463">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row>
        <row r="464">
          <cell r="D464" t="str">
            <v>Total Overheads (a+b)</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row>
        <row r="465">
          <cell r="D465" t="str">
            <v>OPERATING PROFIT (LOSS)</v>
          </cell>
          <cell r="E465">
            <v>-0.47</v>
          </cell>
          <cell r="F465">
            <v>-0.49</v>
          </cell>
          <cell r="G465">
            <v>0</v>
          </cell>
          <cell r="H465">
            <v>-0.96</v>
          </cell>
          <cell r="I465">
            <v>0</v>
          </cell>
          <cell r="J465">
            <v>-0.11577459999999999</v>
          </cell>
          <cell r="K465">
            <v>-0.15052559999999998</v>
          </cell>
          <cell r="L465">
            <v>-0.26630019999999999</v>
          </cell>
          <cell r="M465">
            <v>-0.66</v>
          </cell>
          <cell r="N465">
            <v>-0.09</v>
          </cell>
          <cell r="O465">
            <v>-0.12</v>
          </cell>
          <cell r="P465">
            <v>-0.87</v>
          </cell>
          <cell r="Q465">
            <v>-9.3358600000000014E-2</v>
          </cell>
          <cell r="R465">
            <v>-2.1602400000000001E-2</v>
          </cell>
          <cell r="S465">
            <v>-0.10323490000000002</v>
          </cell>
          <cell r="T465">
            <v>-0.21819590000000003</v>
          </cell>
          <cell r="U465">
            <v>-0.47</v>
          </cell>
          <cell r="V465">
            <v>-0.96</v>
          </cell>
          <cell r="W465">
            <v>-0.96</v>
          </cell>
          <cell r="X465">
            <v>-0.96</v>
          </cell>
          <cell r="Y465">
            <v>-1.0757745999999999</v>
          </cell>
          <cell r="Z465">
            <v>-1.2263001999999998</v>
          </cell>
          <cell r="AA465">
            <v>-1.8863002</v>
          </cell>
          <cell r="AB465">
            <v>-1.9763002000000001</v>
          </cell>
          <cell r="AC465">
            <v>-2.0963001999999999</v>
          </cell>
          <cell r="AD465">
            <v>-2.1896588000000001</v>
          </cell>
          <cell r="AE465">
            <v>-2.2112612</v>
          </cell>
          <cell r="AF465">
            <v>-2.3144960999999999</v>
          </cell>
        </row>
      </sheetData>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
      <sheetName val="ACTIVO FIJO"/>
      <sheetName val="REPOMO"/>
      <sheetName val="RESUMEN"/>
      <sheetName val="POLIZA"/>
      <sheetName val="ESTADO DE RESULTADOS"/>
      <sheetName val="MATRIZ"/>
    </sheetNames>
    <sheetDataSet>
      <sheetData sheetId="0"/>
      <sheetData sheetId="1"/>
      <sheetData sheetId="2"/>
      <sheetData sheetId="3" refreshError="1">
        <row r="72">
          <cell r="A72" t="str">
            <v>TERRENOS</v>
          </cell>
          <cell r="B72" t="str">
            <v>IMPORTE</v>
          </cell>
          <cell r="C72" t="str">
            <v>IMPORTE</v>
          </cell>
          <cell r="D72" t="str">
            <v>INPC</v>
          </cell>
          <cell r="E72" t="str">
            <v>INPC</v>
          </cell>
          <cell r="F72" t="str">
            <v>FACTOR DE</v>
          </cell>
          <cell r="G72" t="str">
            <v>INVERSION</v>
          </cell>
          <cell r="H72" t="str">
            <v>EFECTO DE</v>
          </cell>
          <cell r="K72" t="str">
            <v>IMP. ACT.</v>
          </cell>
        </row>
        <row r="73">
          <cell r="B73" t="str">
            <v>ACT. ALTAS</v>
          </cell>
          <cell r="C73" t="str">
            <v>INI MES</v>
          </cell>
          <cell r="D73" t="str">
            <v>MES ANT.</v>
          </cell>
          <cell r="E73" t="str">
            <v>MES ACTUAL</v>
          </cell>
          <cell r="F73" t="str">
            <v>ACTUALIZACION</v>
          </cell>
          <cell r="G73" t="str">
            <v>ACTUALIZADA</v>
          </cell>
          <cell r="H73" t="str">
            <v>ACTUALIZACION</v>
          </cell>
          <cell r="I73" t="str">
            <v>ALTAS</v>
          </cell>
          <cell r="J73" t="str">
            <v>BAJAS</v>
          </cell>
          <cell r="K73" t="str">
            <v>FIN DE MES</v>
          </cell>
        </row>
        <row r="74">
          <cell r="A74" t="str">
            <v>ENERO</v>
          </cell>
          <cell r="B74">
            <v>0</v>
          </cell>
          <cell r="C74">
            <v>31112323.110000003</v>
          </cell>
          <cell r="D74">
            <v>308.91899999999998</v>
          </cell>
          <cell r="E74">
            <v>313.06700000000001</v>
          </cell>
          <cell r="F74">
            <v>1.0134274680417845</v>
          </cell>
          <cell r="G74">
            <v>31530082.834265202</v>
          </cell>
          <cell r="H74">
            <v>417759.72426519915</v>
          </cell>
          <cell r="J74">
            <v>0</v>
          </cell>
          <cell r="K74">
            <v>31530082.834265202</v>
          </cell>
        </row>
        <row r="75">
          <cell r="A75" t="str">
            <v>FEBRERO</v>
          </cell>
          <cell r="B75">
            <v>0</v>
          </cell>
          <cell r="C75">
            <v>31530082.834265202</v>
          </cell>
          <cell r="D75">
            <v>313.06700000000001</v>
          </cell>
          <cell r="E75">
            <v>315.84399999999999</v>
          </cell>
          <cell r="F75">
            <v>1.0088703057173065</v>
          </cell>
          <cell r="G75">
            <v>31809764.308297131</v>
          </cell>
          <cell r="H75">
            <v>279681.47403192893</v>
          </cell>
          <cell r="J75">
            <v>0</v>
          </cell>
          <cell r="K75">
            <v>31809764.308297131</v>
          </cell>
        </row>
        <row r="76">
          <cell r="A76" t="str">
            <v>MARZO</v>
          </cell>
          <cell r="B76">
            <v>0</v>
          </cell>
          <cell r="C76">
            <v>31809764.308297131</v>
          </cell>
          <cell r="D76">
            <v>315.84399999999999</v>
          </cell>
          <cell r="E76">
            <v>317.59500000000003</v>
          </cell>
          <cell r="F76">
            <v>1.0055438760907285</v>
          </cell>
          <cell r="G76">
            <v>31986113.700097609</v>
          </cell>
          <cell r="H76">
            <v>176349.3918004781</v>
          </cell>
          <cell r="J76">
            <v>0</v>
          </cell>
          <cell r="K76">
            <v>31986113.700097609</v>
          </cell>
        </row>
        <row r="77">
          <cell r="A77" t="str">
            <v>ABRIL</v>
          </cell>
          <cell r="B77">
            <v>0</v>
          </cell>
          <cell r="C77">
            <v>31986113.700097609</v>
          </cell>
          <cell r="D77">
            <v>317.59500000000003</v>
          </cell>
          <cell r="F77">
            <v>0</v>
          </cell>
          <cell r="G77">
            <v>0</v>
          </cell>
          <cell r="H77">
            <v>-31986113.700097609</v>
          </cell>
          <cell r="J77">
            <v>0</v>
          </cell>
          <cell r="K77">
            <v>0</v>
          </cell>
        </row>
        <row r="78">
          <cell r="A78" t="str">
            <v>MAYO</v>
          </cell>
          <cell r="B78">
            <v>0</v>
          </cell>
          <cell r="C78">
            <v>0</v>
          </cell>
          <cell r="D78">
            <v>0</v>
          </cell>
          <cell r="F78">
            <v>0</v>
          </cell>
          <cell r="G78">
            <v>0</v>
          </cell>
          <cell r="H78">
            <v>0</v>
          </cell>
          <cell r="J78">
            <v>0</v>
          </cell>
          <cell r="K78">
            <v>0</v>
          </cell>
        </row>
        <row r="79">
          <cell r="A79" t="str">
            <v>JUNIO</v>
          </cell>
          <cell r="B79">
            <v>0</v>
          </cell>
          <cell r="C79">
            <v>0</v>
          </cell>
          <cell r="D79">
            <v>0</v>
          </cell>
          <cell r="F79">
            <v>0</v>
          </cell>
          <cell r="G79">
            <v>0</v>
          </cell>
          <cell r="H79">
            <v>0</v>
          </cell>
          <cell r="J79">
            <v>0</v>
          </cell>
          <cell r="K79">
            <v>0</v>
          </cell>
        </row>
        <row r="80">
          <cell r="A80" t="str">
            <v>JULIO</v>
          </cell>
          <cell r="B80">
            <v>0</v>
          </cell>
          <cell r="C80">
            <v>0</v>
          </cell>
          <cell r="D80">
            <v>0</v>
          </cell>
          <cell r="F80">
            <v>0</v>
          </cell>
          <cell r="G80">
            <v>0</v>
          </cell>
          <cell r="H80">
            <v>0</v>
          </cell>
          <cell r="J80">
            <v>0</v>
          </cell>
          <cell r="K80">
            <v>0</v>
          </cell>
        </row>
        <row r="81">
          <cell r="A81" t="str">
            <v>AGOSTO</v>
          </cell>
          <cell r="B81">
            <v>0</v>
          </cell>
          <cell r="C81">
            <v>0</v>
          </cell>
          <cell r="D81">
            <v>0</v>
          </cell>
          <cell r="F81">
            <v>0</v>
          </cell>
          <cell r="G81">
            <v>0</v>
          </cell>
          <cell r="H81">
            <v>0</v>
          </cell>
          <cell r="J81">
            <v>0</v>
          </cell>
          <cell r="K81">
            <v>0</v>
          </cell>
        </row>
        <row r="82">
          <cell r="A82" t="str">
            <v>SEPTIEMBRE</v>
          </cell>
          <cell r="B82">
            <v>0</v>
          </cell>
          <cell r="C82">
            <v>0</v>
          </cell>
          <cell r="D82">
            <v>0</v>
          </cell>
          <cell r="F82">
            <v>0</v>
          </cell>
          <cell r="G82">
            <v>0</v>
          </cell>
          <cell r="H82">
            <v>0</v>
          </cell>
          <cell r="J82">
            <v>0</v>
          </cell>
          <cell r="K82">
            <v>0</v>
          </cell>
        </row>
        <row r="83">
          <cell r="A83" t="str">
            <v>OCTUBRE</v>
          </cell>
          <cell r="B83">
            <v>0</v>
          </cell>
          <cell r="C83">
            <v>0</v>
          </cell>
          <cell r="D83">
            <v>0</v>
          </cell>
          <cell r="F83">
            <v>0</v>
          </cell>
          <cell r="G83">
            <v>0</v>
          </cell>
          <cell r="H83">
            <v>0</v>
          </cell>
          <cell r="J83">
            <v>0</v>
          </cell>
          <cell r="K83">
            <v>0</v>
          </cell>
        </row>
        <row r="84">
          <cell r="A84" t="str">
            <v>NOVIEMBRE</v>
          </cell>
          <cell r="B84">
            <v>0</v>
          </cell>
          <cell r="C84">
            <v>0</v>
          </cell>
          <cell r="D84">
            <v>0</v>
          </cell>
          <cell r="F84">
            <v>0</v>
          </cell>
          <cell r="G84">
            <v>0</v>
          </cell>
          <cell r="H84">
            <v>0</v>
          </cell>
          <cell r="J84">
            <v>0</v>
          </cell>
          <cell r="K84">
            <v>0</v>
          </cell>
        </row>
        <row r="85">
          <cell r="A85" t="str">
            <v>DICIEMBRE</v>
          </cell>
          <cell r="B85">
            <v>0</v>
          </cell>
          <cell r="C85">
            <v>0</v>
          </cell>
          <cell r="D85">
            <v>0</v>
          </cell>
          <cell r="F85">
            <v>0</v>
          </cell>
          <cell r="G85">
            <v>0</v>
          </cell>
          <cell r="H85">
            <v>0</v>
          </cell>
          <cell r="J85">
            <v>0</v>
          </cell>
          <cell r="K85">
            <v>0</v>
          </cell>
        </row>
        <row r="86">
          <cell r="H86">
            <v>-31112323.110000003</v>
          </cell>
          <cell r="J86">
            <v>0</v>
          </cell>
        </row>
      </sheetData>
      <sheetData sheetId="4"/>
      <sheetData sheetId="5"/>
      <sheetData sheetId="6"/>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S"/>
      <sheetName val="GRF"/>
      <sheetName val="INN"/>
      <sheetName val="PUB"/>
      <sheetName val="IS Mo"/>
      <sheetName val="Fiscal View"/>
      <sheetName val="Simp IS"/>
    </sheetNames>
    <sheetDataSet>
      <sheetData sheetId="0"/>
      <sheetData sheetId="1"/>
      <sheetData sheetId="2"/>
      <sheetData sheetId="3"/>
      <sheetData sheetId="4">
        <row r="1">
          <cell r="A1" t="str">
            <v>The GTS Companies</v>
          </cell>
        </row>
        <row r="2">
          <cell r="A2" t="str">
            <v>Income Statement by Business Unit</v>
          </cell>
        </row>
        <row r="3">
          <cell r="A3" t="str">
            <v>For the Month Ended August 31, 2001</v>
          </cell>
        </row>
        <row r="4">
          <cell r="A4" t="str">
            <v>($ in '000's)</v>
          </cell>
        </row>
        <row r="6">
          <cell r="C6" t="str">
            <v>TOTAL</v>
          </cell>
          <cell r="J6" t="str">
            <v>GRAPHICS</v>
          </cell>
          <cell r="Q6" t="str">
            <v>PUBLISHING SERVICES</v>
          </cell>
          <cell r="X6" t="str">
            <v>INNOVA</v>
          </cell>
          <cell r="AD6" t="str">
            <v>Full Year</v>
          </cell>
          <cell r="AE6" t="str">
            <v>Full Year</v>
          </cell>
        </row>
        <row r="7">
          <cell r="C7">
            <v>37104</v>
          </cell>
          <cell r="D7">
            <v>37104</v>
          </cell>
          <cell r="G7">
            <v>37104</v>
          </cell>
          <cell r="H7">
            <v>36739</v>
          </cell>
          <cell r="J7">
            <v>37104</v>
          </cell>
          <cell r="K7">
            <v>37104</v>
          </cell>
          <cell r="N7">
            <v>37104</v>
          </cell>
          <cell r="O7">
            <v>36739</v>
          </cell>
          <cell r="Q7">
            <v>37104</v>
          </cell>
          <cell r="R7">
            <v>37104</v>
          </cell>
          <cell r="U7">
            <v>37104</v>
          </cell>
          <cell r="V7">
            <v>36739</v>
          </cell>
          <cell r="X7">
            <v>37104</v>
          </cell>
          <cell r="Y7">
            <v>37104</v>
          </cell>
          <cell r="AB7">
            <v>37104</v>
          </cell>
          <cell r="AC7">
            <v>36739</v>
          </cell>
          <cell r="AD7">
            <v>2001</v>
          </cell>
          <cell r="AE7">
            <v>2000</v>
          </cell>
        </row>
        <row r="8">
          <cell r="C8" t="str">
            <v>Actual</v>
          </cell>
          <cell r="D8" t="str">
            <v>Forecast</v>
          </cell>
          <cell r="E8" t="str">
            <v>$ Var</v>
          </cell>
          <cell r="F8" t="str">
            <v>% Var</v>
          </cell>
          <cell r="G8" t="str">
            <v>Budget</v>
          </cell>
          <cell r="H8" t="str">
            <v>Actual</v>
          </cell>
          <cell r="J8" t="str">
            <v>Actual</v>
          </cell>
          <cell r="K8" t="str">
            <v>Forecast</v>
          </cell>
          <cell r="L8" t="str">
            <v>$ Var</v>
          </cell>
          <cell r="M8" t="str">
            <v>% Var</v>
          </cell>
          <cell r="N8" t="str">
            <v>Budget</v>
          </cell>
          <cell r="O8" t="str">
            <v>Actual</v>
          </cell>
          <cell r="Q8" t="str">
            <v>Actual</v>
          </cell>
          <cell r="R8" t="str">
            <v>Forecast</v>
          </cell>
          <cell r="S8" t="str">
            <v>$ Var</v>
          </cell>
          <cell r="T8" t="str">
            <v>% Var</v>
          </cell>
          <cell r="U8" t="str">
            <v>Budget</v>
          </cell>
          <cell r="V8" t="str">
            <v>Actual</v>
          </cell>
          <cell r="X8" t="str">
            <v>Actual</v>
          </cell>
          <cell r="Y8" t="str">
            <v>Forecast</v>
          </cell>
          <cell r="Z8" t="str">
            <v>$ Var</v>
          </cell>
          <cell r="AA8" t="str">
            <v>% Var</v>
          </cell>
          <cell r="AB8" t="str">
            <v>Budget</v>
          </cell>
          <cell r="AC8" t="str">
            <v>Actual</v>
          </cell>
          <cell r="AD8" t="str">
            <v>Forecast</v>
          </cell>
          <cell r="AE8" t="str">
            <v>Actual</v>
          </cell>
        </row>
        <row r="10">
          <cell r="AH10">
            <v>1</v>
          </cell>
          <cell r="AI10">
            <v>2</v>
          </cell>
          <cell r="AJ10">
            <v>3</v>
          </cell>
          <cell r="AK10">
            <v>4</v>
          </cell>
          <cell r="AL10">
            <v>5</v>
          </cell>
          <cell r="AM10">
            <v>6</v>
          </cell>
          <cell r="AN10">
            <v>7</v>
          </cell>
          <cell r="AO10">
            <v>8</v>
          </cell>
          <cell r="AP10">
            <v>9</v>
          </cell>
          <cell r="AQ10">
            <v>10</v>
          </cell>
          <cell r="AR10">
            <v>11</v>
          </cell>
          <cell r="AS10">
            <v>12</v>
          </cell>
          <cell r="AW10">
            <v>1</v>
          </cell>
          <cell r="AX10">
            <v>2</v>
          </cell>
          <cell r="AY10">
            <v>3</v>
          </cell>
          <cell r="AZ10">
            <v>4</v>
          </cell>
          <cell r="BA10">
            <v>5</v>
          </cell>
          <cell r="BB10">
            <v>6</v>
          </cell>
          <cell r="BC10">
            <v>7</v>
          </cell>
          <cell r="BD10">
            <v>8</v>
          </cell>
          <cell r="BE10">
            <v>9</v>
          </cell>
          <cell r="BF10">
            <v>10</v>
          </cell>
          <cell r="BG10">
            <v>11</v>
          </cell>
          <cell r="BH10">
            <v>12</v>
          </cell>
          <cell r="BL10">
            <v>1</v>
          </cell>
          <cell r="BM10">
            <v>2</v>
          </cell>
          <cell r="BN10">
            <v>3</v>
          </cell>
          <cell r="BO10">
            <v>4</v>
          </cell>
          <cell r="BP10">
            <v>5</v>
          </cell>
          <cell r="BQ10">
            <v>6</v>
          </cell>
          <cell r="BR10">
            <v>7</v>
          </cell>
          <cell r="BS10">
            <v>8</v>
          </cell>
          <cell r="BT10">
            <v>9</v>
          </cell>
          <cell r="BU10">
            <v>10</v>
          </cell>
          <cell r="BV10">
            <v>11</v>
          </cell>
          <cell r="BW10">
            <v>12</v>
          </cell>
          <cell r="CP10">
            <v>1</v>
          </cell>
          <cell r="CQ10">
            <v>2</v>
          </cell>
          <cell r="CR10">
            <v>3</v>
          </cell>
          <cell r="CS10">
            <v>4</v>
          </cell>
          <cell r="CT10">
            <v>5</v>
          </cell>
          <cell r="CU10">
            <v>6</v>
          </cell>
          <cell r="CV10">
            <v>7</v>
          </cell>
          <cell r="CW10">
            <v>8</v>
          </cell>
          <cell r="CX10">
            <v>9</v>
          </cell>
          <cell r="CY10">
            <v>10</v>
          </cell>
          <cell r="CZ10">
            <v>11</v>
          </cell>
          <cell r="DA10">
            <v>12</v>
          </cell>
          <cell r="DE10">
            <v>1</v>
          </cell>
          <cell r="DF10">
            <v>2</v>
          </cell>
          <cell r="DG10">
            <v>3</v>
          </cell>
          <cell r="DH10">
            <v>4</v>
          </cell>
          <cell r="DI10">
            <v>5</v>
          </cell>
          <cell r="DJ10">
            <v>6</v>
          </cell>
          <cell r="DK10">
            <v>7</v>
          </cell>
          <cell r="DL10">
            <v>8</v>
          </cell>
          <cell r="DM10">
            <v>9</v>
          </cell>
          <cell r="DN10">
            <v>10</v>
          </cell>
          <cell r="DO10">
            <v>11</v>
          </cell>
          <cell r="DP10">
            <v>12</v>
          </cell>
          <cell r="DT10">
            <v>1</v>
          </cell>
          <cell r="DU10">
            <v>2</v>
          </cell>
          <cell r="DV10">
            <v>3</v>
          </cell>
          <cell r="DW10">
            <v>4</v>
          </cell>
          <cell r="DX10">
            <v>5</v>
          </cell>
          <cell r="DY10">
            <v>6</v>
          </cell>
          <cell r="DZ10">
            <v>7</v>
          </cell>
          <cell r="EA10">
            <v>8</v>
          </cell>
          <cell r="EB10">
            <v>9</v>
          </cell>
          <cell r="EC10">
            <v>10</v>
          </cell>
          <cell r="ED10">
            <v>11</v>
          </cell>
          <cell r="EE10">
            <v>12</v>
          </cell>
          <cell r="EX10">
            <v>1</v>
          </cell>
          <cell r="EY10">
            <v>2</v>
          </cell>
          <cell r="EZ10">
            <v>3</v>
          </cell>
          <cell r="FA10">
            <v>4</v>
          </cell>
          <cell r="FB10">
            <v>5</v>
          </cell>
          <cell r="FC10">
            <v>6</v>
          </cell>
          <cell r="FD10">
            <v>7</v>
          </cell>
          <cell r="FE10">
            <v>8</v>
          </cell>
          <cell r="FF10">
            <v>9</v>
          </cell>
          <cell r="FG10">
            <v>10</v>
          </cell>
          <cell r="FH10">
            <v>11</v>
          </cell>
          <cell r="FI10">
            <v>12</v>
          </cell>
          <cell r="FM10">
            <v>1</v>
          </cell>
          <cell r="FN10">
            <v>2</v>
          </cell>
          <cell r="FO10">
            <v>3</v>
          </cell>
          <cell r="FP10">
            <v>4</v>
          </cell>
          <cell r="FQ10">
            <v>5</v>
          </cell>
          <cell r="FR10">
            <v>6</v>
          </cell>
          <cell r="FS10">
            <v>7</v>
          </cell>
          <cell r="FT10">
            <v>8</v>
          </cell>
          <cell r="FU10">
            <v>9</v>
          </cell>
          <cell r="FV10">
            <v>10</v>
          </cell>
          <cell r="FW10">
            <v>11</v>
          </cell>
          <cell r="FX10">
            <v>12</v>
          </cell>
          <cell r="GB10">
            <v>1</v>
          </cell>
          <cell r="GC10">
            <v>2</v>
          </cell>
          <cell r="GD10">
            <v>3</v>
          </cell>
          <cell r="GE10">
            <v>4</v>
          </cell>
          <cell r="GF10">
            <v>5</v>
          </cell>
          <cell r="GG10">
            <v>6</v>
          </cell>
          <cell r="GH10">
            <v>7</v>
          </cell>
          <cell r="GI10">
            <v>8</v>
          </cell>
          <cell r="GJ10">
            <v>9</v>
          </cell>
          <cell r="GK10">
            <v>10</v>
          </cell>
          <cell r="GL10">
            <v>11</v>
          </cell>
          <cell r="GM10">
            <v>12</v>
          </cell>
        </row>
        <row r="11">
          <cell r="A11" t="str">
            <v>College Revenue</v>
          </cell>
          <cell r="C11">
            <v>0</v>
          </cell>
          <cell r="D11">
            <v>0</v>
          </cell>
          <cell r="E11">
            <v>0</v>
          </cell>
          <cell r="F11" t="str">
            <v>n/a</v>
          </cell>
          <cell r="G11">
            <v>277.10980961718417</v>
          </cell>
          <cell r="H11">
            <v>169.08809436288877</v>
          </cell>
          <cell r="J11">
            <v>0</v>
          </cell>
          <cell r="K11">
            <v>0</v>
          </cell>
          <cell r="L11">
            <v>0</v>
          </cell>
          <cell r="M11" t="str">
            <v>n/a</v>
          </cell>
          <cell r="N11">
            <v>248.1098096171842</v>
          </cell>
          <cell r="O11">
            <v>169.08809436288877</v>
          </cell>
          <cell r="Q11">
            <v>0</v>
          </cell>
          <cell r="R11">
            <v>0</v>
          </cell>
          <cell r="S11">
            <v>0</v>
          </cell>
          <cell r="T11" t="str">
            <v>n/a</v>
          </cell>
          <cell r="U11">
            <v>29</v>
          </cell>
          <cell r="V11">
            <v>0</v>
          </cell>
          <cell r="AD11">
            <v>4636.7506730877903</v>
          </cell>
          <cell r="AE11">
            <v>3407.378008070029</v>
          </cell>
          <cell r="AH11">
            <v>205214.26643880818</v>
          </cell>
          <cell r="AI11">
            <v>337953.89845597075</v>
          </cell>
          <cell r="AJ11">
            <v>436006.41343646194</v>
          </cell>
          <cell r="AK11">
            <v>505422.11964483239</v>
          </cell>
          <cell r="AL11">
            <v>386155.11396069604</v>
          </cell>
          <cell r="AM11">
            <v>843960.17184584751</v>
          </cell>
          <cell r="AN11">
            <v>199613.51718875617</v>
          </cell>
          <cell r="AO11">
            <v>259981.74211641788</v>
          </cell>
          <cell r="AW11">
            <v>71222</v>
          </cell>
          <cell r="AX11">
            <v>92511.44</v>
          </cell>
          <cell r="AY11">
            <v>74899.820000000007</v>
          </cell>
          <cell r="AZ11">
            <v>42631.09</v>
          </cell>
          <cell r="BA11">
            <v>29503.5</v>
          </cell>
          <cell r="BB11">
            <v>105156.79</v>
          </cell>
          <cell r="BC11">
            <v>33913.94</v>
          </cell>
          <cell r="BD11">
            <v>38604.85</v>
          </cell>
          <cell r="BL11">
            <v>0</v>
          </cell>
          <cell r="BM11">
            <v>0</v>
          </cell>
          <cell r="BN11">
            <v>0</v>
          </cell>
          <cell r="BO11">
            <v>0</v>
          </cell>
          <cell r="BP11">
            <v>0</v>
          </cell>
          <cell r="BQ11">
            <v>0</v>
          </cell>
          <cell r="BR11">
            <v>0</v>
          </cell>
          <cell r="BS11">
            <v>0</v>
          </cell>
          <cell r="CP11">
            <v>228500</v>
          </cell>
          <cell r="CQ11">
            <v>368300</v>
          </cell>
          <cell r="CR11">
            <v>364400</v>
          </cell>
          <cell r="CS11">
            <v>396000</v>
          </cell>
          <cell r="CT11">
            <v>390000</v>
          </cell>
          <cell r="CU11">
            <v>575000</v>
          </cell>
          <cell r="CV11">
            <v>165000</v>
          </cell>
          <cell r="CW11">
            <v>232825.00000000006</v>
          </cell>
          <cell r="DE11">
            <v>53000</v>
          </cell>
          <cell r="DF11">
            <v>52500</v>
          </cell>
          <cell r="DG11">
            <v>60000</v>
          </cell>
          <cell r="DH11">
            <v>52000</v>
          </cell>
          <cell r="DI11">
            <v>59000</v>
          </cell>
          <cell r="DJ11">
            <v>74000</v>
          </cell>
          <cell r="DK11">
            <v>14000</v>
          </cell>
          <cell r="DL11">
            <v>13000</v>
          </cell>
          <cell r="DT11">
            <v>0</v>
          </cell>
          <cell r="DU11">
            <v>0</v>
          </cell>
          <cell r="DV11">
            <v>0</v>
          </cell>
          <cell r="DW11">
            <v>0</v>
          </cell>
          <cell r="DX11">
            <v>0</v>
          </cell>
          <cell r="DY11">
            <v>0</v>
          </cell>
          <cell r="DZ11">
            <v>0</v>
          </cell>
          <cell r="EA11">
            <v>0</v>
          </cell>
          <cell r="EX11">
            <v>150989.05909262641</v>
          </cell>
          <cell r="EY11">
            <v>274913.10100586427</v>
          </cell>
          <cell r="EZ11">
            <v>267853.94408285874</v>
          </cell>
          <cell r="FA11">
            <v>240529.41566850158</v>
          </cell>
          <cell r="FB11">
            <v>713032.04905057151</v>
          </cell>
          <cell r="FC11">
            <v>724395.09611670417</v>
          </cell>
          <cell r="FD11">
            <v>81046.22559633413</v>
          </cell>
          <cell r="FE11">
            <v>182651.42841689294</v>
          </cell>
          <cell r="FF11">
            <v>169088.09436288878</v>
          </cell>
          <cell r="FG11">
            <v>165909.97663463958</v>
          </cell>
          <cell r="FH11">
            <v>265541.41458399891</v>
          </cell>
          <cell r="FI11">
            <v>138443.40345814719</v>
          </cell>
          <cell r="FM11">
            <v>0</v>
          </cell>
          <cell r="FN11">
            <v>0</v>
          </cell>
          <cell r="FO11">
            <v>0</v>
          </cell>
          <cell r="FP11">
            <v>0</v>
          </cell>
          <cell r="FQ11">
            <v>0</v>
          </cell>
          <cell r="FR11">
            <v>1910</v>
          </cell>
          <cell r="FS11">
            <v>0</v>
          </cell>
          <cell r="FT11">
            <v>0</v>
          </cell>
          <cell r="FU11">
            <v>0</v>
          </cell>
          <cell r="FV11">
            <v>0</v>
          </cell>
          <cell r="FW11">
            <v>0</v>
          </cell>
          <cell r="FX11">
            <v>31074.799999999999</v>
          </cell>
          <cell r="GB11">
            <v>0</v>
          </cell>
          <cell r="GC11">
            <v>0</v>
          </cell>
          <cell r="GD11">
            <v>0</v>
          </cell>
          <cell r="GE11">
            <v>0</v>
          </cell>
          <cell r="GF11">
            <v>0</v>
          </cell>
          <cell r="GG11">
            <v>0</v>
          </cell>
          <cell r="GH11">
            <v>0</v>
          </cell>
          <cell r="GI11">
            <v>0</v>
          </cell>
          <cell r="GJ11">
            <v>0</v>
          </cell>
          <cell r="GK11">
            <v>0</v>
          </cell>
          <cell r="GL11">
            <v>0</v>
          </cell>
          <cell r="GM11">
            <v>0</v>
          </cell>
        </row>
        <row r="12">
          <cell r="A12" t="str">
            <v>El-Hi Revenue</v>
          </cell>
          <cell r="C12">
            <v>0</v>
          </cell>
          <cell r="D12">
            <v>0</v>
          </cell>
          <cell r="E12">
            <v>0</v>
          </cell>
          <cell r="F12" t="str">
            <v>n/a</v>
          </cell>
          <cell r="G12">
            <v>880.14801542305827</v>
          </cell>
          <cell r="H12">
            <v>554.05997563711117</v>
          </cell>
          <cell r="J12">
            <v>0</v>
          </cell>
          <cell r="K12">
            <v>0</v>
          </cell>
          <cell r="L12">
            <v>0</v>
          </cell>
          <cell r="M12" t="str">
            <v>n/a</v>
          </cell>
          <cell r="N12">
            <v>696.71368921258772</v>
          </cell>
          <cell r="O12">
            <v>467.16867563711122</v>
          </cell>
          <cell r="Q12">
            <v>0</v>
          </cell>
          <cell r="R12">
            <v>0</v>
          </cell>
          <cell r="S12">
            <v>0</v>
          </cell>
          <cell r="T12" t="str">
            <v>n/a</v>
          </cell>
          <cell r="U12">
            <v>183.43432621047054</v>
          </cell>
          <cell r="V12">
            <v>86.891300000000001</v>
          </cell>
          <cell r="AD12">
            <v>8226.9610669122085</v>
          </cell>
          <cell r="AE12">
            <v>7079.8208519299724</v>
          </cell>
          <cell r="AH12">
            <v>312054.89356119186</v>
          </cell>
          <cell r="AI12">
            <v>441344.53154402925</v>
          </cell>
          <cell r="AJ12">
            <v>1293508.246563538</v>
          </cell>
          <cell r="AK12">
            <v>131798.81035516754</v>
          </cell>
          <cell r="AL12">
            <v>1111045.8560393038</v>
          </cell>
          <cell r="AM12">
            <v>807215.93815415248</v>
          </cell>
          <cell r="AN12">
            <v>603406.82281124382</v>
          </cell>
          <cell r="AO12">
            <v>508397.96788358211</v>
          </cell>
          <cell r="AW12">
            <v>50000</v>
          </cell>
          <cell r="AX12">
            <v>141886</v>
          </cell>
          <cell r="AY12">
            <v>286126.32</v>
          </cell>
          <cell r="AZ12">
            <v>156143.03</v>
          </cell>
          <cell r="BA12">
            <v>336151.88</v>
          </cell>
          <cell r="BB12">
            <v>153451.76999999999</v>
          </cell>
          <cell r="BC12">
            <v>124004</v>
          </cell>
          <cell r="BD12">
            <v>122905</v>
          </cell>
          <cell r="BL12">
            <v>0</v>
          </cell>
          <cell r="BM12">
            <v>0</v>
          </cell>
          <cell r="BN12">
            <v>0</v>
          </cell>
          <cell r="BO12">
            <v>0</v>
          </cell>
          <cell r="BP12">
            <v>0</v>
          </cell>
          <cell r="BQ12">
            <v>0</v>
          </cell>
          <cell r="BR12">
            <v>0</v>
          </cell>
          <cell r="BS12">
            <v>0</v>
          </cell>
          <cell r="CP12">
            <v>551000</v>
          </cell>
          <cell r="CQ12">
            <v>638000</v>
          </cell>
          <cell r="CR12">
            <v>1050818</v>
          </cell>
          <cell r="CS12">
            <v>730000</v>
          </cell>
          <cell r="CT12">
            <v>499000</v>
          </cell>
          <cell r="CU12">
            <v>604784</v>
          </cell>
          <cell r="CV12">
            <v>411800</v>
          </cell>
          <cell r="CW12">
            <v>499640</v>
          </cell>
          <cell r="DE12">
            <v>149000</v>
          </cell>
          <cell r="DF12">
            <v>254000</v>
          </cell>
          <cell r="DG12">
            <v>244000</v>
          </cell>
          <cell r="DH12">
            <v>224000</v>
          </cell>
          <cell r="DI12">
            <v>132000</v>
          </cell>
          <cell r="DJ12">
            <v>284000</v>
          </cell>
          <cell r="DK12">
            <v>172000</v>
          </cell>
          <cell r="DL12">
            <v>208000</v>
          </cell>
          <cell r="DT12">
            <v>0</v>
          </cell>
          <cell r="DU12">
            <v>0</v>
          </cell>
          <cell r="DV12">
            <v>0</v>
          </cell>
          <cell r="DW12">
            <v>0</v>
          </cell>
          <cell r="DX12">
            <v>0</v>
          </cell>
          <cell r="DY12">
            <v>0</v>
          </cell>
          <cell r="DZ12">
            <v>0</v>
          </cell>
          <cell r="EA12">
            <v>0</v>
          </cell>
          <cell r="EX12">
            <v>627310.59090737358</v>
          </cell>
          <cell r="EY12">
            <v>540186.87899413577</v>
          </cell>
          <cell r="EZ12">
            <v>1153987.7659171415</v>
          </cell>
          <cell r="FA12">
            <v>503235.39433149836</v>
          </cell>
          <cell r="FB12">
            <v>355390.79094942845</v>
          </cell>
          <cell r="FC12">
            <v>604508.10388329579</v>
          </cell>
          <cell r="FD12">
            <v>219266.70440366588</v>
          </cell>
          <cell r="FE12">
            <v>230951.5615831071</v>
          </cell>
          <cell r="FF12">
            <v>467168.67563711124</v>
          </cell>
          <cell r="FG12">
            <v>487171.2633653605</v>
          </cell>
          <cell r="FH12">
            <v>472546.06541600107</v>
          </cell>
          <cell r="FI12">
            <v>606689.76654185285</v>
          </cell>
          <cell r="FM12">
            <v>86378.5</v>
          </cell>
          <cell r="FN12">
            <v>66707</v>
          </cell>
          <cell r="FO12">
            <v>126767.43</v>
          </cell>
          <cell r="FP12">
            <v>54758.5</v>
          </cell>
          <cell r="FQ12">
            <v>27650</v>
          </cell>
          <cell r="FR12">
            <v>13726.5</v>
          </cell>
          <cell r="FS12">
            <v>21124.400000000001</v>
          </cell>
          <cell r="FT12">
            <v>54662</v>
          </cell>
          <cell r="FU12">
            <v>86891.3</v>
          </cell>
          <cell r="FV12">
            <v>104673.9</v>
          </cell>
          <cell r="FW12">
            <v>88646.5</v>
          </cell>
          <cell r="FX12">
            <v>79421.259999999995</v>
          </cell>
          <cell r="GB12">
            <v>0</v>
          </cell>
          <cell r="GC12">
            <v>0</v>
          </cell>
          <cell r="GD12">
            <v>0</v>
          </cell>
          <cell r="GE12">
            <v>0</v>
          </cell>
          <cell r="GF12">
            <v>0</v>
          </cell>
          <cell r="GG12">
            <v>0</v>
          </cell>
          <cell r="GH12">
            <v>0</v>
          </cell>
          <cell r="GI12">
            <v>0</v>
          </cell>
          <cell r="GJ12">
            <v>0</v>
          </cell>
          <cell r="GK12">
            <v>0</v>
          </cell>
          <cell r="GL12">
            <v>0</v>
          </cell>
          <cell r="GM12">
            <v>0</v>
          </cell>
        </row>
        <row r="13">
          <cell r="A13" t="str">
            <v>Innova Revenue</v>
          </cell>
          <cell r="C13">
            <v>0</v>
          </cell>
          <cell r="D13">
            <v>0</v>
          </cell>
          <cell r="E13">
            <v>0</v>
          </cell>
          <cell r="F13" t="str">
            <v>n/a</v>
          </cell>
          <cell r="G13">
            <v>171.22717495975755</v>
          </cell>
          <cell r="H13">
            <v>112.16851</v>
          </cell>
          <cell r="X13">
            <v>0</v>
          </cell>
          <cell r="Y13">
            <v>0</v>
          </cell>
          <cell r="Z13">
            <v>0</v>
          </cell>
          <cell r="AA13" t="str">
            <v>n/a</v>
          </cell>
          <cell r="AB13">
            <v>171.22717495975755</v>
          </cell>
          <cell r="AC13">
            <v>112.16851</v>
          </cell>
          <cell r="AD13">
            <v>2475.4547199999997</v>
          </cell>
          <cell r="AE13">
            <v>2672.2191999999995</v>
          </cell>
          <cell r="AH13">
            <v>0</v>
          </cell>
          <cell r="AI13">
            <v>0</v>
          </cell>
          <cell r="AJ13">
            <v>0</v>
          </cell>
          <cell r="AK13">
            <v>0</v>
          </cell>
          <cell r="AL13">
            <v>0</v>
          </cell>
          <cell r="AM13">
            <v>0</v>
          </cell>
          <cell r="AN13">
            <v>0</v>
          </cell>
          <cell r="AO13">
            <v>0</v>
          </cell>
          <cell r="AW13">
            <v>0</v>
          </cell>
          <cell r="AX13">
            <v>0</v>
          </cell>
          <cell r="AY13">
            <v>0</v>
          </cell>
          <cell r="AZ13">
            <v>0</v>
          </cell>
          <cell r="BA13">
            <v>0</v>
          </cell>
          <cell r="BB13">
            <v>0</v>
          </cell>
          <cell r="BC13">
            <v>0</v>
          </cell>
          <cell r="BD13">
            <v>0</v>
          </cell>
          <cell r="BL13">
            <v>261898.78</v>
          </cell>
          <cell r="BM13">
            <v>162349.42000000001</v>
          </cell>
          <cell r="BN13">
            <v>187563.92</v>
          </cell>
          <cell r="BO13">
            <v>63975.77</v>
          </cell>
          <cell r="BP13">
            <v>344317.19</v>
          </cell>
          <cell r="BQ13">
            <v>540699.56999999995</v>
          </cell>
          <cell r="BR13">
            <v>170942.31</v>
          </cell>
          <cell r="BS13">
            <v>188929.76</v>
          </cell>
          <cell r="CP13">
            <v>0</v>
          </cell>
          <cell r="CQ13">
            <v>0</v>
          </cell>
          <cell r="CR13">
            <v>0</v>
          </cell>
          <cell r="CS13">
            <v>0</v>
          </cell>
          <cell r="CT13">
            <v>0</v>
          </cell>
          <cell r="CU13">
            <v>0</v>
          </cell>
          <cell r="CV13">
            <v>0</v>
          </cell>
          <cell r="CW13">
            <v>0</v>
          </cell>
          <cell r="DE13">
            <v>0</v>
          </cell>
          <cell r="DF13">
            <v>0</v>
          </cell>
          <cell r="DG13">
            <v>0</v>
          </cell>
          <cell r="DH13">
            <v>0</v>
          </cell>
          <cell r="DI13">
            <v>0</v>
          </cell>
          <cell r="DJ13">
            <v>0</v>
          </cell>
          <cell r="DK13">
            <v>0</v>
          </cell>
          <cell r="DL13">
            <v>0</v>
          </cell>
          <cell r="DT13">
            <v>257970.00000000003</v>
          </cell>
          <cell r="DU13">
            <v>176470</v>
          </cell>
          <cell r="DV13">
            <v>167387</v>
          </cell>
          <cell r="DW13">
            <v>244687</v>
          </cell>
          <cell r="DX13">
            <v>448887</v>
          </cell>
          <cell r="DY13">
            <v>398618</v>
          </cell>
          <cell r="DZ13">
            <v>195831.99999999997</v>
          </cell>
          <cell r="EA13">
            <v>207432</v>
          </cell>
          <cell r="EX13">
            <v>0</v>
          </cell>
          <cell r="EY13">
            <v>0</v>
          </cell>
          <cell r="EZ13">
            <v>0</v>
          </cell>
          <cell r="FA13">
            <v>0</v>
          </cell>
          <cell r="FB13">
            <v>0</v>
          </cell>
          <cell r="FC13">
            <v>0</v>
          </cell>
          <cell r="FD13">
            <v>0</v>
          </cell>
          <cell r="FE13">
            <v>0</v>
          </cell>
          <cell r="FF13">
            <v>0</v>
          </cell>
          <cell r="FG13">
            <v>0</v>
          </cell>
          <cell r="FH13">
            <v>0</v>
          </cell>
          <cell r="FI13">
            <v>0</v>
          </cell>
          <cell r="FM13">
            <v>0</v>
          </cell>
          <cell r="FN13">
            <v>0</v>
          </cell>
          <cell r="FO13">
            <v>0</v>
          </cell>
          <cell r="FP13">
            <v>0</v>
          </cell>
          <cell r="FQ13">
            <v>0</v>
          </cell>
          <cell r="FR13">
            <v>0</v>
          </cell>
          <cell r="FS13">
            <v>0</v>
          </cell>
          <cell r="FT13">
            <v>0</v>
          </cell>
          <cell r="FU13">
            <v>0</v>
          </cell>
          <cell r="FV13">
            <v>0</v>
          </cell>
          <cell r="FW13">
            <v>0</v>
          </cell>
          <cell r="FX13">
            <v>0</v>
          </cell>
          <cell r="GB13">
            <v>124532.41</v>
          </cell>
          <cell r="GC13">
            <v>179964.91</v>
          </cell>
          <cell r="GD13">
            <v>332409.81</v>
          </cell>
          <cell r="GE13">
            <v>235550.41</v>
          </cell>
          <cell r="GF13">
            <v>297897.82</v>
          </cell>
          <cell r="GG13">
            <v>369223.1</v>
          </cell>
          <cell r="GH13">
            <v>187179.15</v>
          </cell>
          <cell r="GI13">
            <v>241105.08</v>
          </cell>
          <cell r="GJ13">
            <v>112168.51</v>
          </cell>
          <cell r="GK13">
            <v>185219.36</v>
          </cell>
          <cell r="GL13">
            <v>141823.78</v>
          </cell>
          <cell r="GM13">
            <v>265144.86</v>
          </cell>
        </row>
        <row r="14">
          <cell r="A14" t="str">
            <v>Commercial Revenue</v>
          </cell>
          <cell r="C14">
            <v>0</v>
          </cell>
          <cell r="D14">
            <v>0</v>
          </cell>
          <cell r="E14">
            <v>0</v>
          </cell>
          <cell r="F14" t="str">
            <v>n/a</v>
          </cell>
          <cell r="G14">
            <v>5</v>
          </cell>
          <cell r="H14">
            <v>2.7149999999999999</v>
          </cell>
          <cell r="J14">
            <v>0</v>
          </cell>
          <cell r="K14">
            <v>0</v>
          </cell>
          <cell r="L14">
            <v>0</v>
          </cell>
          <cell r="M14" t="str">
            <v>n/a</v>
          </cell>
          <cell r="N14">
            <v>5</v>
          </cell>
          <cell r="O14">
            <v>2.7149999999999999</v>
          </cell>
          <cell r="AD14">
            <v>61.895000000000003</v>
          </cell>
          <cell r="AE14">
            <v>74.724000000000004</v>
          </cell>
          <cell r="AH14">
            <v>5060</v>
          </cell>
          <cell r="AI14">
            <v>7877</v>
          </cell>
          <cell r="AJ14">
            <v>8748.5</v>
          </cell>
          <cell r="AK14">
            <v>2220</v>
          </cell>
          <cell r="AL14">
            <v>6973.5</v>
          </cell>
          <cell r="AM14">
            <v>2926</v>
          </cell>
          <cell r="AN14">
            <v>5347.5</v>
          </cell>
          <cell r="AO14">
            <v>2742.5</v>
          </cell>
          <cell r="AW14">
            <v>0</v>
          </cell>
          <cell r="AX14">
            <v>0</v>
          </cell>
          <cell r="AY14">
            <v>0</v>
          </cell>
          <cell r="AZ14">
            <v>0</v>
          </cell>
          <cell r="BA14">
            <v>0</v>
          </cell>
          <cell r="BB14">
            <v>0</v>
          </cell>
          <cell r="BC14">
            <v>0</v>
          </cell>
          <cell r="BD14">
            <v>0</v>
          </cell>
          <cell r="BL14">
            <v>0</v>
          </cell>
          <cell r="BM14">
            <v>0</v>
          </cell>
          <cell r="BN14">
            <v>0</v>
          </cell>
          <cell r="BO14">
            <v>0</v>
          </cell>
          <cell r="BP14">
            <v>0</v>
          </cell>
          <cell r="BQ14">
            <v>0</v>
          </cell>
          <cell r="BR14">
            <v>0</v>
          </cell>
          <cell r="BS14">
            <v>0</v>
          </cell>
          <cell r="CP14">
            <v>5000</v>
          </cell>
          <cell r="CQ14">
            <v>5000</v>
          </cell>
          <cell r="CR14">
            <v>5000</v>
          </cell>
          <cell r="CS14">
            <v>5000</v>
          </cell>
          <cell r="CT14">
            <v>5000</v>
          </cell>
          <cell r="CU14">
            <v>5000</v>
          </cell>
          <cell r="CV14">
            <v>5000</v>
          </cell>
          <cell r="CW14">
            <v>5000</v>
          </cell>
          <cell r="DE14">
            <v>0</v>
          </cell>
          <cell r="DF14">
            <v>0</v>
          </cell>
          <cell r="DG14">
            <v>0</v>
          </cell>
          <cell r="DH14">
            <v>0</v>
          </cell>
          <cell r="DI14">
            <v>0</v>
          </cell>
          <cell r="DJ14">
            <v>0</v>
          </cell>
          <cell r="DK14">
            <v>0</v>
          </cell>
          <cell r="DL14">
            <v>0</v>
          </cell>
          <cell r="DT14">
            <v>0</v>
          </cell>
          <cell r="DU14">
            <v>0</v>
          </cell>
          <cell r="DV14">
            <v>0</v>
          </cell>
          <cell r="DW14">
            <v>0</v>
          </cell>
          <cell r="DX14">
            <v>0</v>
          </cell>
          <cell r="DY14">
            <v>0</v>
          </cell>
          <cell r="DZ14">
            <v>0</v>
          </cell>
          <cell r="EA14">
            <v>0</v>
          </cell>
          <cell r="EX14">
            <v>6256</v>
          </cell>
          <cell r="EY14">
            <v>7952.5</v>
          </cell>
          <cell r="EZ14">
            <v>9365</v>
          </cell>
          <cell r="FA14">
            <v>5589</v>
          </cell>
          <cell r="FB14">
            <v>6062.5</v>
          </cell>
          <cell r="FC14">
            <v>9245</v>
          </cell>
          <cell r="FD14">
            <v>4647</v>
          </cell>
          <cell r="FE14">
            <v>3612</v>
          </cell>
          <cell r="FF14">
            <v>2715</v>
          </cell>
          <cell r="FG14">
            <v>8178.5</v>
          </cell>
          <cell r="FH14">
            <v>4679</v>
          </cell>
          <cell r="FI14">
            <v>6422.5</v>
          </cell>
          <cell r="FM14">
            <v>0</v>
          </cell>
          <cell r="FN14">
            <v>0</v>
          </cell>
          <cell r="FO14">
            <v>0</v>
          </cell>
          <cell r="FP14">
            <v>0</v>
          </cell>
          <cell r="FQ14">
            <v>0</v>
          </cell>
          <cell r="FR14">
            <v>0</v>
          </cell>
          <cell r="FS14">
            <v>0</v>
          </cell>
          <cell r="FT14">
            <v>0</v>
          </cell>
          <cell r="FU14">
            <v>0</v>
          </cell>
          <cell r="FV14">
            <v>0</v>
          </cell>
          <cell r="FW14">
            <v>0</v>
          </cell>
          <cell r="FX14">
            <v>0</v>
          </cell>
          <cell r="GB14">
            <v>0</v>
          </cell>
          <cell r="GC14">
            <v>0</v>
          </cell>
          <cell r="GD14">
            <v>0</v>
          </cell>
          <cell r="GE14">
            <v>0</v>
          </cell>
          <cell r="GF14">
            <v>0</v>
          </cell>
          <cell r="GG14">
            <v>0</v>
          </cell>
          <cell r="GH14">
            <v>0</v>
          </cell>
          <cell r="GI14">
            <v>0</v>
          </cell>
          <cell r="GJ14">
            <v>0</v>
          </cell>
          <cell r="GK14">
            <v>0</v>
          </cell>
          <cell r="GL14">
            <v>0</v>
          </cell>
          <cell r="GM14">
            <v>0</v>
          </cell>
        </row>
        <row r="15">
          <cell r="A15" t="str">
            <v>Accrued Revenue</v>
          </cell>
          <cell r="C15">
            <v>0</v>
          </cell>
          <cell r="D15">
            <v>0</v>
          </cell>
          <cell r="E15">
            <v>0</v>
          </cell>
          <cell r="F15" t="str">
            <v>n/a</v>
          </cell>
          <cell r="G15">
            <v>-116.00000000000001</v>
          </cell>
          <cell r="H15">
            <v>-105</v>
          </cell>
          <cell r="J15">
            <v>0</v>
          </cell>
          <cell r="K15">
            <v>0</v>
          </cell>
          <cell r="L15">
            <v>0</v>
          </cell>
          <cell r="M15" t="str">
            <v>n/a</v>
          </cell>
          <cell r="N15">
            <v>-86.430363389096428</v>
          </cell>
          <cell r="O15">
            <v>-105</v>
          </cell>
          <cell r="Q15">
            <v>0</v>
          </cell>
          <cell r="R15">
            <v>0</v>
          </cell>
          <cell r="S15">
            <v>0</v>
          </cell>
          <cell r="T15" t="str">
            <v>n/a</v>
          </cell>
          <cell r="U15">
            <v>-10.75092857609078</v>
          </cell>
          <cell r="V15">
            <v>0</v>
          </cell>
          <cell r="X15">
            <v>0</v>
          </cell>
          <cell r="Y15">
            <v>0</v>
          </cell>
          <cell r="Z15">
            <v>0</v>
          </cell>
          <cell r="AA15" t="str">
            <v>n/a</v>
          </cell>
          <cell r="AB15">
            <v>-18.818708034812801</v>
          </cell>
          <cell r="AC15">
            <v>0</v>
          </cell>
          <cell r="AD15">
            <v>0</v>
          </cell>
          <cell r="AE15">
            <v>0</v>
          </cell>
          <cell r="AH15">
            <v>142876</v>
          </cell>
          <cell r="AI15">
            <v>50936</v>
          </cell>
          <cell r="AJ15">
            <v>-193812</v>
          </cell>
          <cell r="AK15">
            <v>502128.13</v>
          </cell>
          <cell r="AL15">
            <v>-321825.13</v>
          </cell>
          <cell r="AM15">
            <v>-180303</v>
          </cell>
          <cell r="AN15">
            <v>0</v>
          </cell>
          <cell r="AO15">
            <v>0</v>
          </cell>
          <cell r="AW15">
            <v>91886</v>
          </cell>
          <cell r="AX15">
            <v>-33830</v>
          </cell>
          <cell r="AY15">
            <v>-58056</v>
          </cell>
          <cell r="AZ15">
            <v>117900.97</v>
          </cell>
          <cell r="BA15">
            <v>-82013.97</v>
          </cell>
          <cell r="BB15">
            <v>-35887</v>
          </cell>
          <cell r="BC15">
            <v>0</v>
          </cell>
          <cell r="BD15">
            <v>0</v>
          </cell>
          <cell r="BL15">
            <v>0</v>
          </cell>
          <cell r="BM15">
            <v>0</v>
          </cell>
          <cell r="BN15">
            <v>0</v>
          </cell>
          <cell r="BO15">
            <v>41625</v>
          </cell>
          <cell r="BP15">
            <v>-41625</v>
          </cell>
          <cell r="BQ15">
            <v>0</v>
          </cell>
          <cell r="BR15">
            <v>0</v>
          </cell>
          <cell r="BS15">
            <v>0</v>
          </cell>
          <cell r="CP15">
            <v>67326.599999999991</v>
          </cell>
          <cell r="CQ15">
            <v>-92876</v>
          </cell>
          <cell r="CR15">
            <v>0</v>
          </cell>
          <cell r="CS15">
            <v>0</v>
          </cell>
          <cell r="CT15">
            <v>0</v>
          </cell>
          <cell r="CU15">
            <v>-216190</v>
          </cell>
          <cell r="CV15">
            <v>60000</v>
          </cell>
          <cell r="CW15">
            <v>0</v>
          </cell>
          <cell r="DE15">
            <v>-67326.599999999991</v>
          </cell>
          <cell r="DF15">
            <v>-41886</v>
          </cell>
          <cell r="DG15">
            <v>0</v>
          </cell>
          <cell r="DH15">
            <v>0</v>
          </cell>
          <cell r="DI15">
            <v>0</v>
          </cell>
          <cell r="DJ15">
            <v>0</v>
          </cell>
          <cell r="DK15">
            <v>0</v>
          </cell>
          <cell r="DL15">
            <v>0</v>
          </cell>
          <cell r="DT15">
            <v>0</v>
          </cell>
          <cell r="DU15">
            <v>0</v>
          </cell>
          <cell r="DV15">
            <v>0</v>
          </cell>
          <cell r="DW15">
            <v>0</v>
          </cell>
          <cell r="DX15">
            <v>0</v>
          </cell>
          <cell r="DY15">
            <v>0</v>
          </cell>
          <cell r="DZ15">
            <v>20000</v>
          </cell>
          <cell r="EA15">
            <v>0</v>
          </cell>
          <cell r="EX15">
            <v>0</v>
          </cell>
          <cell r="EY15">
            <v>0</v>
          </cell>
          <cell r="EZ15">
            <v>0</v>
          </cell>
          <cell r="FA15">
            <v>0</v>
          </cell>
          <cell r="FB15">
            <v>0</v>
          </cell>
          <cell r="FC15">
            <v>0</v>
          </cell>
          <cell r="FD15">
            <v>33000</v>
          </cell>
          <cell r="FE15">
            <v>72000</v>
          </cell>
          <cell r="FF15">
            <v>-105000</v>
          </cell>
          <cell r="FG15">
            <v>52294.5</v>
          </cell>
          <cell r="FH15">
            <v>-25294.5</v>
          </cell>
          <cell r="FI15">
            <v>-27000</v>
          </cell>
          <cell r="FM15">
            <v>0</v>
          </cell>
          <cell r="FN15">
            <v>0</v>
          </cell>
          <cell r="FO15">
            <v>0</v>
          </cell>
          <cell r="FP15">
            <v>0</v>
          </cell>
          <cell r="FQ15">
            <v>0</v>
          </cell>
          <cell r="FR15">
            <v>0</v>
          </cell>
          <cell r="FS15">
            <v>0</v>
          </cell>
          <cell r="FT15">
            <v>0</v>
          </cell>
          <cell r="FU15">
            <v>0</v>
          </cell>
          <cell r="FV15">
            <v>0</v>
          </cell>
          <cell r="FW15">
            <v>0</v>
          </cell>
          <cell r="FX15">
            <v>0</v>
          </cell>
          <cell r="GB15">
            <v>0</v>
          </cell>
          <cell r="GC15">
            <v>0</v>
          </cell>
          <cell r="GD15">
            <v>0</v>
          </cell>
          <cell r="GE15">
            <v>0</v>
          </cell>
          <cell r="GF15">
            <v>0</v>
          </cell>
          <cell r="GG15">
            <v>0</v>
          </cell>
          <cell r="GH15">
            <v>55000</v>
          </cell>
          <cell r="GI15">
            <v>-55000</v>
          </cell>
          <cell r="GJ15">
            <v>0</v>
          </cell>
          <cell r="GK15">
            <v>0</v>
          </cell>
          <cell r="GL15">
            <v>70000</v>
          </cell>
          <cell r="GM15">
            <v>-70000</v>
          </cell>
        </row>
        <row r="16">
          <cell r="A16" t="str">
            <v>WIP Change</v>
          </cell>
          <cell r="C16">
            <v>0</v>
          </cell>
          <cell r="D16">
            <v>0</v>
          </cell>
          <cell r="E16">
            <v>0</v>
          </cell>
          <cell r="F16" t="str">
            <v>n/a</v>
          </cell>
          <cell r="G16">
            <v>0</v>
          </cell>
          <cell r="H16">
            <v>0</v>
          </cell>
          <cell r="J16">
            <v>0</v>
          </cell>
          <cell r="K16">
            <v>0</v>
          </cell>
          <cell r="L16">
            <v>0</v>
          </cell>
          <cell r="M16" t="str">
            <v>n/a</v>
          </cell>
          <cell r="N16">
            <v>0</v>
          </cell>
          <cell r="O16">
            <v>0</v>
          </cell>
          <cell r="Q16">
            <v>0</v>
          </cell>
          <cell r="R16">
            <v>0</v>
          </cell>
          <cell r="S16">
            <v>0</v>
          </cell>
          <cell r="T16" t="str">
            <v>n/a</v>
          </cell>
          <cell r="U16">
            <v>0</v>
          </cell>
          <cell r="V16">
            <v>0</v>
          </cell>
          <cell r="X16">
            <v>0</v>
          </cell>
          <cell r="Y16">
            <v>0</v>
          </cell>
          <cell r="Z16">
            <v>0</v>
          </cell>
          <cell r="AA16" t="str">
            <v>n/a</v>
          </cell>
          <cell r="AB16">
            <v>0</v>
          </cell>
          <cell r="AC16">
            <v>0</v>
          </cell>
          <cell r="AD16">
            <v>0</v>
          </cell>
          <cell r="AE16">
            <v>0</v>
          </cell>
          <cell r="AH16">
            <v>0</v>
          </cell>
          <cell r="AI16">
            <v>0</v>
          </cell>
          <cell r="AJ16">
            <v>0</v>
          </cell>
          <cell r="AK16">
            <v>0</v>
          </cell>
          <cell r="AL16">
            <v>0</v>
          </cell>
          <cell r="AM16">
            <v>0</v>
          </cell>
          <cell r="AN16">
            <v>0</v>
          </cell>
          <cell r="AO16">
            <v>0</v>
          </cell>
          <cell r="AW16">
            <v>0</v>
          </cell>
          <cell r="AX16">
            <v>0</v>
          </cell>
          <cell r="AY16">
            <v>0</v>
          </cell>
          <cell r="AZ16">
            <v>0</v>
          </cell>
          <cell r="BA16">
            <v>0</v>
          </cell>
          <cell r="BB16">
            <v>0</v>
          </cell>
          <cell r="BC16">
            <v>0</v>
          </cell>
          <cell r="BD16">
            <v>0</v>
          </cell>
          <cell r="BL16">
            <v>0</v>
          </cell>
          <cell r="BM16">
            <v>0</v>
          </cell>
          <cell r="BN16">
            <v>0</v>
          </cell>
          <cell r="BO16">
            <v>0</v>
          </cell>
          <cell r="BP16">
            <v>0</v>
          </cell>
          <cell r="BQ16">
            <v>0</v>
          </cell>
          <cell r="BR16">
            <v>0</v>
          </cell>
          <cell r="BS16">
            <v>0</v>
          </cell>
          <cell r="EX16">
            <v>0</v>
          </cell>
          <cell r="EY16">
            <v>0</v>
          </cell>
          <cell r="EZ16">
            <v>0</v>
          </cell>
          <cell r="FA16">
            <v>0</v>
          </cell>
          <cell r="FB16">
            <v>0</v>
          </cell>
          <cell r="FC16">
            <v>0</v>
          </cell>
          <cell r="FD16">
            <v>0</v>
          </cell>
          <cell r="FE16">
            <v>0</v>
          </cell>
          <cell r="FF16">
            <v>0</v>
          </cell>
          <cell r="FG16">
            <v>0</v>
          </cell>
          <cell r="FH16">
            <v>0</v>
          </cell>
          <cell r="FI16">
            <v>0</v>
          </cell>
          <cell r="FM16">
            <v>0</v>
          </cell>
          <cell r="FN16">
            <v>0</v>
          </cell>
          <cell r="FO16">
            <v>0</v>
          </cell>
          <cell r="FP16">
            <v>0</v>
          </cell>
          <cell r="FQ16">
            <v>0</v>
          </cell>
          <cell r="FR16">
            <v>0</v>
          </cell>
          <cell r="FS16">
            <v>0</v>
          </cell>
          <cell r="FT16">
            <v>0</v>
          </cell>
          <cell r="FU16">
            <v>0</v>
          </cell>
          <cell r="FV16">
            <v>0</v>
          </cell>
          <cell r="FW16">
            <v>0</v>
          </cell>
          <cell r="FX16">
            <v>0</v>
          </cell>
          <cell r="GB16">
            <v>0</v>
          </cell>
          <cell r="GC16">
            <v>0</v>
          </cell>
          <cell r="GD16">
            <v>0</v>
          </cell>
          <cell r="GE16">
            <v>0</v>
          </cell>
          <cell r="GF16">
            <v>0</v>
          </cell>
          <cell r="GG16">
            <v>0</v>
          </cell>
          <cell r="GH16">
            <v>0</v>
          </cell>
          <cell r="GI16">
            <v>0</v>
          </cell>
          <cell r="GJ16">
            <v>0</v>
          </cell>
          <cell r="GK16">
            <v>0</v>
          </cell>
          <cell r="GL16">
            <v>0</v>
          </cell>
          <cell r="GM16">
            <v>0</v>
          </cell>
        </row>
        <row r="17">
          <cell r="A17" t="str">
            <v>Intercompany Revenue</v>
          </cell>
          <cell r="C17">
            <v>0</v>
          </cell>
          <cell r="D17">
            <v>0</v>
          </cell>
          <cell r="E17">
            <v>0</v>
          </cell>
          <cell r="F17" t="str">
            <v>n/a</v>
          </cell>
          <cell r="G17">
            <v>0</v>
          </cell>
          <cell r="H17">
            <v>0</v>
          </cell>
          <cell r="J17">
            <v>0</v>
          </cell>
          <cell r="K17">
            <v>0</v>
          </cell>
          <cell r="L17">
            <v>0</v>
          </cell>
          <cell r="M17" t="str">
            <v>n/a</v>
          </cell>
          <cell r="N17">
            <v>0</v>
          </cell>
          <cell r="O17">
            <v>0</v>
          </cell>
          <cell r="Q17">
            <v>0</v>
          </cell>
          <cell r="R17">
            <v>0</v>
          </cell>
          <cell r="S17">
            <v>0</v>
          </cell>
          <cell r="T17" t="str">
            <v>n/a</v>
          </cell>
          <cell r="U17">
            <v>0</v>
          </cell>
          <cell r="V17">
            <v>0</v>
          </cell>
          <cell r="X17">
            <v>0</v>
          </cell>
          <cell r="Y17">
            <v>0</v>
          </cell>
          <cell r="Z17">
            <v>0</v>
          </cell>
          <cell r="AA17" t="str">
            <v>n/a</v>
          </cell>
          <cell r="AB17">
            <v>0</v>
          </cell>
          <cell r="AC17">
            <v>0</v>
          </cell>
          <cell r="AD17">
            <v>0</v>
          </cell>
          <cell r="AE17">
            <v>0</v>
          </cell>
        </row>
        <row r="18">
          <cell r="A18" t="str">
            <v>Revenue</v>
          </cell>
          <cell r="C18">
            <v>0</v>
          </cell>
          <cell r="D18">
            <v>0</v>
          </cell>
          <cell r="E18">
            <v>0</v>
          </cell>
          <cell r="F18" t="str">
            <v>n/a</v>
          </cell>
          <cell r="G18">
            <v>1217.4850000000001</v>
          </cell>
          <cell r="H18">
            <v>733.03157999999996</v>
          </cell>
          <cell r="J18">
            <v>0</v>
          </cell>
          <cell r="K18">
            <v>0</v>
          </cell>
          <cell r="L18">
            <v>0</v>
          </cell>
          <cell r="M18" t="str">
            <v>n/a</v>
          </cell>
          <cell r="N18">
            <v>863.39313544067545</v>
          </cell>
          <cell r="O18">
            <v>533.97176999999999</v>
          </cell>
          <cell r="Q18">
            <v>0</v>
          </cell>
          <cell r="R18">
            <v>0</v>
          </cell>
          <cell r="S18">
            <v>0</v>
          </cell>
          <cell r="T18" t="str">
            <v>n/a</v>
          </cell>
          <cell r="U18">
            <v>201.68339763437976</v>
          </cell>
          <cell r="V18">
            <v>86.891300000000001</v>
          </cell>
          <cell r="X18">
            <v>0</v>
          </cell>
          <cell r="Y18">
            <v>0</v>
          </cell>
          <cell r="Z18">
            <v>0</v>
          </cell>
          <cell r="AA18" t="str">
            <v>n/a</v>
          </cell>
          <cell r="AB18">
            <v>152.40846692494475</v>
          </cell>
          <cell r="AC18">
            <v>112.16851</v>
          </cell>
          <cell r="AD18">
            <v>15401.061459999999</v>
          </cell>
          <cell r="AE18">
            <v>13234.14206</v>
          </cell>
          <cell r="AH18">
            <v>665205.16</v>
          </cell>
          <cell r="AI18">
            <v>838111.42999999993</v>
          </cell>
          <cell r="AJ18">
            <v>1544451.16</v>
          </cell>
          <cell r="AK18">
            <v>1141569.06</v>
          </cell>
          <cell r="AL18">
            <v>1182349.3399999999</v>
          </cell>
          <cell r="AM18">
            <v>1473799.1099999999</v>
          </cell>
          <cell r="AN18">
            <v>808367.84</v>
          </cell>
          <cell r="AO18">
            <v>771122.21</v>
          </cell>
          <cell r="AP18">
            <v>0</v>
          </cell>
          <cell r="AQ18">
            <v>0</v>
          </cell>
          <cell r="AR18">
            <v>0</v>
          </cell>
          <cell r="AS18">
            <v>0</v>
          </cell>
          <cell r="AW18">
            <v>213108</v>
          </cell>
          <cell r="AX18">
            <v>200567.44</v>
          </cell>
          <cell r="AY18">
            <v>302970.14</v>
          </cell>
          <cell r="AZ18">
            <v>316675.08999999997</v>
          </cell>
          <cell r="BA18">
            <v>283641.41000000003</v>
          </cell>
          <cell r="BB18">
            <v>222721.56</v>
          </cell>
          <cell r="BC18">
            <v>157917.94</v>
          </cell>
          <cell r="BD18">
            <v>161509.85</v>
          </cell>
          <cell r="BE18">
            <v>0</v>
          </cell>
          <cell r="BF18">
            <v>0</v>
          </cell>
          <cell r="BG18">
            <v>0</v>
          </cell>
          <cell r="BH18">
            <v>0</v>
          </cell>
          <cell r="BL18">
            <v>261898.78</v>
          </cell>
          <cell r="BM18">
            <v>162349.42000000001</v>
          </cell>
          <cell r="BN18">
            <v>187563.92</v>
          </cell>
          <cell r="BO18">
            <v>105600.76999999999</v>
          </cell>
          <cell r="BP18">
            <v>302692.19</v>
          </cell>
          <cell r="BQ18">
            <v>540699.56999999995</v>
          </cell>
          <cell r="BR18">
            <v>170942.31</v>
          </cell>
          <cell r="BS18">
            <v>188929.76</v>
          </cell>
          <cell r="BT18">
            <v>0</v>
          </cell>
          <cell r="BU18">
            <v>0</v>
          </cell>
          <cell r="BV18">
            <v>0</v>
          </cell>
          <cell r="BW18">
            <v>0</v>
          </cell>
          <cell r="CP18">
            <v>851826.6</v>
          </cell>
          <cell r="CQ18">
            <v>918424</v>
          </cell>
          <cell r="CR18">
            <v>1420218</v>
          </cell>
          <cell r="CS18">
            <v>1131000</v>
          </cell>
          <cell r="CT18">
            <v>894000</v>
          </cell>
          <cell r="CU18">
            <v>968594</v>
          </cell>
          <cell r="CV18">
            <v>641800</v>
          </cell>
          <cell r="CW18">
            <v>737465</v>
          </cell>
          <cell r="CX18">
            <v>0</v>
          </cell>
          <cell r="CY18">
            <v>0</v>
          </cell>
          <cell r="CZ18">
            <v>0</v>
          </cell>
          <cell r="DA18">
            <v>0</v>
          </cell>
          <cell r="DE18">
            <v>134673.40000000002</v>
          </cell>
          <cell r="DF18">
            <v>264614</v>
          </cell>
          <cell r="DG18">
            <v>304000</v>
          </cell>
          <cell r="DH18">
            <v>276000</v>
          </cell>
          <cell r="DI18">
            <v>191000</v>
          </cell>
          <cell r="DJ18">
            <v>358000</v>
          </cell>
          <cell r="DK18">
            <v>186000</v>
          </cell>
          <cell r="DL18">
            <v>221000</v>
          </cell>
          <cell r="DM18">
            <v>0</v>
          </cell>
          <cell r="DN18">
            <v>0</v>
          </cell>
          <cell r="DO18">
            <v>0</v>
          </cell>
          <cell r="DP18">
            <v>0</v>
          </cell>
          <cell r="DT18">
            <v>257970.00000000003</v>
          </cell>
          <cell r="DU18">
            <v>176470</v>
          </cell>
          <cell r="DV18">
            <v>167387</v>
          </cell>
          <cell r="DW18">
            <v>244687</v>
          </cell>
          <cell r="DX18">
            <v>448887</v>
          </cell>
          <cell r="DY18">
            <v>398618</v>
          </cell>
          <cell r="DZ18">
            <v>215831.99999999997</v>
          </cell>
          <cell r="EA18">
            <v>207432</v>
          </cell>
          <cell r="EB18">
            <v>0</v>
          </cell>
          <cell r="EC18">
            <v>0</v>
          </cell>
          <cell r="ED18">
            <v>0</v>
          </cell>
          <cell r="EE18">
            <v>0</v>
          </cell>
          <cell r="EX18">
            <v>784555.65</v>
          </cell>
          <cell r="EY18">
            <v>823052.48</v>
          </cell>
          <cell r="EZ18">
            <v>1431206.7100000002</v>
          </cell>
          <cell r="FA18">
            <v>749353.80999999994</v>
          </cell>
          <cell r="FB18">
            <v>1074485.3399999999</v>
          </cell>
          <cell r="FC18">
            <v>1338148.2</v>
          </cell>
          <cell r="FD18">
            <v>337959.93</v>
          </cell>
          <cell r="FE18">
            <v>489214.99000000005</v>
          </cell>
          <cell r="FF18">
            <v>533971.77</v>
          </cell>
          <cell r="FG18">
            <v>713554.24000000011</v>
          </cell>
          <cell r="FH18">
            <v>717471.98</v>
          </cell>
          <cell r="FI18">
            <v>724555.67</v>
          </cell>
          <cell r="FM18">
            <v>86378.5</v>
          </cell>
          <cell r="FN18">
            <v>66707</v>
          </cell>
          <cell r="FO18">
            <v>126767.43</v>
          </cell>
          <cell r="FP18">
            <v>54758.5</v>
          </cell>
          <cell r="FQ18">
            <v>27650</v>
          </cell>
          <cell r="FR18">
            <v>15636.5</v>
          </cell>
          <cell r="FS18">
            <v>21124.400000000001</v>
          </cell>
          <cell r="FT18">
            <v>54662</v>
          </cell>
          <cell r="FU18">
            <v>86891.3</v>
          </cell>
          <cell r="FV18">
            <v>104673.9</v>
          </cell>
          <cell r="FW18">
            <v>88646.5</v>
          </cell>
          <cell r="FX18">
            <v>110496.06</v>
          </cell>
          <cell r="GB18">
            <v>124532.41</v>
          </cell>
          <cell r="GC18">
            <v>179964.91</v>
          </cell>
          <cell r="GD18">
            <v>332409.81</v>
          </cell>
          <cell r="GE18">
            <v>235550.41</v>
          </cell>
          <cell r="GF18">
            <v>297897.82</v>
          </cell>
          <cell r="GG18">
            <v>369223.1</v>
          </cell>
          <cell r="GH18">
            <v>242179.15</v>
          </cell>
          <cell r="GI18">
            <v>186105.08</v>
          </cell>
          <cell r="GJ18">
            <v>112168.51</v>
          </cell>
          <cell r="GK18">
            <v>185219.36</v>
          </cell>
          <cell r="GL18">
            <v>211823.78</v>
          </cell>
          <cell r="GM18">
            <v>195144.86</v>
          </cell>
        </row>
        <row r="20">
          <cell r="A20" t="str">
            <v>Materials</v>
          </cell>
          <cell r="C20">
            <v>0</v>
          </cell>
          <cell r="D20">
            <v>0</v>
          </cell>
          <cell r="E20">
            <v>0</v>
          </cell>
          <cell r="F20" t="str">
            <v>n/a</v>
          </cell>
          <cell r="G20">
            <v>32.273143557501534</v>
          </cell>
          <cell r="H20">
            <v>12.6441</v>
          </cell>
          <cell r="J20">
            <v>0</v>
          </cell>
          <cell r="K20">
            <v>0</v>
          </cell>
          <cell r="L20">
            <v>0</v>
          </cell>
          <cell r="M20" t="str">
            <v>n/a</v>
          </cell>
          <cell r="N20">
            <v>32.919067238989392</v>
          </cell>
          <cell r="O20">
            <v>12.6441</v>
          </cell>
          <cell r="Q20">
            <v>0</v>
          </cell>
          <cell r="R20">
            <v>0</v>
          </cell>
          <cell r="S20">
            <v>0</v>
          </cell>
          <cell r="T20" t="str">
            <v>n/a</v>
          </cell>
          <cell r="U20">
            <v>-0.30635908597511552</v>
          </cell>
          <cell r="V20">
            <v>0</v>
          </cell>
          <cell r="X20">
            <v>0</v>
          </cell>
          <cell r="Y20">
            <v>0</v>
          </cell>
          <cell r="Z20">
            <v>0</v>
          </cell>
          <cell r="AA20" t="str">
            <v>n/a</v>
          </cell>
          <cell r="AB20">
            <v>-0.3395645955127416</v>
          </cell>
          <cell r="AC20">
            <v>0</v>
          </cell>
          <cell r="AD20">
            <v>385.30838999999992</v>
          </cell>
          <cell r="AE20">
            <v>449.01467000000002</v>
          </cell>
          <cell r="AH20">
            <v>31811.33</v>
          </cell>
          <cell r="AI20">
            <v>33239.81</v>
          </cell>
          <cell r="AJ20">
            <v>28360.579999999994</v>
          </cell>
          <cell r="AK20">
            <v>58761.19</v>
          </cell>
          <cell r="AL20">
            <v>56797.440000000002</v>
          </cell>
          <cell r="AM20">
            <v>28950.33</v>
          </cell>
          <cell r="AN20">
            <v>19435.459999999995</v>
          </cell>
          <cell r="AO20">
            <v>34404.980000000003</v>
          </cell>
          <cell r="AW20">
            <v>0</v>
          </cell>
          <cell r="AX20">
            <v>0</v>
          </cell>
          <cell r="AY20">
            <v>1366.08</v>
          </cell>
          <cell r="AZ20">
            <v>0</v>
          </cell>
          <cell r="BA20">
            <v>0</v>
          </cell>
          <cell r="BB20">
            <v>18.43</v>
          </cell>
          <cell r="BC20">
            <v>99.77</v>
          </cell>
          <cell r="BD20">
            <v>0</v>
          </cell>
          <cell r="BL20">
            <v>0</v>
          </cell>
          <cell r="BM20">
            <v>0</v>
          </cell>
          <cell r="BN20">
            <v>0</v>
          </cell>
          <cell r="BO20">
            <v>0</v>
          </cell>
          <cell r="BP20">
            <v>949.67</v>
          </cell>
          <cell r="BQ20">
            <v>-949.67</v>
          </cell>
          <cell r="BR20">
            <v>40.590000000000003</v>
          </cell>
          <cell r="BS20">
            <v>0</v>
          </cell>
          <cell r="CP20">
            <v>29439.127295999999</v>
          </cell>
          <cell r="CQ20">
            <v>31740.73344</v>
          </cell>
          <cell r="CR20">
            <v>49082.734079999995</v>
          </cell>
          <cell r="CS20">
            <v>53157</v>
          </cell>
          <cell r="CT20">
            <v>42018</v>
          </cell>
          <cell r="CU20">
            <v>304.70799999999872</v>
          </cell>
          <cell r="CV20">
            <v>25672</v>
          </cell>
          <cell r="CW20">
            <v>29498.6</v>
          </cell>
          <cell r="DE20">
            <v>0</v>
          </cell>
          <cell r="DF20">
            <v>0</v>
          </cell>
          <cell r="DG20">
            <v>0</v>
          </cell>
          <cell r="DH20">
            <v>0</v>
          </cell>
          <cell r="DI20">
            <v>0</v>
          </cell>
          <cell r="DJ20">
            <v>0</v>
          </cell>
          <cell r="DK20">
            <v>0</v>
          </cell>
          <cell r="DL20">
            <v>0</v>
          </cell>
          <cell r="DT20">
            <v>0</v>
          </cell>
          <cell r="DU20">
            <v>0</v>
          </cell>
          <cell r="DV20">
            <v>0</v>
          </cell>
          <cell r="DW20">
            <v>0</v>
          </cell>
          <cell r="DX20">
            <v>0</v>
          </cell>
          <cell r="DY20">
            <v>0</v>
          </cell>
          <cell r="DZ20">
            <v>0</v>
          </cell>
          <cell r="EA20">
            <v>0</v>
          </cell>
          <cell r="EX20">
            <v>38691.22</v>
          </cell>
          <cell r="EY20">
            <v>107233.36</v>
          </cell>
          <cell r="EZ20">
            <v>41014.559999999998</v>
          </cell>
          <cell r="FA20">
            <v>-18123.989999999998</v>
          </cell>
          <cell r="FB20">
            <v>87646.46</v>
          </cell>
          <cell r="FC20">
            <v>104645.01000000001</v>
          </cell>
          <cell r="FD20">
            <v>-8362.93</v>
          </cell>
          <cell r="FE20">
            <v>33669.82</v>
          </cell>
          <cell r="FF20">
            <v>12644.1</v>
          </cell>
          <cell r="FG20">
            <v>20503.37</v>
          </cell>
          <cell r="FH20">
            <v>24509.93</v>
          </cell>
          <cell r="FI20">
            <v>4862.5</v>
          </cell>
          <cell r="FM20">
            <v>57.26</v>
          </cell>
          <cell r="FN20">
            <v>0</v>
          </cell>
          <cell r="FO20">
            <v>0</v>
          </cell>
          <cell r="FP20">
            <v>0</v>
          </cell>
          <cell r="FQ20">
            <v>0</v>
          </cell>
          <cell r="FR20">
            <v>24</v>
          </cell>
          <cell r="FS20">
            <v>0</v>
          </cell>
          <cell r="FT20">
            <v>0</v>
          </cell>
          <cell r="FU20">
            <v>0</v>
          </cell>
          <cell r="FV20">
            <v>0</v>
          </cell>
          <cell r="FW20">
            <v>0</v>
          </cell>
          <cell r="FX20">
            <v>0</v>
          </cell>
          <cell r="GB20">
            <v>0</v>
          </cell>
          <cell r="GC20">
            <v>0</v>
          </cell>
          <cell r="GD20">
            <v>0</v>
          </cell>
          <cell r="GE20">
            <v>0</v>
          </cell>
          <cell r="GF20">
            <v>0</v>
          </cell>
          <cell r="GG20">
            <v>0</v>
          </cell>
          <cell r="GH20">
            <v>0</v>
          </cell>
          <cell r="GI20">
            <v>0</v>
          </cell>
          <cell r="GJ20">
            <v>0</v>
          </cell>
          <cell r="GK20">
            <v>0</v>
          </cell>
          <cell r="GL20">
            <v>0</v>
          </cell>
          <cell r="GM20">
            <v>0</v>
          </cell>
        </row>
        <row r="22">
          <cell r="A22" t="str">
            <v>Subcontract - Delhi</v>
          </cell>
          <cell r="C22">
            <v>0</v>
          </cell>
          <cell r="D22">
            <v>0</v>
          </cell>
          <cell r="E22">
            <v>0</v>
          </cell>
          <cell r="F22" t="str">
            <v>n/a</v>
          </cell>
          <cell r="G22">
            <v>42.089620209602238</v>
          </cell>
          <cell r="H22">
            <v>0.91500000000000004</v>
          </cell>
          <cell r="J22">
            <v>0</v>
          </cell>
          <cell r="K22">
            <v>0</v>
          </cell>
          <cell r="L22">
            <v>0</v>
          </cell>
          <cell r="M22" t="str">
            <v>n/a</v>
          </cell>
          <cell r="N22">
            <v>34.604800930760788</v>
          </cell>
          <cell r="O22">
            <v>0</v>
          </cell>
          <cell r="Q22">
            <v>0</v>
          </cell>
          <cell r="R22">
            <v>0</v>
          </cell>
          <cell r="S22">
            <v>0</v>
          </cell>
          <cell r="T22" t="str">
            <v>n/a</v>
          </cell>
          <cell r="U22">
            <v>-0.51059847662519253</v>
          </cell>
          <cell r="V22">
            <v>0.91500000000000004</v>
          </cell>
          <cell r="X22">
            <v>0</v>
          </cell>
          <cell r="Y22">
            <v>0</v>
          </cell>
          <cell r="Z22">
            <v>0</v>
          </cell>
          <cell r="AA22" t="str">
            <v>n/a</v>
          </cell>
          <cell r="AB22">
            <v>7.995417755466641</v>
          </cell>
          <cell r="AC22">
            <v>0</v>
          </cell>
          <cell r="AD22">
            <v>196.32271714285716</v>
          </cell>
          <cell r="AE22">
            <v>21.397860000000001</v>
          </cell>
          <cell r="AH22">
            <v>10580</v>
          </cell>
          <cell r="AI22">
            <v>26279.91</v>
          </cell>
          <cell r="AJ22">
            <v>34205.15</v>
          </cell>
          <cell r="AK22">
            <v>36250.5</v>
          </cell>
          <cell r="AL22">
            <v>8465.48</v>
          </cell>
          <cell r="AM22">
            <v>7494.72</v>
          </cell>
          <cell r="AN22">
            <v>7250.5</v>
          </cell>
          <cell r="AO22">
            <v>6368</v>
          </cell>
          <cell r="AW22">
            <v>0</v>
          </cell>
          <cell r="AX22">
            <v>0</v>
          </cell>
          <cell r="AY22">
            <v>0</v>
          </cell>
          <cell r="AZ22">
            <v>0</v>
          </cell>
          <cell r="BA22">
            <v>0</v>
          </cell>
          <cell r="BB22">
            <v>0</v>
          </cell>
          <cell r="BC22">
            <v>0</v>
          </cell>
          <cell r="BD22">
            <v>0</v>
          </cell>
          <cell r="BL22">
            <v>0</v>
          </cell>
          <cell r="BM22">
            <v>0</v>
          </cell>
          <cell r="BN22">
            <v>0</v>
          </cell>
          <cell r="BO22">
            <v>0</v>
          </cell>
          <cell r="BP22">
            <v>0</v>
          </cell>
          <cell r="BQ22">
            <v>0</v>
          </cell>
          <cell r="BR22">
            <v>0</v>
          </cell>
          <cell r="BS22">
            <v>0</v>
          </cell>
          <cell r="CP22">
            <v>0</v>
          </cell>
          <cell r="CQ22">
            <v>0</v>
          </cell>
          <cell r="CR22">
            <v>32415.748571428565</v>
          </cell>
          <cell r="CS22">
            <v>30518.857142857138</v>
          </cell>
          <cell r="CT22">
            <v>16714.285714285714</v>
          </cell>
          <cell r="CU22">
            <v>24642.857142857141</v>
          </cell>
          <cell r="CV22">
            <v>7071.4285714285725</v>
          </cell>
          <cell r="CW22">
            <v>11643.680952380955</v>
          </cell>
          <cell r="DE22">
            <v>0</v>
          </cell>
          <cell r="DF22">
            <v>0</v>
          </cell>
          <cell r="DG22">
            <v>0</v>
          </cell>
          <cell r="DH22">
            <v>0</v>
          </cell>
          <cell r="DI22">
            <v>0</v>
          </cell>
          <cell r="DJ22">
            <v>0</v>
          </cell>
          <cell r="DK22">
            <v>0</v>
          </cell>
          <cell r="DL22">
            <v>0</v>
          </cell>
          <cell r="DT22">
            <v>0</v>
          </cell>
          <cell r="DU22">
            <v>0</v>
          </cell>
          <cell r="DV22">
            <v>3347.7400000000002</v>
          </cell>
          <cell r="DW22">
            <v>4893.74</v>
          </cell>
          <cell r="DX22">
            <v>0</v>
          </cell>
          <cell r="DY22">
            <v>0</v>
          </cell>
          <cell r="DZ22">
            <v>0</v>
          </cell>
          <cell r="EA22">
            <v>0</v>
          </cell>
          <cell r="EX22">
            <v>0</v>
          </cell>
          <cell r="EY22">
            <v>0</v>
          </cell>
          <cell r="EZ22">
            <v>0</v>
          </cell>
          <cell r="FA22">
            <v>0</v>
          </cell>
          <cell r="FB22">
            <v>0</v>
          </cell>
          <cell r="FC22">
            <v>0</v>
          </cell>
          <cell r="FD22">
            <v>0</v>
          </cell>
          <cell r="FE22">
            <v>0</v>
          </cell>
          <cell r="FF22">
            <v>0</v>
          </cell>
          <cell r="FG22">
            <v>5568</v>
          </cell>
          <cell r="FH22">
            <v>2412</v>
          </cell>
          <cell r="FI22">
            <v>12502.86</v>
          </cell>
          <cell r="FM22">
            <v>0</v>
          </cell>
          <cell r="FN22">
            <v>0</v>
          </cell>
          <cell r="FO22">
            <v>0</v>
          </cell>
          <cell r="FP22">
            <v>0</v>
          </cell>
          <cell r="FQ22">
            <v>0</v>
          </cell>
          <cell r="FR22">
            <v>0</v>
          </cell>
          <cell r="FS22">
            <v>0</v>
          </cell>
          <cell r="FT22">
            <v>0</v>
          </cell>
          <cell r="FU22">
            <v>915</v>
          </cell>
          <cell r="FV22">
            <v>0</v>
          </cell>
          <cell r="FW22">
            <v>0</v>
          </cell>
          <cell r="FX22">
            <v>0</v>
          </cell>
          <cell r="GB22">
            <v>0</v>
          </cell>
          <cell r="GC22">
            <v>0</v>
          </cell>
          <cell r="GD22">
            <v>0</v>
          </cell>
          <cell r="GE22">
            <v>0</v>
          </cell>
          <cell r="GF22">
            <v>0</v>
          </cell>
          <cell r="GG22">
            <v>0</v>
          </cell>
          <cell r="GH22">
            <v>0</v>
          </cell>
          <cell r="GI22">
            <v>0</v>
          </cell>
          <cell r="GJ22">
            <v>0</v>
          </cell>
          <cell r="GK22">
            <v>0</v>
          </cell>
          <cell r="GL22">
            <v>0</v>
          </cell>
          <cell r="GM22">
            <v>0</v>
          </cell>
        </row>
        <row r="23">
          <cell r="A23" t="str">
            <v>Subcontract - Other</v>
          </cell>
          <cell r="C23">
            <v>0</v>
          </cell>
          <cell r="D23">
            <v>0</v>
          </cell>
          <cell r="E23">
            <v>0</v>
          </cell>
          <cell r="F23" t="str">
            <v>n/a</v>
          </cell>
          <cell r="G23">
            <v>55.972294383900248</v>
          </cell>
          <cell r="H23">
            <v>62.61215</v>
          </cell>
          <cell r="J23">
            <v>0</v>
          </cell>
          <cell r="K23">
            <v>0</v>
          </cell>
          <cell r="L23">
            <v>0</v>
          </cell>
          <cell r="M23" t="str">
            <v>n/a</v>
          </cell>
          <cell r="N23">
            <v>32.045923681487857</v>
          </cell>
          <cell r="O23">
            <v>20.706189999999999</v>
          </cell>
          <cell r="Q23">
            <v>0</v>
          </cell>
          <cell r="R23">
            <v>0</v>
          </cell>
          <cell r="S23">
            <v>0</v>
          </cell>
          <cell r="T23" t="str">
            <v>n/a</v>
          </cell>
          <cell r="U23">
            <v>-0.30635908597511552</v>
          </cell>
          <cell r="V23">
            <v>11.90835</v>
          </cell>
          <cell r="X23">
            <v>0</v>
          </cell>
          <cell r="Y23">
            <v>0</v>
          </cell>
          <cell r="Z23">
            <v>0</v>
          </cell>
          <cell r="AA23" t="str">
            <v>n/a</v>
          </cell>
          <cell r="AB23">
            <v>24.232729788387505</v>
          </cell>
          <cell r="AC23">
            <v>29.997610000000002</v>
          </cell>
          <cell r="AD23">
            <v>2193.9083000000001</v>
          </cell>
          <cell r="AE23">
            <v>1107.9917799999998</v>
          </cell>
          <cell r="AH23">
            <v>28469.57</v>
          </cell>
          <cell r="AI23">
            <v>75481.570000000007</v>
          </cell>
          <cell r="AJ23">
            <v>103421.59</v>
          </cell>
          <cell r="AK23">
            <v>98638.91</v>
          </cell>
          <cell r="AL23">
            <v>82931.23000000001</v>
          </cell>
          <cell r="AM23">
            <v>21130.11</v>
          </cell>
          <cell r="AN23">
            <v>-19495.010000000002</v>
          </cell>
          <cell r="AO23">
            <v>8986.84</v>
          </cell>
          <cell r="AW23">
            <v>47540.990000000005</v>
          </cell>
          <cell r="AX23">
            <v>110517.61</v>
          </cell>
          <cell r="AY23">
            <v>90609.040000000008</v>
          </cell>
          <cell r="AZ23">
            <v>86199.17</v>
          </cell>
          <cell r="BA23">
            <v>106745.36</v>
          </cell>
          <cell r="BB23">
            <v>175535.2</v>
          </cell>
          <cell r="BC23">
            <v>89047.06</v>
          </cell>
          <cell r="BD23">
            <v>56080.14</v>
          </cell>
          <cell r="BL23">
            <v>60801.86</v>
          </cell>
          <cell r="BM23">
            <v>70553.819999999992</v>
          </cell>
          <cell r="BN23">
            <v>174520.87</v>
          </cell>
          <cell r="BO23">
            <v>105729.16</v>
          </cell>
          <cell r="BP23">
            <v>111484.14</v>
          </cell>
          <cell r="BQ23">
            <v>173064.76</v>
          </cell>
          <cell r="BR23">
            <v>67323.760000000009</v>
          </cell>
          <cell r="BS23">
            <v>50872.75</v>
          </cell>
          <cell r="CP23">
            <v>20240</v>
          </cell>
          <cell r="CQ23">
            <v>57600</v>
          </cell>
          <cell r="CR23">
            <v>109112</v>
          </cell>
          <cell r="CS23">
            <v>43688</v>
          </cell>
          <cell r="CT23">
            <v>46552</v>
          </cell>
          <cell r="CU23">
            <v>84336</v>
          </cell>
          <cell r="CV23">
            <v>9680</v>
          </cell>
          <cell r="CW23">
            <v>33120</v>
          </cell>
          <cell r="DE23">
            <v>16560</v>
          </cell>
          <cell r="DF23">
            <v>27360</v>
          </cell>
          <cell r="DG23">
            <v>53544</v>
          </cell>
          <cell r="DH23">
            <v>32852</v>
          </cell>
          <cell r="DI23">
            <v>25944</v>
          </cell>
          <cell r="DJ23">
            <v>207460.00000000003</v>
          </cell>
          <cell r="DK23">
            <v>69900</v>
          </cell>
          <cell r="DL23">
            <v>68300</v>
          </cell>
          <cell r="DT23">
            <v>64492.500000000007</v>
          </cell>
          <cell r="DU23">
            <v>110794.00000000001</v>
          </cell>
          <cell r="DV23">
            <v>154477.4</v>
          </cell>
          <cell r="DW23">
            <v>207203.05</v>
          </cell>
          <cell r="DX23">
            <v>109833.05</v>
          </cell>
          <cell r="DY23">
            <v>82396.349999999991</v>
          </cell>
          <cell r="DZ23">
            <v>64291.600000000006</v>
          </cell>
          <cell r="EA23">
            <v>64243.200000000004</v>
          </cell>
          <cell r="EX23">
            <v>35395.760000000002</v>
          </cell>
          <cell r="EY23">
            <v>39675.229999999996</v>
          </cell>
          <cell r="EZ23">
            <v>80506.790000000008</v>
          </cell>
          <cell r="FA23">
            <v>71550.53</v>
          </cell>
          <cell r="FB23">
            <v>37217.399999999994</v>
          </cell>
          <cell r="FC23">
            <v>4760.8599999999997</v>
          </cell>
          <cell r="FD23">
            <v>15227.6</v>
          </cell>
          <cell r="FE23">
            <v>23472.199999999997</v>
          </cell>
          <cell r="FF23">
            <v>20706.189999999999</v>
          </cell>
          <cell r="FG23">
            <v>48151.850000000006</v>
          </cell>
          <cell r="FH23">
            <v>20850.22</v>
          </cell>
          <cell r="FI23">
            <v>24732.73</v>
          </cell>
          <cell r="FM23">
            <v>6132.54</v>
          </cell>
          <cell r="FN23">
            <v>8993.74</v>
          </cell>
          <cell r="FO23">
            <v>5081.3099999999995</v>
          </cell>
          <cell r="FP23">
            <v>9194.07</v>
          </cell>
          <cell r="FQ23">
            <v>7073.9699999999993</v>
          </cell>
          <cell r="FR23">
            <v>3400.82</v>
          </cell>
          <cell r="FS23">
            <v>1268.27</v>
          </cell>
          <cell r="FT23">
            <v>6943.94</v>
          </cell>
          <cell r="FU23">
            <v>11908.35</v>
          </cell>
          <cell r="FV23">
            <v>27827.67</v>
          </cell>
          <cell r="FW23">
            <v>23121.73</v>
          </cell>
          <cell r="FX23">
            <v>18534.14</v>
          </cell>
          <cell r="GB23">
            <v>7665</v>
          </cell>
          <cell r="GC23">
            <v>13777.55</v>
          </cell>
          <cell r="GD23">
            <v>77718.86</v>
          </cell>
          <cell r="GE23">
            <v>29283.25</v>
          </cell>
          <cell r="GF23">
            <v>42679.48</v>
          </cell>
          <cell r="GG23">
            <v>75117.69</v>
          </cell>
          <cell r="GH23">
            <v>50171.26</v>
          </cell>
          <cell r="GI23">
            <v>66861.09</v>
          </cell>
          <cell r="GJ23">
            <v>29997.61</v>
          </cell>
          <cell r="GK23">
            <v>100425.68</v>
          </cell>
          <cell r="GL23">
            <v>28690.17</v>
          </cell>
          <cell r="GM23">
            <v>33876.230000000003</v>
          </cell>
        </row>
        <row r="24">
          <cell r="A24" t="str">
            <v>Subcontract</v>
          </cell>
          <cell r="C24">
            <v>0</v>
          </cell>
          <cell r="D24">
            <v>0</v>
          </cell>
          <cell r="E24">
            <v>0</v>
          </cell>
          <cell r="F24" t="str">
            <v>n/a</v>
          </cell>
          <cell r="G24">
            <v>98.061914593502479</v>
          </cell>
          <cell r="H24">
            <v>63.527149999999999</v>
          </cell>
          <cell r="J24">
            <v>0</v>
          </cell>
          <cell r="K24">
            <v>0</v>
          </cell>
          <cell r="L24">
            <v>0</v>
          </cell>
          <cell r="M24" t="str">
            <v>n/a</v>
          </cell>
          <cell r="N24">
            <v>66.650724612248638</v>
          </cell>
          <cell r="O24">
            <v>20.706189999999999</v>
          </cell>
          <cell r="Q24">
            <v>0</v>
          </cell>
          <cell r="R24">
            <v>0</v>
          </cell>
          <cell r="S24">
            <v>0</v>
          </cell>
          <cell r="T24" t="str">
            <v>n/a</v>
          </cell>
          <cell r="U24">
            <v>-0.81695756260030805</v>
          </cell>
          <cell r="V24">
            <v>12.823350000000001</v>
          </cell>
          <cell r="X24">
            <v>0</v>
          </cell>
          <cell r="Y24">
            <v>0</v>
          </cell>
          <cell r="Z24">
            <v>0</v>
          </cell>
          <cell r="AA24" t="str">
            <v>n/a</v>
          </cell>
          <cell r="AB24">
            <v>32.228147543854149</v>
          </cell>
          <cell r="AC24">
            <v>29.997610000000002</v>
          </cell>
          <cell r="AD24">
            <v>2390.2310171428571</v>
          </cell>
          <cell r="AE24">
            <v>1129.3896399999999</v>
          </cell>
          <cell r="AH24">
            <v>39049.57</v>
          </cell>
          <cell r="AI24">
            <v>101761.48000000001</v>
          </cell>
          <cell r="AJ24">
            <v>137626.74</v>
          </cell>
          <cell r="AK24">
            <v>134889.41</v>
          </cell>
          <cell r="AL24">
            <v>91396.71</v>
          </cell>
          <cell r="AM24">
            <v>28624.83</v>
          </cell>
          <cell r="AN24">
            <v>-12244.510000000002</v>
          </cell>
          <cell r="AO24">
            <v>15354.84</v>
          </cell>
          <cell r="AP24">
            <v>0</v>
          </cell>
          <cell r="AQ24">
            <v>0</v>
          </cell>
          <cell r="AR24">
            <v>0</v>
          </cell>
          <cell r="AS24">
            <v>0</v>
          </cell>
          <cell r="AW24">
            <v>47540.990000000005</v>
          </cell>
          <cell r="AX24">
            <v>110517.61</v>
          </cell>
          <cell r="AY24">
            <v>90609.040000000008</v>
          </cell>
          <cell r="AZ24">
            <v>86199.17</v>
          </cell>
          <cell r="BA24">
            <v>106745.36</v>
          </cell>
          <cell r="BB24">
            <v>175535.2</v>
          </cell>
          <cell r="BC24">
            <v>89047.06</v>
          </cell>
          <cell r="BD24">
            <v>56080.14</v>
          </cell>
          <cell r="BE24">
            <v>0</v>
          </cell>
          <cell r="BF24">
            <v>0</v>
          </cell>
          <cell r="BG24">
            <v>0</v>
          </cell>
          <cell r="BH24">
            <v>0</v>
          </cell>
          <cell r="BL24">
            <v>60801.86</v>
          </cell>
          <cell r="BM24">
            <v>70553.819999999992</v>
          </cell>
          <cell r="BN24">
            <v>174520.87</v>
          </cell>
          <cell r="BO24">
            <v>105729.16</v>
          </cell>
          <cell r="BP24">
            <v>111484.14</v>
          </cell>
          <cell r="BQ24">
            <v>173064.76</v>
          </cell>
          <cell r="BR24">
            <v>67323.760000000009</v>
          </cell>
          <cell r="BS24">
            <v>50872.75</v>
          </cell>
          <cell r="BT24">
            <v>0</v>
          </cell>
          <cell r="BU24">
            <v>0</v>
          </cell>
          <cell r="BV24">
            <v>0</v>
          </cell>
          <cell r="BW24">
            <v>0</v>
          </cell>
          <cell r="CP24">
            <v>20240</v>
          </cell>
          <cell r="CQ24">
            <v>57600</v>
          </cell>
          <cell r="CR24">
            <v>141527.74857142856</v>
          </cell>
          <cell r="CS24">
            <v>74206.85714285713</v>
          </cell>
          <cell r="CT24">
            <v>63266.28571428571</v>
          </cell>
          <cell r="CU24">
            <v>108978.85714285714</v>
          </cell>
          <cell r="CV24">
            <v>16751.428571428572</v>
          </cell>
          <cell r="CW24">
            <v>44763.680952380957</v>
          </cell>
          <cell r="CX24">
            <v>0</v>
          </cell>
          <cell r="CY24">
            <v>0</v>
          </cell>
          <cell r="CZ24">
            <v>0</v>
          </cell>
          <cell r="DA24">
            <v>0</v>
          </cell>
          <cell r="DE24">
            <v>16560</v>
          </cell>
          <cell r="DF24">
            <v>27360</v>
          </cell>
          <cell r="DG24">
            <v>53544</v>
          </cell>
          <cell r="DH24">
            <v>32852</v>
          </cell>
          <cell r="DI24">
            <v>25944</v>
          </cell>
          <cell r="DJ24">
            <v>207460.00000000003</v>
          </cell>
          <cell r="DK24">
            <v>69900</v>
          </cell>
          <cell r="DL24">
            <v>68300</v>
          </cell>
          <cell r="DM24">
            <v>0</v>
          </cell>
          <cell r="DN24">
            <v>0</v>
          </cell>
          <cell r="DO24">
            <v>0</v>
          </cell>
          <cell r="DP24">
            <v>0</v>
          </cell>
          <cell r="DT24">
            <v>64492.500000000007</v>
          </cell>
          <cell r="DU24">
            <v>110794.00000000001</v>
          </cell>
          <cell r="DV24">
            <v>157825.13999999998</v>
          </cell>
          <cell r="DW24">
            <v>212096.78999999998</v>
          </cell>
          <cell r="DX24">
            <v>109833.05</v>
          </cell>
          <cell r="DY24">
            <v>82396.349999999991</v>
          </cell>
          <cell r="DZ24">
            <v>64291.600000000006</v>
          </cell>
          <cell r="EA24">
            <v>64243.200000000004</v>
          </cell>
          <cell r="EB24">
            <v>0</v>
          </cell>
          <cell r="EC24">
            <v>0</v>
          </cell>
          <cell r="ED24">
            <v>0</v>
          </cell>
          <cell r="EE24">
            <v>0</v>
          </cell>
          <cell r="EX24">
            <v>35395.760000000002</v>
          </cell>
          <cell r="EY24">
            <v>39675.229999999996</v>
          </cell>
          <cell r="EZ24">
            <v>80506.790000000008</v>
          </cell>
          <cell r="FA24">
            <v>71550.53</v>
          </cell>
          <cell r="FB24">
            <v>37217.399999999994</v>
          </cell>
          <cell r="FC24">
            <v>4760.8599999999997</v>
          </cell>
          <cell r="FD24">
            <v>15227.6</v>
          </cell>
          <cell r="FE24">
            <v>23472.199999999997</v>
          </cell>
          <cell r="FF24">
            <v>20706.189999999999</v>
          </cell>
          <cell r="FG24">
            <v>53719.850000000006</v>
          </cell>
          <cell r="FH24">
            <v>23262.22</v>
          </cell>
          <cell r="FI24">
            <v>37235.589999999997</v>
          </cell>
          <cell r="FM24">
            <v>6132.54</v>
          </cell>
          <cell r="FN24">
            <v>8993.74</v>
          </cell>
          <cell r="FO24">
            <v>5081.3099999999995</v>
          </cell>
          <cell r="FP24">
            <v>9194.07</v>
          </cell>
          <cell r="FQ24">
            <v>7073.9699999999993</v>
          </cell>
          <cell r="FR24">
            <v>3400.82</v>
          </cell>
          <cell r="FS24">
            <v>1268.27</v>
          </cell>
          <cell r="FT24">
            <v>6943.94</v>
          </cell>
          <cell r="FU24">
            <v>12823.35</v>
          </cell>
          <cell r="FV24">
            <v>27827.67</v>
          </cell>
          <cell r="FW24">
            <v>23121.73</v>
          </cell>
          <cell r="FX24">
            <v>18534.14</v>
          </cell>
          <cell r="GB24">
            <v>7665</v>
          </cell>
          <cell r="GC24">
            <v>13777.55</v>
          </cell>
          <cell r="GD24">
            <v>77718.86</v>
          </cell>
          <cell r="GE24">
            <v>29283.25</v>
          </cell>
          <cell r="GF24">
            <v>42679.48</v>
          </cell>
          <cell r="GG24">
            <v>75117.69</v>
          </cell>
          <cell r="GH24">
            <v>50171.26</v>
          </cell>
          <cell r="GI24">
            <v>66861.09</v>
          </cell>
          <cell r="GJ24">
            <v>29997.61</v>
          </cell>
          <cell r="GK24">
            <v>100425.68</v>
          </cell>
          <cell r="GL24">
            <v>28690.17</v>
          </cell>
          <cell r="GM24">
            <v>33876.230000000003</v>
          </cell>
        </row>
        <row r="26">
          <cell r="A26" t="str">
            <v>Value-Added</v>
          </cell>
          <cell r="C26">
            <v>0</v>
          </cell>
          <cell r="D26">
            <v>0</v>
          </cell>
          <cell r="E26">
            <v>0</v>
          </cell>
          <cell r="F26" t="str">
            <v>n/a</v>
          </cell>
          <cell r="G26">
            <v>1087.1499418489961</v>
          </cell>
          <cell r="H26">
            <v>656.86032999999998</v>
          </cell>
          <cell r="J26">
            <v>0</v>
          </cell>
          <cell r="K26">
            <v>0</v>
          </cell>
          <cell r="L26">
            <v>0</v>
          </cell>
          <cell r="M26" t="str">
            <v>n/a</v>
          </cell>
          <cell r="N26">
            <v>763.8233435894374</v>
          </cell>
          <cell r="O26">
            <v>500.62148000000002</v>
          </cell>
          <cell r="Q26">
            <v>0</v>
          </cell>
          <cell r="R26">
            <v>0</v>
          </cell>
          <cell r="S26">
            <v>0</v>
          </cell>
          <cell r="T26" t="str">
            <v>n/a</v>
          </cell>
          <cell r="U26">
            <v>202.80671428295517</v>
          </cell>
          <cell r="V26">
            <v>74.067949999999996</v>
          </cell>
          <cell r="X26">
            <v>0</v>
          </cell>
          <cell r="Y26">
            <v>0</v>
          </cell>
          <cell r="Z26">
            <v>0</v>
          </cell>
          <cell r="AA26" t="str">
            <v>n/a</v>
          </cell>
          <cell r="AB26">
            <v>120.51988397660334</v>
          </cell>
          <cell r="AC26">
            <v>82.170899999999989</v>
          </cell>
          <cell r="AD26">
            <v>12625.522052857141</v>
          </cell>
          <cell r="AE26">
            <v>11655.73775</v>
          </cell>
          <cell r="AH26">
            <v>594344.26000000013</v>
          </cell>
          <cell r="AI26">
            <v>703110.1399999999</v>
          </cell>
          <cell r="AJ26">
            <v>1378463.8399999999</v>
          </cell>
          <cell r="AK26">
            <v>947918.46000000008</v>
          </cell>
          <cell r="AL26">
            <v>1034155.19</v>
          </cell>
          <cell r="AM26">
            <v>1416223.9499999997</v>
          </cell>
          <cell r="AN26">
            <v>801176.89</v>
          </cell>
          <cell r="AO26">
            <v>721362.39</v>
          </cell>
          <cell r="AP26">
            <v>0</v>
          </cell>
          <cell r="AQ26">
            <v>0</v>
          </cell>
          <cell r="AR26">
            <v>0</v>
          </cell>
          <cell r="AS26">
            <v>0</v>
          </cell>
          <cell r="AW26">
            <v>165567.01</v>
          </cell>
          <cell r="AX26">
            <v>90049.83</v>
          </cell>
          <cell r="AY26">
            <v>210995.02</v>
          </cell>
          <cell r="AZ26">
            <v>230475.91999999998</v>
          </cell>
          <cell r="BA26">
            <v>176896.05000000005</v>
          </cell>
          <cell r="BB26">
            <v>47167.929999999993</v>
          </cell>
          <cell r="BC26">
            <v>68771.110000000015</v>
          </cell>
          <cell r="BD26">
            <v>105429.71</v>
          </cell>
          <cell r="BE26">
            <v>0</v>
          </cell>
          <cell r="BF26">
            <v>0</v>
          </cell>
          <cell r="BG26">
            <v>0</v>
          </cell>
          <cell r="BH26">
            <v>0</v>
          </cell>
          <cell r="BL26">
            <v>201096.91999999998</v>
          </cell>
          <cell r="BM26">
            <v>91795.60000000002</v>
          </cell>
          <cell r="BN26">
            <v>13043.050000000017</v>
          </cell>
          <cell r="BO26">
            <v>-128.39000000001397</v>
          </cell>
          <cell r="BP26">
            <v>190258.38</v>
          </cell>
          <cell r="BQ26">
            <v>368584.48</v>
          </cell>
          <cell r="BR26">
            <v>103577.95999999999</v>
          </cell>
          <cell r="BS26">
            <v>138057.01</v>
          </cell>
          <cell r="BT26">
            <v>0</v>
          </cell>
          <cell r="BU26">
            <v>0</v>
          </cell>
          <cell r="BV26">
            <v>0</v>
          </cell>
          <cell r="BW26">
            <v>0</v>
          </cell>
          <cell r="CP26">
            <v>802147.47270399996</v>
          </cell>
          <cell r="CQ26">
            <v>829083.26656000002</v>
          </cell>
          <cell r="CR26">
            <v>1229607.5173485714</v>
          </cell>
          <cell r="CS26">
            <v>1003636.1428571428</v>
          </cell>
          <cell r="CT26">
            <v>788715.71428571432</v>
          </cell>
          <cell r="CU26">
            <v>859310.43485714286</v>
          </cell>
          <cell r="CV26">
            <v>599376.57142857148</v>
          </cell>
          <cell r="CW26">
            <v>663202.71904761903</v>
          </cell>
          <cell r="CX26">
            <v>0</v>
          </cell>
          <cell r="CY26">
            <v>0</v>
          </cell>
          <cell r="CZ26">
            <v>0</v>
          </cell>
          <cell r="DA26">
            <v>0</v>
          </cell>
          <cell r="DE26">
            <v>118113.40000000002</v>
          </cell>
          <cell r="DF26">
            <v>237254</v>
          </cell>
          <cell r="DG26">
            <v>250456</v>
          </cell>
          <cell r="DH26">
            <v>243148</v>
          </cell>
          <cell r="DI26">
            <v>165056</v>
          </cell>
          <cell r="DJ26">
            <v>150539.99999999997</v>
          </cell>
          <cell r="DK26">
            <v>116100</v>
          </cell>
          <cell r="DL26">
            <v>152700</v>
          </cell>
          <cell r="DM26">
            <v>0</v>
          </cell>
          <cell r="DN26">
            <v>0</v>
          </cell>
          <cell r="DO26">
            <v>0</v>
          </cell>
          <cell r="DP26">
            <v>0</v>
          </cell>
          <cell r="DT26">
            <v>193477.50000000003</v>
          </cell>
          <cell r="DU26">
            <v>65675.999999999985</v>
          </cell>
          <cell r="DV26">
            <v>9561.8600000000151</v>
          </cell>
          <cell r="DW26">
            <v>32590.210000000021</v>
          </cell>
          <cell r="DX26">
            <v>339053.95</v>
          </cell>
          <cell r="DY26">
            <v>316221.65000000002</v>
          </cell>
          <cell r="DZ26">
            <v>151540.39999999997</v>
          </cell>
          <cell r="EA26">
            <v>143188.79999999999</v>
          </cell>
          <cell r="EB26">
            <v>0</v>
          </cell>
          <cell r="EC26">
            <v>0</v>
          </cell>
          <cell r="ED26">
            <v>0</v>
          </cell>
          <cell r="EE26">
            <v>0</v>
          </cell>
          <cell r="EX26">
            <v>710468.67</v>
          </cell>
          <cell r="EY26">
            <v>676143.89</v>
          </cell>
          <cell r="EZ26">
            <v>1309685.3600000001</v>
          </cell>
          <cell r="FA26">
            <v>695927.2699999999</v>
          </cell>
          <cell r="FB26">
            <v>949621.47999999986</v>
          </cell>
          <cell r="FC26">
            <v>1228742.3299999998</v>
          </cell>
          <cell r="FD26">
            <v>331095.26</v>
          </cell>
          <cell r="FE26">
            <v>432072.97000000003</v>
          </cell>
          <cell r="FF26">
            <v>500621.48000000004</v>
          </cell>
          <cell r="FG26">
            <v>639331.02000000014</v>
          </cell>
          <cell r="FH26">
            <v>669699.82999999996</v>
          </cell>
          <cell r="FI26">
            <v>682457.58000000007</v>
          </cell>
          <cell r="FM26">
            <v>80188.700000000012</v>
          </cell>
          <cell r="FN26">
            <v>57713.26</v>
          </cell>
          <cell r="FO26">
            <v>121686.12</v>
          </cell>
          <cell r="FP26">
            <v>45564.43</v>
          </cell>
          <cell r="FQ26">
            <v>20576.03</v>
          </cell>
          <cell r="FR26">
            <v>12211.68</v>
          </cell>
          <cell r="FS26">
            <v>19856.13</v>
          </cell>
          <cell r="FT26">
            <v>47718.06</v>
          </cell>
          <cell r="FU26">
            <v>74067.95</v>
          </cell>
          <cell r="FV26">
            <v>76846.23</v>
          </cell>
          <cell r="FW26">
            <v>65524.770000000004</v>
          </cell>
          <cell r="FX26">
            <v>91961.919999999998</v>
          </cell>
          <cell r="GB26">
            <v>116867.41</v>
          </cell>
          <cell r="GC26">
            <v>166187.36000000002</v>
          </cell>
          <cell r="GD26">
            <v>254690.95</v>
          </cell>
          <cell r="GE26">
            <v>206267.16</v>
          </cell>
          <cell r="GF26">
            <v>255218.34</v>
          </cell>
          <cell r="GG26">
            <v>294105.40999999997</v>
          </cell>
          <cell r="GH26">
            <v>192007.88999999998</v>
          </cell>
          <cell r="GI26">
            <v>119243.98999999999</v>
          </cell>
          <cell r="GJ26">
            <v>82170.899999999994</v>
          </cell>
          <cell r="GK26">
            <v>84793.68</v>
          </cell>
          <cell r="GL26">
            <v>183133.61</v>
          </cell>
          <cell r="GM26">
            <v>161268.62999999998</v>
          </cell>
        </row>
        <row r="28">
          <cell r="A28" t="str">
            <v>Labor - Direct</v>
          </cell>
          <cell r="C28">
            <v>0</v>
          </cell>
          <cell r="D28">
            <v>0</v>
          </cell>
          <cell r="E28">
            <v>0</v>
          </cell>
          <cell r="F28" t="str">
            <v>n/a</v>
          </cell>
          <cell r="G28">
            <v>277.19621766221536</v>
          </cell>
          <cell r="H28">
            <v>252.71532999999999</v>
          </cell>
          <cell r="J28">
            <v>0</v>
          </cell>
          <cell r="K28">
            <v>0</v>
          </cell>
          <cell r="L28">
            <v>0</v>
          </cell>
          <cell r="M28" t="str">
            <v>n/a</v>
          </cell>
          <cell r="N28">
            <v>225.55257369119997</v>
          </cell>
          <cell r="O28">
            <v>207.68746999999999</v>
          </cell>
          <cell r="Q28">
            <v>0</v>
          </cell>
          <cell r="R28">
            <v>0</v>
          </cell>
          <cell r="S28">
            <v>0</v>
          </cell>
          <cell r="T28" t="str">
            <v>n/a</v>
          </cell>
          <cell r="U28">
            <v>25.600413591415386</v>
          </cell>
          <cell r="V28">
            <v>11.990310000000001</v>
          </cell>
          <cell r="X28">
            <v>0</v>
          </cell>
          <cell r="Y28">
            <v>0</v>
          </cell>
          <cell r="Z28">
            <v>0</v>
          </cell>
          <cell r="AA28" t="str">
            <v>n/a</v>
          </cell>
          <cell r="AB28">
            <v>26.043230379600001</v>
          </cell>
          <cell r="AC28">
            <v>33.037550000000003</v>
          </cell>
          <cell r="AD28">
            <v>3332.8038575398182</v>
          </cell>
          <cell r="AE28">
            <v>3267.4444009999997</v>
          </cell>
          <cell r="AH28">
            <v>212272.5</v>
          </cell>
          <cell r="AI28">
            <v>208092.22</v>
          </cell>
          <cell r="AJ28">
            <v>240544.58999999997</v>
          </cell>
          <cell r="AK28">
            <v>238376.41399999999</v>
          </cell>
          <cell r="AL28">
            <v>247264.22</v>
          </cell>
          <cell r="AM28">
            <v>217194.78400000004</v>
          </cell>
          <cell r="AN28">
            <v>192576.09050000008</v>
          </cell>
          <cell r="AO28">
            <v>209583.56600000002</v>
          </cell>
          <cell r="AW28">
            <v>31140.58</v>
          </cell>
          <cell r="AX28">
            <v>31738.829999999998</v>
          </cell>
          <cell r="AY28">
            <v>34425.94</v>
          </cell>
          <cell r="AZ28">
            <v>27493.108</v>
          </cell>
          <cell r="BA28">
            <v>39998.71</v>
          </cell>
          <cell r="BB28">
            <v>20761.118000000002</v>
          </cell>
          <cell r="BC28">
            <v>26550.806</v>
          </cell>
          <cell r="BD28">
            <v>28186.452000000001</v>
          </cell>
          <cell r="BL28">
            <v>30832.55</v>
          </cell>
          <cell r="BM28">
            <v>24286.86</v>
          </cell>
          <cell r="BN28">
            <v>29193.58</v>
          </cell>
          <cell r="BO28">
            <v>27523.318000000003</v>
          </cell>
          <cell r="BP28">
            <v>32723.149999999998</v>
          </cell>
          <cell r="BQ28">
            <v>30595.828000000001</v>
          </cell>
          <cell r="BR28">
            <v>31815.006000000001</v>
          </cell>
          <cell r="BS28">
            <v>25464.892</v>
          </cell>
          <cell r="CP28">
            <v>266340.6597448801</v>
          </cell>
          <cell r="CQ28">
            <v>220571.97494400002</v>
          </cell>
          <cell r="CR28">
            <v>259065.0396204</v>
          </cell>
          <cell r="CS28">
            <v>269659.90376997006</v>
          </cell>
          <cell r="CT28">
            <v>293789.75755080004</v>
          </cell>
          <cell r="CU28">
            <v>257868.82211159996</v>
          </cell>
          <cell r="CV28">
            <v>222409.84187839995</v>
          </cell>
          <cell r="CW28">
            <v>219144.86530140002</v>
          </cell>
          <cell r="DE28">
            <v>39148.77563012769</v>
          </cell>
          <cell r="DF28">
            <v>32421.346277538461</v>
          </cell>
          <cell r="DG28">
            <v>32663.304711476929</v>
          </cell>
          <cell r="DH28">
            <v>24987.690761540773</v>
          </cell>
          <cell r="DI28">
            <v>33018.920096092304</v>
          </cell>
          <cell r="DJ28">
            <v>30230.18149910769</v>
          </cell>
          <cell r="DK28">
            <v>27151.349542646156</v>
          </cell>
          <cell r="DL28">
            <v>27856.801322876927</v>
          </cell>
          <cell r="DT28">
            <v>29949.71493654</v>
          </cell>
          <cell r="DU28">
            <v>24803.076551999999</v>
          </cell>
          <cell r="DV28">
            <v>29145.011623199996</v>
          </cell>
          <cell r="DW28">
            <v>29738.968560000005</v>
          </cell>
          <cell r="DX28">
            <v>33679.175999999999</v>
          </cell>
          <cell r="DY28">
            <v>30750.552000000003</v>
          </cell>
          <cell r="DZ28">
            <v>30130.495999999999</v>
          </cell>
          <cell r="EA28">
            <v>22589.591799600003</v>
          </cell>
          <cell r="EX28">
            <v>190244.77</v>
          </cell>
          <cell r="EY28">
            <v>214537.45299999998</v>
          </cell>
          <cell r="EZ28">
            <v>269958.06799999997</v>
          </cell>
          <cell r="FA28">
            <v>215823.59999999998</v>
          </cell>
          <cell r="FB28">
            <v>210183.66</v>
          </cell>
          <cell r="FC28">
            <v>235428.73</v>
          </cell>
          <cell r="FD28">
            <v>239961.53</v>
          </cell>
          <cell r="FE28">
            <v>205954.13</v>
          </cell>
          <cell r="FF28">
            <v>207687.47</v>
          </cell>
          <cell r="FG28">
            <v>219208.31</v>
          </cell>
          <cell r="FH28">
            <v>229058.655</v>
          </cell>
          <cell r="FI28">
            <v>205719.58000000002</v>
          </cell>
          <cell r="FM28">
            <v>17083.2</v>
          </cell>
          <cell r="FN28">
            <v>15743.930000000002</v>
          </cell>
          <cell r="FO28">
            <v>24488.159999999996</v>
          </cell>
          <cell r="FP28">
            <v>25647.5</v>
          </cell>
          <cell r="FQ28">
            <v>18168.300000000003</v>
          </cell>
          <cell r="FR28">
            <v>22136.25</v>
          </cell>
          <cell r="FS28">
            <v>16299.99</v>
          </cell>
          <cell r="FT28">
            <v>15455.83</v>
          </cell>
          <cell r="FU28">
            <v>11990.310000000001</v>
          </cell>
          <cell r="FV28">
            <v>14868.25</v>
          </cell>
          <cell r="FW28">
            <v>19130.866999999998</v>
          </cell>
          <cell r="FX28">
            <v>27789.870000000003</v>
          </cell>
          <cell r="GB28">
            <v>29271.48</v>
          </cell>
          <cell r="GC28">
            <v>27414.799999999999</v>
          </cell>
          <cell r="GD28">
            <v>40080.910000000003</v>
          </cell>
          <cell r="GE28">
            <v>37790.049999999996</v>
          </cell>
          <cell r="GF28">
            <v>38182.22</v>
          </cell>
          <cell r="GG28">
            <v>32240.199999999997</v>
          </cell>
          <cell r="GH28">
            <v>24632.85</v>
          </cell>
          <cell r="GI28">
            <v>38815.859999999993</v>
          </cell>
          <cell r="GJ28">
            <v>33037.550000000003</v>
          </cell>
          <cell r="GK28">
            <v>35125.43</v>
          </cell>
          <cell r="GL28">
            <v>35554.048000000003</v>
          </cell>
          <cell r="GM28">
            <v>22730.59</v>
          </cell>
        </row>
        <row r="29">
          <cell r="A29" t="str">
            <v>Labor - Supervisory Direct</v>
          </cell>
          <cell r="C29">
            <v>0</v>
          </cell>
          <cell r="D29">
            <v>0</v>
          </cell>
          <cell r="E29">
            <v>0</v>
          </cell>
          <cell r="F29" t="str">
            <v>n/a</v>
          </cell>
          <cell r="G29">
            <v>72.101254629599993</v>
          </cell>
          <cell r="H29">
            <v>74.661709999999999</v>
          </cell>
          <cell r="J29">
            <v>0</v>
          </cell>
          <cell r="K29">
            <v>0</v>
          </cell>
          <cell r="L29">
            <v>0</v>
          </cell>
          <cell r="M29" t="str">
            <v>n/a</v>
          </cell>
          <cell r="N29">
            <v>48.966927836399996</v>
          </cell>
          <cell r="O29">
            <v>50.260390000000001</v>
          </cell>
          <cell r="Q29">
            <v>0</v>
          </cell>
          <cell r="R29">
            <v>0</v>
          </cell>
          <cell r="S29">
            <v>0</v>
          </cell>
          <cell r="T29" t="str">
            <v>n/a</v>
          </cell>
          <cell r="U29">
            <v>13.7994232068</v>
          </cell>
          <cell r="V29">
            <v>14.24953</v>
          </cell>
          <cell r="X29">
            <v>0</v>
          </cell>
          <cell r="Y29">
            <v>0</v>
          </cell>
          <cell r="Z29">
            <v>0</v>
          </cell>
          <cell r="AA29" t="str">
            <v>n/a</v>
          </cell>
          <cell r="AB29">
            <v>9.3349035863999994</v>
          </cell>
          <cell r="AC29">
            <v>10.15179</v>
          </cell>
          <cell r="AD29">
            <v>889.24860085216005</v>
          </cell>
          <cell r="AE29">
            <v>887.29453999999998</v>
          </cell>
          <cell r="AH29">
            <v>60614.49</v>
          </cell>
          <cell r="AI29">
            <v>48556.74</v>
          </cell>
          <cell r="AJ29">
            <v>59640.33</v>
          </cell>
          <cell r="AK29">
            <v>40724.449999999997</v>
          </cell>
          <cell r="AL29">
            <v>58844.92</v>
          </cell>
          <cell r="AM29">
            <v>45985.01</v>
          </cell>
          <cell r="AN29">
            <v>48299.89</v>
          </cell>
          <cell r="AO29">
            <v>46071.64</v>
          </cell>
          <cell r="AW29">
            <v>15469.6</v>
          </cell>
          <cell r="AX29">
            <v>13831.75</v>
          </cell>
          <cell r="AY29">
            <v>15352.28</v>
          </cell>
          <cell r="AZ29">
            <v>14485.83</v>
          </cell>
          <cell r="BA29">
            <v>15982.3</v>
          </cell>
          <cell r="BB29">
            <v>14485.83</v>
          </cell>
          <cell r="BC29">
            <v>13601.26</v>
          </cell>
          <cell r="BD29">
            <v>15982.3</v>
          </cell>
          <cell r="BL29">
            <v>9520.7800000000007</v>
          </cell>
          <cell r="BM29">
            <v>8081.31</v>
          </cell>
          <cell r="BN29">
            <v>10599.1</v>
          </cell>
          <cell r="BO29">
            <v>9714.4500000000007</v>
          </cell>
          <cell r="BP29">
            <v>10811.96</v>
          </cell>
          <cell r="BQ29">
            <v>9246.7000000000007</v>
          </cell>
          <cell r="BR29">
            <v>10241.92</v>
          </cell>
          <cell r="BS29">
            <v>10811.96</v>
          </cell>
          <cell r="CP29">
            <v>56311.967011860012</v>
          </cell>
          <cell r="CQ29">
            <v>46635.169367999995</v>
          </cell>
          <cell r="CR29">
            <v>53630.444773199997</v>
          </cell>
          <cell r="CS29">
            <v>53155.754487990002</v>
          </cell>
          <cell r="CT29">
            <v>54156.471903599995</v>
          </cell>
          <cell r="CU29">
            <v>49732.813090799995</v>
          </cell>
          <cell r="CV29">
            <v>48731.323132800011</v>
          </cell>
          <cell r="CW29">
            <v>50778.503501399995</v>
          </cell>
          <cell r="DE29">
            <v>15869.336687819998</v>
          </cell>
          <cell r="DF29">
            <v>13142.307816</v>
          </cell>
          <cell r="DG29">
            <v>18793.653988400001</v>
          </cell>
          <cell r="DH29">
            <v>14834.379947310001</v>
          </cell>
          <cell r="DI29">
            <v>15113.653988400001</v>
          </cell>
          <cell r="DJ29">
            <v>13799.423206799998</v>
          </cell>
          <cell r="DK29">
            <v>13521.5385888</v>
          </cell>
          <cell r="DL29">
            <v>13872.980899800001</v>
          </cell>
          <cell r="DT29">
            <v>10735.139124359999</v>
          </cell>
          <cell r="DU29">
            <v>8890.3843679999991</v>
          </cell>
          <cell r="DV29">
            <v>10223.942023199999</v>
          </cell>
          <cell r="DW29">
            <v>10035.02135538</v>
          </cell>
          <cell r="DX29">
            <v>10223.942023199999</v>
          </cell>
          <cell r="DY29">
            <v>9334.9035863999998</v>
          </cell>
          <cell r="DZ29">
            <v>9146.922822399998</v>
          </cell>
          <cell r="EA29">
            <v>9384.6632003999985</v>
          </cell>
          <cell r="EX29">
            <v>43520.23</v>
          </cell>
          <cell r="EY29">
            <v>47575.519999999997</v>
          </cell>
          <cell r="EZ29">
            <v>55377.67</v>
          </cell>
          <cell r="FA29">
            <v>45848.32</v>
          </cell>
          <cell r="FB29">
            <v>46309.56</v>
          </cell>
          <cell r="FC29">
            <v>52650.43</v>
          </cell>
          <cell r="FD29">
            <v>60091.65</v>
          </cell>
          <cell r="FE29">
            <v>48228.61</v>
          </cell>
          <cell r="FF29">
            <v>50260.39</v>
          </cell>
          <cell r="FG29">
            <v>48943.91</v>
          </cell>
          <cell r="FH29">
            <v>51107.63</v>
          </cell>
          <cell r="FI29">
            <v>47598.83</v>
          </cell>
          <cell r="FM29">
            <v>12713.2</v>
          </cell>
          <cell r="FN29">
            <v>11142.17</v>
          </cell>
          <cell r="FO29">
            <v>15376.77</v>
          </cell>
          <cell r="FP29">
            <v>14731.23</v>
          </cell>
          <cell r="FQ29">
            <v>12267.23</v>
          </cell>
          <cell r="FR29">
            <v>16713.689999999999</v>
          </cell>
          <cell r="FS29">
            <v>12988.99</v>
          </cell>
          <cell r="FT29">
            <v>17496.810000000001</v>
          </cell>
          <cell r="FU29">
            <v>14249.53</v>
          </cell>
          <cell r="FV29">
            <v>14830.77</v>
          </cell>
          <cell r="FW29">
            <v>14384.61</v>
          </cell>
          <cell r="FX29">
            <v>13413.88</v>
          </cell>
          <cell r="GB29">
            <v>13559.35</v>
          </cell>
          <cell r="GC29">
            <v>7256.71</v>
          </cell>
          <cell r="GD29">
            <v>10425.85</v>
          </cell>
          <cell r="GE29">
            <v>10677.36</v>
          </cell>
          <cell r="GF29">
            <v>8759.61</v>
          </cell>
          <cell r="GG29">
            <v>9718.14</v>
          </cell>
          <cell r="GH29">
            <v>7627.21</v>
          </cell>
          <cell r="GI29">
            <v>11948.87</v>
          </cell>
          <cell r="GJ29">
            <v>10151.790000000001</v>
          </cell>
          <cell r="GK29">
            <v>10543.14</v>
          </cell>
          <cell r="GL29">
            <v>9730.7800000000007</v>
          </cell>
          <cell r="GM29">
            <v>9074.1</v>
          </cell>
        </row>
        <row r="30">
          <cell r="A30" t="str">
            <v>Labor - Indirect</v>
          </cell>
          <cell r="C30">
            <v>0</v>
          </cell>
          <cell r="D30">
            <v>0</v>
          </cell>
          <cell r="E30">
            <v>0</v>
          </cell>
          <cell r="F30" t="str">
            <v>n/a</v>
          </cell>
          <cell r="G30">
            <v>97.999410376097359</v>
          </cell>
          <cell r="H30">
            <v>67.245269999999991</v>
          </cell>
          <cell r="J30">
            <v>0</v>
          </cell>
          <cell r="K30">
            <v>0</v>
          </cell>
          <cell r="L30">
            <v>0</v>
          </cell>
          <cell r="M30" t="str">
            <v>n/a</v>
          </cell>
          <cell r="N30">
            <v>50.749299799265579</v>
          </cell>
          <cell r="O30">
            <v>23.366869999999999</v>
          </cell>
          <cell r="Q30">
            <v>0</v>
          </cell>
          <cell r="R30">
            <v>0</v>
          </cell>
          <cell r="S30">
            <v>0</v>
          </cell>
          <cell r="T30" t="str">
            <v>n/a</v>
          </cell>
          <cell r="U30">
            <v>12.772176480037942</v>
          </cell>
          <cell r="V30">
            <v>7.6339899999999998</v>
          </cell>
          <cell r="X30">
            <v>0</v>
          </cell>
          <cell r="Y30">
            <v>0</v>
          </cell>
          <cell r="Z30">
            <v>0</v>
          </cell>
          <cell r="AA30" t="str">
            <v>n/a</v>
          </cell>
          <cell r="AB30">
            <v>34.477934096793838</v>
          </cell>
          <cell r="AC30">
            <v>36.244409999999995</v>
          </cell>
          <cell r="AD30">
            <v>1056.3430772880454</v>
          </cell>
          <cell r="AE30">
            <v>772.35941999999989</v>
          </cell>
          <cell r="AH30">
            <v>46514.11</v>
          </cell>
          <cell r="AI30">
            <v>36578.74</v>
          </cell>
          <cell r="AJ30">
            <v>46407.72</v>
          </cell>
          <cell r="AK30">
            <v>31829.020000000004</v>
          </cell>
          <cell r="AL30">
            <v>35791.25</v>
          </cell>
          <cell r="AM30">
            <v>47490.549999999988</v>
          </cell>
          <cell r="AN30">
            <v>52876.32</v>
          </cell>
          <cell r="AO30">
            <v>31101.06</v>
          </cell>
          <cell r="AW30">
            <v>8455.6899999999987</v>
          </cell>
          <cell r="AX30">
            <v>8184.47</v>
          </cell>
          <cell r="AY30">
            <v>12193.47</v>
          </cell>
          <cell r="AZ30">
            <v>19349.43</v>
          </cell>
          <cell r="BA30">
            <v>25757.03</v>
          </cell>
          <cell r="BB30">
            <v>13304.359999999999</v>
          </cell>
          <cell r="BC30">
            <v>11143.06</v>
          </cell>
          <cell r="BD30">
            <v>12148.93</v>
          </cell>
          <cell r="BL30">
            <v>33468.840000000004</v>
          </cell>
          <cell r="BM30">
            <v>34936.699999999997</v>
          </cell>
          <cell r="BN30">
            <v>39668.42</v>
          </cell>
          <cell r="BO30">
            <v>43207.39</v>
          </cell>
          <cell r="BP30">
            <v>43762.9</v>
          </cell>
          <cell r="BQ30">
            <v>37309.079999999994</v>
          </cell>
          <cell r="BR30">
            <v>31173.85</v>
          </cell>
          <cell r="BS30">
            <v>34114.94</v>
          </cell>
          <cell r="CP30">
            <v>46728.017329108596</v>
          </cell>
          <cell r="CQ30">
            <v>36243.073563856677</v>
          </cell>
          <cell r="CR30">
            <v>51406.771051674034</v>
          </cell>
          <cell r="CS30">
            <v>38999.81375752297</v>
          </cell>
          <cell r="CT30">
            <v>40313.470614505692</v>
          </cell>
          <cell r="CU30">
            <v>36807.951430635636</v>
          </cell>
          <cell r="CV30">
            <v>36183.744760545655</v>
          </cell>
          <cell r="CW30">
            <v>37383.517308403279</v>
          </cell>
          <cell r="DE30">
            <v>14375.502952043633</v>
          </cell>
          <cell r="DF30">
            <v>12373.067879051801</v>
          </cell>
          <cell r="DG30">
            <v>17746.680324819637</v>
          </cell>
          <cell r="DH30">
            <v>15587.395547139062</v>
          </cell>
          <cell r="DI30">
            <v>15934.008419424888</v>
          </cell>
          <cell r="DJ30">
            <v>14729.601890199536</v>
          </cell>
          <cell r="DK30">
            <v>14470.922943690846</v>
          </cell>
          <cell r="DL30">
            <v>14791.683946975383</v>
          </cell>
          <cell r="DT30">
            <v>39649.624211312919</v>
          </cell>
          <cell r="DU30">
            <v>32834.020095338186</v>
          </cell>
          <cell r="DV30">
            <v>41300.684301292262</v>
          </cell>
          <cell r="DW30">
            <v>40031.379887871313</v>
          </cell>
          <cell r="DX30">
            <v>40870.438787402745</v>
          </cell>
          <cell r="DY30">
            <v>37316.487588498159</v>
          </cell>
          <cell r="DZ30">
            <v>29127.63399149683</v>
          </cell>
          <cell r="EA30">
            <v>27232.345750754666</v>
          </cell>
          <cell r="EX30">
            <v>20932.48</v>
          </cell>
          <cell r="EY30">
            <v>24213.71</v>
          </cell>
          <cell r="EZ30">
            <v>26714.41</v>
          </cell>
          <cell r="FA30">
            <v>22595.07</v>
          </cell>
          <cell r="FB30">
            <v>23099.67</v>
          </cell>
          <cell r="FC30">
            <v>25057.129999999997</v>
          </cell>
          <cell r="FD30">
            <v>26725.39</v>
          </cell>
          <cell r="FE30">
            <v>25744.03</v>
          </cell>
          <cell r="FF30">
            <v>23366.87</v>
          </cell>
          <cell r="FG30">
            <v>23120.18</v>
          </cell>
          <cell r="FH30">
            <v>30324.07</v>
          </cell>
          <cell r="FI30">
            <v>34512.36</v>
          </cell>
          <cell r="FM30">
            <v>293.22000000000003</v>
          </cell>
          <cell r="FN30">
            <v>256.99</v>
          </cell>
          <cell r="FO30">
            <v>354.66</v>
          </cell>
          <cell r="FP30">
            <v>318.20999999999998</v>
          </cell>
          <cell r="FQ30">
            <v>303.5</v>
          </cell>
          <cell r="FR30">
            <v>366.57</v>
          </cell>
          <cell r="FS30">
            <v>275.17</v>
          </cell>
          <cell r="FT30">
            <v>588.72</v>
          </cell>
          <cell r="FU30">
            <v>7633.99</v>
          </cell>
          <cell r="FV30">
            <v>11216.859999999999</v>
          </cell>
          <cell r="FW30">
            <v>10879.44</v>
          </cell>
          <cell r="FX30">
            <v>10145.25</v>
          </cell>
          <cell r="GB30">
            <v>29533.279999999999</v>
          </cell>
          <cell r="GC30">
            <v>25515.440000000002</v>
          </cell>
          <cell r="GD30">
            <v>36758.269999999997</v>
          </cell>
          <cell r="GE30">
            <v>37644.980000000003</v>
          </cell>
          <cell r="GF30">
            <v>30883.589999999997</v>
          </cell>
          <cell r="GG30">
            <v>36621.64</v>
          </cell>
          <cell r="GH30">
            <v>22713.510000000002</v>
          </cell>
          <cell r="GI30">
            <v>43019.41</v>
          </cell>
          <cell r="GJ30">
            <v>36244.409999999996</v>
          </cell>
          <cell r="GK30">
            <v>46248.03</v>
          </cell>
          <cell r="GL30">
            <v>43162.11</v>
          </cell>
          <cell r="GM30">
            <v>34976.800000000003</v>
          </cell>
        </row>
        <row r="31">
          <cell r="A31" t="str">
            <v>Overtime</v>
          </cell>
          <cell r="C31">
            <v>0</v>
          </cell>
          <cell r="D31">
            <v>0</v>
          </cell>
          <cell r="E31">
            <v>0</v>
          </cell>
          <cell r="F31" t="str">
            <v>n/a</v>
          </cell>
          <cell r="G31">
            <v>20.36449329043019</v>
          </cell>
          <cell r="H31">
            <v>35.038119999999999</v>
          </cell>
          <cell r="J31">
            <v>0</v>
          </cell>
          <cell r="K31">
            <v>0</v>
          </cell>
          <cell r="L31">
            <v>0</v>
          </cell>
          <cell r="M31" t="str">
            <v>n/a</v>
          </cell>
          <cell r="N31">
            <v>20.427010290066708</v>
          </cell>
          <cell r="O31">
            <v>32.857410000000002</v>
          </cell>
          <cell r="Q31">
            <v>0</v>
          </cell>
          <cell r="R31">
            <v>0</v>
          </cell>
          <cell r="S31">
            <v>0</v>
          </cell>
          <cell r="T31" t="str">
            <v>n/a</v>
          </cell>
          <cell r="U31">
            <v>6.1994665797372644E-2</v>
          </cell>
          <cell r="V31">
            <v>1.65262</v>
          </cell>
          <cell r="X31">
            <v>0</v>
          </cell>
          <cell r="Y31">
            <v>0</v>
          </cell>
          <cell r="Z31">
            <v>0</v>
          </cell>
          <cell r="AA31" t="str">
            <v>n/a</v>
          </cell>
          <cell r="AB31">
            <v>-0.12451166543388777</v>
          </cell>
          <cell r="AC31">
            <v>0.52809000000000006</v>
          </cell>
          <cell r="AD31">
            <v>462.28888903322832</v>
          </cell>
          <cell r="AE31">
            <v>411.16758899999996</v>
          </cell>
          <cell r="AH31">
            <v>14632.41</v>
          </cell>
          <cell r="AI31">
            <v>35980.980000000003</v>
          </cell>
          <cell r="AJ31">
            <v>94921.88</v>
          </cell>
          <cell r="AK31">
            <v>73053.47600000001</v>
          </cell>
          <cell r="AL31">
            <v>101938.9</v>
          </cell>
          <cell r="AM31">
            <v>51975.245999999977</v>
          </cell>
          <cell r="AN31">
            <v>5345.1294999999282</v>
          </cell>
          <cell r="AO31">
            <v>21148.07399999999</v>
          </cell>
          <cell r="AW31">
            <v>207.51</v>
          </cell>
          <cell r="AX31">
            <v>1378.49</v>
          </cell>
          <cell r="AY31">
            <v>3343.86</v>
          </cell>
          <cell r="AZ31">
            <v>329.89199999999965</v>
          </cell>
          <cell r="BA31">
            <v>1469.26</v>
          </cell>
          <cell r="BB31">
            <v>369.10199999999969</v>
          </cell>
          <cell r="BC31">
            <v>-87.02600000000092</v>
          </cell>
          <cell r="BD31">
            <v>67.378000000000071</v>
          </cell>
          <cell r="BL31">
            <v>0</v>
          </cell>
          <cell r="BM31">
            <v>284.52</v>
          </cell>
          <cell r="BN31">
            <v>371.28</v>
          </cell>
          <cell r="BO31">
            <v>232.99200000000002</v>
          </cell>
          <cell r="BP31">
            <v>305.62</v>
          </cell>
          <cell r="BQ31">
            <v>223.92199999999991</v>
          </cell>
          <cell r="BR31">
            <v>107.6040000000001</v>
          </cell>
          <cell r="BS31">
            <v>128.71800000000007</v>
          </cell>
          <cell r="CP31">
            <v>22978.89824820037</v>
          </cell>
          <cell r="CQ31">
            <v>50099.488411714221</v>
          </cell>
          <cell r="CR31">
            <v>70443.002692671434</v>
          </cell>
          <cell r="CS31">
            <v>44700.093679730446</v>
          </cell>
          <cell r="CT31">
            <v>39794.06120777662</v>
          </cell>
          <cell r="CU31">
            <v>64607.487347421906</v>
          </cell>
          <cell r="CV31">
            <v>25282.381939799165</v>
          </cell>
          <cell r="CW31">
            <v>35422.440134649485</v>
          </cell>
          <cell r="DE31">
            <v>465.08420710336247</v>
          </cell>
          <cell r="DF31">
            <v>437.96198356421911</v>
          </cell>
          <cell r="DG31">
            <v>1146.6900934493792</v>
          </cell>
          <cell r="DH31">
            <v>436.14805021641206</v>
          </cell>
          <cell r="DI31">
            <v>614.71531493605335</v>
          </cell>
          <cell r="DJ31">
            <v>631.26919292480693</v>
          </cell>
          <cell r="DK31">
            <v>236.82963782386975</v>
          </cell>
          <cell r="DL31">
            <v>270.28271738627075</v>
          </cell>
          <cell r="DT31">
            <v>271.52627328947096</v>
          </cell>
          <cell r="DU31">
            <v>245.32318624608632</v>
          </cell>
          <cell r="DV31">
            <v>396.43035245276855</v>
          </cell>
          <cell r="DW31">
            <v>423.20100573978289</v>
          </cell>
          <cell r="DX31">
            <v>363.85836205865064</v>
          </cell>
          <cell r="DY31">
            <v>373.65682776197093</v>
          </cell>
          <cell r="DZ31">
            <v>229.7431629052696</v>
          </cell>
          <cell r="EA31">
            <v>262.86818814838375</v>
          </cell>
          <cell r="EX31">
            <v>28671.57</v>
          </cell>
          <cell r="EY31">
            <v>34415.887000000002</v>
          </cell>
          <cell r="EZ31">
            <v>74716.982000000004</v>
          </cell>
          <cell r="FA31">
            <v>49768.119999999995</v>
          </cell>
          <cell r="FB31">
            <v>37681.269999999997</v>
          </cell>
          <cell r="FC31">
            <v>12897.799999999997</v>
          </cell>
          <cell r="FD31">
            <v>18046.55</v>
          </cell>
          <cell r="FE31">
            <v>18641.900000000001</v>
          </cell>
          <cell r="FF31">
            <v>32857.410000000003</v>
          </cell>
          <cell r="FG31">
            <v>44791.990000000005</v>
          </cell>
          <cell r="FH31">
            <v>29768.615000000002</v>
          </cell>
          <cell r="FI31">
            <v>6492.0199999999995</v>
          </cell>
          <cell r="FM31">
            <v>1718.37</v>
          </cell>
          <cell r="FN31">
            <v>2081.4</v>
          </cell>
          <cell r="FO31">
            <v>4241.01</v>
          </cell>
          <cell r="FP31">
            <v>1181.44</v>
          </cell>
          <cell r="FQ31">
            <v>881.26</v>
          </cell>
          <cell r="FR31">
            <v>1178.2</v>
          </cell>
          <cell r="FS31">
            <v>498.72</v>
          </cell>
          <cell r="FT31">
            <v>804.17000000000007</v>
          </cell>
          <cell r="FU31">
            <v>1652.62</v>
          </cell>
          <cell r="FV31">
            <v>1538.25</v>
          </cell>
          <cell r="FW31">
            <v>970.77300000000002</v>
          </cell>
          <cell r="FX31">
            <v>206.03</v>
          </cell>
          <cell r="GB31">
            <v>850.23</v>
          </cell>
          <cell r="GC31">
            <v>317.12</v>
          </cell>
          <cell r="GD31">
            <v>361.06</v>
          </cell>
          <cell r="GE31">
            <v>329.3</v>
          </cell>
          <cell r="GF31">
            <v>288.83</v>
          </cell>
          <cell r="GG31">
            <v>502.58</v>
          </cell>
          <cell r="GH31">
            <v>170.07</v>
          </cell>
          <cell r="GI31">
            <v>795.41</v>
          </cell>
          <cell r="GJ31">
            <v>528.09</v>
          </cell>
          <cell r="GK31">
            <v>633.75</v>
          </cell>
          <cell r="GL31">
            <v>421.35200000000009</v>
          </cell>
          <cell r="GM31">
            <v>267.44</v>
          </cell>
        </row>
        <row r="32">
          <cell r="A32" t="str">
            <v>Payroll Taxes &amp; Employee Benefits</v>
          </cell>
          <cell r="C32">
            <v>0</v>
          </cell>
          <cell r="D32">
            <v>0</v>
          </cell>
          <cell r="E32">
            <v>0</v>
          </cell>
          <cell r="F32" t="str">
            <v>n/a</v>
          </cell>
          <cell r="G32">
            <v>68.303070193430926</v>
          </cell>
          <cell r="H32">
            <v>42.33044402575505</v>
          </cell>
          <cell r="J32">
            <v>0</v>
          </cell>
          <cell r="K32">
            <v>0</v>
          </cell>
          <cell r="L32">
            <v>0</v>
          </cell>
          <cell r="M32" t="str">
            <v>n/a</v>
          </cell>
          <cell r="N32">
            <v>51.746395150682773</v>
          </cell>
          <cell r="O32">
            <v>32.0165737908425</v>
          </cell>
          <cell r="Q32">
            <v>0</v>
          </cell>
          <cell r="R32">
            <v>0</v>
          </cell>
          <cell r="S32">
            <v>0</v>
          </cell>
          <cell r="T32" t="str">
            <v>n/a</v>
          </cell>
          <cell r="U32">
            <v>7.0356406921543275</v>
          </cell>
          <cell r="V32">
            <v>3.9554043068044185</v>
          </cell>
          <cell r="X32">
            <v>0</v>
          </cell>
          <cell r="Y32">
            <v>0</v>
          </cell>
          <cell r="Z32">
            <v>0</v>
          </cell>
          <cell r="AA32" t="str">
            <v>n/a</v>
          </cell>
          <cell r="AB32">
            <v>9.521034350593828</v>
          </cell>
          <cell r="AC32">
            <v>6.3584659281081333</v>
          </cell>
          <cell r="AD32">
            <v>755.35887703209721</v>
          </cell>
          <cell r="AE32">
            <v>656.79798806825681</v>
          </cell>
          <cell r="AH32">
            <v>59501.070000000007</v>
          </cell>
          <cell r="AI32">
            <v>45739.18</v>
          </cell>
          <cell r="AJ32">
            <v>52223.35</v>
          </cell>
          <cell r="AK32">
            <v>49072.5</v>
          </cell>
          <cell r="AL32">
            <v>51901.469999999994</v>
          </cell>
          <cell r="AM32">
            <v>44665.599999999999</v>
          </cell>
          <cell r="AN32">
            <v>38549.69</v>
          </cell>
          <cell r="AO32">
            <v>41016.9</v>
          </cell>
          <cell r="AW32">
            <v>6806.09</v>
          </cell>
          <cell r="AX32">
            <v>6572.15</v>
          </cell>
          <cell r="AY32">
            <v>7670.42</v>
          </cell>
          <cell r="AZ32">
            <v>5244.1100000000006</v>
          </cell>
          <cell r="BA32">
            <v>7225.82</v>
          </cell>
          <cell r="BB32">
            <v>5834.2300000000005</v>
          </cell>
          <cell r="BC32">
            <v>5365.01</v>
          </cell>
          <cell r="BD32">
            <v>5882.57</v>
          </cell>
          <cell r="BL32">
            <v>10730.49</v>
          </cell>
          <cell r="BM32">
            <v>8489.5400000000009</v>
          </cell>
          <cell r="BN32">
            <v>8907.6899999999987</v>
          </cell>
          <cell r="BO32">
            <v>7928.32</v>
          </cell>
          <cell r="BP32">
            <v>9476.369999999999</v>
          </cell>
          <cell r="BQ32">
            <v>8304.36</v>
          </cell>
          <cell r="BR32">
            <v>7679.3099999999995</v>
          </cell>
          <cell r="BS32">
            <v>8824.9500000000007</v>
          </cell>
          <cell r="CP32">
            <v>56704.884523641012</v>
          </cell>
          <cell r="CQ32">
            <v>52485.830211157721</v>
          </cell>
          <cell r="CR32">
            <v>60700.007625093043</v>
          </cell>
          <cell r="CS32">
            <v>57098.679872830588</v>
          </cell>
          <cell r="CT32">
            <v>60118.141457619204</v>
          </cell>
          <cell r="CU32">
            <v>57316.908786148895</v>
          </cell>
          <cell r="CV32">
            <v>52056.420170380792</v>
          </cell>
          <cell r="CW32">
            <v>52797.87859030145</v>
          </cell>
          <cell r="DE32">
            <v>9140.5098906585335</v>
          </cell>
          <cell r="DF32">
            <v>7966.6789269105211</v>
          </cell>
          <cell r="DG32">
            <v>9182.0705661944339</v>
          </cell>
          <cell r="DH32">
            <v>7068.2549505468323</v>
          </cell>
          <cell r="DI32">
            <v>8273.8977537860192</v>
          </cell>
          <cell r="DJ32">
            <v>7731.2469436170486</v>
          </cell>
          <cell r="DK32">
            <v>7726.726807772342</v>
          </cell>
          <cell r="DL32">
            <v>7993.7067177796034</v>
          </cell>
          <cell r="DT32">
            <v>10597.707022100672</v>
          </cell>
          <cell r="DU32">
            <v>9181.6538882809818</v>
          </cell>
          <cell r="DV32">
            <v>10640.099388398197</v>
          </cell>
          <cell r="DW32">
            <v>10335.011557595901</v>
          </cell>
          <cell r="DX32">
            <v>10990.413903878381</v>
          </cell>
          <cell r="DY32">
            <v>10235.744131734296</v>
          </cell>
          <cell r="DZ32">
            <v>9877.4508996143832</v>
          </cell>
          <cell r="EA32">
            <v>8662.3947077563025</v>
          </cell>
          <cell r="EX32">
            <v>45025.25331054502</v>
          </cell>
          <cell r="EY32">
            <v>44189.865187088755</v>
          </cell>
          <cell r="EZ32">
            <v>52248.772952719635</v>
          </cell>
          <cell r="FA32">
            <v>45648.552166841808</v>
          </cell>
          <cell r="FB32">
            <v>38872.245043748168</v>
          </cell>
          <cell r="FC32">
            <v>48013.031437858983</v>
          </cell>
          <cell r="FD32">
            <v>42347.44609928289</v>
          </cell>
          <cell r="FE32">
            <v>39209.076384593209</v>
          </cell>
          <cell r="FF32">
            <v>32016.5737908425</v>
          </cell>
          <cell r="FG32">
            <v>41605.194686866889</v>
          </cell>
          <cell r="FH32">
            <v>40255.357791289745</v>
          </cell>
          <cell r="FI32">
            <v>36156.397122511458</v>
          </cell>
          <cell r="FM32">
            <v>4355.4329825899758</v>
          </cell>
          <cell r="FN32">
            <v>4328.7398440797197</v>
          </cell>
          <cell r="FO32">
            <v>4927.744242708698</v>
          </cell>
          <cell r="FP32">
            <v>4048.6720185605245</v>
          </cell>
          <cell r="FQ32">
            <v>3429.1626926124409</v>
          </cell>
          <cell r="FR32">
            <v>5552.6949910761869</v>
          </cell>
          <cell r="FS32">
            <v>4272.5593139756093</v>
          </cell>
          <cell r="FT32">
            <v>3404.9861626261363</v>
          </cell>
          <cell r="FU32">
            <v>3955.4043068044184</v>
          </cell>
          <cell r="FV32">
            <v>4194.5075969011668</v>
          </cell>
          <cell r="FW32">
            <v>4375.4009964395518</v>
          </cell>
          <cell r="FX32">
            <v>5797.6872832145636</v>
          </cell>
          <cell r="GB32">
            <v>9130.3787057288155</v>
          </cell>
          <cell r="GC32">
            <v>8555.7112467038005</v>
          </cell>
          <cell r="GD32">
            <v>9626.3168412937739</v>
          </cell>
          <cell r="GE32">
            <v>7101.0005460775037</v>
          </cell>
          <cell r="GF32">
            <v>8078.0499153359378</v>
          </cell>
          <cell r="GG32">
            <v>11027.040012458867</v>
          </cell>
          <cell r="GH32">
            <v>9252.589009637144</v>
          </cell>
          <cell r="GI32">
            <v>7211.1459508343096</v>
          </cell>
          <cell r="GJ32">
            <v>6358.4659281081331</v>
          </cell>
          <cell r="GK32">
            <v>7326.3518905745595</v>
          </cell>
          <cell r="GL32">
            <v>8235.1931397510016</v>
          </cell>
          <cell r="GM32">
            <v>6664.9864759748743</v>
          </cell>
        </row>
        <row r="33">
          <cell r="A33" t="str">
            <v>Other Cost of Sales</v>
          </cell>
          <cell r="C33">
            <v>0</v>
          </cell>
          <cell r="D33">
            <v>0</v>
          </cell>
          <cell r="E33">
            <v>0</v>
          </cell>
          <cell r="F33" t="str">
            <v>n/a</v>
          </cell>
          <cell r="G33">
            <v>126.65130981562564</v>
          </cell>
          <cell r="H33">
            <v>108.04859999999999</v>
          </cell>
          <cell r="J33">
            <v>0</v>
          </cell>
          <cell r="K33">
            <v>0</v>
          </cell>
          <cell r="L33">
            <v>0</v>
          </cell>
          <cell r="M33" t="str">
            <v>n/a</v>
          </cell>
          <cell r="N33">
            <v>97.152636017445616</v>
          </cell>
          <cell r="O33">
            <v>84.605249999999998</v>
          </cell>
          <cell r="Q33">
            <v>0</v>
          </cell>
          <cell r="R33">
            <v>0</v>
          </cell>
          <cell r="S33">
            <v>0</v>
          </cell>
          <cell r="T33" t="str">
            <v>n/a</v>
          </cell>
          <cell r="U33">
            <v>16.049854785327842</v>
          </cell>
          <cell r="V33">
            <v>8.4641500000000001</v>
          </cell>
          <cell r="X33">
            <v>0</v>
          </cell>
          <cell r="Y33">
            <v>0</v>
          </cell>
          <cell r="Z33">
            <v>0</v>
          </cell>
          <cell r="AA33" t="str">
            <v>n/a</v>
          </cell>
          <cell r="AB33">
            <v>13.448819012852184</v>
          </cell>
          <cell r="AC33">
            <v>14.979199999999997</v>
          </cell>
          <cell r="AD33">
            <v>1318.5819820000002</v>
          </cell>
          <cell r="AE33">
            <v>1234.9669209999997</v>
          </cell>
          <cell r="AH33">
            <v>65114.654999999999</v>
          </cell>
          <cell r="AI33">
            <v>75510.78</v>
          </cell>
          <cell r="AJ33">
            <v>90736.511000000013</v>
          </cell>
          <cell r="AK33">
            <v>69234.511000000013</v>
          </cell>
          <cell r="AL33">
            <v>78966.005000000005</v>
          </cell>
          <cell r="AM33">
            <v>100326.545</v>
          </cell>
          <cell r="AN33">
            <v>115427.79199999999</v>
          </cell>
          <cell r="AO33">
            <v>69883.538</v>
          </cell>
          <cell r="AW33">
            <v>12834.455</v>
          </cell>
          <cell r="AX33">
            <v>12454.59</v>
          </cell>
          <cell r="AY33">
            <v>8180.9790000000012</v>
          </cell>
          <cell r="AZ33">
            <v>14787.329</v>
          </cell>
          <cell r="BA33">
            <v>12694.615</v>
          </cell>
          <cell r="BB33">
            <v>16153.224999999999</v>
          </cell>
          <cell r="BC33">
            <v>15690.418000000001</v>
          </cell>
          <cell r="BD33">
            <v>12506.372000000001</v>
          </cell>
          <cell r="BL33">
            <v>10009.16</v>
          </cell>
          <cell r="BM33">
            <v>9079.56</v>
          </cell>
          <cell r="BN33">
            <v>14758.869999999999</v>
          </cell>
          <cell r="BO33">
            <v>9962.31</v>
          </cell>
          <cell r="BP33">
            <v>7801.64</v>
          </cell>
          <cell r="BQ33">
            <v>11921.480000000001</v>
          </cell>
          <cell r="BR33">
            <v>11708.089999999998</v>
          </cell>
          <cell r="BS33">
            <v>10107.359999999997</v>
          </cell>
          <cell r="CP33">
            <v>93108.58770435481</v>
          </cell>
          <cell r="CQ33">
            <v>92965.452313862217</v>
          </cell>
          <cell r="CR33">
            <v>100264.07300561902</v>
          </cell>
          <cell r="CS33">
            <v>94564.458937808507</v>
          </cell>
          <cell r="CT33">
            <v>94009.086029565296</v>
          </cell>
          <cell r="CU33">
            <v>93449.982688349352</v>
          </cell>
          <cell r="CV33">
            <v>89844.546776077812</v>
          </cell>
          <cell r="CW33">
            <v>93455.304776077814</v>
          </cell>
          <cell r="DE33">
            <v>15461.397413361301</v>
          </cell>
          <cell r="DF33">
            <v>16708.855425097794</v>
          </cell>
          <cell r="DG33">
            <v>17173.336016499379</v>
          </cell>
          <cell r="DH33">
            <v>16707.323446628587</v>
          </cell>
          <cell r="DI33">
            <v>16771.804038030172</v>
          </cell>
          <cell r="DJ33">
            <v>16544.206995038105</v>
          </cell>
          <cell r="DK33">
            <v>15595.99609171812</v>
          </cell>
          <cell r="DL33">
            <v>15745.99609171812</v>
          </cell>
          <cell r="DT33">
            <v>12516.91792228389</v>
          </cell>
          <cell r="DU33">
            <v>12475.664527706675</v>
          </cell>
          <cell r="DV33">
            <v>12492.563511214948</v>
          </cell>
          <cell r="DW33">
            <v>12040.57761556293</v>
          </cell>
          <cell r="DX33">
            <v>12107.476599071204</v>
          </cell>
          <cell r="DY33">
            <v>11641.971516612568</v>
          </cell>
          <cell r="DZ33">
            <v>10682.817132204087</v>
          </cell>
          <cell r="EA33">
            <v>10832.817132204087</v>
          </cell>
          <cell r="EX33">
            <v>81077.152999999991</v>
          </cell>
          <cell r="EY33">
            <v>58243.320999999996</v>
          </cell>
          <cell r="EZ33">
            <v>90576.197999999989</v>
          </cell>
          <cell r="FA33">
            <v>72767.016999999993</v>
          </cell>
          <cell r="FB33">
            <v>88281.475999999995</v>
          </cell>
          <cell r="FC33">
            <v>126708.35600000003</v>
          </cell>
          <cell r="FD33">
            <v>60447.929999999993</v>
          </cell>
          <cell r="FE33">
            <v>71662.220000000016</v>
          </cell>
          <cell r="FF33">
            <v>84605.25</v>
          </cell>
          <cell r="FG33">
            <v>79901.040999999983</v>
          </cell>
          <cell r="FH33">
            <v>88078.69</v>
          </cell>
          <cell r="FI33">
            <v>90985.189999999988</v>
          </cell>
          <cell r="FM33">
            <v>7993.2599999999993</v>
          </cell>
          <cell r="FN33">
            <v>-19773.68</v>
          </cell>
          <cell r="FO33">
            <v>4334.29</v>
          </cell>
          <cell r="FP33">
            <v>2577.1599999999994</v>
          </cell>
          <cell r="FQ33">
            <v>1934.7900000000002</v>
          </cell>
          <cell r="FR33">
            <v>2147.85</v>
          </cell>
          <cell r="FS33">
            <v>4089.16</v>
          </cell>
          <cell r="FT33">
            <v>4786.37</v>
          </cell>
          <cell r="FU33">
            <v>8464.15</v>
          </cell>
          <cell r="FV33">
            <v>10966.779</v>
          </cell>
          <cell r="FW33">
            <v>11731.65</v>
          </cell>
          <cell r="FX33">
            <v>18996.96</v>
          </cell>
          <cell r="GB33">
            <v>16652.089999999997</v>
          </cell>
          <cell r="GC33">
            <v>19349.280000000002</v>
          </cell>
          <cell r="GD33">
            <v>13601.59</v>
          </cell>
          <cell r="GE33">
            <v>17949.32</v>
          </cell>
          <cell r="GF33">
            <v>18005</v>
          </cell>
          <cell r="GG33">
            <v>27337.549999999996</v>
          </cell>
          <cell r="GH33">
            <v>7756.87</v>
          </cell>
          <cell r="GI33">
            <v>10843.08</v>
          </cell>
          <cell r="GJ33">
            <v>14979.199999999997</v>
          </cell>
          <cell r="GK33">
            <v>6978.0599999999995</v>
          </cell>
          <cell r="GL33">
            <v>11926.96</v>
          </cell>
          <cell r="GM33">
            <v>18005.340000000004</v>
          </cell>
        </row>
        <row r="34">
          <cell r="A34" t="str">
            <v>Cost of Sales</v>
          </cell>
          <cell r="C34">
            <v>0</v>
          </cell>
          <cell r="D34">
            <v>0</v>
          </cell>
          <cell r="E34">
            <v>0</v>
          </cell>
          <cell r="F34" t="str">
            <v>n/a</v>
          </cell>
          <cell r="G34">
            <v>662.61575596739931</v>
          </cell>
          <cell r="H34">
            <v>580.039474025755</v>
          </cell>
          <cell r="J34">
            <v>0</v>
          </cell>
          <cell r="K34">
            <v>0</v>
          </cell>
          <cell r="L34">
            <v>0</v>
          </cell>
          <cell r="M34" t="str">
            <v>n/a</v>
          </cell>
          <cell r="N34">
            <v>494.59484278506068</v>
          </cell>
          <cell r="O34">
            <v>430.7939637908425</v>
          </cell>
          <cell r="Q34">
            <v>0</v>
          </cell>
          <cell r="R34">
            <v>0</v>
          </cell>
          <cell r="S34">
            <v>0</v>
          </cell>
          <cell r="T34" t="str">
            <v>n/a</v>
          </cell>
          <cell r="U34">
            <v>75.319503421532872</v>
          </cell>
          <cell r="V34">
            <v>47.946004306804411</v>
          </cell>
          <cell r="X34">
            <v>0</v>
          </cell>
          <cell r="Y34">
            <v>0</v>
          </cell>
          <cell r="Z34">
            <v>0</v>
          </cell>
          <cell r="AA34" t="str">
            <v>n/a</v>
          </cell>
          <cell r="AB34">
            <v>92.701409760805959</v>
          </cell>
          <cell r="AC34">
            <v>101.29950592810813</v>
          </cell>
          <cell r="AD34">
            <v>7814.6252837453503</v>
          </cell>
          <cell r="AE34">
            <v>7230.0308590682562</v>
          </cell>
          <cell r="AH34">
            <v>458649.23499999999</v>
          </cell>
          <cell r="AI34">
            <v>450458.64</v>
          </cell>
          <cell r="AJ34">
            <v>584474.38100000005</v>
          </cell>
          <cell r="AK34">
            <v>502290.37100000004</v>
          </cell>
          <cell r="AL34">
            <v>574706.76500000001</v>
          </cell>
          <cell r="AM34">
            <v>507637.73499999999</v>
          </cell>
          <cell r="AN34">
            <v>453074.91200000001</v>
          </cell>
          <cell r="AO34">
            <v>418804.77799999999</v>
          </cell>
          <cell r="AP34">
            <v>0</v>
          </cell>
          <cell r="AQ34">
            <v>0</v>
          </cell>
          <cell r="AR34">
            <v>0</v>
          </cell>
          <cell r="AS34">
            <v>0</v>
          </cell>
          <cell r="AW34">
            <v>74913.925000000003</v>
          </cell>
          <cell r="AX34">
            <v>74160.28</v>
          </cell>
          <cell r="AY34">
            <v>81166.949000000008</v>
          </cell>
          <cell r="AZ34">
            <v>81689.698999999993</v>
          </cell>
          <cell r="BA34">
            <v>103127.735</v>
          </cell>
          <cell r="BB34">
            <v>70907.865000000005</v>
          </cell>
          <cell r="BC34">
            <v>72263.528000000006</v>
          </cell>
          <cell r="BD34">
            <v>74774.001999999993</v>
          </cell>
          <cell r="BE34">
            <v>0</v>
          </cell>
          <cell r="BF34">
            <v>0</v>
          </cell>
          <cell r="BG34">
            <v>0</v>
          </cell>
          <cell r="BH34">
            <v>0</v>
          </cell>
          <cell r="BL34">
            <v>94561.820000000022</v>
          </cell>
          <cell r="BM34">
            <v>85158.489999999991</v>
          </cell>
          <cell r="BN34">
            <v>103498.94</v>
          </cell>
          <cell r="BO34">
            <v>98568.78</v>
          </cell>
          <cell r="BP34">
            <v>104881.64</v>
          </cell>
          <cell r="BQ34">
            <v>97601.37000000001</v>
          </cell>
          <cell r="BR34">
            <v>92725.78</v>
          </cell>
          <cell r="BS34">
            <v>89452.819999999992</v>
          </cell>
          <cell r="BT34">
            <v>0</v>
          </cell>
          <cell r="BU34">
            <v>0</v>
          </cell>
          <cell r="BV34">
            <v>0</v>
          </cell>
          <cell r="BW34">
            <v>0</v>
          </cell>
          <cell r="CP34">
            <v>542173.01456204487</v>
          </cell>
          <cell r="CQ34">
            <v>499000.98881259083</v>
          </cell>
          <cell r="CR34">
            <v>595509.33876865753</v>
          </cell>
          <cell r="CS34">
            <v>558178.70450585254</v>
          </cell>
          <cell r="CT34">
            <v>582180.98876386683</v>
          </cell>
          <cell r="CU34">
            <v>559783.9654549557</v>
          </cell>
          <cell r="CV34">
            <v>474508.25865800341</v>
          </cell>
          <cell r="CW34">
            <v>488982.50961223198</v>
          </cell>
          <cell r="CX34">
            <v>0</v>
          </cell>
          <cell r="CY34">
            <v>0</v>
          </cell>
          <cell r="CZ34">
            <v>0</v>
          </cell>
          <cell r="DA34">
            <v>0</v>
          </cell>
          <cell r="DE34">
            <v>94460.606781114533</v>
          </cell>
          <cell r="DF34">
            <v>83050.218308162803</v>
          </cell>
          <cell r="DG34">
            <v>96705.735700839767</v>
          </cell>
          <cell r="DH34">
            <v>79621.192703381676</v>
          </cell>
          <cell r="DI34">
            <v>89726.999610669431</v>
          </cell>
          <cell r="DJ34">
            <v>83665.92972768718</v>
          </cell>
          <cell r="DK34">
            <v>78703.363612451329</v>
          </cell>
          <cell r="DL34">
            <v>80531.4516965363</v>
          </cell>
          <cell r="DM34">
            <v>0</v>
          </cell>
          <cell r="DN34">
            <v>0</v>
          </cell>
          <cell r="DO34">
            <v>0</v>
          </cell>
          <cell r="DP34">
            <v>0</v>
          </cell>
          <cell r="DT34">
            <v>103720.62948988695</v>
          </cell>
          <cell r="DU34">
            <v>88430.12261757192</v>
          </cell>
          <cell r="DV34">
            <v>104198.73119975817</v>
          </cell>
          <cell r="DW34">
            <v>102604.15998214994</v>
          </cell>
          <cell r="DX34">
            <v>108235.30567561099</v>
          </cell>
          <cell r="DY34">
            <v>99653.315651006997</v>
          </cell>
          <cell r="DZ34">
            <v>89195.064008620568</v>
          </cell>
          <cell r="EA34">
            <v>78964.680778863447</v>
          </cell>
          <cell r="EB34">
            <v>0</v>
          </cell>
          <cell r="EC34">
            <v>0</v>
          </cell>
          <cell r="ED34">
            <v>0</v>
          </cell>
          <cell r="EE34">
            <v>0</v>
          </cell>
          <cell r="EX34">
            <v>409471.45631054498</v>
          </cell>
          <cell r="EY34">
            <v>423175.75618708867</v>
          </cell>
          <cell r="EZ34">
            <v>569592.10095271957</v>
          </cell>
          <cell r="FA34">
            <v>452450.67916684179</v>
          </cell>
          <cell r="FB34">
            <v>444427.88104374823</v>
          </cell>
          <cell r="FC34">
            <v>500755.47743785905</v>
          </cell>
          <cell r="FD34">
            <v>447620.49609928287</v>
          </cell>
          <cell r="FE34">
            <v>409439.96638459328</v>
          </cell>
          <cell r="FF34">
            <v>430793.96379084251</v>
          </cell>
          <cell r="FG34">
            <v>457570.62568686681</v>
          </cell>
          <cell r="FH34">
            <v>468593.01779128972</v>
          </cell>
          <cell r="FI34">
            <v>421464.37712251151</v>
          </cell>
          <cell r="FM34">
            <v>44156.682982589977</v>
          </cell>
          <cell r="FN34">
            <v>13779.549844079724</v>
          </cell>
          <cell r="FO34">
            <v>53722.6342427087</v>
          </cell>
          <cell r="FP34">
            <v>48504.212018560516</v>
          </cell>
          <cell r="FQ34">
            <v>36984.242692612439</v>
          </cell>
          <cell r="FR34">
            <v>48095.254991076181</v>
          </cell>
          <cell r="FS34">
            <v>38424.589313975608</v>
          </cell>
          <cell r="FT34">
            <v>42536.886162626135</v>
          </cell>
          <cell r="FU34">
            <v>47946.004306804425</v>
          </cell>
          <cell r="FV34">
            <v>57615.416596901166</v>
          </cell>
          <cell r="FW34">
            <v>61472.740996439556</v>
          </cell>
          <cell r="FX34">
            <v>76349.677283214551</v>
          </cell>
          <cell r="GB34">
            <v>98996.808705728807</v>
          </cell>
          <cell r="GC34">
            <v>88409.061246703801</v>
          </cell>
          <cell r="GD34">
            <v>110853.99684129376</v>
          </cell>
          <cell r="GE34">
            <v>111492.01054607751</v>
          </cell>
          <cell r="GF34">
            <v>104197.29991533594</v>
          </cell>
          <cell r="GG34">
            <v>117447.15001245885</v>
          </cell>
          <cell r="GH34">
            <v>72153.099009637139</v>
          </cell>
          <cell r="GI34">
            <v>112633.77595083432</v>
          </cell>
          <cell r="GJ34">
            <v>101299.50592810813</v>
          </cell>
          <cell r="GK34">
            <v>106854.76189057456</v>
          </cell>
          <cell r="GL34">
            <v>109030.44313975101</v>
          </cell>
          <cell r="GM34">
            <v>91719.256475974893</v>
          </cell>
        </row>
        <row r="36">
          <cell r="A36" t="str">
            <v>Labor - Sales &amp; Marketing</v>
          </cell>
          <cell r="C36">
            <v>0</v>
          </cell>
          <cell r="D36">
            <v>0</v>
          </cell>
          <cell r="E36">
            <v>0</v>
          </cell>
          <cell r="F36" t="str">
            <v>n/a</v>
          </cell>
          <cell r="G36">
            <v>68.507956411563413</v>
          </cell>
          <cell r="H36">
            <v>50.71069</v>
          </cell>
          <cell r="J36">
            <v>0</v>
          </cell>
          <cell r="K36">
            <v>0</v>
          </cell>
          <cell r="L36">
            <v>0</v>
          </cell>
          <cell r="M36" t="str">
            <v>n/a</v>
          </cell>
          <cell r="N36">
            <v>59.943563304333473</v>
          </cell>
          <cell r="O36">
            <v>41.972160000000002</v>
          </cell>
          <cell r="Q36">
            <v>0</v>
          </cell>
          <cell r="R36">
            <v>0</v>
          </cell>
          <cell r="S36">
            <v>0</v>
          </cell>
          <cell r="T36" t="str">
            <v>n/a</v>
          </cell>
          <cell r="U36">
            <v>4.0620582887111087</v>
          </cell>
          <cell r="V36">
            <v>1.67642</v>
          </cell>
          <cell r="X36">
            <v>0</v>
          </cell>
          <cell r="Y36">
            <v>0</v>
          </cell>
          <cell r="Z36">
            <v>0</v>
          </cell>
          <cell r="AA36" t="str">
            <v>n/a</v>
          </cell>
          <cell r="AB36">
            <v>4.5023348185188317</v>
          </cell>
          <cell r="AC36">
            <v>7.0621099999999997</v>
          </cell>
          <cell r="AD36">
            <v>893.48853541513574</v>
          </cell>
          <cell r="AE36">
            <v>767.36950000000002</v>
          </cell>
          <cell r="AH36">
            <v>55409.639999999992</v>
          </cell>
          <cell r="AI36">
            <v>58397.13</v>
          </cell>
          <cell r="AJ36">
            <v>79452.17</v>
          </cell>
          <cell r="AK36">
            <v>50383.17</v>
          </cell>
          <cell r="AL36">
            <v>70930.58</v>
          </cell>
          <cell r="AM36">
            <v>62316.15</v>
          </cell>
          <cell r="AN36">
            <v>65045.43</v>
          </cell>
          <cell r="AO36">
            <v>47165.479999999996</v>
          </cell>
          <cell r="AW36">
            <v>6746.74</v>
          </cell>
          <cell r="AX36">
            <v>6539.63</v>
          </cell>
          <cell r="AY36">
            <v>5899.37</v>
          </cell>
          <cell r="AZ36">
            <v>6282.5100000000011</v>
          </cell>
          <cell r="BA36">
            <v>6155.18</v>
          </cell>
          <cell r="BB36">
            <v>5140.79</v>
          </cell>
          <cell r="BC36">
            <v>7678.4</v>
          </cell>
          <cell r="BD36">
            <v>4707.93</v>
          </cell>
          <cell r="BL36">
            <v>8681.9699999999993</v>
          </cell>
          <cell r="BM36">
            <v>7837.01</v>
          </cell>
          <cell r="BN36">
            <v>18209.11</v>
          </cell>
          <cell r="BO36">
            <v>17726.95</v>
          </cell>
          <cell r="BP36">
            <v>17173.509999999998</v>
          </cell>
          <cell r="BQ36">
            <v>23973.8</v>
          </cell>
          <cell r="BR36">
            <v>18409.760000000002</v>
          </cell>
          <cell r="BS36">
            <v>9231.2999999999993</v>
          </cell>
          <cell r="CP36">
            <v>62540.966929095746</v>
          </cell>
          <cell r="CQ36">
            <v>52431.233839182285</v>
          </cell>
          <cell r="CR36">
            <v>63601.294113770375</v>
          </cell>
          <cell r="CS36">
            <v>59421.156632303115</v>
          </cell>
          <cell r="CT36">
            <v>58623.962972085967</v>
          </cell>
          <cell r="CU36">
            <v>61412.459824593221</v>
          </cell>
          <cell r="CV36">
            <v>50780.535040852781</v>
          </cell>
          <cell r="CW36">
            <v>45562.829172504833</v>
          </cell>
          <cell r="DE36">
            <v>4231.7546611823636</v>
          </cell>
          <cell r="DF36">
            <v>4038.5159952766439</v>
          </cell>
          <cell r="DG36">
            <v>5545.1861741235061</v>
          </cell>
          <cell r="DH36">
            <v>4914.8895625159048</v>
          </cell>
          <cell r="DI36">
            <v>5007.4179374469904</v>
          </cell>
          <cell r="DJ36">
            <v>5303.9854556714572</v>
          </cell>
          <cell r="DK36">
            <v>4479.3380558018343</v>
          </cell>
          <cell r="DL36">
            <v>4595.586052424399</v>
          </cell>
          <cell r="DT36">
            <v>4690.424164375092</v>
          </cell>
          <cell r="DU36">
            <v>3734.2253088763628</v>
          </cell>
          <cell r="DV36">
            <v>18351.538844481904</v>
          </cell>
          <cell r="DW36">
            <v>17846.500622032643</v>
          </cell>
          <cell r="DX36">
            <v>18111.883247253631</v>
          </cell>
          <cell r="DY36">
            <v>17539.865247027734</v>
          </cell>
          <cell r="DZ36">
            <v>17428.744415078709</v>
          </cell>
          <cell r="EA36">
            <v>4249.3217226707702</v>
          </cell>
          <cell r="EX36">
            <v>59897.17</v>
          </cell>
          <cell r="EY36">
            <v>67937.89</v>
          </cell>
          <cell r="EZ36">
            <v>33378.51</v>
          </cell>
          <cell r="FA36">
            <v>32250.74</v>
          </cell>
          <cell r="FB36">
            <v>41038.36</v>
          </cell>
          <cell r="FC36">
            <v>40420.400000000001</v>
          </cell>
          <cell r="FD36">
            <v>41120.050000000003</v>
          </cell>
          <cell r="FE36">
            <v>52588.06</v>
          </cell>
          <cell r="FF36">
            <v>41972.160000000003</v>
          </cell>
          <cell r="FG36">
            <v>46497.93</v>
          </cell>
          <cell r="FH36">
            <v>65122.44</v>
          </cell>
          <cell r="FI36">
            <v>53365.23</v>
          </cell>
          <cell r="FM36">
            <v>3223.41</v>
          </cell>
          <cell r="FN36">
            <v>2498</v>
          </cell>
          <cell r="FO36">
            <v>868.04</v>
          </cell>
          <cell r="FP36">
            <v>1384.66</v>
          </cell>
          <cell r="FQ36">
            <v>742.83</v>
          </cell>
          <cell r="FR36">
            <v>1896.95</v>
          </cell>
          <cell r="FS36">
            <v>1322.95</v>
          </cell>
          <cell r="FT36">
            <v>2058.4499999999998</v>
          </cell>
          <cell r="FU36">
            <v>1676.42</v>
          </cell>
          <cell r="FV36">
            <v>1744.79</v>
          </cell>
          <cell r="FW36">
            <v>1988.66</v>
          </cell>
          <cell r="FX36">
            <v>1689.99</v>
          </cell>
          <cell r="GB36">
            <v>23856.89</v>
          </cell>
          <cell r="GC36">
            <v>18835.86</v>
          </cell>
          <cell r="GD36">
            <v>17279.689999999999</v>
          </cell>
          <cell r="GE36">
            <v>38806.17</v>
          </cell>
          <cell r="GF36">
            <v>9303.27</v>
          </cell>
          <cell r="GG36">
            <v>20620.48</v>
          </cell>
          <cell r="GH36">
            <v>4559.7299999999996</v>
          </cell>
          <cell r="GI36">
            <v>8312.25</v>
          </cell>
          <cell r="GJ36">
            <v>7062.11</v>
          </cell>
          <cell r="GK36">
            <v>7334.35</v>
          </cell>
          <cell r="GL36">
            <v>7954.66</v>
          </cell>
          <cell r="GM36">
            <v>6759.95</v>
          </cell>
        </row>
        <row r="37">
          <cell r="A37" t="str">
            <v>Payroll Taxes &amp; Employee Benefits</v>
          </cell>
          <cell r="C37">
            <v>0</v>
          </cell>
          <cell r="D37">
            <v>0</v>
          </cell>
          <cell r="E37">
            <v>0</v>
          </cell>
          <cell r="F37" t="str">
            <v>n/a</v>
          </cell>
          <cell r="G37">
            <v>8.0719045707362831</v>
          </cell>
          <cell r="H37">
            <v>5.0255056802351525</v>
          </cell>
          <cell r="J37">
            <v>0</v>
          </cell>
          <cell r="K37">
            <v>0</v>
          </cell>
          <cell r="L37">
            <v>0</v>
          </cell>
          <cell r="M37" t="str">
            <v>n/a</v>
          </cell>
          <cell r="N37">
            <v>7.0918664978903863</v>
          </cell>
          <cell r="O37">
            <v>4.2772881064535131</v>
          </cell>
          <cell r="Q37">
            <v>0</v>
          </cell>
          <cell r="R37">
            <v>0</v>
          </cell>
          <cell r="S37">
            <v>0</v>
          </cell>
          <cell r="T37" t="str">
            <v>n/a</v>
          </cell>
          <cell r="U37">
            <v>0.46482824027489533</v>
          </cell>
          <cell r="V37">
            <v>0.18664738210581305</v>
          </cell>
          <cell r="X37">
            <v>0</v>
          </cell>
          <cell r="Y37">
            <v>0</v>
          </cell>
          <cell r="Z37">
            <v>0</v>
          </cell>
          <cell r="AA37" t="str">
            <v>n/a</v>
          </cell>
          <cell r="AB37">
            <v>0.5152098325710015</v>
          </cell>
          <cell r="AC37">
            <v>0.56157019167582589</v>
          </cell>
          <cell r="AD37">
            <v>85.137447887913424</v>
          </cell>
          <cell r="AE37">
            <v>94.116948055821581</v>
          </cell>
          <cell r="AH37">
            <v>8112.7900000000009</v>
          </cell>
          <cell r="AI37">
            <v>5332.16</v>
          </cell>
          <cell r="AJ37">
            <v>6911.7199999999993</v>
          </cell>
          <cell r="AK37">
            <v>5660.5300000000007</v>
          </cell>
          <cell r="AL37">
            <v>6857.37</v>
          </cell>
          <cell r="AM37">
            <v>3621.08</v>
          </cell>
          <cell r="AN37">
            <v>3208.37</v>
          </cell>
          <cell r="AO37">
            <v>5884.88</v>
          </cell>
          <cell r="AW37">
            <v>879.3</v>
          </cell>
          <cell r="AX37">
            <v>489.23</v>
          </cell>
          <cell r="AY37">
            <v>579.39</v>
          </cell>
          <cell r="AZ37">
            <v>698.07999999999993</v>
          </cell>
          <cell r="BA37">
            <v>305.23</v>
          </cell>
          <cell r="BB37">
            <v>217.7</v>
          </cell>
          <cell r="BC37">
            <v>211.57999999999998</v>
          </cell>
          <cell r="BD37">
            <v>245.82</v>
          </cell>
          <cell r="BL37">
            <v>997.7</v>
          </cell>
          <cell r="BM37">
            <v>551.95000000000005</v>
          </cell>
          <cell r="BN37">
            <v>1666.63</v>
          </cell>
          <cell r="BO37">
            <v>1462.38</v>
          </cell>
          <cell r="BP37">
            <v>1151.78</v>
          </cell>
          <cell r="BQ37">
            <v>1461.99</v>
          </cell>
          <cell r="BR37">
            <v>882.04</v>
          </cell>
          <cell r="BS37">
            <v>764.81000000000006</v>
          </cell>
          <cell r="CP37">
            <v>7414.1615019740238</v>
          </cell>
          <cell r="CQ37">
            <v>6364.3778772132791</v>
          </cell>
          <cell r="CR37">
            <v>7459.5541991404061</v>
          </cell>
          <cell r="CS37">
            <v>6958.2239192983025</v>
          </cell>
          <cell r="CT37">
            <v>6890.6919066807468</v>
          </cell>
          <cell r="CU37">
            <v>7103.0941198787004</v>
          </cell>
          <cell r="CV37">
            <v>6330.3279417513759</v>
          </cell>
          <cell r="CW37">
            <v>5685.282606806506</v>
          </cell>
          <cell r="DE37">
            <v>486.22935486447619</v>
          </cell>
          <cell r="DF37">
            <v>477.82981128068195</v>
          </cell>
          <cell r="DG37">
            <v>623.84833455271462</v>
          </cell>
          <cell r="DH37">
            <v>558.52352166424998</v>
          </cell>
          <cell r="DI37">
            <v>568.00481295214536</v>
          </cell>
          <cell r="DJ37">
            <v>591.09652435604983</v>
          </cell>
          <cell r="DK37">
            <v>551.79585198273594</v>
          </cell>
          <cell r="DL37">
            <v>574.10477266013686</v>
          </cell>
          <cell r="DT37">
            <v>538.93056145358833</v>
          </cell>
          <cell r="DU37">
            <v>441.82669493121819</v>
          </cell>
          <cell r="DV37">
            <v>2081.745221384972</v>
          </cell>
          <cell r="DW37">
            <v>1992.3885988962256</v>
          </cell>
          <cell r="DX37">
            <v>2019.5876668698666</v>
          </cell>
          <cell r="DY37">
            <v>1954.1998835397972</v>
          </cell>
          <cell r="DZ37">
            <v>2054.9802049778873</v>
          </cell>
          <cell r="EA37">
            <v>530.8476119746897</v>
          </cell>
          <cell r="EX37">
            <v>9517.2188064814327</v>
          </cell>
          <cell r="EY37">
            <v>9360.0490891971895</v>
          </cell>
          <cell r="EZ37">
            <v>4086.5054215634705</v>
          </cell>
          <cell r="FA37">
            <v>4407.3198991245317</v>
          </cell>
          <cell r="FB37">
            <v>5027.9959329607973</v>
          </cell>
          <cell r="FC37">
            <v>5952.4632406716582</v>
          </cell>
          <cell r="FD37">
            <v>5049.8905096438957</v>
          </cell>
          <cell r="FE37">
            <v>6906.0469789330891</v>
          </cell>
          <cell r="FF37">
            <v>4277.2881064535131</v>
          </cell>
          <cell r="FG37">
            <v>5756.5022887021996</v>
          </cell>
          <cell r="FH37">
            <v>6992.1482438958392</v>
          </cell>
          <cell r="FI37">
            <v>5755.5237273651728</v>
          </cell>
          <cell r="FM37">
            <v>441.37797548384395</v>
          </cell>
          <cell r="FN37">
            <v>370.00447674231918</v>
          </cell>
          <cell r="FO37">
            <v>96.208308309848675</v>
          </cell>
          <cell r="FP37">
            <v>133.86463844160198</v>
          </cell>
          <cell r="FQ37">
            <v>80.558556640476723</v>
          </cell>
          <cell r="FR37">
            <v>260.75653874782051</v>
          </cell>
          <cell r="FS37">
            <v>188.01872024939843</v>
          </cell>
          <cell r="FT37">
            <v>204.07295407751079</v>
          </cell>
          <cell r="FU37">
            <v>186.64738210581305</v>
          </cell>
          <cell r="FV37">
            <v>172.38687755460273</v>
          </cell>
          <cell r="FW37">
            <v>191.80100524381925</v>
          </cell>
          <cell r="FX37">
            <v>190.05000155677882</v>
          </cell>
          <cell r="GB37">
            <v>2975.1335659232154</v>
          </cell>
          <cell r="GC37">
            <v>2663.5262593630191</v>
          </cell>
          <cell r="GD37">
            <v>1898.2904618856735</v>
          </cell>
          <cell r="GE37">
            <v>3187.844133556116</v>
          </cell>
          <cell r="GF37">
            <v>962.08155920139257</v>
          </cell>
          <cell r="GG37">
            <v>2875.259197933246</v>
          </cell>
          <cell r="GH37">
            <v>765.08021024569268</v>
          </cell>
          <cell r="GI37">
            <v>633.76118759100132</v>
          </cell>
          <cell r="GJ37">
            <v>561.57019167582587</v>
          </cell>
          <cell r="GK37">
            <v>580.5923909378572</v>
          </cell>
          <cell r="GL37">
            <v>737.13763887041932</v>
          </cell>
          <cell r="GM37">
            <v>671.97157849150392</v>
          </cell>
        </row>
        <row r="38">
          <cell r="A38" t="str">
            <v>Other Sales &amp; Marketing Expense</v>
          </cell>
          <cell r="C38">
            <v>0</v>
          </cell>
          <cell r="D38">
            <v>0</v>
          </cell>
          <cell r="E38">
            <v>0</v>
          </cell>
          <cell r="F38" t="str">
            <v>n/a</v>
          </cell>
          <cell r="G38">
            <v>29.500000000000004</v>
          </cell>
          <cell r="H38">
            <v>22.777090000000001</v>
          </cell>
          <cell r="J38">
            <v>0</v>
          </cell>
          <cell r="K38">
            <v>0</v>
          </cell>
          <cell r="L38">
            <v>0</v>
          </cell>
          <cell r="M38" t="str">
            <v>n/a</v>
          </cell>
          <cell r="N38">
            <v>26.441072074734116</v>
          </cell>
          <cell r="O38">
            <v>18.126249999999999</v>
          </cell>
          <cell r="Q38">
            <v>0</v>
          </cell>
          <cell r="R38">
            <v>0</v>
          </cell>
          <cell r="S38">
            <v>0</v>
          </cell>
          <cell r="T38" t="str">
            <v>n/a</v>
          </cell>
          <cell r="U38">
            <v>1.1121650251128394</v>
          </cell>
          <cell r="V38">
            <v>1.4460900000000001</v>
          </cell>
          <cell r="X38">
            <v>0</v>
          </cell>
          <cell r="Y38">
            <v>0</v>
          </cell>
          <cell r="Z38">
            <v>0</v>
          </cell>
          <cell r="AA38" t="str">
            <v>n/a</v>
          </cell>
          <cell r="AB38">
            <v>1.9467629001530482</v>
          </cell>
          <cell r="AC38">
            <v>3.2047499999999998</v>
          </cell>
          <cell r="AD38">
            <v>313.99666999999999</v>
          </cell>
          <cell r="AE38">
            <v>263.61545399999994</v>
          </cell>
          <cell r="AH38">
            <v>-2152.5270000000005</v>
          </cell>
          <cell r="AI38">
            <v>35441.451000000001</v>
          </cell>
          <cell r="AJ38">
            <v>16800.653999999999</v>
          </cell>
          <cell r="AK38">
            <v>14576.239000000001</v>
          </cell>
          <cell r="AL38">
            <v>13508.694</v>
          </cell>
          <cell r="AM38">
            <v>20799.580999999998</v>
          </cell>
          <cell r="AN38">
            <v>18891.147000000001</v>
          </cell>
          <cell r="AO38">
            <v>19978.995999999999</v>
          </cell>
          <cell r="AW38">
            <v>2182.7230000000009</v>
          </cell>
          <cell r="AX38">
            <v>9176.4860000000008</v>
          </cell>
          <cell r="AY38">
            <v>9322.0090000000018</v>
          </cell>
          <cell r="AZ38">
            <v>1602.5840000000001</v>
          </cell>
          <cell r="BA38">
            <v>4868.0450000000001</v>
          </cell>
          <cell r="BB38">
            <v>2719.549</v>
          </cell>
          <cell r="BC38">
            <v>2776.529</v>
          </cell>
          <cell r="BD38">
            <v>4498.7030000000004</v>
          </cell>
          <cell r="BL38">
            <v>-2167.942</v>
          </cell>
          <cell r="BM38">
            <v>5226.7489999999998</v>
          </cell>
          <cell r="BN38">
            <v>2690.1510000000003</v>
          </cell>
          <cell r="BO38">
            <v>8807.25</v>
          </cell>
          <cell r="BP38">
            <v>9196.0159999999996</v>
          </cell>
          <cell r="BQ38">
            <v>1291.587</v>
          </cell>
          <cell r="BR38">
            <v>5114.7060000000001</v>
          </cell>
          <cell r="BS38">
            <v>1072.0060000000001</v>
          </cell>
          <cell r="CP38">
            <v>23239.107810558584</v>
          </cell>
          <cell r="CQ38">
            <v>31049.648373114469</v>
          </cell>
          <cell r="CR38">
            <v>20568.307160134264</v>
          </cell>
          <cell r="CS38">
            <v>21267.063240999611</v>
          </cell>
          <cell r="CT38">
            <v>21267.063240999611</v>
          </cell>
          <cell r="CU38">
            <v>17982.909660932481</v>
          </cell>
          <cell r="CV38">
            <v>17982.909660932481</v>
          </cell>
          <cell r="CW38">
            <v>19799.675471182381</v>
          </cell>
          <cell r="DE38">
            <v>1149.2371926166009</v>
          </cell>
          <cell r="DF38">
            <v>3391.9337299076651</v>
          </cell>
          <cell r="DG38">
            <v>1306.7285680791824</v>
          </cell>
          <cell r="DH38">
            <v>1445.7422455344145</v>
          </cell>
          <cell r="DI38">
            <v>1445.7422455344145</v>
          </cell>
          <cell r="DJ38">
            <v>792.37796149482347</v>
          </cell>
          <cell r="DK38">
            <v>792.37796149482347</v>
          </cell>
          <cell r="DL38">
            <v>1153.8135228784272</v>
          </cell>
          <cell r="DT38">
            <v>2011.6549968248162</v>
          </cell>
          <cell r="DU38">
            <v>3958.4178969778645</v>
          </cell>
          <cell r="DV38">
            <v>1524.9642717865543</v>
          </cell>
          <cell r="DW38">
            <v>1687.1945134659748</v>
          </cell>
          <cell r="DX38">
            <v>1687.1945134659748</v>
          </cell>
          <cell r="DY38">
            <v>924.71237757269796</v>
          </cell>
          <cell r="DZ38">
            <v>924.71237757269796</v>
          </cell>
          <cell r="EA38">
            <v>1346.5110059391916</v>
          </cell>
          <cell r="EX38">
            <v>10824.996999999999</v>
          </cell>
          <cell r="EY38">
            <v>27572.294000000002</v>
          </cell>
          <cell r="EZ38">
            <v>26685.596999999994</v>
          </cell>
          <cell r="FA38">
            <v>26967.842999999997</v>
          </cell>
          <cell r="FB38">
            <v>362.64900000000034</v>
          </cell>
          <cell r="FC38">
            <v>14786.924000000001</v>
          </cell>
          <cell r="FD38">
            <v>12317.039999999999</v>
          </cell>
          <cell r="FE38">
            <v>13564.32</v>
          </cell>
          <cell r="FF38">
            <v>18126.25</v>
          </cell>
          <cell r="FG38">
            <v>21659.890000000003</v>
          </cell>
          <cell r="FH38">
            <v>17809.989999999998</v>
          </cell>
          <cell r="FI38">
            <v>17074.409999999996</v>
          </cell>
          <cell r="FM38">
            <v>1701.5969999999998</v>
          </cell>
          <cell r="FN38">
            <v>3288.0839999999998</v>
          </cell>
          <cell r="FO38">
            <v>2260.5329999999999</v>
          </cell>
          <cell r="FP38">
            <v>2465.4790000000003</v>
          </cell>
          <cell r="FQ38">
            <v>-210.239</v>
          </cell>
          <cell r="FR38">
            <v>2003.5119999999999</v>
          </cell>
          <cell r="FS38">
            <v>1465.1400000000003</v>
          </cell>
          <cell r="FT38">
            <v>2480.38</v>
          </cell>
          <cell r="FU38">
            <v>1446.0900000000001</v>
          </cell>
          <cell r="FV38">
            <v>3444.39</v>
          </cell>
          <cell r="FW38">
            <v>4250.54</v>
          </cell>
          <cell r="FX38">
            <v>1545.15</v>
          </cell>
          <cell r="GB38">
            <v>2348.3179999999998</v>
          </cell>
          <cell r="GC38">
            <v>6598.0959999999995</v>
          </cell>
          <cell r="GD38">
            <v>5105.652</v>
          </cell>
          <cell r="GE38">
            <v>5319.5460000000012</v>
          </cell>
          <cell r="GF38">
            <v>-1108.7359999999999</v>
          </cell>
          <cell r="GG38">
            <v>608.85800000000017</v>
          </cell>
          <cell r="GH38">
            <v>3144.75</v>
          </cell>
          <cell r="GI38">
            <v>-821.07999999999993</v>
          </cell>
          <cell r="GJ38">
            <v>3204.7499999999995</v>
          </cell>
          <cell r="GK38">
            <v>645.08000000000004</v>
          </cell>
          <cell r="GL38">
            <v>1862.5099999999998</v>
          </cell>
          <cell r="GM38">
            <v>2814.85</v>
          </cell>
        </row>
        <row r="39">
          <cell r="A39" t="str">
            <v>Sales &amp; Marketing Expense</v>
          </cell>
          <cell r="C39">
            <v>0</v>
          </cell>
          <cell r="D39">
            <v>0</v>
          </cell>
          <cell r="E39">
            <v>0</v>
          </cell>
          <cell r="F39" t="str">
            <v>n/a</v>
          </cell>
          <cell r="G39">
            <v>106.07986098229969</v>
          </cell>
          <cell r="H39">
            <v>78.513285680235157</v>
          </cell>
          <cell r="J39">
            <v>0</v>
          </cell>
          <cell r="K39">
            <v>0</v>
          </cell>
          <cell r="L39">
            <v>0</v>
          </cell>
          <cell r="M39" t="str">
            <v>n/a</v>
          </cell>
          <cell r="N39">
            <v>93.476501876957968</v>
          </cell>
          <cell r="O39">
            <v>64.375698106453513</v>
          </cell>
          <cell r="Q39">
            <v>0</v>
          </cell>
          <cell r="R39">
            <v>0</v>
          </cell>
          <cell r="S39">
            <v>0</v>
          </cell>
          <cell r="T39" t="str">
            <v>n/a</v>
          </cell>
          <cell r="U39">
            <v>5.6390515540988435</v>
          </cell>
          <cell r="V39">
            <v>3.3091573821058131</v>
          </cell>
          <cell r="X39">
            <v>0</v>
          </cell>
          <cell r="Y39">
            <v>0</v>
          </cell>
          <cell r="Z39">
            <v>0</v>
          </cell>
          <cell r="AA39" t="str">
            <v>n/a</v>
          </cell>
          <cell r="AB39">
            <v>6.9643075512428823</v>
          </cell>
          <cell r="AC39">
            <v>10.828430191675825</v>
          </cell>
          <cell r="AD39">
            <v>1292.6226533030492</v>
          </cell>
          <cell r="AE39">
            <v>1125.1019020558215</v>
          </cell>
          <cell r="AH39">
            <v>61369.902999999991</v>
          </cell>
          <cell r="AI39">
            <v>99170.740999999995</v>
          </cell>
          <cell r="AJ39">
            <v>103164.54399999999</v>
          </cell>
          <cell r="AK39">
            <v>70619.938999999998</v>
          </cell>
          <cell r="AL39">
            <v>91296.644</v>
          </cell>
          <cell r="AM39">
            <v>86736.810999999987</v>
          </cell>
          <cell r="AN39">
            <v>87144.947</v>
          </cell>
          <cell r="AO39">
            <v>73029.356</v>
          </cell>
          <cell r="AP39">
            <v>0</v>
          </cell>
          <cell r="AQ39">
            <v>0</v>
          </cell>
          <cell r="AR39">
            <v>0</v>
          </cell>
          <cell r="AS39">
            <v>0</v>
          </cell>
          <cell r="AW39">
            <v>9808.7630000000008</v>
          </cell>
          <cell r="AX39">
            <v>16205.346000000001</v>
          </cell>
          <cell r="AY39">
            <v>15800.769000000002</v>
          </cell>
          <cell r="AZ39">
            <v>8583.1740000000009</v>
          </cell>
          <cell r="BA39">
            <v>11328.455</v>
          </cell>
          <cell r="BB39">
            <v>8078.0389999999998</v>
          </cell>
          <cell r="BC39">
            <v>10666.509</v>
          </cell>
          <cell r="BD39">
            <v>9452.4530000000013</v>
          </cell>
          <cell r="BE39">
            <v>0</v>
          </cell>
          <cell r="BF39">
            <v>0</v>
          </cell>
          <cell r="BG39">
            <v>0</v>
          </cell>
          <cell r="BH39">
            <v>0</v>
          </cell>
          <cell r="BL39">
            <v>7511.7280000000001</v>
          </cell>
          <cell r="BM39">
            <v>13615.709000000001</v>
          </cell>
          <cell r="BN39">
            <v>22565.891000000003</v>
          </cell>
          <cell r="BO39">
            <v>27996.58</v>
          </cell>
          <cell r="BP39">
            <v>27521.305999999997</v>
          </cell>
          <cell r="BQ39">
            <v>26727.377</v>
          </cell>
          <cell r="BR39">
            <v>24406.506000000001</v>
          </cell>
          <cell r="BS39">
            <v>11068.115999999998</v>
          </cell>
          <cell r="BT39">
            <v>0</v>
          </cell>
          <cell r="BU39">
            <v>0</v>
          </cell>
          <cell r="BV39">
            <v>0</v>
          </cell>
          <cell r="BW39">
            <v>0</v>
          </cell>
          <cell r="CP39">
            <v>93194.236241628358</v>
          </cell>
          <cell r="CQ39">
            <v>89845.260089510033</v>
          </cell>
          <cell r="CR39">
            <v>91629.155473045044</v>
          </cell>
          <cell r="CS39">
            <v>87646.443792601029</v>
          </cell>
          <cell r="CT39">
            <v>86781.71811976633</v>
          </cell>
          <cell r="CU39">
            <v>86498.463605404395</v>
          </cell>
          <cell r="CV39">
            <v>75093.772643536635</v>
          </cell>
          <cell r="CW39">
            <v>71047.787250493711</v>
          </cell>
          <cell r="CX39">
            <v>0</v>
          </cell>
          <cell r="CY39">
            <v>0</v>
          </cell>
          <cell r="CZ39">
            <v>0</v>
          </cell>
          <cell r="DA39">
            <v>0</v>
          </cell>
          <cell r="DE39">
            <v>5867.2212086634408</v>
          </cell>
          <cell r="DF39">
            <v>7908.279536464991</v>
          </cell>
          <cell r="DG39">
            <v>7475.7630767554037</v>
          </cell>
          <cell r="DH39">
            <v>6919.1553297145692</v>
          </cell>
          <cell r="DI39">
            <v>7021.16499593355</v>
          </cell>
          <cell r="DJ39">
            <v>6687.4599415223302</v>
          </cell>
          <cell r="DK39">
            <v>5823.511869279394</v>
          </cell>
          <cell r="DL39">
            <v>6323.5043479629621</v>
          </cell>
          <cell r="DM39">
            <v>0</v>
          </cell>
          <cell r="DN39">
            <v>0</v>
          </cell>
          <cell r="DO39">
            <v>0</v>
          </cell>
          <cell r="DP39">
            <v>0</v>
          </cell>
          <cell r="DT39">
            <v>7241.0097226534963</v>
          </cell>
          <cell r="DU39">
            <v>8134.4699007854451</v>
          </cell>
          <cell r="DV39">
            <v>21958.248337653429</v>
          </cell>
          <cell r="DW39">
            <v>21526.083734394844</v>
          </cell>
          <cell r="DX39">
            <v>21818.665427589473</v>
          </cell>
          <cell r="DY39">
            <v>20418.777508140229</v>
          </cell>
          <cell r="DZ39">
            <v>20408.436997629295</v>
          </cell>
          <cell r="EA39">
            <v>6126.6803405846513</v>
          </cell>
          <cell r="EB39">
            <v>0</v>
          </cell>
          <cell r="EC39">
            <v>0</v>
          </cell>
          <cell r="ED39">
            <v>0</v>
          </cell>
          <cell r="EE39">
            <v>0</v>
          </cell>
          <cell r="EX39">
            <v>80239.385806481441</v>
          </cell>
          <cell r="EY39">
            <v>104870.23308919719</v>
          </cell>
          <cell r="EZ39">
            <v>64150.61242156347</v>
          </cell>
          <cell r="FA39">
            <v>63625.902899124529</v>
          </cell>
          <cell r="FB39">
            <v>46429.004932960794</v>
          </cell>
          <cell r="FC39">
            <v>61159.787240671656</v>
          </cell>
          <cell r="FD39">
            <v>58486.980509643901</v>
          </cell>
          <cell r="FE39">
            <v>73058.426978933087</v>
          </cell>
          <cell r="FF39">
            <v>64375.698106453514</v>
          </cell>
          <cell r="FG39">
            <v>73914.322288702198</v>
          </cell>
          <cell r="FH39">
            <v>89924.578243895841</v>
          </cell>
          <cell r="FI39">
            <v>76195.163727365172</v>
          </cell>
          <cell r="FM39">
            <v>5366.3849754838429</v>
          </cell>
          <cell r="FN39">
            <v>6156.0884767423195</v>
          </cell>
          <cell r="FO39">
            <v>3224.7813083098486</v>
          </cell>
          <cell r="FP39">
            <v>3984.0036384416026</v>
          </cell>
          <cell r="FQ39">
            <v>613.1495566404767</v>
          </cell>
          <cell r="FR39">
            <v>4161.2185387478203</v>
          </cell>
          <cell r="FS39">
            <v>2976.1087202493991</v>
          </cell>
          <cell r="FT39">
            <v>4742.9029540775109</v>
          </cell>
          <cell r="FU39">
            <v>3309.1573821058132</v>
          </cell>
          <cell r="FV39">
            <v>5361.5668775546028</v>
          </cell>
          <cell r="FW39">
            <v>6431.0010052438192</v>
          </cell>
          <cell r="FX39">
            <v>3425.190001556779</v>
          </cell>
          <cell r="GB39">
            <v>29180.341565923212</v>
          </cell>
          <cell r="GC39">
            <v>28097.482259363016</v>
          </cell>
          <cell r="GD39">
            <v>24283.632461885674</v>
          </cell>
          <cell r="GE39">
            <v>47313.560133556115</v>
          </cell>
          <cell r="GF39">
            <v>9156.6155592013929</v>
          </cell>
          <cell r="GG39">
            <v>24104.597197933246</v>
          </cell>
          <cell r="GH39">
            <v>8469.5602102456924</v>
          </cell>
          <cell r="GI39">
            <v>8124.9311875910007</v>
          </cell>
          <cell r="GJ39">
            <v>10828.430191675825</v>
          </cell>
          <cell r="GK39">
            <v>8560.0223909378583</v>
          </cell>
          <cell r="GL39">
            <v>10554.307638870419</v>
          </cell>
          <cell r="GM39">
            <v>10246.771578491504</v>
          </cell>
        </row>
        <row r="41">
          <cell r="A41" t="str">
            <v>Labor - General &amp; Administrative</v>
          </cell>
          <cell r="C41">
            <v>0</v>
          </cell>
          <cell r="D41">
            <v>0</v>
          </cell>
          <cell r="E41">
            <v>0</v>
          </cell>
          <cell r="F41" t="str">
            <v>n/a</v>
          </cell>
          <cell r="G41">
            <v>71.453792162084369</v>
          </cell>
          <cell r="H41">
            <v>94.858750000000001</v>
          </cell>
          <cell r="J41">
            <v>0</v>
          </cell>
          <cell r="K41">
            <v>0</v>
          </cell>
          <cell r="L41">
            <v>0</v>
          </cell>
          <cell r="M41" t="str">
            <v>n/a</v>
          </cell>
          <cell r="N41">
            <v>56.06922666555046</v>
          </cell>
          <cell r="O41">
            <v>72.656580000000005</v>
          </cell>
          <cell r="Q41">
            <v>0</v>
          </cell>
          <cell r="R41">
            <v>0</v>
          </cell>
          <cell r="S41">
            <v>0</v>
          </cell>
          <cell r="T41" t="str">
            <v>n/a</v>
          </cell>
          <cell r="U41">
            <v>7.2968394854106799</v>
          </cell>
          <cell r="V41">
            <v>4.2593100000000002</v>
          </cell>
          <cell r="X41">
            <v>0</v>
          </cell>
          <cell r="Y41">
            <v>0</v>
          </cell>
          <cell r="Z41">
            <v>0</v>
          </cell>
          <cell r="AA41" t="str">
            <v>n/a</v>
          </cell>
          <cell r="AB41">
            <v>8.0877260111232285</v>
          </cell>
          <cell r="AC41">
            <v>17.94286</v>
          </cell>
          <cell r="AD41">
            <v>892.16716866304535</v>
          </cell>
          <cell r="AE41">
            <v>1097.9114999999999</v>
          </cell>
          <cell r="AH41">
            <v>55471.498</v>
          </cell>
          <cell r="AI41">
            <v>61949.36</v>
          </cell>
          <cell r="AJ41">
            <v>71353.41</v>
          </cell>
          <cell r="AK41">
            <v>52599.849999999991</v>
          </cell>
          <cell r="AL41">
            <v>78061</v>
          </cell>
          <cell r="AM41">
            <v>79133.260000000009</v>
          </cell>
          <cell r="AN41">
            <v>56220.2</v>
          </cell>
          <cell r="AO41">
            <v>55942.59</v>
          </cell>
          <cell r="AW41">
            <v>6028.701</v>
          </cell>
          <cell r="AX41">
            <v>6821.45</v>
          </cell>
          <cell r="AY41">
            <v>7202.77</v>
          </cell>
          <cell r="AZ41">
            <v>11310.289999999999</v>
          </cell>
          <cell r="BA41">
            <v>9119.619999999999</v>
          </cell>
          <cell r="BB41">
            <v>10455.11</v>
          </cell>
          <cell r="BC41">
            <v>7134.85</v>
          </cell>
          <cell r="BD41">
            <v>6344.96</v>
          </cell>
          <cell r="BL41">
            <v>6028.701</v>
          </cell>
          <cell r="BM41">
            <v>6821.45</v>
          </cell>
          <cell r="BN41">
            <v>7202.77</v>
          </cell>
          <cell r="BO41">
            <v>13536.069999999998</v>
          </cell>
          <cell r="BP41">
            <v>9389.619999999999</v>
          </cell>
          <cell r="BQ41">
            <v>10995.11</v>
          </cell>
          <cell r="BR41">
            <v>7434.85</v>
          </cell>
          <cell r="BS41">
            <v>6344.96</v>
          </cell>
          <cell r="CP41">
            <v>58812.356577489882</v>
          </cell>
          <cell r="CQ41">
            <v>46935.880382535834</v>
          </cell>
          <cell r="CR41">
            <v>61650.966481031173</v>
          </cell>
          <cell r="CS41">
            <v>57895.416551411756</v>
          </cell>
          <cell r="CT41">
            <v>57843.767166981408</v>
          </cell>
          <cell r="CU41">
            <v>55871.999071472208</v>
          </cell>
          <cell r="CV41">
            <v>47261.063047758835</v>
          </cell>
          <cell r="CW41">
            <v>49772.169607788666</v>
          </cell>
          <cell r="DE41">
            <v>7653.8299389164149</v>
          </cell>
          <cell r="DF41">
            <v>7483.2530105591359</v>
          </cell>
          <cell r="DG41">
            <v>9829.3624571004857</v>
          </cell>
          <cell r="DH41">
            <v>9230.5938798823918</v>
          </cell>
          <cell r="DI41">
            <v>9222.3591262486716</v>
          </cell>
          <cell r="DJ41">
            <v>8907.9889809230517</v>
          </cell>
          <cell r="DK41">
            <v>7535.0987230221563</v>
          </cell>
          <cell r="DL41">
            <v>7935.4586517595317</v>
          </cell>
          <cell r="DT41">
            <v>8483.4097838461676</v>
          </cell>
          <cell r="DU41">
            <v>6919.4111939727381</v>
          </cell>
          <cell r="DV41">
            <v>9088.7479708767241</v>
          </cell>
          <cell r="DW41">
            <v>8535.0949018229421</v>
          </cell>
          <cell r="DX41">
            <v>8527.480613438951</v>
          </cell>
          <cell r="DY41">
            <v>8236.7973638484909</v>
          </cell>
          <cell r="DZ41">
            <v>6967.3504795574854</v>
          </cell>
          <cell r="EA41">
            <v>7337.5444271113893</v>
          </cell>
          <cell r="EX41">
            <v>78259.69</v>
          </cell>
          <cell r="EY41">
            <v>88964.75</v>
          </cell>
          <cell r="EZ41">
            <v>67719.95</v>
          </cell>
          <cell r="FA41">
            <v>54161.27</v>
          </cell>
          <cell r="FB41">
            <v>58730.03</v>
          </cell>
          <cell r="FC41">
            <v>79660.19</v>
          </cell>
          <cell r="FD41">
            <v>80855.28</v>
          </cell>
          <cell r="FE41">
            <v>73679.64</v>
          </cell>
          <cell r="FF41">
            <v>72656.58</v>
          </cell>
          <cell r="FG41">
            <v>71127.33</v>
          </cell>
          <cell r="FH41">
            <v>69070.3</v>
          </cell>
          <cell r="FI41">
            <v>54879.65</v>
          </cell>
          <cell r="FM41">
            <v>5159.24</v>
          </cell>
          <cell r="FN41">
            <v>4714.72</v>
          </cell>
          <cell r="FO41">
            <v>4058.3</v>
          </cell>
          <cell r="FP41">
            <v>3612.79</v>
          </cell>
          <cell r="FQ41">
            <v>3593.41</v>
          </cell>
          <cell r="FR41">
            <v>5361.73</v>
          </cell>
          <cell r="FS41">
            <v>3844.56</v>
          </cell>
          <cell r="FT41">
            <v>5384.26</v>
          </cell>
          <cell r="FU41">
            <v>4259.3100000000004</v>
          </cell>
          <cell r="FV41">
            <v>4509.7299999999996</v>
          </cell>
          <cell r="FW41">
            <v>4012.79</v>
          </cell>
          <cell r="FX41">
            <v>3140.64</v>
          </cell>
          <cell r="GB41">
            <v>18953.45</v>
          </cell>
          <cell r="GC41">
            <v>16554.62</v>
          </cell>
          <cell r="GD41">
            <v>14834.89</v>
          </cell>
          <cell r="GE41">
            <v>15073.98</v>
          </cell>
          <cell r="GF41">
            <v>12896.59</v>
          </cell>
          <cell r="GG41">
            <v>17675.22</v>
          </cell>
          <cell r="GH41">
            <v>13250.8</v>
          </cell>
          <cell r="GI41">
            <v>21742.27</v>
          </cell>
          <cell r="GJ41">
            <v>17942.86</v>
          </cell>
          <cell r="GK41">
            <v>18956.95</v>
          </cell>
          <cell r="GL41">
            <v>16051.16</v>
          </cell>
          <cell r="GM41">
            <v>12562.57</v>
          </cell>
        </row>
        <row r="42">
          <cell r="A42" t="str">
            <v>Payroll Taxes &amp; Employee Benefits</v>
          </cell>
          <cell r="C42">
            <v>0</v>
          </cell>
          <cell r="D42">
            <v>0</v>
          </cell>
          <cell r="E42">
            <v>0</v>
          </cell>
          <cell r="F42" t="str">
            <v>n/a</v>
          </cell>
          <cell r="G42">
            <v>9.4621467478829473</v>
          </cell>
          <cell r="H42">
            <v>9.3052802940097976</v>
          </cell>
          <cell r="J42">
            <v>0</v>
          </cell>
          <cell r="K42">
            <v>0</v>
          </cell>
          <cell r="L42">
            <v>0</v>
          </cell>
          <cell r="M42" t="str">
            <v>n/a</v>
          </cell>
          <cell r="N42">
            <v>7.4248718604926456</v>
          </cell>
          <cell r="O42">
            <v>7.4042681027039867</v>
          </cell>
          <cell r="Q42">
            <v>0</v>
          </cell>
          <cell r="R42">
            <v>0</v>
          </cell>
          <cell r="S42">
            <v>0</v>
          </cell>
          <cell r="T42" t="str">
            <v>n/a</v>
          </cell>
          <cell r="U42">
            <v>0.9662715430146106</v>
          </cell>
          <cell r="V42">
            <v>0.47421831108976914</v>
          </cell>
          <cell r="X42">
            <v>0</v>
          </cell>
          <cell r="Y42">
            <v>0</v>
          </cell>
          <cell r="Z42">
            <v>0</v>
          </cell>
          <cell r="AA42" t="str">
            <v>n/a</v>
          </cell>
          <cell r="AB42">
            <v>1.0710033443756926</v>
          </cell>
          <cell r="AC42">
            <v>1.4267938802160416</v>
          </cell>
          <cell r="AD42">
            <v>112.64805834345427</v>
          </cell>
          <cell r="AE42">
            <v>137.0261438759216</v>
          </cell>
          <cell r="AH42">
            <v>12399.779999999999</v>
          </cell>
          <cell r="AI42">
            <v>7582.93</v>
          </cell>
          <cell r="AJ42">
            <v>8996.06</v>
          </cell>
          <cell r="AK42">
            <v>8593.52</v>
          </cell>
          <cell r="AL42">
            <v>7807.42</v>
          </cell>
          <cell r="AM42">
            <v>6425.49</v>
          </cell>
          <cell r="AN42">
            <v>6361.4</v>
          </cell>
          <cell r="AO42">
            <v>7049</v>
          </cell>
          <cell r="AW42">
            <v>1371.17</v>
          </cell>
          <cell r="AX42">
            <v>722.52</v>
          </cell>
          <cell r="AY42">
            <v>944.62000000000012</v>
          </cell>
          <cell r="AZ42">
            <v>914</v>
          </cell>
          <cell r="BA42">
            <v>800.42</v>
          </cell>
          <cell r="BB42">
            <v>648.16000000000008</v>
          </cell>
          <cell r="BC42">
            <v>644.31999999999994</v>
          </cell>
          <cell r="BD42">
            <v>767.15</v>
          </cell>
          <cell r="BL42">
            <v>1371.17</v>
          </cell>
          <cell r="BM42">
            <v>722.52</v>
          </cell>
          <cell r="BN42">
            <v>944.62000000000012</v>
          </cell>
          <cell r="BO42">
            <v>914</v>
          </cell>
          <cell r="BP42">
            <v>800.42</v>
          </cell>
          <cell r="BQ42">
            <v>648.16000000000008</v>
          </cell>
          <cell r="BR42">
            <v>644.31999999999994</v>
          </cell>
          <cell r="BS42">
            <v>767.15</v>
          </cell>
          <cell r="CP42">
            <v>7765.5454690208126</v>
          </cell>
          <cell r="CQ42">
            <v>6509.5972364575509</v>
          </cell>
          <cell r="CR42">
            <v>7979.718996424459</v>
          </cell>
          <cell r="CS42">
            <v>7457.0940159554893</v>
          </cell>
          <cell r="CT42">
            <v>7453.2290919049137</v>
          </cell>
          <cell r="CU42">
            <v>7227.3107411822739</v>
          </cell>
          <cell r="CV42">
            <v>6889.1276891601719</v>
          </cell>
          <cell r="CW42">
            <v>7093.16168809997</v>
          </cell>
          <cell r="DE42">
            <v>1010.6067476567855</v>
          </cell>
          <cell r="DF42">
            <v>1037.8619239743459</v>
          </cell>
          <cell r="DG42">
            <v>1272.2517553037756</v>
          </cell>
          <cell r="DH42">
            <v>1188.926697232786</v>
          </cell>
          <cell r="DI42">
            <v>1188.3104905205366</v>
          </cell>
          <cell r="DJ42">
            <v>1152.2910494360822</v>
          </cell>
          <cell r="DK42">
            <v>1098.3726117389783</v>
          </cell>
          <cell r="DL42">
            <v>1130.9029067793326</v>
          </cell>
          <cell r="DT42">
            <v>1120.1439330524636</v>
          </cell>
          <cell r="DU42">
            <v>959.66198181632649</v>
          </cell>
          <cell r="DV42">
            <v>1176.3912064417354</v>
          </cell>
          <cell r="DW42">
            <v>1099.3444543485898</v>
          </cell>
          <cell r="DX42">
            <v>1098.7746770583494</v>
          </cell>
          <cell r="DY42">
            <v>1065.4691983462521</v>
          </cell>
          <cell r="DZ42">
            <v>1015.6133614747168</v>
          </cell>
          <cell r="EA42">
            <v>1045.692591366831</v>
          </cell>
          <cell r="EX42">
            <v>12434.887882973551</v>
          </cell>
          <cell r="EY42">
            <v>12256.99572371405</v>
          </cell>
          <cell r="EZ42">
            <v>8290.9016257168805</v>
          </cell>
          <cell r="FA42">
            <v>7401.5679340336537</v>
          </cell>
          <cell r="FB42">
            <v>7195.5690232910274</v>
          </cell>
          <cell r="FC42">
            <v>11731.065321469358</v>
          </cell>
          <cell r="FD42">
            <v>9929.7133910732082</v>
          </cell>
          <cell r="FE42">
            <v>9675.8666364737073</v>
          </cell>
          <cell r="FF42">
            <v>7404.2681027039871</v>
          </cell>
          <cell r="FG42">
            <v>8805.6530244309088</v>
          </cell>
          <cell r="FH42">
            <v>8171.568964814418</v>
          </cell>
          <cell r="FI42">
            <v>6741.749150123358</v>
          </cell>
          <cell r="FM42">
            <v>706.44904192617992</v>
          </cell>
          <cell r="FN42">
            <v>698.3456791779613</v>
          </cell>
          <cell r="FO42">
            <v>449.79744898145123</v>
          </cell>
          <cell r="FP42">
            <v>349.27334299787327</v>
          </cell>
          <cell r="FQ42">
            <v>389.69875074708267</v>
          </cell>
          <cell r="FR42">
            <v>737.0284701759939</v>
          </cell>
          <cell r="FS42">
            <v>546.3919657749932</v>
          </cell>
          <cell r="FT42">
            <v>533.79088329635329</v>
          </cell>
          <cell r="FU42">
            <v>474.21831108976914</v>
          </cell>
          <cell r="FV42">
            <v>445.56552554423087</v>
          </cell>
          <cell r="FW42">
            <v>387.02299831662799</v>
          </cell>
          <cell r="FX42">
            <v>353.18471522865923</v>
          </cell>
          <cell r="GB42">
            <v>2363.6377283479687</v>
          </cell>
          <cell r="GC42">
            <v>2340.9424939331798</v>
          </cell>
          <cell r="GD42">
            <v>1629.7126968205539</v>
          </cell>
          <cell r="GE42">
            <v>1238.2953203663806</v>
          </cell>
          <cell r="GF42">
            <v>1333.6785254626693</v>
          </cell>
          <cell r="GG42">
            <v>2464.5807896078886</v>
          </cell>
          <cell r="GH42">
            <v>2223.3607801171611</v>
          </cell>
          <cell r="GI42">
            <v>1657.7228615746881</v>
          </cell>
          <cell r="GJ42">
            <v>1426.7938802160415</v>
          </cell>
          <cell r="GK42">
            <v>1500.6457184875842</v>
          </cell>
          <cell r="GL42">
            <v>1487.419221378578</v>
          </cell>
          <cell r="GM42">
            <v>1248.7799455336226</v>
          </cell>
        </row>
        <row r="43">
          <cell r="A43" t="str">
            <v>Other General &amp; Administrative Expense</v>
          </cell>
          <cell r="C43">
            <v>0</v>
          </cell>
          <cell r="D43">
            <v>0</v>
          </cell>
          <cell r="E43">
            <v>0</v>
          </cell>
          <cell r="F43" t="str">
            <v>n/a</v>
          </cell>
          <cell r="G43">
            <v>30.2</v>
          </cell>
          <cell r="H43">
            <v>33.280019999999979</v>
          </cell>
          <cell r="J43">
            <v>0</v>
          </cell>
          <cell r="K43">
            <v>0</v>
          </cell>
          <cell r="L43">
            <v>0</v>
          </cell>
          <cell r="M43" t="str">
            <v>n/a</v>
          </cell>
          <cell r="N43">
            <v>23.630384761495357</v>
          </cell>
          <cell r="O43">
            <v>20.289539999999985</v>
          </cell>
          <cell r="Q43">
            <v>0</v>
          </cell>
          <cell r="R43">
            <v>0</v>
          </cell>
          <cell r="S43">
            <v>0</v>
          </cell>
          <cell r="T43" t="str">
            <v>n/a</v>
          </cell>
          <cell r="U43">
            <v>2.4186452848575497</v>
          </cell>
          <cell r="V43">
            <v>1.7830499999999987</v>
          </cell>
          <cell r="X43">
            <v>0</v>
          </cell>
          <cell r="Y43">
            <v>0</v>
          </cell>
          <cell r="Z43">
            <v>0</v>
          </cell>
          <cell r="AA43" t="str">
            <v>n/a</v>
          </cell>
          <cell r="AB43">
            <v>4.150969953647091</v>
          </cell>
          <cell r="AC43">
            <v>11.207429999999997</v>
          </cell>
          <cell r="AD43">
            <v>342.07297000000023</v>
          </cell>
          <cell r="AE43">
            <v>534.94555500000001</v>
          </cell>
          <cell r="AH43">
            <v>5465.0170000000144</v>
          </cell>
          <cell r="AI43">
            <v>17186.208999999995</v>
          </cell>
          <cell r="AJ43">
            <v>13342.415999999979</v>
          </cell>
          <cell r="AK43">
            <v>11713.041000000003</v>
          </cell>
          <cell r="AL43">
            <v>20205.665999999997</v>
          </cell>
          <cell r="AM43">
            <v>12749.138999999986</v>
          </cell>
          <cell r="AN43">
            <v>11773.522999999996</v>
          </cell>
          <cell r="AO43">
            <v>14729.664000000002</v>
          </cell>
          <cell r="AW43">
            <v>14352.026999999996</v>
          </cell>
          <cell r="AX43">
            <v>3521.9139999999984</v>
          </cell>
          <cell r="AY43">
            <v>3469.4910000000027</v>
          </cell>
          <cell r="AZ43">
            <v>13505.235999999999</v>
          </cell>
          <cell r="BA43">
            <v>16535.075000000004</v>
          </cell>
          <cell r="BB43">
            <v>1673.4509999999991</v>
          </cell>
          <cell r="BC43">
            <v>4962.9209999999994</v>
          </cell>
          <cell r="BD43">
            <v>1821.5769999999982</v>
          </cell>
          <cell r="BL43">
            <v>9018.4419999999973</v>
          </cell>
          <cell r="BM43">
            <v>10429.621000000001</v>
          </cell>
          <cell r="BN43">
            <v>8901.0889999999981</v>
          </cell>
          <cell r="BO43">
            <v>-2293.34</v>
          </cell>
          <cell r="BP43">
            <v>3097.2440000000006</v>
          </cell>
          <cell r="BQ43">
            <v>1692.7829999999994</v>
          </cell>
          <cell r="BR43">
            <v>1947.8740000000016</v>
          </cell>
          <cell r="BS43">
            <v>3794.9740000000011</v>
          </cell>
          <cell r="CP43">
            <v>25076.015943320228</v>
          </cell>
          <cell r="CQ43">
            <v>23293.772441889341</v>
          </cell>
          <cell r="CR43">
            <v>23293.772441889345</v>
          </cell>
          <cell r="CS43">
            <v>27693.772441889341</v>
          </cell>
          <cell r="CT43">
            <v>26493.772441889338</v>
          </cell>
          <cell r="CU43">
            <v>23093.772441889345</v>
          </cell>
          <cell r="CV43">
            <v>27373.772441889341</v>
          </cell>
          <cell r="CW43">
            <v>25373.772441889349</v>
          </cell>
          <cell r="DE43">
            <v>2372.6140841106285</v>
          </cell>
          <cell r="DF43">
            <v>2825.8479527901777</v>
          </cell>
          <cell r="DG43">
            <v>2825.84795279018</v>
          </cell>
          <cell r="DH43">
            <v>3375.84795279018</v>
          </cell>
          <cell r="DI43">
            <v>3225.8479527901818</v>
          </cell>
          <cell r="DJ43">
            <v>2925.84795279018</v>
          </cell>
          <cell r="DK43">
            <v>3585.8479527901777</v>
          </cell>
          <cell r="DL43">
            <v>3335.8479527901795</v>
          </cell>
          <cell r="DT43">
            <v>4151.3699725691376</v>
          </cell>
          <cell r="DU43">
            <v>3980.379605320491</v>
          </cell>
          <cell r="DV43">
            <v>3980.379605320491</v>
          </cell>
          <cell r="DW43">
            <v>4530.3796053204915</v>
          </cell>
          <cell r="DX43">
            <v>4380.3796053204887</v>
          </cell>
          <cell r="DY43">
            <v>4080.3796053204906</v>
          </cell>
          <cell r="DZ43">
            <v>4740.3796053204896</v>
          </cell>
          <cell r="EA43">
            <v>4490.3796053204906</v>
          </cell>
          <cell r="EX43">
            <v>21147.814999999999</v>
          </cell>
          <cell r="EY43">
            <v>35314.095000000016</v>
          </cell>
          <cell r="EZ43">
            <v>21085.210000000039</v>
          </cell>
          <cell r="FA43">
            <v>22362.99500000001</v>
          </cell>
          <cell r="FB43">
            <v>17446.729999999996</v>
          </cell>
          <cell r="FC43">
            <v>30243.360000000004</v>
          </cell>
          <cell r="FD43">
            <v>23813.740000000005</v>
          </cell>
          <cell r="FE43">
            <v>30213.579999999994</v>
          </cell>
          <cell r="FF43">
            <v>20289.539999999986</v>
          </cell>
          <cell r="FG43">
            <v>30421.250000000018</v>
          </cell>
          <cell r="FH43">
            <v>22271.270000000004</v>
          </cell>
          <cell r="FI43">
            <v>24380.93</v>
          </cell>
          <cell r="FM43">
            <v>2061.2399999999989</v>
          </cell>
          <cell r="FN43">
            <v>3671.8299999999986</v>
          </cell>
          <cell r="FO43">
            <v>1907.3000000000006</v>
          </cell>
          <cell r="FP43">
            <v>1935.9699999999993</v>
          </cell>
          <cell r="FQ43">
            <v>1893.3400000000008</v>
          </cell>
          <cell r="FR43">
            <v>1861.3899999999994</v>
          </cell>
          <cell r="FS43">
            <v>9355.42</v>
          </cell>
          <cell r="FT43">
            <v>2641.3000000000011</v>
          </cell>
          <cell r="FU43">
            <v>1783.0499999999986</v>
          </cell>
          <cell r="FV43">
            <v>10343.259999999998</v>
          </cell>
          <cell r="FW43">
            <v>10976.850000000002</v>
          </cell>
          <cell r="FX43">
            <v>5240.9000000000015</v>
          </cell>
          <cell r="GB43">
            <v>4623.7499999999982</v>
          </cell>
          <cell r="GC43">
            <v>24580.899999999998</v>
          </cell>
          <cell r="GD43">
            <v>19457.589999999997</v>
          </cell>
          <cell r="GE43">
            <v>22223.779999999992</v>
          </cell>
          <cell r="GF43">
            <v>9609.9300000000021</v>
          </cell>
          <cell r="GG43">
            <v>15094.520000000008</v>
          </cell>
          <cell r="GH43">
            <v>20075.2</v>
          </cell>
          <cell r="GI43">
            <v>13656.639999999994</v>
          </cell>
          <cell r="GJ43">
            <v>11207.429999999997</v>
          </cell>
          <cell r="GK43">
            <v>19355.64</v>
          </cell>
          <cell r="GL43">
            <v>12262.149999999996</v>
          </cell>
          <cell r="GM43">
            <v>10135.659999999998</v>
          </cell>
        </row>
        <row r="44">
          <cell r="A44" t="str">
            <v>General &amp; Administrative Expense</v>
          </cell>
          <cell r="C44">
            <v>0</v>
          </cell>
          <cell r="D44">
            <v>0</v>
          </cell>
          <cell r="E44">
            <v>0</v>
          </cell>
          <cell r="F44" t="str">
            <v>n/a</v>
          </cell>
          <cell r="G44">
            <v>111.11593890996731</v>
          </cell>
          <cell r="H44">
            <v>137.44405029400977</v>
          </cell>
          <cell r="J44">
            <v>0</v>
          </cell>
          <cell r="K44">
            <v>0</v>
          </cell>
          <cell r="L44">
            <v>0</v>
          </cell>
          <cell r="M44" t="str">
            <v>n/a</v>
          </cell>
          <cell r="N44">
            <v>87.124483287538453</v>
          </cell>
          <cell r="O44">
            <v>100.35038810270397</v>
          </cell>
          <cell r="Q44">
            <v>0</v>
          </cell>
          <cell r="R44">
            <v>0</v>
          </cell>
          <cell r="S44">
            <v>0</v>
          </cell>
          <cell r="T44" t="str">
            <v>n/a</v>
          </cell>
          <cell r="U44">
            <v>10.68175631328284</v>
          </cell>
          <cell r="V44">
            <v>6.5165783110897681</v>
          </cell>
          <cell r="X44">
            <v>0</v>
          </cell>
          <cell r="Y44">
            <v>0</v>
          </cell>
          <cell r="Z44">
            <v>0</v>
          </cell>
          <cell r="AA44" t="str">
            <v>n/a</v>
          </cell>
          <cell r="AB44">
            <v>13.309699309146012</v>
          </cell>
          <cell r="AC44">
            <v>30.577083880216037</v>
          </cell>
          <cell r="AD44">
            <v>1346.8881970064999</v>
          </cell>
          <cell r="AE44">
            <v>1769.8831988759216</v>
          </cell>
          <cell r="AH44">
            <v>73336.295000000013</v>
          </cell>
          <cell r="AI44">
            <v>86718.499000000011</v>
          </cell>
          <cell r="AJ44">
            <v>93691.885999999984</v>
          </cell>
          <cell r="AK44">
            <v>72906.410999999993</v>
          </cell>
          <cell r="AL44">
            <v>106074.086</v>
          </cell>
          <cell r="AM44">
            <v>98307.888999999996</v>
          </cell>
          <cell r="AN44">
            <v>74355.122999999992</v>
          </cell>
          <cell r="AO44">
            <v>77721.254000000001</v>
          </cell>
          <cell r="AP44">
            <v>0</v>
          </cell>
          <cell r="AQ44">
            <v>0</v>
          </cell>
          <cell r="AR44">
            <v>0</v>
          </cell>
          <cell r="AS44">
            <v>0</v>
          </cell>
          <cell r="AW44">
            <v>21751.897999999997</v>
          </cell>
          <cell r="AX44">
            <v>11065.883999999998</v>
          </cell>
          <cell r="AY44">
            <v>11616.881000000003</v>
          </cell>
          <cell r="AZ44">
            <v>25729.525999999998</v>
          </cell>
          <cell r="BA44">
            <v>26455.115000000005</v>
          </cell>
          <cell r="BB44">
            <v>12776.721</v>
          </cell>
          <cell r="BC44">
            <v>12742.091</v>
          </cell>
          <cell r="BD44">
            <v>8933.6869999999981</v>
          </cell>
          <cell r="BE44">
            <v>0</v>
          </cell>
          <cell r="BF44">
            <v>0</v>
          </cell>
          <cell r="BG44">
            <v>0</v>
          </cell>
          <cell r="BH44">
            <v>0</v>
          </cell>
          <cell r="BL44">
            <v>16418.312999999998</v>
          </cell>
          <cell r="BM44">
            <v>17973.591</v>
          </cell>
          <cell r="BN44">
            <v>17048.478999999999</v>
          </cell>
          <cell r="BO44">
            <v>12156.729999999998</v>
          </cell>
          <cell r="BP44">
            <v>13287.284</v>
          </cell>
          <cell r="BQ44">
            <v>13336.053</v>
          </cell>
          <cell r="BR44">
            <v>10027.044000000002</v>
          </cell>
          <cell r="BS44">
            <v>10907.084000000001</v>
          </cell>
          <cell r="BT44">
            <v>0</v>
          </cell>
          <cell r="BU44">
            <v>0</v>
          </cell>
          <cell r="BV44">
            <v>0</v>
          </cell>
          <cell r="BW44">
            <v>0</v>
          </cell>
          <cell r="CP44">
            <v>91653.917989830923</v>
          </cell>
          <cell r="CQ44">
            <v>76739.250060882725</v>
          </cell>
          <cell r="CR44">
            <v>92924.457919344975</v>
          </cell>
          <cell r="CS44">
            <v>93046.283009256586</v>
          </cell>
          <cell r="CT44">
            <v>91790.768700775661</v>
          </cell>
          <cell r="CU44">
            <v>86193.082254543828</v>
          </cell>
          <cell r="CV44">
            <v>81523.96317880835</v>
          </cell>
          <cell r="CW44">
            <v>82239.103737777987</v>
          </cell>
          <cell r="CX44">
            <v>0</v>
          </cell>
          <cell r="CY44">
            <v>0</v>
          </cell>
          <cell r="CZ44">
            <v>0</v>
          </cell>
          <cell r="DA44">
            <v>0</v>
          </cell>
          <cell r="DE44">
            <v>11037.050770683829</v>
          </cell>
          <cell r="DF44">
            <v>11346.96288732366</v>
          </cell>
          <cell r="DG44">
            <v>13927.462165194442</v>
          </cell>
          <cell r="DH44">
            <v>13795.368529905358</v>
          </cell>
          <cell r="DI44">
            <v>13636.51756955939</v>
          </cell>
          <cell r="DJ44">
            <v>12986.127983149314</v>
          </cell>
          <cell r="DK44">
            <v>12219.319287551312</v>
          </cell>
          <cell r="DL44">
            <v>12402.209511329045</v>
          </cell>
          <cell r="DM44">
            <v>0</v>
          </cell>
          <cell r="DN44">
            <v>0</v>
          </cell>
          <cell r="DO44">
            <v>0</v>
          </cell>
          <cell r="DP44">
            <v>0</v>
          </cell>
          <cell r="DT44">
            <v>13754.923689467767</v>
          </cell>
          <cell r="DU44">
            <v>11859.452781109556</v>
          </cell>
          <cell r="DV44">
            <v>14245.51878263895</v>
          </cell>
          <cell r="DW44">
            <v>14164.818961492023</v>
          </cell>
          <cell r="DX44">
            <v>14006.634895817788</v>
          </cell>
          <cell r="DY44">
            <v>13382.646167515235</v>
          </cell>
          <cell r="DZ44">
            <v>12723.343446352692</v>
          </cell>
          <cell r="EA44">
            <v>12873.616623798709</v>
          </cell>
          <cell r="EB44">
            <v>0</v>
          </cell>
          <cell r="EC44">
            <v>0</v>
          </cell>
          <cell r="ED44">
            <v>0</v>
          </cell>
          <cell r="EE44">
            <v>0</v>
          </cell>
          <cell r="EX44">
            <v>111842.39288297355</v>
          </cell>
          <cell r="EY44">
            <v>136535.84072371406</v>
          </cell>
          <cell r="EZ44">
            <v>97096.061625716917</v>
          </cell>
          <cell r="FA44">
            <v>83925.832934033664</v>
          </cell>
          <cell r="FB44">
            <v>83372.329023291022</v>
          </cell>
          <cell r="FC44">
            <v>121634.61532146936</v>
          </cell>
          <cell r="FD44">
            <v>114598.73339107321</v>
          </cell>
          <cell r="FE44">
            <v>113569.08663647369</v>
          </cell>
          <cell r="FF44">
            <v>100350.38810270396</v>
          </cell>
          <cell r="FG44">
            <v>110354.23302443093</v>
          </cell>
          <cell r="FH44">
            <v>99513.138964814425</v>
          </cell>
          <cell r="FI44">
            <v>86002.329150123362</v>
          </cell>
          <cell r="FM44">
            <v>7926.9290419261788</v>
          </cell>
          <cell r="FN44">
            <v>9084.8956791779601</v>
          </cell>
          <cell r="FO44">
            <v>6415.3974489814518</v>
          </cell>
          <cell r="FP44">
            <v>5898.0333429978728</v>
          </cell>
          <cell r="FQ44">
            <v>5876.4487507470831</v>
          </cell>
          <cell r="FR44">
            <v>7960.1484701759928</v>
          </cell>
          <cell r="FS44">
            <v>13746.371965774993</v>
          </cell>
          <cell r="FT44">
            <v>8559.3508832963544</v>
          </cell>
          <cell r="FU44">
            <v>6516.5783110897682</v>
          </cell>
          <cell r="FV44">
            <v>15298.555525544229</v>
          </cell>
          <cell r="FW44">
            <v>15376.662998316631</v>
          </cell>
          <cell r="FX44">
            <v>8734.72471522866</v>
          </cell>
          <cell r="GB44">
            <v>25940.837728347971</v>
          </cell>
          <cell r="GC44">
            <v>43476.462493933177</v>
          </cell>
          <cell r="GD44">
            <v>35922.192696820552</v>
          </cell>
          <cell r="GE44">
            <v>38536.055320366373</v>
          </cell>
          <cell r="GF44">
            <v>23840.198525462671</v>
          </cell>
          <cell r="GG44">
            <v>35234.320789607897</v>
          </cell>
          <cell r="GH44">
            <v>35549.36078011716</v>
          </cell>
          <cell r="GI44">
            <v>37056.632861574682</v>
          </cell>
          <cell r="GJ44">
            <v>30577.08388021604</v>
          </cell>
          <cell r="GK44">
            <v>39813.235718487587</v>
          </cell>
          <cell r="GL44">
            <v>29800.729221378577</v>
          </cell>
          <cell r="GM44">
            <v>23947.00994553362</v>
          </cell>
        </row>
        <row r="47">
          <cell r="A47" t="str">
            <v>Operating Income/(Loss)</v>
          </cell>
          <cell r="C47">
            <v>0</v>
          </cell>
          <cell r="D47">
            <v>0</v>
          </cell>
          <cell r="E47">
            <v>0</v>
          </cell>
          <cell r="F47" t="str">
            <v>n/a</v>
          </cell>
          <cell r="G47">
            <v>207.33838598932982</v>
          </cell>
          <cell r="H47">
            <v>-139.13647999999995</v>
          </cell>
          <cell r="J47">
            <v>0</v>
          </cell>
          <cell r="K47">
            <v>0</v>
          </cell>
          <cell r="L47">
            <v>0</v>
          </cell>
          <cell r="M47" t="str">
            <v>n/a</v>
          </cell>
          <cell r="N47">
            <v>88.627515639880301</v>
          </cell>
          <cell r="O47">
            <v>-94.898569999999964</v>
          </cell>
          <cell r="Q47">
            <v>0</v>
          </cell>
          <cell r="R47">
            <v>0</v>
          </cell>
          <cell r="S47">
            <v>0</v>
          </cell>
          <cell r="T47" t="str">
            <v>n/a</v>
          </cell>
          <cell r="U47">
            <v>111.16640299404062</v>
          </cell>
          <cell r="V47">
            <v>16.296210000000002</v>
          </cell>
          <cell r="X47">
            <v>0</v>
          </cell>
          <cell r="Y47">
            <v>0</v>
          </cell>
          <cell r="Z47">
            <v>0</v>
          </cell>
          <cell r="AA47" t="str">
            <v>n/a</v>
          </cell>
          <cell r="AB47">
            <v>7.5444673554084858</v>
          </cell>
          <cell r="AC47">
            <v>-60.534120000000001</v>
          </cell>
          <cell r="AD47">
            <v>2171.3859188022411</v>
          </cell>
          <cell r="AE47">
            <v>1530.721790000001</v>
          </cell>
          <cell r="AH47">
            <v>988.82700000013574</v>
          </cell>
          <cell r="AI47">
            <v>66762.259999999893</v>
          </cell>
          <cell r="AJ47">
            <v>597133.02899999986</v>
          </cell>
          <cell r="AK47">
            <v>302101.73900000006</v>
          </cell>
          <cell r="AL47">
            <v>262077.69499999995</v>
          </cell>
          <cell r="AM47">
            <v>723541.51499999978</v>
          </cell>
          <cell r="AN47">
            <v>186601.90800000002</v>
          </cell>
          <cell r="AO47">
            <v>151807.00200000004</v>
          </cell>
          <cell r="AP47">
            <v>0</v>
          </cell>
          <cell r="AQ47">
            <v>0</v>
          </cell>
          <cell r="AR47">
            <v>0</v>
          </cell>
          <cell r="AS47">
            <v>0</v>
          </cell>
          <cell r="AW47">
            <v>59092.423999999999</v>
          </cell>
          <cell r="AX47">
            <v>-11381.679999999997</v>
          </cell>
          <cell r="AY47">
            <v>102410.42099999997</v>
          </cell>
          <cell r="AZ47">
            <v>114473.52099999999</v>
          </cell>
          <cell r="BA47">
            <v>35984.745000000039</v>
          </cell>
          <cell r="BB47">
            <v>-44594.695000000014</v>
          </cell>
          <cell r="BC47">
            <v>-26901.017999999989</v>
          </cell>
          <cell r="BD47">
            <v>12269.568000000014</v>
          </cell>
          <cell r="BE47">
            <v>0</v>
          </cell>
          <cell r="BF47">
            <v>0</v>
          </cell>
          <cell r="BG47">
            <v>0</v>
          </cell>
          <cell r="BH47">
            <v>0</v>
          </cell>
          <cell r="BL47">
            <v>82605.058999999965</v>
          </cell>
          <cell r="BM47">
            <v>-24952.189999999973</v>
          </cell>
          <cell r="BN47">
            <v>-130070.25999999998</v>
          </cell>
          <cell r="BO47">
            <v>-138850.48000000001</v>
          </cell>
          <cell r="BP47">
            <v>44568.150000000009</v>
          </cell>
          <cell r="BQ47">
            <v>230919.67999999999</v>
          </cell>
          <cell r="BR47">
            <v>-23581.37000000001</v>
          </cell>
          <cell r="BS47">
            <v>26628.99000000002</v>
          </cell>
          <cell r="BT47">
            <v>0</v>
          </cell>
          <cell r="BU47">
            <v>0</v>
          </cell>
          <cell r="BV47">
            <v>0</v>
          </cell>
          <cell r="BW47">
            <v>0</v>
          </cell>
          <cell r="CP47">
            <v>75126.303910495801</v>
          </cell>
          <cell r="CQ47">
            <v>163497.76759701641</v>
          </cell>
          <cell r="CR47">
            <v>449544.56518752384</v>
          </cell>
          <cell r="CS47">
            <v>264764.71154943272</v>
          </cell>
          <cell r="CT47">
            <v>27962.238701305498</v>
          </cell>
          <cell r="CU47">
            <v>126834.92354223893</v>
          </cell>
          <cell r="CV47">
            <v>-31749.423051776917</v>
          </cell>
          <cell r="CW47">
            <v>20933.318447115351</v>
          </cell>
          <cell r="CX47">
            <v>0</v>
          </cell>
          <cell r="CY47">
            <v>0</v>
          </cell>
          <cell r="CZ47">
            <v>0</v>
          </cell>
          <cell r="DA47">
            <v>0</v>
          </cell>
          <cell r="DE47">
            <v>6748.5212395382223</v>
          </cell>
          <cell r="DF47">
            <v>134948.53926804854</v>
          </cell>
          <cell r="DG47">
            <v>132347.03905721038</v>
          </cell>
          <cell r="DH47">
            <v>142812.2834369984</v>
          </cell>
          <cell r="DI47">
            <v>54671.317823837628</v>
          </cell>
          <cell r="DJ47">
            <v>47200.482347641147</v>
          </cell>
          <cell r="DK47">
            <v>19353.805230717964</v>
          </cell>
          <cell r="DL47">
            <v>53442.834444171691</v>
          </cell>
          <cell r="DM47">
            <v>0</v>
          </cell>
          <cell r="DN47">
            <v>0</v>
          </cell>
          <cell r="DO47">
            <v>0</v>
          </cell>
          <cell r="DP47">
            <v>0</v>
          </cell>
          <cell r="DT47">
            <v>68760.937097991817</v>
          </cell>
          <cell r="DU47">
            <v>-42748.045299466932</v>
          </cell>
          <cell r="DV47">
            <v>-130840.63832005052</v>
          </cell>
          <cell r="DW47">
            <v>-105704.8526780368</v>
          </cell>
          <cell r="DX47">
            <v>194993.34400098177</v>
          </cell>
          <cell r="DY47">
            <v>182766.91067333758</v>
          </cell>
          <cell r="DZ47">
            <v>29213.555547397409</v>
          </cell>
          <cell r="EA47">
            <v>45223.822256753177</v>
          </cell>
          <cell r="EB47">
            <v>0</v>
          </cell>
          <cell r="EC47">
            <v>0</v>
          </cell>
          <cell r="ED47">
            <v>0</v>
          </cell>
          <cell r="EE47">
            <v>0</v>
          </cell>
          <cell r="EX47">
            <v>108915.43500000007</v>
          </cell>
          <cell r="EY47">
            <v>11562.060000000085</v>
          </cell>
          <cell r="EZ47">
            <v>578846.5850000002</v>
          </cell>
          <cell r="FA47">
            <v>95924.854999999909</v>
          </cell>
          <cell r="FB47">
            <v>375392.26499999984</v>
          </cell>
          <cell r="FC47">
            <v>545192.44999999972</v>
          </cell>
          <cell r="FD47">
            <v>-289610.94999999995</v>
          </cell>
          <cell r="FE47">
            <v>-163994.51</v>
          </cell>
          <cell r="FF47">
            <v>-94898.569999999949</v>
          </cell>
          <cell r="FG47">
            <v>-2508.1609999998036</v>
          </cell>
          <cell r="FH47">
            <v>11669.094999999972</v>
          </cell>
          <cell r="FI47">
            <v>98795.710000000036</v>
          </cell>
          <cell r="FM47">
            <v>22738.703000000012</v>
          </cell>
          <cell r="FN47">
            <v>28692.725999999999</v>
          </cell>
          <cell r="FO47">
            <v>58323.306999999986</v>
          </cell>
          <cell r="FP47">
            <v>-12821.818999999992</v>
          </cell>
          <cell r="FQ47">
            <v>-22897.811000000002</v>
          </cell>
          <cell r="FR47">
            <v>-48004.941999999995</v>
          </cell>
          <cell r="FS47">
            <v>-35290.94</v>
          </cell>
          <cell r="FT47">
            <v>-8121.0800000000027</v>
          </cell>
          <cell r="FU47">
            <v>16296.209999999992</v>
          </cell>
          <cell r="FV47">
            <v>-1429.3090000000029</v>
          </cell>
          <cell r="FW47">
            <v>-17755.635000000002</v>
          </cell>
          <cell r="FX47">
            <v>3452.3280000000086</v>
          </cell>
          <cell r="GB47">
            <v>-37250.577999999987</v>
          </cell>
          <cell r="GC47">
            <v>6204.3540000000212</v>
          </cell>
          <cell r="GD47">
            <v>83631.128000000026</v>
          </cell>
          <cell r="GE47">
            <v>8925.5340000000069</v>
          </cell>
          <cell r="GF47">
            <v>118024.226</v>
          </cell>
          <cell r="GG47">
            <v>117319.34199999999</v>
          </cell>
          <cell r="GH47">
            <v>75835.87</v>
          </cell>
          <cell r="GI47">
            <v>-38571.350000000006</v>
          </cell>
          <cell r="GJ47">
            <v>-60534.12000000001</v>
          </cell>
          <cell r="GK47">
            <v>-70434.340000000011</v>
          </cell>
          <cell r="GL47">
            <v>33748.129999999983</v>
          </cell>
          <cell r="GM47">
            <v>35355.591999999961</v>
          </cell>
        </row>
        <row r="49">
          <cell r="A49" t="str">
            <v>Other Income/(Expense)</v>
          </cell>
          <cell r="C49">
            <v>0</v>
          </cell>
          <cell r="D49">
            <v>0</v>
          </cell>
          <cell r="E49">
            <v>0</v>
          </cell>
          <cell r="F49" t="str">
            <v>n/a</v>
          </cell>
          <cell r="G49">
            <v>-16.834849999999999</v>
          </cell>
          <cell r="H49">
            <v>22.369749999999996</v>
          </cell>
          <cell r="J49">
            <v>0</v>
          </cell>
          <cell r="K49">
            <v>0</v>
          </cell>
          <cell r="L49">
            <v>0</v>
          </cell>
          <cell r="M49" t="str">
            <v>n/a</v>
          </cell>
          <cell r="N49">
            <v>17.752301266162743</v>
          </cell>
          <cell r="O49">
            <v>16.583909999999999</v>
          </cell>
          <cell r="Q49">
            <v>0</v>
          </cell>
          <cell r="R49">
            <v>0</v>
          </cell>
          <cell r="S49">
            <v>0</v>
          </cell>
          <cell r="T49" t="str">
            <v>n/a</v>
          </cell>
          <cell r="U49">
            <v>-32.520875904283407</v>
          </cell>
          <cell r="V49">
            <v>1.0055800000000001</v>
          </cell>
          <cell r="X49">
            <v>0</v>
          </cell>
          <cell r="Y49">
            <v>0</v>
          </cell>
          <cell r="Z49">
            <v>0</v>
          </cell>
          <cell r="AA49" t="str">
            <v>n/a</v>
          </cell>
          <cell r="AB49">
            <v>-2.0662753618793337</v>
          </cell>
          <cell r="AC49">
            <v>4.7802600000000002</v>
          </cell>
          <cell r="AD49">
            <v>-180.20557000000002</v>
          </cell>
          <cell r="AE49">
            <v>-102.80721</v>
          </cell>
          <cell r="AH49">
            <v>0</v>
          </cell>
          <cell r="AI49">
            <v>-5.88</v>
          </cell>
          <cell r="AJ49">
            <v>-33831.699999999997</v>
          </cell>
          <cell r="AK49">
            <v>-7.0000000000000007E-2</v>
          </cell>
          <cell r="AL49">
            <v>33365.910000000003</v>
          </cell>
          <cell r="AM49">
            <v>-30459.090000000004</v>
          </cell>
          <cell r="AN49">
            <v>-9100</v>
          </cell>
          <cell r="AO49">
            <v>-8456.35</v>
          </cell>
          <cell r="AW49">
            <v>0</v>
          </cell>
          <cell r="AX49">
            <v>0</v>
          </cell>
          <cell r="AY49">
            <v>-6766.34</v>
          </cell>
          <cell r="AZ49">
            <v>-35000.01</v>
          </cell>
          <cell r="BA49">
            <v>-33365.910000000003</v>
          </cell>
          <cell r="BB49">
            <v>33947.279999999999</v>
          </cell>
          <cell r="BC49">
            <v>-1820</v>
          </cell>
          <cell r="BD49">
            <v>-37029.269999999997</v>
          </cell>
          <cell r="BL49">
            <v>0</v>
          </cell>
          <cell r="BM49">
            <v>0</v>
          </cell>
          <cell r="BN49">
            <v>-7732.96</v>
          </cell>
          <cell r="BO49">
            <v>-0.02</v>
          </cell>
          <cell r="BP49">
            <v>0</v>
          </cell>
          <cell r="BQ49">
            <v>664.42</v>
          </cell>
          <cell r="BR49">
            <v>-2080</v>
          </cell>
          <cell r="BS49">
            <v>-1932.88</v>
          </cell>
          <cell r="CP49">
            <v>-11360.830720048163</v>
          </cell>
          <cell r="CQ49">
            <v>17855.94058086483</v>
          </cell>
          <cell r="CR49">
            <v>21905.07634476891</v>
          </cell>
          <cell r="CS49">
            <v>31410.886460375492</v>
          </cell>
          <cell r="CT49">
            <v>31365.911745811361</v>
          </cell>
          <cell r="CU49">
            <v>1989.1619625508683</v>
          </cell>
          <cell r="CV49">
            <v>-8258</v>
          </cell>
          <cell r="CW49">
            <v>-9934.6500000000015</v>
          </cell>
          <cell r="DE49">
            <v>-1650.1656676700784</v>
          </cell>
          <cell r="DF49">
            <v>-32836.320580864834</v>
          </cell>
          <cell r="DG49">
            <v>-42297.25634476891</v>
          </cell>
          <cell r="DH49">
            <v>-33660.886460375492</v>
          </cell>
          <cell r="DI49">
            <v>-33615.911745811361</v>
          </cell>
          <cell r="DJ49">
            <v>-10397.450962550865</v>
          </cell>
          <cell r="DK49">
            <v>-2090</v>
          </cell>
          <cell r="DL49">
            <v>-2530</v>
          </cell>
          <cell r="DT49">
            <v>-2933.7036122817581</v>
          </cell>
          <cell r="DU49">
            <v>-2114.6999999999998</v>
          </cell>
          <cell r="DV49">
            <v>-2023.8700000000001</v>
          </cell>
          <cell r="DW49">
            <v>-250</v>
          </cell>
          <cell r="DX49">
            <v>-250</v>
          </cell>
          <cell r="DY49">
            <v>-8169.1095999999998</v>
          </cell>
          <cell r="DZ49">
            <v>-2388.3199999999997</v>
          </cell>
          <cell r="EA49">
            <v>-2394.3200000000002</v>
          </cell>
          <cell r="EX49">
            <v>-6670.5899999999992</v>
          </cell>
          <cell r="EY49">
            <v>-124.5</v>
          </cell>
          <cell r="EZ49">
            <v>-2293.25</v>
          </cell>
          <cell r="FA49">
            <v>-5602.9</v>
          </cell>
          <cell r="FB49">
            <v>-2130.85</v>
          </cell>
          <cell r="FC49">
            <v>-9930.86</v>
          </cell>
          <cell r="FD49">
            <v>42</v>
          </cell>
          <cell r="FE49">
            <v>-762.16</v>
          </cell>
          <cell r="FF49">
            <v>16583.91</v>
          </cell>
          <cell r="FG49">
            <v>-27229.769999999997</v>
          </cell>
          <cell r="FH49">
            <v>-7317.95</v>
          </cell>
          <cell r="FI49">
            <v>-9784.07</v>
          </cell>
          <cell r="FM49">
            <v>0</v>
          </cell>
          <cell r="FN49">
            <v>0</v>
          </cell>
          <cell r="FO49">
            <v>0</v>
          </cell>
          <cell r="FP49">
            <v>0</v>
          </cell>
          <cell r="FQ49">
            <v>0</v>
          </cell>
          <cell r="FR49">
            <v>0</v>
          </cell>
          <cell r="FS49">
            <v>0</v>
          </cell>
          <cell r="FT49">
            <v>0</v>
          </cell>
          <cell r="FU49">
            <v>1005.58</v>
          </cell>
          <cell r="FV49">
            <v>-2330.6999999999998</v>
          </cell>
          <cell r="FW49">
            <v>-466.14</v>
          </cell>
          <cell r="FX49">
            <v>-347.41</v>
          </cell>
          <cell r="GB49">
            <v>0</v>
          </cell>
          <cell r="GC49">
            <v>-6000</v>
          </cell>
          <cell r="GD49">
            <v>0</v>
          </cell>
          <cell r="GE49">
            <v>-6000</v>
          </cell>
          <cell r="GF49">
            <v>0</v>
          </cell>
          <cell r="GG49">
            <v>-23280.85</v>
          </cell>
          <cell r="GH49">
            <v>0</v>
          </cell>
          <cell r="GI49">
            <v>0</v>
          </cell>
          <cell r="GJ49">
            <v>4780.26</v>
          </cell>
          <cell r="GK49">
            <v>-11079.53</v>
          </cell>
          <cell r="GL49">
            <v>-2215.91</v>
          </cell>
          <cell r="GM49">
            <v>-1651.52</v>
          </cell>
        </row>
        <row r="51">
          <cell r="A51" t="str">
            <v>EBITDA</v>
          </cell>
          <cell r="C51">
            <v>0</v>
          </cell>
          <cell r="D51">
            <v>0</v>
          </cell>
          <cell r="E51">
            <v>0</v>
          </cell>
          <cell r="F51" t="str">
            <v>n/a</v>
          </cell>
          <cell r="G51">
            <v>190.50353598932983</v>
          </cell>
          <cell r="H51">
            <v>-116.76672999999995</v>
          </cell>
          <cell r="J51">
            <v>0</v>
          </cell>
          <cell r="K51">
            <v>0</v>
          </cell>
          <cell r="L51">
            <v>0</v>
          </cell>
          <cell r="M51" t="str">
            <v>n/a</v>
          </cell>
          <cell r="N51">
            <v>106.37981690604305</v>
          </cell>
          <cell r="O51">
            <v>-78.314659999999961</v>
          </cell>
          <cell r="Q51">
            <v>0</v>
          </cell>
          <cell r="R51">
            <v>0</v>
          </cell>
          <cell r="S51">
            <v>0</v>
          </cell>
          <cell r="T51" t="str">
            <v>n/a</v>
          </cell>
          <cell r="U51">
            <v>78.645527089757223</v>
          </cell>
          <cell r="V51">
            <v>17.301790000000004</v>
          </cell>
          <cell r="X51">
            <v>0</v>
          </cell>
          <cell r="Y51">
            <v>0</v>
          </cell>
          <cell r="Z51">
            <v>0</v>
          </cell>
          <cell r="AA51" t="str">
            <v>n/a</v>
          </cell>
          <cell r="AB51">
            <v>5.4781919935291521</v>
          </cell>
          <cell r="AC51">
            <v>-55.753860000000003</v>
          </cell>
          <cell r="AD51">
            <v>1991.180348802241</v>
          </cell>
          <cell r="AE51">
            <v>1427.914580000001</v>
          </cell>
          <cell r="AH51">
            <v>988.82700000013574</v>
          </cell>
          <cell r="AI51">
            <v>66756.379999999888</v>
          </cell>
          <cell r="AJ51">
            <v>563301.32899999991</v>
          </cell>
          <cell r="AK51">
            <v>302101.66900000005</v>
          </cell>
          <cell r="AL51">
            <v>295443.60499999998</v>
          </cell>
          <cell r="AM51">
            <v>693082.42499999981</v>
          </cell>
          <cell r="AN51">
            <v>177501.90800000002</v>
          </cell>
          <cell r="AO51">
            <v>143350.65200000003</v>
          </cell>
          <cell r="AP51">
            <v>0</v>
          </cell>
          <cell r="AQ51">
            <v>0</v>
          </cell>
          <cell r="AR51">
            <v>0</v>
          </cell>
          <cell r="AS51">
            <v>0</v>
          </cell>
          <cell r="AW51">
            <v>59092.423999999999</v>
          </cell>
          <cell r="AX51">
            <v>-11381.679999999997</v>
          </cell>
          <cell r="AY51">
            <v>95644.080999999976</v>
          </cell>
          <cell r="AZ51">
            <v>79473.510999999999</v>
          </cell>
          <cell r="BA51">
            <v>2618.8350000000355</v>
          </cell>
          <cell r="BB51">
            <v>-10647.415000000015</v>
          </cell>
          <cell r="BC51">
            <v>-28721.017999999989</v>
          </cell>
          <cell r="BD51">
            <v>-24759.701999999983</v>
          </cell>
          <cell r="BE51">
            <v>0</v>
          </cell>
          <cell r="BF51">
            <v>0</v>
          </cell>
          <cell r="BG51">
            <v>0</v>
          </cell>
          <cell r="BH51">
            <v>0</v>
          </cell>
          <cell r="BL51">
            <v>82605.058999999965</v>
          </cell>
          <cell r="BM51">
            <v>-24952.189999999973</v>
          </cell>
          <cell r="BN51">
            <v>-137803.21999999997</v>
          </cell>
          <cell r="BO51">
            <v>-138850.5</v>
          </cell>
          <cell r="BP51">
            <v>44568.150000000009</v>
          </cell>
          <cell r="BQ51">
            <v>231584.1</v>
          </cell>
          <cell r="BR51">
            <v>-25661.37000000001</v>
          </cell>
          <cell r="BS51">
            <v>24696.110000000019</v>
          </cell>
          <cell r="BT51">
            <v>0</v>
          </cell>
          <cell r="BU51">
            <v>0</v>
          </cell>
          <cell r="BV51">
            <v>0</v>
          </cell>
          <cell r="BW51">
            <v>0</v>
          </cell>
          <cell r="CP51">
            <v>63765.473190447636</v>
          </cell>
          <cell r="CQ51">
            <v>181353.70817788126</v>
          </cell>
          <cell r="CR51">
            <v>471449.64153229276</v>
          </cell>
          <cell r="CS51">
            <v>296175.59800980822</v>
          </cell>
          <cell r="CT51">
            <v>59328.150447116859</v>
          </cell>
          <cell r="CU51">
            <v>128824.08550478981</v>
          </cell>
          <cell r="CV51">
            <v>-40007.423051776917</v>
          </cell>
          <cell r="CW51">
            <v>10998.668447115349</v>
          </cell>
          <cell r="CX51">
            <v>0</v>
          </cell>
          <cell r="CY51">
            <v>0</v>
          </cell>
          <cell r="CZ51">
            <v>0</v>
          </cell>
          <cell r="DA51">
            <v>0</v>
          </cell>
          <cell r="DE51">
            <v>5098.3555718681437</v>
          </cell>
          <cell r="DF51">
            <v>102112.2186871837</v>
          </cell>
          <cell r="DG51">
            <v>90049.782712441462</v>
          </cell>
          <cell r="DH51">
            <v>109151.39697662291</v>
          </cell>
          <cell r="DI51">
            <v>21055.406078026266</v>
          </cell>
          <cell r="DJ51">
            <v>36803.031385090282</v>
          </cell>
          <cell r="DK51">
            <v>17263.805230717964</v>
          </cell>
          <cell r="DL51">
            <v>50912.834444171691</v>
          </cell>
          <cell r="DM51">
            <v>0</v>
          </cell>
          <cell r="DN51">
            <v>0</v>
          </cell>
          <cell r="DO51">
            <v>0</v>
          </cell>
          <cell r="DP51">
            <v>0</v>
          </cell>
          <cell r="DT51">
            <v>65827.233485710065</v>
          </cell>
          <cell r="DU51">
            <v>-44862.745299466929</v>
          </cell>
          <cell r="DV51">
            <v>-132864.50832005052</v>
          </cell>
          <cell r="DW51">
            <v>-105954.8526780368</v>
          </cell>
          <cell r="DX51">
            <v>194743.34400098177</v>
          </cell>
          <cell r="DY51">
            <v>174597.80107333758</v>
          </cell>
          <cell r="DZ51">
            <v>26825.235547397409</v>
          </cell>
          <cell r="EA51">
            <v>42829.502256753178</v>
          </cell>
          <cell r="EB51">
            <v>0</v>
          </cell>
          <cell r="EC51">
            <v>0</v>
          </cell>
          <cell r="ED51">
            <v>0</v>
          </cell>
          <cell r="EE51">
            <v>0</v>
          </cell>
          <cell r="EX51">
            <v>102244.84500000007</v>
          </cell>
          <cell r="EY51">
            <v>11437.560000000085</v>
          </cell>
          <cell r="EZ51">
            <v>576553.3350000002</v>
          </cell>
          <cell r="FA51">
            <v>90321.954999999914</v>
          </cell>
          <cell r="FB51">
            <v>373261.41499999986</v>
          </cell>
          <cell r="FC51">
            <v>535261.58999999973</v>
          </cell>
          <cell r="FD51">
            <v>-289568.94999999995</v>
          </cell>
          <cell r="FE51">
            <v>-164756.67000000001</v>
          </cell>
          <cell r="FF51">
            <v>-78314.659999999945</v>
          </cell>
          <cell r="FG51">
            <v>-29737.9309999998</v>
          </cell>
          <cell r="FH51">
            <v>4351.1449999999722</v>
          </cell>
          <cell r="FI51">
            <v>89011.640000000043</v>
          </cell>
          <cell r="FM51">
            <v>22738.703000000012</v>
          </cell>
          <cell r="FN51">
            <v>28692.725999999999</v>
          </cell>
          <cell r="FO51">
            <v>58323.306999999986</v>
          </cell>
          <cell r="FP51">
            <v>-12821.818999999992</v>
          </cell>
          <cell r="FQ51">
            <v>-22897.811000000002</v>
          </cell>
          <cell r="FR51">
            <v>-48004.941999999995</v>
          </cell>
          <cell r="FS51">
            <v>-35290.94</v>
          </cell>
          <cell r="FT51">
            <v>-8121.0800000000027</v>
          </cell>
          <cell r="FU51">
            <v>17301.789999999994</v>
          </cell>
          <cell r="FV51">
            <v>-3760.0090000000027</v>
          </cell>
          <cell r="FW51">
            <v>-18221.775000000001</v>
          </cell>
          <cell r="FX51">
            <v>3104.9180000000088</v>
          </cell>
          <cell r="GB51">
            <v>-37250.577999999987</v>
          </cell>
          <cell r="GC51">
            <v>204.35400000002119</v>
          </cell>
          <cell r="GD51">
            <v>83631.128000000026</v>
          </cell>
          <cell r="GE51">
            <v>2925.5340000000069</v>
          </cell>
          <cell r="GF51">
            <v>118024.226</v>
          </cell>
          <cell r="GG51">
            <v>94038.491999999998</v>
          </cell>
          <cell r="GH51">
            <v>75835.87</v>
          </cell>
          <cell r="GI51">
            <v>-38571.350000000006</v>
          </cell>
          <cell r="GJ51">
            <v>-55753.860000000008</v>
          </cell>
          <cell r="GK51">
            <v>-81513.87000000001</v>
          </cell>
          <cell r="GL51">
            <v>31532.219999999983</v>
          </cell>
          <cell r="GM51">
            <v>33704.071999999964</v>
          </cell>
        </row>
        <row r="53">
          <cell r="A53" t="str">
            <v>Interest Expense (Net)</v>
          </cell>
          <cell r="C53">
            <v>0</v>
          </cell>
          <cell r="D53">
            <v>0</v>
          </cell>
          <cell r="E53">
            <v>0</v>
          </cell>
          <cell r="F53" t="str">
            <v>n/a</v>
          </cell>
          <cell r="G53">
            <v>0</v>
          </cell>
          <cell r="H53">
            <v>22.229410000000001</v>
          </cell>
          <cell r="J53">
            <v>0</v>
          </cell>
          <cell r="K53">
            <v>0</v>
          </cell>
          <cell r="L53">
            <v>0</v>
          </cell>
          <cell r="M53" t="str">
            <v>n/a</v>
          </cell>
          <cell r="N53">
            <v>0</v>
          </cell>
          <cell r="O53">
            <v>19.356670000000001</v>
          </cell>
          <cell r="Q53">
            <v>0</v>
          </cell>
          <cell r="R53">
            <v>0</v>
          </cell>
          <cell r="S53">
            <v>0</v>
          </cell>
          <cell r="T53" t="str">
            <v>n/a</v>
          </cell>
          <cell r="U53">
            <v>0</v>
          </cell>
          <cell r="V53">
            <v>1.00458</v>
          </cell>
          <cell r="X53">
            <v>0</v>
          </cell>
          <cell r="Y53">
            <v>0</v>
          </cell>
          <cell r="Z53">
            <v>0</v>
          </cell>
          <cell r="AA53" t="str">
            <v>n/a</v>
          </cell>
          <cell r="AB53">
            <v>0</v>
          </cell>
          <cell r="AC53">
            <v>1.8681600000000003</v>
          </cell>
          <cell r="AD53">
            <v>-27.282979999999995</v>
          </cell>
          <cell r="AE53">
            <v>249.63954999999999</v>
          </cell>
          <cell r="AH53">
            <v>44.660000000000004</v>
          </cell>
          <cell r="AI53">
            <v>-21175.920000000002</v>
          </cell>
          <cell r="AJ53">
            <v>435.62000000000012</v>
          </cell>
          <cell r="AK53">
            <v>540.11999999999989</v>
          </cell>
          <cell r="AL53">
            <v>142.54000000000002</v>
          </cell>
          <cell r="AM53">
            <v>52.22</v>
          </cell>
          <cell r="AN53">
            <v>2.4699999999999998</v>
          </cell>
          <cell r="AO53">
            <v>-5.32</v>
          </cell>
          <cell r="AW53">
            <v>4.87</v>
          </cell>
          <cell r="AX53">
            <v>-3048.5499999999997</v>
          </cell>
          <cell r="AY53">
            <v>-208.46</v>
          </cell>
          <cell r="AZ53">
            <v>-252.05</v>
          </cell>
          <cell r="BA53">
            <v>-66.52</v>
          </cell>
          <cell r="BB53">
            <v>-24.37</v>
          </cell>
          <cell r="BC53">
            <v>-1.1599999999999999</v>
          </cell>
          <cell r="BD53">
            <v>-1.06</v>
          </cell>
          <cell r="BL53">
            <v>4.5999999999999996</v>
          </cell>
          <cell r="BM53">
            <v>-3093.96</v>
          </cell>
          <cell r="BN53">
            <v>-238.24</v>
          </cell>
          <cell r="BO53">
            <v>-288.06</v>
          </cell>
          <cell r="BP53">
            <v>-76.02</v>
          </cell>
          <cell r="BQ53">
            <v>-27.85</v>
          </cell>
          <cell r="BR53">
            <v>-1.32</v>
          </cell>
          <cell r="BS53">
            <v>-1.22</v>
          </cell>
          <cell r="CP53">
            <v>0</v>
          </cell>
          <cell r="CQ53">
            <v>0</v>
          </cell>
          <cell r="CR53">
            <v>0</v>
          </cell>
          <cell r="CS53">
            <v>0</v>
          </cell>
          <cell r="CT53">
            <v>0</v>
          </cell>
          <cell r="CU53">
            <v>0</v>
          </cell>
          <cell r="CV53">
            <v>0</v>
          </cell>
          <cell r="CW53">
            <v>0</v>
          </cell>
          <cell r="DE53">
            <v>0</v>
          </cell>
          <cell r="DF53">
            <v>0</v>
          </cell>
          <cell r="DG53">
            <v>0</v>
          </cell>
          <cell r="DH53">
            <v>0</v>
          </cell>
          <cell r="DI53">
            <v>0</v>
          </cell>
          <cell r="DJ53">
            <v>0</v>
          </cell>
          <cell r="DK53">
            <v>0</v>
          </cell>
          <cell r="DL53">
            <v>0</v>
          </cell>
          <cell r="DT53">
            <v>0</v>
          </cell>
          <cell r="DU53">
            <v>0</v>
          </cell>
          <cell r="DV53">
            <v>0</v>
          </cell>
          <cell r="DW53">
            <v>0</v>
          </cell>
          <cell r="DX53">
            <v>0</v>
          </cell>
          <cell r="DY53">
            <v>0</v>
          </cell>
          <cell r="DZ53">
            <v>0</v>
          </cell>
          <cell r="EA53">
            <v>0</v>
          </cell>
          <cell r="EX53">
            <v>10383.01</v>
          </cell>
          <cell r="EY53">
            <v>9403.0999999999985</v>
          </cell>
          <cell r="EZ53">
            <v>15131.699999999999</v>
          </cell>
          <cell r="FA53">
            <v>9029.5600000000013</v>
          </cell>
          <cell r="FB53">
            <v>10412.73</v>
          </cell>
          <cell r="FC53">
            <v>7248.44</v>
          </cell>
          <cell r="FD53">
            <v>28393.510000000002</v>
          </cell>
          <cell r="FE53">
            <v>21797.98</v>
          </cell>
          <cell r="FF53">
            <v>19356.670000000002</v>
          </cell>
          <cell r="FG53">
            <v>27972.34</v>
          </cell>
          <cell r="FH53">
            <v>21233.88</v>
          </cell>
          <cell r="FI53">
            <v>23445.41</v>
          </cell>
          <cell r="FM53">
            <v>1204.8599999999999</v>
          </cell>
          <cell r="FN53">
            <v>2119.96</v>
          </cell>
          <cell r="FO53">
            <v>1352.32</v>
          </cell>
          <cell r="FP53">
            <v>639.29</v>
          </cell>
          <cell r="FQ53">
            <v>269.13</v>
          </cell>
          <cell r="FR53">
            <v>88.69</v>
          </cell>
          <cell r="FS53">
            <v>1597.35</v>
          </cell>
          <cell r="FT53">
            <v>1201.17</v>
          </cell>
          <cell r="FU53">
            <v>1004.58</v>
          </cell>
          <cell r="FV53">
            <v>1379.48</v>
          </cell>
          <cell r="FW53">
            <v>1440.47</v>
          </cell>
          <cell r="FX53">
            <v>1541.55</v>
          </cell>
          <cell r="GB53">
            <v>1737.06</v>
          </cell>
          <cell r="GC53">
            <v>2311.12</v>
          </cell>
          <cell r="GD53">
            <v>3546.06</v>
          </cell>
          <cell r="GE53">
            <v>2679.93</v>
          </cell>
          <cell r="GF53">
            <v>2916.5699999999997</v>
          </cell>
          <cell r="GG53">
            <v>1960.84</v>
          </cell>
          <cell r="GH53">
            <v>2976.62</v>
          </cell>
          <cell r="GI53">
            <v>2489.8700000000003</v>
          </cell>
          <cell r="GJ53">
            <v>1868.1600000000003</v>
          </cell>
          <cell r="GK53">
            <v>2795.71</v>
          </cell>
          <cell r="GL53">
            <v>3188.2400000000002</v>
          </cell>
          <cell r="GM53">
            <v>3522.19</v>
          </cell>
        </row>
        <row r="54">
          <cell r="A54" t="str">
            <v>Taxes on Income</v>
          </cell>
          <cell r="C54">
            <v>0</v>
          </cell>
          <cell r="D54">
            <v>0</v>
          </cell>
          <cell r="E54">
            <v>0</v>
          </cell>
          <cell r="F54" t="str">
            <v>n/a</v>
          </cell>
          <cell r="G54">
            <v>56.13386642229181</v>
          </cell>
          <cell r="H54">
            <v>-86.209711900000045</v>
          </cell>
          <cell r="J54">
            <v>0</v>
          </cell>
          <cell r="K54">
            <v>0</v>
          </cell>
          <cell r="L54">
            <v>0</v>
          </cell>
          <cell r="M54" t="str">
            <v>n/a</v>
          </cell>
          <cell r="N54">
            <v>42.190354067480293</v>
          </cell>
          <cell r="O54">
            <v>-61.027470900000047</v>
          </cell>
          <cell r="Q54">
            <v>0</v>
          </cell>
          <cell r="R54">
            <v>0</v>
          </cell>
          <cell r="S54">
            <v>0</v>
          </cell>
          <cell r="T54" t="str">
            <v>n/a</v>
          </cell>
          <cell r="U54">
            <v>13.894268911853539</v>
          </cell>
          <cell r="V54">
            <v>5.0687193000000006</v>
          </cell>
          <cell r="X54">
            <v>0</v>
          </cell>
          <cell r="Y54">
            <v>0</v>
          </cell>
          <cell r="Z54">
            <v>0</v>
          </cell>
          <cell r="AA54" t="str">
            <v>n/a</v>
          </cell>
          <cell r="AB54">
            <v>4.9243442957980735E-2</v>
          </cell>
          <cell r="AC54">
            <v>-30.250960299999996</v>
          </cell>
          <cell r="AD54">
            <v>590.43350197558641</v>
          </cell>
          <cell r="AE54">
            <v>-204.90903596500002</v>
          </cell>
          <cell r="AH54">
            <v>-12520.051510000028</v>
          </cell>
          <cell r="AI54">
            <v>23145.083019999991</v>
          </cell>
          <cell r="AJ54">
            <v>217867.7807099999</v>
          </cell>
          <cell r="AK54">
            <v>110733.07511000006</v>
          </cell>
          <cell r="AL54">
            <v>108166.2766699998</v>
          </cell>
          <cell r="AM54">
            <v>271235.22406999982</v>
          </cell>
          <cell r="AN54">
            <v>59867.609599999989</v>
          </cell>
          <cell r="AO54">
            <v>44944.766619999988</v>
          </cell>
          <cell r="AW54">
            <v>23197.390819999993</v>
          </cell>
          <cell r="AX54">
            <v>-4445.089619999997</v>
          </cell>
          <cell r="AY54">
            <v>38271.035490000009</v>
          </cell>
          <cell r="AZ54">
            <v>31658.973690000003</v>
          </cell>
          <cell r="BA54">
            <v>72.489230000016178</v>
          </cell>
          <cell r="BB54">
            <v>-5383.9547700000003</v>
          </cell>
          <cell r="BC54">
            <v>-12803.648099999991</v>
          </cell>
          <cell r="BD54">
            <v>-11252.329870000001</v>
          </cell>
          <cell r="BL54">
            <v>29718.26738999999</v>
          </cell>
          <cell r="BM54">
            <v>-13109.795099999972</v>
          </cell>
          <cell r="BN54">
            <v>-60549.56259999999</v>
          </cell>
          <cell r="BO54">
            <v>-60958.521200000003</v>
          </cell>
          <cell r="BP54">
            <v>14156.188899999992</v>
          </cell>
          <cell r="BQ54">
            <v>90812.978699999978</v>
          </cell>
          <cell r="BR54">
            <v>-14668.541300000006</v>
          </cell>
          <cell r="BS54">
            <v>5677.3540499999963</v>
          </cell>
          <cell r="CP54">
            <v>10425.495101001121</v>
          </cell>
          <cell r="CQ54">
            <v>58615.843236227258</v>
          </cell>
          <cell r="CR54">
            <v>177441.32317519007</v>
          </cell>
          <cell r="CS54">
            <v>105492.44592795891</v>
          </cell>
          <cell r="CT54">
            <v>8298.4730242429941</v>
          </cell>
          <cell r="CU54">
            <v>36718.953661543062</v>
          </cell>
          <cell r="CV54">
            <v>-32602.150916328465</v>
          </cell>
          <cell r="CW54">
            <v>-11776.172804795136</v>
          </cell>
          <cell r="DE54">
            <v>373.3046567790243</v>
          </cell>
          <cell r="DF54">
            <v>39872.730153745993</v>
          </cell>
          <cell r="DG54">
            <v>34912.587976294468</v>
          </cell>
          <cell r="DH54">
            <v>42733.123063468294</v>
          </cell>
          <cell r="DI54">
            <v>6602.6400339031115</v>
          </cell>
          <cell r="DJ54">
            <v>13049.747981992125</v>
          </cell>
          <cell r="DK54">
            <v>5025.8301642256038</v>
          </cell>
          <cell r="DL54">
            <v>18810.805380601079</v>
          </cell>
          <cell r="DT54">
            <v>25053.174652799389</v>
          </cell>
          <cell r="DU54">
            <v>-20338.991170300247</v>
          </cell>
          <cell r="DV54">
            <v>-56433.678955697571</v>
          </cell>
          <cell r="DW54">
            <v>-45411.268422763344</v>
          </cell>
          <cell r="DX54">
            <v>77864.443935342875</v>
          </cell>
          <cell r="DY54">
            <v>69595.931388050696</v>
          </cell>
          <cell r="DZ54">
            <v>8996.9229087905114</v>
          </cell>
          <cell r="EA54">
            <v>15548.123979334981</v>
          </cell>
          <cell r="EX54">
            <v>30004.994740000024</v>
          </cell>
          <cell r="EY54">
            <v>-7306.194054999989</v>
          </cell>
          <cell r="EZ54">
            <v>222535.18463000015</v>
          </cell>
          <cell r="FA54">
            <v>22752.64086</v>
          </cell>
          <cell r="FB54">
            <v>141895.56544999988</v>
          </cell>
          <cell r="FC54">
            <v>202562.7714</v>
          </cell>
          <cell r="FD54">
            <v>-138522.83984999999</v>
          </cell>
          <cell r="FE54">
            <v>-84645.631600000008</v>
          </cell>
          <cell r="FF54">
            <v>-61027.470900000044</v>
          </cell>
          <cell r="FG54">
            <v>-36691.062360000004</v>
          </cell>
          <cell r="FH54">
            <v>-331790.52257000003</v>
          </cell>
          <cell r="FI54">
            <v>-52126.474425000015</v>
          </cell>
          <cell r="FM54">
            <v>8216.6777750000001</v>
          </cell>
          <cell r="FN54">
            <v>10248.210760000002</v>
          </cell>
          <cell r="FO54">
            <v>22751.838694999988</v>
          </cell>
          <cell r="FP54">
            <v>-6327.5576750000018</v>
          </cell>
          <cell r="FQ54">
            <v>-10047.497309999999</v>
          </cell>
          <cell r="FR54">
            <v>-20770.256420000002</v>
          </cell>
          <cell r="FS54">
            <v>-15734.704889999997</v>
          </cell>
          <cell r="FT54">
            <v>-4432.6248000000005</v>
          </cell>
          <cell r="FU54">
            <v>5068.7193000000007</v>
          </cell>
          <cell r="FV54">
            <v>-3094.5432650000016</v>
          </cell>
          <cell r="FW54">
            <v>-50387.726334999992</v>
          </cell>
          <cell r="FX54">
            <v>-8872.0668750000132</v>
          </cell>
          <cell r="GB54">
            <v>-18493.351555000019</v>
          </cell>
          <cell r="GC54">
            <v>-3518.7454599999987</v>
          </cell>
          <cell r="GD54">
            <v>30340.467604999998</v>
          </cell>
          <cell r="GE54">
            <v>-3066.7911849999814</v>
          </cell>
          <cell r="GF54">
            <v>44994.726760000005</v>
          </cell>
          <cell r="GG54">
            <v>33064.151519999999</v>
          </cell>
          <cell r="GH54">
            <v>27186.031539999996</v>
          </cell>
          <cell r="GI54">
            <v>-19521.354599999995</v>
          </cell>
          <cell r="GJ54">
            <v>-30250.960299999995</v>
          </cell>
          <cell r="GK54">
            <v>-38779.611174999991</v>
          </cell>
          <cell r="GL54">
            <v>-55428.04329500001</v>
          </cell>
          <cell r="GM54">
            <v>-5694.9861000000064</v>
          </cell>
        </row>
        <row r="55">
          <cell r="A55" t="str">
            <v>Depreciation Expense</v>
          </cell>
          <cell r="C55">
            <v>0</v>
          </cell>
          <cell r="D55">
            <v>0</v>
          </cell>
          <cell r="E55">
            <v>0</v>
          </cell>
          <cell r="F55" t="str">
            <v>n/a</v>
          </cell>
          <cell r="G55">
            <v>53.591666666666654</v>
          </cell>
          <cell r="H55">
            <v>71.271439999999984</v>
          </cell>
          <cell r="J55">
            <v>0</v>
          </cell>
          <cell r="K55">
            <v>0</v>
          </cell>
          <cell r="L55">
            <v>0</v>
          </cell>
          <cell r="M55" t="str">
            <v>n/a</v>
          </cell>
          <cell r="N55">
            <v>43.486740977379412</v>
          </cell>
          <cell r="O55">
            <v>51.176149999999993</v>
          </cell>
          <cell r="Q55">
            <v>0</v>
          </cell>
          <cell r="R55">
            <v>0</v>
          </cell>
          <cell r="S55">
            <v>0</v>
          </cell>
          <cell r="T55" t="str">
            <v>n/a</v>
          </cell>
          <cell r="U55">
            <v>4.7468396541921996</v>
          </cell>
          <cell r="V55">
            <v>3.9344699999999997</v>
          </cell>
          <cell r="X55">
            <v>0</v>
          </cell>
          <cell r="Y55">
            <v>0</v>
          </cell>
          <cell r="Z55">
            <v>0</v>
          </cell>
          <cell r="AA55" t="str">
            <v>n/a</v>
          </cell>
          <cell r="AB55">
            <v>5.3580860350950417</v>
          </cell>
          <cell r="AC55">
            <v>16.160820000000001</v>
          </cell>
          <cell r="AD55">
            <v>578.38161666666656</v>
          </cell>
          <cell r="AE55">
            <v>478.05513999999999</v>
          </cell>
          <cell r="AH55">
            <v>31480.877999999997</v>
          </cell>
          <cell r="AI55">
            <v>31480.877999999997</v>
          </cell>
          <cell r="AJ55">
            <v>31480.877999999997</v>
          </cell>
          <cell r="AK55">
            <v>31480.877999999997</v>
          </cell>
          <cell r="AL55">
            <v>31480.877999999997</v>
          </cell>
          <cell r="AM55">
            <v>31480.877999999997</v>
          </cell>
          <cell r="AN55">
            <v>31480.877999999997</v>
          </cell>
          <cell r="AO55">
            <v>33734.589999999997</v>
          </cell>
          <cell r="AW55">
            <v>2508.5520000000001</v>
          </cell>
          <cell r="AX55">
            <v>2508.5520000000001</v>
          </cell>
          <cell r="AY55">
            <v>2508.5520000000001</v>
          </cell>
          <cell r="AZ55">
            <v>2508.5520000000001</v>
          </cell>
          <cell r="BA55">
            <v>2508.5520000000001</v>
          </cell>
          <cell r="BB55">
            <v>2508.5520000000001</v>
          </cell>
          <cell r="BC55">
            <v>2508.5520000000001</v>
          </cell>
          <cell r="BD55">
            <v>2686.0650000000001</v>
          </cell>
          <cell r="BL55">
            <v>10116.879999999999</v>
          </cell>
          <cell r="BM55">
            <v>10116.879999999999</v>
          </cell>
          <cell r="BN55">
            <v>10116.879999999999</v>
          </cell>
          <cell r="BO55">
            <v>10116.879999999999</v>
          </cell>
          <cell r="BP55">
            <v>10116.879999999999</v>
          </cell>
          <cell r="BQ55">
            <v>10116.879999999999</v>
          </cell>
          <cell r="BR55">
            <v>10116.879999999999</v>
          </cell>
          <cell r="BS55">
            <v>10850.125</v>
          </cell>
          <cell r="CP55">
            <v>38337.436358737701</v>
          </cell>
          <cell r="CQ55">
            <v>38388.236870009991</v>
          </cell>
          <cell r="CR55">
            <v>38665.926470853483</v>
          </cell>
          <cell r="CS55">
            <v>38876.949405030304</v>
          </cell>
          <cell r="CT55">
            <v>39087.972339207132</v>
          </cell>
          <cell r="CU55">
            <v>39265.661940050632</v>
          </cell>
          <cell r="CV55">
            <v>39510.018207560788</v>
          </cell>
          <cell r="CW55">
            <v>39721.041141737624</v>
          </cell>
          <cell r="DE55">
            <v>4187.8564089924812</v>
          </cell>
          <cell r="DF55">
            <v>4861.6573365837139</v>
          </cell>
          <cell r="DG55">
            <v>4897.1291117232768</v>
          </cell>
          <cell r="DH55">
            <v>4924.2675535295057</v>
          </cell>
          <cell r="DI55">
            <v>4951.4059953357355</v>
          </cell>
          <cell r="DJ55">
            <v>4974.3777704752983</v>
          </cell>
          <cell r="DK55">
            <v>5005.6828789481942</v>
          </cell>
          <cell r="DL55">
            <v>5032.821320754425</v>
          </cell>
          <cell r="DT55">
            <v>4721.9294544920394</v>
          </cell>
          <cell r="DU55">
            <v>4744.5502378507454</v>
          </cell>
          <cell r="DV55">
            <v>4778.6110840899109</v>
          </cell>
          <cell r="DW55">
            <v>4804.3385969957426</v>
          </cell>
          <cell r="DX55">
            <v>4830.0661099015742</v>
          </cell>
          <cell r="DY55">
            <v>4851.6269561407407</v>
          </cell>
          <cell r="DZ55">
            <v>4881.5211357132384</v>
          </cell>
          <cell r="EA55">
            <v>4907.2486486190719</v>
          </cell>
          <cell r="EX55">
            <v>18678.936999999998</v>
          </cell>
          <cell r="EY55">
            <v>19854.440000000002</v>
          </cell>
          <cell r="EZ55">
            <v>18652.884999999998</v>
          </cell>
          <cell r="FA55">
            <v>25798.159</v>
          </cell>
          <cell r="FB55">
            <v>16761.93</v>
          </cell>
          <cell r="FC55">
            <v>33957.599999999999</v>
          </cell>
          <cell r="FD55">
            <v>19898.120000000003</v>
          </cell>
          <cell r="FE55">
            <v>19898.120000000003</v>
          </cell>
          <cell r="FF55">
            <v>51176.149999999994</v>
          </cell>
          <cell r="FG55">
            <v>31780.125</v>
          </cell>
          <cell r="FH55">
            <v>42364.447</v>
          </cell>
          <cell r="FI55">
            <v>42703.97</v>
          </cell>
          <cell r="FM55">
            <v>1493.1655000000001</v>
          </cell>
          <cell r="FN55">
            <v>1577.13</v>
          </cell>
          <cell r="FO55">
            <v>1478.6975000000002</v>
          </cell>
          <cell r="FP55">
            <v>1971.9485</v>
          </cell>
          <cell r="FQ55">
            <v>1339.1499999999999</v>
          </cell>
          <cell r="FR55">
            <v>2565.52</v>
          </cell>
          <cell r="FS55">
            <v>1489.04</v>
          </cell>
          <cell r="FT55">
            <v>1489.04</v>
          </cell>
          <cell r="FU55">
            <v>3934.47</v>
          </cell>
          <cell r="FV55">
            <v>2408.1775000000002</v>
          </cell>
          <cell r="FW55">
            <v>3234.6455000000001</v>
          </cell>
          <cell r="FX55">
            <v>3202.54</v>
          </cell>
          <cell r="GB55">
            <v>6118.1075000000001</v>
          </cell>
          <cell r="GC55">
            <v>6475.53</v>
          </cell>
          <cell r="GD55">
            <v>6083.9274999999998</v>
          </cell>
          <cell r="GE55">
            <v>7725.5824999999995</v>
          </cell>
          <cell r="GF55">
            <v>5364.42</v>
          </cell>
          <cell r="GG55">
            <v>11433.38</v>
          </cell>
          <cell r="GH55">
            <v>6551.85</v>
          </cell>
          <cell r="GI55">
            <v>6551.85</v>
          </cell>
          <cell r="GJ55">
            <v>16160.82</v>
          </cell>
          <cell r="GK55">
            <v>10274.837500000001</v>
          </cell>
          <cell r="GL55">
            <v>13534.3375</v>
          </cell>
          <cell r="GM55">
            <v>14072.09</v>
          </cell>
        </row>
        <row r="56">
          <cell r="A56" t="str">
            <v>Amortization Expense</v>
          </cell>
          <cell r="C56">
            <v>0</v>
          </cell>
          <cell r="D56">
            <v>0</v>
          </cell>
          <cell r="E56">
            <v>0</v>
          </cell>
          <cell r="F56" t="str">
            <v>n/a</v>
          </cell>
          <cell r="G56">
            <v>0</v>
          </cell>
          <cell r="H56">
            <v>0</v>
          </cell>
          <cell r="J56">
            <v>0</v>
          </cell>
          <cell r="K56">
            <v>0</v>
          </cell>
          <cell r="L56">
            <v>0</v>
          </cell>
          <cell r="M56" t="str">
            <v>n/a</v>
          </cell>
          <cell r="N56">
            <v>0</v>
          </cell>
          <cell r="O56">
            <v>0</v>
          </cell>
          <cell r="Q56">
            <v>0</v>
          </cell>
          <cell r="R56">
            <v>0</v>
          </cell>
          <cell r="S56">
            <v>0</v>
          </cell>
          <cell r="T56" t="str">
            <v>n/a</v>
          </cell>
          <cell r="U56">
            <v>0</v>
          </cell>
          <cell r="V56">
            <v>0</v>
          </cell>
          <cell r="X56">
            <v>0</v>
          </cell>
          <cell r="Y56">
            <v>0</v>
          </cell>
          <cell r="Z56">
            <v>0</v>
          </cell>
          <cell r="AA56" t="str">
            <v>n/a</v>
          </cell>
          <cell r="AB56">
            <v>0</v>
          </cell>
          <cell r="AC56">
            <v>0</v>
          </cell>
          <cell r="AD56">
            <v>0</v>
          </cell>
          <cell r="AE56">
            <v>1200</v>
          </cell>
          <cell r="AH56">
            <v>0</v>
          </cell>
          <cell r="AI56">
            <v>0</v>
          </cell>
          <cell r="AJ56">
            <v>0</v>
          </cell>
          <cell r="AK56">
            <v>0</v>
          </cell>
          <cell r="AL56">
            <v>0</v>
          </cell>
          <cell r="AM56">
            <v>0</v>
          </cell>
          <cell r="AN56">
            <v>0</v>
          </cell>
          <cell r="AO56">
            <v>0</v>
          </cell>
          <cell r="AW56">
            <v>0</v>
          </cell>
          <cell r="AX56">
            <v>0</v>
          </cell>
          <cell r="AY56">
            <v>0</v>
          </cell>
          <cell r="AZ56">
            <v>0</v>
          </cell>
          <cell r="BA56">
            <v>0</v>
          </cell>
          <cell r="BB56">
            <v>0</v>
          </cell>
          <cell r="BC56">
            <v>0</v>
          </cell>
          <cell r="BD56">
            <v>0</v>
          </cell>
          <cell r="BL56">
            <v>0</v>
          </cell>
          <cell r="BM56">
            <v>0</v>
          </cell>
          <cell r="BN56">
            <v>0</v>
          </cell>
          <cell r="BO56">
            <v>0</v>
          </cell>
          <cell r="BP56">
            <v>0</v>
          </cell>
          <cell r="BQ56">
            <v>0</v>
          </cell>
          <cell r="BR56">
            <v>0</v>
          </cell>
          <cell r="BS56">
            <v>0</v>
          </cell>
          <cell r="CP56">
            <v>0</v>
          </cell>
          <cell r="CQ56">
            <v>0</v>
          </cell>
          <cell r="CR56">
            <v>0</v>
          </cell>
          <cell r="CS56">
            <v>0</v>
          </cell>
          <cell r="CT56">
            <v>0</v>
          </cell>
          <cell r="CU56">
            <v>0</v>
          </cell>
          <cell r="CV56">
            <v>0</v>
          </cell>
          <cell r="CW56">
            <v>0</v>
          </cell>
          <cell r="DE56">
            <v>0</v>
          </cell>
          <cell r="DF56">
            <v>0</v>
          </cell>
          <cell r="DG56">
            <v>0</v>
          </cell>
          <cell r="DH56">
            <v>0</v>
          </cell>
          <cell r="DI56">
            <v>0</v>
          </cell>
          <cell r="DJ56">
            <v>0</v>
          </cell>
          <cell r="DK56">
            <v>0</v>
          </cell>
          <cell r="DL56">
            <v>0</v>
          </cell>
          <cell r="DT56">
            <v>0</v>
          </cell>
          <cell r="DU56">
            <v>0</v>
          </cell>
          <cell r="DV56">
            <v>0</v>
          </cell>
          <cell r="DW56">
            <v>0</v>
          </cell>
          <cell r="DX56">
            <v>0</v>
          </cell>
          <cell r="DY56">
            <v>0</v>
          </cell>
          <cell r="DZ56">
            <v>0</v>
          </cell>
          <cell r="EA56">
            <v>0</v>
          </cell>
          <cell r="EX56">
            <v>0</v>
          </cell>
          <cell r="EY56">
            <v>0</v>
          </cell>
          <cell r="EZ56">
            <v>0</v>
          </cell>
          <cell r="FA56">
            <v>0</v>
          </cell>
          <cell r="FB56">
            <v>0</v>
          </cell>
          <cell r="FC56">
            <v>0</v>
          </cell>
          <cell r="FD56">
            <v>0</v>
          </cell>
          <cell r="FE56">
            <v>0</v>
          </cell>
          <cell r="FF56">
            <v>0</v>
          </cell>
          <cell r="FG56">
            <v>0</v>
          </cell>
          <cell r="FH56">
            <v>750000</v>
          </cell>
          <cell r="FI56">
            <v>150000</v>
          </cell>
          <cell r="FM56">
            <v>0</v>
          </cell>
          <cell r="FN56">
            <v>0</v>
          </cell>
          <cell r="FO56">
            <v>0</v>
          </cell>
          <cell r="FP56">
            <v>0</v>
          </cell>
          <cell r="FQ56">
            <v>0</v>
          </cell>
          <cell r="FR56">
            <v>0</v>
          </cell>
          <cell r="FS56">
            <v>0</v>
          </cell>
          <cell r="FT56">
            <v>0</v>
          </cell>
          <cell r="FU56">
            <v>0</v>
          </cell>
          <cell r="FV56">
            <v>0</v>
          </cell>
          <cell r="FW56">
            <v>100000</v>
          </cell>
          <cell r="FX56">
            <v>20000</v>
          </cell>
          <cell r="GB56">
            <v>0</v>
          </cell>
          <cell r="GC56">
            <v>0</v>
          </cell>
          <cell r="GD56">
            <v>0</v>
          </cell>
          <cell r="GE56">
            <v>0</v>
          </cell>
          <cell r="GF56">
            <v>0</v>
          </cell>
          <cell r="GG56">
            <v>0</v>
          </cell>
          <cell r="GH56">
            <v>0</v>
          </cell>
          <cell r="GI56">
            <v>0</v>
          </cell>
          <cell r="GJ56">
            <v>0</v>
          </cell>
          <cell r="GK56">
            <v>0</v>
          </cell>
          <cell r="GL56">
            <v>150000</v>
          </cell>
          <cell r="GM56">
            <v>30000</v>
          </cell>
        </row>
        <row r="57">
          <cell r="A57" t="str">
            <v>EBITDA Items</v>
          </cell>
          <cell r="C57">
            <v>0</v>
          </cell>
          <cell r="D57">
            <v>0</v>
          </cell>
          <cell r="E57">
            <v>0</v>
          </cell>
          <cell r="F57" t="str">
            <v>n/a</v>
          </cell>
          <cell r="G57">
            <v>109.72553308895846</v>
          </cell>
          <cell r="H57">
            <v>7.2911380999999409</v>
          </cell>
          <cell r="J57">
            <v>0</v>
          </cell>
          <cell r="K57">
            <v>0</v>
          </cell>
          <cell r="L57">
            <v>0</v>
          </cell>
          <cell r="M57" t="str">
            <v>n/a</v>
          </cell>
          <cell r="N57">
            <v>85.677095044859698</v>
          </cell>
          <cell r="O57">
            <v>9.5053490999999468</v>
          </cell>
          <cell r="Q57">
            <v>0</v>
          </cell>
          <cell r="R57">
            <v>0</v>
          </cell>
          <cell r="S57">
            <v>0</v>
          </cell>
          <cell r="T57" t="str">
            <v>n/a</v>
          </cell>
          <cell r="U57">
            <v>18.641108566045737</v>
          </cell>
          <cell r="V57">
            <v>10.0077693</v>
          </cell>
          <cell r="X57">
            <v>0</v>
          </cell>
          <cell r="Y57">
            <v>0</v>
          </cell>
          <cell r="Z57">
            <v>0</v>
          </cell>
          <cell r="AA57" t="str">
            <v>n/a</v>
          </cell>
          <cell r="AB57">
            <v>5.4073294780530228</v>
          </cell>
          <cell r="AC57">
            <v>-12.221980299999995</v>
          </cell>
          <cell r="AD57">
            <v>1141.5321386422529</v>
          </cell>
          <cell r="AE57">
            <v>1722.7856540349999</v>
          </cell>
          <cell r="AH57">
            <v>19005.486489999967</v>
          </cell>
          <cell r="AI57">
            <v>33450.04101999999</v>
          </cell>
          <cell r="AJ57">
            <v>249784.2787099999</v>
          </cell>
          <cell r="AK57">
            <v>142754.07311000006</v>
          </cell>
          <cell r="AL57">
            <v>139789.69466999979</v>
          </cell>
          <cell r="AM57">
            <v>302768.32206999976</v>
          </cell>
          <cell r="AN57">
            <v>91350.957599999994</v>
          </cell>
          <cell r="AO57">
            <v>78674.036619999984</v>
          </cell>
          <cell r="AP57">
            <v>0</v>
          </cell>
          <cell r="AQ57">
            <v>0</v>
          </cell>
          <cell r="AR57">
            <v>0</v>
          </cell>
          <cell r="AS57">
            <v>0</v>
          </cell>
          <cell r="AW57">
            <v>25710.812819999992</v>
          </cell>
          <cell r="AX57">
            <v>-4985.0876199999966</v>
          </cell>
          <cell r="AY57">
            <v>40571.127490000013</v>
          </cell>
          <cell r="AZ57">
            <v>33915.475690000007</v>
          </cell>
          <cell r="BA57">
            <v>2514.5212300000162</v>
          </cell>
          <cell r="BB57">
            <v>-2899.77277</v>
          </cell>
          <cell r="BC57">
            <v>-10296.256099999991</v>
          </cell>
          <cell r="BD57">
            <v>-8567.3248700000004</v>
          </cell>
          <cell r="BE57">
            <v>0</v>
          </cell>
          <cell r="BF57">
            <v>0</v>
          </cell>
          <cell r="BG57">
            <v>0</v>
          </cell>
          <cell r="BH57">
            <v>0</v>
          </cell>
          <cell r="BL57">
            <v>39839.74738999999</v>
          </cell>
          <cell r="BM57">
            <v>-6086.8750999999738</v>
          </cell>
          <cell r="BN57">
            <v>-50670.922599999991</v>
          </cell>
          <cell r="BO57">
            <v>-51129.701200000003</v>
          </cell>
          <cell r="BP57">
            <v>24197.048899999991</v>
          </cell>
          <cell r="BQ57">
            <v>100902.00869999998</v>
          </cell>
          <cell r="BR57">
            <v>-4552.9813000000067</v>
          </cell>
          <cell r="BS57">
            <v>16526.259049999997</v>
          </cell>
          <cell r="BT57">
            <v>0</v>
          </cell>
          <cell r="BU57">
            <v>0</v>
          </cell>
          <cell r="BV57">
            <v>0</v>
          </cell>
          <cell r="BW57">
            <v>0</v>
          </cell>
          <cell r="CP57">
            <v>48762.931459738822</v>
          </cell>
          <cell r="CQ57">
            <v>97004.080106237248</v>
          </cell>
          <cell r="CR57">
            <v>216107.24964604355</v>
          </cell>
          <cell r="CS57">
            <v>144369.39533298922</v>
          </cell>
          <cell r="CT57">
            <v>47386.445363450126</v>
          </cell>
          <cell r="CU57">
            <v>75984.615601593687</v>
          </cell>
          <cell r="CV57">
            <v>6907.8672912323236</v>
          </cell>
          <cell r="CW57">
            <v>27944.868336942487</v>
          </cell>
          <cell r="CX57">
            <v>0</v>
          </cell>
          <cell r="CY57">
            <v>0</v>
          </cell>
          <cell r="CZ57">
            <v>0</v>
          </cell>
          <cell r="DA57">
            <v>0</v>
          </cell>
          <cell r="DE57">
            <v>4561.1610657715055</v>
          </cell>
          <cell r="DF57">
            <v>44734.387490329711</v>
          </cell>
          <cell r="DG57">
            <v>39809.717088017744</v>
          </cell>
          <cell r="DH57">
            <v>47657.3906169978</v>
          </cell>
          <cell r="DI57">
            <v>11554.046029238847</v>
          </cell>
          <cell r="DJ57">
            <v>18024.125752467422</v>
          </cell>
          <cell r="DK57">
            <v>10031.513043173798</v>
          </cell>
          <cell r="DL57">
            <v>23843.626701355504</v>
          </cell>
          <cell r="DM57">
            <v>0</v>
          </cell>
          <cell r="DN57">
            <v>0</v>
          </cell>
          <cell r="DO57">
            <v>0</v>
          </cell>
          <cell r="DP57">
            <v>0</v>
          </cell>
          <cell r="DT57">
            <v>29775.10410729143</v>
          </cell>
          <cell r="DU57">
            <v>-15594.440932449503</v>
          </cell>
          <cell r="DV57">
            <v>-51655.067871607658</v>
          </cell>
          <cell r="DW57">
            <v>-40606.929825767598</v>
          </cell>
          <cell r="DX57">
            <v>82694.510045244446</v>
          </cell>
          <cell r="DY57">
            <v>74447.558344191435</v>
          </cell>
          <cell r="DZ57">
            <v>13878.444044503751</v>
          </cell>
          <cell r="EA57">
            <v>20455.372627954053</v>
          </cell>
          <cell r="EB57">
            <v>0</v>
          </cell>
          <cell r="EC57">
            <v>0</v>
          </cell>
          <cell r="ED57">
            <v>0</v>
          </cell>
          <cell r="EE57">
            <v>0</v>
          </cell>
          <cell r="EX57">
            <v>59066.941740000024</v>
          </cell>
          <cell r="EY57">
            <v>21951.345945000012</v>
          </cell>
          <cell r="EZ57">
            <v>256319.76963000017</v>
          </cell>
          <cell r="FA57">
            <v>57580.359859999997</v>
          </cell>
          <cell r="FB57">
            <v>169070.22544999988</v>
          </cell>
          <cell r="FC57">
            <v>243768.81140000001</v>
          </cell>
          <cell r="FD57">
            <v>-90231.209849999985</v>
          </cell>
          <cell r="FE57">
            <v>-42949.531600000009</v>
          </cell>
          <cell r="FF57">
            <v>9505.3490999999485</v>
          </cell>
          <cell r="FG57">
            <v>23061.402639999997</v>
          </cell>
          <cell r="FH57">
            <v>481807.80442999996</v>
          </cell>
          <cell r="FI57">
            <v>164022.90557499998</v>
          </cell>
          <cell r="FM57">
            <v>10914.703275</v>
          </cell>
          <cell r="FN57">
            <v>13945.300760000002</v>
          </cell>
          <cell r="FO57">
            <v>25582.856194999986</v>
          </cell>
          <cell r="FP57">
            <v>-3716.3191750000019</v>
          </cell>
          <cell r="FQ57">
            <v>-8439.21731</v>
          </cell>
          <cell r="FR57">
            <v>-18116.046420000002</v>
          </cell>
          <cell r="FS57">
            <v>-12648.314889999998</v>
          </cell>
          <cell r="FT57">
            <v>-1742.4148000000005</v>
          </cell>
          <cell r="FU57">
            <v>10007.7693</v>
          </cell>
          <cell r="FV57">
            <v>693.11423499999864</v>
          </cell>
          <cell r="FW57">
            <v>54287.389165000008</v>
          </cell>
          <cell r="FX57">
            <v>15872.023124999987</v>
          </cell>
          <cell r="GB57">
            <v>-10638.184055000018</v>
          </cell>
          <cell r="GC57">
            <v>5267.9045400000014</v>
          </cell>
          <cell r="GD57">
            <v>39970.455104999994</v>
          </cell>
          <cell r="GE57">
            <v>7338.721315000018</v>
          </cell>
          <cell r="GF57">
            <v>53275.716760000003</v>
          </cell>
          <cell r="GG57">
            <v>46458.371519999993</v>
          </cell>
          <cell r="GH57">
            <v>36714.501539999997</v>
          </cell>
          <cell r="GI57">
            <v>-10479.634599999996</v>
          </cell>
          <cell r="GJ57">
            <v>-12221.980299999996</v>
          </cell>
          <cell r="GK57">
            <v>-25709.06367499999</v>
          </cell>
          <cell r="GL57">
            <v>111294.53420499999</v>
          </cell>
          <cell r="GM57">
            <v>41899.29389999999</v>
          </cell>
        </row>
        <row r="59">
          <cell r="A59" t="str">
            <v>Net Income After Tax</v>
          </cell>
          <cell r="C59">
            <v>0</v>
          </cell>
          <cell r="D59">
            <v>0</v>
          </cell>
          <cell r="E59">
            <v>0</v>
          </cell>
          <cell r="F59" t="str">
            <v>n/a</v>
          </cell>
          <cell r="G59">
            <v>80.778002900371376</v>
          </cell>
          <cell r="H59">
            <v>-124.05786809999989</v>
          </cell>
          <cell r="J59">
            <v>0</v>
          </cell>
          <cell r="K59">
            <v>0</v>
          </cell>
          <cell r="L59">
            <v>0</v>
          </cell>
          <cell r="M59" t="str">
            <v>n/a</v>
          </cell>
          <cell r="N59">
            <v>20.702721861183349</v>
          </cell>
          <cell r="O59">
            <v>-87.820009099999908</v>
          </cell>
          <cell r="Q59">
            <v>0</v>
          </cell>
          <cell r="R59">
            <v>0</v>
          </cell>
          <cell r="S59">
            <v>0</v>
          </cell>
          <cell r="T59" t="str">
            <v>n/a</v>
          </cell>
          <cell r="U59">
            <v>60.004418523711486</v>
          </cell>
          <cell r="V59">
            <v>7.2940207000000044</v>
          </cell>
          <cell r="X59">
            <v>0</v>
          </cell>
          <cell r="Y59">
            <v>0</v>
          </cell>
          <cell r="Z59">
            <v>0</v>
          </cell>
          <cell r="AA59" t="str">
            <v>n/a</v>
          </cell>
          <cell r="AB59">
            <v>7.0862515476129317E-2</v>
          </cell>
          <cell r="AC59">
            <v>-43.531879700000005</v>
          </cell>
          <cell r="AD59">
            <v>849.64821015998814</v>
          </cell>
          <cell r="AE59">
            <v>-294.87107403499886</v>
          </cell>
          <cell r="AH59">
            <v>-18016.659489999831</v>
          </cell>
          <cell r="AI59">
            <v>33306.338979999899</v>
          </cell>
          <cell r="AJ59">
            <v>313517.05029000004</v>
          </cell>
          <cell r="AK59">
            <v>159347.59589</v>
          </cell>
          <cell r="AL59">
            <v>155653.91033000019</v>
          </cell>
          <cell r="AM59">
            <v>390314.10293000005</v>
          </cell>
          <cell r="AN59">
            <v>86150.950400000031</v>
          </cell>
          <cell r="AO59">
            <v>64676.615380000047</v>
          </cell>
          <cell r="AP59">
            <v>0</v>
          </cell>
          <cell r="AQ59">
            <v>0</v>
          </cell>
          <cell r="AR59">
            <v>0</v>
          </cell>
          <cell r="AS59">
            <v>0</v>
          </cell>
          <cell r="AW59">
            <v>33381.611180000007</v>
          </cell>
          <cell r="AX59">
            <v>-6396.59238</v>
          </cell>
          <cell r="AY59">
            <v>55072.953509999963</v>
          </cell>
          <cell r="AZ59">
            <v>45558.035309999992</v>
          </cell>
          <cell r="BA59">
            <v>104.3137700000193</v>
          </cell>
          <cell r="BB59">
            <v>-7747.6422300000158</v>
          </cell>
          <cell r="BC59">
            <v>-18424.761899999998</v>
          </cell>
          <cell r="BD59">
            <v>-16192.377129999983</v>
          </cell>
          <cell r="BE59">
            <v>0</v>
          </cell>
          <cell r="BF59">
            <v>0</v>
          </cell>
          <cell r="BG59">
            <v>0</v>
          </cell>
          <cell r="BH59">
            <v>0</v>
          </cell>
          <cell r="BL59">
            <v>42765.311609999975</v>
          </cell>
          <cell r="BM59">
            <v>-18865.314899999998</v>
          </cell>
          <cell r="BN59">
            <v>-87132.297399999981</v>
          </cell>
          <cell r="BO59">
            <v>-87720.79879999999</v>
          </cell>
          <cell r="BP59">
            <v>20371.101100000018</v>
          </cell>
          <cell r="BQ59">
            <v>130682.09130000003</v>
          </cell>
          <cell r="BR59">
            <v>-21108.388700000003</v>
          </cell>
          <cell r="BS59">
            <v>8169.8509500000218</v>
          </cell>
          <cell r="BT59">
            <v>0</v>
          </cell>
          <cell r="BU59">
            <v>0</v>
          </cell>
          <cell r="BV59">
            <v>0</v>
          </cell>
          <cell r="BW59">
            <v>0</v>
          </cell>
          <cell r="CP59">
            <v>15002.541730708814</v>
          </cell>
          <cell r="CQ59">
            <v>84349.628071644009</v>
          </cell>
          <cell r="CR59">
            <v>255342.39188624921</v>
          </cell>
          <cell r="CS59">
            <v>151806.202676819</v>
          </cell>
          <cell r="CT59">
            <v>11941.705083666733</v>
          </cell>
          <cell r="CU59">
            <v>52839.469903196121</v>
          </cell>
          <cell r="CV59">
            <v>-46915.290343009241</v>
          </cell>
          <cell r="CW59">
            <v>-16946.199889827138</v>
          </cell>
          <cell r="CX59">
            <v>0</v>
          </cell>
          <cell r="CY59">
            <v>0</v>
          </cell>
          <cell r="CZ59">
            <v>0</v>
          </cell>
          <cell r="DA59">
            <v>0</v>
          </cell>
          <cell r="DE59">
            <v>537.19450609663818</v>
          </cell>
          <cell r="DF59">
            <v>57377.831196853993</v>
          </cell>
          <cell r="DG59">
            <v>50240.065624423718</v>
          </cell>
          <cell r="DH59">
            <v>61494.006359625113</v>
          </cell>
          <cell r="DI59">
            <v>9501.3600487874191</v>
          </cell>
          <cell r="DJ59">
            <v>18778.90563262286</v>
          </cell>
          <cell r="DK59">
            <v>7232.2921875441662</v>
          </cell>
          <cell r="DL59">
            <v>27069.207742816187</v>
          </cell>
          <cell r="DM59">
            <v>0</v>
          </cell>
          <cell r="DN59">
            <v>0</v>
          </cell>
          <cell r="DO59">
            <v>0</v>
          </cell>
          <cell r="DP59">
            <v>0</v>
          </cell>
          <cell r="DT59">
            <v>36052.129378418635</v>
          </cell>
          <cell r="DU59">
            <v>-29268.304367017427</v>
          </cell>
          <cell r="DV59">
            <v>-81209.440448442852</v>
          </cell>
          <cell r="DW59">
            <v>-65347.922852269199</v>
          </cell>
          <cell r="DX59">
            <v>112048.83395573733</v>
          </cell>
          <cell r="DY59">
            <v>100150.24272914615</v>
          </cell>
          <cell r="DZ59">
            <v>12946.791502893659</v>
          </cell>
          <cell r="EA59">
            <v>22374.129628799124</v>
          </cell>
          <cell r="EB59">
            <v>0</v>
          </cell>
          <cell r="EC59">
            <v>0</v>
          </cell>
          <cell r="ED59">
            <v>0</v>
          </cell>
          <cell r="EE59">
            <v>0</v>
          </cell>
          <cell r="EX59">
            <v>43177.90326000005</v>
          </cell>
          <cell r="EY59">
            <v>-10513.785944999927</v>
          </cell>
          <cell r="EZ59">
            <v>320233.56537000003</v>
          </cell>
          <cell r="FA59">
            <v>32741.595139999918</v>
          </cell>
          <cell r="FB59">
            <v>204191.18954999998</v>
          </cell>
          <cell r="FC59">
            <v>291492.77859999973</v>
          </cell>
          <cell r="FD59">
            <v>-199337.74014999997</v>
          </cell>
          <cell r="FE59">
            <v>-121807.1384</v>
          </cell>
          <cell r="FF59">
            <v>-87820.009099999894</v>
          </cell>
          <cell r="FG59">
            <v>-52799.333639999793</v>
          </cell>
          <cell r="FH59">
            <v>-477456.65943</v>
          </cell>
          <cell r="FI59">
            <v>-75011.265574999939</v>
          </cell>
          <cell r="FM59">
            <v>11823.999725000012</v>
          </cell>
          <cell r="FN59">
            <v>14747.425239999997</v>
          </cell>
          <cell r="FO59">
            <v>32740.450805</v>
          </cell>
          <cell r="FP59">
            <v>-9105.4998249999899</v>
          </cell>
          <cell r="FQ59">
            <v>-14458.593690000002</v>
          </cell>
          <cell r="FR59">
            <v>-29888.895579999993</v>
          </cell>
          <cell r="FS59">
            <v>-22642.625110000004</v>
          </cell>
          <cell r="FT59">
            <v>-6378.6652000000022</v>
          </cell>
          <cell r="FU59">
            <v>7294.0206999999937</v>
          </cell>
          <cell r="FV59">
            <v>-4453.1232350000009</v>
          </cell>
          <cell r="FW59">
            <v>-72509.164165000009</v>
          </cell>
          <cell r="FX59">
            <v>-12767.105124999978</v>
          </cell>
          <cell r="GB59">
            <v>-26612.393944999967</v>
          </cell>
          <cell r="GC59">
            <v>-5063.5505399999802</v>
          </cell>
          <cell r="GD59">
            <v>43660.672895000032</v>
          </cell>
          <cell r="GE59">
            <v>-4413.187315000011</v>
          </cell>
          <cell r="GF59">
            <v>64748.509239999992</v>
          </cell>
          <cell r="GG59">
            <v>47580.120480000005</v>
          </cell>
          <cell r="GH59">
            <v>39121.368459999998</v>
          </cell>
          <cell r="GI59">
            <v>-28091.715400000008</v>
          </cell>
          <cell r="GJ59">
            <v>-43531.879700000012</v>
          </cell>
          <cell r="GK59">
            <v>-55804.80632500002</v>
          </cell>
          <cell r="GL59">
            <v>-79762.314205000002</v>
          </cell>
          <cell r="GM59">
            <v>-8195.2219000000259</v>
          </cell>
        </row>
        <row r="61">
          <cell r="A61" t="str">
            <v>Current Month FTE Staffing</v>
          </cell>
          <cell r="C61">
            <v>63.270019273207183</v>
          </cell>
          <cell r="J61">
            <v>43.13221875</v>
          </cell>
          <cell r="Q61">
            <v>4.6236369930190966</v>
          </cell>
          <cell r="X61">
            <v>5.8856562500000003</v>
          </cell>
          <cell r="AH61">
            <v>94.616536142762371</v>
          </cell>
          <cell r="AI61">
            <v>98.222077583222742</v>
          </cell>
          <cell r="AJ61">
            <v>103.74253269053251</v>
          </cell>
          <cell r="AK61">
            <v>114.22919563996423</v>
          </cell>
          <cell r="AL61">
            <v>116.41780523401893</v>
          </cell>
          <cell r="AM61">
            <v>105.10592475876939</v>
          </cell>
          <cell r="AN61">
            <v>94.235230902757735</v>
          </cell>
          <cell r="AO61">
            <v>88.146290610035763</v>
          </cell>
          <cell r="AP61">
            <v>43.13221875</v>
          </cell>
          <cell r="AQ61">
            <v>0</v>
          </cell>
          <cell r="AR61">
            <v>0</v>
          </cell>
          <cell r="AS61">
            <v>0</v>
          </cell>
          <cell r="AW61">
            <v>10.5</v>
          </cell>
          <cell r="AX61">
            <v>12.157978617377259</v>
          </cell>
          <cell r="AY61">
            <v>14.550086947585532</v>
          </cell>
          <cell r="AZ61">
            <v>15.816762491345989</v>
          </cell>
          <cell r="BA61">
            <v>14.678705998673051</v>
          </cell>
          <cell r="BB61">
            <v>12.140251572145619</v>
          </cell>
          <cell r="BC61">
            <v>10.546673974499509</v>
          </cell>
          <cell r="BD61">
            <v>9.7841112329083249</v>
          </cell>
          <cell r="BE61">
            <v>4.6236369930190966</v>
          </cell>
          <cell r="BF61">
            <v>0</v>
          </cell>
          <cell r="BG61">
            <v>0</v>
          </cell>
          <cell r="BH61">
            <v>0</v>
          </cell>
          <cell r="BL61">
            <v>13.4883875</v>
          </cell>
          <cell r="BM61">
            <v>13.816881602290428</v>
          </cell>
          <cell r="BN61">
            <v>14.903487469710957</v>
          </cell>
          <cell r="BO61">
            <v>16.342085968239772</v>
          </cell>
          <cell r="BP61">
            <v>16.736971765923382</v>
          </cell>
          <cell r="BQ61">
            <v>16.046828019529222</v>
          </cell>
          <cell r="BR61">
            <v>14.569970339453644</v>
          </cell>
          <cell r="BS61">
            <v>12.702852735028559</v>
          </cell>
          <cell r="BT61">
            <v>5.8856562500000003</v>
          </cell>
          <cell r="BU61">
            <v>0</v>
          </cell>
          <cell r="BV61">
            <v>0</v>
          </cell>
          <cell r="BW61">
            <v>0</v>
          </cell>
        </row>
        <row r="62">
          <cell r="A62" t="str">
            <v>YTD Average Staffing</v>
          </cell>
          <cell r="C62">
            <v>138.60206876113003</v>
          </cell>
          <cell r="J62">
            <v>95.316423590229292</v>
          </cell>
          <cell r="Q62">
            <v>11.644245314172709</v>
          </cell>
          <cell r="X62">
            <v>13.832569072241773</v>
          </cell>
          <cell r="AH62">
            <v>94.616536142762371</v>
          </cell>
          <cell r="AI62">
            <v>96.419306862992556</v>
          </cell>
          <cell r="AJ62">
            <v>98.860382138839213</v>
          </cell>
          <cell r="AK62">
            <v>102.70258551412047</v>
          </cell>
          <cell r="AL62">
            <v>105.44562945810017</v>
          </cell>
          <cell r="AM62">
            <v>105.38901200821169</v>
          </cell>
          <cell r="AN62">
            <v>103.79561470743256</v>
          </cell>
          <cell r="AO62">
            <v>101.83944919525796</v>
          </cell>
          <cell r="AP62">
            <v>95.316423590229292</v>
          </cell>
          <cell r="AQ62">
            <v>85.784781231206367</v>
          </cell>
          <cell r="AR62">
            <v>77.98616475564215</v>
          </cell>
          <cell r="AS62">
            <v>71.487317692671965</v>
          </cell>
          <cell r="AW62">
            <v>10.5</v>
          </cell>
          <cell r="AX62">
            <v>11.32898930868863</v>
          </cell>
          <cell r="AY62">
            <v>12.402688521654264</v>
          </cell>
          <cell r="AZ62">
            <v>13.256207014077196</v>
          </cell>
          <cell r="BA62">
            <v>13.540706810996365</v>
          </cell>
          <cell r="BB62">
            <v>13.30729760452124</v>
          </cell>
          <cell r="BC62">
            <v>12.912922800232423</v>
          </cell>
          <cell r="BD62">
            <v>12.521821354316911</v>
          </cell>
          <cell r="BE62">
            <v>11.644245314172709</v>
          </cell>
          <cell r="BF62">
            <v>10.479820782755437</v>
          </cell>
          <cell r="BG62">
            <v>9.5271098025049437</v>
          </cell>
          <cell r="BH62">
            <v>8.7331839856295321</v>
          </cell>
          <cell r="BL62">
            <v>13.4883875</v>
          </cell>
          <cell r="BM62">
            <v>13.652634551145214</v>
          </cell>
          <cell r="BN62">
            <v>14.069585524000461</v>
          </cell>
          <cell r="BO62">
            <v>14.637710635060289</v>
          </cell>
          <cell r="BP62">
            <v>15.057562861232906</v>
          </cell>
          <cell r="BQ62">
            <v>15.222440387615626</v>
          </cell>
          <cell r="BR62">
            <v>15.129230380735342</v>
          </cell>
          <cell r="BS62">
            <v>14.825933175021994</v>
          </cell>
          <cell r="BT62">
            <v>13.832569072241773</v>
          </cell>
          <cell r="BU62">
            <v>12.449312165017595</v>
          </cell>
          <cell r="BV62">
            <v>11.317556513652359</v>
          </cell>
          <cell r="BW62">
            <v>10.374426804181329</v>
          </cell>
          <cell r="CP62" t="e">
            <v>#DIV/0!</v>
          </cell>
          <cell r="CQ62" t="e">
            <v>#DIV/0!</v>
          </cell>
          <cell r="CR62" t="e">
            <v>#DIV/0!</v>
          </cell>
          <cell r="CS62" t="e">
            <v>#DIV/0!</v>
          </cell>
          <cell r="CT62" t="e">
            <v>#DIV/0!</v>
          </cell>
          <cell r="CU62" t="e">
            <v>#DIV/0!</v>
          </cell>
          <cell r="CV62" t="e">
            <v>#DIV/0!</v>
          </cell>
          <cell r="CW62" t="e">
            <v>#DIV/0!</v>
          </cell>
          <cell r="CX62" t="e">
            <v>#DIV/0!</v>
          </cell>
          <cell r="CY62" t="e">
            <v>#DIV/0!</v>
          </cell>
          <cell r="CZ62" t="e">
            <v>#DIV/0!</v>
          </cell>
          <cell r="DA62" t="e">
            <v>#DIV/0!</v>
          </cell>
          <cell r="DE62" t="e">
            <v>#DIV/0!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T62" t="e">
            <v>#DIV/0!</v>
          </cell>
          <cell r="DU62" t="e">
            <v>#DIV/0!</v>
          </cell>
          <cell r="DV62" t="e">
            <v>#DIV/0!</v>
          </cell>
          <cell r="DW62" t="e">
            <v>#DIV/0!</v>
          </cell>
          <cell r="DX62" t="e">
            <v>#DIV/0!</v>
          </cell>
          <cell r="DY62" t="e">
            <v>#DIV/0!</v>
          </cell>
          <cell r="DZ62" t="e">
            <v>#DIV/0!</v>
          </cell>
          <cell r="EA62" t="e">
            <v>#DIV/0!</v>
          </cell>
          <cell r="EB62" t="e">
            <v>#DIV/0!</v>
          </cell>
          <cell r="EC62" t="e">
            <v>#DIV/0!</v>
          </cell>
          <cell r="ED62" t="e">
            <v>#DIV/0!</v>
          </cell>
          <cell r="EE62" t="e">
            <v>#DIV/0!</v>
          </cell>
          <cell r="EX62" t="e">
            <v>#DIV/0!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M62" t="e">
            <v>#DIV/0!</v>
          </cell>
          <cell r="FN62" t="e">
            <v>#DIV/0!</v>
          </cell>
          <cell r="FO62" t="e">
            <v>#DIV/0!</v>
          </cell>
          <cell r="FP62" t="e">
            <v>#DIV/0!</v>
          </cell>
          <cell r="FQ62" t="e">
            <v>#DIV/0!</v>
          </cell>
          <cell r="FR62" t="e">
            <v>#DIV/0!</v>
          </cell>
          <cell r="FS62" t="e">
            <v>#DIV/0!</v>
          </cell>
          <cell r="FT62" t="e">
            <v>#DIV/0!</v>
          </cell>
          <cell r="FU62" t="e">
            <v>#DIV/0!</v>
          </cell>
          <cell r="FV62" t="e">
            <v>#DIV/0!</v>
          </cell>
          <cell r="FW62" t="e">
            <v>#DIV/0!</v>
          </cell>
          <cell r="FX62" t="e">
            <v>#DIV/0!</v>
          </cell>
          <cell r="GB62" t="e">
            <v>#DIV/0!</v>
          </cell>
          <cell r="GC62" t="e">
            <v>#DIV/0!</v>
          </cell>
          <cell r="GD62" t="e">
            <v>#DIV/0!</v>
          </cell>
          <cell r="GE62" t="e">
            <v>#DIV/0!</v>
          </cell>
          <cell r="GF62" t="e">
            <v>#DIV/0!</v>
          </cell>
          <cell r="GG62" t="e">
            <v>#DIV/0!</v>
          </cell>
          <cell r="GH62" t="e">
            <v>#DIV/0!</v>
          </cell>
          <cell r="GI62" t="e">
            <v>#DIV/0!</v>
          </cell>
          <cell r="GJ62" t="e">
            <v>#DIV/0!</v>
          </cell>
          <cell r="GK62" t="e">
            <v>#DIV/0!</v>
          </cell>
          <cell r="GL62" t="e">
            <v>#DIV/0!</v>
          </cell>
          <cell r="GM62" t="e">
            <v>#DIV/0!</v>
          </cell>
        </row>
        <row r="64">
          <cell r="A64" t="str">
            <v>Note:  Corporate staffing is not allocated to divisions but is included in GTS Total column.</v>
          </cell>
        </row>
        <row r="67">
          <cell r="A67" t="str">
            <v>The GTS Companies</v>
          </cell>
        </row>
        <row r="68">
          <cell r="A68" t="str">
            <v>YTD Income Statement by Business Unit</v>
          </cell>
        </row>
        <row r="69">
          <cell r="A69" t="str">
            <v>For the Eight Months Ended August 31, 2001</v>
          </cell>
        </row>
        <row r="70">
          <cell r="A70" t="str">
            <v>($ in '000's)</v>
          </cell>
        </row>
        <row r="72">
          <cell r="C72" t="str">
            <v>TOTAL</v>
          </cell>
          <cell r="J72" t="str">
            <v>GRAPHICS</v>
          </cell>
          <cell r="Q72" t="str">
            <v>PUBLISHING SERVICES</v>
          </cell>
          <cell r="X72" t="str">
            <v>INNOVA</v>
          </cell>
          <cell r="AD72" t="str">
            <v>Full Year</v>
          </cell>
          <cell r="AE72" t="str">
            <v>Full Year</v>
          </cell>
        </row>
        <row r="73">
          <cell r="C73" t="str">
            <v>YTD</v>
          </cell>
          <cell r="D73" t="str">
            <v>YTD</v>
          </cell>
          <cell r="G73" t="str">
            <v>YTD</v>
          </cell>
          <cell r="H73" t="str">
            <v>YTD</v>
          </cell>
          <cell r="J73" t="str">
            <v>YTD</v>
          </cell>
          <cell r="K73" t="str">
            <v>YTD</v>
          </cell>
          <cell r="N73" t="str">
            <v>YTD</v>
          </cell>
          <cell r="O73" t="str">
            <v>YTD</v>
          </cell>
          <cell r="Q73" t="str">
            <v>YTD</v>
          </cell>
          <cell r="R73" t="str">
            <v>YTD</v>
          </cell>
          <cell r="U73" t="str">
            <v>YTD</v>
          </cell>
          <cell r="V73" t="str">
            <v>YTD</v>
          </cell>
          <cell r="X73" t="str">
            <v>YTD</v>
          </cell>
          <cell r="Y73" t="str">
            <v>YTD</v>
          </cell>
          <cell r="AB73" t="str">
            <v>YTD</v>
          </cell>
          <cell r="AC73" t="str">
            <v>YTD</v>
          </cell>
        </row>
        <row r="74">
          <cell r="C74">
            <v>37104</v>
          </cell>
          <cell r="D74">
            <v>37104</v>
          </cell>
          <cell r="G74">
            <v>37104</v>
          </cell>
          <cell r="H74">
            <v>36739</v>
          </cell>
          <cell r="J74">
            <v>37104</v>
          </cell>
          <cell r="K74">
            <v>37104</v>
          </cell>
          <cell r="N74">
            <v>37104</v>
          </cell>
          <cell r="O74">
            <v>36739</v>
          </cell>
          <cell r="Q74">
            <v>37104</v>
          </cell>
          <cell r="R74">
            <v>37104</v>
          </cell>
          <cell r="U74">
            <v>37104</v>
          </cell>
          <cell r="V74">
            <v>36739</v>
          </cell>
          <cell r="X74">
            <v>37104</v>
          </cell>
          <cell r="Y74">
            <v>37104</v>
          </cell>
          <cell r="AB74">
            <v>37104</v>
          </cell>
          <cell r="AC74">
            <v>36739</v>
          </cell>
          <cell r="AD74">
            <v>2001</v>
          </cell>
          <cell r="AE74">
            <v>2000</v>
          </cell>
        </row>
        <row r="75">
          <cell r="C75" t="str">
            <v>Actual</v>
          </cell>
          <cell r="D75" t="str">
            <v>Forecast</v>
          </cell>
          <cell r="E75" t="str">
            <v>$ Var</v>
          </cell>
          <cell r="F75" t="str">
            <v>% Var</v>
          </cell>
          <cell r="G75" t="str">
            <v>Budget</v>
          </cell>
          <cell r="H75" t="str">
            <v>Actual</v>
          </cell>
          <cell r="J75" t="str">
            <v>Actual</v>
          </cell>
          <cell r="K75" t="str">
            <v>Forecast</v>
          </cell>
          <cell r="L75" t="str">
            <v>$ Var</v>
          </cell>
          <cell r="M75" t="str">
            <v>% Var</v>
          </cell>
          <cell r="N75" t="str">
            <v>Budget</v>
          </cell>
          <cell r="O75" t="str">
            <v>Actual</v>
          </cell>
          <cell r="Q75" t="str">
            <v>Actual</v>
          </cell>
          <cell r="R75" t="str">
            <v>Forecast</v>
          </cell>
          <cell r="S75" t="str">
            <v>$ Var</v>
          </cell>
          <cell r="T75" t="str">
            <v>% Var</v>
          </cell>
          <cell r="U75" t="str">
            <v>Budget</v>
          </cell>
          <cell r="V75" t="str">
            <v>Actual</v>
          </cell>
          <cell r="X75" t="str">
            <v>Actual</v>
          </cell>
          <cell r="Y75" t="str">
            <v>Forecast</v>
          </cell>
          <cell r="Z75" t="str">
            <v>$ Var</v>
          </cell>
          <cell r="AA75" t="str">
            <v>% Var</v>
          </cell>
          <cell r="AB75" t="str">
            <v>Budget</v>
          </cell>
          <cell r="AC75" t="str">
            <v>Actual</v>
          </cell>
          <cell r="AD75" t="str">
            <v>Forecast</v>
          </cell>
          <cell r="AE75" t="str">
            <v>Actual</v>
          </cell>
        </row>
        <row r="77">
          <cell r="AH77">
            <v>1</v>
          </cell>
          <cell r="AI77">
            <v>2</v>
          </cell>
          <cell r="AJ77">
            <v>3</v>
          </cell>
          <cell r="AK77">
            <v>4</v>
          </cell>
          <cell r="AL77">
            <v>5</v>
          </cell>
          <cell r="AM77">
            <v>6</v>
          </cell>
          <cell r="AN77">
            <v>7</v>
          </cell>
          <cell r="AO77">
            <v>8</v>
          </cell>
          <cell r="AP77">
            <v>9</v>
          </cell>
          <cell r="AQ77">
            <v>10</v>
          </cell>
          <cell r="AR77">
            <v>11</v>
          </cell>
          <cell r="AS77">
            <v>12</v>
          </cell>
          <cell r="AW77">
            <v>1</v>
          </cell>
          <cell r="AX77">
            <v>2</v>
          </cell>
          <cell r="AY77">
            <v>3</v>
          </cell>
          <cell r="AZ77">
            <v>4</v>
          </cell>
          <cell r="BA77">
            <v>5</v>
          </cell>
          <cell r="BB77">
            <v>6</v>
          </cell>
          <cell r="BC77">
            <v>7</v>
          </cell>
          <cell r="BD77">
            <v>8</v>
          </cell>
          <cell r="BE77">
            <v>9</v>
          </cell>
          <cell r="BF77">
            <v>10</v>
          </cell>
          <cell r="BG77">
            <v>11</v>
          </cell>
          <cell r="BH77">
            <v>12</v>
          </cell>
          <cell r="BL77">
            <v>1</v>
          </cell>
          <cell r="BM77">
            <v>2</v>
          </cell>
          <cell r="BN77">
            <v>3</v>
          </cell>
          <cell r="BO77">
            <v>4</v>
          </cell>
          <cell r="BP77">
            <v>5</v>
          </cell>
          <cell r="BQ77">
            <v>6</v>
          </cell>
          <cell r="BR77">
            <v>7</v>
          </cell>
          <cell r="BS77">
            <v>8</v>
          </cell>
          <cell r="BT77">
            <v>9</v>
          </cell>
          <cell r="BU77">
            <v>10</v>
          </cell>
          <cell r="BV77">
            <v>11</v>
          </cell>
          <cell r="BW77">
            <v>12</v>
          </cell>
          <cell r="CP77">
            <v>1</v>
          </cell>
          <cell r="CQ77">
            <v>2</v>
          </cell>
          <cell r="CR77">
            <v>3</v>
          </cell>
          <cell r="CS77">
            <v>4</v>
          </cell>
          <cell r="CT77">
            <v>5</v>
          </cell>
          <cell r="CU77">
            <v>6</v>
          </cell>
          <cell r="CV77">
            <v>7</v>
          </cell>
          <cell r="CW77">
            <v>8</v>
          </cell>
          <cell r="CX77">
            <v>9</v>
          </cell>
          <cell r="CY77">
            <v>10</v>
          </cell>
          <cell r="CZ77">
            <v>11</v>
          </cell>
          <cell r="DA77">
            <v>12</v>
          </cell>
          <cell r="DE77">
            <v>1</v>
          </cell>
          <cell r="DF77">
            <v>2</v>
          </cell>
          <cell r="DG77">
            <v>3</v>
          </cell>
          <cell r="DH77">
            <v>4</v>
          </cell>
          <cell r="DI77">
            <v>5</v>
          </cell>
          <cell r="DJ77">
            <v>6</v>
          </cell>
          <cell r="DK77">
            <v>7</v>
          </cell>
          <cell r="DL77">
            <v>8</v>
          </cell>
          <cell r="DM77">
            <v>9</v>
          </cell>
          <cell r="DN77">
            <v>10</v>
          </cell>
          <cell r="DO77">
            <v>11</v>
          </cell>
          <cell r="DP77">
            <v>12</v>
          </cell>
          <cell r="DT77">
            <v>1</v>
          </cell>
          <cell r="DU77">
            <v>2</v>
          </cell>
          <cell r="DV77">
            <v>3</v>
          </cell>
          <cell r="DW77">
            <v>4</v>
          </cell>
          <cell r="DX77">
            <v>5</v>
          </cell>
          <cell r="DY77">
            <v>6</v>
          </cell>
          <cell r="DZ77">
            <v>7</v>
          </cell>
          <cell r="EA77">
            <v>8</v>
          </cell>
          <cell r="EB77">
            <v>9</v>
          </cell>
          <cell r="EC77">
            <v>10</v>
          </cell>
          <cell r="ED77">
            <v>11</v>
          </cell>
          <cell r="EE77">
            <v>12</v>
          </cell>
          <cell r="EX77">
            <v>1</v>
          </cell>
          <cell r="EY77">
            <v>2</v>
          </cell>
          <cell r="EZ77">
            <v>3</v>
          </cell>
          <cell r="FA77">
            <v>4</v>
          </cell>
          <cell r="FB77">
            <v>5</v>
          </cell>
          <cell r="FC77">
            <v>6</v>
          </cell>
          <cell r="FD77">
            <v>7</v>
          </cell>
          <cell r="FE77">
            <v>8</v>
          </cell>
          <cell r="FF77">
            <v>9</v>
          </cell>
          <cell r="FG77">
            <v>10</v>
          </cell>
          <cell r="FH77">
            <v>11</v>
          </cell>
          <cell r="FI77">
            <v>12</v>
          </cell>
          <cell r="FM77">
            <v>1</v>
          </cell>
          <cell r="FN77">
            <v>2</v>
          </cell>
          <cell r="FO77">
            <v>3</v>
          </cell>
          <cell r="FP77">
            <v>4</v>
          </cell>
          <cell r="FQ77">
            <v>5</v>
          </cell>
          <cell r="FR77">
            <v>6</v>
          </cell>
          <cell r="FS77">
            <v>7</v>
          </cell>
          <cell r="FT77">
            <v>8</v>
          </cell>
          <cell r="FU77">
            <v>9</v>
          </cell>
          <cell r="FV77">
            <v>10</v>
          </cell>
          <cell r="FW77">
            <v>11</v>
          </cell>
          <cell r="FX77">
            <v>12</v>
          </cell>
          <cell r="GB77">
            <v>1</v>
          </cell>
          <cell r="GC77">
            <v>2</v>
          </cell>
          <cell r="GD77">
            <v>3</v>
          </cell>
          <cell r="GE77">
            <v>4</v>
          </cell>
          <cell r="GF77">
            <v>5</v>
          </cell>
          <cell r="GG77">
            <v>6</v>
          </cell>
          <cell r="GH77">
            <v>7</v>
          </cell>
          <cell r="GI77">
            <v>8</v>
          </cell>
          <cell r="GJ77">
            <v>9</v>
          </cell>
          <cell r="GK77">
            <v>10</v>
          </cell>
          <cell r="GL77">
            <v>11</v>
          </cell>
          <cell r="GM77">
            <v>12</v>
          </cell>
        </row>
        <row r="78">
          <cell r="A78" t="str">
            <v>College Revenue</v>
          </cell>
          <cell r="C78">
            <v>3662.7506730877903</v>
          </cell>
          <cell r="D78">
            <v>0</v>
          </cell>
          <cell r="E78">
            <v>3662.7506730877903</v>
          </cell>
          <cell r="F78" t="str">
            <v>n/a</v>
          </cell>
          <cell r="G78">
            <v>3040.4882865546574</v>
          </cell>
          <cell r="H78">
            <v>2806.4084133932429</v>
          </cell>
          <cell r="J78">
            <v>3174.3072430877905</v>
          </cell>
          <cell r="K78">
            <v>0</v>
          </cell>
          <cell r="L78">
            <v>3174.3072430877905</v>
          </cell>
          <cell r="M78" t="str">
            <v>n/a</v>
          </cell>
          <cell r="N78">
            <v>2814.2382865546574</v>
          </cell>
          <cell r="O78">
            <v>2804.498413393243</v>
          </cell>
          <cell r="Q78">
            <v>488.44342999999992</v>
          </cell>
          <cell r="R78">
            <v>0</v>
          </cell>
          <cell r="S78">
            <v>488.44342999999992</v>
          </cell>
          <cell r="T78" t="str">
            <v>n/a</v>
          </cell>
          <cell r="U78">
            <v>226.25</v>
          </cell>
          <cell r="V78">
            <v>1.91</v>
          </cell>
          <cell r="X78">
            <v>0</v>
          </cell>
          <cell r="Y78">
            <v>0</v>
          </cell>
          <cell r="Z78">
            <v>0</v>
          </cell>
          <cell r="AA78" t="str">
            <v>n/a</v>
          </cell>
          <cell r="AB78">
            <v>0</v>
          </cell>
          <cell r="AC78">
            <v>0</v>
          </cell>
          <cell r="AD78">
            <v>4636.7506730877903</v>
          </cell>
          <cell r="AE78">
            <v>3407.378008070029</v>
          </cell>
          <cell r="AH78">
            <v>205214.26643880818</v>
          </cell>
          <cell r="AI78">
            <v>543168.16489477898</v>
          </cell>
          <cell r="AJ78">
            <v>979174.57833124092</v>
          </cell>
          <cell r="AK78">
            <v>1484596.6979760733</v>
          </cell>
          <cell r="AL78">
            <v>1870751.8119367692</v>
          </cell>
          <cell r="AM78">
            <v>2714711.9837826164</v>
          </cell>
          <cell r="AN78">
            <v>2914325.5009713727</v>
          </cell>
          <cell r="AO78">
            <v>3174307.2430877904</v>
          </cell>
          <cell r="AP78">
            <v>3174307.2430877904</v>
          </cell>
          <cell r="AQ78">
            <v>3174307.2430877904</v>
          </cell>
          <cell r="AR78">
            <v>3174307.2430877904</v>
          </cell>
          <cell r="AS78">
            <v>3174307.2430877904</v>
          </cell>
          <cell r="AW78">
            <v>71222</v>
          </cell>
          <cell r="AX78">
            <v>163733.44</v>
          </cell>
          <cell r="AY78">
            <v>238633.26</v>
          </cell>
          <cell r="AZ78">
            <v>281264.34999999998</v>
          </cell>
          <cell r="BA78">
            <v>310767.84999999998</v>
          </cell>
          <cell r="BB78">
            <v>415924.63999999996</v>
          </cell>
          <cell r="BC78">
            <v>449838.57999999996</v>
          </cell>
          <cell r="BD78">
            <v>488443.42999999993</v>
          </cell>
          <cell r="BE78">
            <v>488443.42999999993</v>
          </cell>
          <cell r="BF78">
            <v>488443.42999999993</v>
          </cell>
          <cell r="BG78">
            <v>488443.42999999993</v>
          </cell>
          <cell r="BH78">
            <v>488443.42999999993</v>
          </cell>
          <cell r="BL78">
            <v>0</v>
          </cell>
          <cell r="BM78">
            <v>0</v>
          </cell>
          <cell r="BN78">
            <v>0</v>
          </cell>
          <cell r="BO78">
            <v>0</v>
          </cell>
          <cell r="BP78">
            <v>0</v>
          </cell>
          <cell r="BQ78">
            <v>0</v>
          </cell>
          <cell r="BR78">
            <v>0</v>
          </cell>
          <cell r="BS78">
            <v>0</v>
          </cell>
          <cell r="BT78">
            <v>0</v>
          </cell>
          <cell r="BU78">
            <v>0</v>
          </cell>
          <cell r="BV78">
            <v>0</v>
          </cell>
          <cell r="BW78">
            <v>0</v>
          </cell>
          <cell r="CP78">
            <v>228500</v>
          </cell>
          <cell r="CQ78">
            <v>573514.26643880818</v>
          </cell>
          <cell r="CR78">
            <v>907568.16489477898</v>
          </cell>
          <cell r="CS78">
            <v>1375174.5783312409</v>
          </cell>
          <cell r="CT78">
            <v>1874596.6979760733</v>
          </cell>
          <cell r="CU78">
            <v>2445751.8119367692</v>
          </cell>
          <cell r="CV78">
            <v>2879711.9837826164</v>
          </cell>
          <cell r="CW78">
            <v>3147150.5009713727</v>
          </cell>
          <cell r="DE78">
            <v>53000</v>
          </cell>
          <cell r="DF78">
            <v>123722</v>
          </cell>
          <cell r="DG78">
            <v>223733.44</v>
          </cell>
          <cell r="DH78">
            <v>290633.26</v>
          </cell>
          <cell r="DI78">
            <v>340264.35</v>
          </cell>
          <cell r="DJ78">
            <v>384767.85</v>
          </cell>
          <cell r="DK78">
            <v>429924.63999999996</v>
          </cell>
          <cell r="DL78">
            <v>462838.57999999996</v>
          </cell>
          <cell r="DT78">
            <v>0</v>
          </cell>
          <cell r="DU78">
            <v>0</v>
          </cell>
          <cell r="DV78">
            <v>0</v>
          </cell>
          <cell r="DW78">
            <v>0</v>
          </cell>
          <cell r="DX78">
            <v>0</v>
          </cell>
          <cell r="DY78">
            <v>0</v>
          </cell>
          <cell r="DZ78">
            <v>0</v>
          </cell>
          <cell r="EA78">
            <v>0</v>
          </cell>
          <cell r="EX78">
            <v>150989.05909262641</v>
          </cell>
          <cell r="EY78">
            <v>425902.16009849065</v>
          </cell>
          <cell r="EZ78">
            <v>693756.10418134939</v>
          </cell>
          <cell r="FA78">
            <v>934285.51984985103</v>
          </cell>
          <cell r="FB78">
            <v>1647317.5689004227</v>
          </cell>
          <cell r="FC78">
            <v>2371712.6650171271</v>
          </cell>
          <cell r="FD78">
            <v>2452758.8906134614</v>
          </cell>
          <cell r="FE78">
            <v>2635410.3190303543</v>
          </cell>
          <cell r="FF78">
            <v>2804498.4133932432</v>
          </cell>
          <cell r="FG78">
            <v>2970408.390027883</v>
          </cell>
          <cell r="FH78">
            <v>3235949.8046118817</v>
          </cell>
          <cell r="FI78">
            <v>3374393.208070029</v>
          </cell>
          <cell r="FM78">
            <v>0</v>
          </cell>
          <cell r="FN78">
            <v>0</v>
          </cell>
          <cell r="FO78">
            <v>0</v>
          </cell>
          <cell r="FP78">
            <v>0</v>
          </cell>
          <cell r="FQ78">
            <v>0</v>
          </cell>
          <cell r="FR78">
            <v>1910</v>
          </cell>
          <cell r="FS78">
            <v>1910</v>
          </cell>
          <cell r="FT78">
            <v>1910</v>
          </cell>
          <cell r="FU78">
            <v>1910</v>
          </cell>
          <cell r="FV78">
            <v>1910</v>
          </cell>
          <cell r="FW78">
            <v>1910</v>
          </cell>
          <cell r="FX78">
            <v>32984.800000000003</v>
          </cell>
          <cell r="GB78">
            <v>0</v>
          </cell>
          <cell r="GC78">
            <v>0</v>
          </cell>
          <cell r="GD78">
            <v>0</v>
          </cell>
          <cell r="GE78">
            <v>0</v>
          </cell>
          <cell r="GF78">
            <v>0</v>
          </cell>
          <cell r="GG78">
            <v>0</v>
          </cell>
          <cell r="GH78">
            <v>0</v>
          </cell>
          <cell r="GI78">
            <v>0</v>
          </cell>
          <cell r="GJ78">
            <v>0</v>
          </cell>
          <cell r="GK78">
            <v>0</v>
          </cell>
          <cell r="GL78">
            <v>0</v>
          </cell>
          <cell r="GM78">
            <v>0</v>
          </cell>
        </row>
        <row r="79">
          <cell r="A79" t="str">
            <v>El-Hi Revenue</v>
          </cell>
          <cell r="C79">
            <v>6579.441066912208</v>
          </cell>
          <cell r="D79">
            <v>0</v>
          </cell>
          <cell r="E79">
            <v>6579.441066912208</v>
          </cell>
          <cell r="F79" t="str">
            <v>n/a</v>
          </cell>
          <cell r="G79">
            <v>7296.1121388075244</v>
          </cell>
          <cell r="H79">
            <v>5240.6720966067569</v>
          </cell>
          <cell r="J79">
            <v>5208.7730669122084</v>
          </cell>
          <cell r="K79">
            <v>0</v>
          </cell>
          <cell r="L79">
            <v>5208.7730669122084</v>
          </cell>
          <cell r="M79" t="str">
            <v>n/a</v>
          </cell>
          <cell r="N79">
            <v>5928.0932029132891</v>
          </cell>
          <cell r="O79">
            <v>4702.0064666067574</v>
          </cell>
          <cell r="Q79">
            <v>1370.6679999999999</v>
          </cell>
          <cell r="R79">
            <v>0</v>
          </cell>
          <cell r="S79">
            <v>1370.6679999999999</v>
          </cell>
          <cell r="T79" t="str">
            <v>n/a</v>
          </cell>
          <cell r="U79">
            <v>1368.018935894235</v>
          </cell>
          <cell r="V79">
            <v>538.66562999999996</v>
          </cell>
          <cell r="X79">
            <v>0</v>
          </cell>
          <cell r="Y79">
            <v>0</v>
          </cell>
          <cell r="Z79">
            <v>0</v>
          </cell>
          <cell r="AA79" t="str">
            <v>n/a</v>
          </cell>
          <cell r="AB79">
            <v>0</v>
          </cell>
          <cell r="AC79">
            <v>0</v>
          </cell>
          <cell r="AD79">
            <v>8226.9610669122085</v>
          </cell>
          <cell r="AE79">
            <v>7079.8208519299724</v>
          </cell>
          <cell r="AH79">
            <v>312054.89356119186</v>
          </cell>
          <cell r="AI79">
            <v>753399.4251052211</v>
          </cell>
          <cell r="AJ79">
            <v>2046907.6716687591</v>
          </cell>
          <cell r="AK79">
            <v>2178706.4820239265</v>
          </cell>
          <cell r="AL79">
            <v>3289752.3380632303</v>
          </cell>
          <cell r="AM79">
            <v>4096968.2762173829</v>
          </cell>
          <cell r="AN79">
            <v>4700375.0990286265</v>
          </cell>
          <cell r="AO79">
            <v>5208773.0669122087</v>
          </cell>
          <cell r="AP79">
            <v>5208773.0669122087</v>
          </cell>
          <cell r="AQ79">
            <v>5208773.0669122087</v>
          </cell>
          <cell r="AR79">
            <v>5208773.0669122087</v>
          </cell>
          <cell r="AS79">
            <v>5208773.0669122087</v>
          </cell>
          <cell r="AW79">
            <v>50000</v>
          </cell>
          <cell r="AX79">
            <v>191886</v>
          </cell>
          <cell r="AY79">
            <v>478012.32</v>
          </cell>
          <cell r="AZ79">
            <v>634155.35</v>
          </cell>
          <cell r="BA79">
            <v>970307.23</v>
          </cell>
          <cell r="BB79">
            <v>1123759</v>
          </cell>
          <cell r="BC79">
            <v>1247763</v>
          </cell>
          <cell r="BD79">
            <v>1370668</v>
          </cell>
          <cell r="BE79">
            <v>1370668</v>
          </cell>
          <cell r="BF79">
            <v>1370668</v>
          </cell>
          <cell r="BG79">
            <v>1370668</v>
          </cell>
          <cell r="BH79">
            <v>1370668</v>
          </cell>
          <cell r="BL79">
            <v>0</v>
          </cell>
          <cell r="BM79">
            <v>0</v>
          </cell>
          <cell r="BN79">
            <v>0</v>
          </cell>
          <cell r="BO79">
            <v>0</v>
          </cell>
          <cell r="BP79">
            <v>0</v>
          </cell>
          <cell r="BQ79">
            <v>0</v>
          </cell>
          <cell r="BR79">
            <v>0</v>
          </cell>
          <cell r="BS79">
            <v>0</v>
          </cell>
          <cell r="BT79">
            <v>0</v>
          </cell>
          <cell r="BU79">
            <v>0</v>
          </cell>
          <cell r="BV79">
            <v>0</v>
          </cell>
          <cell r="BW79">
            <v>0</v>
          </cell>
          <cell r="CP79">
            <v>551000</v>
          </cell>
          <cell r="CQ79">
            <v>950054.89356119186</v>
          </cell>
          <cell r="CR79">
            <v>1804217.4251052211</v>
          </cell>
          <cell r="CS79">
            <v>2776907.6716687591</v>
          </cell>
          <cell r="CT79">
            <v>2677706.4820239265</v>
          </cell>
          <cell r="CU79">
            <v>3894536.3380632303</v>
          </cell>
          <cell r="CV79">
            <v>4508768.2762173824</v>
          </cell>
          <cell r="CW79">
            <v>5200015.0990286265</v>
          </cell>
          <cell r="DE79">
            <v>149000</v>
          </cell>
          <cell r="DF79">
            <v>304000</v>
          </cell>
          <cell r="DG79">
            <v>435886</v>
          </cell>
          <cell r="DH79">
            <v>702012.32000000007</v>
          </cell>
          <cell r="DI79">
            <v>766155.35</v>
          </cell>
          <cell r="DJ79">
            <v>1254307.23</v>
          </cell>
          <cell r="DK79">
            <v>1295759</v>
          </cell>
          <cell r="DL79">
            <v>1455763</v>
          </cell>
          <cell r="DT79">
            <v>0</v>
          </cell>
          <cell r="DU79">
            <v>0</v>
          </cell>
          <cell r="DV79">
            <v>0</v>
          </cell>
          <cell r="DW79">
            <v>0</v>
          </cell>
          <cell r="DX79">
            <v>0</v>
          </cell>
          <cell r="DY79">
            <v>0</v>
          </cell>
          <cell r="DZ79">
            <v>0</v>
          </cell>
          <cell r="EA79">
            <v>0</v>
          </cell>
          <cell r="EX79">
            <v>627310.59090737358</v>
          </cell>
          <cell r="EY79">
            <v>1167497.4699015094</v>
          </cell>
          <cell r="EZ79">
            <v>2321485.2358186506</v>
          </cell>
          <cell r="FA79">
            <v>2824720.6301501491</v>
          </cell>
          <cell r="FB79">
            <v>3180111.4210995776</v>
          </cell>
          <cell r="FC79">
            <v>3784619.5249828734</v>
          </cell>
          <cell r="FD79">
            <v>4003886.2293865392</v>
          </cell>
          <cell r="FE79">
            <v>4234837.7909696465</v>
          </cell>
          <cell r="FF79">
            <v>4702006.4666067576</v>
          </cell>
          <cell r="FG79">
            <v>5189177.7299721185</v>
          </cell>
          <cell r="FH79">
            <v>5661723.7953881193</v>
          </cell>
          <cell r="FI79">
            <v>6268413.5619299719</v>
          </cell>
          <cell r="FM79">
            <v>86378.5</v>
          </cell>
          <cell r="FN79">
            <v>153085.5</v>
          </cell>
          <cell r="FO79">
            <v>279852.93</v>
          </cell>
          <cell r="FP79">
            <v>334611.43</v>
          </cell>
          <cell r="FQ79">
            <v>362261.43</v>
          </cell>
          <cell r="FR79">
            <v>375987.93</v>
          </cell>
          <cell r="FS79">
            <v>397112.33</v>
          </cell>
          <cell r="FT79">
            <v>451774.33</v>
          </cell>
          <cell r="FU79">
            <v>538665.63</v>
          </cell>
          <cell r="FV79">
            <v>643339.53</v>
          </cell>
          <cell r="FW79">
            <v>731986.03</v>
          </cell>
          <cell r="FX79">
            <v>811407.29</v>
          </cell>
          <cell r="GB79">
            <v>0</v>
          </cell>
          <cell r="GC79">
            <v>0</v>
          </cell>
          <cell r="GD79">
            <v>0</v>
          </cell>
          <cell r="GE79">
            <v>0</v>
          </cell>
          <cell r="GF79">
            <v>0</v>
          </cell>
          <cell r="GG79">
            <v>0</v>
          </cell>
          <cell r="GH79">
            <v>0</v>
          </cell>
          <cell r="GI79">
            <v>0</v>
          </cell>
          <cell r="GJ79">
            <v>0</v>
          </cell>
          <cell r="GK79">
            <v>0</v>
          </cell>
          <cell r="GL79">
            <v>0</v>
          </cell>
          <cell r="GM79">
            <v>0</v>
          </cell>
        </row>
        <row r="80">
          <cell r="A80" t="str">
            <v>Innova Revenue</v>
          </cell>
          <cell r="C80">
            <v>1920.6767199999999</v>
          </cell>
          <cell r="D80">
            <v>0</v>
          </cell>
          <cell r="E80">
            <v>1920.6767199999999</v>
          </cell>
          <cell r="F80" t="str">
            <v>n/a</v>
          </cell>
          <cell r="G80">
            <v>1529.5845746378182</v>
          </cell>
          <cell r="H80">
            <v>2080.0311999999999</v>
          </cell>
          <cell r="J80">
            <v>0</v>
          </cell>
          <cell r="K80">
            <v>0</v>
          </cell>
          <cell r="L80">
            <v>0</v>
          </cell>
          <cell r="M80" t="str">
            <v>n/a</v>
          </cell>
          <cell r="N80">
            <v>0</v>
          </cell>
          <cell r="O80">
            <v>0</v>
          </cell>
          <cell r="Q80">
            <v>0</v>
          </cell>
          <cell r="R80">
            <v>0</v>
          </cell>
          <cell r="S80">
            <v>0</v>
          </cell>
          <cell r="T80" t="str">
            <v>n/a</v>
          </cell>
          <cell r="U80">
            <v>0</v>
          </cell>
          <cell r="V80">
            <v>0</v>
          </cell>
          <cell r="X80">
            <v>1920.6767199999999</v>
          </cell>
          <cell r="Y80">
            <v>0</v>
          </cell>
          <cell r="Z80">
            <v>1920.6767199999999</v>
          </cell>
          <cell r="AA80" t="str">
            <v>n/a</v>
          </cell>
          <cell r="AB80">
            <v>1529.5845746378182</v>
          </cell>
          <cell r="AC80">
            <v>2080.0311999999999</v>
          </cell>
          <cell r="AD80">
            <v>2475.4547199999997</v>
          </cell>
          <cell r="AE80">
            <v>2672.2191999999995</v>
          </cell>
          <cell r="AH80">
            <v>0</v>
          </cell>
          <cell r="AI80">
            <v>0</v>
          </cell>
          <cell r="AJ80">
            <v>0</v>
          </cell>
          <cell r="AK80">
            <v>0</v>
          </cell>
          <cell r="AL80">
            <v>0</v>
          </cell>
          <cell r="AM80">
            <v>0</v>
          </cell>
          <cell r="AN80">
            <v>0</v>
          </cell>
          <cell r="AO80">
            <v>0</v>
          </cell>
          <cell r="AP80">
            <v>0</v>
          </cell>
          <cell r="AQ80">
            <v>0</v>
          </cell>
          <cell r="AR80">
            <v>0</v>
          </cell>
          <cell r="AS80">
            <v>0</v>
          </cell>
          <cell r="AW80">
            <v>0</v>
          </cell>
          <cell r="AX80">
            <v>0</v>
          </cell>
          <cell r="AY80">
            <v>0</v>
          </cell>
          <cell r="AZ80">
            <v>0</v>
          </cell>
          <cell r="BA80">
            <v>0</v>
          </cell>
          <cell r="BB80">
            <v>0</v>
          </cell>
          <cell r="BC80">
            <v>0</v>
          </cell>
          <cell r="BD80">
            <v>0</v>
          </cell>
          <cell r="BE80">
            <v>0</v>
          </cell>
          <cell r="BF80">
            <v>0</v>
          </cell>
          <cell r="BG80">
            <v>0</v>
          </cell>
          <cell r="BH80">
            <v>0</v>
          </cell>
          <cell r="BL80">
            <v>261898.78</v>
          </cell>
          <cell r="BM80">
            <v>424248.2</v>
          </cell>
          <cell r="BN80">
            <v>611812.12</v>
          </cell>
          <cell r="BO80">
            <v>675787.89</v>
          </cell>
          <cell r="BP80">
            <v>1020105.0800000001</v>
          </cell>
          <cell r="BQ80">
            <v>1560804.65</v>
          </cell>
          <cell r="BR80">
            <v>1731746.96</v>
          </cell>
          <cell r="BS80">
            <v>1920676.72</v>
          </cell>
          <cell r="BT80">
            <v>1920676.72</v>
          </cell>
          <cell r="BU80">
            <v>1920676.72</v>
          </cell>
          <cell r="BV80">
            <v>1920676.72</v>
          </cell>
          <cell r="BW80">
            <v>1920676.72</v>
          </cell>
          <cell r="CP80">
            <v>0</v>
          </cell>
          <cell r="CQ80">
            <v>0</v>
          </cell>
          <cell r="CR80">
            <v>0</v>
          </cell>
          <cell r="CS80">
            <v>0</v>
          </cell>
          <cell r="CT80">
            <v>0</v>
          </cell>
          <cell r="CU80">
            <v>0</v>
          </cell>
          <cell r="CV80">
            <v>0</v>
          </cell>
          <cell r="CW80">
            <v>0</v>
          </cell>
          <cell r="DE80">
            <v>0</v>
          </cell>
          <cell r="DF80">
            <v>0</v>
          </cell>
          <cell r="DG80">
            <v>0</v>
          </cell>
          <cell r="DH80">
            <v>0</v>
          </cell>
          <cell r="DI80">
            <v>0</v>
          </cell>
          <cell r="DJ80">
            <v>0</v>
          </cell>
          <cell r="DK80">
            <v>0</v>
          </cell>
          <cell r="DL80">
            <v>0</v>
          </cell>
          <cell r="DT80">
            <v>257970.00000000003</v>
          </cell>
          <cell r="DU80">
            <v>438368.78</v>
          </cell>
          <cell r="DV80">
            <v>591635.19999999995</v>
          </cell>
          <cell r="DW80">
            <v>856499.12</v>
          </cell>
          <cell r="DX80">
            <v>1124674.8900000001</v>
          </cell>
          <cell r="DY80">
            <v>1418723.08</v>
          </cell>
          <cell r="DZ80">
            <v>1756636.65</v>
          </cell>
          <cell r="EA80">
            <v>1939178.96</v>
          </cell>
          <cell r="EX80">
            <v>0</v>
          </cell>
          <cell r="EY80">
            <v>0</v>
          </cell>
          <cell r="EZ80">
            <v>0</v>
          </cell>
          <cell r="FA80">
            <v>0</v>
          </cell>
          <cell r="FB80">
            <v>0</v>
          </cell>
          <cell r="FC80">
            <v>0</v>
          </cell>
          <cell r="FD80">
            <v>0</v>
          </cell>
          <cell r="FE80">
            <v>0</v>
          </cell>
          <cell r="FF80">
            <v>0</v>
          </cell>
          <cell r="FG80">
            <v>0</v>
          </cell>
          <cell r="FH80">
            <v>0</v>
          </cell>
          <cell r="FI80">
            <v>0</v>
          </cell>
          <cell r="FM80">
            <v>0</v>
          </cell>
          <cell r="FN80">
            <v>0</v>
          </cell>
          <cell r="FO80">
            <v>0</v>
          </cell>
          <cell r="FP80">
            <v>0</v>
          </cell>
          <cell r="FQ80">
            <v>0</v>
          </cell>
          <cell r="FR80">
            <v>0</v>
          </cell>
          <cell r="FS80">
            <v>0</v>
          </cell>
          <cell r="FT80">
            <v>0</v>
          </cell>
          <cell r="FU80">
            <v>0</v>
          </cell>
          <cell r="FV80">
            <v>0</v>
          </cell>
          <cell r="FW80">
            <v>0</v>
          </cell>
          <cell r="FX80">
            <v>0</v>
          </cell>
          <cell r="GB80">
            <v>124532.41</v>
          </cell>
          <cell r="GC80">
            <v>304497.32</v>
          </cell>
          <cell r="GD80">
            <v>636907.13</v>
          </cell>
          <cell r="GE80">
            <v>872457.54</v>
          </cell>
          <cell r="GF80">
            <v>1170355.3600000001</v>
          </cell>
          <cell r="GG80">
            <v>1539578.46</v>
          </cell>
          <cell r="GH80">
            <v>1726757.6099999999</v>
          </cell>
          <cell r="GI80">
            <v>1967862.69</v>
          </cell>
          <cell r="GJ80">
            <v>2080031.2</v>
          </cell>
          <cell r="GK80">
            <v>2265250.56</v>
          </cell>
          <cell r="GL80">
            <v>2407074.34</v>
          </cell>
          <cell r="GM80">
            <v>2672219.1999999997</v>
          </cell>
        </row>
        <row r="81">
          <cell r="A81" t="str">
            <v>Commercial Revenue</v>
          </cell>
          <cell r="C81">
            <v>41.895000000000003</v>
          </cell>
          <cell r="D81">
            <v>0</v>
          </cell>
          <cell r="E81">
            <v>41.895000000000003</v>
          </cell>
          <cell r="F81" t="str">
            <v>n/a</v>
          </cell>
          <cell r="G81">
            <v>45</v>
          </cell>
          <cell r="H81">
            <v>55.444000000000003</v>
          </cell>
          <cell r="J81">
            <v>41.895000000000003</v>
          </cell>
          <cell r="K81">
            <v>0</v>
          </cell>
          <cell r="L81">
            <v>41.895000000000003</v>
          </cell>
          <cell r="M81" t="str">
            <v>n/a</v>
          </cell>
          <cell r="N81">
            <v>45</v>
          </cell>
          <cell r="O81">
            <v>55.444000000000003</v>
          </cell>
          <cell r="Q81">
            <v>0</v>
          </cell>
          <cell r="R81">
            <v>0</v>
          </cell>
          <cell r="S81">
            <v>0</v>
          </cell>
          <cell r="T81" t="str">
            <v>n/a</v>
          </cell>
          <cell r="U81">
            <v>0</v>
          </cell>
          <cell r="V81">
            <v>0</v>
          </cell>
          <cell r="X81">
            <v>0</v>
          </cell>
          <cell r="Y81">
            <v>0</v>
          </cell>
          <cell r="Z81">
            <v>0</v>
          </cell>
          <cell r="AA81" t="str">
            <v>n/a</v>
          </cell>
          <cell r="AB81">
            <v>0</v>
          </cell>
          <cell r="AC81">
            <v>0</v>
          </cell>
          <cell r="AD81">
            <v>61.895000000000003</v>
          </cell>
          <cell r="AE81">
            <v>74.724000000000004</v>
          </cell>
          <cell r="AH81">
            <v>5060</v>
          </cell>
          <cell r="AI81">
            <v>12937</v>
          </cell>
          <cell r="AJ81">
            <v>21685.5</v>
          </cell>
          <cell r="AK81">
            <v>23905.5</v>
          </cell>
          <cell r="AL81">
            <v>30879</v>
          </cell>
          <cell r="AM81">
            <v>33805</v>
          </cell>
          <cell r="AN81">
            <v>39152.5</v>
          </cell>
          <cell r="AO81">
            <v>41895</v>
          </cell>
          <cell r="AP81">
            <v>41895</v>
          </cell>
          <cell r="AQ81">
            <v>41895</v>
          </cell>
          <cell r="AR81">
            <v>41895</v>
          </cell>
          <cell r="AS81">
            <v>41895</v>
          </cell>
          <cell r="AW81">
            <v>0</v>
          </cell>
          <cell r="AX81">
            <v>0</v>
          </cell>
          <cell r="AY81">
            <v>0</v>
          </cell>
          <cell r="AZ81">
            <v>0</v>
          </cell>
          <cell r="BA81">
            <v>0</v>
          </cell>
          <cell r="BB81">
            <v>0</v>
          </cell>
          <cell r="BC81">
            <v>0</v>
          </cell>
          <cell r="BD81">
            <v>0</v>
          </cell>
          <cell r="BE81">
            <v>0</v>
          </cell>
          <cell r="BF81">
            <v>0</v>
          </cell>
          <cell r="BG81">
            <v>0</v>
          </cell>
          <cell r="BH81">
            <v>0</v>
          </cell>
          <cell r="BL81">
            <v>0</v>
          </cell>
          <cell r="BM81">
            <v>0</v>
          </cell>
          <cell r="BN81">
            <v>0</v>
          </cell>
          <cell r="BO81">
            <v>0</v>
          </cell>
          <cell r="BP81">
            <v>0</v>
          </cell>
          <cell r="BQ81">
            <v>0</v>
          </cell>
          <cell r="BR81">
            <v>0</v>
          </cell>
          <cell r="BS81">
            <v>0</v>
          </cell>
          <cell r="BT81">
            <v>0</v>
          </cell>
          <cell r="BU81">
            <v>0</v>
          </cell>
          <cell r="BV81">
            <v>0</v>
          </cell>
          <cell r="BW81">
            <v>0</v>
          </cell>
          <cell r="CP81">
            <v>5000</v>
          </cell>
          <cell r="CQ81">
            <v>10060</v>
          </cell>
          <cell r="CR81">
            <v>17937</v>
          </cell>
          <cell r="CS81">
            <v>26685.5</v>
          </cell>
          <cell r="CT81">
            <v>28905.5</v>
          </cell>
          <cell r="CU81">
            <v>35879</v>
          </cell>
          <cell r="CV81">
            <v>38805</v>
          </cell>
          <cell r="CW81">
            <v>44152.5</v>
          </cell>
          <cell r="DE81">
            <v>0</v>
          </cell>
          <cell r="DF81">
            <v>0</v>
          </cell>
          <cell r="DG81">
            <v>0</v>
          </cell>
          <cell r="DH81">
            <v>0</v>
          </cell>
          <cell r="DI81">
            <v>0</v>
          </cell>
          <cell r="DJ81">
            <v>0</v>
          </cell>
          <cell r="DK81">
            <v>0</v>
          </cell>
          <cell r="DL81">
            <v>0</v>
          </cell>
          <cell r="DT81">
            <v>0</v>
          </cell>
          <cell r="DU81">
            <v>0</v>
          </cell>
          <cell r="DV81">
            <v>0</v>
          </cell>
          <cell r="DW81">
            <v>0</v>
          </cell>
          <cell r="DX81">
            <v>0</v>
          </cell>
          <cell r="DY81">
            <v>0</v>
          </cell>
          <cell r="DZ81">
            <v>0</v>
          </cell>
          <cell r="EA81">
            <v>0</v>
          </cell>
          <cell r="EX81">
            <v>6256</v>
          </cell>
          <cell r="EY81">
            <v>14208.5</v>
          </cell>
          <cell r="EZ81">
            <v>23573.5</v>
          </cell>
          <cell r="FA81">
            <v>29162.5</v>
          </cell>
          <cell r="FB81">
            <v>35225</v>
          </cell>
          <cell r="FC81">
            <v>44470</v>
          </cell>
          <cell r="FD81">
            <v>49117</v>
          </cell>
          <cell r="FE81">
            <v>52729</v>
          </cell>
          <cell r="FF81">
            <v>55444</v>
          </cell>
          <cell r="FG81">
            <v>63622.5</v>
          </cell>
          <cell r="FH81">
            <v>68301.5</v>
          </cell>
          <cell r="FI81">
            <v>74724</v>
          </cell>
          <cell r="FM81">
            <v>0</v>
          </cell>
          <cell r="FN81">
            <v>0</v>
          </cell>
          <cell r="FO81">
            <v>0</v>
          </cell>
          <cell r="FP81">
            <v>0</v>
          </cell>
          <cell r="FQ81">
            <v>0</v>
          </cell>
          <cell r="FR81">
            <v>0</v>
          </cell>
          <cell r="FS81">
            <v>0</v>
          </cell>
          <cell r="FT81">
            <v>0</v>
          </cell>
          <cell r="FU81">
            <v>0</v>
          </cell>
          <cell r="FV81">
            <v>0</v>
          </cell>
          <cell r="FW81">
            <v>0</v>
          </cell>
          <cell r="FX81">
            <v>0</v>
          </cell>
          <cell r="GB81">
            <v>0</v>
          </cell>
          <cell r="GC81">
            <v>0</v>
          </cell>
          <cell r="GD81">
            <v>0</v>
          </cell>
          <cell r="GE81">
            <v>0</v>
          </cell>
          <cell r="GF81">
            <v>0</v>
          </cell>
          <cell r="GG81">
            <v>0</v>
          </cell>
          <cell r="GH81">
            <v>0</v>
          </cell>
          <cell r="GI81">
            <v>0</v>
          </cell>
          <cell r="GJ81">
            <v>0</v>
          </cell>
          <cell r="GK81">
            <v>0</v>
          </cell>
          <cell r="GL81">
            <v>0</v>
          </cell>
          <cell r="GM81">
            <v>0</v>
          </cell>
        </row>
        <row r="82">
          <cell r="A82" t="str">
            <v>Accrued Revenue</v>
          </cell>
          <cell r="C82">
            <v>0</v>
          </cell>
          <cell r="D82">
            <v>0</v>
          </cell>
          <cell r="E82">
            <v>0</v>
          </cell>
          <cell r="F82" t="str">
            <v>n/a</v>
          </cell>
          <cell r="G82">
            <v>-443.99999999999994</v>
          </cell>
          <cell r="H82">
            <v>0</v>
          </cell>
          <cell r="J82">
            <v>0</v>
          </cell>
          <cell r="K82">
            <v>0</v>
          </cell>
          <cell r="L82">
            <v>0</v>
          </cell>
          <cell r="M82" t="str">
            <v>n/a</v>
          </cell>
          <cell r="N82">
            <v>-330.81966676516214</v>
          </cell>
          <cell r="O82">
            <v>0</v>
          </cell>
          <cell r="Q82">
            <v>0</v>
          </cell>
          <cell r="R82">
            <v>0</v>
          </cell>
          <cell r="S82">
            <v>0</v>
          </cell>
          <cell r="T82" t="str">
            <v>n/a</v>
          </cell>
          <cell r="U82">
            <v>-41.150105929175055</v>
          </cell>
          <cell r="V82">
            <v>0</v>
          </cell>
          <cell r="X82">
            <v>0</v>
          </cell>
          <cell r="Y82">
            <v>0</v>
          </cell>
          <cell r="Z82">
            <v>0</v>
          </cell>
          <cell r="AA82" t="str">
            <v>n/a</v>
          </cell>
          <cell r="AB82">
            <v>-72.030227305662791</v>
          </cell>
          <cell r="AC82">
            <v>0</v>
          </cell>
          <cell r="AD82">
            <v>0</v>
          </cell>
          <cell r="AE82">
            <v>0</v>
          </cell>
          <cell r="AH82">
            <v>142876</v>
          </cell>
          <cell r="AI82">
            <v>193812</v>
          </cell>
          <cell r="AJ82">
            <v>0</v>
          </cell>
          <cell r="AK82">
            <v>502128.13</v>
          </cell>
          <cell r="AL82">
            <v>180303</v>
          </cell>
          <cell r="AM82">
            <v>0</v>
          </cell>
          <cell r="AN82">
            <v>0</v>
          </cell>
          <cell r="AO82">
            <v>0</v>
          </cell>
          <cell r="AP82">
            <v>0</v>
          </cell>
          <cell r="AQ82">
            <v>0</v>
          </cell>
          <cell r="AR82">
            <v>0</v>
          </cell>
          <cell r="AS82">
            <v>0</v>
          </cell>
          <cell r="AW82">
            <v>91886</v>
          </cell>
          <cell r="AX82">
            <v>58056</v>
          </cell>
          <cell r="AY82">
            <v>0</v>
          </cell>
          <cell r="AZ82">
            <v>117900.97</v>
          </cell>
          <cell r="BA82">
            <v>35887</v>
          </cell>
          <cell r="BB82">
            <v>0</v>
          </cell>
          <cell r="BC82">
            <v>0</v>
          </cell>
          <cell r="BD82">
            <v>0</v>
          </cell>
          <cell r="BE82">
            <v>0</v>
          </cell>
          <cell r="BF82">
            <v>0</v>
          </cell>
          <cell r="BG82">
            <v>0</v>
          </cell>
          <cell r="BH82">
            <v>0</v>
          </cell>
          <cell r="BL82">
            <v>0</v>
          </cell>
          <cell r="BM82">
            <v>0</v>
          </cell>
          <cell r="BN82">
            <v>0</v>
          </cell>
          <cell r="BO82">
            <v>41625</v>
          </cell>
          <cell r="BP82">
            <v>0</v>
          </cell>
          <cell r="BQ82">
            <v>0</v>
          </cell>
          <cell r="BR82">
            <v>0</v>
          </cell>
          <cell r="BS82">
            <v>0</v>
          </cell>
          <cell r="BT82">
            <v>0</v>
          </cell>
          <cell r="BU82">
            <v>0</v>
          </cell>
          <cell r="BV82">
            <v>0</v>
          </cell>
          <cell r="BW82">
            <v>0</v>
          </cell>
          <cell r="CP82">
            <v>67326.599999999991</v>
          </cell>
          <cell r="CQ82">
            <v>50000</v>
          </cell>
          <cell r="CR82">
            <v>193812</v>
          </cell>
          <cell r="CS82">
            <v>0</v>
          </cell>
          <cell r="CT82">
            <v>502128.13</v>
          </cell>
          <cell r="CU82">
            <v>-35887</v>
          </cell>
          <cell r="CV82">
            <v>60000</v>
          </cell>
          <cell r="CW82">
            <v>0</v>
          </cell>
          <cell r="DE82">
            <v>-67326.599999999991</v>
          </cell>
          <cell r="DF82">
            <v>50000</v>
          </cell>
          <cell r="DG82">
            <v>58056</v>
          </cell>
          <cell r="DH82">
            <v>0</v>
          </cell>
          <cell r="DI82">
            <v>117900.97</v>
          </cell>
          <cell r="DJ82">
            <v>35887</v>
          </cell>
          <cell r="DK82">
            <v>0</v>
          </cell>
          <cell r="DL82">
            <v>0</v>
          </cell>
          <cell r="DT82">
            <v>0</v>
          </cell>
          <cell r="DU82">
            <v>0</v>
          </cell>
          <cell r="DV82">
            <v>0</v>
          </cell>
          <cell r="DW82">
            <v>0</v>
          </cell>
          <cell r="DX82">
            <v>41625</v>
          </cell>
          <cell r="DY82">
            <v>0</v>
          </cell>
          <cell r="DZ82">
            <v>20000</v>
          </cell>
          <cell r="EA82">
            <v>0</v>
          </cell>
          <cell r="EX82">
            <v>0</v>
          </cell>
          <cell r="EY82">
            <v>0</v>
          </cell>
          <cell r="EZ82">
            <v>0</v>
          </cell>
          <cell r="FA82">
            <v>0</v>
          </cell>
          <cell r="FB82">
            <v>0</v>
          </cell>
          <cell r="FC82">
            <v>0</v>
          </cell>
          <cell r="FD82">
            <v>33000</v>
          </cell>
          <cell r="FE82">
            <v>105000</v>
          </cell>
          <cell r="FF82">
            <v>0</v>
          </cell>
          <cell r="FG82">
            <v>52294.5</v>
          </cell>
          <cell r="FH82">
            <v>27000</v>
          </cell>
          <cell r="FI82">
            <v>0</v>
          </cell>
          <cell r="FM82">
            <v>0</v>
          </cell>
          <cell r="FN82">
            <v>0</v>
          </cell>
          <cell r="FO82">
            <v>0</v>
          </cell>
          <cell r="FP82">
            <v>0</v>
          </cell>
          <cell r="FQ82">
            <v>0</v>
          </cell>
          <cell r="FR82">
            <v>0</v>
          </cell>
          <cell r="FS82">
            <v>0</v>
          </cell>
          <cell r="FT82">
            <v>0</v>
          </cell>
          <cell r="FU82">
            <v>0</v>
          </cell>
          <cell r="FV82">
            <v>0</v>
          </cell>
          <cell r="FW82">
            <v>0</v>
          </cell>
          <cell r="FX82">
            <v>0</v>
          </cell>
          <cell r="GB82">
            <v>0</v>
          </cell>
          <cell r="GC82">
            <v>0</v>
          </cell>
          <cell r="GD82">
            <v>0</v>
          </cell>
          <cell r="GE82">
            <v>0</v>
          </cell>
          <cell r="GF82">
            <v>0</v>
          </cell>
          <cell r="GG82">
            <v>0</v>
          </cell>
          <cell r="GH82">
            <v>55000</v>
          </cell>
          <cell r="GI82">
            <v>0</v>
          </cell>
          <cell r="GJ82">
            <v>0</v>
          </cell>
          <cell r="GK82">
            <v>0</v>
          </cell>
          <cell r="GL82">
            <v>70000</v>
          </cell>
          <cell r="GM82">
            <v>0</v>
          </cell>
        </row>
        <row r="83">
          <cell r="A83" t="str">
            <v>WIP Change</v>
          </cell>
          <cell r="C83">
            <v>0</v>
          </cell>
          <cell r="D83">
            <v>0</v>
          </cell>
          <cell r="E83">
            <v>0</v>
          </cell>
          <cell r="F83" t="str">
            <v>n/a</v>
          </cell>
          <cell r="G83">
            <v>0</v>
          </cell>
          <cell r="H83">
            <v>0</v>
          </cell>
          <cell r="J83">
            <v>0</v>
          </cell>
          <cell r="K83">
            <v>0</v>
          </cell>
          <cell r="L83">
            <v>0</v>
          </cell>
          <cell r="M83" t="str">
            <v>n/a</v>
          </cell>
          <cell r="N83">
            <v>0</v>
          </cell>
          <cell r="O83">
            <v>0</v>
          </cell>
          <cell r="Q83">
            <v>0</v>
          </cell>
          <cell r="R83">
            <v>0</v>
          </cell>
          <cell r="S83">
            <v>0</v>
          </cell>
          <cell r="T83" t="str">
            <v>n/a</v>
          </cell>
          <cell r="U83">
            <v>0</v>
          </cell>
          <cell r="V83">
            <v>0</v>
          </cell>
          <cell r="X83">
            <v>0</v>
          </cell>
          <cell r="Y83">
            <v>0</v>
          </cell>
          <cell r="Z83">
            <v>0</v>
          </cell>
          <cell r="AA83" t="str">
            <v>n/a</v>
          </cell>
          <cell r="AB83">
            <v>0</v>
          </cell>
          <cell r="AC83">
            <v>0</v>
          </cell>
          <cell r="AD83">
            <v>0</v>
          </cell>
          <cell r="AE83">
            <v>0</v>
          </cell>
          <cell r="AH83">
            <v>0</v>
          </cell>
          <cell r="AI83">
            <v>0</v>
          </cell>
          <cell r="AJ83">
            <v>0</v>
          </cell>
          <cell r="AK83">
            <v>0</v>
          </cell>
          <cell r="AL83">
            <v>0</v>
          </cell>
          <cell r="AM83">
            <v>0</v>
          </cell>
          <cell r="AN83">
            <v>0</v>
          </cell>
          <cell r="AO83">
            <v>0</v>
          </cell>
          <cell r="AP83">
            <v>0</v>
          </cell>
          <cell r="AQ83">
            <v>0</v>
          </cell>
          <cell r="AR83">
            <v>0</v>
          </cell>
          <cell r="AS83">
            <v>0</v>
          </cell>
          <cell r="AW83">
            <v>0</v>
          </cell>
          <cell r="AX83">
            <v>0</v>
          </cell>
          <cell r="AY83">
            <v>0</v>
          </cell>
          <cell r="AZ83">
            <v>0</v>
          </cell>
          <cell r="BA83">
            <v>0</v>
          </cell>
          <cell r="BB83">
            <v>0</v>
          </cell>
          <cell r="BC83">
            <v>0</v>
          </cell>
          <cell r="BD83">
            <v>0</v>
          </cell>
          <cell r="BE83">
            <v>0</v>
          </cell>
          <cell r="BF83">
            <v>0</v>
          </cell>
          <cell r="BG83">
            <v>0</v>
          </cell>
          <cell r="BH83">
            <v>0</v>
          </cell>
          <cell r="BL83">
            <v>0</v>
          </cell>
          <cell r="BM83">
            <v>0</v>
          </cell>
          <cell r="BN83">
            <v>0</v>
          </cell>
          <cell r="BO83">
            <v>0</v>
          </cell>
          <cell r="BP83">
            <v>0</v>
          </cell>
          <cell r="BQ83">
            <v>0</v>
          </cell>
          <cell r="BR83">
            <v>0</v>
          </cell>
          <cell r="BS83">
            <v>0</v>
          </cell>
          <cell r="BT83">
            <v>0</v>
          </cell>
          <cell r="BU83">
            <v>0</v>
          </cell>
          <cell r="BV83">
            <v>0</v>
          </cell>
          <cell r="BW83">
            <v>0</v>
          </cell>
          <cell r="CP83">
            <v>0</v>
          </cell>
          <cell r="DE83">
            <v>0</v>
          </cell>
          <cell r="DT83">
            <v>0</v>
          </cell>
          <cell r="EX83">
            <v>0</v>
          </cell>
          <cell r="EY83">
            <v>0</v>
          </cell>
          <cell r="EZ83">
            <v>0</v>
          </cell>
          <cell r="FA83">
            <v>0</v>
          </cell>
          <cell r="FB83">
            <v>0</v>
          </cell>
          <cell r="FC83">
            <v>0</v>
          </cell>
          <cell r="FD83">
            <v>0</v>
          </cell>
          <cell r="FE83">
            <v>0</v>
          </cell>
          <cell r="FF83">
            <v>0</v>
          </cell>
          <cell r="FG83">
            <v>0</v>
          </cell>
          <cell r="FH83">
            <v>0</v>
          </cell>
          <cell r="FI83">
            <v>0</v>
          </cell>
          <cell r="FM83">
            <v>0</v>
          </cell>
          <cell r="FN83">
            <v>0</v>
          </cell>
          <cell r="FO83">
            <v>0</v>
          </cell>
          <cell r="FP83">
            <v>0</v>
          </cell>
          <cell r="FQ83">
            <v>0</v>
          </cell>
          <cell r="FR83">
            <v>0</v>
          </cell>
          <cell r="FS83">
            <v>0</v>
          </cell>
          <cell r="FT83">
            <v>0</v>
          </cell>
          <cell r="FU83">
            <v>0</v>
          </cell>
          <cell r="FV83">
            <v>0</v>
          </cell>
          <cell r="FW83">
            <v>0</v>
          </cell>
          <cell r="FX83">
            <v>0</v>
          </cell>
          <cell r="GB83">
            <v>0</v>
          </cell>
          <cell r="GC83">
            <v>0</v>
          </cell>
          <cell r="GD83">
            <v>0</v>
          </cell>
          <cell r="GE83">
            <v>0</v>
          </cell>
          <cell r="GF83">
            <v>0</v>
          </cell>
          <cell r="GG83">
            <v>0</v>
          </cell>
          <cell r="GH83">
            <v>0</v>
          </cell>
          <cell r="GI83">
            <v>0</v>
          </cell>
          <cell r="GJ83">
            <v>0</v>
          </cell>
          <cell r="GK83">
            <v>0</v>
          </cell>
          <cell r="GL83">
            <v>0</v>
          </cell>
          <cell r="GM83">
            <v>0</v>
          </cell>
        </row>
        <row r="84">
          <cell r="A84" t="str">
            <v>Intercompany Revenue</v>
          </cell>
          <cell r="C84">
            <v>0</v>
          </cell>
          <cell r="D84">
            <v>0</v>
          </cell>
          <cell r="E84">
            <v>0</v>
          </cell>
          <cell r="F84" t="str">
            <v>n/a</v>
          </cell>
          <cell r="G84">
            <v>0</v>
          </cell>
          <cell r="H84">
            <v>0</v>
          </cell>
          <cell r="J84">
            <v>0</v>
          </cell>
          <cell r="K84">
            <v>0</v>
          </cell>
          <cell r="L84">
            <v>0</v>
          </cell>
          <cell r="M84" t="str">
            <v>n/a</v>
          </cell>
          <cell r="N84">
            <v>0</v>
          </cell>
          <cell r="O84">
            <v>0</v>
          </cell>
          <cell r="Q84">
            <v>0</v>
          </cell>
          <cell r="R84">
            <v>0</v>
          </cell>
          <cell r="S84">
            <v>0</v>
          </cell>
          <cell r="T84" t="str">
            <v>n/a</v>
          </cell>
          <cell r="U84">
            <v>0</v>
          </cell>
          <cell r="V84">
            <v>0</v>
          </cell>
          <cell r="X84">
            <v>0</v>
          </cell>
          <cell r="Y84">
            <v>0</v>
          </cell>
          <cell r="Z84">
            <v>0</v>
          </cell>
          <cell r="AA84" t="str">
            <v>n/a</v>
          </cell>
          <cell r="AB84">
            <v>0</v>
          </cell>
          <cell r="AC84">
            <v>0</v>
          </cell>
          <cell r="AD84">
            <v>0</v>
          </cell>
          <cell r="AE84">
            <v>0</v>
          </cell>
          <cell r="AH84">
            <v>0</v>
          </cell>
          <cell r="AI84">
            <v>0</v>
          </cell>
          <cell r="AJ84">
            <v>0</v>
          </cell>
          <cell r="AK84">
            <v>0</v>
          </cell>
          <cell r="AL84">
            <v>0</v>
          </cell>
          <cell r="AM84">
            <v>0</v>
          </cell>
          <cell r="AN84">
            <v>0</v>
          </cell>
          <cell r="AO84">
            <v>0</v>
          </cell>
          <cell r="AP84">
            <v>0</v>
          </cell>
          <cell r="AQ84">
            <v>0</v>
          </cell>
          <cell r="AR84">
            <v>0</v>
          </cell>
          <cell r="AS84">
            <v>0</v>
          </cell>
          <cell r="AW84">
            <v>0</v>
          </cell>
          <cell r="AX84">
            <v>0</v>
          </cell>
          <cell r="AY84">
            <v>0</v>
          </cell>
          <cell r="AZ84">
            <v>0</v>
          </cell>
          <cell r="BA84">
            <v>0</v>
          </cell>
          <cell r="BB84">
            <v>0</v>
          </cell>
          <cell r="BC84">
            <v>0</v>
          </cell>
          <cell r="BD84">
            <v>0</v>
          </cell>
          <cell r="BE84">
            <v>0</v>
          </cell>
          <cell r="BF84">
            <v>0</v>
          </cell>
          <cell r="BG84">
            <v>0</v>
          </cell>
          <cell r="BH84">
            <v>0</v>
          </cell>
          <cell r="BL84">
            <v>0</v>
          </cell>
          <cell r="BM84">
            <v>0</v>
          </cell>
          <cell r="BN84">
            <v>0</v>
          </cell>
          <cell r="BO84">
            <v>0</v>
          </cell>
          <cell r="BP84">
            <v>0</v>
          </cell>
          <cell r="BQ84">
            <v>0</v>
          </cell>
          <cell r="BR84">
            <v>0</v>
          </cell>
          <cell r="BS84">
            <v>0</v>
          </cell>
          <cell r="BT84">
            <v>0</v>
          </cell>
          <cell r="BU84">
            <v>0</v>
          </cell>
          <cell r="BV84">
            <v>0</v>
          </cell>
          <cell r="BW84">
            <v>0</v>
          </cell>
          <cell r="CP84">
            <v>0</v>
          </cell>
          <cell r="DE84">
            <v>0</v>
          </cell>
          <cell r="DT84">
            <v>0</v>
          </cell>
          <cell r="EX84">
            <v>0</v>
          </cell>
          <cell r="EY84">
            <v>0</v>
          </cell>
          <cell r="EZ84">
            <v>0</v>
          </cell>
          <cell r="FA84">
            <v>0</v>
          </cell>
          <cell r="FB84">
            <v>0</v>
          </cell>
          <cell r="FC84">
            <v>0</v>
          </cell>
          <cell r="FD84">
            <v>0</v>
          </cell>
          <cell r="FE84">
            <v>0</v>
          </cell>
          <cell r="FF84">
            <v>0</v>
          </cell>
          <cell r="FG84">
            <v>0</v>
          </cell>
          <cell r="FH84">
            <v>0</v>
          </cell>
          <cell r="FI84">
            <v>0</v>
          </cell>
          <cell r="FM84">
            <v>0</v>
          </cell>
          <cell r="FN84">
            <v>0</v>
          </cell>
          <cell r="FO84">
            <v>0</v>
          </cell>
          <cell r="FP84">
            <v>0</v>
          </cell>
          <cell r="FQ84">
            <v>0</v>
          </cell>
          <cell r="FR84">
            <v>0</v>
          </cell>
          <cell r="FS84">
            <v>0</v>
          </cell>
          <cell r="FT84">
            <v>0</v>
          </cell>
          <cell r="FU84">
            <v>0</v>
          </cell>
          <cell r="FV84">
            <v>0</v>
          </cell>
          <cell r="FW84">
            <v>0</v>
          </cell>
          <cell r="FX84">
            <v>0</v>
          </cell>
          <cell r="GB84">
            <v>0</v>
          </cell>
          <cell r="GC84">
            <v>0</v>
          </cell>
          <cell r="GD84">
            <v>0</v>
          </cell>
          <cell r="GE84">
            <v>0</v>
          </cell>
          <cell r="GF84">
            <v>0</v>
          </cell>
          <cell r="GG84">
            <v>0</v>
          </cell>
          <cell r="GH84">
            <v>0</v>
          </cell>
          <cell r="GI84">
            <v>0</v>
          </cell>
          <cell r="GJ84">
            <v>0</v>
          </cell>
          <cell r="GK84">
            <v>0</v>
          </cell>
          <cell r="GL84">
            <v>0</v>
          </cell>
          <cell r="GM84">
            <v>0</v>
          </cell>
        </row>
        <row r="85">
          <cell r="A85" t="str">
            <v>Revenue</v>
          </cell>
          <cell r="C85">
            <v>12204.763459999998</v>
          </cell>
          <cell r="D85">
            <v>0</v>
          </cell>
          <cell r="E85">
            <v>12204.763459999998</v>
          </cell>
          <cell r="F85" t="str">
            <v>n/a</v>
          </cell>
          <cell r="G85">
            <v>11467.184999999999</v>
          </cell>
          <cell r="H85">
            <v>10182.555709999999</v>
          </cell>
          <cell r="J85">
            <v>8424.9753099999998</v>
          </cell>
          <cell r="K85">
            <v>0</v>
          </cell>
          <cell r="L85">
            <v>8424.9753099999998</v>
          </cell>
          <cell r="M85" t="str">
            <v>n/a</v>
          </cell>
          <cell r="N85">
            <v>8456.5118227027833</v>
          </cell>
          <cell r="O85">
            <v>7561.9488800000008</v>
          </cell>
          <cell r="Q85">
            <v>1859.1114299999999</v>
          </cell>
          <cell r="R85">
            <v>0</v>
          </cell>
          <cell r="S85">
            <v>1859.1114299999999</v>
          </cell>
          <cell r="T85" t="str">
            <v>n/a</v>
          </cell>
          <cell r="U85">
            <v>1553.1188299650601</v>
          </cell>
          <cell r="V85">
            <v>540.57562999999993</v>
          </cell>
          <cell r="X85">
            <v>1920.6767199999999</v>
          </cell>
          <cell r="Y85">
            <v>0</v>
          </cell>
          <cell r="Z85">
            <v>1920.6767199999999</v>
          </cell>
          <cell r="AA85" t="str">
            <v>n/a</v>
          </cell>
          <cell r="AB85">
            <v>1457.5543473321554</v>
          </cell>
          <cell r="AC85">
            <v>2080.0311999999999</v>
          </cell>
          <cell r="AD85">
            <v>15401.061459999999</v>
          </cell>
          <cell r="AE85">
            <v>13234.14206</v>
          </cell>
          <cell r="AH85">
            <v>665205.16</v>
          </cell>
          <cell r="AI85">
            <v>1503316.59</v>
          </cell>
          <cell r="AJ85">
            <v>3047767.75</v>
          </cell>
          <cell r="AK85">
            <v>4189336.8099999996</v>
          </cell>
          <cell r="AL85">
            <v>5371686.1499999994</v>
          </cell>
          <cell r="AM85">
            <v>6845485.2599999998</v>
          </cell>
          <cell r="AN85">
            <v>7653853.0999999996</v>
          </cell>
          <cell r="AO85">
            <v>8424975.3099999987</v>
          </cell>
          <cell r="AP85">
            <v>8424975.3099999987</v>
          </cell>
          <cell r="AQ85">
            <v>8424975.3099999987</v>
          </cell>
          <cell r="AR85">
            <v>8424975.3099999987</v>
          </cell>
          <cell r="AS85">
            <v>8424975.3099999987</v>
          </cell>
          <cell r="AW85">
            <v>213108</v>
          </cell>
          <cell r="AX85">
            <v>413675.44</v>
          </cell>
          <cell r="AY85">
            <v>716645.58000000007</v>
          </cell>
          <cell r="AZ85">
            <v>1033320.6699999999</v>
          </cell>
          <cell r="BA85">
            <v>1316962.08</v>
          </cell>
          <cell r="BB85">
            <v>1539683.64</v>
          </cell>
          <cell r="BC85">
            <v>1697601.58</v>
          </cell>
          <cell r="BD85">
            <v>1859111.43</v>
          </cell>
          <cell r="BE85">
            <v>1859111.43</v>
          </cell>
          <cell r="BF85">
            <v>1859111.43</v>
          </cell>
          <cell r="BG85">
            <v>1859111.43</v>
          </cell>
          <cell r="BH85">
            <v>1859111.43</v>
          </cell>
          <cell r="BL85">
            <v>261898.78</v>
          </cell>
          <cell r="BM85">
            <v>424248.2</v>
          </cell>
          <cell r="BN85">
            <v>611812.12</v>
          </cell>
          <cell r="BO85">
            <v>717412.89</v>
          </cell>
          <cell r="BP85">
            <v>1020105.0800000001</v>
          </cell>
          <cell r="BQ85">
            <v>1560804.65</v>
          </cell>
          <cell r="BR85">
            <v>1731746.96</v>
          </cell>
          <cell r="BS85">
            <v>1920676.72</v>
          </cell>
          <cell r="BT85">
            <v>1920676.72</v>
          </cell>
          <cell r="BU85">
            <v>1920676.72</v>
          </cell>
          <cell r="BV85">
            <v>1920676.72</v>
          </cell>
          <cell r="BW85">
            <v>1920676.72</v>
          </cell>
          <cell r="CP85">
            <v>851826.6</v>
          </cell>
          <cell r="CQ85">
            <v>1583629.1600000001</v>
          </cell>
          <cell r="CR85">
            <v>2923534.59</v>
          </cell>
          <cell r="CS85">
            <v>4178767.75</v>
          </cell>
          <cell r="CT85">
            <v>5083336.8099999996</v>
          </cell>
          <cell r="CU85">
            <v>6340280.1499999994</v>
          </cell>
          <cell r="CV85">
            <v>7487285.2599999988</v>
          </cell>
          <cell r="CW85">
            <v>8391318.0999999996</v>
          </cell>
          <cell r="DE85">
            <v>134673.40000000002</v>
          </cell>
          <cell r="DF85">
            <v>477722</v>
          </cell>
          <cell r="DG85">
            <v>717675.44</v>
          </cell>
          <cell r="DH85">
            <v>992645.58000000007</v>
          </cell>
          <cell r="DI85">
            <v>1224320.67</v>
          </cell>
          <cell r="DJ85">
            <v>1674962.08</v>
          </cell>
          <cell r="DK85">
            <v>1725683.64</v>
          </cell>
          <cell r="DL85">
            <v>1918601.58</v>
          </cell>
          <cell r="DT85">
            <v>257970.00000000003</v>
          </cell>
          <cell r="DU85">
            <v>438368.78</v>
          </cell>
          <cell r="DV85">
            <v>591635.19999999995</v>
          </cell>
          <cell r="DW85">
            <v>856499.12</v>
          </cell>
          <cell r="DX85">
            <v>1166299.8900000001</v>
          </cell>
          <cell r="DY85">
            <v>1418723.08</v>
          </cell>
          <cell r="DZ85">
            <v>1776636.65</v>
          </cell>
          <cell r="EA85">
            <v>1939178.96</v>
          </cell>
          <cell r="EX85">
            <v>784555.65</v>
          </cell>
          <cell r="EY85">
            <v>1607608.13</v>
          </cell>
          <cell r="EZ85">
            <v>3038814.84</v>
          </cell>
          <cell r="FA85">
            <v>3788168.6500000004</v>
          </cell>
          <cell r="FB85">
            <v>4862653.99</v>
          </cell>
          <cell r="FC85">
            <v>6200802.1900000004</v>
          </cell>
          <cell r="FD85">
            <v>6538762.120000001</v>
          </cell>
          <cell r="FE85">
            <v>7027977.1100000013</v>
          </cell>
          <cell r="FF85">
            <v>7561948.8800000008</v>
          </cell>
          <cell r="FG85">
            <v>8275503.120000001</v>
          </cell>
          <cell r="FH85">
            <v>8992975.1000000015</v>
          </cell>
          <cell r="FI85">
            <v>9717530.7700000014</v>
          </cell>
          <cell r="FM85">
            <v>86378.5</v>
          </cell>
          <cell r="FN85">
            <v>153085.5</v>
          </cell>
          <cell r="FO85">
            <v>279852.93</v>
          </cell>
          <cell r="FP85">
            <v>334611.43</v>
          </cell>
          <cell r="FQ85">
            <v>362261.43</v>
          </cell>
          <cell r="FR85">
            <v>377897.93</v>
          </cell>
          <cell r="FS85">
            <v>399022.33</v>
          </cell>
          <cell r="FT85">
            <v>453684.33</v>
          </cell>
          <cell r="FU85">
            <v>540575.63</v>
          </cell>
          <cell r="FV85">
            <v>645249.53</v>
          </cell>
          <cell r="FW85">
            <v>733896.03</v>
          </cell>
          <cell r="FX85">
            <v>844392.09000000008</v>
          </cell>
          <cell r="GB85">
            <v>124532.41</v>
          </cell>
          <cell r="GC85">
            <v>304497.32</v>
          </cell>
          <cell r="GD85">
            <v>636907.13</v>
          </cell>
          <cell r="GE85">
            <v>872457.54</v>
          </cell>
          <cell r="GF85">
            <v>1170355.3600000001</v>
          </cell>
          <cell r="GG85">
            <v>1539578.46</v>
          </cell>
          <cell r="GH85">
            <v>1781757.6099999999</v>
          </cell>
          <cell r="GI85">
            <v>1967862.69</v>
          </cell>
          <cell r="GJ85">
            <v>2080031.2</v>
          </cell>
          <cell r="GK85">
            <v>2265250.56</v>
          </cell>
          <cell r="GL85">
            <v>2477074.34</v>
          </cell>
          <cell r="GM85">
            <v>2672219.1999999997</v>
          </cell>
        </row>
        <row r="87">
          <cell r="A87" t="str">
            <v>Materials</v>
          </cell>
          <cell r="C87">
            <v>293.28599000000003</v>
          </cell>
          <cell r="D87">
            <v>0</v>
          </cell>
          <cell r="E87">
            <v>293.28599000000003</v>
          </cell>
          <cell r="F87" t="str">
            <v>n/a</v>
          </cell>
          <cell r="G87">
            <v>313.05615441751382</v>
          </cell>
          <cell r="H87">
            <v>399.13887000000005</v>
          </cell>
          <cell r="J87">
            <v>291.76112000000001</v>
          </cell>
          <cell r="K87">
            <v>0</v>
          </cell>
          <cell r="L87">
            <v>291.76112000000001</v>
          </cell>
          <cell r="M87" t="str">
            <v>n/a</v>
          </cell>
          <cell r="N87">
            <v>314.99392546197737</v>
          </cell>
          <cell r="O87">
            <v>399.05761000000007</v>
          </cell>
          <cell r="Q87">
            <v>1.48428</v>
          </cell>
          <cell r="R87">
            <v>0</v>
          </cell>
          <cell r="S87">
            <v>1.48428</v>
          </cell>
          <cell r="T87" t="str">
            <v>n/a</v>
          </cell>
          <cell r="U87">
            <v>-0.91907725792534667</v>
          </cell>
          <cell r="V87">
            <v>8.1259999999999985E-2</v>
          </cell>
          <cell r="X87">
            <v>4.0590000000000001E-2</v>
          </cell>
          <cell r="Y87">
            <v>0</v>
          </cell>
          <cell r="Z87">
            <v>4.0590000000000001E-2</v>
          </cell>
          <cell r="AA87" t="str">
            <v>n/a</v>
          </cell>
          <cell r="AB87">
            <v>-1.0186937865382248</v>
          </cell>
          <cell r="AC87">
            <v>0</v>
          </cell>
          <cell r="AD87">
            <v>385.30838999999992</v>
          </cell>
          <cell r="AE87">
            <v>449.01467000000002</v>
          </cell>
          <cell r="AH87">
            <v>31811.33</v>
          </cell>
          <cell r="AI87">
            <v>65051.14</v>
          </cell>
          <cell r="AJ87">
            <v>93411.72</v>
          </cell>
          <cell r="AK87">
            <v>152172.91</v>
          </cell>
          <cell r="AL87">
            <v>208970.35</v>
          </cell>
          <cell r="AM87">
            <v>237920.68</v>
          </cell>
          <cell r="AN87">
            <v>257356.13999999998</v>
          </cell>
          <cell r="AO87">
            <v>291761.12</v>
          </cell>
          <cell r="AP87">
            <v>291761.12</v>
          </cell>
          <cell r="AQ87">
            <v>291761.12</v>
          </cell>
          <cell r="AR87">
            <v>291761.12</v>
          </cell>
          <cell r="AS87">
            <v>291761.12</v>
          </cell>
          <cell r="AW87">
            <v>0</v>
          </cell>
          <cell r="AX87">
            <v>0</v>
          </cell>
          <cell r="AY87">
            <v>1366.08</v>
          </cell>
          <cell r="AZ87">
            <v>1366.08</v>
          </cell>
          <cell r="BA87">
            <v>1366.08</v>
          </cell>
          <cell r="BB87">
            <v>1384.51</v>
          </cell>
          <cell r="BC87">
            <v>1484.28</v>
          </cell>
          <cell r="BD87">
            <v>1484.28</v>
          </cell>
          <cell r="BE87">
            <v>1484.28</v>
          </cell>
          <cell r="BF87">
            <v>1484.28</v>
          </cell>
          <cell r="BG87">
            <v>1484.28</v>
          </cell>
          <cell r="BH87">
            <v>1484.28</v>
          </cell>
          <cell r="BL87">
            <v>0</v>
          </cell>
          <cell r="BM87">
            <v>0</v>
          </cell>
          <cell r="BN87">
            <v>0</v>
          </cell>
          <cell r="BO87">
            <v>0</v>
          </cell>
          <cell r="BP87">
            <v>949.67</v>
          </cell>
          <cell r="BQ87">
            <v>0</v>
          </cell>
          <cell r="BR87">
            <v>40.590000000000003</v>
          </cell>
          <cell r="BS87">
            <v>40.590000000000003</v>
          </cell>
          <cell r="BT87">
            <v>40.590000000000003</v>
          </cell>
          <cell r="BU87">
            <v>40.590000000000003</v>
          </cell>
          <cell r="BV87">
            <v>40.590000000000003</v>
          </cell>
          <cell r="BW87">
            <v>40.590000000000003</v>
          </cell>
          <cell r="CP87">
            <v>29439.127295999999</v>
          </cell>
          <cell r="CQ87">
            <v>63552.063439999998</v>
          </cell>
          <cell r="CR87">
            <v>114133.87407999998</v>
          </cell>
          <cell r="CS87">
            <v>146568.72</v>
          </cell>
          <cell r="CT87">
            <v>194190.91</v>
          </cell>
          <cell r="CU87">
            <v>209275.05800000002</v>
          </cell>
          <cell r="CV87">
            <v>263592.68</v>
          </cell>
          <cell r="CW87">
            <v>286854.74</v>
          </cell>
          <cell r="DE87">
            <v>0</v>
          </cell>
          <cell r="DF87">
            <v>0</v>
          </cell>
          <cell r="DG87">
            <v>0</v>
          </cell>
          <cell r="DH87">
            <v>1366.08</v>
          </cell>
          <cell r="DI87">
            <v>1366.08</v>
          </cell>
          <cell r="DJ87">
            <v>1366.08</v>
          </cell>
          <cell r="DK87">
            <v>1384.51</v>
          </cell>
          <cell r="DL87">
            <v>1484.28</v>
          </cell>
          <cell r="DT87">
            <v>0</v>
          </cell>
          <cell r="DU87">
            <v>0</v>
          </cell>
          <cell r="DV87">
            <v>0</v>
          </cell>
          <cell r="DW87">
            <v>0</v>
          </cell>
          <cell r="DX87">
            <v>0</v>
          </cell>
          <cell r="DY87">
            <v>949.67</v>
          </cell>
          <cell r="DZ87">
            <v>0</v>
          </cell>
          <cell r="EA87">
            <v>40.590000000000003</v>
          </cell>
          <cell r="EX87">
            <v>38691.22</v>
          </cell>
          <cell r="EY87">
            <v>145924.58000000002</v>
          </cell>
          <cell r="EZ87">
            <v>186939.14</v>
          </cell>
          <cell r="FA87">
            <v>168815.15000000002</v>
          </cell>
          <cell r="FB87">
            <v>256461.61000000004</v>
          </cell>
          <cell r="FC87">
            <v>361106.62000000005</v>
          </cell>
          <cell r="FD87">
            <v>352743.69000000006</v>
          </cell>
          <cell r="FE87">
            <v>386413.51000000007</v>
          </cell>
          <cell r="FF87">
            <v>399057.61000000004</v>
          </cell>
          <cell r="FG87">
            <v>419560.98000000004</v>
          </cell>
          <cell r="FH87">
            <v>444070.91000000003</v>
          </cell>
          <cell r="FI87">
            <v>448933.41000000003</v>
          </cell>
          <cell r="FM87">
            <v>57.26</v>
          </cell>
          <cell r="FN87">
            <v>57.26</v>
          </cell>
          <cell r="FO87">
            <v>57.26</v>
          </cell>
          <cell r="FP87">
            <v>57.26</v>
          </cell>
          <cell r="FQ87">
            <v>57.26</v>
          </cell>
          <cell r="FR87">
            <v>81.259999999999991</v>
          </cell>
          <cell r="FS87">
            <v>81.259999999999991</v>
          </cell>
          <cell r="FT87">
            <v>81.259999999999991</v>
          </cell>
          <cell r="FU87">
            <v>81.259999999999991</v>
          </cell>
          <cell r="FV87">
            <v>81.259999999999991</v>
          </cell>
          <cell r="FW87">
            <v>81.259999999999991</v>
          </cell>
          <cell r="FX87">
            <v>81.259999999999991</v>
          </cell>
          <cell r="GB87">
            <v>0</v>
          </cell>
          <cell r="GC87">
            <v>0</v>
          </cell>
          <cell r="GD87">
            <v>0</v>
          </cell>
          <cell r="GE87">
            <v>0</v>
          </cell>
          <cell r="GF87">
            <v>0</v>
          </cell>
          <cell r="GG87">
            <v>0</v>
          </cell>
          <cell r="GH87">
            <v>0</v>
          </cell>
          <cell r="GI87">
            <v>0</v>
          </cell>
          <cell r="GJ87">
            <v>0</v>
          </cell>
          <cell r="GK87">
            <v>0</v>
          </cell>
          <cell r="GL87">
            <v>0</v>
          </cell>
          <cell r="GM87">
            <v>0</v>
          </cell>
        </row>
        <row r="89">
          <cell r="A89" t="str">
            <v>Subcontract - Delhi</v>
          </cell>
          <cell r="C89">
            <v>136.89426</v>
          </cell>
          <cell r="D89">
            <v>0</v>
          </cell>
          <cell r="E89">
            <v>136.89426</v>
          </cell>
          <cell r="F89" t="str">
            <v>n/a</v>
          </cell>
          <cell r="G89">
            <v>408.79775865917446</v>
          </cell>
          <cell r="H89">
            <v>0.91500000000000004</v>
          </cell>
          <cell r="J89">
            <v>136.89426</v>
          </cell>
          <cell r="K89">
            <v>0</v>
          </cell>
          <cell r="L89">
            <v>136.89426</v>
          </cell>
          <cell r="M89" t="str">
            <v>n/a</v>
          </cell>
          <cell r="N89">
            <v>369.49318332667434</v>
          </cell>
          <cell r="O89">
            <v>0</v>
          </cell>
          <cell r="Q89">
            <v>0</v>
          </cell>
          <cell r="R89">
            <v>0</v>
          </cell>
          <cell r="S89">
            <v>0</v>
          </cell>
          <cell r="T89" t="str">
            <v>n/a</v>
          </cell>
          <cell r="U89">
            <v>-1.5317954298755776</v>
          </cell>
          <cell r="V89">
            <v>0.91500000000000004</v>
          </cell>
          <cell r="X89">
            <v>0</v>
          </cell>
          <cell r="Y89">
            <v>0</v>
          </cell>
          <cell r="Z89">
            <v>0</v>
          </cell>
          <cell r="AA89" t="str">
            <v>n/a</v>
          </cell>
          <cell r="AB89">
            <v>40.83637076237568</v>
          </cell>
          <cell r="AC89">
            <v>0</v>
          </cell>
          <cell r="AD89">
            <v>196.32271714285716</v>
          </cell>
          <cell r="AE89">
            <v>21.397860000000001</v>
          </cell>
          <cell r="AH89">
            <v>10580</v>
          </cell>
          <cell r="AI89">
            <v>36859.910000000003</v>
          </cell>
          <cell r="AJ89">
            <v>71065.06</v>
          </cell>
          <cell r="AK89">
            <v>107315.56</v>
          </cell>
          <cell r="AL89">
            <v>115781.04</v>
          </cell>
          <cell r="AM89">
            <v>123275.76</v>
          </cell>
          <cell r="AN89">
            <v>130526.26</v>
          </cell>
          <cell r="AO89">
            <v>136894.26</v>
          </cell>
          <cell r="AP89">
            <v>136894.26</v>
          </cell>
          <cell r="AQ89">
            <v>136894.26</v>
          </cell>
          <cell r="AR89">
            <v>136894.26</v>
          </cell>
          <cell r="AS89">
            <v>136894.26</v>
          </cell>
          <cell r="AW89">
            <v>0</v>
          </cell>
          <cell r="AX89">
            <v>0</v>
          </cell>
          <cell r="AY89">
            <v>0</v>
          </cell>
          <cell r="AZ89">
            <v>0</v>
          </cell>
          <cell r="BA89">
            <v>0</v>
          </cell>
          <cell r="BB89">
            <v>0</v>
          </cell>
          <cell r="BC89">
            <v>0</v>
          </cell>
          <cell r="BD89">
            <v>0</v>
          </cell>
          <cell r="BE89">
            <v>0</v>
          </cell>
          <cell r="BF89">
            <v>0</v>
          </cell>
          <cell r="BG89">
            <v>0</v>
          </cell>
          <cell r="BH89">
            <v>0</v>
          </cell>
          <cell r="BL89">
            <v>0</v>
          </cell>
          <cell r="BM89">
            <v>0</v>
          </cell>
          <cell r="BN89">
            <v>0</v>
          </cell>
          <cell r="BO89">
            <v>0</v>
          </cell>
          <cell r="BP89">
            <v>0</v>
          </cell>
          <cell r="BQ89">
            <v>0</v>
          </cell>
          <cell r="BR89">
            <v>0</v>
          </cell>
          <cell r="BS89">
            <v>0</v>
          </cell>
          <cell r="BT89">
            <v>0</v>
          </cell>
          <cell r="BU89">
            <v>0</v>
          </cell>
          <cell r="BV89">
            <v>0</v>
          </cell>
          <cell r="BW89">
            <v>0</v>
          </cell>
          <cell r="CP89">
            <v>0</v>
          </cell>
          <cell r="CQ89">
            <v>10580</v>
          </cell>
          <cell r="CR89">
            <v>69275.658571428561</v>
          </cell>
          <cell r="CS89">
            <v>101583.91714285713</v>
          </cell>
          <cell r="CT89">
            <v>124029.84571428571</v>
          </cell>
          <cell r="CU89">
            <v>140423.89714285714</v>
          </cell>
          <cell r="CV89">
            <v>130347.18857142856</v>
          </cell>
          <cell r="CW89">
            <v>142169.94095238094</v>
          </cell>
          <cell r="DE89">
            <v>0</v>
          </cell>
          <cell r="DF89">
            <v>0</v>
          </cell>
          <cell r="DG89">
            <v>0</v>
          </cell>
          <cell r="DH89">
            <v>0</v>
          </cell>
          <cell r="DI89">
            <v>0</v>
          </cell>
          <cell r="DJ89">
            <v>0</v>
          </cell>
          <cell r="DK89">
            <v>0</v>
          </cell>
          <cell r="DL89">
            <v>0</v>
          </cell>
          <cell r="DT89">
            <v>0</v>
          </cell>
          <cell r="DU89">
            <v>0</v>
          </cell>
          <cell r="DV89">
            <v>3347.7400000000002</v>
          </cell>
          <cell r="DW89">
            <v>4893.74</v>
          </cell>
          <cell r="DX89">
            <v>0</v>
          </cell>
          <cell r="DY89">
            <v>0</v>
          </cell>
          <cell r="DZ89">
            <v>0</v>
          </cell>
          <cell r="EA89">
            <v>0</v>
          </cell>
          <cell r="EX89">
            <v>0</v>
          </cell>
          <cell r="EY89">
            <v>0</v>
          </cell>
          <cell r="EZ89">
            <v>0</v>
          </cell>
          <cell r="FA89">
            <v>0</v>
          </cell>
          <cell r="FB89">
            <v>0</v>
          </cell>
          <cell r="FC89">
            <v>0</v>
          </cell>
          <cell r="FD89">
            <v>0</v>
          </cell>
          <cell r="FE89">
            <v>0</v>
          </cell>
          <cell r="FF89">
            <v>0</v>
          </cell>
          <cell r="FG89">
            <v>5568</v>
          </cell>
          <cell r="FH89">
            <v>7980</v>
          </cell>
          <cell r="FI89">
            <v>20482.86</v>
          </cell>
          <cell r="FM89">
            <v>0</v>
          </cell>
          <cell r="FN89">
            <v>0</v>
          </cell>
          <cell r="FO89">
            <v>0</v>
          </cell>
          <cell r="FP89">
            <v>0</v>
          </cell>
          <cell r="FQ89">
            <v>0</v>
          </cell>
          <cell r="FR89">
            <v>0</v>
          </cell>
          <cell r="FS89">
            <v>0</v>
          </cell>
          <cell r="FT89">
            <v>0</v>
          </cell>
          <cell r="FU89">
            <v>915</v>
          </cell>
          <cell r="FV89">
            <v>915</v>
          </cell>
          <cell r="FW89">
            <v>915</v>
          </cell>
          <cell r="FX89">
            <v>915</v>
          </cell>
          <cell r="GB89">
            <v>0</v>
          </cell>
          <cell r="GC89">
            <v>0</v>
          </cell>
          <cell r="GD89">
            <v>0</v>
          </cell>
          <cell r="GE89">
            <v>0</v>
          </cell>
          <cell r="GF89">
            <v>0</v>
          </cell>
          <cell r="GG89">
            <v>0</v>
          </cell>
          <cell r="GH89">
            <v>0</v>
          </cell>
          <cell r="GI89">
            <v>0</v>
          </cell>
          <cell r="GJ89">
            <v>0</v>
          </cell>
          <cell r="GK89">
            <v>0</v>
          </cell>
          <cell r="GL89">
            <v>0</v>
          </cell>
          <cell r="GM89">
            <v>0</v>
          </cell>
        </row>
        <row r="90">
          <cell r="A90" t="str">
            <v>Subcontract - Other</v>
          </cell>
          <cell r="C90">
            <v>1976.1904999999999</v>
          </cell>
          <cell r="D90">
            <v>0</v>
          </cell>
          <cell r="E90">
            <v>1976.1904999999999</v>
          </cell>
          <cell r="F90" t="str">
            <v>n/a</v>
          </cell>
          <cell r="G90">
            <v>698.41435030321327</v>
          </cell>
          <cell r="H90">
            <v>781.78135999999995</v>
          </cell>
          <cell r="J90">
            <v>399.56481000000002</v>
          </cell>
          <cell r="K90">
            <v>0</v>
          </cell>
          <cell r="L90">
            <v>399.56481000000002</v>
          </cell>
          <cell r="M90" t="str">
            <v>n/a</v>
          </cell>
          <cell r="N90">
            <v>355.73777104446356</v>
          </cell>
          <cell r="O90">
            <v>328.51255999999995</v>
          </cell>
          <cell r="Q90">
            <v>762.27456999999993</v>
          </cell>
          <cell r="R90">
            <v>0</v>
          </cell>
          <cell r="S90">
            <v>762.27456999999993</v>
          </cell>
          <cell r="T90" t="str">
            <v>n/a</v>
          </cell>
          <cell r="U90">
            <v>77.560922742074666</v>
          </cell>
          <cell r="V90">
            <v>59.997009999999996</v>
          </cell>
          <cell r="X90">
            <v>814.35112000000004</v>
          </cell>
          <cell r="Y90">
            <v>0</v>
          </cell>
          <cell r="Z90">
            <v>814.35112000000004</v>
          </cell>
          <cell r="AA90" t="str">
            <v>n/a</v>
          </cell>
          <cell r="AB90">
            <v>265.11565651667502</v>
          </cell>
          <cell r="AC90">
            <v>393.27179000000001</v>
          </cell>
          <cell r="AD90">
            <v>2193.9083000000001</v>
          </cell>
          <cell r="AE90">
            <v>1107.9917799999998</v>
          </cell>
          <cell r="AH90">
            <v>28469.57</v>
          </cell>
          <cell r="AI90">
            <v>103951.14000000001</v>
          </cell>
          <cell r="AJ90">
            <v>207372.73</v>
          </cell>
          <cell r="AK90">
            <v>306011.64</v>
          </cell>
          <cell r="AL90">
            <v>388942.87</v>
          </cell>
          <cell r="AM90">
            <v>410072.98</v>
          </cell>
          <cell r="AN90">
            <v>390577.97</v>
          </cell>
          <cell r="AO90">
            <v>399564.81</v>
          </cell>
          <cell r="AP90">
            <v>399564.81</v>
          </cell>
          <cell r="AQ90">
            <v>399564.81</v>
          </cell>
          <cell r="AR90">
            <v>399564.81</v>
          </cell>
          <cell r="AS90">
            <v>399564.81</v>
          </cell>
          <cell r="AW90">
            <v>47540.990000000005</v>
          </cell>
          <cell r="AX90">
            <v>158058.6</v>
          </cell>
          <cell r="AY90">
            <v>248667.64</v>
          </cell>
          <cell r="AZ90">
            <v>334866.81</v>
          </cell>
          <cell r="BA90">
            <v>441612.17</v>
          </cell>
          <cell r="BB90">
            <v>617147.37</v>
          </cell>
          <cell r="BC90">
            <v>706194.42999999993</v>
          </cell>
          <cell r="BD90">
            <v>762274.57</v>
          </cell>
          <cell r="BE90">
            <v>762274.57</v>
          </cell>
          <cell r="BF90">
            <v>762274.57</v>
          </cell>
          <cell r="BG90">
            <v>762274.57</v>
          </cell>
          <cell r="BH90">
            <v>762274.57</v>
          </cell>
          <cell r="BL90">
            <v>60801.86</v>
          </cell>
          <cell r="BM90">
            <v>131355.68</v>
          </cell>
          <cell r="BN90">
            <v>305876.55</v>
          </cell>
          <cell r="BO90">
            <v>411605.70999999996</v>
          </cell>
          <cell r="BP90">
            <v>523089.85</v>
          </cell>
          <cell r="BQ90">
            <v>696154.61</v>
          </cell>
          <cell r="BR90">
            <v>763478.37</v>
          </cell>
          <cell r="BS90">
            <v>814351.12</v>
          </cell>
          <cell r="BT90">
            <v>814351.12</v>
          </cell>
          <cell r="BU90">
            <v>814351.12</v>
          </cell>
          <cell r="BV90">
            <v>814351.12</v>
          </cell>
          <cell r="BW90">
            <v>814351.12</v>
          </cell>
          <cell r="CP90">
            <v>20240</v>
          </cell>
          <cell r="CQ90">
            <v>86069.57</v>
          </cell>
          <cell r="CR90">
            <v>213063.14</v>
          </cell>
          <cell r="CS90">
            <v>251060.73</v>
          </cell>
          <cell r="CT90">
            <v>352563.64</v>
          </cell>
          <cell r="CU90">
            <v>473278.87</v>
          </cell>
          <cell r="CV90">
            <v>419752.98</v>
          </cell>
          <cell r="CW90">
            <v>423697.97</v>
          </cell>
          <cell r="DE90">
            <v>16560</v>
          </cell>
          <cell r="DF90">
            <v>74900.990000000005</v>
          </cell>
          <cell r="DG90">
            <v>211602.6</v>
          </cell>
          <cell r="DH90">
            <v>281519.64</v>
          </cell>
          <cell r="DI90">
            <v>360810.81</v>
          </cell>
          <cell r="DJ90">
            <v>649072.17000000004</v>
          </cell>
          <cell r="DK90">
            <v>687047.37</v>
          </cell>
          <cell r="DL90">
            <v>774494.42999999993</v>
          </cell>
          <cell r="DT90">
            <v>64492.500000000007</v>
          </cell>
          <cell r="DU90">
            <v>171595.86000000002</v>
          </cell>
          <cell r="DV90">
            <v>285833.07999999996</v>
          </cell>
          <cell r="DW90">
            <v>513079.6</v>
          </cell>
          <cell r="DX90">
            <v>521438.75999999995</v>
          </cell>
          <cell r="DY90">
            <v>605486.19999999995</v>
          </cell>
          <cell r="DZ90">
            <v>760446.21</v>
          </cell>
          <cell r="EA90">
            <v>827721.57</v>
          </cell>
          <cell r="EX90">
            <v>35395.760000000002</v>
          </cell>
          <cell r="EY90">
            <v>75070.989999999991</v>
          </cell>
          <cell r="EZ90">
            <v>155577.78</v>
          </cell>
          <cell r="FA90">
            <v>227128.31</v>
          </cell>
          <cell r="FB90">
            <v>264345.70999999996</v>
          </cell>
          <cell r="FC90">
            <v>269106.56999999995</v>
          </cell>
          <cell r="FD90">
            <v>284334.16999999993</v>
          </cell>
          <cell r="FE90">
            <v>307806.36999999994</v>
          </cell>
          <cell r="FF90">
            <v>328512.55999999994</v>
          </cell>
          <cell r="FG90">
            <v>376664.40999999992</v>
          </cell>
          <cell r="FH90">
            <v>397514.62999999989</v>
          </cell>
          <cell r="FI90">
            <v>422247.35999999987</v>
          </cell>
          <cell r="FM90">
            <v>6132.54</v>
          </cell>
          <cell r="FN90">
            <v>15126.279999999999</v>
          </cell>
          <cell r="FO90">
            <v>20207.589999999997</v>
          </cell>
          <cell r="FP90">
            <v>29401.659999999996</v>
          </cell>
          <cell r="FQ90">
            <v>36475.629999999997</v>
          </cell>
          <cell r="FR90">
            <v>39876.449999999997</v>
          </cell>
          <cell r="FS90">
            <v>41144.719999999994</v>
          </cell>
          <cell r="FT90">
            <v>48088.659999999996</v>
          </cell>
          <cell r="FU90">
            <v>59997.009999999995</v>
          </cell>
          <cell r="FV90">
            <v>87824.68</v>
          </cell>
          <cell r="FW90">
            <v>110946.40999999999</v>
          </cell>
          <cell r="FX90">
            <v>129480.54999999999</v>
          </cell>
          <cell r="GB90">
            <v>7665</v>
          </cell>
          <cell r="GC90">
            <v>21442.55</v>
          </cell>
          <cell r="GD90">
            <v>99161.41</v>
          </cell>
          <cell r="GE90">
            <v>128444.66</v>
          </cell>
          <cell r="GF90">
            <v>171124.14</v>
          </cell>
          <cell r="GG90">
            <v>246241.83000000002</v>
          </cell>
          <cell r="GH90">
            <v>296413.09000000003</v>
          </cell>
          <cell r="GI90">
            <v>363274.18000000005</v>
          </cell>
          <cell r="GJ90">
            <v>393271.79000000004</v>
          </cell>
          <cell r="GK90">
            <v>493697.47000000003</v>
          </cell>
          <cell r="GL90">
            <v>522387.64</v>
          </cell>
          <cell r="GM90">
            <v>556263.87</v>
          </cell>
        </row>
        <row r="91">
          <cell r="A91" t="str">
            <v>Subcontract</v>
          </cell>
          <cell r="C91">
            <v>2113.0847599999997</v>
          </cell>
          <cell r="D91">
            <v>0</v>
          </cell>
          <cell r="E91">
            <v>2113.0847599999997</v>
          </cell>
          <cell r="F91" t="str">
            <v>n/a</v>
          </cell>
          <cell r="G91">
            <v>1107.2121089623877</v>
          </cell>
          <cell r="H91">
            <v>782.69635999999991</v>
          </cell>
          <cell r="J91">
            <v>536.45907</v>
          </cell>
          <cell r="K91">
            <v>0</v>
          </cell>
          <cell r="L91">
            <v>536.45907</v>
          </cell>
          <cell r="M91" t="str">
            <v>n/a</v>
          </cell>
          <cell r="N91">
            <v>725.23095437113784</v>
          </cell>
          <cell r="O91">
            <v>328.51255999999995</v>
          </cell>
          <cell r="Q91">
            <v>762.27456999999993</v>
          </cell>
          <cell r="R91">
            <v>0</v>
          </cell>
          <cell r="S91">
            <v>762.27456999999993</v>
          </cell>
          <cell r="T91" t="str">
            <v>n/a</v>
          </cell>
          <cell r="U91">
            <v>76.029127312199094</v>
          </cell>
          <cell r="V91">
            <v>60.912009999999995</v>
          </cell>
          <cell r="X91">
            <v>814.35112000000004</v>
          </cell>
          <cell r="Y91">
            <v>0</v>
          </cell>
          <cell r="Z91">
            <v>814.35112000000004</v>
          </cell>
          <cell r="AA91" t="str">
            <v>n/a</v>
          </cell>
          <cell r="AB91">
            <v>305.9520272790507</v>
          </cell>
          <cell r="AC91">
            <v>393.27179000000001</v>
          </cell>
          <cell r="AD91">
            <v>2390.2310171428571</v>
          </cell>
          <cell r="AE91">
            <v>1129.3896399999999</v>
          </cell>
          <cell r="AH91">
            <v>39049.57</v>
          </cell>
          <cell r="AI91">
            <v>140811.05000000002</v>
          </cell>
          <cell r="AJ91">
            <v>278437.79000000004</v>
          </cell>
          <cell r="AK91">
            <v>413327.2</v>
          </cell>
          <cell r="AL91">
            <v>504723.91</v>
          </cell>
          <cell r="AM91">
            <v>533348.74</v>
          </cell>
          <cell r="AN91">
            <v>521104.23</v>
          </cell>
          <cell r="AO91">
            <v>536459.07000000007</v>
          </cell>
          <cell r="AP91">
            <v>536459.07000000007</v>
          </cell>
          <cell r="AQ91">
            <v>536459.07000000007</v>
          </cell>
          <cell r="AR91">
            <v>536459.07000000007</v>
          </cell>
          <cell r="AS91">
            <v>536459.07000000007</v>
          </cell>
          <cell r="AW91">
            <v>47540.990000000005</v>
          </cell>
          <cell r="AX91">
            <v>158058.6</v>
          </cell>
          <cell r="AY91">
            <v>248667.64</v>
          </cell>
          <cell r="AZ91">
            <v>334866.81</v>
          </cell>
          <cell r="BA91">
            <v>441612.17</v>
          </cell>
          <cell r="BB91">
            <v>617147.37</v>
          </cell>
          <cell r="BC91">
            <v>706194.42999999993</v>
          </cell>
          <cell r="BD91">
            <v>762274.57</v>
          </cell>
          <cell r="BE91">
            <v>762274.57</v>
          </cell>
          <cell r="BF91">
            <v>762274.57</v>
          </cell>
          <cell r="BG91">
            <v>762274.57</v>
          </cell>
          <cell r="BH91">
            <v>762274.57</v>
          </cell>
          <cell r="BL91">
            <v>60801.86</v>
          </cell>
          <cell r="BM91">
            <v>131355.68</v>
          </cell>
          <cell r="BN91">
            <v>305876.55</v>
          </cell>
          <cell r="BO91">
            <v>411605.70999999996</v>
          </cell>
          <cell r="BP91">
            <v>523089.85</v>
          </cell>
          <cell r="BQ91">
            <v>696154.61</v>
          </cell>
          <cell r="BR91">
            <v>763478.37</v>
          </cell>
          <cell r="BS91">
            <v>814351.12</v>
          </cell>
          <cell r="BT91">
            <v>814351.12</v>
          </cell>
          <cell r="BU91">
            <v>814351.12</v>
          </cell>
          <cell r="BV91">
            <v>814351.12</v>
          </cell>
          <cell r="BW91">
            <v>814351.12</v>
          </cell>
          <cell r="CP91">
            <v>20240</v>
          </cell>
          <cell r="CQ91">
            <v>96649.57</v>
          </cell>
          <cell r="CR91">
            <v>282338.79857142858</v>
          </cell>
          <cell r="CS91">
            <v>352644.64714285714</v>
          </cell>
          <cell r="CT91">
            <v>476593.48571428575</v>
          </cell>
          <cell r="CU91">
            <v>613702.76714285719</v>
          </cell>
          <cell r="CV91">
            <v>550100.16857142851</v>
          </cell>
          <cell r="CW91">
            <v>565867.91095238086</v>
          </cell>
          <cell r="DE91">
            <v>16560</v>
          </cell>
          <cell r="DF91">
            <v>74900.990000000005</v>
          </cell>
          <cell r="DG91">
            <v>211602.6</v>
          </cell>
          <cell r="DH91">
            <v>281519.64</v>
          </cell>
          <cell r="DI91">
            <v>360810.81</v>
          </cell>
          <cell r="DJ91">
            <v>649072.17000000004</v>
          </cell>
          <cell r="DK91">
            <v>687047.37</v>
          </cell>
          <cell r="DL91">
            <v>774494.42999999993</v>
          </cell>
          <cell r="DT91">
            <v>64492.500000000007</v>
          </cell>
          <cell r="DU91">
            <v>171595.86000000002</v>
          </cell>
          <cell r="DV91">
            <v>289180.81999999995</v>
          </cell>
          <cell r="DW91">
            <v>517973.33999999997</v>
          </cell>
          <cell r="DX91">
            <v>521438.75999999995</v>
          </cell>
          <cell r="DY91">
            <v>605486.19999999995</v>
          </cell>
          <cell r="DZ91">
            <v>760446.21</v>
          </cell>
          <cell r="EA91">
            <v>827721.57</v>
          </cell>
          <cell r="EX91">
            <v>35395.760000000002</v>
          </cell>
          <cell r="EY91">
            <v>75070.989999999991</v>
          </cell>
          <cell r="EZ91">
            <v>155577.78</v>
          </cell>
          <cell r="FA91">
            <v>227128.31</v>
          </cell>
          <cell r="FB91">
            <v>264345.70999999996</v>
          </cell>
          <cell r="FC91">
            <v>269106.56999999995</v>
          </cell>
          <cell r="FD91">
            <v>284334.16999999993</v>
          </cell>
          <cell r="FE91">
            <v>307806.36999999994</v>
          </cell>
          <cell r="FF91">
            <v>328512.55999999994</v>
          </cell>
          <cell r="FG91">
            <v>382232.40999999992</v>
          </cell>
          <cell r="FH91">
            <v>405494.62999999989</v>
          </cell>
          <cell r="FI91">
            <v>442730.21999999986</v>
          </cell>
          <cell r="FM91">
            <v>6132.54</v>
          </cell>
          <cell r="FN91">
            <v>15126.279999999999</v>
          </cell>
          <cell r="FO91">
            <v>20207.589999999997</v>
          </cell>
          <cell r="FP91">
            <v>29401.659999999996</v>
          </cell>
          <cell r="FQ91">
            <v>36475.629999999997</v>
          </cell>
          <cell r="FR91">
            <v>39876.449999999997</v>
          </cell>
          <cell r="FS91">
            <v>41144.719999999994</v>
          </cell>
          <cell r="FT91">
            <v>48088.659999999996</v>
          </cell>
          <cell r="FU91">
            <v>60912.009999999995</v>
          </cell>
          <cell r="FV91">
            <v>88739.68</v>
          </cell>
          <cell r="FW91">
            <v>111861.40999999999</v>
          </cell>
          <cell r="FX91">
            <v>130395.54999999999</v>
          </cell>
          <cell r="GB91">
            <v>7665</v>
          </cell>
          <cell r="GC91">
            <v>21442.55</v>
          </cell>
          <cell r="GD91">
            <v>99161.41</v>
          </cell>
          <cell r="GE91">
            <v>128444.66</v>
          </cell>
          <cell r="GF91">
            <v>171124.14</v>
          </cell>
          <cell r="GG91">
            <v>246241.83000000002</v>
          </cell>
          <cell r="GH91">
            <v>296413.09000000003</v>
          </cell>
          <cell r="GI91">
            <v>363274.18000000005</v>
          </cell>
          <cell r="GJ91">
            <v>393271.79000000004</v>
          </cell>
          <cell r="GK91">
            <v>493697.47000000003</v>
          </cell>
          <cell r="GL91">
            <v>522387.64</v>
          </cell>
          <cell r="GM91">
            <v>556263.87</v>
          </cell>
        </row>
        <row r="93">
          <cell r="A93" t="str">
            <v>Value-Added</v>
          </cell>
          <cell r="C93">
            <v>9798.3927099999983</v>
          </cell>
          <cell r="D93">
            <v>0</v>
          </cell>
          <cell r="E93">
            <v>9798.3927099999983</v>
          </cell>
          <cell r="F93" t="str">
            <v>n/a</v>
          </cell>
          <cell r="G93">
            <v>10046.916736620098</v>
          </cell>
          <cell r="H93">
            <v>9000.7204799999981</v>
          </cell>
          <cell r="J93">
            <v>7596.7551199999998</v>
          </cell>
          <cell r="K93">
            <v>0</v>
          </cell>
          <cell r="L93">
            <v>7596.7551199999998</v>
          </cell>
          <cell r="M93" t="str">
            <v>n/a</v>
          </cell>
          <cell r="N93">
            <v>7416.2869428696677</v>
          </cell>
          <cell r="O93">
            <v>6834.3787100000009</v>
          </cell>
          <cell r="Q93">
            <v>1095.3525800000002</v>
          </cell>
          <cell r="R93">
            <v>0</v>
          </cell>
          <cell r="S93">
            <v>1095.3525800000002</v>
          </cell>
          <cell r="T93" t="str">
            <v>n/a</v>
          </cell>
          <cell r="U93">
            <v>1478.0087799107864</v>
          </cell>
          <cell r="V93">
            <v>479.58235999999988</v>
          </cell>
          <cell r="X93">
            <v>1106.2850099999998</v>
          </cell>
          <cell r="Y93">
            <v>0</v>
          </cell>
          <cell r="Z93">
            <v>1106.2850099999998</v>
          </cell>
          <cell r="AA93" t="str">
            <v>n/a</v>
          </cell>
          <cell r="AB93">
            <v>1152.621013839643</v>
          </cell>
          <cell r="AC93">
            <v>1686.7594099999999</v>
          </cell>
          <cell r="AD93">
            <v>12625.522052857141</v>
          </cell>
          <cell r="AE93">
            <v>11655.73775</v>
          </cell>
          <cell r="AH93">
            <v>594344.26000000013</v>
          </cell>
          <cell r="AI93">
            <v>1297454.4000000001</v>
          </cell>
          <cell r="AJ93">
            <v>2675918.2399999998</v>
          </cell>
          <cell r="AK93">
            <v>3623836.6999999993</v>
          </cell>
          <cell r="AL93">
            <v>4657991.8899999997</v>
          </cell>
          <cell r="AM93">
            <v>6074215.8399999999</v>
          </cell>
          <cell r="AN93">
            <v>6875392.7300000004</v>
          </cell>
          <cell r="AO93">
            <v>7596755.1199999982</v>
          </cell>
          <cell r="AP93">
            <v>7596755.1199999982</v>
          </cell>
          <cell r="AQ93">
            <v>7596755.1199999982</v>
          </cell>
          <cell r="AR93">
            <v>7596755.1199999982</v>
          </cell>
          <cell r="AS93">
            <v>7596755.1199999982</v>
          </cell>
          <cell r="AW93">
            <v>165567.01</v>
          </cell>
          <cell r="AX93">
            <v>255616.84</v>
          </cell>
          <cell r="AY93">
            <v>466611.8600000001</v>
          </cell>
          <cell r="AZ93">
            <v>697087.78</v>
          </cell>
          <cell r="BA93">
            <v>873983.83000000007</v>
          </cell>
          <cell r="BB93">
            <v>921151.75999999989</v>
          </cell>
          <cell r="BC93">
            <v>989922.87000000011</v>
          </cell>
          <cell r="BD93">
            <v>1095352.58</v>
          </cell>
          <cell r="BE93">
            <v>1095352.58</v>
          </cell>
          <cell r="BF93">
            <v>1095352.58</v>
          </cell>
          <cell r="BG93">
            <v>1095352.58</v>
          </cell>
          <cell r="BH93">
            <v>1095352.58</v>
          </cell>
          <cell r="BL93">
            <v>201096.91999999998</v>
          </cell>
          <cell r="BM93">
            <v>292892.52</v>
          </cell>
          <cell r="BN93">
            <v>305935.57</v>
          </cell>
          <cell r="BO93">
            <v>305807.18000000005</v>
          </cell>
          <cell r="BP93">
            <v>496065.56000000006</v>
          </cell>
          <cell r="BQ93">
            <v>864650.03999999992</v>
          </cell>
          <cell r="BR93">
            <v>968227.99999999988</v>
          </cell>
          <cell r="BS93">
            <v>1106285.0099999998</v>
          </cell>
          <cell r="BT93">
            <v>1106285.0099999998</v>
          </cell>
          <cell r="BU93">
            <v>1106285.0099999998</v>
          </cell>
          <cell r="BV93">
            <v>1106285.0099999998</v>
          </cell>
          <cell r="BW93">
            <v>1106285.0099999998</v>
          </cell>
          <cell r="CP93">
            <v>802147.47270399996</v>
          </cell>
          <cell r="CQ93">
            <v>1423427.5265600001</v>
          </cell>
          <cell r="CR93">
            <v>2527061.9173485711</v>
          </cell>
          <cell r="CS93">
            <v>3679554.3828571425</v>
          </cell>
          <cell r="CT93">
            <v>4412552.4142857138</v>
          </cell>
          <cell r="CU93">
            <v>5517302.3248571418</v>
          </cell>
          <cell r="CV93">
            <v>6673592.4114285707</v>
          </cell>
          <cell r="CW93">
            <v>7538595.4490476185</v>
          </cell>
          <cell r="DE93">
            <v>118113.40000000002</v>
          </cell>
          <cell r="DF93">
            <v>402821.01</v>
          </cell>
          <cell r="DG93">
            <v>506072.83999999997</v>
          </cell>
          <cell r="DH93">
            <v>709759.8600000001</v>
          </cell>
          <cell r="DI93">
            <v>862143.7799999998</v>
          </cell>
          <cell r="DJ93">
            <v>1024523.83</v>
          </cell>
          <cell r="DK93">
            <v>1037251.7599999999</v>
          </cell>
          <cell r="DL93">
            <v>1142622.8700000001</v>
          </cell>
          <cell r="DT93">
            <v>193477.50000000003</v>
          </cell>
          <cell r="DU93">
            <v>266772.92000000004</v>
          </cell>
          <cell r="DV93">
            <v>302454.38</v>
          </cell>
          <cell r="DW93">
            <v>338525.78</v>
          </cell>
          <cell r="DX93">
            <v>644861.13000000012</v>
          </cell>
          <cell r="DY93">
            <v>812287.2100000002</v>
          </cell>
          <cell r="DZ93">
            <v>1016190.44</v>
          </cell>
          <cell r="EA93">
            <v>1111416.7999999998</v>
          </cell>
          <cell r="EX93">
            <v>745864.43</v>
          </cell>
          <cell r="EY93">
            <v>1461683.5499999998</v>
          </cell>
          <cell r="EZ93">
            <v>2851875.6999999997</v>
          </cell>
          <cell r="FA93">
            <v>3619353.5000000005</v>
          </cell>
          <cell r="FB93">
            <v>4606192.38</v>
          </cell>
          <cell r="FC93">
            <v>5839695.5700000003</v>
          </cell>
          <cell r="FD93">
            <v>6186018.4300000006</v>
          </cell>
          <cell r="FE93">
            <v>6641563.6000000015</v>
          </cell>
          <cell r="FF93">
            <v>7162891.2700000005</v>
          </cell>
          <cell r="FG93">
            <v>7855942.1400000006</v>
          </cell>
          <cell r="FH93">
            <v>8548904.1900000013</v>
          </cell>
          <cell r="FI93">
            <v>9268597.3600000013</v>
          </cell>
          <cell r="FM93">
            <v>86321.24</v>
          </cell>
          <cell r="FN93">
            <v>153028.24</v>
          </cell>
          <cell r="FO93">
            <v>279795.67</v>
          </cell>
          <cell r="FP93">
            <v>334554.17</v>
          </cell>
          <cell r="FQ93">
            <v>362204.17</v>
          </cell>
          <cell r="FR93">
            <v>377816.67</v>
          </cell>
          <cell r="FS93">
            <v>398941.07</v>
          </cell>
          <cell r="FT93">
            <v>453603.07</v>
          </cell>
          <cell r="FU93">
            <v>540494.37</v>
          </cell>
          <cell r="FV93">
            <v>645168.27</v>
          </cell>
          <cell r="FW93">
            <v>733814.77</v>
          </cell>
          <cell r="FX93">
            <v>844310.83000000007</v>
          </cell>
          <cell r="GB93">
            <v>124532.41</v>
          </cell>
          <cell r="GC93">
            <v>304497.32</v>
          </cell>
          <cell r="GD93">
            <v>636907.13</v>
          </cell>
          <cell r="GE93">
            <v>872457.54</v>
          </cell>
          <cell r="GF93">
            <v>1170355.3600000001</v>
          </cell>
          <cell r="GG93">
            <v>1539578.46</v>
          </cell>
          <cell r="GH93">
            <v>1781757.6099999999</v>
          </cell>
          <cell r="GI93">
            <v>1967862.69</v>
          </cell>
          <cell r="GJ93">
            <v>2080031.2</v>
          </cell>
          <cell r="GK93">
            <v>2265250.56</v>
          </cell>
          <cell r="GL93">
            <v>2477074.34</v>
          </cell>
          <cell r="GM93">
            <v>2672219.1999999997</v>
          </cell>
        </row>
        <row r="95">
          <cell r="A95" t="str">
            <v>Labor - Direct</v>
          </cell>
          <cell r="C95">
            <v>2238.6351125000001</v>
          </cell>
          <cell r="D95">
            <v>0</v>
          </cell>
          <cell r="E95">
            <v>2238.6351125000001</v>
          </cell>
          <cell r="F95" t="str">
            <v>n/a</v>
          </cell>
          <cell r="G95">
            <v>2702.6631222065998</v>
          </cell>
          <cell r="H95">
            <v>2458.2588009999999</v>
          </cell>
          <cell r="J95">
            <v>1765.9043845000001</v>
          </cell>
          <cell r="K95">
            <v>0</v>
          </cell>
          <cell r="L95">
            <v>1765.9043845000001</v>
          </cell>
          <cell r="M95" t="str">
            <v>n/a</v>
          </cell>
          <cell r="N95">
            <v>2199.1375934891998</v>
          </cell>
          <cell r="O95">
            <v>1989.779411</v>
          </cell>
          <cell r="Q95">
            <v>240.29554400000004</v>
          </cell>
          <cell r="R95">
            <v>0</v>
          </cell>
          <cell r="S95">
            <v>240.29554400000004</v>
          </cell>
          <cell r="T95" t="str">
            <v>n/a</v>
          </cell>
          <cell r="U95">
            <v>249.60403251629998</v>
          </cell>
          <cell r="V95">
            <v>167.01347000000001</v>
          </cell>
          <cell r="X95">
            <v>232.43518400000002</v>
          </cell>
          <cell r="Y95">
            <v>0</v>
          </cell>
          <cell r="Z95">
            <v>232.43518400000002</v>
          </cell>
          <cell r="AA95" t="str">
            <v>n/a</v>
          </cell>
          <cell r="AB95">
            <v>253.92149620109998</v>
          </cell>
          <cell r="AC95">
            <v>301.46591999999998</v>
          </cell>
          <cell r="AD95">
            <v>3332.8038575398182</v>
          </cell>
          <cell r="AE95">
            <v>3267.4444009999997</v>
          </cell>
          <cell r="AH95">
            <v>212272.5</v>
          </cell>
          <cell r="AI95">
            <v>420364.72</v>
          </cell>
          <cell r="AJ95">
            <v>660909.30999999994</v>
          </cell>
          <cell r="AK95">
            <v>899285.72399999993</v>
          </cell>
          <cell r="AL95">
            <v>1146549.9439999999</v>
          </cell>
          <cell r="AM95">
            <v>1363744.7279999999</v>
          </cell>
          <cell r="AN95">
            <v>1556320.8185000001</v>
          </cell>
          <cell r="AO95">
            <v>1765904.3845000002</v>
          </cell>
          <cell r="AP95">
            <v>1765904.3845000002</v>
          </cell>
          <cell r="AQ95">
            <v>1765904.3845000002</v>
          </cell>
          <cell r="AR95">
            <v>1765904.3845000002</v>
          </cell>
          <cell r="AS95">
            <v>1765904.3845000002</v>
          </cell>
          <cell r="AW95">
            <v>31140.58</v>
          </cell>
          <cell r="AX95">
            <v>62879.41</v>
          </cell>
          <cell r="AY95">
            <v>97305.35</v>
          </cell>
          <cell r="AZ95">
            <v>124798.45800000001</v>
          </cell>
          <cell r="BA95">
            <v>164797.16800000001</v>
          </cell>
          <cell r="BB95">
            <v>185558.28600000002</v>
          </cell>
          <cell r="BC95">
            <v>212109.09200000003</v>
          </cell>
          <cell r="BD95">
            <v>240295.54400000002</v>
          </cell>
          <cell r="BE95">
            <v>240295.54400000002</v>
          </cell>
          <cell r="BF95">
            <v>240295.54400000002</v>
          </cell>
          <cell r="BG95">
            <v>240295.54400000002</v>
          </cell>
          <cell r="BH95">
            <v>240295.54400000002</v>
          </cell>
          <cell r="BL95">
            <v>30832.55</v>
          </cell>
          <cell r="BM95">
            <v>55119.41</v>
          </cell>
          <cell r="BN95">
            <v>84312.99</v>
          </cell>
          <cell r="BO95">
            <v>111836.308</v>
          </cell>
          <cell r="BP95">
            <v>144559.45800000001</v>
          </cell>
          <cell r="BQ95">
            <v>175155.28600000002</v>
          </cell>
          <cell r="BR95">
            <v>206970.29200000002</v>
          </cell>
          <cell r="BS95">
            <v>232435.18400000001</v>
          </cell>
          <cell r="BT95">
            <v>232435.18400000001</v>
          </cell>
          <cell r="BU95">
            <v>232435.18400000001</v>
          </cell>
          <cell r="BV95">
            <v>232435.18400000001</v>
          </cell>
          <cell r="BW95">
            <v>232435.18400000001</v>
          </cell>
          <cell r="CP95">
            <v>266340.6597448801</v>
          </cell>
          <cell r="CQ95">
            <v>432844.47494400002</v>
          </cell>
          <cell r="CR95">
            <v>679429.75962039991</v>
          </cell>
          <cell r="CS95">
            <v>930569.21376997</v>
          </cell>
          <cell r="CT95">
            <v>1193075.4815507999</v>
          </cell>
          <cell r="CU95">
            <v>1404418.7661115997</v>
          </cell>
          <cell r="CV95">
            <v>1586154.5698783998</v>
          </cell>
          <cell r="CW95">
            <v>1775465.6838014</v>
          </cell>
          <cell r="DE95">
            <v>39148.77563012769</v>
          </cell>
          <cell r="DF95">
            <v>63561.926277538463</v>
          </cell>
          <cell r="DG95">
            <v>95542.714711476932</v>
          </cell>
          <cell r="DH95">
            <v>122293.04076154077</v>
          </cell>
          <cell r="DI95">
            <v>157817.37809609232</v>
          </cell>
          <cell r="DJ95">
            <v>195027.34949910769</v>
          </cell>
          <cell r="DK95">
            <v>212709.63554264617</v>
          </cell>
          <cell r="DL95">
            <v>239965.89332287695</v>
          </cell>
          <cell r="DT95">
            <v>29949.71493654</v>
          </cell>
          <cell r="DU95">
            <v>55635.626552000002</v>
          </cell>
          <cell r="DV95">
            <v>84264.421623200004</v>
          </cell>
          <cell r="DW95">
            <v>114051.95856000001</v>
          </cell>
          <cell r="DX95">
            <v>145515.484</v>
          </cell>
          <cell r="DY95">
            <v>175310.01</v>
          </cell>
          <cell r="DZ95">
            <v>205285.78200000001</v>
          </cell>
          <cell r="EA95">
            <v>229559.88379960001</v>
          </cell>
          <cell r="EX95">
            <v>190244.77</v>
          </cell>
          <cell r="EY95">
            <v>404782.223</v>
          </cell>
          <cell r="EZ95">
            <v>674740.29099999997</v>
          </cell>
          <cell r="FA95">
            <v>890563.89099999995</v>
          </cell>
          <cell r="FB95">
            <v>1100747.551</v>
          </cell>
          <cell r="FC95">
            <v>1336176.281</v>
          </cell>
          <cell r="FD95">
            <v>1576137.811</v>
          </cell>
          <cell r="FE95">
            <v>1782091.9410000001</v>
          </cell>
          <cell r="FF95">
            <v>1989779.4110000001</v>
          </cell>
          <cell r="FG95">
            <v>2208987.7209999999</v>
          </cell>
          <cell r="FH95">
            <v>2438046.3759999997</v>
          </cell>
          <cell r="FI95">
            <v>2643765.9559999998</v>
          </cell>
          <cell r="FM95">
            <v>17083.2</v>
          </cell>
          <cell r="FN95">
            <v>32827.130000000005</v>
          </cell>
          <cell r="FO95">
            <v>57315.29</v>
          </cell>
          <cell r="FP95">
            <v>82962.790000000008</v>
          </cell>
          <cell r="FQ95">
            <v>101131.09000000001</v>
          </cell>
          <cell r="FR95">
            <v>123267.34000000001</v>
          </cell>
          <cell r="FS95">
            <v>139567.33000000002</v>
          </cell>
          <cell r="FT95">
            <v>155023.16</v>
          </cell>
          <cell r="FU95">
            <v>167013.47</v>
          </cell>
          <cell r="FV95">
            <v>181881.72</v>
          </cell>
          <cell r="FW95">
            <v>201012.587</v>
          </cell>
          <cell r="FX95">
            <v>228802.45699999999</v>
          </cell>
          <cell r="GB95">
            <v>29271.48</v>
          </cell>
          <cell r="GC95">
            <v>56686.28</v>
          </cell>
          <cell r="GD95">
            <v>96767.19</v>
          </cell>
          <cell r="GE95">
            <v>134557.24</v>
          </cell>
          <cell r="GF95">
            <v>172739.46</v>
          </cell>
          <cell r="GG95">
            <v>204979.65999999997</v>
          </cell>
          <cell r="GH95">
            <v>229612.50999999998</v>
          </cell>
          <cell r="GI95">
            <v>268428.37</v>
          </cell>
          <cell r="GJ95">
            <v>301465.92</v>
          </cell>
          <cell r="GK95">
            <v>336591.35</v>
          </cell>
          <cell r="GL95">
            <v>372145.39799999999</v>
          </cell>
          <cell r="GM95">
            <v>394875.98800000001</v>
          </cell>
        </row>
        <row r="96">
          <cell r="A96" t="str">
            <v>Labor - Supervisory Direct</v>
          </cell>
          <cell r="C96">
            <v>606.95680000000004</v>
          </cell>
          <cell r="D96">
            <v>0</v>
          </cell>
          <cell r="E96">
            <v>606.95680000000004</v>
          </cell>
          <cell r="F96" t="str">
            <v>n/a</v>
          </cell>
          <cell r="G96">
            <v>702.98723263859995</v>
          </cell>
          <cell r="H96">
            <v>667.66689000000008</v>
          </cell>
          <cell r="J96">
            <v>408.73747000000003</v>
          </cell>
          <cell r="K96">
            <v>0</v>
          </cell>
          <cell r="L96">
            <v>408.73747000000003</v>
          </cell>
          <cell r="M96" t="str">
            <v>n/a</v>
          </cell>
          <cell r="N96">
            <v>477.4275464049</v>
          </cell>
          <cell r="O96">
            <v>449.86238000000003</v>
          </cell>
          <cell r="Q96">
            <v>119.19114999999999</v>
          </cell>
          <cell r="R96">
            <v>0</v>
          </cell>
          <cell r="S96">
            <v>119.19114999999999</v>
          </cell>
          <cell r="T96" t="str">
            <v>n/a</v>
          </cell>
          <cell r="U96">
            <v>134.54437626630002</v>
          </cell>
          <cell r="V96">
            <v>127.67962</v>
          </cell>
          <cell r="X96">
            <v>79.028179999999992</v>
          </cell>
          <cell r="Y96">
            <v>0</v>
          </cell>
          <cell r="Z96">
            <v>79.028179999999992</v>
          </cell>
          <cell r="AA96" t="str">
            <v>n/a</v>
          </cell>
          <cell r="AB96">
            <v>91.0153099674</v>
          </cell>
          <cell r="AC96">
            <v>90.124890000000008</v>
          </cell>
          <cell r="AD96">
            <v>889.24860085216005</v>
          </cell>
          <cell r="AE96">
            <v>887.29453999999998</v>
          </cell>
          <cell r="AH96">
            <v>60614.49</v>
          </cell>
          <cell r="AI96">
            <v>109171.23</v>
          </cell>
          <cell r="AJ96">
            <v>168811.56</v>
          </cell>
          <cell r="AK96">
            <v>209536.01</v>
          </cell>
          <cell r="AL96">
            <v>268380.93</v>
          </cell>
          <cell r="AM96">
            <v>314365.94</v>
          </cell>
          <cell r="AN96">
            <v>362665.83</v>
          </cell>
          <cell r="AO96">
            <v>408737.47000000003</v>
          </cell>
          <cell r="AP96">
            <v>408737.47000000003</v>
          </cell>
          <cell r="AQ96">
            <v>408737.47000000003</v>
          </cell>
          <cell r="AR96">
            <v>408737.47000000003</v>
          </cell>
          <cell r="AS96">
            <v>408737.47000000003</v>
          </cell>
          <cell r="AW96">
            <v>15469.6</v>
          </cell>
          <cell r="AX96">
            <v>29301.35</v>
          </cell>
          <cell r="AY96">
            <v>44653.63</v>
          </cell>
          <cell r="AZ96">
            <v>59139.46</v>
          </cell>
          <cell r="BA96">
            <v>75121.759999999995</v>
          </cell>
          <cell r="BB96">
            <v>89607.59</v>
          </cell>
          <cell r="BC96">
            <v>103208.84999999999</v>
          </cell>
          <cell r="BD96">
            <v>119191.15</v>
          </cell>
          <cell r="BE96">
            <v>119191.15</v>
          </cell>
          <cell r="BF96">
            <v>119191.15</v>
          </cell>
          <cell r="BG96">
            <v>119191.15</v>
          </cell>
          <cell r="BH96">
            <v>119191.15</v>
          </cell>
          <cell r="BL96">
            <v>9520.7800000000007</v>
          </cell>
          <cell r="BM96">
            <v>17602.09</v>
          </cell>
          <cell r="BN96">
            <v>28201.190000000002</v>
          </cell>
          <cell r="BO96">
            <v>37915.64</v>
          </cell>
          <cell r="BP96">
            <v>48727.6</v>
          </cell>
          <cell r="BQ96">
            <v>57974.3</v>
          </cell>
          <cell r="BR96">
            <v>68216.22</v>
          </cell>
          <cell r="BS96">
            <v>79028.179999999993</v>
          </cell>
          <cell r="BT96">
            <v>79028.179999999993</v>
          </cell>
          <cell r="BU96">
            <v>79028.179999999993</v>
          </cell>
          <cell r="BV96">
            <v>79028.179999999993</v>
          </cell>
          <cell r="BW96">
            <v>79028.179999999993</v>
          </cell>
          <cell r="CP96">
            <v>56311.967011860012</v>
          </cell>
          <cell r="CQ96">
            <v>107249.65936799999</v>
          </cell>
          <cell r="CR96">
            <v>162801.67477320001</v>
          </cell>
          <cell r="CS96">
            <v>221967.31448798999</v>
          </cell>
          <cell r="CT96">
            <v>263692.48190359998</v>
          </cell>
          <cell r="CU96">
            <v>318113.74309080001</v>
          </cell>
          <cell r="CV96">
            <v>363097.2631328</v>
          </cell>
          <cell r="CW96">
            <v>413444.33350140002</v>
          </cell>
          <cell r="DE96">
            <v>15869.336687819998</v>
          </cell>
          <cell r="DF96">
            <v>28611.907815999999</v>
          </cell>
          <cell r="DG96">
            <v>48095.0039884</v>
          </cell>
          <cell r="DH96">
            <v>59488.009947309998</v>
          </cell>
          <cell r="DI96">
            <v>74253.1139884</v>
          </cell>
          <cell r="DJ96">
            <v>88921.183206799993</v>
          </cell>
          <cell r="DK96">
            <v>103129.1285888</v>
          </cell>
          <cell r="DL96">
            <v>117081.8308998</v>
          </cell>
          <cell r="DT96">
            <v>10735.139124359999</v>
          </cell>
          <cell r="DU96">
            <v>18411.164367999998</v>
          </cell>
          <cell r="DV96">
            <v>27826.032023200001</v>
          </cell>
          <cell r="DW96">
            <v>38236.211355380001</v>
          </cell>
          <cell r="DX96">
            <v>48139.582023199997</v>
          </cell>
          <cell r="DY96">
            <v>58062.503586399995</v>
          </cell>
          <cell r="DZ96">
            <v>67121.222822399999</v>
          </cell>
          <cell r="EA96">
            <v>77600.8832004</v>
          </cell>
          <cell r="EX96">
            <v>43520.23</v>
          </cell>
          <cell r="EY96">
            <v>91095.75</v>
          </cell>
          <cell r="EZ96">
            <v>146473.41999999998</v>
          </cell>
          <cell r="FA96">
            <v>192321.74</v>
          </cell>
          <cell r="FB96">
            <v>238631.3</v>
          </cell>
          <cell r="FC96">
            <v>291281.73</v>
          </cell>
          <cell r="FD96">
            <v>351373.38</v>
          </cell>
          <cell r="FE96">
            <v>399601.99</v>
          </cell>
          <cell r="FF96">
            <v>449862.38</v>
          </cell>
          <cell r="FG96">
            <v>498806.29000000004</v>
          </cell>
          <cell r="FH96">
            <v>549913.92000000004</v>
          </cell>
          <cell r="FI96">
            <v>597512.75</v>
          </cell>
          <cell r="FM96">
            <v>12713.2</v>
          </cell>
          <cell r="FN96">
            <v>23855.370000000003</v>
          </cell>
          <cell r="FO96">
            <v>39232.14</v>
          </cell>
          <cell r="FP96">
            <v>53963.369999999995</v>
          </cell>
          <cell r="FQ96">
            <v>66230.599999999991</v>
          </cell>
          <cell r="FR96">
            <v>82944.289999999994</v>
          </cell>
          <cell r="FS96">
            <v>95933.28</v>
          </cell>
          <cell r="FT96">
            <v>113430.09</v>
          </cell>
          <cell r="FU96">
            <v>127679.62</v>
          </cell>
          <cell r="FV96">
            <v>142510.38999999998</v>
          </cell>
          <cell r="FW96">
            <v>156895</v>
          </cell>
          <cell r="FX96">
            <v>170308.88</v>
          </cell>
          <cell r="GB96">
            <v>13559.35</v>
          </cell>
          <cell r="GC96">
            <v>20816.060000000001</v>
          </cell>
          <cell r="GD96">
            <v>31241.910000000003</v>
          </cell>
          <cell r="GE96">
            <v>41919.270000000004</v>
          </cell>
          <cell r="GF96">
            <v>50678.880000000005</v>
          </cell>
          <cell r="GG96">
            <v>60397.020000000004</v>
          </cell>
          <cell r="GH96">
            <v>68024.23000000001</v>
          </cell>
          <cell r="GI96">
            <v>79973.100000000006</v>
          </cell>
          <cell r="GJ96">
            <v>90124.890000000014</v>
          </cell>
          <cell r="GK96">
            <v>100668.03000000001</v>
          </cell>
          <cell r="GL96">
            <v>110398.81000000001</v>
          </cell>
          <cell r="GM96">
            <v>119472.91000000002</v>
          </cell>
        </row>
        <row r="97">
          <cell r="A97" t="str">
            <v>Labor - Indirect</v>
          </cell>
          <cell r="C97">
            <v>736.76733000000002</v>
          </cell>
          <cell r="D97">
            <v>0</v>
          </cell>
          <cell r="E97">
            <v>736.76733000000002</v>
          </cell>
          <cell r="F97" t="str">
            <v>n/a</v>
          </cell>
          <cell r="G97">
            <v>903.90689804645319</v>
          </cell>
          <cell r="H97">
            <v>527.77431999999999</v>
          </cell>
          <cell r="J97">
            <v>328.58877000000001</v>
          </cell>
          <cell r="K97">
            <v>0</v>
          </cell>
          <cell r="L97">
            <v>328.58877000000001</v>
          </cell>
          <cell r="M97" t="str">
            <v>n/a</v>
          </cell>
          <cell r="N97">
            <v>444.78081992234326</v>
          </cell>
          <cell r="O97">
            <v>218.44875999999999</v>
          </cell>
          <cell r="Q97">
            <v>110.53644</v>
          </cell>
          <cell r="R97">
            <v>0</v>
          </cell>
          <cell r="S97">
            <v>110.53644</v>
          </cell>
          <cell r="T97" t="str">
            <v>n/a</v>
          </cell>
          <cell r="U97">
            <v>122.96622068036996</v>
          </cell>
          <cell r="V97">
            <v>10.391029999999999</v>
          </cell>
          <cell r="X97">
            <v>297.64211999999998</v>
          </cell>
          <cell r="Y97">
            <v>0</v>
          </cell>
          <cell r="Z97">
            <v>297.64211999999998</v>
          </cell>
          <cell r="AA97" t="str">
            <v>n/a</v>
          </cell>
          <cell r="AB97">
            <v>336.15985744373995</v>
          </cell>
          <cell r="AC97">
            <v>298.93453</v>
          </cell>
          <cell r="AD97">
            <v>1056.3430772880454</v>
          </cell>
          <cell r="AE97">
            <v>772.35941999999989</v>
          </cell>
          <cell r="AH97">
            <v>46514.11</v>
          </cell>
          <cell r="AI97">
            <v>83092.850000000006</v>
          </cell>
          <cell r="AJ97">
            <v>129500.57</v>
          </cell>
          <cell r="AK97">
            <v>161329.59000000003</v>
          </cell>
          <cell r="AL97">
            <v>197120.84000000003</v>
          </cell>
          <cell r="AM97">
            <v>244611.39</v>
          </cell>
          <cell r="AN97">
            <v>297487.71000000002</v>
          </cell>
          <cell r="AO97">
            <v>328588.77</v>
          </cell>
          <cell r="AP97">
            <v>328588.77</v>
          </cell>
          <cell r="AQ97">
            <v>328588.77</v>
          </cell>
          <cell r="AR97">
            <v>328588.77</v>
          </cell>
          <cell r="AS97">
            <v>328588.77</v>
          </cell>
          <cell r="AW97">
            <v>8455.6899999999987</v>
          </cell>
          <cell r="AX97">
            <v>16640.16</v>
          </cell>
          <cell r="AY97">
            <v>28833.629999999997</v>
          </cell>
          <cell r="AZ97">
            <v>48183.06</v>
          </cell>
          <cell r="BA97">
            <v>73940.09</v>
          </cell>
          <cell r="BB97">
            <v>87244.45</v>
          </cell>
          <cell r="BC97">
            <v>98387.51</v>
          </cell>
          <cell r="BD97">
            <v>110536.44</v>
          </cell>
          <cell r="BE97">
            <v>110536.44</v>
          </cell>
          <cell r="BF97">
            <v>110536.44</v>
          </cell>
          <cell r="BG97">
            <v>110536.44</v>
          </cell>
          <cell r="BH97">
            <v>110536.44</v>
          </cell>
          <cell r="BL97">
            <v>33468.840000000004</v>
          </cell>
          <cell r="BM97">
            <v>68405.540000000008</v>
          </cell>
          <cell r="BN97">
            <v>108073.96</v>
          </cell>
          <cell r="BO97">
            <v>151281.35</v>
          </cell>
          <cell r="BP97">
            <v>195044.25</v>
          </cell>
          <cell r="BQ97">
            <v>232353.33</v>
          </cell>
          <cell r="BR97">
            <v>263527.18</v>
          </cell>
          <cell r="BS97">
            <v>297642.12</v>
          </cell>
          <cell r="BT97">
            <v>297642.12</v>
          </cell>
          <cell r="BU97">
            <v>297642.12</v>
          </cell>
          <cell r="BV97">
            <v>297642.12</v>
          </cell>
          <cell r="BW97">
            <v>297642.12</v>
          </cell>
          <cell r="CP97">
            <v>46728.017329108596</v>
          </cell>
          <cell r="CQ97">
            <v>82757.18356385667</v>
          </cell>
          <cell r="CR97">
            <v>134499.62105167404</v>
          </cell>
          <cell r="CS97">
            <v>168500.38375752297</v>
          </cell>
          <cell r="CT97">
            <v>201643.06061450572</v>
          </cell>
          <cell r="CU97">
            <v>233928.79143063567</v>
          </cell>
          <cell r="CV97">
            <v>280795.13476054568</v>
          </cell>
          <cell r="CW97">
            <v>334871.22730840329</v>
          </cell>
          <cell r="DE97">
            <v>14375.502952043633</v>
          </cell>
          <cell r="DF97">
            <v>20828.757879051802</v>
          </cell>
          <cell r="DG97">
            <v>34386.840324819641</v>
          </cell>
          <cell r="DH97">
            <v>44421.025547139056</v>
          </cell>
          <cell r="DI97">
            <v>64117.06841942489</v>
          </cell>
          <cell r="DJ97">
            <v>88669.691890199538</v>
          </cell>
          <cell r="DK97">
            <v>101715.37294369085</v>
          </cell>
          <cell r="DL97">
            <v>113179.19394697537</v>
          </cell>
          <cell r="DT97">
            <v>39649.624211312919</v>
          </cell>
          <cell r="DU97">
            <v>66302.860095338197</v>
          </cell>
          <cell r="DV97">
            <v>109706.22430129227</v>
          </cell>
          <cell r="DW97">
            <v>148105.33988787132</v>
          </cell>
          <cell r="DX97">
            <v>192151.78878740274</v>
          </cell>
          <cell r="DY97">
            <v>232360.73758849816</v>
          </cell>
          <cell r="DZ97">
            <v>261480.96399149683</v>
          </cell>
          <cell r="EA97">
            <v>290759.52575075463</v>
          </cell>
          <cell r="EX97">
            <v>20932.48</v>
          </cell>
          <cell r="EY97">
            <v>45146.19</v>
          </cell>
          <cell r="EZ97">
            <v>71860.600000000006</v>
          </cell>
          <cell r="FA97">
            <v>94455.670000000013</v>
          </cell>
          <cell r="FB97">
            <v>117555.34000000001</v>
          </cell>
          <cell r="FC97">
            <v>142612.47</v>
          </cell>
          <cell r="FD97">
            <v>169337.86</v>
          </cell>
          <cell r="FE97">
            <v>195081.88999999998</v>
          </cell>
          <cell r="FF97">
            <v>218448.75999999998</v>
          </cell>
          <cell r="FG97">
            <v>241568.93999999997</v>
          </cell>
          <cell r="FH97">
            <v>271893.00999999995</v>
          </cell>
          <cell r="FI97">
            <v>306405.36999999994</v>
          </cell>
          <cell r="FM97">
            <v>293.22000000000003</v>
          </cell>
          <cell r="FN97">
            <v>550.21</v>
          </cell>
          <cell r="FO97">
            <v>904.87000000000012</v>
          </cell>
          <cell r="FP97">
            <v>1223.0800000000002</v>
          </cell>
          <cell r="FQ97">
            <v>1526.5800000000002</v>
          </cell>
          <cell r="FR97">
            <v>1893.15</v>
          </cell>
          <cell r="FS97">
            <v>2168.3200000000002</v>
          </cell>
          <cell r="FT97">
            <v>2757.04</v>
          </cell>
          <cell r="FU97">
            <v>10391.029999999999</v>
          </cell>
          <cell r="FV97">
            <v>21607.89</v>
          </cell>
          <cell r="FW97">
            <v>32487.33</v>
          </cell>
          <cell r="FX97">
            <v>42632.58</v>
          </cell>
          <cell r="GB97">
            <v>29533.279999999999</v>
          </cell>
          <cell r="GC97">
            <v>55048.72</v>
          </cell>
          <cell r="GD97">
            <v>91806.989999999991</v>
          </cell>
          <cell r="GE97">
            <v>129451.97</v>
          </cell>
          <cell r="GF97">
            <v>160335.56</v>
          </cell>
          <cell r="GG97">
            <v>196957.2</v>
          </cell>
          <cell r="GH97">
            <v>219670.71000000002</v>
          </cell>
          <cell r="GI97">
            <v>262690.12</v>
          </cell>
          <cell r="GJ97">
            <v>298934.52999999997</v>
          </cell>
          <cell r="GK97">
            <v>345182.55999999994</v>
          </cell>
          <cell r="GL97">
            <v>388344.66999999993</v>
          </cell>
          <cell r="GM97">
            <v>423321.46999999991</v>
          </cell>
        </row>
        <row r="98">
          <cell r="A98" t="str">
            <v>Overtime</v>
          </cell>
          <cell r="C98">
            <v>407.72921749999989</v>
          </cell>
          <cell r="D98">
            <v>0</v>
          </cell>
          <cell r="E98">
            <v>407.72921749999989</v>
          </cell>
          <cell r="F98" t="str">
            <v>n/a</v>
          </cell>
          <cell r="G98">
            <v>259.95611694359769</v>
          </cell>
          <cell r="H98">
            <v>326.07736899999998</v>
          </cell>
          <cell r="J98">
            <v>398.99609549999991</v>
          </cell>
          <cell r="K98">
            <v>0</v>
          </cell>
          <cell r="L98">
            <v>398.99609549999991</v>
          </cell>
          <cell r="M98" t="str">
            <v>n/a</v>
          </cell>
          <cell r="N98">
            <v>254.82980127625154</v>
          </cell>
          <cell r="O98">
            <v>307.69748899999996</v>
          </cell>
          <cell r="Q98">
            <v>7.0784659999999997</v>
          </cell>
          <cell r="R98">
            <v>0</v>
          </cell>
          <cell r="S98">
            <v>7.0784659999999997</v>
          </cell>
          <cell r="T98" t="str">
            <v>n/a</v>
          </cell>
          <cell r="U98">
            <v>3.5410753664566865</v>
          </cell>
          <cell r="V98">
            <v>14.237190000000002</v>
          </cell>
          <cell r="X98">
            <v>1.6546559999999999</v>
          </cell>
          <cell r="Y98">
            <v>0</v>
          </cell>
          <cell r="Z98">
            <v>1.6546559999999999</v>
          </cell>
          <cell r="AA98" t="str">
            <v>n/a</v>
          </cell>
          <cell r="AB98">
            <v>1.5852403008894269</v>
          </cell>
          <cell r="AC98">
            <v>4.14269</v>
          </cell>
          <cell r="AD98">
            <v>462.28888903322832</v>
          </cell>
          <cell r="AE98">
            <v>411.16758899999996</v>
          </cell>
          <cell r="AH98">
            <v>14632.41</v>
          </cell>
          <cell r="AI98">
            <v>50613.39</v>
          </cell>
          <cell r="AJ98">
            <v>145535.27000000002</v>
          </cell>
          <cell r="AK98">
            <v>218588.74600000004</v>
          </cell>
          <cell r="AL98">
            <v>320527.64600000007</v>
          </cell>
          <cell r="AM98">
            <v>372502.89200000005</v>
          </cell>
          <cell r="AN98">
            <v>377848.02149999997</v>
          </cell>
          <cell r="AO98">
            <v>398996.09549999994</v>
          </cell>
          <cell r="AP98">
            <v>398996.09549999994</v>
          </cell>
          <cell r="AQ98">
            <v>398996.09549999994</v>
          </cell>
          <cell r="AR98">
            <v>398996.09549999994</v>
          </cell>
          <cell r="AS98">
            <v>398996.09549999994</v>
          </cell>
          <cell r="AW98">
            <v>207.51</v>
          </cell>
          <cell r="AX98">
            <v>1586</v>
          </cell>
          <cell r="AY98">
            <v>4929.8600000000006</v>
          </cell>
          <cell r="AZ98">
            <v>5259.7520000000004</v>
          </cell>
          <cell r="BA98">
            <v>6729.0120000000006</v>
          </cell>
          <cell r="BB98">
            <v>7098.1140000000005</v>
          </cell>
          <cell r="BC98">
            <v>7011.0879999999997</v>
          </cell>
          <cell r="BD98">
            <v>7078.4659999999994</v>
          </cell>
          <cell r="BE98">
            <v>7078.4659999999994</v>
          </cell>
          <cell r="BF98">
            <v>7078.4659999999994</v>
          </cell>
          <cell r="BG98">
            <v>7078.4659999999994</v>
          </cell>
          <cell r="BH98">
            <v>7078.4659999999994</v>
          </cell>
          <cell r="BL98">
            <v>0</v>
          </cell>
          <cell r="BM98">
            <v>284.52</v>
          </cell>
          <cell r="BN98">
            <v>655.8</v>
          </cell>
          <cell r="BO98">
            <v>888.79199999999992</v>
          </cell>
          <cell r="BP98">
            <v>1194.4119999999998</v>
          </cell>
          <cell r="BQ98">
            <v>1418.3339999999998</v>
          </cell>
          <cell r="BR98">
            <v>1525.9379999999999</v>
          </cell>
          <cell r="BS98">
            <v>1654.6559999999999</v>
          </cell>
          <cell r="BT98">
            <v>1654.6559999999999</v>
          </cell>
          <cell r="BU98">
            <v>1654.6559999999999</v>
          </cell>
          <cell r="BV98">
            <v>1654.6559999999999</v>
          </cell>
          <cell r="BW98">
            <v>1654.6559999999999</v>
          </cell>
          <cell r="CP98">
            <v>22978.89824820037</v>
          </cell>
          <cell r="CQ98">
            <v>64731.898411714224</v>
          </cell>
          <cell r="CR98">
            <v>121056.39269267143</v>
          </cell>
          <cell r="CS98">
            <v>190235.36367973045</v>
          </cell>
          <cell r="CT98">
            <v>258382.80720777667</v>
          </cell>
          <cell r="CU98">
            <v>385135.133347422</v>
          </cell>
          <cell r="CV98">
            <v>397785.27393979923</v>
          </cell>
          <cell r="CW98">
            <v>413270.46163464943</v>
          </cell>
          <cell r="DE98">
            <v>465.08420710336247</v>
          </cell>
          <cell r="DF98">
            <v>645.47198356421904</v>
          </cell>
          <cell r="DG98">
            <v>2732.6900934493792</v>
          </cell>
          <cell r="DH98">
            <v>5366.0080502164128</v>
          </cell>
          <cell r="DI98">
            <v>5874.4673149360533</v>
          </cell>
          <cell r="DJ98">
            <v>7360.2811929248073</v>
          </cell>
          <cell r="DK98">
            <v>7334.9436378238706</v>
          </cell>
          <cell r="DL98">
            <v>7281.3707173862704</v>
          </cell>
          <cell r="DT98">
            <v>271.52627328947096</v>
          </cell>
          <cell r="DU98">
            <v>245.32318624608632</v>
          </cell>
          <cell r="DV98">
            <v>680.95035245276858</v>
          </cell>
          <cell r="DW98">
            <v>1079.0010057397828</v>
          </cell>
          <cell r="DX98">
            <v>1252.6503620586504</v>
          </cell>
          <cell r="DY98">
            <v>1568.0688277619706</v>
          </cell>
          <cell r="DZ98">
            <v>1648.0771629052695</v>
          </cell>
          <cell r="EA98">
            <v>1788.8061881483836</v>
          </cell>
          <cell r="EX98">
            <v>28671.57</v>
          </cell>
          <cell r="EY98">
            <v>63087.457000000002</v>
          </cell>
          <cell r="EZ98">
            <v>137804.43900000001</v>
          </cell>
          <cell r="FA98">
            <v>187572.55900000001</v>
          </cell>
          <cell r="FB98">
            <v>225253.829</v>
          </cell>
          <cell r="FC98">
            <v>238151.62899999999</v>
          </cell>
          <cell r="FD98">
            <v>256198.17899999997</v>
          </cell>
          <cell r="FE98">
            <v>274840.07899999997</v>
          </cell>
          <cell r="FF98">
            <v>307697.48899999994</v>
          </cell>
          <cell r="FG98">
            <v>352489.47899999993</v>
          </cell>
          <cell r="FH98">
            <v>382258.09399999992</v>
          </cell>
          <cell r="FI98">
            <v>388750.11399999994</v>
          </cell>
          <cell r="FM98">
            <v>1718.37</v>
          </cell>
          <cell r="FN98">
            <v>3799.77</v>
          </cell>
          <cell r="FO98">
            <v>8040.7800000000007</v>
          </cell>
          <cell r="FP98">
            <v>9222.2200000000012</v>
          </cell>
          <cell r="FQ98">
            <v>10103.480000000001</v>
          </cell>
          <cell r="FR98">
            <v>11281.680000000002</v>
          </cell>
          <cell r="FS98">
            <v>11780.400000000001</v>
          </cell>
          <cell r="FT98">
            <v>12584.570000000002</v>
          </cell>
          <cell r="FU98">
            <v>14237.190000000002</v>
          </cell>
          <cell r="FV98">
            <v>15775.440000000002</v>
          </cell>
          <cell r="FW98">
            <v>16746.213000000003</v>
          </cell>
          <cell r="FX98">
            <v>16952.243000000002</v>
          </cell>
          <cell r="GB98">
            <v>850.23</v>
          </cell>
          <cell r="GC98">
            <v>1167.3499999999999</v>
          </cell>
          <cell r="GD98">
            <v>1528.4099999999999</v>
          </cell>
          <cell r="GE98">
            <v>1857.7099999999998</v>
          </cell>
          <cell r="GF98">
            <v>2146.54</v>
          </cell>
          <cell r="GG98">
            <v>2649.12</v>
          </cell>
          <cell r="GH98">
            <v>2819.19</v>
          </cell>
          <cell r="GI98">
            <v>3614.6</v>
          </cell>
          <cell r="GJ98">
            <v>4142.6899999999996</v>
          </cell>
          <cell r="GK98">
            <v>4776.4399999999996</v>
          </cell>
          <cell r="GL98">
            <v>5197.7919999999995</v>
          </cell>
          <cell r="GM98">
            <v>5465.2319999999991</v>
          </cell>
        </row>
        <row r="99">
          <cell r="A99" t="str">
            <v>Payroll Taxes &amp; Employee Benefits</v>
          </cell>
          <cell r="C99">
            <v>503.61118999999997</v>
          </cell>
          <cell r="D99">
            <v>0</v>
          </cell>
          <cell r="E99">
            <v>503.61118999999997</v>
          </cell>
          <cell r="F99" t="str">
            <v>n/a</v>
          </cell>
          <cell r="G99">
            <v>649.44950978563293</v>
          </cell>
          <cell r="H99">
            <v>502.18691108473297</v>
          </cell>
          <cell r="J99">
            <v>382.66976</v>
          </cell>
          <cell r="K99">
            <v>0</v>
          </cell>
          <cell r="L99">
            <v>382.66976</v>
          </cell>
          <cell r="M99" t="str">
            <v>n/a</v>
          </cell>
          <cell r="N99">
            <v>491.10166991124947</v>
          </cell>
          <cell r="O99">
            <v>387.57081637352098</v>
          </cell>
          <cell r="Q99">
            <v>50.6004</v>
          </cell>
          <cell r="R99">
            <v>0</v>
          </cell>
          <cell r="S99">
            <v>50.6004</v>
          </cell>
          <cell r="T99" t="str">
            <v>n/a</v>
          </cell>
          <cell r="U99">
            <v>67.253687190347364</v>
          </cell>
          <cell r="V99">
            <v>38.275396555033709</v>
          </cell>
          <cell r="X99">
            <v>70.341029999999989</v>
          </cell>
          <cell r="Y99">
            <v>0</v>
          </cell>
          <cell r="Z99">
            <v>70.341029999999989</v>
          </cell>
          <cell r="AA99" t="str">
            <v>n/a</v>
          </cell>
          <cell r="AB99">
            <v>91.094152684036032</v>
          </cell>
          <cell r="AC99">
            <v>76.340698156178291</v>
          </cell>
          <cell r="AD99">
            <v>755.35887703209721</v>
          </cell>
          <cell r="AE99">
            <v>656.79798806825681</v>
          </cell>
          <cell r="AH99">
            <v>59501.070000000007</v>
          </cell>
          <cell r="AI99">
            <v>105240.25</v>
          </cell>
          <cell r="AJ99">
            <v>157463.6</v>
          </cell>
          <cell r="AK99">
            <v>206536.1</v>
          </cell>
          <cell r="AL99">
            <v>258437.57</v>
          </cell>
          <cell r="AM99">
            <v>303103.17</v>
          </cell>
          <cell r="AN99">
            <v>341652.86</v>
          </cell>
          <cell r="AO99">
            <v>382669.76</v>
          </cell>
          <cell r="AP99">
            <v>382669.76</v>
          </cell>
          <cell r="AQ99">
            <v>382669.76</v>
          </cell>
          <cell r="AR99">
            <v>382669.76</v>
          </cell>
          <cell r="AS99">
            <v>382669.76</v>
          </cell>
          <cell r="AW99">
            <v>6806.09</v>
          </cell>
          <cell r="AX99">
            <v>13378.24</v>
          </cell>
          <cell r="AY99">
            <v>21048.66</v>
          </cell>
          <cell r="AZ99">
            <v>26292.77</v>
          </cell>
          <cell r="BA99">
            <v>33518.589999999997</v>
          </cell>
          <cell r="BB99">
            <v>39352.82</v>
          </cell>
          <cell r="BC99">
            <v>44717.83</v>
          </cell>
          <cell r="BD99">
            <v>50600.4</v>
          </cell>
          <cell r="BE99">
            <v>50600.4</v>
          </cell>
          <cell r="BF99">
            <v>50600.4</v>
          </cell>
          <cell r="BG99">
            <v>50600.4</v>
          </cell>
          <cell r="BH99">
            <v>50600.4</v>
          </cell>
          <cell r="BL99">
            <v>10730.49</v>
          </cell>
          <cell r="BM99">
            <v>19220.03</v>
          </cell>
          <cell r="BN99">
            <v>28127.719999999998</v>
          </cell>
          <cell r="BO99">
            <v>36056.039999999994</v>
          </cell>
          <cell r="BP99">
            <v>45532.409999999989</v>
          </cell>
          <cell r="BQ99">
            <v>53836.76999999999</v>
          </cell>
          <cell r="BR99">
            <v>61516.079999999987</v>
          </cell>
          <cell r="BS99">
            <v>70341.029999999984</v>
          </cell>
          <cell r="BT99">
            <v>70341.029999999984</v>
          </cell>
          <cell r="BU99">
            <v>70341.029999999984</v>
          </cell>
          <cell r="BV99">
            <v>70341.029999999984</v>
          </cell>
          <cell r="BW99">
            <v>70341.029999999984</v>
          </cell>
          <cell r="CP99">
            <v>56704.884523641012</v>
          </cell>
          <cell r="CQ99">
            <v>111986.90021115771</v>
          </cell>
          <cell r="CR99">
            <v>165940.25762509304</v>
          </cell>
          <cell r="CS99">
            <v>214562.27987283058</v>
          </cell>
          <cell r="CT99">
            <v>266654.24145761918</v>
          </cell>
          <cell r="CU99">
            <v>315754.47878614889</v>
          </cell>
          <cell r="CV99">
            <v>355159.59017038078</v>
          </cell>
          <cell r="CW99">
            <v>394450.73859030136</v>
          </cell>
          <cell r="DE99">
            <v>9140.5098906585335</v>
          </cell>
          <cell r="DF99">
            <v>14772.768926910521</v>
          </cell>
          <cell r="DG99">
            <v>22560.310566194436</v>
          </cell>
          <cell r="DH99">
            <v>28116.91495054683</v>
          </cell>
          <cell r="DI99">
            <v>34566.667753786016</v>
          </cell>
          <cell r="DJ99">
            <v>41249.836943617047</v>
          </cell>
          <cell r="DK99">
            <v>47079.546807772342</v>
          </cell>
          <cell r="DL99">
            <v>52711.5367177796</v>
          </cell>
          <cell r="DT99">
            <v>10597.707022100672</v>
          </cell>
          <cell r="DU99">
            <v>19912.143888280982</v>
          </cell>
          <cell r="DV99">
            <v>29860.1293883982</v>
          </cell>
          <cell r="DW99">
            <v>38462.7315575959</v>
          </cell>
          <cell r="DX99">
            <v>47046.453903878384</v>
          </cell>
          <cell r="DY99">
            <v>55768.154131734293</v>
          </cell>
          <cell r="DZ99">
            <v>63714.220899614389</v>
          </cell>
          <cell r="EA99">
            <v>70178.474707756308</v>
          </cell>
          <cell r="EX99">
            <v>45025.25331054502</v>
          </cell>
          <cell r="EY99">
            <v>89215.118497633783</v>
          </cell>
          <cell r="EZ99">
            <v>141463.89145035343</v>
          </cell>
          <cell r="FA99">
            <v>187112.44361719524</v>
          </cell>
          <cell r="FB99">
            <v>225984.68866094342</v>
          </cell>
          <cell r="FC99">
            <v>273997.72009880241</v>
          </cell>
          <cell r="FD99">
            <v>316345.1661980853</v>
          </cell>
          <cell r="FE99">
            <v>355554.2425826785</v>
          </cell>
          <cell r="FF99">
            <v>387570.816373521</v>
          </cell>
          <cell r="FG99">
            <v>429176.01106038789</v>
          </cell>
          <cell r="FH99">
            <v>469431.36885167763</v>
          </cell>
          <cell r="FI99">
            <v>505587.7659741891</v>
          </cell>
          <cell r="FM99">
            <v>4355.4329825899758</v>
          </cell>
          <cell r="FN99">
            <v>8684.1728266696955</v>
          </cell>
          <cell r="FO99">
            <v>13611.917069378393</v>
          </cell>
          <cell r="FP99">
            <v>17660.589087938919</v>
          </cell>
          <cell r="FQ99">
            <v>21089.75178055136</v>
          </cell>
          <cell r="FR99">
            <v>26642.446771627547</v>
          </cell>
          <cell r="FS99">
            <v>30915.006085603156</v>
          </cell>
          <cell r="FT99">
            <v>34319.99224822929</v>
          </cell>
          <cell r="FU99">
            <v>38275.396555033709</v>
          </cell>
          <cell r="FV99">
            <v>42469.904151934876</v>
          </cell>
          <cell r="FW99">
            <v>46845.305148374428</v>
          </cell>
          <cell r="FX99">
            <v>52642.992431588995</v>
          </cell>
          <cell r="GB99">
            <v>9130.3787057288155</v>
          </cell>
          <cell r="GC99">
            <v>17686.089952432616</v>
          </cell>
          <cell r="GD99">
            <v>27312.40679372639</v>
          </cell>
          <cell r="GE99">
            <v>34413.407339803896</v>
          </cell>
          <cell r="GF99">
            <v>42491.457255139831</v>
          </cell>
          <cell r="GG99">
            <v>53518.497267598694</v>
          </cell>
          <cell r="GH99">
            <v>62771.086277235838</v>
          </cell>
          <cell r="GI99">
            <v>69982.232228070148</v>
          </cell>
          <cell r="GJ99">
            <v>76340.698156178289</v>
          </cell>
          <cell r="GK99">
            <v>83667.050046752847</v>
          </cell>
          <cell r="GL99">
            <v>91902.243186503852</v>
          </cell>
          <cell r="GM99">
            <v>98567.229662478727</v>
          </cell>
        </row>
        <row r="100">
          <cell r="A100" t="str">
            <v>Other Cost of Sales</v>
          </cell>
          <cell r="C100">
            <v>855.85079000000007</v>
          </cell>
          <cell r="D100">
            <v>0</v>
          </cell>
          <cell r="E100">
            <v>855.85079000000007</v>
          </cell>
          <cell r="F100" t="str">
            <v>n/a</v>
          </cell>
          <cell r="G100">
            <v>1077.858997673964</v>
          </cell>
          <cell r="H100">
            <v>897.39625099999989</v>
          </cell>
          <cell r="J100">
            <v>665.2003370000001</v>
          </cell>
          <cell r="K100">
            <v>0</v>
          </cell>
          <cell r="L100">
            <v>665.2003370000001</v>
          </cell>
          <cell r="M100" t="str">
            <v>n/a</v>
          </cell>
          <cell r="N100">
            <v>827.45623867373774</v>
          </cell>
          <cell r="O100">
            <v>734.36892099999989</v>
          </cell>
          <cell r="Q100">
            <v>105.30198300000001</v>
          </cell>
          <cell r="R100">
            <v>0</v>
          </cell>
          <cell r="S100">
            <v>105.30198300000001</v>
          </cell>
          <cell r="T100" t="str">
            <v>n/a</v>
          </cell>
          <cell r="U100">
            <v>138.3636388482856</v>
          </cell>
          <cell r="V100">
            <v>16.553349999999998</v>
          </cell>
          <cell r="X100">
            <v>85.348470000000006</v>
          </cell>
          <cell r="Y100">
            <v>0</v>
          </cell>
          <cell r="Z100">
            <v>85.348470000000006</v>
          </cell>
          <cell r="AA100" t="str">
            <v>n/a</v>
          </cell>
          <cell r="AB100">
            <v>112.03912015194061</v>
          </cell>
          <cell r="AC100">
            <v>146.47397999999998</v>
          </cell>
          <cell r="AD100">
            <v>1318.5819820000002</v>
          </cell>
          <cell r="AE100">
            <v>1234.9669209999997</v>
          </cell>
          <cell r="AH100">
            <v>65114.654999999999</v>
          </cell>
          <cell r="AI100">
            <v>140625.435</v>
          </cell>
          <cell r="AJ100">
            <v>231361.946</v>
          </cell>
          <cell r="AK100">
            <v>300596.45699999999</v>
          </cell>
          <cell r="AL100">
            <v>379562.462</v>
          </cell>
          <cell r="AM100">
            <v>479889.00699999998</v>
          </cell>
          <cell r="AN100">
            <v>595316.799</v>
          </cell>
          <cell r="AO100">
            <v>665200.33700000006</v>
          </cell>
          <cell r="AP100">
            <v>665200.33700000006</v>
          </cell>
          <cell r="AQ100">
            <v>665200.33700000006</v>
          </cell>
          <cell r="AR100">
            <v>665200.33700000006</v>
          </cell>
          <cell r="AS100">
            <v>665200.33700000006</v>
          </cell>
          <cell r="AW100">
            <v>12834.455</v>
          </cell>
          <cell r="AX100">
            <v>25289.044999999998</v>
          </cell>
          <cell r="AY100">
            <v>33470.023999999998</v>
          </cell>
          <cell r="AZ100">
            <v>48257.352999999996</v>
          </cell>
          <cell r="BA100">
            <v>60951.967999999993</v>
          </cell>
          <cell r="BB100">
            <v>77105.192999999999</v>
          </cell>
          <cell r="BC100">
            <v>92795.611000000004</v>
          </cell>
          <cell r="BD100">
            <v>105301.98300000001</v>
          </cell>
          <cell r="BE100">
            <v>105301.98300000001</v>
          </cell>
          <cell r="BF100">
            <v>105301.98300000001</v>
          </cell>
          <cell r="BG100">
            <v>105301.98300000001</v>
          </cell>
          <cell r="BH100">
            <v>105301.98300000001</v>
          </cell>
          <cell r="BL100">
            <v>10009.16</v>
          </cell>
          <cell r="BM100">
            <v>19088.72</v>
          </cell>
          <cell r="BN100">
            <v>33847.589999999997</v>
          </cell>
          <cell r="BO100">
            <v>43809.899999999994</v>
          </cell>
          <cell r="BP100">
            <v>51611.539999999994</v>
          </cell>
          <cell r="BQ100">
            <v>63533.02</v>
          </cell>
          <cell r="BR100">
            <v>75241.11</v>
          </cell>
          <cell r="BS100">
            <v>85348.47</v>
          </cell>
          <cell r="BT100">
            <v>85348.47</v>
          </cell>
          <cell r="BU100">
            <v>85348.47</v>
          </cell>
          <cell r="BV100">
            <v>85348.47</v>
          </cell>
          <cell r="BW100">
            <v>85348.47</v>
          </cell>
          <cell r="CP100">
            <v>93108.58770435481</v>
          </cell>
          <cell r="CQ100">
            <v>158230.5273138622</v>
          </cell>
          <cell r="CR100">
            <v>241149.43800561901</v>
          </cell>
          <cell r="CS100">
            <v>326258.79493780847</v>
          </cell>
          <cell r="CT100">
            <v>395058.22302956536</v>
          </cell>
          <cell r="CU100">
            <v>473574.63468834932</v>
          </cell>
          <cell r="CV100">
            <v>570409.03377607779</v>
          </cell>
          <cell r="CW100">
            <v>689694.83377607772</v>
          </cell>
          <cell r="DE100">
            <v>15461.397413361301</v>
          </cell>
          <cell r="DF100">
            <v>29573.390425097794</v>
          </cell>
          <cell r="DG100">
            <v>42514.361016499388</v>
          </cell>
          <cell r="DH100">
            <v>50243.817446628585</v>
          </cell>
          <cell r="DI100">
            <v>65119.68703803017</v>
          </cell>
          <cell r="DJ100">
            <v>77608.604995038113</v>
          </cell>
          <cell r="DK100">
            <v>92836.279091718112</v>
          </cell>
          <cell r="DL100">
            <v>108726.14709171811</v>
          </cell>
          <cell r="DT100">
            <v>12516.91792228389</v>
          </cell>
          <cell r="DU100">
            <v>22519.204527706672</v>
          </cell>
          <cell r="DV100">
            <v>31640.693511214948</v>
          </cell>
          <cell r="DW100">
            <v>45964.137615562933</v>
          </cell>
          <cell r="DX100">
            <v>56020.836599071205</v>
          </cell>
          <cell r="DY100">
            <v>63382.001516612559</v>
          </cell>
          <cell r="DZ100">
            <v>74370.217132204096</v>
          </cell>
          <cell r="EA100">
            <v>86284.817132204102</v>
          </cell>
          <cell r="EX100">
            <v>81077.152999999991</v>
          </cell>
          <cell r="EY100">
            <v>139320.47399999999</v>
          </cell>
          <cell r="EZ100">
            <v>229896.67199999996</v>
          </cell>
          <cell r="FA100">
            <v>302663.68899999995</v>
          </cell>
          <cell r="FB100">
            <v>390945.16499999992</v>
          </cell>
          <cell r="FC100">
            <v>517653.52099999995</v>
          </cell>
          <cell r="FD100">
            <v>578101.45099999988</v>
          </cell>
          <cell r="FE100">
            <v>649763.67099999986</v>
          </cell>
          <cell r="FF100">
            <v>734368.92099999986</v>
          </cell>
          <cell r="FG100">
            <v>814269.96199999982</v>
          </cell>
          <cell r="FH100">
            <v>902348.65199999977</v>
          </cell>
          <cell r="FI100">
            <v>993333.84199999971</v>
          </cell>
          <cell r="FM100">
            <v>7993.2599999999993</v>
          </cell>
          <cell r="FN100">
            <v>-11780.420000000002</v>
          </cell>
          <cell r="FO100">
            <v>-7446.1300000000019</v>
          </cell>
          <cell r="FP100">
            <v>-4868.970000000003</v>
          </cell>
          <cell r="FQ100">
            <v>-2934.180000000003</v>
          </cell>
          <cell r="FR100">
            <v>-786.33000000000311</v>
          </cell>
          <cell r="FS100">
            <v>3302.8299999999967</v>
          </cell>
          <cell r="FT100">
            <v>8089.1999999999971</v>
          </cell>
          <cell r="FU100">
            <v>16553.349999999999</v>
          </cell>
          <cell r="FV100">
            <v>27520.129000000001</v>
          </cell>
          <cell r="FW100">
            <v>39251.779000000002</v>
          </cell>
          <cell r="FX100">
            <v>58248.739000000001</v>
          </cell>
          <cell r="GB100">
            <v>16652.089999999997</v>
          </cell>
          <cell r="GC100">
            <v>36001.369999999995</v>
          </cell>
          <cell r="GD100">
            <v>49602.959999999992</v>
          </cell>
          <cell r="GE100">
            <v>67552.28</v>
          </cell>
          <cell r="GF100">
            <v>85557.28</v>
          </cell>
          <cell r="GG100">
            <v>112894.82999999999</v>
          </cell>
          <cell r="GH100">
            <v>120651.69999999998</v>
          </cell>
          <cell r="GI100">
            <v>131494.77999999997</v>
          </cell>
          <cell r="GJ100">
            <v>146473.97999999998</v>
          </cell>
          <cell r="GK100">
            <v>153452.03999999998</v>
          </cell>
          <cell r="GL100">
            <v>165378.99999999997</v>
          </cell>
          <cell r="GM100">
            <v>183384.33999999997</v>
          </cell>
        </row>
        <row r="101">
          <cell r="A101" t="str">
            <v>Cost of Sales</v>
          </cell>
          <cell r="C101">
            <v>5349.55044</v>
          </cell>
          <cell r="D101">
            <v>0</v>
          </cell>
          <cell r="E101">
            <v>5349.55044</v>
          </cell>
          <cell r="F101" t="str">
            <v>n/a</v>
          </cell>
          <cell r="G101">
            <v>6296.8218772948476</v>
          </cell>
          <cell r="H101">
            <v>5379.3605420847334</v>
          </cell>
          <cell r="J101">
            <v>3950.0968169999996</v>
          </cell>
          <cell r="K101">
            <v>0</v>
          </cell>
          <cell r="L101">
            <v>3950.0968169999996</v>
          </cell>
          <cell r="M101" t="str">
            <v>n/a</v>
          </cell>
          <cell r="N101">
            <v>4694.733669677682</v>
          </cell>
          <cell r="O101">
            <v>4087.7277773735209</v>
          </cell>
          <cell r="Q101">
            <v>633.00398300000006</v>
          </cell>
          <cell r="R101">
            <v>0</v>
          </cell>
          <cell r="S101">
            <v>633.00398300000006</v>
          </cell>
          <cell r="T101" t="str">
            <v>n/a</v>
          </cell>
          <cell r="U101">
            <v>716.27303086805966</v>
          </cell>
          <cell r="V101">
            <v>374.1500565550337</v>
          </cell>
          <cell r="X101">
            <v>766.44963999999993</v>
          </cell>
          <cell r="Y101">
            <v>0</v>
          </cell>
          <cell r="Z101">
            <v>766.44963999999993</v>
          </cell>
          <cell r="AA101" t="str">
            <v>n/a</v>
          </cell>
          <cell r="AB101">
            <v>885.81517674910583</v>
          </cell>
          <cell r="AC101">
            <v>917.48270815617821</v>
          </cell>
          <cell r="AD101">
            <v>7814.6252837453503</v>
          </cell>
          <cell r="AE101">
            <v>7230.0308590682562</v>
          </cell>
          <cell r="AH101">
            <v>458649.23499999999</v>
          </cell>
          <cell r="AI101">
            <v>909107.875</v>
          </cell>
          <cell r="AJ101">
            <v>1493582.2560000001</v>
          </cell>
          <cell r="AK101">
            <v>1995872.6270000001</v>
          </cell>
          <cell r="AL101">
            <v>2570579.3919999995</v>
          </cell>
          <cell r="AM101">
            <v>3078217.1269999994</v>
          </cell>
          <cell r="AN101">
            <v>3531292.0389999999</v>
          </cell>
          <cell r="AO101">
            <v>3950096.8170000007</v>
          </cell>
          <cell r="AP101">
            <v>3950096.8170000007</v>
          </cell>
          <cell r="AQ101">
            <v>3950096.8170000007</v>
          </cell>
          <cell r="AR101">
            <v>3950096.8170000007</v>
          </cell>
          <cell r="AS101">
            <v>3950096.8170000007</v>
          </cell>
          <cell r="AW101">
            <v>74913.925000000003</v>
          </cell>
          <cell r="AX101">
            <v>149074.20500000002</v>
          </cell>
          <cell r="AY101">
            <v>230241.15400000004</v>
          </cell>
          <cell r="AZ101">
            <v>311930.853</v>
          </cell>
          <cell r="BA101">
            <v>415058.58799999999</v>
          </cell>
          <cell r="BB101">
            <v>485966.4530000001</v>
          </cell>
          <cell r="BC101">
            <v>558229.98100000003</v>
          </cell>
          <cell r="BD101">
            <v>633003.98300000001</v>
          </cell>
          <cell r="BE101">
            <v>633003.98300000001</v>
          </cell>
          <cell r="BF101">
            <v>633003.98300000001</v>
          </cell>
          <cell r="BG101">
            <v>633003.98300000001</v>
          </cell>
          <cell r="BH101">
            <v>633003.98300000001</v>
          </cell>
          <cell r="BL101">
            <v>94561.820000000022</v>
          </cell>
          <cell r="BM101">
            <v>179720.31</v>
          </cell>
          <cell r="BN101">
            <v>283219.25</v>
          </cell>
          <cell r="BO101">
            <v>381788.03</v>
          </cell>
          <cell r="BP101">
            <v>486669.67</v>
          </cell>
          <cell r="BQ101">
            <v>584271.03999999992</v>
          </cell>
          <cell r="BR101">
            <v>676996.82</v>
          </cell>
          <cell r="BS101">
            <v>766449.6399999999</v>
          </cell>
          <cell r="BT101">
            <v>766449.6399999999</v>
          </cell>
          <cell r="BU101">
            <v>766449.6399999999</v>
          </cell>
          <cell r="BV101">
            <v>766449.6399999999</v>
          </cell>
          <cell r="BW101">
            <v>766449.6399999999</v>
          </cell>
          <cell r="CP101">
            <v>542173.01456204487</v>
          </cell>
          <cell r="CQ101">
            <v>957800.64381259086</v>
          </cell>
          <cell r="CR101">
            <v>1504877.1437686572</v>
          </cell>
          <cell r="CS101">
            <v>2052093.3505058526</v>
          </cell>
          <cell r="CT101">
            <v>2578506.295763867</v>
          </cell>
          <cell r="CU101">
            <v>3130925.547454956</v>
          </cell>
          <cell r="CV101">
            <v>3553400.8656580029</v>
          </cell>
          <cell r="CW101">
            <v>4021197.2786122318</v>
          </cell>
          <cell r="DE101">
            <v>94460.606781114533</v>
          </cell>
          <cell r="DF101">
            <v>157994.22330816279</v>
          </cell>
          <cell r="DG101">
            <v>245831.92070083978</v>
          </cell>
          <cell r="DH101">
            <v>309928.81670338172</v>
          </cell>
          <cell r="DI101">
            <v>401748.38261066948</v>
          </cell>
          <cell r="DJ101">
            <v>498836.94772768725</v>
          </cell>
          <cell r="DK101">
            <v>564804.9066124513</v>
          </cell>
          <cell r="DL101">
            <v>638945.97269653634</v>
          </cell>
          <cell r="DT101">
            <v>103720.62948988695</v>
          </cell>
          <cell r="DU101">
            <v>183026.32261757195</v>
          </cell>
          <cell r="DV101">
            <v>283978.45119975822</v>
          </cell>
          <cell r="DW101">
            <v>385899.37998214999</v>
          </cell>
          <cell r="DX101">
            <v>490126.79567561101</v>
          </cell>
          <cell r="DY101">
            <v>586451.47565100703</v>
          </cell>
          <cell r="DZ101">
            <v>673620.48400862061</v>
          </cell>
          <cell r="EA101">
            <v>756172.39077886334</v>
          </cell>
          <cell r="EX101">
            <v>409471.45631054498</v>
          </cell>
          <cell r="EY101">
            <v>832647.21249763365</v>
          </cell>
          <cell r="EZ101">
            <v>1402239.3134503535</v>
          </cell>
          <cell r="FA101">
            <v>1854689.9926171952</v>
          </cell>
          <cell r="FB101">
            <v>2299117.8736609435</v>
          </cell>
          <cell r="FC101">
            <v>2799873.3510988019</v>
          </cell>
          <cell r="FD101">
            <v>3247493.8471980854</v>
          </cell>
          <cell r="FE101">
            <v>3656933.8135826783</v>
          </cell>
          <cell r="FF101">
            <v>4087727.7773735207</v>
          </cell>
          <cell r="FG101">
            <v>4545298.4030603878</v>
          </cell>
          <cell r="FH101">
            <v>5013891.4208516767</v>
          </cell>
          <cell r="FI101">
            <v>5435355.7979741879</v>
          </cell>
          <cell r="FM101">
            <v>44156.682982589977</v>
          </cell>
          <cell r="FN101">
            <v>57936.2328266697</v>
          </cell>
          <cell r="FO101">
            <v>111658.86706937838</v>
          </cell>
          <cell r="FP101">
            <v>160163.07908793891</v>
          </cell>
          <cell r="FQ101">
            <v>197147.32178055137</v>
          </cell>
          <cell r="FR101">
            <v>245242.57677162753</v>
          </cell>
          <cell r="FS101">
            <v>283667.16608560318</v>
          </cell>
          <cell r="FT101">
            <v>326204.05224822927</v>
          </cell>
          <cell r="FU101">
            <v>374150.05655503366</v>
          </cell>
          <cell r="FV101">
            <v>431765.47315193492</v>
          </cell>
          <cell r="FW101">
            <v>493238.21414837439</v>
          </cell>
          <cell r="FX101">
            <v>569587.89143158903</v>
          </cell>
          <cell r="GB101">
            <v>98996.808705728807</v>
          </cell>
          <cell r="GC101">
            <v>187405.86995243261</v>
          </cell>
          <cell r="GD101">
            <v>298259.86679372634</v>
          </cell>
          <cell r="GE101">
            <v>409751.87733980385</v>
          </cell>
          <cell r="GF101">
            <v>513949.1772551398</v>
          </cell>
          <cell r="GG101">
            <v>631396.32726759871</v>
          </cell>
          <cell r="GH101">
            <v>703549.42627723585</v>
          </cell>
          <cell r="GI101">
            <v>816183.20222807</v>
          </cell>
          <cell r="GJ101">
            <v>917482.70815617824</v>
          </cell>
          <cell r="GK101">
            <v>1024337.4700467528</v>
          </cell>
          <cell r="GL101">
            <v>1133367.9131865038</v>
          </cell>
          <cell r="GM101">
            <v>1225087.1696624788</v>
          </cell>
        </row>
        <row r="103">
          <cell r="A103" t="str">
            <v>Labor - Sales &amp; Marketing</v>
          </cell>
          <cell r="C103">
            <v>659.49370999999996</v>
          </cell>
          <cell r="D103">
            <v>0</v>
          </cell>
          <cell r="E103">
            <v>659.49370999999996</v>
          </cell>
          <cell r="F103" t="str">
            <v>n/a</v>
          </cell>
          <cell r="G103">
            <v>631.81354926582003</v>
          </cell>
          <cell r="H103">
            <v>574.91149999999993</v>
          </cell>
          <cell r="J103">
            <v>489.09974999999997</v>
          </cell>
          <cell r="K103">
            <v>0</v>
          </cell>
          <cell r="L103">
            <v>489.09974999999997</v>
          </cell>
          <cell r="M103" t="str">
            <v>n/a</v>
          </cell>
          <cell r="N103">
            <v>552.25748774007945</v>
          </cell>
          <cell r="O103">
            <v>410.60333999999995</v>
          </cell>
          <cell r="Q103">
            <v>49.150550000000003</v>
          </cell>
          <cell r="R103">
            <v>0</v>
          </cell>
          <cell r="S103">
            <v>49.150550000000003</v>
          </cell>
          <cell r="T103" t="str">
            <v>n/a</v>
          </cell>
          <cell r="U103">
            <v>37.733130076086411</v>
          </cell>
          <cell r="V103">
            <v>15.671710000000001</v>
          </cell>
          <cell r="X103">
            <v>121.24340999999998</v>
          </cell>
          <cell r="Y103">
            <v>0</v>
          </cell>
          <cell r="Z103">
            <v>121.24340999999998</v>
          </cell>
          <cell r="AA103" t="str">
            <v>n/a</v>
          </cell>
          <cell r="AB103">
            <v>41.822931449654106</v>
          </cell>
          <cell r="AC103">
            <v>148.63645</v>
          </cell>
          <cell r="AD103">
            <v>893.48853541513574</v>
          </cell>
          <cell r="AE103">
            <v>767.36950000000002</v>
          </cell>
          <cell r="AH103">
            <v>55409.639999999992</v>
          </cell>
          <cell r="AI103">
            <v>113806.76999999999</v>
          </cell>
          <cell r="AJ103">
            <v>193258.94</v>
          </cell>
          <cell r="AK103">
            <v>243642.11</v>
          </cell>
          <cell r="AL103">
            <v>314572.69</v>
          </cell>
          <cell r="AM103">
            <v>376888.84</v>
          </cell>
          <cell r="AN103">
            <v>441934.27</v>
          </cell>
          <cell r="AO103">
            <v>489099.75</v>
          </cell>
          <cell r="AP103">
            <v>489099.75</v>
          </cell>
          <cell r="AQ103">
            <v>489099.75</v>
          </cell>
          <cell r="AR103">
            <v>489099.75</v>
          </cell>
          <cell r="AS103">
            <v>489099.75</v>
          </cell>
          <cell r="AW103">
            <v>6746.74</v>
          </cell>
          <cell r="AX103">
            <v>13286.369999999999</v>
          </cell>
          <cell r="AY103">
            <v>19185.739999999998</v>
          </cell>
          <cell r="AZ103">
            <v>25468.25</v>
          </cell>
          <cell r="BA103">
            <v>31623.43</v>
          </cell>
          <cell r="BB103">
            <v>36764.22</v>
          </cell>
          <cell r="BC103">
            <v>44442.62</v>
          </cell>
          <cell r="BD103">
            <v>49150.55</v>
          </cell>
          <cell r="BE103">
            <v>49150.55</v>
          </cell>
          <cell r="BF103">
            <v>49150.55</v>
          </cell>
          <cell r="BG103">
            <v>49150.55</v>
          </cell>
          <cell r="BH103">
            <v>49150.55</v>
          </cell>
          <cell r="BL103">
            <v>8681.9699999999993</v>
          </cell>
          <cell r="BM103">
            <v>16518.98</v>
          </cell>
          <cell r="BN103">
            <v>34728.089999999997</v>
          </cell>
          <cell r="BO103">
            <v>52455.039999999994</v>
          </cell>
          <cell r="BP103">
            <v>69628.549999999988</v>
          </cell>
          <cell r="BQ103">
            <v>93602.349999999991</v>
          </cell>
          <cell r="BR103">
            <v>112012.10999999999</v>
          </cell>
          <cell r="BS103">
            <v>121243.40999999999</v>
          </cell>
          <cell r="BT103">
            <v>121243.40999999999</v>
          </cell>
          <cell r="BU103">
            <v>121243.40999999999</v>
          </cell>
          <cell r="BV103">
            <v>121243.40999999999</v>
          </cell>
          <cell r="BW103">
            <v>121243.40999999999</v>
          </cell>
          <cell r="CP103">
            <v>62540.966929095746</v>
          </cell>
          <cell r="CQ103">
            <v>107840.87383918228</v>
          </cell>
          <cell r="CR103">
            <v>177408.06411377038</v>
          </cell>
          <cell r="CS103">
            <v>252680.09663230312</v>
          </cell>
          <cell r="CT103">
            <v>302266.07297208597</v>
          </cell>
          <cell r="CU103">
            <v>375985.14982459322</v>
          </cell>
          <cell r="CV103">
            <v>427669.37504085281</v>
          </cell>
          <cell r="CW103">
            <v>487497.09917250485</v>
          </cell>
          <cell r="DE103">
            <v>4231.7546611823636</v>
          </cell>
          <cell r="DF103">
            <v>10785.255995276644</v>
          </cell>
          <cell r="DG103">
            <v>18831.556174123507</v>
          </cell>
          <cell r="DH103">
            <v>24100.629562515904</v>
          </cell>
          <cell r="DI103">
            <v>30475.66793744699</v>
          </cell>
          <cell r="DJ103">
            <v>36927.415455671457</v>
          </cell>
          <cell r="DK103">
            <v>41243.558055801834</v>
          </cell>
          <cell r="DL103">
            <v>49038.206052424401</v>
          </cell>
          <cell r="DT103">
            <v>4690.424164375092</v>
          </cell>
          <cell r="DU103">
            <v>12416.195308876362</v>
          </cell>
          <cell r="DV103">
            <v>34870.518844481907</v>
          </cell>
          <cell r="DW103">
            <v>52574.590622032643</v>
          </cell>
          <cell r="DX103">
            <v>70566.923247253624</v>
          </cell>
          <cell r="DY103">
            <v>87168.415247027719</v>
          </cell>
          <cell r="DZ103">
            <v>111031.0944150787</v>
          </cell>
          <cell r="EA103">
            <v>116261.43172267075</v>
          </cell>
          <cell r="EX103">
            <v>59897.17</v>
          </cell>
          <cell r="EY103">
            <v>127835.06</v>
          </cell>
          <cell r="EZ103">
            <v>161213.57</v>
          </cell>
          <cell r="FA103">
            <v>193464.31</v>
          </cell>
          <cell r="FB103">
            <v>234502.66999999998</v>
          </cell>
          <cell r="FC103">
            <v>274923.07</v>
          </cell>
          <cell r="FD103">
            <v>316043.12</v>
          </cell>
          <cell r="FE103">
            <v>368631.18</v>
          </cell>
          <cell r="FF103">
            <v>410603.33999999997</v>
          </cell>
          <cell r="FG103">
            <v>457101.26999999996</v>
          </cell>
          <cell r="FH103">
            <v>522223.70999999996</v>
          </cell>
          <cell r="FI103">
            <v>575588.93999999994</v>
          </cell>
          <cell r="FM103">
            <v>3223.41</v>
          </cell>
          <cell r="FN103">
            <v>5721.41</v>
          </cell>
          <cell r="FO103">
            <v>6589.45</v>
          </cell>
          <cell r="FP103">
            <v>7974.11</v>
          </cell>
          <cell r="FQ103">
            <v>8716.94</v>
          </cell>
          <cell r="FR103">
            <v>10613.890000000001</v>
          </cell>
          <cell r="FS103">
            <v>11936.840000000002</v>
          </cell>
          <cell r="FT103">
            <v>13995.29</v>
          </cell>
          <cell r="FU103">
            <v>15671.710000000001</v>
          </cell>
          <cell r="FV103">
            <v>17416.5</v>
          </cell>
          <cell r="FW103">
            <v>19405.16</v>
          </cell>
          <cell r="FX103">
            <v>21095.15</v>
          </cell>
          <cell r="GB103">
            <v>23856.89</v>
          </cell>
          <cell r="GC103">
            <v>42692.75</v>
          </cell>
          <cell r="GD103">
            <v>59972.44</v>
          </cell>
          <cell r="GE103">
            <v>98778.61</v>
          </cell>
          <cell r="GF103">
            <v>108081.88</v>
          </cell>
          <cell r="GG103">
            <v>128702.36</v>
          </cell>
          <cell r="GH103">
            <v>133262.09</v>
          </cell>
          <cell r="GI103">
            <v>141574.34</v>
          </cell>
          <cell r="GJ103">
            <v>148636.44999999998</v>
          </cell>
          <cell r="GK103">
            <v>155970.79999999999</v>
          </cell>
          <cell r="GL103">
            <v>163925.46</v>
          </cell>
          <cell r="GM103">
            <v>170685.41</v>
          </cell>
        </row>
        <row r="104">
          <cell r="A104" t="str">
            <v>Payroll Taxes &amp; Employee Benefits</v>
          </cell>
          <cell r="C104">
            <v>58.154510000000002</v>
          </cell>
          <cell r="D104">
            <v>0</v>
          </cell>
          <cell r="E104">
            <v>58.154510000000002</v>
          </cell>
          <cell r="F104" t="str">
            <v>n/a</v>
          </cell>
          <cell r="G104">
            <v>74.483209683088347</v>
          </cell>
          <cell r="H104">
            <v>73.068834303203388</v>
          </cell>
          <cell r="J104">
            <v>45.588900000000002</v>
          </cell>
          <cell r="K104">
            <v>0</v>
          </cell>
          <cell r="L104">
            <v>45.588900000000002</v>
          </cell>
          <cell r="M104" t="str">
            <v>n/a</v>
          </cell>
          <cell r="N104">
            <v>65.373655275478839</v>
          </cell>
          <cell r="O104">
            <v>54.584777985029568</v>
          </cell>
          <cell r="Q104">
            <v>3.6263299999999998</v>
          </cell>
          <cell r="R104">
            <v>0</v>
          </cell>
          <cell r="S104">
            <v>3.6263299999999998</v>
          </cell>
          <cell r="T104" t="str">
            <v>n/a</v>
          </cell>
          <cell r="U104">
            <v>4.3206261698400033</v>
          </cell>
          <cell r="V104">
            <v>1.9615095507986333</v>
          </cell>
          <cell r="X104">
            <v>8.9392799999999983</v>
          </cell>
          <cell r="Y104">
            <v>0</v>
          </cell>
          <cell r="Z104">
            <v>8.9392799999999983</v>
          </cell>
          <cell r="AA104" t="str">
            <v>n/a</v>
          </cell>
          <cell r="AB104">
            <v>4.7889282377695057</v>
          </cell>
          <cell r="AC104">
            <v>16.522546767375186</v>
          </cell>
          <cell r="AD104">
            <v>85.137447887913424</v>
          </cell>
          <cell r="AE104">
            <v>94.116948055821581</v>
          </cell>
          <cell r="AH104">
            <v>8112.7900000000009</v>
          </cell>
          <cell r="AI104">
            <v>13444.95</v>
          </cell>
          <cell r="AJ104">
            <v>20356.669999999998</v>
          </cell>
          <cell r="AK104">
            <v>26017.199999999997</v>
          </cell>
          <cell r="AL104">
            <v>32874.57</v>
          </cell>
          <cell r="AM104">
            <v>36495.65</v>
          </cell>
          <cell r="AN104">
            <v>39704.020000000004</v>
          </cell>
          <cell r="AO104">
            <v>45588.9</v>
          </cell>
          <cell r="AP104">
            <v>45588.9</v>
          </cell>
          <cell r="AQ104">
            <v>45588.9</v>
          </cell>
          <cell r="AR104">
            <v>45588.9</v>
          </cell>
          <cell r="AS104">
            <v>45588.9</v>
          </cell>
          <cell r="AW104">
            <v>879.3</v>
          </cell>
          <cell r="AX104">
            <v>1368.53</v>
          </cell>
          <cell r="AY104">
            <v>1947.92</v>
          </cell>
          <cell r="AZ104">
            <v>2646</v>
          </cell>
          <cell r="BA104">
            <v>2951.23</v>
          </cell>
          <cell r="BB104">
            <v>3168.93</v>
          </cell>
          <cell r="BC104">
            <v>3380.5099999999998</v>
          </cell>
          <cell r="BD104">
            <v>3626.33</v>
          </cell>
          <cell r="BE104">
            <v>3626.33</v>
          </cell>
          <cell r="BF104">
            <v>3626.33</v>
          </cell>
          <cell r="BG104">
            <v>3626.33</v>
          </cell>
          <cell r="BH104">
            <v>3626.33</v>
          </cell>
          <cell r="BL104">
            <v>997.7</v>
          </cell>
          <cell r="BM104">
            <v>1549.65</v>
          </cell>
          <cell r="BN104">
            <v>3216.28</v>
          </cell>
          <cell r="BO104">
            <v>4678.66</v>
          </cell>
          <cell r="BP104">
            <v>5830.44</v>
          </cell>
          <cell r="BQ104">
            <v>7292.4299999999994</v>
          </cell>
          <cell r="BR104">
            <v>8174.4699999999993</v>
          </cell>
          <cell r="BS104">
            <v>8939.2799999999988</v>
          </cell>
          <cell r="BT104">
            <v>8939.2799999999988</v>
          </cell>
          <cell r="BU104">
            <v>8939.2799999999988</v>
          </cell>
          <cell r="BV104">
            <v>8939.2799999999988</v>
          </cell>
          <cell r="BW104">
            <v>8939.2799999999988</v>
          </cell>
          <cell r="CP104">
            <v>7414.1615019740238</v>
          </cell>
          <cell r="CQ104">
            <v>14477.16787721328</v>
          </cell>
          <cell r="CR104">
            <v>20904.504199140407</v>
          </cell>
          <cell r="CS104">
            <v>27314.893919298302</v>
          </cell>
          <cell r="CT104">
            <v>32907.89190668075</v>
          </cell>
          <cell r="CU104">
            <v>39977.664119878704</v>
          </cell>
          <cell r="CV104">
            <v>42825.977941751378</v>
          </cell>
          <cell r="CW104">
            <v>45389.302606806516</v>
          </cell>
          <cell r="DE104">
            <v>486.22935486447619</v>
          </cell>
          <cell r="DF104">
            <v>1357.1298112806819</v>
          </cell>
          <cell r="DG104">
            <v>1992.3783345527145</v>
          </cell>
          <cell r="DH104">
            <v>2506.4435216642496</v>
          </cell>
          <cell r="DI104">
            <v>3214.0048129521451</v>
          </cell>
          <cell r="DJ104">
            <v>3542.3265243560495</v>
          </cell>
          <cell r="DK104">
            <v>3720.7258519827365</v>
          </cell>
          <cell r="DL104">
            <v>3954.6147726601371</v>
          </cell>
          <cell r="DT104">
            <v>538.93056145358833</v>
          </cell>
          <cell r="DU104">
            <v>1439.5266949312181</v>
          </cell>
          <cell r="DV104">
            <v>3631.3952213849716</v>
          </cell>
          <cell r="DW104">
            <v>5208.6685988962254</v>
          </cell>
          <cell r="DX104">
            <v>6698.2476668698664</v>
          </cell>
          <cell r="DY104">
            <v>7784.6398835397968</v>
          </cell>
          <cell r="DZ104">
            <v>9347.4102049778867</v>
          </cell>
          <cell r="EA104">
            <v>8705.3176119746895</v>
          </cell>
          <cell r="EX104">
            <v>9517.2188064814327</v>
          </cell>
          <cell r="EY104">
            <v>18877.267895678622</v>
          </cell>
          <cell r="EZ104">
            <v>22963.773317242092</v>
          </cell>
          <cell r="FA104">
            <v>27371.093216366622</v>
          </cell>
          <cell r="FB104">
            <v>32399.089149327418</v>
          </cell>
          <cell r="FC104">
            <v>38351.552389999073</v>
          </cell>
          <cell r="FD104">
            <v>43401.442899642971</v>
          </cell>
          <cell r="FE104">
            <v>50307.48987857606</v>
          </cell>
          <cell r="FF104">
            <v>54584.77798502957</v>
          </cell>
          <cell r="FG104">
            <v>60341.280273731769</v>
          </cell>
          <cell r="FH104">
            <v>67333.428517627603</v>
          </cell>
          <cell r="FI104">
            <v>73088.952244992775</v>
          </cell>
          <cell r="FM104">
            <v>441.37797548384395</v>
          </cell>
          <cell r="FN104">
            <v>811.3824522261632</v>
          </cell>
          <cell r="FO104">
            <v>907.59076053601189</v>
          </cell>
          <cell r="FP104">
            <v>1041.4553989776139</v>
          </cell>
          <cell r="FQ104">
            <v>1122.0139556180907</v>
          </cell>
          <cell r="FR104">
            <v>1382.7704943659112</v>
          </cell>
          <cell r="FS104">
            <v>1570.7892146153097</v>
          </cell>
          <cell r="FT104">
            <v>1774.8621686928204</v>
          </cell>
          <cell r="FU104">
            <v>1961.5095507986334</v>
          </cell>
          <cell r="FV104">
            <v>2133.8964283532359</v>
          </cell>
          <cell r="FW104">
            <v>2325.6974335970554</v>
          </cell>
          <cell r="FX104">
            <v>2515.747435153834</v>
          </cell>
          <cell r="GB104">
            <v>2975.1335659232154</v>
          </cell>
          <cell r="GC104">
            <v>5638.659825286235</v>
          </cell>
          <cell r="GD104">
            <v>7536.9502871719087</v>
          </cell>
          <cell r="GE104">
            <v>10724.794420728025</v>
          </cell>
          <cell r="GF104">
            <v>11686.875979929418</v>
          </cell>
          <cell r="GG104">
            <v>14562.135177862665</v>
          </cell>
          <cell r="GH104">
            <v>15327.215388108358</v>
          </cell>
          <cell r="GI104">
            <v>15960.976575699358</v>
          </cell>
          <cell r="GJ104">
            <v>16522.546767375185</v>
          </cell>
          <cell r="GK104">
            <v>17103.139158313043</v>
          </cell>
          <cell r="GL104">
            <v>17840.276797183462</v>
          </cell>
          <cell r="GM104">
            <v>18512.248375674964</v>
          </cell>
        </row>
        <row r="105">
          <cell r="A105" t="str">
            <v>Other Sales &amp; Marketing Expense</v>
          </cell>
          <cell r="C105">
            <v>206.221386</v>
          </cell>
          <cell r="D105">
            <v>0</v>
          </cell>
          <cell r="E105">
            <v>206.221386</v>
          </cell>
          <cell r="F105" t="str">
            <v>n/a</v>
          </cell>
          <cell r="G105">
            <v>246.90000000000003</v>
          </cell>
          <cell r="H105">
            <v>192.508644</v>
          </cell>
          <cell r="J105">
            <v>137.844235</v>
          </cell>
          <cell r="K105">
            <v>0</v>
          </cell>
          <cell r="L105">
            <v>137.844235</v>
          </cell>
          <cell r="M105" t="str">
            <v>n/a</v>
          </cell>
          <cell r="N105">
            <v>218.75786308755386</v>
          </cell>
          <cell r="O105">
            <v>151.20791399999999</v>
          </cell>
          <cell r="Q105">
            <v>37.146628</v>
          </cell>
          <cell r="R105">
            <v>0</v>
          </cell>
          <cell r="S105">
            <v>37.146628</v>
          </cell>
          <cell r="T105" t="str">
            <v>n/a</v>
          </cell>
          <cell r="U105">
            <v>10.231918231038124</v>
          </cell>
          <cell r="V105">
            <v>16.900576000000001</v>
          </cell>
          <cell r="X105">
            <v>31.230523000000002</v>
          </cell>
          <cell r="Y105">
            <v>0</v>
          </cell>
          <cell r="Z105">
            <v>31.230523000000002</v>
          </cell>
          <cell r="AA105" t="str">
            <v>n/a</v>
          </cell>
          <cell r="AB105">
            <v>17.91021868140804</v>
          </cell>
          <cell r="AC105">
            <v>24.400154000000001</v>
          </cell>
          <cell r="AD105">
            <v>313.99666999999999</v>
          </cell>
          <cell r="AE105">
            <v>263.61545399999994</v>
          </cell>
          <cell r="AH105">
            <v>-2152.5270000000005</v>
          </cell>
          <cell r="AI105">
            <v>33288.923999999999</v>
          </cell>
          <cell r="AJ105">
            <v>50089.577999999994</v>
          </cell>
          <cell r="AK105">
            <v>64665.816999999995</v>
          </cell>
          <cell r="AL105">
            <v>78174.510999999999</v>
          </cell>
          <cell r="AM105">
            <v>98974.092000000004</v>
          </cell>
          <cell r="AN105">
            <v>117865.239</v>
          </cell>
          <cell r="AO105">
            <v>137844.23499999999</v>
          </cell>
          <cell r="AP105">
            <v>137844.23499999999</v>
          </cell>
          <cell r="AQ105">
            <v>137844.23499999999</v>
          </cell>
          <cell r="AR105">
            <v>137844.23499999999</v>
          </cell>
          <cell r="AS105">
            <v>137844.23499999999</v>
          </cell>
          <cell r="AW105">
            <v>2182.7230000000009</v>
          </cell>
          <cell r="AX105">
            <v>11359.209000000003</v>
          </cell>
          <cell r="AY105">
            <v>20681.218000000004</v>
          </cell>
          <cell r="AZ105">
            <v>22283.802000000003</v>
          </cell>
          <cell r="BA105">
            <v>27151.847000000002</v>
          </cell>
          <cell r="BB105">
            <v>29871.396000000001</v>
          </cell>
          <cell r="BC105">
            <v>32647.924999999999</v>
          </cell>
          <cell r="BD105">
            <v>37146.627999999997</v>
          </cell>
          <cell r="BE105">
            <v>37146.627999999997</v>
          </cell>
          <cell r="BF105">
            <v>37146.627999999997</v>
          </cell>
          <cell r="BG105">
            <v>37146.627999999997</v>
          </cell>
          <cell r="BH105">
            <v>37146.627999999997</v>
          </cell>
          <cell r="BL105">
            <v>-2167.942</v>
          </cell>
          <cell r="BM105">
            <v>3058.8069999999998</v>
          </cell>
          <cell r="BN105">
            <v>5748.9580000000005</v>
          </cell>
          <cell r="BO105">
            <v>14556.208000000001</v>
          </cell>
          <cell r="BP105">
            <v>23752.224000000002</v>
          </cell>
          <cell r="BQ105">
            <v>25043.811000000002</v>
          </cell>
          <cell r="BR105">
            <v>30158.517</v>
          </cell>
          <cell r="BS105">
            <v>31230.523000000001</v>
          </cell>
          <cell r="BT105">
            <v>31230.523000000001</v>
          </cell>
          <cell r="BU105">
            <v>31230.523000000001</v>
          </cell>
          <cell r="BV105">
            <v>31230.523000000001</v>
          </cell>
          <cell r="BW105">
            <v>31230.523000000001</v>
          </cell>
          <cell r="CP105">
            <v>23239.107810558584</v>
          </cell>
          <cell r="CQ105">
            <v>36046.768373114464</v>
          </cell>
          <cell r="CR105">
            <v>50627.517160134252</v>
          </cell>
          <cell r="CS105">
            <v>65478.27324099961</v>
          </cell>
          <cell r="CT105">
            <v>79524.173240999618</v>
          </cell>
          <cell r="CU105">
            <v>86060.629660932478</v>
          </cell>
          <cell r="CV105">
            <v>105546.15966093248</v>
          </cell>
          <cell r="CW105">
            <v>125422.97547118241</v>
          </cell>
          <cell r="DE105">
            <v>1149.2371926166009</v>
          </cell>
          <cell r="DF105">
            <v>7750.8137299076661</v>
          </cell>
          <cell r="DG105">
            <v>14046.068568079185</v>
          </cell>
          <cell r="DH105">
            <v>23858.032245534414</v>
          </cell>
          <cell r="DI105">
            <v>25382.462245534414</v>
          </cell>
          <cell r="DJ105">
            <v>29168.537961494822</v>
          </cell>
          <cell r="DK105">
            <v>31768.207961494823</v>
          </cell>
          <cell r="DL105">
            <v>34881.333522878427</v>
          </cell>
          <cell r="DT105">
            <v>2011.6549968248162</v>
          </cell>
          <cell r="DU105">
            <v>3570.2778969778647</v>
          </cell>
          <cell r="DV105">
            <v>4985.6642717865543</v>
          </cell>
          <cell r="DW105">
            <v>7249.1245134659757</v>
          </cell>
          <cell r="DX105">
            <v>16003.154513465977</v>
          </cell>
          <cell r="DY105">
            <v>24416.1323775727</v>
          </cell>
          <cell r="DZ105">
            <v>25605.3323775727</v>
          </cell>
          <cell r="EA105">
            <v>31245.531005939192</v>
          </cell>
          <cell r="EX105">
            <v>10824.996999999999</v>
          </cell>
          <cell r="EY105">
            <v>38397.290999999997</v>
          </cell>
          <cell r="EZ105">
            <v>65082.887999999992</v>
          </cell>
          <cell r="FA105">
            <v>92050.730999999985</v>
          </cell>
          <cell r="FB105">
            <v>92413.37999999999</v>
          </cell>
          <cell r="FC105">
            <v>107200.30399999999</v>
          </cell>
          <cell r="FD105">
            <v>119517.34399999998</v>
          </cell>
          <cell r="FE105">
            <v>133081.66399999999</v>
          </cell>
          <cell r="FF105">
            <v>151207.91399999999</v>
          </cell>
          <cell r="FG105">
            <v>172867.804</v>
          </cell>
          <cell r="FH105">
            <v>190677.79399999999</v>
          </cell>
          <cell r="FI105">
            <v>207752.204</v>
          </cell>
          <cell r="FM105">
            <v>1701.5969999999998</v>
          </cell>
          <cell r="FN105">
            <v>4989.6809999999996</v>
          </cell>
          <cell r="FO105">
            <v>7250.2139999999999</v>
          </cell>
          <cell r="FP105">
            <v>9715.6929999999993</v>
          </cell>
          <cell r="FQ105">
            <v>9505.4539999999997</v>
          </cell>
          <cell r="FR105">
            <v>11508.966</v>
          </cell>
          <cell r="FS105">
            <v>12974.106</v>
          </cell>
          <cell r="FT105">
            <v>15454.486000000001</v>
          </cell>
          <cell r="FU105">
            <v>16900.576000000001</v>
          </cell>
          <cell r="FV105">
            <v>20344.966</v>
          </cell>
          <cell r="FW105">
            <v>24595.506000000001</v>
          </cell>
          <cell r="FX105">
            <v>26140.656000000003</v>
          </cell>
          <cell r="GB105">
            <v>2348.3179999999998</v>
          </cell>
          <cell r="GC105">
            <v>8946.4139999999989</v>
          </cell>
          <cell r="GD105">
            <v>14052.065999999999</v>
          </cell>
          <cell r="GE105">
            <v>19371.612000000001</v>
          </cell>
          <cell r="GF105">
            <v>18262.876</v>
          </cell>
          <cell r="GG105">
            <v>18871.734</v>
          </cell>
          <cell r="GH105">
            <v>22016.484</v>
          </cell>
          <cell r="GI105">
            <v>21195.404000000002</v>
          </cell>
          <cell r="GJ105">
            <v>24400.154000000002</v>
          </cell>
          <cell r="GK105">
            <v>25045.234000000004</v>
          </cell>
          <cell r="GL105">
            <v>26907.744000000002</v>
          </cell>
          <cell r="GM105">
            <v>29722.594000000001</v>
          </cell>
        </row>
        <row r="106">
          <cell r="A106" t="str">
            <v>Sales &amp; Marketing Expense</v>
          </cell>
          <cell r="C106">
            <v>923.86960599999998</v>
          </cell>
          <cell r="D106">
            <v>0</v>
          </cell>
          <cell r="E106">
            <v>923.86960599999998</v>
          </cell>
          <cell r="F106" t="str">
            <v>n/a</v>
          </cell>
          <cell r="G106">
            <v>953.19675894890838</v>
          </cell>
          <cell r="H106">
            <v>840.48897830320334</v>
          </cell>
          <cell r="J106">
            <v>672.53288499999996</v>
          </cell>
          <cell r="K106">
            <v>0</v>
          </cell>
          <cell r="L106">
            <v>672.53288499999996</v>
          </cell>
          <cell r="M106" t="str">
            <v>n/a</v>
          </cell>
          <cell r="N106">
            <v>836.38900610311225</v>
          </cell>
          <cell r="O106">
            <v>616.39603198502948</v>
          </cell>
          <cell r="Q106">
            <v>89.923507999999998</v>
          </cell>
          <cell r="R106">
            <v>0</v>
          </cell>
          <cell r="S106">
            <v>89.923507999999998</v>
          </cell>
          <cell r="T106" t="str">
            <v>n/a</v>
          </cell>
          <cell r="U106">
            <v>52.285674476964537</v>
          </cell>
          <cell r="V106">
            <v>34.533795550798636</v>
          </cell>
          <cell r="X106">
            <v>161.41321299999998</v>
          </cell>
          <cell r="Y106">
            <v>0</v>
          </cell>
          <cell r="Z106">
            <v>161.41321299999998</v>
          </cell>
          <cell r="AA106" t="str">
            <v>n/a</v>
          </cell>
          <cell r="AB106">
            <v>64.522078368831643</v>
          </cell>
          <cell r="AC106">
            <v>189.55915076737517</v>
          </cell>
          <cell r="AD106">
            <v>1292.6226533030492</v>
          </cell>
          <cell r="AE106">
            <v>1125.1019020558215</v>
          </cell>
          <cell r="AH106">
            <v>61369.902999999991</v>
          </cell>
          <cell r="AI106">
            <v>160540.64399999997</v>
          </cell>
          <cell r="AJ106">
            <v>263705.18799999997</v>
          </cell>
          <cell r="AK106">
            <v>334325.12699999998</v>
          </cell>
          <cell r="AL106">
            <v>425621.77100000001</v>
          </cell>
          <cell r="AM106">
            <v>512358.58200000005</v>
          </cell>
          <cell r="AN106">
            <v>599503.5290000001</v>
          </cell>
          <cell r="AO106">
            <v>672532.88500000001</v>
          </cell>
          <cell r="AP106">
            <v>672532.88500000001</v>
          </cell>
          <cell r="AQ106">
            <v>672532.88500000001</v>
          </cell>
          <cell r="AR106">
            <v>672532.88500000001</v>
          </cell>
          <cell r="AS106">
            <v>672532.88500000001</v>
          </cell>
          <cell r="AW106">
            <v>9808.7630000000008</v>
          </cell>
          <cell r="AX106">
            <v>26014.109000000004</v>
          </cell>
          <cell r="AY106">
            <v>41814.877999999997</v>
          </cell>
          <cell r="AZ106">
            <v>50398.052000000003</v>
          </cell>
          <cell r="BA106">
            <v>61726.507000000005</v>
          </cell>
          <cell r="BB106">
            <v>69804.546000000002</v>
          </cell>
          <cell r="BC106">
            <v>80471.055000000008</v>
          </cell>
          <cell r="BD106">
            <v>89923.508000000002</v>
          </cell>
          <cell r="BE106">
            <v>89923.508000000002</v>
          </cell>
          <cell r="BF106">
            <v>89923.508000000002</v>
          </cell>
          <cell r="BG106">
            <v>89923.508000000002</v>
          </cell>
          <cell r="BH106">
            <v>89923.508000000002</v>
          </cell>
          <cell r="BL106">
            <v>7511.7280000000001</v>
          </cell>
          <cell r="BM106">
            <v>21127.437000000002</v>
          </cell>
          <cell r="BN106">
            <v>43693.327999999994</v>
          </cell>
          <cell r="BO106">
            <v>71689.907999999996</v>
          </cell>
          <cell r="BP106">
            <v>99211.213999999993</v>
          </cell>
          <cell r="BQ106">
            <v>125938.59099999999</v>
          </cell>
          <cell r="BR106">
            <v>150345.09699999998</v>
          </cell>
          <cell r="BS106">
            <v>161413.21299999999</v>
          </cell>
          <cell r="BT106">
            <v>161413.21299999999</v>
          </cell>
          <cell r="BU106">
            <v>161413.21299999999</v>
          </cell>
          <cell r="BV106">
            <v>161413.21299999999</v>
          </cell>
          <cell r="BW106">
            <v>161413.21299999999</v>
          </cell>
          <cell r="CP106">
            <v>93194.236241628358</v>
          </cell>
          <cell r="CQ106">
            <v>158364.81008951002</v>
          </cell>
          <cell r="CR106">
            <v>248940.08547304504</v>
          </cell>
          <cell r="CS106">
            <v>345473.26379260101</v>
          </cell>
          <cell r="CT106">
            <v>414698.13811976637</v>
          </cell>
          <cell r="CU106">
            <v>502023.44360540441</v>
          </cell>
          <cell r="CV106">
            <v>576041.51264353667</v>
          </cell>
          <cell r="CW106">
            <v>658309.37725049374</v>
          </cell>
          <cell r="DE106">
            <v>5867.2212086634408</v>
          </cell>
          <cell r="DF106">
            <v>19893.199536464992</v>
          </cell>
          <cell r="DG106">
            <v>34870.003076755405</v>
          </cell>
          <cell r="DH106">
            <v>50465.10532971457</v>
          </cell>
          <cell r="DI106">
            <v>59072.134995933549</v>
          </cell>
          <cell r="DJ106">
            <v>69638.279941522327</v>
          </cell>
          <cell r="DK106">
            <v>76732.491869279387</v>
          </cell>
          <cell r="DL106">
            <v>87874.154347962962</v>
          </cell>
          <cell r="DT106">
            <v>7241.0097226534963</v>
          </cell>
          <cell r="DU106">
            <v>17425.999900785442</v>
          </cell>
          <cell r="DV106">
            <v>43487.578337653431</v>
          </cell>
          <cell r="DW106">
            <v>65032.383734394847</v>
          </cell>
          <cell r="DX106">
            <v>93268.325427589472</v>
          </cell>
          <cell r="DY106">
            <v>119369.18750814022</v>
          </cell>
          <cell r="DZ106">
            <v>145983.83699762929</v>
          </cell>
          <cell r="EA106">
            <v>156212.28034058464</v>
          </cell>
          <cell r="EX106">
            <v>80239.385806481441</v>
          </cell>
          <cell r="EY106">
            <v>185109.61889567861</v>
          </cell>
          <cell r="EZ106">
            <v>249260.23131724208</v>
          </cell>
          <cell r="FA106">
            <v>312886.13421636663</v>
          </cell>
          <cell r="FB106">
            <v>359315.13914932741</v>
          </cell>
          <cell r="FC106">
            <v>420474.92638999911</v>
          </cell>
          <cell r="FD106">
            <v>478961.90689964296</v>
          </cell>
          <cell r="FE106">
            <v>552020.33387857606</v>
          </cell>
          <cell r="FF106">
            <v>616396.03198502958</v>
          </cell>
          <cell r="FG106">
            <v>690310.3542737317</v>
          </cell>
          <cell r="FH106">
            <v>780234.9325176276</v>
          </cell>
          <cell r="FI106">
            <v>856430.0962449928</v>
          </cell>
          <cell r="FM106">
            <v>5366.3849754838429</v>
          </cell>
          <cell r="FN106">
            <v>11522.473452226162</v>
          </cell>
          <cell r="FO106">
            <v>14747.254760536012</v>
          </cell>
          <cell r="FP106">
            <v>18731.25839897761</v>
          </cell>
          <cell r="FQ106">
            <v>19344.407955618091</v>
          </cell>
          <cell r="FR106">
            <v>23505.626494365912</v>
          </cell>
          <cell r="FS106">
            <v>26481.735214615313</v>
          </cell>
          <cell r="FT106">
            <v>31224.638168692822</v>
          </cell>
          <cell r="FU106">
            <v>34533.795550798633</v>
          </cell>
          <cell r="FV106">
            <v>39895.362428353241</v>
          </cell>
          <cell r="FW106">
            <v>46326.363433597056</v>
          </cell>
          <cell r="FX106">
            <v>49751.553435153837</v>
          </cell>
          <cell r="GB106">
            <v>29180.341565923212</v>
          </cell>
          <cell r="GC106">
            <v>57277.823825286228</v>
          </cell>
          <cell r="GD106">
            <v>81561.456287171895</v>
          </cell>
          <cell r="GE106">
            <v>128875.01642072803</v>
          </cell>
          <cell r="GF106">
            <v>138031.63197992943</v>
          </cell>
          <cell r="GG106">
            <v>162136.22917786267</v>
          </cell>
          <cell r="GH106">
            <v>170605.78938810836</v>
          </cell>
          <cell r="GI106">
            <v>178730.72057569938</v>
          </cell>
          <cell r="GJ106">
            <v>189559.15076737516</v>
          </cell>
          <cell r="GK106">
            <v>198119.17315831303</v>
          </cell>
          <cell r="GL106">
            <v>208673.48079718347</v>
          </cell>
          <cell r="GM106">
            <v>218920.25237567499</v>
          </cell>
        </row>
        <row r="108">
          <cell r="A108" t="str">
            <v>Labor - General &amp; Administrative</v>
          </cell>
          <cell r="C108">
            <v>642.90245000000004</v>
          </cell>
          <cell r="D108">
            <v>0</v>
          </cell>
          <cell r="E108">
            <v>642.90245000000004</v>
          </cell>
          <cell r="F108" t="str">
            <v>n/a</v>
          </cell>
          <cell r="G108">
            <v>665.24169031697875</v>
          </cell>
          <cell r="H108">
            <v>843.60037999999997</v>
          </cell>
          <cell r="J108">
            <v>510.73116800000008</v>
          </cell>
          <cell r="K108">
            <v>0</v>
          </cell>
          <cell r="L108">
            <v>510.73116800000008</v>
          </cell>
          <cell r="M108" t="str">
            <v>n/a</v>
          </cell>
          <cell r="N108">
            <v>522.00990308739608</v>
          </cell>
          <cell r="O108">
            <v>654.68737999999996</v>
          </cell>
          <cell r="Q108">
            <v>64.41775100000001</v>
          </cell>
          <cell r="R108">
            <v>0</v>
          </cell>
          <cell r="S108">
            <v>64.41775100000001</v>
          </cell>
          <cell r="T108" t="str">
            <v>n/a</v>
          </cell>
          <cell r="U108">
            <v>67.934278732683481</v>
          </cell>
          <cell r="V108">
            <v>39.988320000000002</v>
          </cell>
          <cell r="X108">
            <v>67.753531000000009</v>
          </cell>
          <cell r="Y108">
            <v>0</v>
          </cell>
          <cell r="Z108">
            <v>67.753531000000009</v>
          </cell>
          <cell r="AA108" t="str">
            <v>n/a</v>
          </cell>
          <cell r="AB108">
            <v>75.297508496899141</v>
          </cell>
          <cell r="AC108">
            <v>148.92468</v>
          </cell>
          <cell r="AD108">
            <v>892.16716866304535</v>
          </cell>
          <cell r="AE108">
            <v>1097.9114999999999</v>
          </cell>
          <cell r="AH108">
            <v>55471.498</v>
          </cell>
          <cell r="AI108">
            <v>117420.85800000001</v>
          </cell>
          <cell r="AJ108">
            <v>188774.26800000001</v>
          </cell>
          <cell r="AK108">
            <v>241374.11800000002</v>
          </cell>
          <cell r="AL108">
            <v>319435.11800000002</v>
          </cell>
          <cell r="AM108">
            <v>398568.37800000003</v>
          </cell>
          <cell r="AN108">
            <v>454788.57800000004</v>
          </cell>
          <cell r="AO108">
            <v>510731.16800000006</v>
          </cell>
          <cell r="AP108">
            <v>510731.16800000006</v>
          </cell>
          <cell r="AQ108">
            <v>510731.16800000006</v>
          </cell>
          <cell r="AR108">
            <v>510731.16800000006</v>
          </cell>
          <cell r="AS108">
            <v>510731.16800000006</v>
          </cell>
          <cell r="AW108">
            <v>6028.701</v>
          </cell>
          <cell r="AX108">
            <v>12850.151</v>
          </cell>
          <cell r="AY108">
            <v>20052.921000000002</v>
          </cell>
          <cell r="AZ108">
            <v>31363.211000000003</v>
          </cell>
          <cell r="BA108">
            <v>40482.831000000006</v>
          </cell>
          <cell r="BB108">
            <v>50937.941000000006</v>
          </cell>
          <cell r="BC108">
            <v>58072.791000000005</v>
          </cell>
          <cell r="BD108">
            <v>64417.751000000004</v>
          </cell>
          <cell r="BE108">
            <v>64417.751000000004</v>
          </cell>
          <cell r="BF108">
            <v>64417.751000000004</v>
          </cell>
          <cell r="BG108">
            <v>64417.751000000004</v>
          </cell>
          <cell r="BH108">
            <v>64417.751000000004</v>
          </cell>
          <cell r="BL108">
            <v>6028.701</v>
          </cell>
          <cell r="BM108">
            <v>12850.151</v>
          </cell>
          <cell r="BN108">
            <v>20052.921000000002</v>
          </cell>
          <cell r="BO108">
            <v>33588.991000000002</v>
          </cell>
          <cell r="BP108">
            <v>42978.611000000004</v>
          </cell>
          <cell r="BQ108">
            <v>53973.721000000005</v>
          </cell>
          <cell r="BR108">
            <v>61408.571000000004</v>
          </cell>
          <cell r="BS108">
            <v>67753.531000000003</v>
          </cell>
          <cell r="BT108">
            <v>67753.531000000003</v>
          </cell>
          <cell r="BU108">
            <v>67753.531000000003</v>
          </cell>
          <cell r="BV108">
            <v>67753.531000000003</v>
          </cell>
          <cell r="BW108">
            <v>67753.531000000003</v>
          </cell>
          <cell r="CP108">
            <v>58812.356577489882</v>
          </cell>
          <cell r="CQ108">
            <v>102407.37838253583</v>
          </cell>
          <cell r="CR108">
            <v>179071.82448103119</v>
          </cell>
          <cell r="CS108">
            <v>246669.68455141177</v>
          </cell>
          <cell r="CT108">
            <v>299217.88516698143</v>
          </cell>
          <cell r="CU108">
            <v>375307.11707147222</v>
          </cell>
          <cell r="CV108">
            <v>445829.44104775885</v>
          </cell>
          <cell r="CW108">
            <v>504560.74760778871</v>
          </cell>
          <cell r="DE108">
            <v>7653.8299389164149</v>
          </cell>
          <cell r="DF108">
            <v>13511.954010559137</v>
          </cell>
          <cell r="DG108">
            <v>22679.513457100486</v>
          </cell>
          <cell r="DH108">
            <v>29283.514879882394</v>
          </cell>
          <cell r="DI108">
            <v>40585.570126248676</v>
          </cell>
          <cell r="DJ108">
            <v>49390.819980923057</v>
          </cell>
          <cell r="DK108">
            <v>58473.039723022164</v>
          </cell>
          <cell r="DL108">
            <v>66008.249651759543</v>
          </cell>
          <cell r="DT108">
            <v>8483.4097838461676</v>
          </cell>
          <cell r="DU108">
            <v>12948.112193972738</v>
          </cell>
          <cell r="DV108">
            <v>21938.898970876726</v>
          </cell>
          <cell r="DW108">
            <v>28588.015901822946</v>
          </cell>
          <cell r="DX108">
            <v>42116.471613438953</v>
          </cell>
          <cell r="DY108">
            <v>51215.408363848495</v>
          </cell>
          <cell r="DZ108">
            <v>60941.07147955749</v>
          </cell>
          <cell r="EA108">
            <v>68746.115427111392</v>
          </cell>
          <cell r="EX108">
            <v>78259.69</v>
          </cell>
          <cell r="EY108">
            <v>167224.44</v>
          </cell>
          <cell r="EZ108">
            <v>234944.39</v>
          </cell>
          <cell r="FA108">
            <v>289105.66000000003</v>
          </cell>
          <cell r="FB108">
            <v>347835.69000000006</v>
          </cell>
          <cell r="FC108">
            <v>427495.88000000006</v>
          </cell>
          <cell r="FD108">
            <v>508351.16000000003</v>
          </cell>
          <cell r="FE108">
            <v>582030.80000000005</v>
          </cell>
          <cell r="FF108">
            <v>654687.38</v>
          </cell>
          <cell r="FG108">
            <v>725814.71</v>
          </cell>
          <cell r="FH108">
            <v>794885.01</v>
          </cell>
          <cell r="FI108">
            <v>849764.66</v>
          </cell>
          <cell r="FM108">
            <v>5159.24</v>
          </cell>
          <cell r="FN108">
            <v>9873.9599999999991</v>
          </cell>
          <cell r="FO108">
            <v>13932.259999999998</v>
          </cell>
          <cell r="FP108">
            <v>17545.05</v>
          </cell>
          <cell r="FQ108">
            <v>21138.46</v>
          </cell>
          <cell r="FR108">
            <v>26500.19</v>
          </cell>
          <cell r="FS108">
            <v>30344.75</v>
          </cell>
          <cell r="FT108">
            <v>35729.01</v>
          </cell>
          <cell r="FU108">
            <v>39988.32</v>
          </cell>
          <cell r="FV108">
            <v>44498.05</v>
          </cell>
          <cell r="FW108">
            <v>48510.840000000004</v>
          </cell>
          <cell r="FX108">
            <v>51651.48</v>
          </cell>
          <cell r="GB108">
            <v>18953.45</v>
          </cell>
          <cell r="GC108">
            <v>35508.07</v>
          </cell>
          <cell r="GD108">
            <v>50342.96</v>
          </cell>
          <cell r="GE108">
            <v>65416.94</v>
          </cell>
          <cell r="GF108">
            <v>78313.53</v>
          </cell>
          <cell r="GG108">
            <v>95988.75</v>
          </cell>
          <cell r="GH108">
            <v>109239.55</v>
          </cell>
          <cell r="GI108">
            <v>130981.82</v>
          </cell>
          <cell r="GJ108">
            <v>148924.68</v>
          </cell>
          <cell r="GK108">
            <v>167881.63</v>
          </cell>
          <cell r="GL108">
            <v>183932.79</v>
          </cell>
          <cell r="GM108">
            <v>196495.36000000002</v>
          </cell>
        </row>
        <row r="109">
          <cell r="A109" t="str">
            <v>Payroll Taxes &amp; Employee Benefits</v>
          </cell>
          <cell r="C109">
            <v>78.840319999999991</v>
          </cell>
          <cell r="D109">
            <v>0</v>
          </cell>
          <cell r="E109">
            <v>78.840319999999991</v>
          </cell>
          <cell r="F109" t="str">
            <v>n/a</v>
          </cell>
          <cell r="G109">
            <v>87.888581207648343</v>
          </cell>
          <cell r="H109">
            <v>107.88455461206362</v>
          </cell>
          <cell r="J109">
            <v>65.215599999999995</v>
          </cell>
          <cell r="K109">
            <v>0</v>
          </cell>
          <cell r="L109">
            <v>65.215599999999995</v>
          </cell>
          <cell r="M109" t="str">
            <v>n/a</v>
          </cell>
          <cell r="N109">
            <v>68.965475896185438</v>
          </cell>
          <cell r="O109">
            <v>86.320835641449435</v>
          </cell>
          <cell r="Q109">
            <v>6.81236</v>
          </cell>
          <cell r="R109">
            <v>0</v>
          </cell>
          <cell r="S109">
            <v>6.81236</v>
          </cell>
          <cell r="T109" t="str">
            <v>n/a</v>
          </cell>
          <cell r="U109">
            <v>8.975155135474953</v>
          </cell>
          <cell r="V109">
            <v>4.8849938941676578</v>
          </cell>
          <cell r="X109">
            <v>6.81236</v>
          </cell>
          <cell r="Y109">
            <v>0</v>
          </cell>
          <cell r="Z109">
            <v>6.81236</v>
          </cell>
          <cell r="AA109" t="str">
            <v>n/a</v>
          </cell>
          <cell r="AB109">
            <v>9.9479501759879518</v>
          </cell>
          <cell r="AC109">
            <v>16.678725076446529</v>
          </cell>
          <cell r="AD109">
            <v>112.64805834345427</v>
          </cell>
          <cell r="AE109">
            <v>137.0261438759216</v>
          </cell>
          <cell r="AH109">
            <v>12399.779999999999</v>
          </cell>
          <cell r="AI109">
            <v>19982.71</v>
          </cell>
          <cell r="AJ109">
            <v>28978.769999999997</v>
          </cell>
          <cell r="AK109">
            <v>37572.289999999994</v>
          </cell>
          <cell r="AL109">
            <v>45379.709999999992</v>
          </cell>
          <cell r="AM109">
            <v>51805.19999999999</v>
          </cell>
          <cell r="AN109">
            <v>58166.599999999991</v>
          </cell>
          <cell r="AO109">
            <v>65215.599999999991</v>
          </cell>
          <cell r="AP109">
            <v>65215.599999999991</v>
          </cell>
          <cell r="AQ109">
            <v>65215.599999999991</v>
          </cell>
          <cell r="AR109">
            <v>65215.599999999991</v>
          </cell>
          <cell r="AS109">
            <v>65215.599999999991</v>
          </cell>
          <cell r="AW109">
            <v>1371.17</v>
          </cell>
          <cell r="AX109">
            <v>2093.69</v>
          </cell>
          <cell r="AY109">
            <v>3038.3100000000004</v>
          </cell>
          <cell r="AZ109">
            <v>3952.3100000000004</v>
          </cell>
          <cell r="BA109">
            <v>4752.7300000000005</v>
          </cell>
          <cell r="BB109">
            <v>5400.89</v>
          </cell>
          <cell r="BC109">
            <v>6045.21</v>
          </cell>
          <cell r="BD109">
            <v>6812.36</v>
          </cell>
          <cell r="BE109">
            <v>6812.36</v>
          </cell>
          <cell r="BF109">
            <v>6812.36</v>
          </cell>
          <cell r="BG109">
            <v>6812.36</v>
          </cell>
          <cell r="BH109">
            <v>6812.36</v>
          </cell>
          <cell r="BL109">
            <v>1371.17</v>
          </cell>
          <cell r="BM109">
            <v>2093.69</v>
          </cell>
          <cell r="BN109">
            <v>3038.3100000000004</v>
          </cell>
          <cell r="BO109">
            <v>3952.3100000000004</v>
          </cell>
          <cell r="BP109">
            <v>4752.7300000000005</v>
          </cell>
          <cell r="BQ109">
            <v>5400.89</v>
          </cell>
          <cell r="BR109">
            <v>6045.21</v>
          </cell>
          <cell r="BS109">
            <v>6812.36</v>
          </cell>
          <cell r="BT109">
            <v>6812.36</v>
          </cell>
          <cell r="BU109">
            <v>6812.36</v>
          </cell>
          <cell r="BV109">
            <v>6812.36</v>
          </cell>
          <cell r="BW109">
            <v>6812.36</v>
          </cell>
          <cell r="CP109">
            <v>7765.5454690208126</v>
          </cell>
          <cell r="CQ109">
            <v>18909.377236457549</v>
          </cell>
          <cell r="CR109">
            <v>27962.42899642446</v>
          </cell>
          <cell r="CS109">
            <v>36435.864015955493</v>
          </cell>
          <cell r="CT109">
            <v>45025.519091904913</v>
          </cell>
          <cell r="CU109">
            <v>52607.02074118227</v>
          </cell>
          <cell r="CV109">
            <v>58694.327689160171</v>
          </cell>
          <cell r="CW109">
            <v>65259.76168809997</v>
          </cell>
          <cell r="DE109">
            <v>1010.6067476567855</v>
          </cell>
          <cell r="DF109">
            <v>2409.0319239743458</v>
          </cell>
          <cell r="DG109">
            <v>3365.9417553037756</v>
          </cell>
          <cell r="DH109">
            <v>4227.2366972327854</v>
          </cell>
          <cell r="DI109">
            <v>5140.6204905205368</v>
          </cell>
          <cell r="DJ109">
            <v>5905.0210494360817</v>
          </cell>
          <cell r="DK109">
            <v>6499.2626117389791</v>
          </cell>
          <cell r="DL109">
            <v>7176.1129067793327</v>
          </cell>
          <cell r="DT109">
            <v>1120.1439330524636</v>
          </cell>
          <cell r="DU109">
            <v>2330.8319818163263</v>
          </cell>
          <cell r="DV109">
            <v>3270.0812064417355</v>
          </cell>
          <cell r="DW109">
            <v>4137.6544543485907</v>
          </cell>
          <cell r="DX109">
            <v>5051.0846770583503</v>
          </cell>
          <cell r="DY109">
            <v>5818.1991983462522</v>
          </cell>
          <cell r="DZ109">
            <v>6416.5033614747172</v>
          </cell>
          <cell r="EA109">
            <v>7090.9025913668311</v>
          </cell>
          <cell r="EX109">
            <v>12434.887882973551</v>
          </cell>
          <cell r="EY109">
            <v>24691.883606687603</v>
          </cell>
          <cell r="EZ109">
            <v>32982.78523240448</v>
          </cell>
          <cell r="FA109">
            <v>40384.35316643813</v>
          </cell>
          <cell r="FB109">
            <v>47579.922189729157</v>
          </cell>
          <cell r="FC109">
            <v>59310.987511198517</v>
          </cell>
          <cell r="FD109">
            <v>69240.700902271725</v>
          </cell>
          <cell r="FE109">
            <v>78916.567538745439</v>
          </cell>
          <cell r="FF109">
            <v>86320.835641449434</v>
          </cell>
          <cell r="FG109">
            <v>95126.488665880344</v>
          </cell>
          <cell r="FH109">
            <v>103298.05763069476</v>
          </cell>
          <cell r="FI109">
            <v>110039.80678081812</v>
          </cell>
          <cell r="FM109">
            <v>706.44904192617992</v>
          </cell>
          <cell r="FN109">
            <v>1404.7947211041412</v>
          </cell>
          <cell r="FO109">
            <v>1854.5921700855924</v>
          </cell>
          <cell r="FP109">
            <v>2203.8655130834659</v>
          </cell>
          <cell r="FQ109">
            <v>2593.5642638305485</v>
          </cell>
          <cell r="FR109">
            <v>3330.5927340065423</v>
          </cell>
          <cell r="FS109">
            <v>3876.9846997815357</v>
          </cell>
          <cell r="FT109">
            <v>4410.7755830778888</v>
          </cell>
          <cell r="FU109">
            <v>4884.9938941676583</v>
          </cell>
          <cell r="FV109">
            <v>5330.5594197118889</v>
          </cell>
          <cell r="FW109">
            <v>5717.5824180285172</v>
          </cell>
          <cell r="FX109">
            <v>6070.7671332571763</v>
          </cell>
          <cell r="GB109">
            <v>2363.6377283479687</v>
          </cell>
          <cell r="GC109">
            <v>4704.580222281149</v>
          </cell>
          <cell r="GD109">
            <v>6334.2929191017029</v>
          </cell>
          <cell r="GE109">
            <v>7572.588239468083</v>
          </cell>
          <cell r="GF109">
            <v>8906.2667649307514</v>
          </cell>
          <cell r="GG109">
            <v>11370.847554538639</v>
          </cell>
          <cell r="GH109">
            <v>13594.208334655799</v>
          </cell>
          <cell r="GI109">
            <v>15251.931196230487</v>
          </cell>
          <cell r="GJ109">
            <v>16678.725076446528</v>
          </cell>
          <cell r="GK109">
            <v>18179.370794934111</v>
          </cell>
          <cell r="GL109">
            <v>19666.790016312691</v>
          </cell>
          <cell r="GM109">
            <v>20915.569961846311</v>
          </cell>
        </row>
        <row r="110">
          <cell r="A110" t="str">
            <v>Other General &amp; Administrative Expense</v>
          </cell>
          <cell r="C110">
            <v>203.59505399999998</v>
          </cell>
          <cell r="D110">
            <v>0</v>
          </cell>
          <cell r="E110">
            <v>203.59505399999998</v>
          </cell>
          <cell r="F110" t="str">
            <v>n/a</v>
          </cell>
          <cell r="G110">
            <v>259.20000000000005</v>
          </cell>
          <cell r="H110">
            <v>389.55764500000004</v>
          </cell>
          <cell r="J110">
            <v>107.16467499999997</v>
          </cell>
          <cell r="K110">
            <v>0</v>
          </cell>
          <cell r="L110">
            <v>107.16467499999997</v>
          </cell>
          <cell r="M110" t="str">
            <v>n/a</v>
          </cell>
          <cell r="N110">
            <v>202.44022986128491</v>
          </cell>
          <cell r="O110">
            <v>221.91706500000004</v>
          </cell>
          <cell r="Q110">
            <v>59.841692000000002</v>
          </cell>
          <cell r="R110">
            <v>0</v>
          </cell>
          <cell r="S110">
            <v>59.841692000000002</v>
          </cell>
          <cell r="T110" t="str">
            <v>n/a</v>
          </cell>
          <cell r="U110">
            <v>20.675453560105652</v>
          </cell>
          <cell r="V110">
            <v>27.11084</v>
          </cell>
          <cell r="X110">
            <v>36.588687</v>
          </cell>
          <cell r="Y110">
            <v>0</v>
          </cell>
          <cell r="Z110">
            <v>36.588687</v>
          </cell>
          <cell r="AA110" t="str">
            <v>n/a</v>
          </cell>
          <cell r="AB110">
            <v>36.084316578609489</v>
          </cell>
          <cell r="AC110">
            <v>140.52974</v>
          </cell>
          <cell r="AD110">
            <v>342.07297000000023</v>
          </cell>
          <cell r="AE110">
            <v>534.94555500000001</v>
          </cell>
          <cell r="AH110">
            <v>5465.0170000000144</v>
          </cell>
          <cell r="AI110">
            <v>22651.22600000001</v>
          </cell>
          <cell r="AJ110">
            <v>35993.641999999993</v>
          </cell>
          <cell r="AK110">
            <v>47706.682999999997</v>
          </cell>
          <cell r="AL110">
            <v>67912.348999999987</v>
          </cell>
          <cell r="AM110">
            <v>80661.487999999968</v>
          </cell>
          <cell r="AN110">
            <v>92435.010999999969</v>
          </cell>
          <cell r="AO110">
            <v>107164.67499999997</v>
          </cell>
          <cell r="AP110">
            <v>107164.67499999997</v>
          </cell>
          <cell r="AQ110">
            <v>107164.67499999997</v>
          </cell>
          <cell r="AR110">
            <v>107164.67499999997</v>
          </cell>
          <cell r="AS110">
            <v>107164.67499999997</v>
          </cell>
          <cell r="AW110">
            <v>14352.026999999996</v>
          </cell>
          <cell r="AX110">
            <v>17873.940999999995</v>
          </cell>
          <cell r="AY110">
            <v>21343.431999999997</v>
          </cell>
          <cell r="AZ110">
            <v>34848.667999999998</v>
          </cell>
          <cell r="BA110">
            <v>51383.743000000002</v>
          </cell>
          <cell r="BB110">
            <v>53057.194000000003</v>
          </cell>
          <cell r="BC110">
            <v>58020.115000000005</v>
          </cell>
          <cell r="BD110">
            <v>59841.692000000003</v>
          </cell>
          <cell r="BE110">
            <v>59841.692000000003</v>
          </cell>
          <cell r="BF110">
            <v>59841.692000000003</v>
          </cell>
          <cell r="BG110">
            <v>59841.692000000003</v>
          </cell>
          <cell r="BH110">
            <v>59841.692000000003</v>
          </cell>
          <cell r="BL110">
            <v>9018.4419999999973</v>
          </cell>
          <cell r="BM110">
            <v>19448.062999999998</v>
          </cell>
          <cell r="BN110">
            <v>28349.151999999995</v>
          </cell>
          <cell r="BO110">
            <v>26055.811999999994</v>
          </cell>
          <cell r="BP110">
            <v>29153.055999999997</v>
          </cell>
          <cell r="BQ110">
            <v>30845.838999999996</v>
          </cell>
          <cell r="BR110">
            <v>32793.712999999996</v>
          </cell>
          <cell r="BS110">
            <v>36588.686999999998</v>
          </cell>
          <cell r="BT110">
            <v>36588.686999999998</v>
          </cell>
          <cell r="BU110">
            <v>36588.686999999998</v>
          </cell>
          <cell r="BV110">
            <v>36588.686999999998</v>
          </cell>
          <cell r="BW110">
            <v>36588.686999999998</v>
          </cell>
          <cell r="CP110">
            <v>25076.015943320228</v>
          </cell>
          <cell r="CQ110">
            <v>21389.832441889321</v>
          </cell>
          <cell r="CR110">
            <v>48403.002441889308</v>
          </cell>
          <cell r="CS110">
            <v>68721.612441889345</v>
          </cell>
          <cell r="CT110">
            <v>79644.702441889327</v>
          </cell>
          <cell r="CU110">
            <v>100028.9424418893</v>
          </cell>
          <cell r="CV110">
            <v>118258.84244188934</v>
          </cell>
          <cell r="CW110">
            <v>128616.2124418895</v>
          </cell>
          <cell r="DE110">
            <v>2372.6140841106285</v>
          </cell>
          <cell r="DF110">
            <v>14963.02795279018</v>
          </cell>
          <cell r="DG110">
            <v>19203.707952790195</v>
          </cell>
          <cell r="DH110">
            <v>22857.767952790178</v>
          </cell>
          <cell r="DI110">
            <v>36267.097952790187</v>
          </cell>
          <cell r="DJ110">
            <v>52908.877952790208</v>
          </cell>
          <cell r="DK110">
            <v>55339.547952790163</v>
          </cell>
          <cell r="DL110">
            <v>60027.857952790197</v>
          </cell>
          <cell r="DT110">
            <v>4151.3699725691376</v>
          </cell>
          <cell r="DU110">
            <v>11176.029605320486</v>
          </cell>
          <cell r="DV110">
            <v>22903.169605320483</v>
          </cell>
          <cell r="DW110">
            <v>32926.619605320491</v>
          </cell>
          <cell r="DX110">
            <v>30509.009605320491</v>
          </cell>
          <cell r="DY110">
            <v>33301.779605320495</v>
          </cell>
          <cell r="DZ110">
            <v>35731.059605320494</v>
          </cell>
          <cell r="EA110">
            <v>37268.729605320477</v>
          </cell>
          <cell r="EX110">
            <v>21147.814999999999</v>
          </cell>
          <cell r="EY110">
            <v>56461.910000000018</v>
          </cell>
          <cell r="EZ110">
            <v>77547.120000000054</v>
          </cell>
          <cell r="FA110">
            <v>99910.115000000063</v>
          </cell>
          <cell r="FB110">
            <v>117356.84500000006</v>
          </cell>
          <cell r="FC110">
            <v>147600.20500000007</v>
          </cell>
          <cell r="FD110">
            <v>171413.94500000007</v>
          </cell>
          <cell r="FE110">
            <v>201627.52500000005</v>
          </cell>
          <cell r="FF110">
            <v>221917.06500000003</v>
          </cell>
          <cell r="FG110">
            <v>252338.31500000006</v>
          </cell>
          <cell r="FH110">
            <v>274609.58500000008</v>
          </cell>
          <cell r="FI110">
            <v>298990.51500000007</v>
          </cell>
          <cell r="FM110">
            <v>2061.2399999999989</v>
          </cell>
          <cell r="FN110">
            <v>5733.0699999999979</v>
          </cell>
          <cell r="FO110">
            <v>7640.369999999999</v>
          </cell>
          <cell r="FP110">
            <v>9576.3399999999983</v>
          </cell>
          <cell r="FQ110">
            <v>11469.679999999998</v>
          </cell>
          <cell r="FR110">
            <v>13331.069999999998</v>
          </cell>
          <cell r="FS110">
            <v>22686.489999999998</v>
          </cell>
          <cell r="FT110">
            <v>25327.79</v>
          </cell>
          <cell r="FU110">
            <v>27110.84</v>
          </cell>
          <cell r="FV110">
            <v>37454.1</v>
          </cell>
          <cell r="FW110">
            <v>48430.95</v>
          </cell>
          <cell r="FX110">
            <v>53671.85</v>
          </cell>
          <cell r="GB110">
            <v>4623.7499999999982</v>
          </cell>
          <cell r="GC110">
            <v>29204.649999999994</v>
          </cell>
          <cell r="GD110">
            <v>48662.239999999991</v>
          </cell>
          <cell r="GE110">
            <v>70886.01999999999</v>
          </cell>
          <cell r="GF110">
            <v>80495.95</v>
          </cell>
          <cell r="GG110">
            <v>95590.47</v>
          </cell>
          <cell r="GH110">
            <v>115665.67</v>
          </cell>
          <cell r="GI110">
            <v>129322.31</v>
          </cell>
          <cell r="GJ110">
            <v>140529.74</v>
          </cell>
          <cell r="GK110">
            <v>159885.38</v>
          </cell>
          <cell r="GL110">
            <v>172147.53</v>
          </cell>
          <cell r="GM110">
            <v>182283.19</v>
          </cell>
        </row>
        <row r="111">
          <cell r="A111" t="str">
            <v>General &amp; Administrative Expense</v>
          </cell>
          <cell r="C111">
            <v>925.33782400000007</v>
          </cell>
          <cell r="D111">
            <v>0</v>
          </cell>
          <cell r="E111">
            <v>925.33782400000007</v>
          </cell>
          <cell r="F111" t="str">
            <v>n/a</v>
          </cell>
          <cell r="G111">
            <v>1012.3302715246272</v>
          </cell>
          <cell r="H111">
            <v>1341.0425796120637</v>
          </cell>
          <cell r="J111">
            <v>683.11144300000001</v>
          </cell>
          <cell r="K111">
            <v>0</v>
          </cell>
          <cell r="L111">
            <v>683.11144300000001</v>
          </cell>
          <cell r="M111" t="str">
            <v>n/a</v>
          </cell>
          <cell r="N111">
            <v>793.41560884486648</v>
          </cell>
          <cell r="O111">
            <v>962.92528064144949</v>
          </cell>
          <cell r="Q111">
            <v>131.07180300000002</v>
          </cell>
          <cell r="R111">
            <v>0</v>
          </cell>
          <cell r="S111">
            <v>131.07180300000002</v>
          </cell>
          <cell r="T111" t="str">
            <v>n/a</v>
          </cell>
          <cell r="U111">
            <v>97.584887428264082</v>
          </cell>
          <cell r="V111">
            <v>71.984153894167662</v>
          </cell>
          <cell r="X111">
            <v>111.15457800000001</v>
          </cell>
          <cell r="Y111">
            <v>0</v>
          </cell>
          <cell r="Z111">
            <v>111.15457800000001</v>
          </cell>
          <cell r="AA111" t="str">
            <v>n/a</v>
          </cell>
          <cell r="AB111">
            <v>121.32977525149659</v>
          </cell>
          <cell r="AC111">
            <v>306.13314507644657</v>
          </cell>
          <cell r="AD111">
            <v>1346.8881970064999</v>
          </cell>
          <cell r="AE111">
            <v>1769.8831988759216</v>
          </cell>
          <cell r="AH111">
            <v>73336.295000000013</v>
          </cell>
          <cell r="AI111">
            <v>160054.79399999999</v>
          </cell>
          <cell r="AJ111">
            <v>253746.68</v>
          </cell>
          <cell r="AK111">
            <v>326653.09100000001</v>
          </cell>
          <cell r="AL111">
            <v>432727.17699999997</v>
          </cell>
          <cell r="AM111">
            <v>531035.06599999999</v>
          </cell>
          <cell r="AN111">
            <v>605390.18900000001</v>
          </cell>
          <cell r="AO111">
            <v>683111.44299999997</v>
          </cell>
          <cell r="AP111">
            <v>683111.44299999997</v>
          </cell>
          <cell r="AQ111">
            <v>683111.44299999997</v>
          </cell>
          <cell r="AR111">
            <v>683111.44299999997</v>
          </cell>
          <cell r="AS111">
            <v>683111.44299999997</v>
          </cell>
          <cell r="AW111">
            <v>21751.897999999997</v>
          </cell>
          <cell r="AX111">
            <v>32817.781999999992</v>
          </cell>
          <cell r="AY111">
            <v>44434.663</v>
          </cell>
          <cell r="AZ111">
            <v>70164.188999999998</v>
          </cell>
          <cell r="BA111">
            <v>96619.304000000004</v>
          </cell>
          <cell r="BB111">
            <v>109396.02500000001</v>
          </cell>
          <cell r="BC111">
            <v>122138.11600000001</v>
          </cell>
          <cell r="BD111">
            <v>131071.80300000001</v>
          </cell>
          <cell r="BE111">
            <v>131071.80300000001</v>
          </cell>
          <cell r="BF111">
            <v>131071.80300000001</v>
          </cell>
          <cell r="BG111">
            <v>131071.80300000001</v>
          </cell>
          <cell r="BH111">
            <v>131071.80300000001</v>
          </cell>
          <cell r="BL111">
            <v>16418.312999999998</v>
          </cell>
          <cell r="BM111">
            <v>34391.903999999995</v>
          </cell>
          <cell r="BN111">
            <v>51440.383000000002</v>
          </cell>
          <cell r="BO111">
            <v>63597.112999999998</v>
          </cell>
          <cell r="BP111">
            <v>76884.396999999997</v>
          </cell>
          <cell r="BQ111">
            <v>90220.45</v>
          </cell>
          <cell r="BR111">
            <v>100247.49400000001</v>
          </cell>
          <cell r="BS111">
            <v>111154.57800000001</v>
          </cell>
          <cell r="BT111">
            <v>111154.57800000001</v>
          </cell>
          <cell r="BU111">
            <v>111154.57800000001</v>
          </cell>
          <cell r="BV111">
            <v>111154.57800000001</v>
          </cell>
          <cell r="BW111">
            <v>111154.57800000001</v>
          </cell>
          <cell r="CP111">
            <v>91653.917989830923</v>
          </cell>
          <cell r="CQ111">
            <v>142706.5880608827</v>
          </cell>
          <cell r="CR111">
            <v>255437.25591934496</v>
          </cell>
          <cell r="CS111">
            <v>351827.16100925661</v>
          </cell>
          <cell r="CT111">
            <v>423888.10670077568</v>
          </cell>
          <cell r="CU111">
            <v>527943.08025454381</v>
          </cell>
          <cell r="CV111">
            <v>622782.61117880838</v>
          </cell>
          <cell r="CW111">
            <v>698436.72173777816</v>
          </cell>
          <cell r="DE111">
            <v>11037.050770683829</v>
          </cell>
          <cell r="DF111">
            <v>30884.013887323665</v>
          </cell>
          <cell r="DG111">
            <v>45249.163165194455</v>
          </cell>
          <cell r="DH111">
            <v>56368.519529905359</v>
          </cell>
          <cell r="DI111">
            <v>81993.288569559401</v>
          </cell>
          <cell r="DJ111">
            <v>108204.71898314935</v>
          </cell>
          <cell r="DK111">
            <v>120311.85028755131</v>
          </cell>
          <cell r="DL111">
            <v>133212.22051132907</v>
          </cell>
          <cell r="DT111">
            <v>13754.923689467767</v>
          </cell>
          <cell r="DU111">
            <v>26454.973781109547</v>
          </cell>
          <cell r="DV111">
            <v>48112.149782638946</v>
          </cell>
          <cell r="DW111">
            <v>65652.289961492032</v>
          </cell>
          <cell r="DX111">
            <v>77676.565895817796</v>
          </cell>
          <cell r="DY111">
            <v>90335.387167515233</v>
          </cell>
          <cell r="DZ111">
            <v>103088.63444635271</v>
          </cell>
          <cell r="EA111">
            <v>113105.7476237987</v>
          </cell>
          <cell r="EX111">
            <v>111842.39288297355</v>
          </cell>
          <cell r="EY111">
            <v>248378.23360668763</v>
          </cell>
          <cell r="EZ111">
            <v>345474.29523240455</v>
          </cell>
          <cell r="FA111">
            <v>429400.1281664382</v>
          </cell>
          <cell r="FB111">
            <v>512772.45718972932</v>
          </cell>
          <cell r="FC111">
            <v>634407.0725111987</v>
          </cell>
          <cell r="FD111">
            <v>749005.80590227176</v>
          </cell>
          <cell r="FE111">
            <v>862574.89253874554</v>
          </cell>
          <cell r="FF111">
            <v>962925.2806414495</v>
          </cell>
          <cell r="FG111">
            <v>1073279.5136658805</v>
          </cell>
          <cell r="FH111">
            <v>1172792.6526306947</v>
          </cell>
          <cell r="FI111">
            <v>1258794.9817808182</v>
          </cell>
          <cell r="FM111">
            <v>7926.9290419261788</v>
          </cell>
          <cell r="FN111">
            <v>17011.824721104138</v>
          </cell>
          <cell r="FO111">
            <v>23427.222170085588</v>
          </cell>
          <cell r="FP111">
            <v>29325.255513083466</v>
          </cell>
          <cell r="FQ111">
            <v>35201.704263830543</v>
          </cell>
          <cell r="FR111">
            <v>43161.852734006541</v>
          </cell>
          <cell r="FS111">
            <v>56908.224699781531</v>
          </cell>
          <cell r="FT111">
            <v>65467.575583077894</v>
          </cell>
          <cell r="FU111">
            <v>71984.153894167655</v>
          </cell>
          <cell r="FV111">
            <v>87282.7094197119</v>
          </cell>
          <cell r="FW111">
            <v>102659.37241802852</v>
          </cell>
          <cell r="FX111">
            <v>111394.09713325718</v>
          </cell>
          <cell r="GB111">
            <v>25940.837728347971</v>
          </cell>
          <cell r="GC111">
            <v>69417.300222281134</v>
          </cell>
          <cell r="GD111">
            <v>105339.4929191017</v>
          </cell>
          <cell r="GE111">
            <v>143875.54823946807</v>
          </cell>
          <cell r="GF111">
            <v>167715.74676493075</v>
          </cell>
          <cell r="GG111">
            <v>202950.06755453863</v>
          </cell>
          <cell r="GH111">
            <v>238499.42833465582</v>
          </cell>
          <cell r="GI111">
            <v>275556.06119623047</v>
          </cell>
          <cell r="GJ111">
            <v>306133.14507644653</v>
          </cell>
          <cell r="GK111">
            <v>345946.38079493411</v>
          </cell>
          <cell r="GL111">
            <v>375747.11001631268</v>
          </cell>
          <cell r="GM111">
            <v>399694.11996184633</v>
          </cell>
        </row>
        <row r="114">
          <cell r="A114" t="str">
            <v>Operating Income/(Loss)</v>
          </cell>
          <cell r="C114">
            <v>2599.6348399999979</v>
          </cell>
          <cell r="D114">
            <v>0</v>
          </cell>
          <cell r="E114">
            <v>2599.6348399999979</v>
          </cell>
          <cell r="F114" t="str">
            <v>n/a</v>
          </cell>
          <cell r="G114">
            <v>1784.5678288517147</v>
          </cell>
          <cell r="H114">
            <v>1439.8283799999979</v>
          </cell>
          <cell r="J114">
            <v>2291.0139749999998</v>
          </cell>
          <cell r="K114">
            <v>0</v>
          </cell>
          <cell r="L114">
            <v>2291.0139749999998</v>
          </cell>
          <cell r="M114" t="str">
            <v>n/a</v>
          </cell>
          <cell r="N114">
            <v>1091.7486582440069</v>
          </cell>
          <cell r="O114">
            <v>1167.3296200000011</v>
          </cell>
          <cell r="Q114">
            <v>241.35328600000017</v>
          </cell>
          <cell r="R114">
            <v>0</v>
          </cell>
          <cell r="S114">
            <v>241.35328600000017</v>
          </cell>
          <cell r="T114" t="str">
            <v>n/a</v>
          </cell>
          <cell r="U114">
            <v>611.86518713749808</v>
          </cell>
          <cell r="V114">
            <v>-1.0856460000001107</v>
          </cell>
          <cell r="X114">
            <v>67.267578999999898</v>
          </cell>
          <cell r="Y114">
            <v>0</v>
          </cell>
          <cell r="Z114">
            <v>67.267578999999898</v>
          </cell>
          <cell r="AA114" t="str">
            <v>n/a</v>
          </cell>
          <cell r="AB114">
            <v>80.953983470208897</v>
          </cell>
          <cell r="AC114">
            <v>273.58440599999994</v>
          </cell>
          <cell r="AD114">
            <v>2171.3859188022411</v>
          </cell>
          <cell r="AE114">
            <v>1530.721790000001</v>
          </cell>
          <cell r="AH114">
            <v>988.82700000013574</v>
          </cell>
          <cell r="AI114">
            <v>67751.087000000174</v>
          </cell>
          <cell r="AJ114">
            <v>664884.11599999969</v>
          </cell>
          <cell r="AK114">
            <v>966985.85499999905</v>
          </cell>
          <cell r="AL114">
            <v>1229063.5500000003</v>
          </cell>
          <cell r="AM114">
            <v>1952605.0650000004</v>
          </cell>
          <cell r="AN114">
            <v>2139206.9730000002</v>
          </cell>
          <cell r="AO114">
            <v>2291013.9749999978</v>
          </cell>
          <cell r="AP114">
            <v>2291013.9749999978</v>
          </cell>
          <cell r="AQ114">
            <v>2291013.9749999978</v>
          </cell>
          <cell r="AR114">
            <v>2291013.9749999978</v>
          </cell>
          <cell r="AS114">
            <v>2291013.9749999978</v>
          </cell>
          <cell r="AW114">
            <v>59092.423999999999</v>
          </cell>
          <cell r="AX114">
            <v>47710.743999999992</v>
          </cell>
          <cell r="AY114">
            <v>150121.16500000007</v>
          </cell>
          <cell r="AZ114">
            <v>264594.68599999999</v>
          </cell>
          <cell r="BA114">
            <v>300579.4310000001</v>
          </cell>
          <cell r="BB114">
            <v>255984.7359999998</v>
          </cell>
          <cell r="BC114">
            <v>229083.71800000008</v>
          </cell>
          <cell r="BD114">
            <v>241353.28600000002</v>
          </cell>
          <cell r="BE114">
            <v>241353.28600000002</v>
          </cell>
          <cell r="BF114">
            <v>241353.28600000002</v>
          </cell>
          <cell r="BG114">
            <v>241353.28600000002</v>
          </cell>
          <cell r="BH114">
            <v>241353.28600000002</v>
          </cell>
          <cell r="BL114">
            <v>82605.058999999965</v>
          </cell>
          <cell r="BM114">
            <v>57652.869000000021</v>
          </cell>
          <cell r="BN114">
            <v>-72417.390999999989</v>
          </cell>
          <cell r="BO114">
            <v>-211267.87099999998</v>
          </cell>
          <cell r="BP114">
            <v>-166699.7209999999</v>
          </cell>
          <cell r="BQ114">
            <v>64219.959000000017</v>
          </cell>
          <cell r="BR114">
            <v>40638.588999999949</v>
          </cell>
          <cell r="BS114">
            <v>67267.578999999881</v>
          </cell>
          <cell r="BT114">
            <v>67267.578999999881</v>
          </cell>
          <cell r="BU114">
            <v>67267.578999999881</v>
          </cell>
          <cell r="BV114">
            <v>67267.578999999881</v>
          </cell>
          <cell r="BW114">
            <v>67267.578999999881</v>
          </cell>
          <cell r="CP114">
            <v>75126.303910495801</v>
          </cell>
          <cell r="CQ114">
            <v>164555.48459701653</v>
          </cell>
          <cell r="CR114">
            <v>517807.43218752393</v>
          </cell>
          <cell r="CS114">
            <v>930160.60754943232</v>
          </cell>
          <cell r="CT114">
            <v>995459.87370130466</v>
          </cell>
          <cell r="CU114">
            <v>1356410.2535422377</v>
          </cell>
          <cell r="CV114">
            <v>1921367.4219482229</v>
          </cell>
          <cell r="CW114">
            <v>2160652.0714471149</v>
          </cell>
          <cell r="DE114">
            <v>6748.5212395382223</v>
          </cell>
          <cell r="DF114">
            <v>194049.57326804855</v>
          </cell>
          <cell r="DG114">
            <v>180121.75305721033</v>
          </cell>
          <cell r="DH114">
            <v>292997.41843699844</v>
          </cell>
          <cell r="DI114">
            <v>319329.97382383735</v>
          </cell>
          <cell r="DJ114">
            <v>347843.88334764098</v>
          </cell>
          <cell r="DK114">
            <v>275402.51123071788</v>
          </cell>
          <cell r="DL114">
            <v>282590.52244417177</v>
          </cell>
          <cell r="DT114">
            <v>68760.937097991817</v>
          </cell>
          <cell r="DU114">
            <v>39865.623700533099</v>
          </cell>
          <cell r="DV114">
            <v>-73123.799320050588</v>
          </cell>
          <cell r="DW114">
            <v>-178058.27367803684</v>
          </cell>
          <cell r="DX114">
            <v>-16210.556999018154</v>
          </cell>
          <cell r="DY114">
            <v>16131.159673337708</v>
          </cell>
          <cell r="DZ114">
            <v>93497.48454739734</v>
          </cell>
          <cell r="EA114">
            <v>85926.381256753142</v>
          </cell>
          <cell r="EX114">
            <v>144311.19500000007</v>
          </cell>
          <cell r="EY114">
            <v>195548.48499999993</v>
          </cell>
          <cell r="EZ114">
            <v>854901.85999999964</v>
          </cell>
          <cell r="FA114">
            <v>1022377.2450000005</v>
          </cell>
          <cell r="FB114">
            <v>1434986.9099999997</v>
          </cell>
          <cell r="FC114">
            <v>1984940.2200000004</v>
          </cell>
          <cell r="FD114">
            <v>1710556.8700000003</v>
          </cell>
          <cell r="FE114">
            <v>1570034.5600000019</v>
          </cell>
          <cell r="FF114">
            <v>1495842.1800000006</v>
          </cell>
          <cell r="FG114">
            <v>1547053.8690000004</v>
          </cell>
          <cell r="FH114">
            <v>1581985.1840000022</v>
          </cell>
          <cell r="FI114">
            <v>1718016.4840000025</v>
          </cell>
          <cell r="FM114">
            <v>28871.243000000006</v>
          </cell>
          <cell r="FN114">
            <v>66557.709000000003</v>
          </cell>
          <cell r="FO114">
            <v>129962.326</v>
          </cell>
          <cell r="FP114">
            <v>126334.577</v>
          </cell>
          <cell r="FQ114">
            <v>110510.73599999999</v>
          </cell>
          <cell r="FR114">
            <v>65906.614000000001</v>
          </cell>
          <cell r="FS114">
            <v>31883.943999999981</v>
          </cell>
          <cell r="FT114">
            <v>30706.804000000018</v>
          </cell>
          <cell r="FU114">
            <v>59826.364000000031</v>
          </cell>
          <cell r="FV114">
            <v>86224.724999999977</v>
          </cell>
          <cell r="FW114">
            <v>91590.820000000051</v>
          </cell>
          <cell r="FX114">
            <v>113577.28800000002</v>
          </cell>
          <cell r="GB114">
            <v>-29585.577999999987</v>
          </cell>
          <cell r="GC114">
            <v>-9603.6739999999627</v>
          </cell>
          <cell r="GD114">
            <v>151746.31400000007</v>
          </cell>
          <cell r="GE114">
            <v>189955.09800000006</v>
          </cell>
          <cell r="GF114">
            <v>350658.80400000012</v>
          </cell>
          <cell r="GG114">
            <v>543095.83600000001</v>
          </cell>
          <cell r="GH114">
            <v>669102.9659999999</v>
          </cell>
          <cell r="GI114">
            <v>697392.70600000012</v>
          </cell>
          <cell r="GJ114">
            <v>666856.196</v>
          </cell>
          <cell r="GK114">
            <v>696847.53600000008</v>
          </cell>
          <cell r="GL114">
            <v>759285.83599999989</v>
          </cell>
          <cell r="GM114">
            <v>828517.65799999959</v>
          </cell>
        </row>
        <row r="116">
          <cell r="A116" t="str">
            <v>Other Income/(Expense)</v>
          </cell>
          <cell r="C116">
            <v>-139.60287000000002</v>
          </cell>
          <cell r="D116">
            <v>0</v>
          </cell>
          <cell r="E116">
            <v>-139.60287000000002</v>
          </cell>
          <cell r="F116" t="str">
            <v>n/a</v>
          </cell>
          <cell r="G116">
            <v>-150.6120499999999</v>
          </cell>
          <cell r="H116">
            <v>-40.384209999999996</v>
          </cell>
          <cell r="J116">
            <v>-48.487179999999995</v>
          </cell>
          <cell r="K116">
            <v>0</v>
          </cell>
          <cell r="L116">
            <v>-48.487179999999995</v>
          </cell>
          <cell r="M116" t="str">
            <v>n/a</v>
          </cell>
          <cell r="N116">
            <v>175.08485964024152</v>
          </cell>
          <cell r="O116">
            <v>-10.889200000000001</v>
          </cell>
          <cell r="Q116">
            <v>-80.03425</v>
          </cell>
          <cell r="R116">
            <v>0</v>
          </cell>
          <cell r="S116">
            <v>-80.03425</v>
          </cell>
          <cell r="T116" t="str">
            <v>n/a</v>
          </cell>
          <cell r="U116">
            <v>-307.21501115454959</v>
          </cell>
          <cell r="V116">
            <v>1.0055800000000001</v>
          </cell>
          <cell r="X116">
            <v>-11.081440000000002</v>
          </cell>
          <cell r="Y116">
            <v>0</v>
          </cell>
          <cell r="Z116">
            <v>-11.081440000000002</v>
          </cell>
          <cell r="AA116" t="str">
            <v>n/a</v>
          </cell>
          <cell r="AB116">
            <v>-18.481898485691843</v>
          </cell>
          <cell r="AC116">
            <v>-30.500589999999995</v>
          </cell>
          <cell r="AD116">
            <v>-180.20557000000002</v>
          </cell>
          <cell r="AE116">
            <v>-102.80721</v>
          </cell>
          <cell r="AH116">
            <v>0</v>
          </cell>
          <cell r="AI116">
            <v>-5.88</v>
          </cell>
          <cell r="AJ116">
            <v>-33837.579999999994</v>
          </cell>
          <cell r="AK116">
            <v>-33837.649999999994</v>
          </cell>
          <cell r="AL116">
            <v>-471.73999999999069</v>
          </cell>
          <cell r="AM116">
            <v>-30930.829999999994</v>
          </cell>
          <cell r="AN116">
            <v>-40030.829999999994</v>
          </cell>
          <cell r="AO116">
            <v>-48487.179999999993</v>
          </cell>
          <cell r="AP116">
            <v>-48487.179999999993</v>
          </cell>
          <cell r="AQ116">
            <v>-48487.179999999993</v>
          </cell>
          <cell r="AR116">
            <v>-48487.179999999993</v>
          </cell>
          <cell r="AS116">
            <v>-48487.179999999993</v>
          </cell>
          <cell r="AW116">
            <v>0</v>
          </cell>
          <cell r="AX116">
            <v>0</v>
          </cell>
          <cell r="AY116">
            <v>-6766.34</v>
          </cell>
          <cell r="AZ116">
            <v>-41766.350000000006</v>
          </cell>
          <cell r="BA116">
            <v>-75132.260000000009</v>
          </cell>
          <cell r="BB116">
            <v>-41184.98000000001</v>
          </cell>
          <cell r="BC116">
            <v>-43004.98000000001</v>
          </cell>
          <cell r="BD116">
            <v>-80034.25</v>
          </cell>
          <cell r="BE116">
            <v>-80034.25</v>
          </cell>
          <cell r="BF116">
            <v>-80034.25</v>
          </cell>
          <cell r="BG116">
            <v>-80034.25</v>
          </cell>
          <cell r="BH116">
            <v>-80034.25</v>
          </cell>
          <cell r="BL116">
            <v>0</v>
          </cell>
          <cell r="BM116">
            <v>0</v>
          </cell>
          <cell r="BN116">
            <v>-7732.96</v>
          </cell>
          <cell r="BO116">
            <v>-7732.9800000000005</v>
          </cell>
          <cell r="BP116">
            <v>-7732.9800000000005</v>
          </cell>
          <cell r="BQ116">
            <v>-7068.56</v>
          </cell>
          <cell r="BR116">
            <v>-9148.5600000000013</v>
          </cell>
          <cell r="BS116">
            <v>-11081.440000000002</v>
          </cell>
          <cell r="BT116">
            <v>-11081.440000000002</v>
          </cell>
          <cell r="BU116">
            <v>-11081.440000000002</v>
          </cell>
          <cell r="BV116">
            <v>-11081.440000000002</v>
          </cell>
          <cell r="BW116">
            <v>-11081.440000000002</v>
          </cell>
          <cell r="CP116">
            <v>-11360.830720048163</v>
          </cell>
          <cell r="CQ116">
            <v>17787.05058086483</v>
          </cell>
          <cell r="CR116">
            <v>21387.416344768913</v>
          </cell>
          <cell r="CS116">
            <v>-2938.4735396245023</v>
          </cell>
          <cell r="CT116">
            <v>-2983.5182541886329</v>
          </cell>
          <cell r="CU116">
            <v>-32360.268037449132</v>
          </cell>
          <cell r="CV116">
            <v>-39700.609999999993</v>
          </cell>
          <cell r="CW116">
            <v>-50477.259999999995</v>
          </cell>
          <cell r="DE116">
            <v>-1650.1656676700784</v>
          </cell>
          <cell r="DF116">
            <v>-32844.930580864828</v>
          </cell>
          <cell r="DG116">
            <v>-42361.226344768911</v>
          </cell>
          <cell r="DH116">
            <v>-40491.19646037549</v>
          </cell>
          <cell r="DI116">
            <v>-75446.231745811354</v>
          </cell>
          <cell r="DJ116">
            <v>-85593.680962550876</v>
          </cell>
          <cell r="DK116">
            <v>-43338.95</v>
          </cell>
          <cell r="DL116">
            <v>-45598.95</v>
          </cell>
          <cell r="DT116">
            <v>-2933.7036122817581</v>
          </cell>
          <cell r="DU116">
            <v>-2123.31</v>
          </cell>
          <cell r="DV116">
            <v>-2087.84</v>
          </cell>
          <cell r="DW116">
            <v>-8046.93</v>
          </cell>
          <cell r="DX116">
            <v>-8046.9500000000007</v>
          </cell>
          <cell r="DY116">
            <v>-15966.059599999999</v>
          </cell>
          <cell r="DZ116">
            <v>-9520.8499999999985</v>
          </cell>
          <cell r="EA116">
            <v>-11606.849999999999</v>
          </cell>
          <cell r="EX116">
            <v>-6670.5899999999992</v>
          </cell>
          <cell r="EY116">
            <v>-6795.0899999999992</v>
          </cell>
          <cell r="EZ116">
            <v>-9088.34</v>
          </cell>
          <cell r="FA116">
            <v>-14691.24</v>
          </cell>
          <cell r="FB116">
            <v>-16822.09</v>
          </cell>
          <cell r="FC116">
            <v>-26752.95</v>
          </cell>
          <cell r="FD116">
            <v>-26710.95</v>
          </cell>
          <cell r="FE116">
            <v>-27473.11</v>
          </cell>
          <cell r="FF116">
            <v>-10889.2</v>
          </cell>
          <cell r="FG116">
            <v>-38118.97</v>
          </cell>
          <cell r="FH116">
            <v>-45436.92</v>
          </cell>
          <cell r="FI116">
            <v>-55220.99</v>
          </cell>
          <cell r="FM116">
            <v>0</v>
          </cell>
          <cell r="FN116">
            <v>0</v>
          </cell>
          <cell r="FO116">
            <v>0</v>
          </cell>
          <cell r="FP116">
            <v>0</v>
          </cell>
          <cell r="FQ116">
            <v>0</v>
          </cell>
          <cell r="FR116">
            <v>0</v>
          </cell>
          <cell r="FS116">
            <v>0</v>
          </cell>
          <cell r="FT116">
            <v>0</v>
          </cell>
          <cell r="FU116">
            <v>1005.58</v>
          </cell>
          <cell r="FV116">
            <v>-1325.12</v>
          </cell>
          <cell r="FW116">
            <v>-1791.2599999999998</v>
          </cell>
          <cell r="FX116">
            <v>-2138.6699999999996</v>
          </cell>
          <cell r="GB116">
            <v>0</v>
          </cell>
          <cell r="GC116">
            <v>-6000</v>
          </cell>
          <cell r="GD116">
            <v>-6000</v>
          </cell>
          <cell r="GE116">
            <v>-12000</v>
          </cell>
          <cell r="GF116">
            <v>-12000</v>
          </cell>
          <cell r="GG116">
            <v>-35280.85</v>
          </cell>
          <cell r="GH116">
            <v>-35280.85</v>
          </cell>
          <cell r="GI116">
            <v>-35280.85</v>
          </cell>
          <cell r="GJ116">
            <v>-30500.589999999997</v>
          </cell>
          <cell r="GK116">
            <v>-41580.119999999995</v>
          </cell>
          <cell r="GL116">
            <v>-43796.03</v>
          </cell>
          <cell r="GM116">
            <v>-45447.549999999996</v>
          </cell>
        </row>
        <row r="118">
          <cell r="A118" t="str">
            <v>EBITDA</v>
          </cell>
          <cell r="C118">
            <v>2460.0319699999977</v>
          </cell>
          <cell r="D118">
            <v>0</v>
          </cell>
          <cell r="E118">
            <v>2460.0319699999977</v>
          </cell>
          <cell r="F118" t="str">
            <v>n/a</v>
          </cell>
          <cell r="G118">
            <v>1633.9557788517147</v>
          </cell>
          <cell r="H118">
            <v>1399.4441699999979</v>
          </cell>
          <cell r="J118">
            <v>2242.5267949999998</v>
          </cell>
          <cell r="K118">
            <v>0</v>
          </cell>
          <cell r="L118">
            <v>2242.5267949999998</v>
          </cell>
          <cell r="M118" t="str">
            <v>n/a</v>
          </cell>
          <cell r="N118">
            <v>1266.8335178842485</v>
          </cell>
          <cell r="O118">
            <v>1156.440420000001</v>
          </cell>
          <cell r="Q118">
            <v>161.31903600000015</v>
          </cell>
          <cell r="R118">
            <v>0</v>
          </cell>
          <cell r="S118">
            <v>161.31903600000015</v>
          </cell>
          <cell r="T118" t="str">
            <v>n/a</v>
          </cell>
          <cell r="U118">
            <v>304.6501759829485</v>
          </cell>
          <cell r="V118">
            <v>-8.0066000000110549E-2</v>
          </cell>
          <cell r="X118">
            <v>56.186138999999898</v>
          </cell>
          <cell r="Y118">
            <v>0</v>
          </cell>
          <cell r="Z118">
            <v>56.186138999999898</v>
          </cell>
          <cell r="AA118" t="str">
            <v>n/a</v>
          </cell>
          <cell r="AB118">
            <v>62.472084984517053</v>
          </cell>
          <cell r="AC118">
            <v>243.08381599999996</v>
          </cell>
          <cell r="AD118">
            <v>1991.180348802241</v>
          </cell>
          <cell r="AE118">
            <v>1427.914580000001</v>
          </cell>
          <cell r="AH118">
            <v>988.82700000013574</v>
          </cell>
          <cell r="AI118">
            <v>67745.20700000017</v>
          </cell>
          <cell r="AJ118">
            <v>631046.53599999973</v>
          </cell>
          <cell r="AK118">
            <v>933148.20499999903</v>
          </cell>
          <cell r="AL118">
            <v>1228591.8100000003</v>
          </cell>
          <cell r="AM118">
            <v>1921674.2350000003</v>
          </cell>
          <cell r="AN118">
            <v>2099176.1430000002</v>
          </cell>
          <cell r="AO118">
            <v>2242526.7949999976</v>
          </cell>
          <cell r="AP118">
            <v>2242526.7949999976</v>
          </cell>
          <cell r="AQ118">
            <v>2242526.7949999976</v>
          </cell>
          <cell r="AR118">
            <v>2242526.7949999976</v>
          </cell>
          <cell r="AS118">
            <v>2242526.7949999976</v>
          </cell>
          <cell r="AW118">
            <v>59092.423999999999</v>
          </cell>
          <cell r="AX118">
            <v>47710.743999999992</v>
          </cell>
          <cell r="AY118">
            <v>143354.82500000007</v>
          </cell>
          <cell r="AZ118">
            <v>222828.33599999998</v>
          </cell>
          <cell r="BA118">
            <v>225447.17100000009</v>
          </cell>
          <cell r="BB118">
            <v>214799.75599999979</v>
          </cell>
          <cell r="BC118">
            <v>186078.73800000007</v>
          </cell>
          <cell r="BD118">
            <v>161319.03600000002</v>
          </cell>
          <cell r="BE118">
            <v>161319.03600000002</v>
          </cell>
          <cell r="BF118">
            <v>161319.03600000002</v>
          </cell>
          <cell r="BG118">
            <v>161319.03600000002</v>
          </cell>
          <cell r="BH118">
            <v>161319.03600000002</v>
          </cell>
          <cell r="BL118">
            <v>82605.058999999965</v>
          </cell>
          <cell r="BM118">
            <v>57652.869000000021</v>
          </cell>
          <cell r="BN118">
            <v>-80150.350999999995</v>
          </cell>
          <cell r="BO118">
            <v>-219000.851</v>
          </cell>
          <cell r="BP118">
            <v>-174432.70099999991</v>
          </cell>
          <cell r="BQ118">
            <v>57151.399000000019</v>
          </cell>
          <cell r="BR118">
            <v>31490.028999999948</v>
          </cell>
          <cell r="BS118">
            <v>56186.138999999879</v>
          </cell>
          <cell r="BT118">
            <v>56186.138999999879</v>
          </cell>
          <cell r="BU118">
            <v>56186.138999999879</v>
          </cell>
          <cell r="BV118">
            <v>56186.138999999879</v>
          </cell>
          <cell r="BW118">
            <v>56186.138999999879</v>
          </cell>
          <cell r="CP118">
            <v>63765.473190447636</v>
          </cell>
          <cell r="CQ118">
            <v>182342.53517788136</v>
          </cell>
          <cell r="CR118">
            <v>539194.84853229288</v>
          </cell>
          <cell r="CS118">
            <v>927222.13400980784</v>
          </cell>
          <cell r="CT118">
            <v>992476.35544711608</v>
          </cell>
          <cell r="CU118">
            <v>1324049.9855047886</v>
          </cell>
          <cell r="CV118">
            <v>1881666.8119482228</v>
          </cell>
          <cell r="CW118">
            <v>2110174.8114471151</v>
          </cell>
          <cell r="DE118">
            <v>5098.3555718681437</v>
          </cell>
          <cell r="DF118">
            <v>161204.64268718372</v>
          </cell>
          <cell r="DG118">
            <v>137760.52671244141</v>
          </cell>
          <cell r="DH118">
            <v>252506.22197662294</v>
          </cell>
          <cell r="DI118">
            <v>243883.742078026</v>
          </cell>
          <cell r="DJ118">
            <v>262250.20238509012</v>
          </cell>
          <cell r="DK118">
            <v>232063.56123071787</v>
          </cell>
          <cell r="DL118">
            <v>236991.57244417176</v>
          </cell>
          <cell r="DT118">
            <v>65827.233485710065</v>
          </cell>
          <cell r="DU118">
            <v>37742.313700533101</v>
          </cell>
          <cell r="DV118">
            <v>-75211.639320050585</v>
          </cell>
          <cell r="DW118">
            <v>-186105.20367803684</v>
          </cell>
          <cell r="DX118">
            <v>-24257.506999018155</v>
          </cell>
          <cell r="DY118">
            <v>165.10007333770955</v>
          </cell>
          <cell r="DZ118">
            <v>83976.634547397349</v>
          </cell>
          <cell r="EA118">
            <v>74319.531256753136</v>
          </cell>
          <cell r="EX118">
            <v>137640.60500000007</v>
          </cell>
          <cell r="EY118">
            <v>188753.39499999993</v>
          </cell>
          <cell r="EZ118">
            <v>845813.51999999967</v>
          </cell>
          <cell r="FA118">
            <v>1007686.0050000005</v>
          </cell>
          <cell r="FB118">
            <v>1418164.8199999996</v>
          </cell>
          <cell r="FC118">
            <v>1958187.2700000005</v>
          </cell>
          <cell r="FD118">
            <v>1683845.9200000004</v>
          </cell>
          <cell r="FE118">
            <v>1542561.4500000018</v>
          </cell>
          <cell r="FF118">
            <v>1484952.9800000007</v>
          </cell>
          <cell r="FG118">
            <v>1508934.8990000004</v>
          </cell>
          <cell r="FH118">
            <v>1536548.2640000023</v>
          </cell>
          <cell r="FI118">
            <v>1662795.4940000025</v>
          </cell>
          <cell r="FM118">
            <v>28871.243000000006</v>
          </cell>
          <cell r="FN118">
            <v>66557.709000000003</v>
          </cell>
          <cell r="FO118">
            <v>129962.326</v>
          </cell>
          <cell r="FP118">
            <v>126334.577</v>
          </cell>
          <cell r="FQ118">
            <v>110510.73599999999</v>
          </cell>
          <cell r="FR118">
            <v>65906.614000000001</v>
          </cell>
          <cell r="FS118">
            <v>31883.943999999981</v>
          </cell>
          <cell r="FT118">
            <v>30706.804000000018</v>
          </cell>
          <cell r="FU118">
            <v>60831.944000000032</v>
          </cell>
          <cell r="FV118">
            <v>84899.604999999981</v>
          </cell>
          <cell r="FW118">
            <v>89799.560000000056</v>
          </cell>
          <cell r="FX118">
            <v>111438.61800000002</v>
          </cell>
          <cell r="GB118">
            <v>-29585.577999999987</v>
          </cell>
          <cell r="GC118">
            <v>-15603.673999999963</v>
          </cell>
          <cell r="GD118">
            <v>145746.31400000007</v>
          </cell>
          <cell r="GE118">
            <v>177955.09800000006</v>
          </cell>
          <cell r="GF118">
            <v>338658.80400000012</v>
          </cell>
          <cell r="GG118">
            <v>507814.98600000003</v>
          </cell>
          <cell r="GH118">
            <v>633822.11599999992</v>
          </cell>
          <cell r="GI118">
            <v>662111.85600000015</v>
          </cell>
          <cell r="GJ118">
            <v>636355.60600000003</v>
          </cell>
          <cell r="GK118">
            <v>655267.41600000008</v>
          </cell>
          <cell r="GL118">
            <v>715489.80599999987</v>
          </cell>
          <cell r="GM118">
            <v>783070.10799999954</v>
          </cell>
        </row>
        <row r="120">
          <cell r="A120" t="str">
            <v>Interest Expense (Net)</v>
          </cell>
          <cell r="C120">
            <v>-27.282979999999998</v>
          </cell>
          <cell r="D120">
            <v>0</v>
          </cell>
          <cell r="E120">
            <v>-27.282979999999998</v>
          </cell>
          <cell r="F120" t="str">
            <v>n/a</v>
          </cell>
          <cell r="G120">
            <v>0</v>
          </cell>
          <cell r="H120">
            <v>163.12027999999998</v>
          </cell>
          <cell r="J120">
            <v>-19.963609999999999</v>
          </cell>
          <cell r="K120">
            <v>0</v>
          </cell>
          <cell r="L120">
            <v>-19.963609999999999</v>
          </cell>
          <cell r="M120" t="str">
            <v>n/a</v>
          </cell>
          <cell r="N120">
            <v>0</v>
          </cell>
          <cell r="O120">
            <v>131.15669999999997</v>
          </cell>
          <cell r="Q120">
            <v>-3.5972999999999997</v>
          </cell>
          <cell r="R120">
            <v>0</v>
          </cell>
          <cell r="S120">
            <v>-3.5972999999999997</v>
          </cell>
          <cell r="T120" t="str">
            <v>n/a</v>
          </cell>
          <cell r="U120">
            <v>0</v>
          </cell>
          <cell r="V120">
            <v>9.4773499999999977</v>
          </cell>
          <cell r="X120">
            <v>-3.72207</v>
          </cell>
          <cell r="Y120">
            <v>0</v>
          </cell>
          <cell r="Z120">
            <v>-3.72207</v>
          </cell>
          <cell r="AA120" t="str">
            <v>n/a</v>
          </cell>
          <cell r="AB120">
            <v>0</v>
          </cell>
          <cell r="AC120">
            <v>22.486229999999999</v>
          </cell>
          <cell r="AD120">
            <v>-27.282979999999995</v>
          </cell>
          <cell r="AE120">
            <v>249.63954999999999</v>
          </cell>
          <cell r="AH120">
            <v>44.660000000000004</v>
          </cell>
          <cell r="AI120">
            <v>-21131.260000000002</v>
          </cell>
          <cell r="AJ120">
            <v>-20695.640000000003</v>
          </cell>
          <cell r="AK120">
            <v>-20155.520000000004</v>
          </cell>
          <cell r="AL120">
            <v>-20012.980000000003</v>
          </cell>
          <cell r="AM120">
            <v>-19960.760000000002</v>
          </cell>
          <cell r="AN120">
            <v>-19958.29</v>
          </cell>
          <cell r="AO120">
            <v>-19963.61</v>
          </cell>
          <cell r="AP120">
            <v>-19963.61</v>
          </cell>
          <cell r="AQ120">
            <v>-19963.61</v>
          </cell>
          <cell r="AR120">
            <v>-19963.61</v>
          </cell>
          <cell r="AS120">
            <v>-19963.61</v>
          </cell>
          <cell r="AW120">
            <v>4.87</v>
          </cell>
          <cell r="AX120">
            <v>-3043.68</v>
          </cell>
          <cell r="AY120">
            <v>-3252.14</v>
          </cell>
          <cell r="AZ120">
            <v>-3504.19</v>
          </cell>
          <cell r="BA120">
            <v>-3570.71</v>
          </cell>
          <cell r="BB120">
            <v>-3595.08</v>
          </cell>
          <cell r="BC120">
            <v>-3596.24</v>
          </cell>
          <cell r="BD120">
            <v>-3597.2999999999997</v>
          </cell>
          <cell r="BE120">
            <v>-3597.2999999999997</v>
          </cell>
          <cell r="BF120">
            <v>-3597.2999999999997</v>
          </cell>
          <cell r="BG120">
            <v>-3597.2999999999997</v>
          </cell>
          <cell r="BH120">
            <v>-3597.2999999999997</v>
          </cell>
          <cell r="BL120">
            <v>4.5999999999999996</v>
          </cell>
          <cell r="BM120">
            <v>-3089.36</v>
          </cell>
          <cell r="BN120">
            <v>-3327.6000000000004</v>
          </cell>
          <cell r="BO120">
            <v>-3615.6600000000003</v>
          </cell>
          <cell r="BP120">
            <v>-3691.6800000000003</v>
          </cell>
          <cell r="BQ120">
            <v>-3719.53</v>
          </cell>
          <cell r="BR120">
            <v>-3720.8500000000004</v>
          </cell>
          <cell r="BS120">
            <v>-3722.07</v>
          </cell>
          <cell r="BT120">
            <v>-3722.07</v>
          </cell>
          <cell r="BU120">
            <v>-3722.07</v>
          </cell>
          <cell r="BV120">
            <v>-3722.07</v>
          </cell>
          <cell r="BW120">
            <v>-3722.07</v>
          </cell>
          <cell r="CP120">
            <v>0</v>
          </cell>
          <cell r="CQ120">
            <v>44.660000000000004</v>
          </cell>
          <cell r="CR120">
            <v>-21131.260000000002</v>
          </cell>
          <cell r="CS120">
            <v>-20695.640000000003</v>
          </cell>
          <cell r="CT120">
            <v>-20155.520000000004</v>
          </cell>
          <cell r="CU120">
            <v>-20012.980000000003</v>
          </cell>
          <cell r="CV120">
            <v>-19960.760000000002</v>
          </cell>
          <cell r="CW120">
            <v>-19958.29</v>
          </cell>
          <cell r="DE120">
            <v>0</v>
          </cell>
          <cell r="DF120">
            <v>4.87</v>
          </cell>
          <cell r="DG120">
            <v>-3043.68</v>
          </cell>
          <cell r="DH120">
            <v>-3252.14</v>
          </cell>
          <cell r="DI120">
            <v>-3504.19</v>
          </cell>
          <cell r="DJ120">
            <v>-3570.71</v>
          </cell>
          <cell r="DK120">
            <v>-3595.08</v>
          </cell>
          <cell r="DL120">
            <v>-3596.24</v>
          </cell>
          <cell r="DT120">
            <v>0</v>
          </cell>
          <cell r="DU120">
            <v>4.5999999999999996</v>
          </cell>
          <cell r="DV120">
            <v>-3089.36</v>
          </cell>
          <cell r="DW120">
            <v>-3327.6000000000004</v>
          </cell>
          <cell r="DX120">
            <v>-3615.6600000000003</v>
          </cell>
          <cell r="DY120">
            <v>-3691.6800000000003</v>
          </cell>
          <cell r="DZ120">
            <v>-3719.53</v>
          </cell>
          <cell r="EA120">
            <v>-3720.8500000000004</v>
          </cell>
          <cell r="EX120">
            <v>10383.01</v>
          </cell>
          <cell r="EY120">
            <v>19786.11</v>
          </cell>
          <cell r="EZ120">
            <v>34917.81</v>
          </cell>
          <cell r="FA120">
            <v>43947.369999999995</v>
          </cell>
          <cell r="FB120">
            <v>54360.099999999991</v>
          </cell>
          <cell r="FC120">
            <v>61608.539999999994</v>
          </cell>
          <cell r="FD120">
            <v>90002.049999999988</v>
          </cell>
          <cell r="FE120">
            <v>111800.02999999998</v>
          </cell>
          <cell r="FF120">
            <v>131156.69999999998</v>
          </cell>
          <cell r="FG120">
            <v>159129.03999999998</v>
          </cell>
          <cell r="FH120">
            <v>180362.91999999998</v>
          </cell>
          <cell r="FI120">
            <v>203808.33</v>
          </cell>
          <cell r="FM120">
            <v>1204.8599999999999</v>
          </cell>
          <cell r="FN120">
            <v>3324.8199999999997</v>
          </cell>
          <cell r="FO120">
            <v>4677.1399999999994</v>
          </cell>
          <cell r="FP120">
            <v>5316.4299999999994</v>
          </cell>
          <cell r="FQ120">
            <v>5585.5599999999995</v>
          </cell>
          <cell r="FR120">
            <v>5674.2499999999991</v>
          </cell>
          <cell r="FS120">
            <v>7271.5999999999985</v>
          </cell>
          <cell r="FT120">
            <v>8472.7699999999986</v>
          </cell>
          <cell r="FU120">
            <v>9477.3499999999985</v>
          </cell>
          <cell r="FV120">
            <v>10856.829999999998</v>
          </cell>
          <cell r="FW120">
            <v>12297.299999999997</v>
          </cell>
          <cell r="FX120">
            <v>13838.849999999997</v>
          </cell>
          <cell r="GB120">
            <v>1737.06</v>
          </cell>
          <cell r="GC120">
            <v>4048.18</v>
          </cell>
          <cell r="GD120">
            <v>7594.24</v>
          </cell>
          <cell r="GE120">
            <v>10274.17</v>
          </cell>
          <cell r="GF120">
            <v>13190.74</v>
          </cell>
          <cell r="GG120">
            <v>15151.58</v>
          </cell>
          <cell r="GH120">
            <v>18128.2</v>
          </cell>
          <cell r="GI120">
            <v>20618.07</v>
          </cell>
          <cell r="GJ120">
            <v>22486.23</v>
          </cell>
          <cell r="GK120">
            <v>25281.94</v>
          </cell>
          <cell r="GL120">
            <v>28470.18</v>
          </cell>
          <cell r="GM120">
            <v>31992.37</v>
          </cell>
        </row>
        <row r="121">
          <cell r="A121" t="str">
            <v>Taxes on Income</v>
          </cell>
          <cell r="C121">
            <v>873.83299999999963</v>
          </cell>
          <cell r="D121">
            <v>0</v>
          </cell>
          <cell r="E121">
            <v>873.83299999999963</v>
          </cell>
          <cell r="F121" t="str">
            <v>n/a</v>
          </cell>
          <cell r="G121">
            <v>488.37386932920333</v>
          </cell>
          <cell r="H121">
            <v>377.95600043500008</v>
          </cell>
          <cell r="J121">
            <v>823.43976428999963</v>
          </cell>
          <cell r="K121">
            <v>0</v>
          </cell>
          <cell r="L121">
            <v>823.43976428999963</v>
          </cell>
          <cell r="M121" t="str">
            <v>n/a</v>
          </cell>
          <cell r="N121">
            <v>469.49326322866688</v>
          </cell>
          <cell r="O121">
            <v>328.24902067500005</v>
          </cell>
          <cell r="Q121">
            <v>59.314866870000039</v>
          </cell>
          <cell r="R121">
            <v>0</v>
          </cell>
          <cell r="S121">
            <v>59.314866870000039</v>
          </cell>
          <cell r="T121" t="str">
            <v>n/a</v>
          </cell>
          <cell r="U121">
            <v>11.409557619639997</v>
          </cell>
          <cell r="V121">
            <v>-11.027194565000013</v>
          </cell>
          <cell r="X121">
            <v>-8.9216311600000111</v>
          </cell>
          <cell r="Y121">
            <v>0</v>
          </cell>
          <cell r="Z121">
            <v>-8.9216311600000111</v>
          </cell>
          <cell r="AA121" t="str">
            <v>n/a</v>
          </cell>
          <cell r="AB121">
            <v>7.4710484808964637</v>
          </cell>
          <cell r="AC121">
            <v>60.734174325000012</v>
          </cell>
          <cell r="AD121">
            <v>590.43350197558641</v>
          </cell>
          <cell r="AE121">
            <v>-204.90903596500002</v>
          </cell>
          <cell r="AH121">
            <v>-12520.051510000028</v>
          </cell>
          <cell r="AI121">
            <v>10625.031509999963</v>
          </cell>
          <cell r="AJ121">
            <v>228492.81221999988</v>
          </cell>
          <cell r="AK121">
            <v>339225.88732999994</v>
          </cell>
          <cell r="AL121">
            <v>447392.16399999976</v>
          </cell>
          <cell r="AM121">
            <v>718627.38806999964</v>
          </cell>
          <cell r="AN121">
            <v>778494.9976699996</v>
          </cell>
          <cell r="AO121">
            <v>823439.76428999961</v>
          </cell>
          <cell r="AP121">
            <v>823439.76428999961</v>
          </cell>
          <cell r="AQ121">
            <v>823439.76428999961</v>
          </cell>
          <cell r="AR121">
            <v>823439.76428999961</v>
          </cell>
          <cell r="AS121">
            <v>823439.76428999961</v>
          </cell>
          <cell r="AW121">
            <v>23197.390819999993</v>
          </cell>
          <cell r="AX121">
            <v>18752.301199999994</v>
          </cell>
          <cell r="AY121">
            <v>57023.336690000004</v>
          </cell>
          <cell r="AZ121">
            <v>88682.31038000001</v>
          </cell>
          <cell r="BA121">
            <v>88754.799610000031</v>
          </cell>
          <cell r="BB121">
            <v>83370.844840000034</v>
          </cell>
          <cell r="BC121">
            <v>70567.196740000043</v>
          </cell>
          <cell r="BD121">
            <v>59314.866870000042</v>
          </cell>
          <cell r="BE121">
            <v>59314.866870000042</v>
          </cell>
          <cell r="BF121">
            <v>59314.866870000042</v>
          </cell>
          <cell r="BG121">
            <v>59314.866870000042</v>
          </cell>
          <cell r="BH121">
            <v>59314.866870000042</v>
          </cell>
          <cell r="BL121">
            <v>29718.26738999999</v>
          </cell>
          <cell r="BM121">
            <v>16608.47229000002</v>
          </cell>
          <cell r="BN121">
            <v>-43941.09030999997</v>
          </cell>
          <cell r="BO121">
            <v>-104899.61150999997</v>
          </cell>
          <cell r="BP121">
            <v>-90743.42260999998</v>
          </cell>
          <cell r="BQ121">
            <v>69.556089999998221</v>
          </cell>
          <cell r="BR121">
            <v>-14598.985210000008</v>
          </cell>
          <cell r="BS121">
            <v>-8921.6311600000117</v>
          </cell>
          <cell r="BT121">
            <v>-8921.6311600000117</v>
          </cell>
          <cell r="BU121">
            <v>-8921.6311600000117</v>
          </cell>
          <cell r="BV121">
            <v>-8921.6311600000117</v>
          </cell>
          <cell r="BW121">
            <v>-8921.6311600000117</v>
          </cell>
          <cell r="CP121">
            <v>10425.495101001121</v>
          </cell>
          <cell r="CQ121">
            <v>46095.791726227231</v>
          </cell>
          <cell r="CR121">
            <v>188066.35468519005</v>
          </cell>
          <cell r="CS121">
            <v>333985.25814795878</v>
          </cell>
          <cell r="CT121">
            <v>347524.36035424296</v>
          </cell>
          <cell r="CU121">
            <v>484111.11766154284</v>
          </cell>
          <cell r="CV121">
            <v>686025.23715367122</v>
          </cell>
          <cell r="CW121">
            <v>766718.82486520451</v>
          </cell>
          <cell r="DE121">
            <v>373.3046567790243</v>
          </cell>
          <cell r="DF121">
            <v>63070.120973745987</v>
          </cell>
          <cell r="DG121">
            <v>53664.889176294462</v>
          </cell>
          <cell r="DH121">
            <v>99756.459753468298</v>
          </cell>
          <cell r="DI121">
            <v>95284.95041390312</v>
          </cell>
          <cell r="DJ121">
            <v>101804.54759199216</v>
          </cell>
          <cell r="DK121">
            <v>88396.675004225632</v>
          </cell>
          <cell r="DL121">
            <v>89378.00212060113</v>
          </cell>
          <cell r="DT121">
            <v>25053.174652799389</v>
          </cell>
          <cell r="DU121">
            <v>9379.2762196997428</v>
          </cell>
          <cell r="DV121">
            <v>-39825.206665697551</v>
          </cell>
          <cell r="DW121">
            <v>-89352.358732763314</v>
          </cell>
          <cell r="DX121">
            <v>-27035.167574657098</v>
          </cell>
          <cell r="DY121">
            <v>-21147.491221949283</v>
          </cell>
          <cell r="DZ121">
            <v>9066.4789987905096</v>
          </cell>
          <cell r="EA121">
            <v>949.1387693349734</v>
          </cell>
          <cell r="EX121">
            <v>30004.994740000024</v>
          </cell>
          <cell r="EY121">
            <v>22698.800685000035</v>
          </cell>
          <cell r="EZ121">
            <v>245233.98531500017</v>
          </cell>
          <cell r="FA121">
            <v>267986.62617500016</v>
          </cell>
          <cell r="FB121">
            <v>409882.19162500004</v>
          </cell>
          <cell r="FC121">
            <v>612444.96302500006</v>
          </cell>
          <cell r="FD121">
            <v>473922.12317500007</v>
          </cell>
          <cell r="FE121">
            <v>389276.49157500005</v>
          </cell>
          <cell r="FF121">
            <v>328249.02067500004</v>
          </cell>
          <cell r="FG121">
            <v>291557.95831500005</v>
          </cell>
          <cell r="FH121">
            <v>-40232.564254999976</v>
          </cell>
          <cell r="FI121">
            <v>-92359.038679999998</v>
          </cell>
          <cell r="FM121">
            <v>8216.6777750000001</v>
          </cell>
          <cell r="FN121">
            <v>18464.888535000002</v>
          </cell>
          <cell r="FO121">
            <v>41216.72722999999</v>
          </cell>
          <cell r="FP121">
            <v>34889.169554999986</v>
          </cell>
          <cell r="FQ121">
            <v>24841.672244999987</v>
          </cell>
          <cell r="FR121">
            <v>4071.4158249999855</v>
          </cell>
          <cell r="FS121">
            <v>-11663.289065000012</v>
          </cell>
          <cell r="FT121">
            <v>-16095.913865000013</v>
          </cell>
          <cell r="FU121">
            <v>-11027.194565000013</v>
          </cell>
          <cell r="FV121">
            <v>-14121.737830000015</v>
          </cell>
          <cell r="FW121">
            <v>-64509.464165000005</v>
          </cell>
          <cell r="FX121">
            <v>-73381.531040000016</v>
          </cell>
          <cell r="GB121">
            <v>-18493.351555000019</v>
          </cell>
          <cell r="GC121">
            <v>-22012.097015000018</v>
          </cell>
          <cell r="GD121">
            <v>8328.3705899999804</v>
          </cell>
          <cell r="GE121">
            <v>5261.5794049999986</v>
          </cell>
          <cell r="GF121">
            <v>50256.306165000002</v>
          </cell>
          <cell r="GG121">
            <v>83320.457685000001</v>
          </cell>
          <cell r="GH121">
            <v>110506.489225</v>
          </cell>
          <cell r="GI121">
            <v>90985.134625000006</v>
          </cell>
          <cell r="GJ121">
            <v>60734.174325000015</v>
          </cell>
          <cell r="GK121">
            <v>21954.563150000024</v>
          </cell>
          <cell r="GL121">
            <v>-33473.480144999987</v>
          </cell>
          <cell r="GM121">
            <v>-39168.466244999996</v>
          </cell>
        </row>
        <row r="122">
          <cell r="A122" t="str">
            <v>Depreciation Expense</v>
          </cell>
          <cell r="C122">
            <v>356.01494999999994</v>
          </cell>
          <cell r="D122">
            <v>0</v>
          </cell>
          <cell r="E122">
            <v>356.01494999999994</v>
          </cell>
          <cell r="F122" t="str">
            <v>n/a</v>
          </cell>
          <cell r="G122">
            <v>442.79999999999995</v>
          </cell>
          <cell r="H122">
            <v>314.47996999999998</v>
          </cell>
          <cell r="J122">
            <v>254.10073599999998</v>
          </cell>
          <cell r="K122">
            <v>0</v>
          </cell>
          <cell r="L122">
            <v>254.10073599999998</v>
          </cell>
          <cell r="M122" t="str">
            <v>n/a</v>
          </cell>
          <cell r="N122">
            <v>359.29532721180459</v>
          </cell>
          <cell r="O122">
            <v>224.67634099999998</v>
          </cell>
          <cell r="Q122">
            <v>20.245929</v>
          </cell>
          <cell r="R122">
            <v>0</v>
          </cell>
          <cell r="S122">
            <v>20.245929</v>
          </cell>
          <cell r="T122" t="str">
            <v>n/a</v>
          </cell>
          <cell r="U122">
            <v>39.254657269279889</v>
          </cell>
          <cell r="V122">
            <v>17.338161500000002</v>
          </cell>
          <cell r="X122">
            <v>81.668284999999983</v>
          </cell>
          <cell r="Y122">
            <v>0</v>
          </cell>
          <cell r="Z122">
            <v>81.668284999999983</v>
          </cell>
          <cell r="AA122" t="str">
            <v>n/a</v>
          </cell>
          <cell r="AB122">
            <v>44.25001551891549</v>
          </cell>
          <cell r="AC122">
            <v>72.465467500000003</v>
          </cell>
          <cell r="AD122">
            <v>578.38161666666656</v>
          </cell>
          <cell r="AE122">
            <v>478.05513999999999</v>
          </cell>
          <cell r="AH122">
            <v>31480.877999999997</v>
          </cell>
          <cell r="AI122">
            <v>62961.755999999994</v>
          </cell>
          <cell r="AJ122">
            <v>94442.633999999991</v>
          </cell>
          <cell r="AK122">
            <v>125923.51199999999</v>
          </cell>
          <cell r="AL122">
            <v>157404.38999999998</v>
          </cell>
          <cell r="AM122">
            <v>188885.26799999998</v>
          </cell>
          <cell r="AN122">
            <v>220366.14599999998</v>
          </cell>
          <cell r="AO122">
            <v>254100.73599999998</v>
          </cell>
          <cell r="AP122">
            <v>254100.73599999998</v>
          </cell>
          <cell r="AQ122">
            <v>254100.73599999998</v>
          </cell>
          <cell r="AR122">
            <v>254100.73599999998</v>
          </cell>
          <cell r="AS122">
            <v>254100.73599999998</v>
          </cell>
          <cell r="AW122">
            <v>2508.5520000000001</v>
          </cell>
          <cell r="AX122">
            <v>5017.1040000000003</v>
          </cell>
          <cell r="AY122">
            <v>7525.6560000000009</v>
          </cell>
          <cell r="AZ122">
            <v>10034.208000000001</v>
          </cell>
          <cell r="BA122">
            <v>12542.76</v>
          </cell>
          <cell r="BB122">
            <v>15051.312</v>
          </cell>
          <cell r="BC122">
            <v>17559.864000000001</v>
          </cell>
          <cell r="BD122">
            <v>20245.929</v>
          </cell>
          <cell r="BE122">
            <v>20245.929</v>
          </cell>
          <cell r="BF122">
            <v>20245.929</v>
          </cell>
          <cell r="BG122">
            <v>20245.929</v>
          </cell>
          <cell r="BH122">
            <v>20245.929</v>
          </cell>
          <cell r="BL122">
            <v>10116.879999999999</v>
          </cell>
          <cell r="BM122">
            <v>20233.759999999998</v>
          </cell>
          <cell r="BN122">
            <v>30350.639999999999</v>
          </cell>
          <cell r="BO122">
            <v>40467.519999999997</v>
          </cell>
          <cell r="BP122">
            <v>50584.399999999994</v>
          </cell>
          <cell r="BQ122">
            <v>60701.279999999992</v>
          </cell>
          <cell r="BR122">
            <v>70818.159999999989</v>
          </cell>
          <cell r="BS122">
            <v>81668.284999999989</v>
          </cell>
          <cell r="BT122">
            <v>81668.284999999989</v>
          </cell>
          <cell r="BU122">
            <v>81668.284999999989</v>
          </cell>
          <cell r="BV122">
            <v>81668.284999999989</v>
          </cell>
          <cell r="BW122">
            <v>81668.284999999989</v>
          </cell>
          <cell r="CP122">
            <v>38337.436358737701</v>
          </cell>
          <cell r="CQ122">
            <v>69869.114870009987</v>
          </cell>
          <cell r="CR122">
            <v>101627.68247085347</v>
          </cell>
          <cell r="CS122">
            <v>133319.58340503031</v>
          </cell>
          <cell r="CT122">
            <v>165011.48433920712</v>
          </cell>
          <cell r="CU122">
            <v>196670.05194005062</v>
          </cell>
          <cell r="CV122">
            <v>228395.28620756077</v>
          </cell>
          <cell r="CW122">
            <v>260087.18714173761</v>
          </cell>
          <cell r="DE122">
            <v>4187.8564089924812</v>
          </cell>
          <cell r="DF122">
            <v>7370.2093365837136</v>
          </cell>
          <cell r="DG122">
            <v>9914.233111723277</v>
          </cell>
          <cell r="DH122">
            <v>12449.923553529507</v>
          </cell>
          <cell r="DI122">
            <v>14985.613995335736</v>
          </cell>
          <cell r="DJ122">
            <v>17517.137770475299</v>
          </cell>
          <cell r="DK122">
            <v>20056.994878948193</v>
          </cell>
          <cell r="DL122">
            <v>22592.685320754426</v>
          </cell>
          <cell r="DT122">
            <v>4721.9294544920394</v>
          </cell>
          <cell r="DU122">
            <v>14861.430237850745</v>
          </cell>
          <cell r="DV122">
            <v>25012.371084089908</v>
          </cell>
          <cell r="DW122">
            <v>35154.978596995745</v>
          </cell>
          <cell r="DX122">
            <v>45297.586109901575</v>
          </cell>
          <cell r="DY122">
            <v>55436.026956140733</v>
          </cell>
          <cell r="DZ122">
            <v>65582.801135713235</v>
          </cell>
          <cell r="EA122">
            <v>75725.408648619064</v>
          </cell>
          <cell r="EX122">
            <v>18678.936999999998</v>
          </cell>
          <cell r="EY122">
            <v>38533.377</v>
          </cell>
          <cell r="EZ122">
            <v>57186.262000000002</v>
          </cell>
          <cell r="FA122">
            <v>82984.421000000002</v>
          </cell>
          <cell r="FB122">
            <v>99746.350999999995</v>
          </cell>
          <cell r="FC122">
            <v>133703.951</v>
          </cell>
          <cell r="FD122">
            <v>153602.071</v>
          </cell>
          <cell r="FE122">
            <v>173500.19099999999</v>
          </cell>
          <cell r="FF122">
            <v>224676.34099999999</v>
          </cell>
          <cell r="FG122">
            <v>256456.46599999999</v>
          </cell>
          <cell r="FH122">
            <v>298820.913</v>
          </cell>
          <cell r="FI122">
            <v>341524.88300000003</v>
          </cell>
          <cell r="FM122">
            <v>1493.1655000000001</v>
          </cell>
          <cell r="FN122">
            <v>3070.2955000000002</v>
          </cell>
          <cell r="FO122">
            <v>4548.9930000000004</v>
          </cell>
          <cell r="FP122">
            <v>6520.9415000000008</v>
          </cell>
          <cell r="FQ122">
            <v>7860.0915000000005</v>
          </cell>
          <cell r="FR122">
            <v>10425.611500000001</v>
          </cell>
          <cell r="FS122">
            <v>11914.6515</v>
          </cell>
          <cell r="FT122">
            <v>13403.691500000001</v>
          </cell>
          <cell r="FU122">
            <v>17338.161500000002</v>
          </cell>
          <cell r="FV122">
            <v>19746.339000000004</v>
          </cell>
          <cell r="FW122">
            <v>22980.984500000002</v>
          </cell>
          <cell r="FX122">
            <v>26183.524500000003</v>
          </cell>
          <cell r="GB122">
            <v>6118.1075000000001</v>
          </cell>
          <cell r="GC122">
            <v>12593.637500000001</v>
          </cell>
          <cell r="GD122">
            <v>18677.565000000002</v>
          </cell>
          <cell r="GE122">
            <v>26403.147500000003</v>
          </cell>
          <cell r="GF122">
            <v>31767.567500000005</v>
          </cell>
          <cell r="GG122">
            <v>43200.947500000002</v>
          </cell>
          <cell r="GH122">
            <v>49752.797500000001</v>
          </cell>
          <cell r="GI122">
            <v>56304.647499999999</v>
          </cell>
          <cell r="GJ122">
            <v>72465.467499999999</v>
          </cell>
          <cell r="GK122">
            <v>82740.304999999993</v>
          </cell>
          <cell r="GL122">
            <v>96274.642499999987</v>
          </cell>
          <cell r="GM122">
            <v>110346.73249999998</v>
          </cell>
        </row>
        <row r="123">
          <cell r="A123" t="str">
            <v>Amortization Expense</v>
          </cell>
          <cell r="C123">
            <v>0</v>
          </cell>
          <cell r="D123">
            <v>0</v>
          </cell>
          <cell r="E123">
            <v>0</v>
          </cell>
          <cell r="F123" t="str">
            <v>n/a</v>
          </cell>
          <cell r="G123">
            <v>0</v>
          </cell>
          <cell r="H123">
            <v>0</v>
          </cell>
          <cell r="J123">
            <v>0</v>
          </cell>
          <cell r="K123">
            <v>0</v>
          </cell>
          <cell r="L123">
            <v>0</v>
          </cell>
          <cell r="M123" t="str">
            <v>n/a</v>
          </cell>
          <cell r="N123">
            <v>0</v>
          </cell>
          <cell r="O123">
            <v>0</v>
          </cell>
          <cell r="Q123">
            <v>0</v>
          </cell>
          <cell r="R123">
            <v>0</v>
          </cell>
          <cell r="S123">
            <v>0</v>
          </cell>
          <cell r="T123" t="str">
            <v>n/a</v>
          </cell>
          <cell r="U123">
            <v>0</v>
          </cell>
          <cell r="V123">
            <v>0</v>
          </cell>
          <cell r="X123">
            <v>0</v>
          </cell>
          <cell r="Y123">
            <v>0</v>
          </cell>
          <cell r="Z123">
            <v>0</v>
          </cell>
          <cell r="AA123" t="str">
            <v>n/a</v>
          </cell>
          <cell r="AB123">
            <v>0</v>
          </cell>
          <cell r="AC123">
            <v>0</v>
          </cell>
          <cell r="AD123">
            <v>0</v>
          </cell>
          <cell r="AE123">
            <v>1200</v>
          </cell>
          <cell r="AH123">
            <v>0</v>
          </cell>
          <cell r="AI123">
            <v>0</v>
          </cell>
          <cell r="AJ123">
            <v>0</v>
          </cell>
          <cell r="AK123">
            <v>0</v>
          </cell>
          <cell r="AL123">
            <v>0</v>
          </cell>
          <cell r="AM123">
            <v>0</v>
          </cell>
          <cell r="AN123">
            <v>0</v>
          </cell>
          <cell r="AO123">
            <v>0</v>
          </cell>
          <cell r="AP123">
            <v>0</v>
          </cell>
          <cell r="AQ123">
            <v>0</v>
          </cell>
          <cell r="AR123">
            <v>0</v>
          </cell>
          <cell r="AS123">
            <v>0</v>
          </cell>
          <cell r="AW123">
            <v>0</v>
          </cell>
          <cell r="AX123">
            <v>0</v>
          </cell>
          <cell r="AY123">
            <v>0</v>
          </cell>
          <cell r="AZ123">
            <v>0</v>
          </cell>
          <cell r="BA123">
            <v>0</v>
          </cell>
          <cell r="BB123">
            <v>0</v>
          </cell>
          <cell r="BC123">
            <v>0</v>
          </cell>
          <cell r="BD123">
            <v>0</v>
          </cell>
          <cell r="BE123">
            <v>0</v>
          </cell>
          <cell r="BF123">
            <v>0</v>
          </cell>
          <cell r="BG123">
            <v>0</v>
          </cell>
          <cell r="BH123">
            <v>0</v>
          </cell>
          <cell r="BL123">
            <v>0</v>
          </cell>
          <cell r="BM123">
            <v>0</v>
          </cell>
          <cell r="BN123">
            <v>0</v>
          </cell>
          <cell r="BO123">
            <v>0</v>
          </cell>
          <cell r="BP123">
            <v>0</v>
          </cell>
          <cell r="BQ123">
            <v>0</v>
          </cell>
          <cell r="BR123">
            <v>0</v>
          </cell>
          <cell r="BS123">
            <v>0</v>
          </cell>
          <cell r="BT123">
            <v>0</v>
          </cell>
          <cell r="BU123">
            <v>0</v>
          </cell>
          <cell r="BV123">
            <v>0</v>
          </cell>
          <cell r="BW123">
            <v>0</v>
          </cell>
          <cell r="CP123">
            <v>0</v>
          </cell>
          <cell r="CQ123">
            <v>0</v>
          </cell>
          <cell r="CR123">
            <v>0</v>
          </cell>
          <cell r="CS123">
            <v>0</v>
          </cell>
          <cell r="CT123">
            <v>0</v>
          </cell>
          <cell r="CU123">
            <v>0</v>
          </cell>
          <cell r="CV123">
            <v>0</v>
          </cell>
          <cell r="CW123">
            <v>0</v>
          </cell>
          <cell r="DE123">
            <v>0</v>
          </cell>
          <cell r="DF123">
            <v>0</v>
          </cell>
          <cell r="DG123">
            <v>0</v>
          </cell>
          <cell r="DH123">
            <v>0</v>
          </cell>
          <cell r="DI123">
            <v>0</v>
          </cell>
          <cell r="DJ123">
            <v>0</v>
          </cell>
          <cell r="DK123">
            <v>0</v>
          </cell>
          <cell r="DL123">
            <v>0</v>
          </cell>
          <cell r="DT123">
            <v>0</v>
          </cell>
          <cell r="DU123">
            <v>0</v>
          </cell>
          <cell r="DV123">
            <v>0</v>
          </cell>
          <cell r="DW123">
            <v>0</v>
          </cell>
          <cell r="DX123">
            <v>0</v>
          </cell>
          <cell r="DY123">
            <v>0</v>
          </cell>
          <cell r="DZ123">
            <v>0</v>
          </cell>
          <cell r="EA123">
            <v>0</v>
          </cell>
          <cell r="EX123">
            <v>0</v>
          </cell>
          <cell r="EY123">
            <v>0</v>
          </cell>
          <cell r="EZ123">
            <v>0</v>
          </cell>
          <cell r="FA123">
            <v>0</v>
          </cell>
          <cell r="FB123">
            <v>0</v>
          </cell>
          <cell r="FC123">
            <v>0</v>
          </cell>
          <cell r="FD123">
            <v>0</v>
          </cell>
          <cell r="FE123">
            <v>0</v>
          </cell>
          <cell r="FF123">
            <v>0</v>
          </cell>
          <cell r="FG123">
            <v>0</v>
          </cell>
          <cell r="FH123">
            <v>750000</v>
          </cell>
          <cell r="FI123">
            <v>900000</v>
          </cell>
          <cell r="FM123">
            <v>0</v>
          </cell>
          <cell r="FN123">
            <v>0</v>
          </cell>
          <cell r="FO123">
            <v>0</v>
          </cell>
          <cell r="FP123">
            <v>0</v>
          </cell>
          <cell r="FQ123">
            <v>0</v>
          </cell>
          <cell r="FR123">
            <v>0</v>
          </cell>
          <cell r="FS123">
            <v>0</v>
          </cell>
          <cell r="FT123">
            <v>0</v>
          </cell>
          <cell r="FU123">
            <v>0</v>
          </cell>
          <cell r="FV123">
            <v>0</v>
          </cell>
          <cell r="FW123">
            <v>100000</v>
          </cell>
          <cell r="FX123">
            <v>120000</v>
          </cell>
          <cell r="GB123">
            <v>0</v>
          </cell>
          <cell r="GC123">
            <v>0</v>
          </cell>
          <cell r="GD123">
            <v>0</v>
          </cell>
          <cell r="GE123">
            <v>0</v>
          </cell>
          <cell r="GF123">
            <v>0</v>
          </cell>
          <cell r="GG123">
            <v>0</v>
          </cell>
          <cell r="GH123">
            <v>0</v>
          </cell>
          <cell r="GI123">
            <v>0</v>
          </cell>
          <cell r="GJ123">
            <v>0</v>
          </cell>
          <cell r="GK123">
            <v>0</v>
          </cell>
          <cell r="GL123">
            <v>150000</v>
          </cell>
          <cell r="GM123">
            <v>180000</v>
          </cell>
        </row>
        <row r="124">
          <cell r="A124" t="str">
            <v>EBITDA Items</v>
          </cell>
          <cell r="C124">
            <v>1202.5649699999997</v>
          </cell>
          <cell r="D124">
            <v>0</v>
          </cell>
          <cell r="E124">
            <v>1202.5649699999997</v>
          </cell>
          <cell r="F124" t="str">
            <v>n/a</v>
          </cell>
          <cell r="G124">
            <v>931.17386932920328</v>
          </cell>
          <cell r="H124">
            <v>855.55625043500004</v>
          </cell>
          <cell r="J124">
            <v>1057.5768902899995</v>
          </cell>
          <cell r="K124">
            <v>0</v>
          </cell>
          <cell r="L124">
            <v>1057.5768902899995</v>
          </cell>
          <cell r="M124" t="str">
            <v>n/a</v>
          </cell>
          <cell r="N124">
            <v>828.78859044047147</v>
          </cell>
          <cell r="O124">
            <v>684.08206167499998</v>
          </cell>
          <cell r="Q124">
            <v>75.963495870000045</v>
          </cell>
          <cell r="R124">
            <v>0</v>
          </cell>
          <cell r="S124">
            <v>75.963495870000045</v>
          </cell>
          <cell r="T124" t="str">
            <v>n/a</v>
          </cell>
          <cell r="U124">
            <v>50.664214888919886</v>
          </cell>
          <cell r="V124">
            <v>15.788316934999987</v>
          </cell>
          <cell r="X124">
            <v>69.024583839999977</v>
          </cell>
          <cell r="Y124">
            <v>0</v>
          </cell>
          <cell r="Z124">
            <v>69.024583839999977</v>
          </cell>
          <cell r="AA124" t="str">
            <v>n/a</v>
          </cell>
          <cell r="AB124">
            <v>51.721063999811953</v>
          </cell>
          <cell r="AC124">
            <v>155.68587182499999</v>
          </cell>
          <cell r="AD124">
            <v>1141.5321386422529</v>
          </cell>
          <cell r="AE124">
            <v>1722.7856540349999</v>
          </cell>
          <cell r="AH124">
            <v>19005.486489999967</v>
          </cell>
          <cell r="AI124">
            <v>52455.527509999956</v>
          </cell>
          <cell r="AJ124">
            <v>302239.80621999985</v>
          </cell>
          <cell r="AK124">
            <v>444993.87932999991</v>
          </cell>
          <cell r="AL124">
            <v>584783.57399999979</v>
          </cell>
          <cell r="AM124">
            <v>887551.89606999955</v>
          </cell>
          <cell r="AN124">
            <v>978902.85366999952</v>
          </cell>
          <cell r="AO124">
            <v>1057576.8902899995</v>
          </cell>
          <cell r="AP124">
            <v>1057576.8902899995</v>
          </cell>
          <cell r="AQ124">
            <v>1057576.8902899995</v>
          </cell>
          <cell r="AR124">
            <v>1057576.8902899995</v>
          </cell>
          <cell r="AS124">
            <v>1057576.8902899995</v>
          </cell>
          <cell r="AW124">
            <v>25710.812819999992</v>
          </cell>
          <cell r="AX124">
            <v>20725.725199999993</v>
          </cell>
          <cell r="AY124">
            <v>61296.852690000007</v>
          </cell>
          <cell r="AZ124">
            <v>95212.328380000006</v>
          </cell>
          <cell r="BA124">
            <v>97726.849610000019</v>
          </cell>
          <cell r="BB124">
            <v>94827.076840000038</v>
          </cell>
          <cell r="BC124">
            <v>84530.820740000039</v>
          </cell>
          <cell r="BD124">
            <v>75963.495870000042</v>
          </cell>
          <cell r="BE124">
            <v>75963.495870000042</v>
          </cell>
          <cell r="BF124">
            <v>75963.495870000042</v>
          </cell>
          <cell r="BG124">
            <v>75963.495870000042</v>
          </cell>
          <cell r="BH124">
            <v>75963.495870000042</v>
          </cell>
          <cell r="BL124">
            <v>39839.74738999999</v>
          </cell>
          <cell r="BM124">
            <v>33752.872290000014</v>
          </cell>
          <cell r="BN124">
            <v>-16918.05030999997</v>
          </cell>
          <cell r="BO124">
            <v>-68047.751509999973</v>
          </cell>
          <cell r="BP124">
            <v>-43850.702609999978</v>
          </cell>
          <cell r="BQ124">
            <v>57051.306089999991</v>
          </cell>
          <cell r="BR124">
            <v>52498.324789999984</v>
          </cell>
          <cell r="BS124">
            <v>69024.583839999977</v>
          </cell>
          <cell r="BT124">
            <v>69024.583839999977</v>
          </cell>
          <cell r="BU124">
            <v>69024.583839999977</v>
          </cell>
          <cell r="BV124">
            <v>69024.583839999977</v>
          </cell>
          <cell r="BW124">
            <v>69024.583839999977</v>
          </cell>
          <cell r="CP124">
            <v>48762.931459738822</v>
          </cell>
          <cell r="CQ124">
            <v>116009.56659623721</v>
          </cell>
          <cell r="CR124">
            <v>268562.77715604351</v>
          </cell>
          <cell r="CS124">
            <v>446609.20155298908</v>
          </cell>
          <cell r="CT124">
            <v>492380.32469345006</v>
          </cell>
          <cell r="CU124">
            <v>660768.18960159342</v>
          </cell>
          <cell r="CV124">
            <v>894459.76336123201</v>
          </cell>
          <cell r="CW124">
            <v>1006847.7220069421</v>
          </cell>
          <cell r="DE124">
            <v>4561.1610657715055</v>
          </cell>
          <cell r="DF124">
            <v>70445.200310329703</v>
          </cell>
          <cell r="DG124">
            <v>60535.442288017737</v>
          </cell>
          <cell r="DH124">
            <v>108954.2433069978</v>
          </cell>
          <cell r="DI124">
            <v>106766.37440923885</v>
          </cell>
          <cell r="DJ124">
            <v>115750.97536246745</v>
          </cell>
          <cell r="DK124">
            <v>104858.58988317382</v>
          </cell>
          <cell r="DL124">
            <v>108374.44744135556</v>
          </cell>
          <cell r="DT124">
            <v>29775.10410729143</v>
          </cell>
          <cell r="DU124">
            <v>24245.30645755049</v>
          </cell>
          <cell r="DV124">
            <v>-17902.195581607644</v>
          </cell>
          <cell r="DW124">
            <v>-57524.980135767575</v>
          </cell>
          <cell r="DX124">
            <v>14646.758535244477</v>
          </cell>
          <cell r="DY124">
            <v>30596.855734191449</v>
          </cell>
          <cell r="DZ124">
            <v>70929.750134503745</v>
          </cell>
          <cell r="EA124">
            <v>72953.697417954041</v>
          </cell>
          <cell r="EX124">
            <v>59066.941740000024</v>
          </cell>
          <cell r="EY124">
            <v>81018.287685000047</v>
          </cell>
          <cell r="EZ124">
            <v>337338.05731500016</v>
          </cell>
          <cell r="FA124">
            <v>394918.41717500018</v>
          </cell>
          <cell r="FB124">
            <v>563988.64262499998</v>
          </cell>
          <cell r="FC124">
            <v>807757.4540250001</v>
          </cell>
          <cell r="FD124">
            <v>717526.24417500012</v>
          </cell>
          <cell r="FE124">
            <v>674576.71257500001</v>
          </cell>
          <cell r="FF124">
            <v>684082.061675</v>
          </cell>
          <cell r="FG124">
            <v>707143.46431499999</v>
          </cell>
          <cell r="FH124">
            <v>1188951.268745</v>
          </cell>
          <cell r="FI124">
            <v>1352974.17432</v>
          </cell>
          <cell r="FM124">
            <v>10914.703275</v>
          </cell>
          <cell r="FN124">
            <v>24860.004035000002</v>
          </cell>
          <cell r="FO124">
            <v>50442.860229999991</v>
          </cell>
          <cell r="FP124">
            <v>46726.541054999987</v>
          </cell>
          <cell r="FQ124">
            <v>38287.323744999987</v>
          </cell>
          <cell r="FR124">
            <v>20171.277324999988</v>
          </cell>
          <cell r="FS124">
            <v>7522.9624349999867</v>
          </cell>
          <cell r="FT124">
            <v>5780.5476349999863</v>
          </cell>
          <cell r="FU124">
            <v>15788.316934999988</v>
          </cell>
          <cell r="FV124">
            <v>16481.431169999989</v>
          </cell>
          <cell r="FW124">
            <v>70768.820334999997</v>
          </cell>
          <cell r="FX124">
            <v>86640.843459999989</v>
          </cell>
          <cell r="GB124">
            <v>-10638.184055000018</v>
          </cell>
          <cell r="GC124">
            <v>-5370.2795150000165</v>
          </cell>
          <cell r="GD124">
            <v>34600.175589999984</v>
          </cell>
          <cell r="GE124">
            <v>41938.896905000001</v>
          </cell>
          <cell r="GF124">
            <v>95214.613665000012</v>
          </cell>
          <cell r="GG124">
            <v>141672.985185</v>
          </cell>
          <cell r="GH124">
            <v>178387.486725</v>
          </cell>
          <cell r="GI124">
            <v>167907.852125</v>
          </cell>
          <cell r="GJ124">
            <v>155685.87182500001</v>
          </cell>
          <cell r="GK124">
            <v>129976.80815000001</v>
          </cell>
          <cell r="GL124">
            <v>241271.342355</v>
          </cell>
          <cell r="GM124">
            <v>283170.63625500002</v>
          </cell>
        </row>
        <row r="126">
          <cell r="A126" t="str">
            <v>Net Income After Tax</v>
          </cell>
          <cell r="C126">
            <v>1257.4669999999981</v>
          </cell>
          <cell r="D126">
            <v>0</v>
          </cell>
          <cell r="E126">
            <v>1257.4669999999981</v>
          </cell>
          <cell r="F126" t="str">
            <v>n/a</v>
          </cell>
          <cell r="G126">
            <v>702.78190952251146</v>
          </cell>
          <cell r="H126">
            <v>543.8879195649979</v>
          </cell>
          <cell r="J126">
            <v>1184.9499047100003</v>
          </cell>
          <cell r="K126">
            <v>0</v>
          </cell>
          <cell r="L126">
            <v>1184.9499047100003</v>
          </cell>
          <cell r="M126" t="str">
            <v>n/a</v>
          </cell>
          <cell r="N126">
            <v>438.04492744377706</v>
          </cell>
          <cell r="O126">
            <v>472.35835832500106</v>
          </cell>
          <cell r="Q126">
            <v>85.355540130000108</v>
          </cell>
          <cell r="R126">
            <v>0</v>
          </cell>
          <cell r="S126">
            <v>85.355540130000108</v>
          </cell>
          <cell r="T126" t="str">
            <v>n/a</v>
          </cell>
          <cell r="U126">
            <v>253.9859610940286</v>
          </cell>
          <cell r="V126">
            <v>-15.868382935000097</v>
          </cell>
          <cell r="X126">
            <v>-12.838444840000079</v>
          </cell>
          <cell r="Y126">
            <v>0</v>
          </cell>
          <cell r="Z126">
            <v>-12.838444840000079</v>
          </cell>
          <cell r="AA126" t="str">
            <v>n/a</v>
          </cell>
          <cell r="AB126">
            <v>10.7510209847051</v>
          </cell>
          <cell r="AC126">
            <v>87.397944174999964</v>
          </cell>
          <cell r="AD126">
            <v>849.64821015998814</v>
          </cell>
          <cell r="AE126">
            <v>-294.87107403499886</v>
          </cell>
          <cell r="AH126">
            <v>-18016.659489999831</v>
          </cell>
          <cell r="AI126">
            <v>15289.679490000213</v>
          </cell>
          <cell r="AJ126">
            <v>328806.72977999988</v>
          </cell>
          <cell r="AK126">
            <v>488154.32566999912</v>
          </cell>
          <cell r="AL126">
            <v>643808.2360000005</v>
          </cell>
          <cell r="AM126">
            <v>1034122.3389300008</v>
          </cell>
          <cell r="AN126">
            <v>1120273.2893300005</v>
          </cell>
          <cell r="AO126">
            <v>1184949.9047099981</v>
          </cell>
          <cell r="AP126">
            <v>1184949.9047099981</v>
          </cell>
          <cell r="AQ126">
            <v>1184949.9047099981</v>
          </cell>
          <cell r="AR126">
            <v>1184949.9047099981</v>
          </cell>
          <cell r="AS126">
            <v>1184949.9047099981</v>
          </cell>
          <cell r="AW126">
            <v>33381.611180000007</v>
          </cell>
          <cell r="AX126">
            <v>26985.018799999998</v>
          </cell>
          <cell r="AY126">
            <v>82057.97231000007</v>
          </cell>
          <cell r="AZ126">
            <v>127616.00761999997</v>
          </cell>
          <cell r="BA126">
            <v>127720.32139000007</v>
          </cell>
          <cell r="BB126">
            <v>119972.67915999975</v>
          </cell>
          <cell r="BC126">
            <v>101547.91726000003</v>
          </cell>
          <cell r="BD126">
            <v>85355.540129999979</v>
          </cell>
          <cell r="BE126">
            <v>85355.540129999979</v>
          </cell>
          <cell r="BF126">
            <v>85355.540129999979</v>
          </cell>
          <cell r="BG126">
            <v>85355.540129999979</v>
          </cell>
          <cell r="BH126">
            <v>85355.540129999979</v>
          </cell>
          <cell r="BL126">
            <v>42765.311609999975</v>
          </cell>
          <cell r="BM126">
            <v>23899.996710000007</v>
          </cell>
          <cell r="BN126">
            <v>-63232.300690000025</v>
          </cell>
          <cell r="BO126">
            <v>-150953.09949000002</v>
          </cell>
          <cell r="BP126">
            <v>-130581.99838999994</v>
          </cell>
          <cell r="BQ126">
            <v>100.0929100000285</v>
          </cell>
          <cell r="BR126">
            <v>-21008.295790000037</v>
          </cell>
          <cell r="BS126">
            <v>-12838.444840000098</v>
          </cell>
          <cell r="BT126">
            <v>-12838.444840000098</v>
          </cell>
          <cell r="BU126">
            <v>-12838.444840000098</v>
          </cell>
          <cell r="BV126">
            <v>-12838.444840000098</v>
          </cell>
          <cell r="BW126">
            <v>-12838.444840000098</v>
          </cell>
          <cell r="CP126">
            <v>15002.541730708814</v>
          </cell>
          <cell r="CQ126">
            <v>66332.968581644149</v>
          </cell>
          <cell r="CR126">
            <v>270632.07137624937</v>
          </cell>
          <cell r="CS126">
            <v>480612.93245681876</v>
          </cell>
          <cell r="CT126">
            <v>500096.03075366601</v>
          </cell>
          <cell r="CU126">
            <v>663281.79590319516</v>
          </cell>
          <cell r="CV126">
            <v>987207.0485869908</v>
          </cell>
          <cell r="CW126">
            <v>1103327.089440173</v>
          </cell>
          <cell r="DE126">
            <v>537.19450609663818</v>
          </cell>
          <cell r="DF126">
            <v>90759.442376854015</v>
          </cell>
          <cell r="DG126">
            <v>77225.084424423665</v>
          </cell>
          <cell r="DH126">
            <v>143551.97866962512</v>
          </cell>
          <cell r="DI126">
            <v>137117.36766878713</v>
          </cell>
          <cell r="DJ126">
            <v>146499.22702262265</v>
          </cell>
          <cell r="DK126">
            <v>127204.97134754405</v>
          </cell>
          <cell r="DL126">
            <v>128617.1250028162</v>
          </cell>
          <cell r="DT126">
            <v>36052.129378418635</v>
          </cell>
          <cell r="DU126">
            <v>13497.00724298261</v>
          </cell>
          <cell r="DV126">
            <v>-57309.44373844294</v>
          </cell>
          <cell r="DW126">
            <v>-128580.22354226926</v>
          </cell>
          <cell r="DX126">
            <v>-38904.265534262631</v>
          </cell>
          <cell r="DY126">
            <v>-30431.755660853742</v>
          </cell>
          <cell r="DZ126">
            <v>13046.884412893603</v>
          </cell>
          <cell r="EA126">
            <v>1365.8338387990952</v>
          </cell>
          <cell r="EX126">
            <v>78573.663260000045</v>
          </cell>
          <cell r="EY126">
            <v>107735.10731499988</v>
          </cell>
          <cell r="EZ126">
            <v>508475.46268499951</v>
          </cell>
          <cell r="FA126">
            <v>612767.58782500029</v>
          </cell>
          <cell r="FB126">
            <v>854176.17737499962</v>
          </cell>
          <cell r="FC126">
            <v>1150429.8159750004</v>
          </cell>
          <cell r="FD126">
            <v>966319.67582500027</v>
          </cell>
          <cell r="FE126">
            <v>867984.7374250018</v>
          </cell>
          <cell r="FF126">
            <v>800870.91832500068</v>
          </cell>
          <cell r="FG126">
            <v>801791.43468500045</v>
          </cell>
          <cell r="FH126">
            <v>347596.99525500229</v>
          </cell>
          <cell r="FI126">
            <v>309821.31968000252</v>
          </cell>
          <cell r="FM126">
            <v>17956.539725000006</v>
          </cell>
          <cell r="FN126">
            <v>41697.704964999997</v>
          </cell>
          <cell r="FO126">
            <v>79519.46577000001</v>
          </cell>
          <cell r="FP126">
            <v>79608.035945000011</v>
          </cell>
          <cell r="FQ126">
            <v>72223.412255000003</v>
          </cell>
          <cell r="FR126">
            <v>45735.336675000013</v>
          </cell>
          <cell r="FS126">
            <v>24360.981564999995</v>
          </cell>
          <cell r="FT126">
            <v>24926.25636500003</v>
          </cell>
          <cell r="FU126">
            <v>45043.627065000044</v>
          </cell>
          <cell r="FV126">
            <v>68418.173829999985</v>
          </cell>
          <cell r="FW126">
            <v>19030.739665000059</v>
          </cell>
          <cell r="FX126">
            <v>24797.774540000028</v>
          </cell>
          <cell r="GB126">
            <v>-18947.393944999967</v>
          </cell>
          <cell r="GC126">
            <v>-10233.394484999946</v>
          </cell>
          <cell r="GD126">
            <v>111146.13841000009</v>
          </cell>
          <cell r="GE126">
            <v>136016.20109500005</v>
          </cell>
          <cell r="GF126">
            <v>243444.19033500011</v>
          </cell>
          <cell r="GG126">
            <v>366142.00081500004</v>
          </cell>
          <cell r="GH126">
            <v>455434.62927499996</v>
          </cell>
          <cell r="GI126">
            <v>494204.00387500017</v>
          </cell>
          <cell r="GJ126">
            <v>480669.73417499999</v>
          </cell>
          <cell r="GK126">
            <v>525290.60785000003</v>
          </cell>
          <cell r="GL126">
            <v>474218.46364499989</v>
          </cell>
          <cell r="GM126">
            <v>499899.47174499952</v>
          </cell>
        </row>
        <row r="128">
          <cell r="A128" t="str">
            <v>Current Month FTE Staffing</v>
          </cell>
          <cell r="C128">
            <v>63.270019273207183</v>
          </cell>
          <cell r="J128">
            <v>43.13221875</v>
          </cell>
          <cell r="Q128">
            <v>4.6236369930190966</v>
          </cell>
          <cell r="X128">
            <v>5.8856562500000003</v>
          </cell>
          <cell r="AH128">
            <v>94.616536142762371</v>
          </cell>
          <cell r="AI128">
            <v>98.222077583222742</v>
          </cell>
          <cell r="AJ128">
            <v>103.74253269053251</v>
          </cell>
          <cell r="AK128">
            <v>114.22919563996423</v>
          </cell>
          <cell r="AL128">
            <v>116.41780523401893</v>
          </cell>
          <cell r="AM128">
            <v>105.10592475876939</v>
          </cell>
          <cell r="AN128">
            <v>94.235230902757735</v>
          </cell>
          <cell r="AO128">
            <v>88.146290610035763</v>
          </cell>
          <cell r="AP128">
            <v>43.13221875</v>
          </cell>
          <cell r="AQ128">
            <v>0</v>
          </cell>
          <cell r="AR128">
            <v>0</v>
          </cell>
          <cell r="AS128">
            <v>0</v>
          </cell>
          <cell r="AW128">
            <v>10.5</v>
          </cell>
          <cell r="AX128">
            <v>12.157978617377259</v>
          </cell>
          <cell r="AY128">
            <v>14.550086947585532</v>
          </cell>
          <cell r="AZ128">
            <v>15.816762491345989</v>
          </cell>
          <cell r="BA128">
            <v>14.678705998673051</v>
          </cell>
          <cell r="BB128">
            <v>12.140251572145619</v>
          </cell>
          <cell r="BC128">
            <v>10.546673974499509</v>
          </cell>
          <cell r="BD128">
            <v>9.7841112329083249</v>
          </cell>
          <cell r="BE128">
            <v>4.6236369930190966</v>
          </cell>
          <cell r="BF128">
            <v>0</v>
          </cell>
          <cell r="BG128">
            <v>0</v>
          </cell>
          <cell r="BH128">
            <v>0</v>
          </cell>
          <cell r="BL128">
            <v>13.4883875</v>
          </cell>
          <cell r="BM128">
            <v>13.816881602290428</v>
          </cell>
          <cell r="BN128">
            <v>14.903487469710957</v>
          </cell>
          <cell r="BO128">
            <v>16.342085968239772</v>
          </cell>
          <cell r="BP128">
            <v>16.736971765923382</v>
          </cell>
          <cell r="BQ128">
            <v>16.046828019529222</v>
          </cell>
          <cell r="BR128">
            <v>14.569970339453644</v>
          </cell>
          <cell r="BS128">
            <v>12.702852735028559</v>
          </cell>
          <cell r="BT128">
            <v>5.8856562500000003</v>
          </cell>
          <cell r="BU128">
            <v>0</v>
          </cell>
          <cell r="BV128">
            <v>0</v>
          </cell>
          <cell r="BW128">
            <v>0</v>
          </cell>
          <cell r="CP128">
            <v>0</v>
          </cell>
          <cell r="DE128">
            <v>0</v>
          </cell>
          <cell r="DT128">
            <v>0</v>
          </cell>
          <cell r="EX128">
            <v>0</v>
          </cell>
          <cell r="EY128">
            <v>0</v>
          </cell>
          <cell r="EZ128">
            <v>0</v>
          </cell>
          <cell r="FA128">
            <v>0</v>
          </cell>
          <cell r="FB128">
            <v>0</v>
          </cell>
          <cell r="FC128">
            <v>0</v>
          </cell>
          <cell r="FD128">
            <v>0</v>
          </cell>
          <cell r="FE128">
            <v>0</v>
          </cell>
          <cell r="FF128">
            <v>0</v>
          </cell>
          <cell r="FG128">
            <v>0</v>
          </cell>
          <cell r="FH128">
            <v>0</v>
          </cell>
          <cell r="FI128">
            <v>0</v>
          </cell>
          <cell r="FM128">
            <v>0</v>
          </cell>
          <cell r="FN128">
            <v>0</v>
          </cell>
          <cell r="FO128">
            <v>0</v>
          </cell>
          <cell r="FP128">
            <v>0</v>
          </cell>
          <cell r="FQ128">
            <v>0</v>
          </cell>
          <cell r="FR128">
            <v>0</v>
          </cell>
          <cell r="FS128">
            <v>0</v>
          </cell>
          <cell r="FT128">
            <v>0</v>
          </cell>
          <cell r="FU128">
            <v>0</v>
          </cell>
          <cell r="FV128">
            <v>0</v>
          </cell>
          <cell r="FW128">
            <v>0</v>
          </cell>
          <cell r="FX128">
            <v>0</v>
          </cell>
          <cell r="GB128">
            <v>0</v>
          </cell>
          <cell r="GC128">
            <v>0</v>
          </cell>
          <cell r="GD128">
            <v>0</v>
          </cell>
          <cell r="GE128">
            <v>0</v>
          </cell>
          <cell r="GF128">
            <v>0</v>
          </cell>
          <cell r="GG128">
            <v>0</v>
          </cell>
          <cell r="GH128">
            <v>0</v>
          </cell>
          <cell r="GI128">
            <v>0</v>
          </cell>
          <cell r="GJ128">
            <v>0</v>
          </cell>
          <cell r="GK128">
            <v>0</v>
          </cell>
          <cell r="GL128">
            <v>0</v>
          </cell>
          <cell r="GM128">
            <v>0</v>
          </cell>
        </row>
        <row r="129">
          <cell r="A129" t="str">
            <v>YTD Average Staffing</v>
          </cell>
          <cell r="C129">
            <v>138.60206876113003</v>
          </cell>
          <cell r="J129">
            <v>95.316423590229292</v>
          </cell>
          <cell r="Q129">
            <v>11.644245314172709</v>
          </cell>
          <cell r="X129">
            <v>13.832569072241773</v>
          </cell>
          <cell r="AH129">
            <v>94.616536142762371</v>
          </cell>
          <cell r="AI129">
            <v>96.419306862992556</v>
          </cell>
          <cell r="AJ129">
            <v>98.860382138839213</v>
          </cell>
          <cell r="AK129">
            <v>102.70258551412047</v>
          </cell>
          <cell r="AL129">
            <v>105.44562945810017</v>
          </cell>
          <cell r="AM129">
            <v>105.38901200821169</v>
          </cell>
          <cell r="AN129">
            <v>103.79561470743256</v>
          </cell>
          <cell r="AO129">
            <v>101.83944919525796</v>
          </cell>
          <cell r="AP129">
            <v>95.316423590229292</v>
          </cell>
          <cell r="AQ129">
            <v>85.784781231206367</v>
          </cell>
          <cell r="AR129">
            <v>77.98616475564215</v>
          </cell>
          <cell r="AS129">
            <v>71.487317692671965</v>
          </cell>
          <cell r="AW129">
            <v>10.5</v>
          </cell>
          <cell r="AX129">
            <v>11.32898930868863</v>
          </cell>
          <cell r="AY129">
            <v>12.402688521654264</v>
          </cell>
          <cell r="AZ129">
            <v>13.256207014077196</v>
          </cell>
          <cell r="BA129">
            <v>13.540706810996365</v>
          </cell>
          <cell r="BB129">
            <v>13.30729760452124</v>
          </cell>
          <cell r="BC129">
            <v>12.912922800232423</v>
          </cell>
          <cell r="BD129">
            <v>12.521821354316911</v>
          </cell>
          <cell r="BE129">
            <v>11.644245314172709</v>
          </cell>
          <cell r="BF129">
            <v>10.479820782755437</v>
          </cell>
          <cell r="BG129">
            <v>9.5271098025049437</v>
          </cell>
          <cell r="BH129">
            <v>8.7331839856295321</v>
          </cell>
          <cell r="BL129">
            <v>13.4883875</v>
          </cell>
          <cell r="BM129">
            <v>13.652634551145214</v>
          </cell>
          <cell r="BN129">
            <v>14.069585524000461</v>
          </cell>
          <cell r="BO129">
            <v>14.637710635060289</v>
          </cell>
          <cell r="BP129">
            <v>15.057562861232906</v>
          </cell>
          <cell r="BQ129">
            <v>15.222440387615626</v>
          </cell>
          <cell r="BR129">
            <v>15.129230380735342</v>
          </cell>
          <cell r="BS129">
            <v>14.825933175021994</v>
          </cell>
          <cell r="BT129">
            <v>13.832569072241773</v>
          </cell>
          <cell r="BU129">
            <v>12.449312165017595</v>
          </cell>
          <cell r="BV129">
            <v>11.317556513652359</v>
          </cell>
          <cell r="BW129">
            <v>10.374426804181329</v>
          </cell>
          <cell r="CP129">
            <v>0</v>
          </cell>
          <cell r="CQ129" t="e">
            <v>#DIV/0!</v>
          </cell>
          <cell r="CR129" t="e">
            <v>#DIV/0!</v>
          </cell>
          <cell r="CS129" t="e">
            <v>#DIV/0!</v>
          </cell>
          <cell r="CT129" t="e">
            <v>#DIV/0!</v>
          </cell>
          <cell r="CU129" t="e">
            <v>#DIV/0!</v>
          </cell>
          <cell r="CV129" t="e">
            <v>#DIV/0!</v>
          </cell>
          <cell r="CW129" t="e">
            <v>#DIV/0!</v>
          </cell>
          <cell r="DE129">
            <v>0</v>
          </cell>
          <cell r="DF129" t="e">
            <v>#DIV/0!</v>
          </cell>
          <cell r="DG129" t="e">
            <v>#DIV/0!</v>
          </cell>
          <cell r="DH129" t="e">
            <v>#DIV/0!</v>
          </cell>
          <cell r="DI129" t="e">
            <v>#DIV/0!</v>
          </cell>
          <cell r="DJ129" t="e">
            <v>#DIV/0!</v>
          </cell>
          <cell r="DK129" t="e">
            <v>#DIV/0!</v>
          </cell>
          <cell r="DL129" t="e">
            <v>#DIV/0!</v>
          </cell>
          <cell r="DT129">
            <v>0</v>
          </cell>
          <cell r="DU129" t="e">
            <v>#DIV/0!</v>
          </cell>
          <cell r="DV129" t="e">
            <v>#DIV/0!</v>
          </cell>
          <cell r="DW129" t="e">
            <v>#DIV/0!</v>
          </cell>
          <cell r="DX129" t="e">
            <v>#DIV/0!</v>
          </cell>
          <cell r="DY129" t="e">
            <v>#DIV/0!</v>
          </cell>
          <cell r="DZ129" t="e">
            <v>#DIV/0!</v>
          </cell>
          <cell r="EA129" t="e">
            <v>#DIV/0!</v>
          </cell>
          <cell r="EX129">
            <v>0</v>
          </cell>
          <cell r="EY129">
            <v>0</v>
          </cell>
          <cell r="EZ129">
            <v>0</v>
          </cell>
          <cell r="FA129">
            <v>0</v>
          </cell>
          <cell r="FB129">
            <v>0</v>
          </cell>
          <cell r="FC129">
            <v>0</v>
          </cell>
          <cell r="FD129">
            <v>0</v>
          </cell>
          <cell r="FE129">
            <v>0</v>
          </cell>
          <cell r="FF129">
            <v>0</v>
          </cell>
          <cell r="FG129">
            <v>0</v>
          </cell>
          <cell r="FH129">
            <v>0</v>
          </cell>
          <cell r="FI129">
            <v>0</v>
          </cell>
          <cell r="FM129">
            <v>0</v>
          </cell>
          <cell r="FN129">
            <v>0</v>
          </cell>
          <cell r="FO129">
            <v>0</v>
          </cell>
          <cell r="FP129">
            <v>0</v>
          </cell>
          <cell r="FQ129">
            <v>0</v>
          </cell>
          <cell r="FR129">
            <v>0</v>
          </cell>
          <cell r="FS129">
            <v>0</v>
          </cell>
          <cell r="FT129">
            <v>0</v>
          </cell>
          <cell r="FU129">
            <v>0</v>
          </cell>
          <cell r="FV129">
            <v>0</v>
          </cell>
          <cell r="FW129">
            <v>0</v>
          </cell>
          <cell r="FX129">
            <v>0</v>
          </cell>
          <cell r="GB129">
            <v>0</v>
          </cell>
          <cell r="GC129">
            <v>0</v>
          </cell>
          <cell r="GD129">
            <v>0</v>
          </cell>
          <cell r="GE129">
            <v>0</v>
          </cell>
          <cell r="GF129">
            <v>0</v>
          </cell>
          <cell r="GG129">
            <v>0</v>
          </cell>
          <cell r="GH129">
            <v>0</v>
          </cell>
          <cell r="GI129">
            <v>0</v>
          </cell>
          <cell r="GJ129">
            <v>0</v>
          </cell>
          <cell r="GK129">
            <v>0</v>
          </cell>
          <cell r="GL129">
            <v>0</v>
          </cell>
          <cell r="GM129">
            <v>0</v>
          </cell>
        </row>
        <row r="131">
          <cell r="A131" t="str">
            <v>Note:  Corporate staffing is not allocated to divisions but is included in GTS Total column.</v>
          </cell>
        </row>
        <row r="134">
          <cell r="AH134">
            <v>1</v>
          </cell>
          <cell r="AI134">
            <v>2</v>
          </cell>
          <cell r="AJ134">
            <v>3</v>
          </cell>
          <cell r="AK134">
            <v>4</v>
          </cell>
          <cell r="AL134">
            <v>5</v>
          </cell>
          <cell r="AM134">
            <v>6</v>
          </cell>
          <cell r="AN134">
            <v>7</v>
          </cell>
          <cell r="AO134">
            <v>8</v>
          </cell>
          <cell r="AP134">
            <v>9</v>
          </cell>
          <cell r="AQ134">
            <v>10</v>
          </cell>
          <cell r="AR134">
            <v>11</v>
          </cell>
          <cell r="AS134">
            <v>12</v>
          </cell>
          <cell r="AW134">
            <v>1</v>
          </cell>
          <cell r="AX134">
            <v>2</v>
          </cell>
          <cell r="AY134">
            <v>3</v>
          </cell>
          <cell r="AZ134">
            <v>4</v>
          </cell>
          <cell r="BA134">
            <v>5</v>
          </cell>
          <cell r="BB134">
            <v>6</v>
          </cell>
          <cell r="BC134">
            <v>7</v>
          </cell>
          <cell r="BD134">
            <v>8</v>
          </cell>
          <cell r="BE134">
            <v>9</v>
          </cell>
          <cell r="BF134">
            <v>10</v>
          </cell>
          <cell r="BG134">
            <v>11</v>
          </cell>
          <cell r="BH134">
            <v>12</v>
          </cell>
          <cell r="BL134">
            <v>1</v>
          </cell>
          <cell r="BM134">
            <v>2</v>
          </cell>
          <cell r="BN134">
            <v>3</v>
          </cell>
          <cell r="BO134">
            <v>4</v>
          </cell>
          <cell r="BP134">
            <v>5</v>
          </cell>
          <cell r="BQ134">
            <v>6</v>
          </cell>
          <cell r="BR134">
            <v>7</v>
          </cell>
          <cell r="BS134">
            <v>8</v>
          </cell>
          <cell r="BT134">
            <v>9</v>
          </cell>
          <cell r="BU134">
            <v>10</v>
          </cell>
          <cell r="BV134">
            <v>11</v>
          </cell>
          <cell r="BW134">
            <v>12</v>
          </cell>
        </row>
        <row r="135">
          <cell r="AH135">
            <v>209359.80961718416</v>
          </cell>
          <cell r="AI135">
            <v>231859.80961718416</v>
          </cell>
          <cell r="AJ135">
            <v>258609.80961718416</v>
          </cell>
          <cell r="AK135">
            <v>349609.80961718416</v>
          </cell>
          <cell r="AL135">
            <v>446609.80961718416</v>
          </cell>
          <cell r="AM135">
            <v>413859.80961718416</v>
          </cell>
          <cell r="AN135">
            <v>358109.80961718416</v>
          </cell>
          <cell r="AO135">
            <v>298109.80961718416</v>
          </cell>
          <cell r="AP135">
            <v>248109.80961718419</v>
          </cell>
          <cell r="AQ135">
            <v>215109.80961718419</v>
          </cell>
          <cell r="AR135">
            <v>165109.80961718419</v>
          </cell>
          <cell r="AS135">
            <v>141109.80961718419</v>
          </cell>
          <cell r="AW135">
            <v>25500</v>
          </cell>
          <cell r="AX135">
            <v>27500</v>
          </cell>
          <cell r="AY135">
            <v>21000</v>
          </cell>
          <cell r="AZ135">
            <v>33750</v>
          </cell>
          <cell r="BA135">
            <v>18750</v>
          </cell>
          <cell r="BB135">
            <v>18750</v>
          </cell>
          <cell r="BC135">
            <v>23000</v>
          </cell>
          <cell r="BD135">
            <v>29000</v>
          </cell>
          <cell r="BE135">
            <v>29000</v>
          </cell>
          <cell r="BF135">
            <v>29250</v>
          </cell>
          <cell r="BG135">
            <v>29250</v>
          </cell>
          <cell r="BH135">
            <v>25500</v>
          </cell>
          <cell r="BL135">
            <v>0</v>
          </cell>
          <cell r="BM135">
            <v>0</v>
          </cell>
          <cell r="BN135">
            <v>0</v>
          </cell>
          <cell r="BO135">
            <v>0</v>
          </cell>
          <cell r="BP135">
            <v>0</v>
          </cell>
          <cell r="BQ135">
            <v>0</v>
          </cell>
          <cell r="BR135">
            <v>0</v>
          </cell>
          <cell r="BS135">
            <v>0</v>
          </cell>
          <cell r="BT135">
            <v>0</v>
          </cell>
          <cell r="BU135">
            <v>0</v>
          </cell>
          <cell r="BV135">
            <v>0</v>
          </cell>
          <cell r="BW135">
            <v>0</v>
          </cell>
        </row>
        <row r="136">
          <cell r="AH136">
            <v>662273.68921258766</v>
          </cell>
          <cell r="AI136">
            <v>666773.68921258766</v>
          </cell>
          <cell r="AJ136">
            <v>683773.68921258766</v>
          </cell>
          <cell r="AK136">
            <v>695043.68921258778</v>
          </cell>
          <cell r="AL136">
            <v>612043.68921258766</v>
          </cell>
          <cell r="AM136">
            <v>676043.68921258766</v>
          </cell>
          <cell r="AN136">
            <v>598713.68921258778</v>
          </cell>
          <cell r="AO136">
            <v>636713.68921258778</v>
          </cell>
          <cell r="AP136">
            <v>696713.68921258778</v>
          </cell>
          <cell r="AQ136">
            <v>642813.68921258778</v>
          </cell>
          <cell r="AR136">
            <v>603813.68921258778</v>
          </cell>
          <cell r="AS136">
            <v>623813.68921258778</v>
          </cell>
          <cell r="AW136">
            <v>106374.32621047054</v>
          </cell>
          <cell r="AX136">
            <v>144374.32621047055</v>
          </cell>
          <cell r="AY136">
            <v>148374.32621047055</v>
          </cell>
          <cell r="AZ136">
            <v>125484.32621047055</v>
          </cell>
          <cell r="BA136">
            <v>132624.32621047055</v>
          </cell>
          <cell r="BB136">
            <v>148484.32621047055</v>
          </cell>
          <cell r="BC136">
            <v>186434.32621047055</v>
          </cell>
          <cell r="BD136">
            <v>192434.32621047055</v>
          </cell>
          <cell r="BE136">
            <v>183434.32621047055</v>
          </cell>
          <cell r="BF136">
            <v>151464.32621047055</v>
          </cell>
          <cell r="BG136">
            <v>168464.32621047055</v>
          </cell>
          <cell r="BH136">
            <v>161214.32621047055</v>
          </cell>
          <cell r="BL136">
            <v>0</v>
          </cell>
          <cell r="BM136">
            <v>0</v>
          </cell>
          <cell r="BN136">
            <v>0</v>
          </cell>
          <cell r="BO136">
            <v>0</v>
          </cell>
          <cell r="BP136">
            <v>0</v>
          </cell>
          <cell r="BQ136">
            <v>0</v>
          </cell>
          <cell r="BR136">
            <v>0</v>
          </cell>
          <cell r="BS136">
            <v>0</v>
          </cell>
          <cell r="BT136">
            <v>0</v>
          </cell>
          <cell r="BU136">
            <v>0</v>
          </cell>
          <cell r="BV136">
            <v>0</v>
          </cell>
          <cell r="BW136">
            <v>0</v>
          </cell>
        </row>
        <row r="137">
          <cell r="AH137">
            <v>0</v>
          </cell>
          <cell r="AI137">
            <v>0</v>
          </cell>
          <cell r="AJ137">
            <v>0</v>
          </cell>
          <cell r="AK137">
            <v>0</v>
          </cell>
          <cell r="AL137">
            <v>0</v>
          </cell>
          <cell r="AM137">
            <v>0</v>
          </cell>
          <cell r="AN137">
            <v>0</v>
          </cell>
          <cell r="AO137">
            <v>0</v>
          </cell>
          <cell r="AP137">
            <v>0</v>
          </cell>
          <cell r="AQ137">
            <v>0</v>
          </cell>
          <cell r="AR137">
            <v>0</v>
          </cell>
          <cell r="AS137">
            <v>0</v>
          </cell>
          <cell r="AW137">
            <v>0</v>
          </cell>
          <cell r="AX137">
            <v>0</v>
          </cell>
          <cell r="AY137">
            <v>0</v>
          </cell>
          <cell r="AZ137">
            <v>0</v>
          </cell>
          <cell r="BA137">
            <v>0</v>
          </cell>
          <cell r="BB137">
            <v>0</v>
          </cell>
          <cell r="BC137">
            <v>0</v>
          </cell>
          <cell r="BD137">
            <v>0</v>
          </cell>
          <cell r="BE137">
            <v>0</v>
          </cell>
          <cell r="BF137">
            <v>0</v>
          </cell>
          <cell r="BG137">
            <v>0</v>
          </cell>
          <cell r="BH137">
            <v>0</v>
          </cell>
          <cell r="BL137">
            <v>173902.17495975754</v>
          </cell>
          <cell r="BM137">
            <v>159902.17495975757</v>
          </cell>
          <cell r="BN137">
            <v>162902.17495975754</v>
          </cell>
          <cell r="BO137">
            <v>183732.17495975754</v>
          </cell>
          <cell r="BP137">
            <v>175732.17495975754</v>
          </cell>
          <cell r="BQ137">
            <v>165732.17495975754</v>
          </cell>
          <cell r="BR137">
            <v>166227.17495975751</v>
          </cell>
          <cell r="BS137">
            <v>170227.17495975754</v>
          </cell>
          <cell r="BT137">
            <v>171227.17495975754</v>
          </cell>
          <cell r="BU137">
            <v>184107.17495975751</v>
          </cell>
          <cell r="BV137">
            <v>242107.17495975751</v>
          </cell>
          <cell r="BW137">
            <v>200107.17495975751</v>
          </cell>
        </row>
        <row r="138">
          <cell r="AH138">
            <v>5000</v>
          </cell>
          <cell r="AI138">
            <v>5000</v>
          </cell>
          <cell r="AJ138">
            <v>5000</v>
          </cell>
          <cell r="AK138">
            <v>5000</v>
          </cell>
          <cell r="AL138">
            <v>5000</v>
          </cell>
          <cell r="AM138">
            <v>5000</v>
          </cell>
          <cell r="AN138">
            <v>5000</v>
          </cell>
          <cell r="AO138">
            <v>5000</v>
          </cell>
          <cell r="AP138">
            <v>5000</v>
          </cell>
          <cell r="AQ138">
            <v>5000</v>
          </cell>
          <cell r="AR138">
            <v>5000</v>
          </cell>
          <cell r="AS138">
            <v>5000</v>
          </cell>
          <cell r="AW138">
            <v>0</v>
          </cell>
          <cell r="AX138">
            <v>0</v>
          </cell>
          <cell r="AY138">
            <v>0</v>
          </cell>
          <cell r="AZ138">
            <v>0</v>
          </cell>
          <cell r="BA138">
            <v>0</v>
          </cell>
          <cell r="BB138">
            <v>0</v>
          </cell>
          <cell r="BC138">
            <v>0</v>
          </cell>
          <cell r="BD138">
            <v>0</v>
          </cell>
          <cell r="BE138">
            <v>0</v>
          </cell>
          <cell r="BF138">
            <v>0</v>
          </cell>
          <cell r="BG138">
            <v>0</v>
          </cell>
          <cell r="BH138">
            <v>0</v>
          </cell>
          <cell r="BL138">
            <v>0</v>
          </cell>
          <cell r="BM138">
            <v>0</v>
          </cell>
          <cell r="BN138">
            <v>0</v>
          </cell>
          <cell r="BO138">
            <v>0</v>
          </cell>
          <cell r="BP138">
            <v>0</v>
          </cell>
          <cell r="BQ138">
            <v>0</v>
          </cell>
          <cell r="BR138">
            <v>0</v>
          </cell>
          <cell r="BS138">
            <v>0</v>
          </cell>
          <cell r="BT138">
            <v>0</v>
          </cell>
          <cell r="BU138">
            <v>0</v>
          </cell>
          <cell r="BV138">
            <v>0</v>
          </cell>
          <cell r="BW138">
            <v>0</v>
          </cell>
        </row>
        <row r="139">
          <cell r="AH139">
            <v>22352.680186835281</v>
          </cell>
          <cell r="AI139">
            <v>22352.680186835281</v>
          </cell>
          <cell r="AJ139">
            <v>22352.680186835281</v>
          </cell>
          <cell r="AK139">
            <v>-40979.913675864686</v>
          </cell>
          <cell r="AL139">
            <v>-40979.913675864686</v>
          </cell>
          <cell r="AM139">
            <v>-40979.913675864686</v>
          </cell>
          <cell r="AN139">
            <v>-94626.346124269359</v>
          </cell>
          <cell r="AO139">
            <v>-93881.256784708181</v>
          </cell>
          <cell r="AP139">
            <v>-86430.363389096427</v>
          </cell>
          <cell r="AQ139">
            <v>110273.22225505406</v>
          </cell>
          <cell r="AR139">
            <v>110273.22225505406</v>
          </cell>
          <cell r="AS139">
            <v>110273.22225505406</v>
          </cell>
          <cell r="AW139">
            <v>2780.4125627820981</v>
          </cell>
          <cell r="AX139">
            <v>2780.4125627820981</v>
          </cell>
          <cell r="AY139">
            <v>2780.4125627820981</v>
          </cell>
          <cell r="AZ139">
            <v>-5097.42303176718</v>
          </cell>
          <cell r="BA139">
            <v>-5097.42303176718</v>
          </cell>
          <cell r="BB139">
            <v>-5097.42303176718</v>
          </cell>
          <cell r="BC139">
            <v>-11770.413182444216</v>
          </cell>
          <cell r="BD139">
            <v>-11677.732763684813</v>
          </cell>
          <cell r="BE139">
            <v>-10750.928576090781</v>
          </cell>
          <cell r="BF139">
            <v>13716.701976391685</v>
          </cell>
          <cell r="BG139">
            <v>13716.701976391685</v>
          </cell>
          <cell r="BH139">
            <v>13716.701976391685</v>
          </cell>
          <cell r="BL139">
            <v>4866.9072503826201</v>
          </cell>
          <cell r="BM139">
            <v>4866.9072503826201</v>
          </cell>
          <cell r="BN139">
            <v>4866.9072503826201</v>
          </cell>
          <cell r="BO139">
            <v>-8922.6632923681373</v>
          </cell>
          <cell r="BP139">
            <v>-8922.6632923681373</v>
          </cell>
          <cell r="BQ139">
            <v>-8922.6632923681373</v>
          </cell>
          <cell r="BR139">
            <v>-20603.240693286425</v>
          </cell>
          <cell r="BS139">
            <v>-20441.010451607006</v>
          </cell>
          <cell r="BT139">
            <v>-18818.7080348128</v>
          </cell>
          <cell r="BU139">
            <v>24010.075768554259</v>
          </cell>
          <cell r="BV139">
            <v>24010.075768554259</v>
          </cell>
          <cell r="BW139">
            <v>24010.075768554259</v>
          </cell>
        </row>
        <row r="142">
          <cell r="AH142">
            <v>898986.179016607</v>
          </cell>
          <cell r="AI142">
            <v>925986.179016607</v>
          </cell>
          <cell r="AJ142">
            <v>969736.179016607</v>
          </cell>
          <cell r="AK142">
            <v>1008673.5851539073</v>
          </cell>
          <cell r="AL142">
            <v>1022673.5851539071</v>
          </cell>
          <cell r="AM142">
            <v>1053923.5851539071</v>
          </cell>
          <cell r="AN142">
            <v>867197.1527055027</v>
          </cell>
          <cell r="AO142">
            <v>845942.24204506376</v>
          </cell>
          <cell r="AP142">
            <v>863393.13544067554</v>
          </cell>
          <cell r="AQ142">
            <v>973196.72108482604</v>
          </cell>
          <cell r="AR142">
            <v>884196.72108482604</v>
          </cell>
          <cell r="AS142">
            <v>880196.72108482604</v>
          </cell>
          <cell r="AW142">
            <v>134654.73877325261</v>
          </cell>
          <cell r="AX142">
            <v>174654.73877325264</v>
          </cell>
          <cell r="AY142">
            <v>172154.73877325264</v>
          </cell>
          <cell r="AZ142">
            <v>154136.90317870336</v>
          </cell>
          <cell r="BA142">
            <v>146276.90317870336</v>
          </cell>
          <cell r="BB142">
            <v>162136.90317870336</v>
          </cell>
          <cell r="BC142">
            <v>197663.91302802635</v>
          </cell>
          <cell r="BD142">
            <v>209756.59344678573</v>
          </cell>
          <cell r="BE142">
            <v>201683.39763437977</v>
          </cell>
          <cell r="BF142">
            <v>194431.02818686224</v>
          </cell>
          <cell r="BG142">
            <v>211431.02818686224</v>
          </cell>
          <cell r="BH142">
            <v>200431.02818686224</v>
          </cell>
          <cell r="BL142">
            <v>178769.08221014016</v>
          </cell>
          <cell r="BM142">
            <v>164769.08221014019</v>
          </cell>
          <cell r="BN142">
            <v>167769.08221014016</v>
          </cell>
          <cell r="BO142">
            <v>174809.51166738939</v>
          </cell>
          <cell r="BP142">
            <v>166809.51166738939</v>
          </cell>
          <cell r="BQ142">
            <v>156809.51166738939</v>
          </cell>
          <cell r="BR142">
            <v>145623.93426647107</v>
          </cell>
          <cell r="BS142">
            <v>149786.16450815054</v>
          </cell>
          <cell r="BT142">
            <v>152408.46692494475</v>
          </cell>
          <cell r="BU142">
            <v>208117.25072831177</v>
          </cell>
          <cell r="BV142">
            <v>266117.25072831177</v>
          </cell>
          <cell r="BW142">
            <v>224117.25072831177</v>
          </cell>
        </row>
        <row r="144">
          <cell r="AH144">
            <v>31815.645957501529</v>
          </cell>
          <cell r="AI144">
            <v>33209.565957501523</v>
          </cell>
          <cell r="AJ144">
            <v>34692.765957501528</v>
          </cell>
          <cell r="AK144">
            <v>38110.404357501538</v>
          </cell>
          <cell r="AL144">
            <v>38503.697157501527</v>
          </cell>
          <cell r="AM144">
            <v>39766.404357501531</v>
          </cell>
          <cell r="AN144">
            <v>33299.227238989391</v>
          </cell>
          <cell r="AO144">
            <v>32677.147238989397</v>
          </cell>
          <cell r="AP144">
            <v>32919.067238989395</v>
          </cell>
          <cell r="AQ144">
            <v>34258.541476013677</v>
          </cell>
          <cell r="AR144">
            <v>31378.541476013677</v>
          </cell>
          <cell r="AS144">
            <v>31113.581476013682</v>
          </cell>
          <cell r="AW144">
            <v>0</v>
          </cell>
          <cell r="AX144">
            <v>0</v>
          </cell>
          <cell r="AY144">
            <v>0</v>
          </cell>
          <cell r="AZ144">
            <v>0</v>
          </cell>
          <cell r="BA144">
            <v>0</v>
          </cell>
          <cell r="BB144">
            <v>0</v>
          </cell>
          <cell r="BC144">
            <v>-306.35908597511553</v>
          </cell>
          <cell r="BD144">
            <v>-306.35908597511553</v>
          </cell>
          <cell r="BE144">
            <v>-306.35908597511553</v>
          </cell>
          <cell r="BF144">
            <v>306.35908597511553</v>
          </cell>
          <cell r="BG144">
            <v>306.35908597511553</v>
          </cell>
          <cell r="BH144">
            <v>306.35908597511553</v>
          </cell>
          <cell r="BL144">
            <v>0</v>
          </cell>
          <cell r="BM144">
            <v>0</v>
          </cell>
          <cell r="BN144">
            <v>0</v>
          </cell>
          <cell r="BO144">
            <v>0</v>
          </cell>
          <cell r="BP144">
            <v>0</v>
          </cell>
          <cell r="BQ144">
            <v>0</v>
          </cell>
          <cell r="BR144">
            <v>-339.56459551274162</v>
          </cell>
          <cell r="BS144">
            <v>-339.56459551274162</v>
          </cell>
          <cell r="BT144">
            <v>-339.56459551274162</v>
          </cell>
          <cell r="BU144">
            <v>339.56459551274162</v>
          </cell>
          <cell r="BV144">
            <v>339.56459551274162</v>
          </cell>
          <cell r="BW144">
            <v>339.56459551274162</v>
          </cell>
        </row>
        <row r="146">
          <cell r="AH146">
            <v>34610.837932202587</v>
          </cell>
          <cell r="AI146">
            <v>36447.896755731999</v>
          </cell>
          <cell r="AJ146">
            <v>38960.896755731999</v>
          </cell>
          <cell r="AK146">
            <v>46195.108520437891</v>
          </cell>
          <cell r="AL146">
            <v>51223.579108673177</v>
          </cell>
          <cell r="AM146">
            <v>50541.637932202582</v>
          </cell>
          <cell r="AN146">
            <v>40197.742107231374</v>
          </cell>
          <cell r="AO146">
            <v>36710.683283701961</v>
          </cell>
          <cell r="AP146">
            <v>34604.800930760786</v>
          </cell>
          <cell r="AQ146">
            <v>38421.839639526748</v>
          </cell>
          <cell r="AR146">
            <v>33520.663168938518</v>
          </cell>
          <cell r="AS146">
            <v>32261.369051291465</v>
          </cell>
          <cell r="AW146">
            <v>0</v>
          </cell>
          <cell r="AX146">
            <v>0</v>
          </cell>
          <cell r="AY146">
            <v>0</v>
          </cell>
          <cell r="AZ146">
            <v>0</v>
          </cell>
          <cell r="BA146">
            <v>0</v>
          </cell>
          <cell r="BB146">
            <v>0</v>
          </cell>
          <cell r="BC146">
            <v>-510.59847662519252</v>
          </cell>
          <cell r="BD146">
            <v>-510.59847662519252</v>
          </cell>
          <cell r="BE146">
            <v>-510.59847662519252</v>
          </cell>
          <cell r="BF146">
            <v>510.59847662519252</v>
          </cell>
          <cell r="BG146">
            <v>510.59847662519252</v>
          </cell>
          <cell r="BH146">
            <v>510.59847662519252</v>
          </cell>
          <cell r="BL146">
            <v>1739.0217495975755</v>
          </cell>
          <cell r="BM146">
            <v>1599.0217495975758</v>
          </cell>
          <cell r="BN146">
            <v>3258.0434991951511</v>
          </cell>
          <cell r="BO146">
            <v>3674.643499195151</v>
          </cell>
          <cell r="BP146">
            <v>5271.965248792726</v>
          </cell>
          <cell r="BQ146">
            <v>4971.965248792726</v>
          </cell>
          <cell r="BR146">
            <v>6083.1460058690645</v>
          </cell>
          <cell r="BS146">
            <v>6243.1460058690664</v>
          </cell>
          <cell r="BT146">
            <v>7995.4177554666412</v>
          </cell>
          <cell r="BU146">
            <v>9771.2997405091119</v>
          </cell>
          <cell r="BV146">
            <v>15092.371490106687</v>
          </cell>
          <cell r="BW146">
            <v>12572.371490106687</v>
          </cell>
        </row>
        <row r="147">
          <cell r="AH147">
            <v>42872</v>
          </cell>
          <cell r="AI147">
            <v>37280</v>
          </cell>
          <cell r="AJ147">
            <v>47168</v>
          </cell>
          <cell r="AK147">
            <v>48048</v>
          </cell>
          <cell r="AL147">
            <v>42872</v>
          </cell>
          <cell r="AM147">
            <v>45360</v>
          </cell>
          <cell r="AN147">
            <v>29325.923681487857</v>
          </cell>
          <cell r="AO147">
            <v>30765.923681487857</v>
          </cell>
          <cell r="AP147">
            <v>32045.923681487857</v>
          </cell>
          <cell r="AQ147">
            <v>32346.076318512143</v>
          </cell>
          <cell r="AR147">
            <v>18546.076318512143</v>
          </cell>
          <cell r="AS147">
            <v>14786.076318512143</v>
          </cell>
          <cell r="AW147">
            <v>16560</v>
          </cell>
          <cell r="AX147">
            <v>14400</v>
          </cell>
          <cell r="AY147">
            <v>15840</v>
          </cell>
          <cell r="AZ147">
            <v>15120</v>
          </cell>
          <cell r="BA147">
            <v>16560</v>
          </cell>
          <cell r="BB147">
            <v>0</v>
          </cell>
          <cell r="BC147">
            <v>-306.35908597511553</v>
          </cell>
          <cell r="BD147">
            <v>-306.35908597511553</v>
          </cell>
          <cell r="BE147">
            <v>-306.35908597511553</v>
          </cell>
          <cell r="BF147">
            <v>306.35908597511553</v>
          </cell>
          <cell r="BG147">
            <v>306.35908597511553</v>
          </cell>
          <cell r="BH147">
            <v>306.35908597511553</v>
          </cell>
          <cell r="BL147">
            <v>38957.021960358739</v>
          </cell>
          <cell r="BM147">
            <v>27821.581199628854</v>
          </cell>
          <cell r="BN147">
            <v>37043.118079608284</v>
          </cell>
          <cell r="BO147">
            <v>31967.79297038187</v>
          </cell>
          <cell r="BP147">
            <v>21876.299780970407</v>
          </cell>
          <cell r="BQ147">
            <v>23616.212399834454</v>
          </cell>
          <cell r="BR147">
            <v>35542.161811003796</v>
          </cell>
          <cell r="BS147">
            <v>24058.7385265011</v>
          </cell>
          <cell r="BT147">
            <v>24232.729788387507</v>
          </cell>
          <cell r="BU147">
            <v>32372.604289102008</v>
          </cell>
          <cell r="BV147">
            <v>42464.097478513468</v>
          </cell>
          <cell r="BW147">
            <v>35156.464479284477</v>
          </cell>
        </row>
        <row r="148">
          <cell r="AH148">
            <v>77482.837932202587</v>
          </cell>
          <cell r="AI148">
            <v>73727.896755731999</v>
          </cell>
          <cell r="AJ148">
            <v>86128.896755731999</v>
          </cell>
          <cell r="AK148">
            <v>94243.108520437891</v>
          </cell>
          <cell r="AL148">
            <v>94095.579108673177</v>
          </cell>
          <cell r="AM148">
            <v>95901.637932202575</v>
          </cell>
          <cell r="AN148">
            <v>69523.665788719227</v>
          </cell>
          <cell r="AO148">
            <v>67476.606965189814</v>
          </cell>
          <cell r="AP148">
            <v>66650.724612248639</v>
          </cell>
          <cell r="AQ148">
            <v>70767.915958038895</v>
          </cell>
          <cell r="AR148">
            <v>52066.739487450657</v>
          </cell>
          <cell r="AS148">
            <v>47047.445369803609</v>
          </cell>
          <cell r="AW148">
            <v>16560</v>
          </cell>
          <cell r="AX148">
            <v>14400</v>
          </cell>
          <cell r="AY148">
            <v>15840</v>
          </cell>
          <cell r="AZ148">
            <v>15120</v>
          </cell>
          <cell r="BA148">
            <v>16560</v>
          </cell>
          <cell r="BB148">
            <v>0</v>
          </cell>
          <cell r="BC148">
            <v>-816.95756260030805</v>
          </cell>
          <cell r="BD148">
            <v>-816.95756260030805</v>
          </cell>
          <cell r="BE148">
            <v>-816.95756260030805</v>
          </cell>
          <cell r="BF148">
            <v>816.95756260030805</v>
          </cell>
          <cell r="BG148">
            <v>816.95756260030805</v>
          </cell>
          <cell r="BH148">
            <v>816.95756260030805</v>
          </cell>
          <cell r="BL148">
            <v>40696.043709956313</v>
          </cell>
          <cell r="BM148">
            <v>29420.602949226428</v>
          </cell>
          <cell r="BN148">
            <v>40301.161578803432</v>
          </cell>
          <cell r="BO148">
            <v>35642.43646957702</v>
          </cell>
          <cell r="BP148">
            <v>27148.265029763133</v>
          </cell>
          <cell r="BQ148">
            <v>28588.177648627181</v>
          </cell>
          <cell r="BR148">
            <v>41625.307816872861</v>
          </cell>
          <cell r="BS148">
            <v>30301.884532370168</v>
          </cell>
          <cell r="BT148">
            <v>32228.147543854149</v>
          </cell>
          <cell r="BU148">
            <v>42143.90402961112</v>
          </cell>
          <cell r="BV148">
            <v>57556.468968620153</v>
          </cell>
          <cell r="BW148">
            <v>47728.835969391163</v>
          </cell>
        </row>
        <row r="150">
          <cell r="AH150">
            <v>789687.69512690289</v>
          </cell>
          <cell r="AI150">
            <v>819048.71630337345</v>
          </cell>
          <cell r="AJ150">
            <v>848914.5163033735</v>
          </cell>
          <cell r="AK150">
            <v>876320.07227596792</v>
          </cell>
          <cell r="AL150">
            <v>890074.30888773245</v>
          </cell>
          <cell r="AM150">
            <v>918255.54286420299</v>
          </cell>
          <cell r="AN150">
            <v>764374.25967779406</v>
          </cell>
          <cell r="AO150">
            <v>745788.4878408846</v>
          </cell>
          <cell r="AP150">
            <v>763823.34358943754</v>
          </cell>
          <cell r="AQ150">
            <v>868170.26365077344</v>
          </cell>
          <cell r="AR150">
            <v>800751.44012136164</v>
          </cell>
          <cell r="AS150">
            <v>802035.69423900882</v>
          </cell>
          <cell r="AW150">
            <v>118094.73877325261</v>
          </cell>
          <cell r="AX150">
            <v>160254.73877325264</v>
          </cell>
          <cell r="AY150">
            <v>156314.73877325264</v>
          </cell>
          <cell r="AZ150">
            <v>139016.90317870336</v>
          </cell>
          <cell r="BA150">
            <v>129716.90317870336</v>
          </cell>
          <cell r="BB150">
            <v>162136.90317870336</v>
          </cell>
          <cell r="BC150">
            <v>198787.2296766018</v>
          </cell>
          <cell r="BD150">
            <v>210879.91009536118</v>
          </cell>
          <cell r="BE150">
            <v>202806.71428295522</v>
          </cell>
          <cell r="BF150">
            <v>193307.71153828679</v>
          </cell>
          <cell r="BG150">
            <v>210307.71153828679</v>
          </cell>
          <cell r="BH150">
            <v>199307.71153828679</v>
          </cell>
          <cell r="BL150">
            <v>138073.03850018384</v>
          </cell>
          <cell r="BM150">
            <v>135348.47926091377</v>
          </cell>
          <cell r="BN150">
            <v>127467.92063133672</v>
          </cell>
          <cell r="BO150">
            <v>139167.07519781237</v>
          </cell>
          <cell r="BP150">
            <v>139661.24663762626</v>
          </cell>
          <cell r="BQ150">
            <v>128221.33401876221</v>
          </cell>
          <cell r="BR150">
            <v>104338.19104511096</v>
          </cell>
          <cell r="BS150">
            <v>119823.84457129313</v>
          </cell>
          <cell r="BT150">
            <v>120519.88397660335</v>
          </cell>
          <cell r="BU150">
            <v>165633.7821031879</v>
          </cell>
          <cell r="BV150">
            <v>208221.21716417887</v>
          </cell>
          <cell r="BW150">
            <v>176048.85016340786</v>
          </cell>
        </row>
        <row r="152">
          <cell r="AH152">
            <v>259385.45974488006</v>
          </cell>
          <cell r="AI152">
            <v>225552.57369119997</v>
          </cell>
          <cell r="AJ152">
            <v>248107.83106031996</v>
          </cell>
          <cell r="AK152">
            <v>236830.20237575998</v>
          </cell>
          <cell r="AL152">
            <v>259385.45974488006</v>
          </cell>
          <cell r="AM152">
            <v>236830.20237575998</v>
          </cell>
          <cell r="AN152">
            <v>248107.83106031996</v>
          </cell>
          <cell r="AO152">
            <v>259385.45974488006</v>
          </cell>
          <cell r="AP152">
            <v>225552.57369119997</v>
          </cell>
          <cell r="AQ152">
            <v>259385.45974488006</v>
          </cell>
          <cell r="AR152">
            <v>248107.83106031996</v>
          </cell>
          <cell r="AS152">
            <v>236830.20237575998</v>
          </cell>
          <cell r="AW152">
            <v>29440.475630127694</v>
          </cell>
          <cell r="AX152">
            <v>25600.413591415385</v>
          </cell>
          <cell r="AY152">
            <v>28160.454950556923</v>
          </cell>
          <cell r="AZ152">
            <v>26880.434270986152</v>
          </cell>
          <cell r="BA152">
            <v>29440.475630127694</v>
          </cell>
          <cell r="BB152">
            <v>26880.434270986152</v>
          </cell>
          <cell r="BC152">
            <v>28160.454950556923</v>
          </cell>
          <cell r="BD152">
            <v>29440.475630127694</v>
          </cell>
          <cell r="BE152">
            <v>25600.413591415385</v>
          </cell>
          <cell r="BF152">
            <v>29440.475630127694</v>
          </cell>
          <cell r="BG152">
            <v>28160.454950556923</v>
          </cell>
          <cell r="BH152">
            <v>26880.434270986152</v>
          </cell>
          <cell r="BL152">
            <v>29949.71493654</v>
          </cell>
          <cell r="BM152">
            <v>26043.230379600001</v>
          </cell>
          <cell r="BN152">
            <v>28647.553417560004</v>
          </cell>
          <cell r="BO152">
            <v>27345.391898579997</v>
          </cell>
          <cell r="BP152">
            <v>29949.71493654</v>
          </cell>
          <cell r="BQ152">
            <v>27345.391898579997</v>
          </cell>
          <cell r="BR152">
            <v>28647.553417560004</v>
          </cell>
          <cell r="BS152">
            <v>29949.71493654</v>
          </cell>
          <cell r="BT152">
            <v>26043.230379600001</v>
          </cell>
          <cell r="BU152">
            <v>29949.71493654</v>
          </cell>
          <cell r="BV152">
            <v>28647.553417560004</v>
          </cell>
          <cell r="BW152">
            <v>27345.391898579997</v>
          </cell>
        </row>
        <row r="153">
          <cell r="AH153">
            <v>56311.967011860012</v>
          </cell>
          <cell r="AI153">
            <v>48966.927836399998</v>
          </cell>
          <cell r="AJ153">
            <v>53863.620620040005</v>
          </cell>
          <cell r="AK153">
            <v>51415.274228220005</v>
          </cell>
          <cell r="AL153">
            <v>56311.967011860012</v>
          </cell>
          <cell r="AM153">
            <v>51415.274228220005</v>
          </cell>
          <cell r="AN153">
            <v>53863.620620040005</v>
          </cell>
          <cell r="AO153">
            <v>56311.967011860012</v>
          </cell>
          <cell r="AP153">
            <v>48966.927836399998</v>
          </cell>
          <cell r="AQ153">
            <v>56311.967011860012</v>
          </cell>
          <cell r="AR153">
            <v>53863.620620040005</v>
          </cell>
          <cell r="AS153">
            <v>51415.274228220005</v>
          </cell>
          <cell r="AW153">
            <v>15869.336687819998</v>
          </cell>
          <cell r="AX153">
            <v>13799.4232068</v>
          </cell>
          <cell r="AY153">
            <v>15179.36552748</v>
          </cell>
          <cell r="AZ153">
            <v>14489.394367140001</v>
          </cell>
          <cell r="BA153">
            <v>15869.336687819998</v>
          </cell>
          <cell r="BB153">
            <v>14489.394367140001</v>
          </cell>
          <cell r="BC153">
            <v>15179.36552748</v>
          </cell>
          <cell r="BD153">
            <v>15869.336687819998</v>
          </cell>
          <cell r="BE153">
            <v>13799.4232068</v>
          </cell>
          <cell r="BF153">
            <v>15869.336687819998</v>
          </cell>
          <cell r="BG153">
            <v>15179.36552748</v>
          </cell>
          <cell r="BH153">
            <v>14489.394367140001</v>
          </cell>
          <cell r="BL153">
            <v>10735.139124359999</v>
          </cell>
          <cell r="BM153">
            <v>9334.9035863999998</v>
          </cell>
          <cell r="BN153">
            <v>10268.393945040001</v>
          </cell>
          <cell r="BO153">
            <v>9801.6487657199996</v>
          </cell>
          <cell r="BP153">
            <v>10735.139124359999</v>
          </cell>
          <cell r="BQ153">
            <v>9801.6487657199996</v>
          </cell>
          <cell r="BR153">
            <v>10268.393945040001</v>
          </cell>
          <cell r="BS153">
            <v>10735.139124359999</v>
          </cell>
          <cell r="BT153">
            <v>9334.9035863999998</v>
          </cell>
          <cell r="BU153">
            <v>10735.139124359999</v>
          </cell>
          <cell r="BV153">
            <v>10268.393945040001</v>
          </cell>
          <cell r="BW153">
            <v>9801.6487657199996</v>
          </cell>
        </row>
        <row r="154">
          <cell r="AH154">
            <v>42580.546645602997</v>
          </cell>
          <cell r="AI154">
            <v>43617.077320183635</v>
          </cell>
          <cell r="AJ154">
            <v>45479.191982452059</v>
          </cell>
          <cell r="AK154">
            <v>50783.61739248818</v>
          </cell>
          <cell r="AL154">
            <v>53770.301106323976</v>
          </cell>
          <cell r="AM154">
            <v>54034.37872798372</v>
          </cell>
          <cell r="AN154">
            <v>51186.879396882585</v>
          </cell>
          <cell r="AO154">
            <v>52579.527551160514</v>
          </cell>
          <cell r="AP154">
            <v>50749.29979926558</v>
          </cell>
          <cell r="AQ154">
            <v>48377.553785594027</v>
          </cell>
          <cell r="AR154">
            <v>48077.442304107128</v>
          </cell>
          <cell r="AS154">
            <v>44831.789601890974</v>
          </cell>
          <cell r="AW154">
            <v>14375.502952043633</v>
          </cell>
          <cell r="AX154">
            <v>12772.176480037942</v>
          </cell>
          <cell r="AY154">
            <v>13841.060794708403</v>
          </cell>
          <cell r="AZ154">
            <v>13306.618637373173</v>
          </cell>
          <cell r="BA154">
            <v>14375.502952043633</v>
          </cell>
          <cell r="BB154">
            <v>13306.618637373173</v>
          </cell>
          <cell r="BC154">
            <v>13841.060794708403</v>
          </cell>
          <cell r="BD154">
            <v>14375.502952043633</v>
          </cell>
          <cell r="BE154">
            <v>12772.176480037942</v>
          </cell>
          <cell r="BF154">
            <v>14375.502952043633</v>
          </cell>
          <cell r="BG154">
            <v>13841.060794708403</v>
          </cell>
          <cell r="BH154">
            <v>13306.618637373173</v>
          </cell>
          <cell r="BL154">
            <v>39649.624211312919</v>
          </cell>
          <cell r="BM154">
            <v>34477.934096793841</v>
          </cell>
          <cell r="BN154">
            <v>37925.727506473224</v>
          </cell>
          <cell r="BO154">
            <v>36201.830801633529</v>
          </cell>
          <cell r="BP154">
            <v>39649.624211312919</v>
          </cell>
          <cell r="BQ154">
            <v>36201.830801633529</v>
          </cell>
          <cell r="BR154">
            <v>37925.727506473224</v>
          </cell>
          <cell r="BS154">
            <v>39649.624211312919</v>
          </cell>
          <cell r="BT154">
            <v>34477.934096793841</v>
          </cell>
          <cell r="BU154">
            <v>39649.624211312919</v>
          </cell>
          <cell r="BV154">
            <v>37925.727506473224</v>
          </cell>
          <cell r="BW154">
            <v>36201.830801633529</v>
          </cell>
        </row>
        <row r="155">
          <cell r="AH155">
            <v>28729.947861086919</v>
          </cell>
          <cell r="AI155">
            <v>25270.192239452597</v>
          </cell>
          <cell r="AJ155">
            <v>37678.972326936848</v>
          </cell>
          <cell r="AK155">
            <v>34852.855756880374</v>
          </cell>
          <cell r="AL155">
            <v>31644.61213295806</v>
          </cell>
          <cell r="AM155">
            <v>38548.671862116091</v>
          </cell>
          <cell r="AN155">
            <v>18889.16697244603</v>
          </cell>
          <cell r="AO155">
            <v>18788.371834307971</v>
          </cell>
          <cell r="AP155">
            <v>20427.010290066708</v>
          </cell>
          <cell r="AQ155">
            <v>17671.112943630258</v>
          </cell>
          <cell r="AR155">
            <v>7693.1601652192921</v>
          </cell>
          <cell r="AS155">
            <v>6945.3883008192952</v>
          </cell>
          <cell r="AW155">
            <v>589.51077898777385</v>
          </cell>
          <cell r="AX155">
            <v>531.46659125285726</v>
          </cell>
          <cell r="AY155">
            <v>609.36818497478021</v>
          </cell>
          <cell r="AZ155">
            <v>541.73286153631466</v>
          </cell>
          <cell r="BA155">
            <v>473.04072093594209</v>
          </cell>
          <cell r="BB155">
            <v>470.16128413917801</v>
          </cell>
          <cell r="BC155">
            <v>134.21976696836998</v>
          </cell>
          <cell r="BD155">
            <v>129.58051186409764</v>
          </cell>
          <cell r="BE155">
            <v>61.994665797372647</v>
          </cell>
          <cell r="BF155">
            <v>668.02543068671434</v>
          </cell>
          <cell r="BG155">
            <v>656.23299878068451</v>
          </cell>
          <cell r="BH155">
            <v>607.23098352952888</v>
          </cell>
          <cell r="BL155">
            <v>344.16921159171727</v>
          </cell>
          <cell r="BM155">
            <v>310.28175263039066</v>
          </cell>
          <cell r="BN155">
            <v>355.76239700308429</v>
          </cell>
          <cell r="BO155">
            <v>316.27542446029679</v>
          </cell>
          <cell r="BP155">
            <v>276.17145907806594</v>
          </cell>
          <cell r="BQ155">
            <v>274.49038126321733</v>
          </cell>
          <cell r="BR155">
            <v>-82.345080846857343</v>
          </cell>
          <cell r="BS155">
            <v>-85.053578856600041</v>
          </cell>
          <cell r="BT155">
            <v>-124.51166543388777</v>
          </cell>
          <cell r="BU155">
            <v>550.71327193283935</v>
          </cell>
          <cell r="BV155">
            <v>543.82859376153237</v>
          </cell>
          <cell r="BW155">
            <v>515.22015171683597</v>
          </cell>
        </row>
        <row r="156">
          <cell r="AH156">
            <v>55788.408776438737</v>
          </cell>
          <cell r="AI156">
            <v>51292.569069029858</v>
          </cell>
          <cell r="AJ156">
            <v>55454.571322520496</v>
          </cell>
          <cell r="AK156">
            <v>54267.122612230989</v>
          </cell>
          <cell r="AL156">
            <v>57110.445796932094</v>
          </cell>
          <cell r="AM156">
            <v>54920.36009174108</v>
          </cell>
          <cell r="AN156">
            <v>54487.412224957414</v>
          </cell>
          <cell r="AO156">
            <v>56034.384866716035</v>
          </cell>
          <cell r="AP156">
            <v>51746.395150682773</v>
          </cell>
          <cell r="AQ156">
            <v>55117.933905504149</v>
          </cell>
          <cell r="AR156">
            <v>52742.188466141495</v>
          </cell>
          <cell r="AS156">
            <v>50953.324173365152</v>
          </cell>
          <cell r="AW156">
            <v>7821.6521588335017</v>
          </cell>
          <cell r="AX156">
            <v>7047.5613162014979</v>
          </cell>
          <cell r="AY156">
            <v>7566.4870947769214</v>
          </cell>
          <cell r="AZ156">
            <v>7304.9278808933605</v>
          </cell>
          <cell r="BA156">
            <v>7813.1402858306719</v>
          </cell>
          <cell r="BB156">
            <v>7299.6972818226059</v>
          </cell>
          <cell r="BC156">
            <v>7554.1516209005058</v>
          </cell>
          <cell r="BD156">
            <v>7810.428858933974</v>
          </cell>
          <cell r="BE156">
            <v>7035.6406921543276</v>
          </cell>
          <cell r="BF156">
            <v>7805.0008158068049</v>
          </cell>
          <cell r="BG156">
            <v>7547.5227160635259</v>
          </cell>
          <cell r="BH156">
            <v>7287.3252629240205</v>
          </cell>
          <cell r="BL156">
            <v>10601.74851165992</v>
          </cell>
          <cell r="BM156">
            <v>9526.3324057259015</v>
          </cell>
          <cell r="BN156">
            <v>10244.549906046692</v>
          </cell>
          <cell r="BO156">
            <v>9884.5094560659199</v>
          </cell>
          <cell r="BP156">
            <v>10597.965456991995</v>
          </cell>
          <cell r="BQ156">
            <v>9882.1847453678074</v>
          </cell>
          <cell r="BR156">
            <v>10239.06747321273</v>
          </cell>
          <cell r="BS156">
            <v>10596.76037837124</v>
          </cell>
          <cell r="BT156">
            <v>9521.0343505938272</v>
          </cell>
          <cell r="BU156">
            <v>10594.347914759164</v>
          </cell>
          <cell r="BV156">
            <v>10236.121293285183</v>
          </cell>
          <cell r="BW156">
            <v>9876.6860703017701</v>
          </cell>
        </row>
        <row r="157">
          <cell r="AH157">
            <v>88556.239093265613</v>
          </cell>
          <cell r="AI157">
            <v>89214.652566136574</v>
          </cell>
          <cell r="AJ157">
            <v>89910.266039007533</v>
          </cell>
          <cell r="AK157">
            <v>91411.895511878494</v>
          </cell>
          <cell r="AL157">
            <v>91653.380984749427</v>
          </cell>
          <cell r="AM157">
            <v>92567.576349104216</v>
          </cell>
          <cell r="AN157">
            <v>93430.36237389782</v>
          </cell>
          <cell r="AO157">
            <v>93559.229738252601</v>
          </cell>
          <cell r="AP157">
            <v>97152.63601744562</v>
          </cell>
          <cell r="AQ157">
            <v>100731.80497576098</v>
          </cell>
          <cell r="AR157">
            <v>99609.418448631928</v>
          </cell>
          <cell r="AS157">
            <v>99576.631921502893</v>
          </cell>
          <cell r="AW157">
            <v>15157.965745691225</v>
          </cell>
          <cell r="AX157">
            <v>15167.619955978662</v>
          </cell>
          <cell r="AY157">
            <v>15177.274166266101</v>
          </cell>
          <cell r="AZ157">
            <v>15186.928376553538</v>
          </cell>
          <cell r="BA157">
            <v>15196.582586840976</v>
          </cell>
          <cell r="BB157">
            <v>15244.853638278166</v>
          </cell>
          <cell r="BC157">
            <v>15567.144270955951</v>
          </cell>
          <cell r="BD157">
            <v>15615.415322393141</v>
          </cell>
          <cell r="BE157">
            <v>16049.854785327843</v>
          </cell>
          <cell r="BF157">
            <v>16669.655085781349</v>
          </cell>
          <cell r="BG157">
            <v>16679.309296068783</v>
          </cell>
          <cell r="BH157">
            <v>16688.963506356224</v>
          </cell>
          <cell r="BL157">
            <v>12162.914310002132</v>
          </cell>
          <cell r="BM157">
            <v>12179.713293510405</v>
          </cell>
          <cell r="BN157">
            <v>12196.612277018678</v>
          </cell>
          <cell r="BO157">
            <v>12213.511260526953</v>
          </cell>
          <cell r="BP157">
            <v>12230.410244035225</v>
          </cell>
          <cell r="BQ157">
            <v>12314.905161576589</v>
          </cell>
          <cell r="BR157">
            <v>12603.869837438533</v>
          </cell>
          <cell r="BS157">
            <v>12688.364754979901</v>
          </cell>
          <cell r="BT157">
            <v>13448.819012852184</v>
          </cell>
          <cell r="BU157">
            <v>14533.733754083309</v>
          </cell>
          <cell r="BV157">
            <v>14550.632737591584</v>
          </cell>
          <cell r="BW157">
            <v>14567.531721099856</v>
          </cell>
        </row>
        <row r="158">
          <cell r="AH158">
            <v>531352.56913313433</v>
          </cell>
          <cell r="AI158">
            <v>483913.99272240268</v>
          </cell>
          <cell r="AJ158">
            <v>530494.45335127693</v>
          </cell>
          <cell r="AK158">
            <v>519560.96787745802</v>
          </cell>
          <cell r="AL158">
            <v>549876.16677770368</v>
          </cell>
          <cell r="AM158">
            <v>528316.46363492508</v>
          </cell>
          <cell r="AN158">
            <v>519965.27264854382</v>
          </cell>
          <cell r="AO158">
            <v>536658.94074717723</v>
          </cell>
          <cell r="AP158">
            <v>494594.84278506064</v>
          </cell>
          <cell r="AQ158">
            <v>537595.83236722951</v>
          </cell>
          <cell r="AR158">
            <v>510093.66106445977</v>
          </cell>
          <cell r="AS158">
            <v>490552.61060155829</v>
          </cell>
          <cell r="AW158">
            <v>83254.443953503811</v>
          </cell>
          <cell r="AX158">
            <v>74918.661141686345</v>
          </cell>
          <cell r="AY158">
            <v>80534.010718763137</v>
          </cell>
          <cell r="AZ158">
            <v>77710.036394482551</v>
          </cell>
          <cell r="BA158">
            <v>83168.078863598901</v>
          </cell>
          <cell r="BB158">
            <v>77691.159479739275</v>
          </cell>
          <cell r="BC158">
            <v>80436.396931570154</v>
          </cell>
          <cell r="BD158">
            <v>83240.739963182525</v>
          </cell>
          <cell r="BE158">
            <v>75319.503421532878</v>
          </cell>
          <cell r="BF158">
            <v>84827.996602266183</v>
          </cell>
          <cell r="BG158">
            <v>82063.946283658326</v>
          </cell>
          <cell r="BH158">
            <v>79259.967028309111</v>
          </cell>
          <cell r="BL158">
            <v>103443.31030546669</v>
          </cell>
          <cell r="BM158">
            <v>91872.395514660529</v>
          </cell>
          <cell r="BN158">
            <v>99638.599449141693</v>
          </cell>
          <cell r="BO158">
            <v>95763.167606986695</v>
          </cell>
          <cell r="BP158">
            <v>103439.0254323182</v>
          </cell>
          <cell r="BQ158">
            <v>95820.451754141133</v>
          </cell>
          <cell r="BR158">
            <v>99602.267098877623</v>
          </cell>
          <cell r="BS158">
            <v>103534.54982670746</v>
          </cell>
          <cell r="BT158">
            <v>92701.409760805953</v>
          </cell>
          <cell r="BU158">
            <v>106013.27321298822</v>
          </cell>
          <cell r="BV158">
            <v>102172.25749371153</v>
          </cell>
          <cell r="BW158">
            <v>98308.309409051988</v>
          </cell>
        </row>
        <row r="160">
          <cell r="AH160">
            <v>60516.880881750985</v>
          </cell>
          <cell r="AI160">
            <v>56024.373909961258</v>
          </cell>
          <cell r="AJ160">
            <v>60523.39524326456</v>
          </cell>
          <cell r="AK160">
            <v>60593.080736049145</v>
          </cell>
          <cell r="AL160">
            <v>63567.092468023169</v>
          </cell>
          <cell r="AM160">
            <v>60440.187777097439</v>
          </cell>
          <cell r="AN160">
            <v>64208.314744698604</v>
          </cell>
          <cell r="AO160">
            <v>66440.598674900786</v>
          </cell>
          <cell r="AP160">
            <v>59943.563304333475</v>
          </cell>
          <cell r="AQ160">
            <v>62853.672203963753</v>
          </cell>
          <cell r="AR160">
            <v>60207.727865950626</v>
          </cell>
          <cell r="AS160">
            <v>56825.796895834952</v>
          </cell>
          <cell r="AW160">
            <v>4065.661154292512</v>
          </cell>
          <cell r="AX160">
            <v>3776.434607709446</v>
          </cell>
          <cell r="AY160">
            <v>4071.4975523961803</v>
          </cell>
          <cell r="AZ160">
            <v>4173.6780791637339</v>
          </cell>
          <cell r="BA160">
            <v>4513.776572445774</v>
          </cell>
          <cell r="BB160">
            <v>4303.8611211853895</v>
          </cell>
          <cell r="BC160">
            <v>4300.0729640715535</v>
          </cell>
          <cell r="BD160">
            <v>4466.0897361107127</v>
          </cell>
          <cell r="BE160">
            <v>4062.0582887111086</v>
          </cell>
          <cell r="BF160">
            <v>4297.8135475995541</v>
          </cell>
          <cell r="BG160">
            <v>4175.5495254258267</v>
          </cell>
          <cell r="BH160">
            <v>3935.3255926527995</v>
          </cell>
          <cell r="BL160">
            <v>4506.3281898593359</v>
          </cell>
          <cell r="BM160">
            <v>4185.7530876408782</v>
          </cell>
          <cell r="BN160">
            <v>4512.7971808312059</v>
          </cell>
          <cell r="BO160">
            <v>4626.052804148746</v>
          </cell>
          <cell r="BP160">
            <v>5003.0137385314429</v>
          </cell>
          <cell r="BQ160">
            <v>4770.3460666318833</v>
          </cell>
          <cell r="BR160">
            <v>4766.1473204644435</v>
          </cell>
          <cell r="BS160">
            <v>4950.1582430273447</v>
          </cell>
          <cell r="BT160">
            <v>4502.3348185188315</v>
          </cell>
          <cell r="BU160">
            <v>4763.6430113855495</v>
          </cell>
          <cell r="BV160">
            <v>4628.1270918787422</v>
          </cell>
          <cell r="BW160">
            <v>4361.8658765310156</v>
          </cell>
        </row>
        <row r="161">
          <cell r="AH161">
            <v>7218.1094996746315</v>
          </cell>
          <cell r="AI161">
            <v>6729.3414789109556</v>
          </cell>
          <cell r="AJ161">
            <v>7194.3083694902616</v>
          </cell>
          <cell r="AK161">
            <v>7176.3505689484628</v>
          </cell>
          <cell r="AL161">
            <v>7500.2540714048091</v>
          </cell>
          <cell r="AM161">
            <v>7162.2079702454284</v>
          </cell>
          <cell r="AN161">
            <v>7535.163423372911</v>
          </cell>
          <cell r="AO161">
            <v>7766.0533955409892</v>
          </cell>
          <cell r="AP161">
            <v>7091.8664978903862</v>
          </cell>
          <cell r="AQ161">
            <v>7434.2626969793137</v>
          </cell>
          <cell r="AR161">
            <v>7165.1091370887225</v>
          </cell>
          <cell r="AS161">
            <v>6827.8768137286479</v>
          </cell>
          <cell r="AW161">
            <v>470.86570547716497</v>
          </cell>
          <cell r="AX161">
            <v>438.40804978224156</v>
          </cell>
          <cell r="AY161">
            <v>469.5041722564244</v>
          </cell>
          <cell r="AZ161">
            <v>477.05447093709324</v>
          </cell>
          <cell r="BA161">
            <v>512.31638165634172</v>
          </cell>
          <cell r="BB161">
            <v>489.09640232409629</v>
          </cell>
          <cell r="BC161">
            <v>490.64739783639635</v>
          </cell>
          <cell r="BD161">
            <v>507.90534929534846</v>
          </cell>
          <cell r="BE161">
            <v>464.82824027489534</v>
          </cell>
          <cell r="BF161">
            <v>492.33980185806632</v>
          </cell>
          <cell r="BG161">
            <v>479.12897976166664</v>
          </cell>
          <cell r="BH161">
            <v>455.00686593483175</v>
          </cell>
          <cell r="BL161">
            <v>521.90168381088097</v>
          </cell>
          <cell r="BM161">
            <v>485.92602246479078</v>
          </cell>
          <cell r="BN161">
            <v>520.39257734548471</v>
          </cell>
          <cell r="BO161">
            <v>528.76123437206286</v>
          </cell>
          <cell r="BP161">
            <v>567.84509706305084</v>
          </cell>
          <cell r="BQ161">
            <v>542.10836115175312</v>
          </cell>
          <cell r="BR161">
            <v>543.82746526155915</v>
          </cell>
          <cell r="BS161">
            <v>562.95596372892169</v>
          </cell>
          <cell r="BT161">
            <v>515.20983257100147</v>
          </cell>
          <cell r="BU161">
            <v>545.70330480205575</v>
          </cell>
          <cell r="BV161">
            <v>531.06059411738181</v>
          </cell>
          <cell r="BW161">
            <v>504.32394356742287</v>
          </cell>
        </row>
        <row r="162">
          <cell r="AH162">
            <v>23239.107810558584</v>
          </cell>
          <cell r="AI162">
            <v>32180.179885292695</v>
          </cell>
          <cell r="AJ162">
            <v>21003.839791875056</v>
          </cell>
          <cell r="AK162">
            <v>21003.839791875056</v>
          </cell>
          <cell r="AL162">
            <v>21003.839791875056</v>
          </cell>
          <cell r="AM162">
            <v>21003.839791875056</v>
          </cell>
          <cell r="AN162">
            <v>26441.072074734115</v>
          </cell>
          <cell r="AO162">
            <v>26441.072074734115</v>
          </cell>
          <cell r="AP162">
            <v>26441.072074734115</v>
          </cell>
          <cell r="AQ162">
            <v>26441.072074734115</v>
          </cell>
          <cell r="AR162">
            <v>26441.072074734115</v>
          </cell>
          <cell r="AS162">
            <v>35323.438065392351</v>
          </cell>
          <cell r="AW162">
            <v>1149.2371926166009</v>
          </cell>
          <cell r="AX162">
            <v>2261.4022177294405</v>
          </cell>
          <cell r="AY162">
            <v>871.19593633839088</v>
          </cell>
          <cell r="AZ162">
            <v>871.19593633839088</v>
          </cell>
          <cell r="BA162">
            <v>871.19593633839088</v>
          </cell>
          <cell r="BB162">
            <v>871.19593633839088</v>
          </cell>
          <cell r="BC162">
            <v>1112.1650251128394</v>
          </cell>
          <cell r="BD162">
            <v>1112.1650251128394</v>
          </cell>
          <cell r="BE162">
            <v>1112.1650251128394</v>
          </cell>
          <cell r="BF162">
            <v>1112.1650251128394</v>
          </cell>
          <cell r="BG162">
            <v>1112.1650251128394</v>
          </cell>
          <cell r="BH162">
            <v>973.1443969737345</v>
          </cell>
          <cell r="BL162">
            <v>2011.6549968248162</v>
          </cell>
          <cell r="BM162">
            <v>3958.4178969778645</v>
          </cell>
          <cell r="BN162">
            <v>1524.9642717865543</v>
          </cell>
          <cell r="BO162">
            <v>1524.9642717865543</v>
          </cell>
          <cell r="BP162">
            <v>1524.9642717865543</v>
          </cell>
          <cell r="BQ162">
            <v>1524.9642717865543</v>
          </cell>
          <cell r="BR162">
            <v>1946.7629001530481</v>
          </cell>
          <cell r="BS162">
            <v>1946.7629001530481</v>
          </cell>
          <cell r="BT162">
            <v>1946.7629001530481</v>
          </cell>
          <cell r="BU162">
            <v>1946.7629001530481</v>
          </cell>
          <cell r="BV162">
            <v>1946.7629001530481</v>
          </cell>
          <cell r="BW162">
            <v>1703.4175376339169</v>
          </cell>
        </row>
        <row r="163">
          <cell r="AH163">
            <v>90974.098191984202</v>
          </cell>
          <cell r="AI163">
            <v>94933.895274164912</v>
          </cell>
          <cell r="AJ163">
            <v>88721.543404629876</v>
          </cell>
          <cell r="AK163">
            <v>88773.271096872661</v>
          </cell>
          <cell r="AL163">
            <v>92071.186331303034</v>
          </cell>
          <cell r="AM163">
            <v>88606.235539217931</v>
          </cell>
          <cell r="AN163">
            <v>98184.550242805621</v>
          </cell>
          <cell r="AO163">
            <v>100647.72414517589</v>
          </cell>
          <cell r="AP163">
            <v>93476.501876957976</v>
          </cell>
          <cell r="AQ163">
            <v>96729.006975677185</v>
          </cell>
          <cell r="AR163">
            <v>93813.909077773453</v>
          </cell>
          <cell r="AS163">
            <v>98977.111774955949</v>
          </cell>
          <cell r="AW163">
            <v>5685.7640523862774</v>
          </cell>
          <cell r="AX163">
            <v>6476.2448752211276</v>
          </cell>
          <cell r="AY163">
            <v>5412.1976609909962</v>
          </cell>
          <cell r="AZ163">
            <v>5521.9284864392184</v>
          </cell>
          <cell r="BA163">
            <v>5897.2888904405072</v>
          </cell>
          <cell r="BB163">
            <v>5664.1534598478765</v>
          </cell>
          <cell r="BC163">
            <v>5902.8853870207895</v>
          </cell>
          <cell r="BD163">
            <v>6086.1601105189002</v>
          </cell>
          <cell r="BE163">
            <v>5639.0515540988436</v>
          </cell>
          <cell r="BF163">
            <v>5902.31837457046</v>
          </cell>
          <cell r="BG163">
            <v>5766.8435303003325</v>
          </cell>
          <cell r="BH163">
            <v>5363.4768555613664</v>
          </cell>
          <cell r="BL163">
            <v>7039.8848704950333</v>
          </cell>
          <cell r="BM163">
            <v>8630.0970070835338</v>
          </cell>
          <cell r="BN163">
            <v>6558.1540299632452</v>
          </cell>
          <cell r="BO163">
            <v>6679.7783103073634</v>
          </cell>
          <cell r="BP163">
            <v>7095.8231073810484</v>
          </cell>
          <cell r="BQ163">
            <v>6837.4186995701912</v>
          </cell>
          <cell r="BR163">
            <v>7256.7376858790503</v>
          </cell>
          <cell r="BS163">
            <v>7459.8771069093145</v>
          </cell>
          <cell r="BT163">
            <v>6964.3075512428804</v>
          </cell>
          <cell r="BU163">
            <v>7256.1092163406538</v>
          </cell>
          <cell r="BV163">
            <v>7105.9505861491725</v>
          </cell>
          <cell r="BW163">
            <v>6569.6073577323559</v>
          </cell>
        </row>
        <row r="165">
          <cell r="AH165">
            <v>56942.621598597842</v>
          </cell>
          <cell r="AI165">
            <v>52853.92585597172</v>
          </cell>
          <cell r="AJ165">
            <v>56730.710303469401</v>
          </cell>
          <cell r="AK165">
            <v>57603.356681587051</v>
          </cell>
          <cell r="AL165">
            <v>61987.111823357984</v>
          </cell>
          <cell r="AM165">
            <v>59068.843152938891</v>
          </cell>
          <cell r="AN165">
            <v>59303.811748112363</v>
          </cell>
          <cell r="AO165">
            <v>61450.295257810394</v>
          </cell>
          <cell r="AP165">
            <v>56069.226665550457</v>
          </cell>
          <cell r="AQ165">
            <v>59555.989564195304</v>
          </cell>
          <cell r="AR165">
            <v>57902.036126129526</v>
          </cell>
          <cell r="AS165">
            <v>54920.193506334603</v>
          </cell>
          <cell r="AW165">
            <v>7410.5029513227837</v>
          </cell>
          <cell r="AX165">
            <v>6878.400792743244</v>
          </cell>
          <cell r="AY165">
            <v>7382.9248519328767</v>
          </cell>
          <cell r="AZ165">
            <v>7496.4909010355623</v>
          </cell>
          <cell r="BA165">
            <v>8066.9920389173103</v>
          </cell>
          <cell r="BB165">
            <v>7687.209057597287</v>
          </cell>
          <cell r="BC165">
            <v>7717.7878300372977</v>
          </cell>
          <cell r="BD165">
            <v>7997.1308236864461</v>
          </cell>
          <cell r="BE165">
            <v>7296.83948541068</v>
          </cell>
          <cell r="BF165">
            <v>7750.6062075175987</v>
          </cell>
          <cell r="BG165">
            <v>7535.3609924213079</v>
          </cell>
          <cell r="BH165">
            <v>7147.304508297042</v>
          </cell>
          <cell r="BL165">
            <v>8213.7091811805858</v>
          </cell>
          <cell r="BM165">
            <v>7623.9337753870259</v>
          </cell>
          <cell r="BN165">
            <v>8183.1419592732045</v>
          </cell>
          <cell r="BO165">
            <v>8309.0171537522292</v>
          </cell>
          <cell r="BP165">
            <v>8941.3535099852215</v>
          </cell>
          <cell r="BQ165">
            <v>8520.4067832900255</v>
          </cell>
          <cell r="BR165">
            <v>8554.2999138358973</v>
          </cell>
          <cell r="BS165">
            <v>8863.9202090717172</v>
          </cell>
          <cell r="BT165">
            <v>8087.726011123229</v>
          </cell>
          <cell r="BU165">
            <v>8590.6753947164871</v>
          </cell>
          <cell r="BV165">
            <v>8352.1002789578451</v>
          </cell>
          <cell r="BW165">
            <v>7921.983304792253</v>
          </cell>
        </row>
        <row r="166">
          <cell r="AH166">
            <v>7611.1604483099945</v>
          </cell>
          <cell r="AI166">
            <v>7151.7943088002648</v>
          </cell>
          <cell r="AJ166">
            <v>7570.3545031374297</v>
          </cell>
          <cell r="AK166">
            <v>7616.8155100598669</v>
          </cell>
          <cell r="AL166">
            <v>8060.3975063717189</v>
          </cell>
          <cell r="AM166">
            <v>7741.6939424174707</v>
          </cell>
          <cell r="AN166">
            <v>7783.1816343367918</v>
          </cell>
          <cell r="AO166">
            <v>8005.2061822592559</v>
          </cell>
          <cell r="AP166">
            <v>7424.8718604926453</v>
          </cell>
          <cell r="AQ166">
            <v>7818.9007271843921</v>
          </cell>
          <cell r="AR166">
            <v>7639.9834684443395</v>
          </cell>
          <cell r="AS166">
            <v>7332.6844854365818</v>
          </cell>
          <cell r="AW166">
            <v>990.51510769538072</v>
          </cell>
          <cell r="AX166">
            <v>930.73327754763716</v>
          </cell>
          <cell r="AY166">
            <v>985.20462903030545</v>
          </cell>
          <cell r="AZ166">
            <v>991.25105645591987</v>
          </cell>
          <cell r="BA166">
            <v>1048.9787409309104</v>
          </cell>
          <cell r="BB166">
            <v>1007.5027140993989</v>
          </cell>
          <cell r="BC166">
            <v>1012.9019151684848</v>
          </cell>
          <cell r="BD166">
            <v>1041.7961515323061</v>
          </cell>
          <cell r="BE166">
            <v>966.27154301461064</v>
          </cell>
          <cell r="BF166">
            <v>1017.550391749553</v>
          </cell>
          <cell r="BG166">
            <v>994.26613056322947</v>
          </cell>
          <cell r="BH166">
            <v>954.27429392862052</v>
          </cell>
          <cell r="BL166">
            <v>1097.8746095396095</v>
          </cell>
          <cell r="BM166">
            <v>1031.6131735240351</v>
          </cell>
          <cell r="BN166">
            <v>1091.9885411236992</v>
          </cell>
          <cell r="BO166">
            <v>1098.6903259803189</v>
          </cell>
          <cell r="BP166">
            <v>1162.6749725144502</v>
          </cell>
          <cell r="BQ166">
            <v>1116.7034609149484</v>
          </cell>
          <cell r="BR166">
            <v>1122.6878681385194</v>
          </cell>
          <cell r="BS166">
            <v>1154.713879876678</v>
          </cell>
          <cell r="BT166">
            <v>1071.0033443756924</v>
          </cell>
          <cell r="BU166">
            <v>1127.8401816890603</v>
          </cell>
          <cell r="BV166">
            <v>1102.0321965712656</v>
          </cell>
          <cell r="BW166">
            <v>1057.7057429019735</v>
          </cell>
        </row>
        <row r="167">
          <cell r="AH167">
            <v>21518.765255173865</v>
          </cell>
          <cell r="AI167">
            <v>20300.523232296087</v>
          </cell>
          <cell r="AJ167">
            <v>20300.523232296087</v>
          </cell>
          <cell r="AK167">
            <v>21518.765255173865</v>
          </cell>
          <cell r="AL167">
            <v>20300.523232296091</v>
          </cell>
          <cell r="AM167">
            <v>20300.523232296087</v>
          </cell>
          <cell r="AN167">
            <v>28097.272178713909</v>
          </cell>
          <cell r="AO167">
            <v>26472.949481543536</v>
          </cell>
          <cell r="AP167">
            <v>23630.384761495356</v>
          </cell>
          <cell r="AQ167">
            <v>24848.626784373144</v>
          </cell>
          <cell r="AR167">
            <v>23630.384761495359</v>
          </cell>
          <cell r="AS167">
            <v>35000.643641688031</v>
          </cell>
          <cell r="AW167">
            <v>2193.2389031597759</v>
          </cell>
          <cell r="AX167">
            <v>2063.1967598725996</v>
          </cell>
          <cell r="AY167">
            <v>2063.1967598726005</v>
          </cell>
          <cell r="AZ167">
            <v>2193.2389031597759</v>
          </cell>
          <cell r="BA167">
            <v>2063.1967598725978</v>
          </cell>
          <cell r="BB167">
            <v>2063.1967598725987</v>
          </cell>
          <cell r="BC167">
            <v>2895.466476910527</v>
          </cell>
          <cell r="BD167">
            <v>2722.0769525276264</v>
          </cell>
          <cell r="BE167">
            <v>2418.6452848575495</v>
          </cell>
          <cell r="BF167">
            <v>2548.6874281447231</v>
          </cell>
          <cell r="BG167">
            <v>2418.64528485755</v>
          </cell>
          <cell r="BH167">
            <v>3632.3719555378625</v>
          </cell>
          <cell r="BL167">
            <v>3887.9958416663594</v>
          </cell>
          <cell r="BM167">
            <v>3736.2800078313167</v>
          </cell>
          <cell r="BN167">
            <v>3736.2800078313167</v>
          </cell>
          <cell r="BO167">
            <v>3887.9958416663594</v>
          </cell>
          <cell r="BP167">
            <v>3736.2800078313185</v>
          </cell>
          <cell r="BQ167">
            <v>3736.280007831318</v>
          </cell>
          <cell r="BR167">
            <v>4707.2613443755672</v>
          </cell>
          <cell r="BS167">
            <v>4504.9735659288508</v>
          </cell>
          <cell r="BT167">
            <v>4150.9699536470907</v>
          </cell>
          <cell r="BU167">
            <v>4302.6857874821308</v>
          </cell>
          <cell r="BV167">
            <v>4150.9699536470898</v>
          </cell>
          <cell r="BW167">
            <v>5566.9844027741219</v>
          </cell>
        </row>
        <row r="168">
          <cell r="AH168">
            <v>86072.547302081701</v>
          </cell>
          <cell r="AI168">
            <v>80306.243397068072</v>
          </cell>
          <cell r="AJ168">
            <v>84601.588038902919</v>
          </cell>
          <cell r="AK168">
            <v>86738.937446820782</v>
          </cell>
          <cell r="AL168">
            <v>90348.032562025794</v>
          </cell>
          <cell r="AM168">
            <v>87111.060327652434</v>
          </cell>
          <cell r="AN168">
            <v>95184.265561163076</v>
          </cell>
          <cell r="AO168">
            <v>95928.450921613185</v>
          </cell>
          <cell r="AP168">
            <v>87124.48328753846</v>
          </cell>
          <cell r="AQ168">
            <v>92223.517075752839</v>
          </cell>
          <cell r="AR168">
            <v>89172.404356069223</v>
          </cell>
          <cell r="AS168">
            <v>97253.521633459226</v>
          </cell>
          <cell r="AW168">
            <v>10594.25696217794</v>
          </cell>
          <cell r="AX168">
            <v>9872.3308301634806</v>
          </cell>
          <cell r="AY168">
            <v>10431.326240835782</v>
          </cell>
          <cell r="AZ168">
            <v>10680.980860651258</v>
          </cell>
          <cell r="BA168">
            <v>11179.16753972082</v>
          </cell>
          <cell r="BB168">
            <v>10757.908531569285</v>
          </cell>
          <cell r="BC168">
            <v>11626.156222116309</v>
          </cell>
          <cell r="BD168">
            <v>11761.003927746378</v>
          </cell>
          <cell r="BE168">
            <v>10681.75631328284</v>
          </cell>
          <cell r="BF168">
            <v>11316.844027411875</v>
          </cell>
          <cell r="BG168">
            <v>10948.272407842087</v>
          </cell>
          <cell r="BH168">
            <v>11733.950757763525</v>
          </cell>
          <cell r="BL168">
            <v>13199.579632386554</v>
          </cell>
          <cell r="BM168">
            <v>12391.826956742378</v>
          </cell>
          <cell r="BN168">
            <v>13011.410508228219</v>
          </cell>
          <cell r="BO168">
            <v>13295.703321398907</v>
          </cell>
          <cell r="BP168">
            <v>13840.30849033099</v>
          </cell>
          <cell r="BQ168">
            <v>13373.390252036292</v>
          </cell>
          <cell r="BR168">
            <v>14384.249126349983</v>
          </cell>
          <cell r="BS168">
            <v>14523.607654877245</v>
          </cell>
          <cell r="BT168">
            <v>13309.699309146012</v>
          </cell>
          <cell r="BU168">
            <v>14021.201363887678</v>
          </cell>
          <cell r="BV168">
            <v>13605.102429176201</v>
          </cell>
          <cell r="BW168">
            <v>14546.673450468348</v>
          </cell>
        </row>
        <row r="171">
          <cell r="AH171">
            <v>81288.480499702666</v>
          </cell>
          <cell r="AI171">
            <v>159894.58490973781</v>
          </cell>
          <cell r="AJ171">
            <v>145096.93150856381</v>
          </cell>
          <cell r="AK171">
            <v>181246.89585481642</v>
          </cell>
          <cell r="AL171">
            <v>157778.92321669994</v>
          </cell>
          <cell r="AM171">
            <v>214221.78336240753</v>
          </cell>
          <cell r="AN171">
            <v>51040.171225281549</v>
          </cell>
          <cell r="AO171">
            <v>12553.372026918296</v>
          </cell>
          <cell r="AP171">
            <v>88627.515639880468</v>
          </cell>
          <cell r="AQ171">
            <v>141621.90723211391</v>
          </cell>
          <cell r="AR171">
            <v>107671.46562305919</v>
          </cell>
          <cell r="AS171">
            <v>115252.45022903537</v>
          </cell>
          <cell r="AW171">
            <v>18560.273805184581</v>
          </cell>
          <cell r="AX171">
            <v>68987.501926181678</v>
          </cell>
          <cell r="AY171">
            <v>59937.204152662729</v>
          </cell>
          <cell r="AZ171">
            <v>45103.957437130332</v>
          </cell>
          <cell r="BA171">
            <v>29472.367884943134</v>
          </cell>
          <cell r="BB171">
            <v>68023.68170754693</v>
          </cell>
          <cell r="BC171">
            <v>100821.79113589456</v>
          </cell>
          <cell r="BD171">
            <v>109792.00609391337</v>
          </cell>
          <cell r="BE171">
            <v>111166.40299404066</v>
          </cell>
          <cell r="BF171">
            <v>91260.552534038274</v>
          </cell>
          <cell r="BG171">
            <v>111528.64931648604</v>
          </cell>
          <cell r="BH171">
            <v>102950.31689665279</v>
          </cell>
          <cell r="BL171">
            <v>14390.263691835571</v>
          </cell>
          <cell r="BM171">
            <v>22454.159782427327</v>
          </cell>
          <cell r="BN171">
            <v>8259.7566440035589</v>
          </cell>
          <cell r="BO171">
            <v>23428.425959119413</v>
          </cell>
          <cell r="BP171">
            <v>15286.089607596019</v>
          </cell>
          <cell r="BQ171">
            <v>12190.073313014595</v>
          </cell>
          <cell r="BR171">
            <v>-16905.0628659957</v>
          </cell>
          <cell r="BS171">
            <v>-5694.19001720089</v>
          </cell>
          <cell r="BT171">
            <v>7544.4673554085039</v>
          </cell>
          <cell r="BU171">
            <v>38343.19830997134</v>
          </cell>
          <cell r="BV171">
            <v>85337.906655141967</v>
          </cell>
          <cell r="BW171">
            <v>56624.259946155165</v>
          </cell>
        </row>
        <row r="173">
          <cell r="AH173">
            <v>20444.795883110324</v>
          </cell>
          <cell r="AI173">
            <v>17502.870571959742</v>
          </cell>
          <cell r="AJ173">
            <v>20225.692821689045</v>
          </cell>
          <cell r="AK173">
            <v>19333.430525266507</v>
          </cell>
          <cell r="AL173">
            <v>20756.00895028466</v>
          </cell>
          <cell r="AM173">
            <v>19423.216418141408</v>
          </cell>
          <cell r="AN173">
            <v>19379.246698993622</v>
          </cell>
          <cell r="AO173">
            <v>20267.296504633428</v>
          </cell>
          <cell r="AP173">
            <v>17752.301266162744</v>
          </cell>
          <cell r="AQ173">
            <v>19736.536819582059</v>
          </cell>
          <cell r="AR173">
            <v>17953.141287130289</v>
          </cell>
          <cell r="AS173">
            <v>17210.437292951992</v>
          </cell>
          <cell r="AW173">
            <v>-33677.668233452539</v>
          </cell>
          <cell r="AX173">
            <v>-31404.844066191181</v>
          </cell>
          <cell r="AY173">
            <v>-34538.907917365395</v>
          </cell>
          <cell r="AZ173">
            <v>-34567.945620942861</v>
          </cell>
          <cell r="BA173">
            <v>-36051.384732294544</v>
          </cell>
          <cell r="BB173">
            <v>-35188.793344040525</v>
          </cell>
          <cell r="BC173">
            <v>-34239.619049335837</v>
          </cell>
          <cell r="BD173">
            <v>-35024.972286643315</v>
          </cell>
          <cell r="BE173">
            <v>-32520.875904283406</v>
          </cell>
          <cell r="BF173">
            <v>-33318.012601591952</v>
          </cell>
          <cell r="BG173">
            <v>-30815.515925250955</v>
          </cell>
          <cell r="BH173">
            <v>-29921.913074961885</v>
          </cell>
          <cell r="BL173">
            <v>-2093.2276496577801</v>
          </cell>
          <cell r="BM173">
            <v>-1953.1265057685571</v>
          </cell>
          <cell r="BN173">
            <v>-1982.9849043236441</v>
          </cell>
          <cell r="BO173">
            <v>-2191.2849043236442</v>
          </cell>
          <cell r="BP173">
            <v>-2111.22421799011</v>
          </cell>
          <cell r="BQ173">
            <v>-2011.1230741008867</v>
          </cell>
          <cell r="BR173">
            <v>-2016.4776496577797</v>
          </cell>
          <cell r="BS173">
            <v>-2056.1742179901103</v>
          </cell>
          <cell r="BT173">
            <v>-2066.2753618793336</v>
          </cell>
          <cell r="BU173">
            <v>-2194.9742179901095</v>
          </cell>
          <cell r="BV173">
            <v>-2775.0753618793333</v>
          </cell>
          <cell r="BW173">
            <v>-2354.97421799011</v>
          </cell>
        </row>
        <row r="175">
          <cell r="AH175">
            <v>101733.276382813</v>
          </cell>
          <cell r="AI175">
            <v>177397.45548169754</v>
          </cell>
          <cell r="AJ175">
            <v>165322.62433025285</v>
          </cell>
          <cell r="AK175">
            <v>200580.32638008293</v>
          </cell>
          <cell r="AL175">
            <v>178534.9321669846</v>
          </cell>
          <cell r="AM175">
            <v>233644.99978054894</v>
          </cell>
          <cell r="AN175">
            <v>70419.417924275171</v>
          </cell>
          <cell r="AO175">
            <v>32820.668531551724</v>
          </cell>
          <cell r="AP175">
            <v>106379.81690604321</v>
          </cell>
          <cell r="AQ175">
            <v>161358.44405169596</v>
          </cell>
          <cell r="AR175">
            <v>125624.60691018948</v>
          </cell>
          <cell r="AS175">
            <v>132462.88752198737</v>
          </cell>
          <cell r="AW175">
            <v>-15117.394428267959</v>
          </cell>
          <cell r="AX175">
            <v>37582.657859990497</v>
          </cell>
          <cell r="AY175">
            <v>25398.296235297334</v>
          </cell>
          <cell r="AZ175">
            <v>10536.011816187471</v>
          </cell>
          <cell r="BA175">
            <v>-6579.0168473514095</v>
          </cell>
          <cell r="BB175">
            <v>32834.888363506405</v>
          </cell>
          <cell r="BC175">
            <v>66582.172086558712</v>
          </cell>
          <cell r="BD175">
            <v>74767.033807270054</v>
          </cell>
          <cell r="BE175">
            <v>78645.527089757263</v>
          </cell>
          <cell r="BF175">
            <v>57942.539932446321</v>
          </cell>
          <cell r="BG175">
            <v>80713.133391235082</v>
          </cell>
          <cell r="BH175">
            <v>73028.40382169091</v>
          </cell>
          <cell r="BL175">
            <v>12297.036042177791</v>
          </cell>
          <cell r="BM175">
            <v>20501.033276658771</v>
          </cell>
          <cell r="BN175">
            <v>6276.7717396799144</v>
          </cell>
          <cell r="BO175">
            <v>21237.141054795768</v>
          </cell>
          <cell r="BP175">
            <v>13174.86538960591</v>
          </cell>
          <cell r="BQ175">
            <v>10178.950238913709</v>
          </cell>
          <cell r="BR175">
            <v>-18921.54051565348</v>
          </cell>
          <cell r="BS175">
            <v>-7750.3642351910003</v>
          </cell>
          <cell r="BT175">
            <v>5478.1919935291698</v>
          </cell>
          <cell r="BU175">
            <v>36148.224091981232</v>
          </cell>
          <cell r="BV175">
            <v>82562.831293262629</v>
          </cell>
          <cell r="BW175">
            <v>54269.285728165058</v>
          </cell>
        </row>
        <row r="177">
          <cell r="AH177">
            <v>0</v>
          </cell>
          <cell r="AI177">
            <v>0</v>
          </cell>
          <cell r="AJ177">
            <v>0</v>
          </cell>
          <cell r="AK177">
            <v>0</v>
          </cell>
          <cell r="AL177">
            <v>0</v>
          </cell>
          <cell r="AM177">
            <v>0</v>
          </cell>
          <cell r="AN177">
            <v>0</v>
          </cell>
          <cell r="AO177">
            <v>0</v>
          </cell>
          <cell r="AP177">
            <v>0</v>
          </cell>
          <cell r="AQ177">
            <v>0</v>
          </cell>
          <cell r="AR177">
            <v>0</v>
          </cell>
          <cell r="AS177">
            <v>0</v>
          </cell>
          <cell r="AW177">
            <v>0</v>
          </cell>
          <cell r="AX177">
            <v>0</v>
          </cell>
          <cell r="AY177">
            <v>0</v>
          </cell>
          <cell r="AZ177">
            <v>0</v>
          </cell>
          <cell r="BA177">
            <v>0</v>
          </cell>
          <cell r="BB177">
            <v>0</v>
          </cell>
          <cell r="BC177">
            <v>0</v>
          </cell>
          <cell r="BD177">
            <v>0</v>
          </cell>
          <cell r="BE177">
            <v>0</v>
          </cell>
          <cell r="BF177">
            <v>0</v>
          </cell>
          <cell r="BG177">
            <v>0</v>
          </cell>
          <cell r="BH177">
            <v>0</v>
          </cell>
          <cell r="BL177">
            <v>0</v>
          </cell>
          <cell r="BM177">
            <v>0</v>
          </cell>
          <cell r="BN177">
            <v>0</v>
          </cell>
          <cell r="BO177">
            <v>0</v>
          </cell>
          <cell r="BP177">
            <v>0</v>
          </cell>
          <cell r="BQ177">
            <v>0</v>
          </cell>
          <cell r="BR177">
            <v>0</v>
          </cell>
          <cell r="BS177">
            <v>0</v>
          </cell>
          <cell r="BT177">
            <v>0</v>
          </cell>
          <cell r="BU177">
            <v>0</v>
          </cell>
          <cell r="BV177">
            <v>0</v>
          </cell>
          <cell r="BW177">
            <v>0</v>
          </cell>
        </row>
        <row r="178">
          <cell r="AH178">
            <v>30692.209581344679</v>
          </cell>
          <cell r="AI178">
            <v>67973.705379248771</v>
          </cell>
          <cell r="AJ178">
            <v>61274.063130186245</v>
          </cell>
          <cell r="AK178">
            <v>74216.602823031222</v>
          </cell>
          <cell r="AL178">
            <v>63386.379143976665</v>
          </cell>
          <cell r="AM178">
            <v>88472.195523789487</v>
          </cell>
          <cell r="AN178">
            <v>27720.119490799101</v>
          </cell>
          <cell r="AO178">
            <v>13567.634088810344</v>
          </cell>
          <cell r="AP178">
            <v>42190.354067480293</v>
          </cell>
          <cell r="AQ178">
            <v>59201.543765413779</v>
          </cell>
          <cell r="AR178">
            <v>47831.084184353182</v>
          </cell>
          <cell r="AS178">
            <v>49380.024169837765</v>
          </cell>
          <cell r="AW178">
            <v>-12615.068014750561</v>
          </cell>
          <cell r="AX178">
            <v>2457.1123074671218</v>
          </cell>
          <cell r="AY178">
            <v>-917.76082812639015</v>
          </cell>
          <cell r="AZ178">
            <v>-5595.7147216973735</v>
          </cell>
          <cell r="BA178">
            <v>-10918.799851385342</v>
          </cell>
          <cell r="BB178">
            <v>2668.0326560527997</v>
          </cell>
          <cell r="BC178">
            <v>10221.115566541845</v>
          </cell>
          <cell r="BD178">
            <v>12216.371593684356</v>
          </cell>
          <cell r="BE178">
            <v>13894.268911853538</v>
          </cell>
          <cell r="BF178">
            <v>10070.78325186383</v>
          </cell>
          <cell r="BG178">
            <v>15998.066576570704</v>
          </cell>
          <cell r="BH178">
            <v>14004.547089088856</v>
          </cell>
          <cell r="BL178">
            <v>3105.7937009511634</v>
          </cell>
          <cell r="BM178">
            <v>6438.7302045841006</v>
          </cell>
          <cell r="BN178">
            <v>592.6682097511798</v>
          </cell>
          <cell r="BO178">
            <v>6715.7606138255178</v>
          </cell>
          <cell r="BP178">
            <v>3399.5685759745252</v>
          </cell>
          <cell r="BQ178">
            <v>2162.312223841795</v>
          </cell>
          <cell r="BR178">
            <v>-9781.2758754281313</v>
          </cell>
          <cell r="BS178">
            <v>-5211.7526155616697</v>
          </cell>
          <cell r="BT178">
            <v>49.243442957980733</v>
          </cell>
          <cell r="BU178">
            <v>12526.903849488575</v>
          </cell>
          <cell r="BV178">
            <v>31542.77803734233</v>
          </cell>
          <cell r="BW178">
            <v>19931.765340529171</v>
          </cell>
        </row>
        <row r="179">
          <cell r="AH179">
            <v>38337.436358737701</v>
          </cell>
          <cell r="AI179">
            <v>38943.875374257761</v>
          </cell>
          <cell r="AJ179">
            <v>39225.449850343743</v>
          </cell>
          <cell r="AK179">
            <v>39439.344214047625</v>
          </cell>
          <cell r="AL179">
            <v>39653.238577751508</v>
          </cell>
          <cell r="AM179">
            <v>39833.292885264345</v>
          </cell>
          <cell r="AN179">
            <v>40081.027305159281</v>
          </cell>
          <cell r="AO179">
            <v>40294.921668863171</v>
          </cell>
          <cell r="AP179">
            <v>43486.740977379413</v>
          </cell>
          <cell r="AQ179">
            <v>45392.638150635787</v>
          </cell>
          <cell r="AR179">
            <v>45674.212626721768</v>
          </cell>
          <cell r="AS179">
            <v>45888.106990425651</v>
          </cell>
          <cell r="AW179">
            <v>4187.8564089924812</v>
          </cell>
          <cell r="AX179">
            <v>4253.7558047086713</v>
          </cell>
          <cell r="AY179">
            <v>4284.9772955482813</v>
          </cell>
          <cell r="AZ179">
            <v>4308.974222871936</v>
          </cell>
          <cell r="BA179">
            <v>4332.9711501955917</v>
          </cell>
          <cell r="BB179">
            <v>4353.3557957612693</v>
          </cell>
          <cell r="BC179">
            <v>4380.9650048429021</v>
          </cell>
          <cell r="BD179">
            <v>4404.9619321665577</v>
          </cell>
          <cell r="BE179">
            <v>4746.8396541921993</v>
          </cell>
          <cell r="BF179">
            <v>4951.4506694147112</v>
          </cell>
          <cell r="BG179">
            <v>4982.6721602543212</v>
          </cell>
          <cell r="BH179">
            <v>5006.6690875779759</v>
          </cell>
          <cell r="BL179">
            <v>4721.9294544920394</v>
          </cell>
          <cell r="BM179">
            <v>4796.8132654780102</v>
          </cell>
          <cell r="BN179">
            <v>4831.2395207746385</v>
          </cell>
          <cell r="BO179">
            <v>4857.237118635986</v>
          </cell>
          <cell r="BP179">
            <v>4883.2347164973326</v>
          </cell>
          <cell r="BQ179">
            <v>4905.0179856410405</v>
          </cell>
          <cell r="BR179">
            <v>4935.2299122200275</v>
          </cell>
          <cell r="BS179">
            <v>4961.2275100813758</v>
          </cell>
          <cell r="BT179">
            <v>5358.0860350950416</v>
          </cell>
          <cell r="BU179">
            <v>5594.8000688383881</v>
          </cell>
          <cell r="BV179">
            <v>5629.2263241350156</v>
          </cell>
          <cell r="BW179">
            <v>5655.2239219963631</v>
          </cell>
        </row>
        <row r="180">
          <cell r="AH180">
            <v>0</v>
          </cell>
          <cell r="AI180">
            <v>0</v>
          </cell>
          <cell r="AJ180">
            <v>0</v>
          </cell>
          <cell r="AK180">
            <v>0</v>
          </cell>
          <cell r="AL180">
            <v>0</v>
          </cell>
          <cell r="AM180">
            <v>0</v>
          </cell>
          <cell r="AN180">
            <v>0</v>
          </cell>
          <cell r="AO180">
            <v>0</v>
          </cell>
          <cell r="AP180">
            <v>0</v>
          </cell>
          <cell r="AQ180">
            <v>0</v>
          </cell>
          <cell r="AR180">
            <v>0</v>
          </cell>
          <cell r="AS180">
            <v>0</v>
          </cell>
          <cell r="AW180">
            <v>0</v>
          </cell>
          <cell r="AX180">
            <v>0</v>
          </cell>
          <cell r="AY180">
            <v>0</v>
          </cell>
          <cell r="AZ180">
            <v>0</v>
          </cell>
          <cell r="BA180">
            <v>0</v>
          </cell>
          <cell r="BB180">
            <v>0</v>
          </cell>
          <cell r="BC180">
            <v>0</v>
          </cell>
          <cell r="BD180">
            <v>0</v>
          </cell>
          <cell r="BE180">
            <v>0</v>
          </cell>
          <cell r="BF180">
            <v>0</v>
          </cell>
          <cell r="BG180">
            <v>0</v>
          </cell>
          <cell r="BH180">
            <v>0</v>
          </cell>
          <cell r="BL180">
            <v>0</v>
          </cell>
          <cell r="BM180">
            <v>0</v>
          </cell>
          <cell r="BN180">
            <v>0</v>
          </cell>
          <cell r="BO180">
            <v>0</v>
          </cell>
          <cell r="BP180">
            <v>0</v>
          </cell>
          <cell r="BQ180">
            <v>0</v>
          </cell>
          <cell r="BR180">
            <v>0</v>
          </cell>
          <cell r="BS180">
            <v>0</v>
          </cell>
          <cell r="BT180">
            <v>0</v>
          </cell>
          <cell r="BU180">
            <v>0</v>
          </cell>
          <cell r="BV180">
            <v>0</v>
          </cell>
          <cell r="BW180">
            <v>0</v>
          </cell>
        </row>
        <row r="181">
          <cell r="AH181">
            <v>69029.645940082381</v>
          </cell>
          <cell r="AI181">
            <v>106917.58075350654</v>
          </cell>
          <cell r="AJ181">
            <v>100499.51298052998</v>
          </cell>
          <cell r="AK181">
            <v>113655.94703707885</v>
          </cell>
          <cell r="AL181">
            <v>103039.61772172817</v>
          </cell>
          <cell r="AM181">
            <v>128305.48840905383</v>
          </cell>
          <cell r="AN181">
            <v>67801.146795958382</v>
          </cell>
          <cell r="AO181">
            <v>53862.555757673515</v>
          </cell>
          <cell r="AP181">
            <v>85677.095044859714</v>
          </cell>
          <cell r="AQ181">
            <v>104594.18191604957</v>
          </cell>
          <cell r="AR181">
            <v>93505.29681107495</v>
          </cell>
          <cell r="AS181">
            <v>95268.131160263409</v>
          </cell>
          <cell r="AW181">
            <v>-8427.2116057580788</v>
          </cell>
          <cell r="AX181">
            <v>6710.8681121757927</v>
          </cell>
          <cell r="AY181">
            <v>3367.2164674218911</v>
          </cell>
          <cell r="AZ181">
            <v>-1286.7404988254375</v>
          </cell>
          <cell r="BA181">
            <v>-6585.8287011897501</v>
          </cell>
          <cell r="BB181">
            <v>7021.3884518140694</v>
          </cell>
          <cell r="BC181">
            <v>14602.080571384748</v>
          </cell>
          <cell r="BD181">
            <v>16621.333525850914</v>
          </cell>
          <cell r="BE181">
            <v>18641.108566045739</v>
          </cell>
          <cell r="BF181">
            <v>15022.233921278541</v>
          </cell>
          <cell r="BG181">
            <v>20980.738736825024</v>
          </cell>
          <cell r="BH181">
            <v>19011.216176666832</v>
          </cell>
          <cell r="BL181">
            <v>7827.7231554432028</v>
          </cell>
          <cell r="BM181">
            <v>11235.543470062112</v>
          </cell>
          <cell r="BN181">
            <v>5423.9077305258179</v>
          </cell>
          <cell r="BO181">
            <v>11572.997732461503</v>
          </cell>
          <cell r="BP181">
            <v>8282.8032924718573</v>
          </cell>
          <cell r="BQ181">
            <v>7067.3302094828359</v>
          </cell>
          <cell r="BR181">
            <v>-4846.0459632081038</v>
          </cell>
          <cell r="BS181">
            <v>-250.52510548029386</v>
          </cell>
          <cell r="BT181">
            <v>5407.3294780530223</v>
          </cell>
          <cell r="BU181">
            <v>18121.703918326963</v>
          </cell>
          <cell r="BV181">
            <v>37172.004361477346</v>
          </cell>
          <cell r="BW181">
            <v>25586.989262525534</v>
          </cell>
        </row>
        <row r="183">
          <cell r="AH183">
            <v>32703.630442730617</v>
          </cell>
          <cell r="AI183">
            <v>70479.874728191004</v>
          </cell>
          <cell r="AJ183">
            <v>64823.111349722865</v>
          </cell>
          <cell r="AK183">
            <v>86924.379343004082</v>
          </cell>
          <cell r="AL183">
            <v>75495.31444525643</v>
          </cell>
          <cell r="AM183">
            <v>105339.51137149511</v>
          </cell>
          <cell r="AN183">
            <v>2618.2711283167882</v>
          </cell>
          <cell r="AO183">
            <v>-21041.887226121791</v>
          </cell>
          <cell r="AP183">
            <v>20702.721861183498</v>
          </cell>
          <cell r="AQ183">
            <v>56764.262135646393</v>
          </cell>
          <cell r="AR183">
            <v>32119.310099114533</v>
          </cell>
          <cell r="AS183">
            <v>37194.756361723965</v>
          </cell>
          <cell r="AW183">
            <v>-6690.1828225098798</v>
          </cell>
          <cell r="AX183">
            <v>30871.789747814706</v>
          </cell>
          <cell r="AY183">
            <v>22031.079767875442</v>
          </cell>
          <cell r="AZ183">
            <v>11822.752315012909</v>
          </cell>
          <cell r="BA183">
            <v>6.8118538383405394</v>
          </cell>
          <cell r="BB183">
            <v>25813.499911692335</v>
          </cell>
          <cell r="BC183">
            <v>51980.091515173961</v>
          </cell>
          <cell r="BD183">
            <v>58145.700281419136</v>
          </cell>
          <cell r="BE183">
            <v>60004.418523711523</v>
          </cell>
          <cell r="BF183">
            <v>42920.306011167777</v>
          </cell>
          <cell r="BG183">
            <v>59732.394654410062</v>
          </cell>
          <cell r="BH183">
            <v>54017.187645024082</v>
          </cell>
          <cell r="BL183">
            <v>4469.3128867345886</v>
          </cell>
          <cell r="BM183">
            <v>9265.489806596659</v>
          </cell>
          <cell r="BN183">
            <v>852.86400915409649</v>
          </cell>
          <cell r="BO183">
            <v>9664.1433223342647</v>
          </cell>
          <cell r="BP183">
            <v>4892.0620971340522</v>
          </cell>
          <cell r="BQ183">
            <v>3111.6200294308728</v>
          </cell>
          <cell r="BR183">
            <v>-14075.494552445376</v>
          </cell>
          <cell r="BS183">
            <v>-7499.8391297107064</v>
          </cell>
          <cell r="BT183">
            <v>70.862515476147564</v>
          </cell>
          <cell r="BU183">
            <v>18026.520173654269</v>
          </cell>
          <cell r="BV183">
            <v>45390.826931785283</v>
          </cell>
          <cell r="BW183">
            <v>28682.296465639523</v>
          </cell>
        </row>
        <row r="186">
          <cell r="AH186" t="e">
            <v>#DIV/0!</v>
          </cell>
          <cell r="AI186" t="e">
            <v>#DIV/0!</v>
          </cell>
          <cell r="AJ186" t="e">
            <v>#DIV/0!</v>
          </cell>
          <cell r="AK186" t="e">
            <v>#DIV/0!</v>
          </cell>
          <cell r="AL186" t="e">
            <v>#DIV/0!</v>
          </cell>
          <cell r="AM186" t="e">
            <v>#DIV/0!</v>
          </cell>
          <cell r="AN186" t="e">
            <v>#DIV/0!</v>
          </cell>
          <cell r="AO186" t="e">
            <v>#DIV/0!</v>
          </cell>
          <cell r="AP186" t="e">
            <v>#DIV/0!</v>
          </cell>
          <cell r="AQ186" t="e">
            <v>#DIV/0!</v>
          </cell>
          <cell r="AR186" t="e">
            <v>#DIV/0!</v>
          </cell>
          <cell r="AS186" t="e">
            <v>#DIV/0!</v>
          </cell>
          <cell r="AW186" t="e">
            <v>#DIV/0!</v>
          </cell>
          <cell r="AX186" t="e">
            <v>#DIV/0!</v>
          </cell>
          <cell r="AY186" t="e">
            <v>#DIV/0!</v>
          </cell>
          <cell r="AZ186" t="e">
            <v>#DIV/0!</v>
          </cell>
          <cell r="BA186" t="e">
            <v>#DIV/0!</v>
          </cell>
          <cell r="BB186" t="e">
            <v>#DIV/0!</v>
          </cell>
          <cell r="BC186" t="e">
            <v>#DIV/0!</v>
          </cell>
          <cell r="BD186" t="e">
            <v>#DIV/0!</v>
          </cell>
          <cell r="BE186" t="e">
            <v>#DIV/0!</v>
          </cell>
          <cell r="BF186" t="e">
            <v>#DIV/0!</v>
          </cell>
          <cell r="BG186" t="e">
            <v>#DIV/0!</v>
          </cell>
          <cell r="BH186" t="e">
            <v>#DIV/0!</v>
          </cell>
          <cell r="BL186" t="e">
            <v>#DIV/0!</v>
          </cell>
          <cell r="BM186" t="e">
            <v>#DIV/0!</v>
          </cell>
          <cell r="BN186" t="e">
            <v>#DIV/0!</v>
          </cell>
          <cell r="BO186" t="e">
            <v>#DIV/0!</v>
          </cell>
          <cell r="BP186" t="e">
            <v>#DIV/0!</v>
          </cell>
          <cell r="BQ186" t="e">
            <v>#DIV/0!</v>
          </cell>
          <cell r="BR186" t="e">
            <v>#DIV/0!</v>
          </cell>
          <cell r="BS186" t="e">
            <v>#DIV/0!</v>
          </cell>
          <cell r="BT186" t="e">
            <v>#DIV/0!</v>
          </cell>
          <cell r="BU186" t="e">
            <v>#DIV/0!</v>
          </cell>
          <cell r="BV186" t="e">
            <v>#DIV/0!</v>
          </cell>
          <cell r="BW186" t="e">
            <v>#DIV/0!</v>
          </cell>
        </row>
        <row r="200">
          <cell r="AH200">
            <v>1</v>
          </cell>
          <cell r="AI200">
            <v>2</v>
          </cell>
          <cell r="AJ200">
            <v>3</v>
          </cell>
          <cell r="AK200">
            <v>4</v>
          </cell>
          <cell r="AL200">
            <v>5</v>
          </cell>
          <cell r="AM200">
            <v>6</v>
          </cell>
          <cell r="AN200">
            <v>7</v>
          </cell>
          <cell r="AO200">
            <v>8</v>
          </cell>
          <cell r="AP200">
            <v>9</v>
          </cell>
          <cell r="AQ200">
            <v>10</v>
          </cell>
          <cell r="AR200">
            <v>11</v>
          </cell>
          <cell r="AS200">
            <v>12</v>
          </cell>
          <cell r="AW200">
            <v>1</v>
          </cell>
          <cell r="AX200">
            <v>2</v>
          </cell>
          <cell r="AY200">
            <v>3</v>
          </cell>
          <cell r="AZ200">
            <v>4</v>
          </cell>
          <cell r="BA200">
            <v>5</v>
          </cell>
          <cell r="BB200">
            <v>6</v>
          </cell>
          <cell r="BC200">
            <v>7</v>
          </cell>
          <cell r="BD200">
            <v>8</v>
          </cell>
          <cell r="BE200">
            <v>9</v>
          </cell>
          <cell r="BF200">
            <v>10</v>
          </cell>
          <cell r="BG200">
            <v>11</v>
          </cell>
          <cell r="BH200">
            <v>12</v>
          </cell>
          <cell r="BL200">
            <v>1</v>
          </cell>
          <cell r="BM200">
            <v>2</v>
          </cell>
          <cell r="BN200">
            <v>3</v>
          </cell>
          <cell r="BO200">
            <v>4</v>
          </cell>
          <cell r="BP200">
            <v>5</v>
          </cell>
          <cell r="BQ200">
            <v>6</v>
          </cell>
          <cell r="BR200">
            <v>7</v>
          </cell>
          <cell r="BS200">
            <v>8</v>
          </cell>
          <cell r="BT200">
            <v>9</v>
          </cell>
          <cell r="BU200">
            <v>10</v>
          </cell>
          <cell r="BV200">
            <v>11</v>
          </cell>
          <cell r="BW200">
            <v>12</v>
          </cell>
        </row>
        <row r="201">
          <cell r="AH201">
            <v>209359.80961718416</v>
          </cell>
          <cell r="AI201">
            <v>441219.61923436832</v>
          </cell>
          <cell r="AJ201">
            <v>699829.42885155254</v>
          </cell>
          <cell r="AK201">
            <v>1049439.2384687366</v>
          </cell>
          <cell r="AL201">
            <v>1496049.0480859207</v>
          </cell>
          <cell r="AM201">
            <v>1909908.8577031048</v>
          </cell>
          <cell r="AN201">
            <v>2268018.6673202892</v>
          </cell>
          <cell r="AO201">
            <v>2566128.4769374733</v>
          </cell>
          <cell r="AP201">
            <v>2814238.2865546574</v>
          </cell>
          <cell r="AQ201">
            <v>3029348.0961718415</v>
          </cell>
          <cell r="AR201">
            <v>3194457.9057890256</v>
          </cell>
          <cell r="AS201">
            <v>3335567.7154062097</v>
          </cell>
          <cell r="AW201">
            <v>25500</v>
          </cell>
          <cell r="AX201">
            <v>53000</v>
          </cell>
          <cell r="AY201">
            <v>74000</v>
          </cell>
          <cell r="AZ201">
            <v>107750</v>
          </cell>
          <cell r="BA201">
            <v>126500</v>
          </cell>
          <cell r="BB201">
            <v>145250</v>
          </cell>
          <cell r="BC201">
            <v>168250</v>
          </cell>
          <cell r="BD201">
            <v>197250</v>
          </cell>
          <cell r="BE201">
            <v>226250</v>
          </cell>
          <cell r="BF201">
            <v>255500</v>
          </cell>
          <cell r="BG201">
            <v>284750</v>
          </cell>
          <cell r="BH201">
            <v>310250</v>
          </cell>
          <cell r="BL201">
            <v>0</v>
          </cell>
          <cell r="BM201">
            <v>0</v>
          </cell>
          <cell r="BN201">
            <v>0</v>
          </cell>
          <cell r="BO201">
            <v>0</v>
          </cell>
          <cell r="BP201">
            <v>0</v>
          </cell>
          <cell r="BQ201">
            <v>0</v>
          </cell>
          <cell r="BR201">
            <v>0</v>
          </cell>
          <cell r="BS201">
            <v>0</v>
          </cell>
          <cell r="BT201">
            <v>0</v>
          </cell>
          <cell r="BU201">
            <v>0</v>
          </cell>
          <cell r="BV201">
            <v>0</v>
          </cell>
          <cell r="BW201">
            <v>0</v>
          </cell>
        </row>
        <row r="202">
          <cell r="AH202">
            <v>662273.68921258766</v>
          </cell>
          <cell r="AI202">
            <v>1329047.3784251753</v>
          </cell>
          <cell r="AJ202">
            <v>2012821.067637763</v>
          </cell>
          <cell r="AK202">
            <v>2707864.7568503506</v>
          </cell>
          <cell r="AL202">
            <v>3319908.4460629383</v>
          </cell>
          <cell r="AM202">
            <v>3995952.135275526</v>
          </cell>
          <cell r="AN202">
            <v>4594665.8244881136</v>
          </cell>
          <cell r="AO202">
            <v>5231379.5137007013</v>
          </cell>
          <cell r="AP202">
            <v>5928093.202913289</v>
          </cell>
          <cell r="AQ202">
            <v>6570906.8921258766</v>
          </cell>
          <cell r="AR202">
            <v>7174720.5813384643</v>
          </cell>
          <cell r="AS202">
            <v>7798534.2705510519</v>
          </cell>
          <cell r="AW202">
            <v>106374.32621047054</v>
          </cell>
          <cell r="AX202">
            <v>250748.6524209411</v>
          </cell>
          <cell r="AY202">
            <v>399122.97863141168</v>
          </cell>
          <cell r="AZ202">
            <v>524607.3048418822</v>
          </cell>
          <cell r="BA202">
            <v>657231.63105235272</v>
          </cell>
          <cell r="BB202">
            <v>805715.95726282324</v>
          </cell>
          <cell r="BC202">
            <v>992150.28347329376</v>
          </cell>
          <cell r="BD202">
            <v>1184584.6096837644</v>
          </cell>
          <cell r="BE202">
            <v>1368018.935894235</v>
          </cell>
          <cell r="BF202">
            <v>1519483.2621047057</v>
          </cell>
          <cell r="BG202">
            <v>1687947.5883151763</v>
          </cell>
          <cell r="BH202">
            <v>1849161.9145256469</v>
          </cell>
          <cell r="BL202">
            <v>0</v>
          </cell>
          <cell r="BM202">
            <v>0</v>
          </cell>
          <cell r="BN202">
            <v>0</v>
          </cell>
          <cell r="BO202">
            <v>0</v>
          </cell>
          <cell r="BP202">
            <v>0</v>
          </cell>
          <cell r="BQ202">
            <v>0</v>
          </cell>
          <cell r="BR202">
            <v>0</v>
          </cell>
          <cell r="BS202">
            <v>0</v>
          </cell>
          <cell r="BT202">
            <v>0</v>
          </cell>
          <cell r="BU202">
            <v>0</v>
          </cell>
          <cell r="BV202">
            <v>0</v>
          </cell>
          <cell r="BW202">
            <v>0</v>
          </cell>
        </row>
        <row r="203">
          <cell r="AH203">
            <v>0</v>
          </cell>
          <cell r="AI203">
            <v>0</v>
          </cell>
          <cell r="AJ203">
            <v>0</v>
          </cell>
          <cell r="AK203">
            <v>0</v>
          </cell>
          <cell r="AL203">
            <v>0</v>
          </cell>
          <cell r="AM203">
            <v>0</v>
          </cell>
          <cell r="AN203">
            <v>0</v>
          </cell>
          <cell r="AO203">
            <v>0</v>
          </cell>
          <cell r="AP203">
            <v>0</v>
          </cell>
          <cell r="AQ203">
            <v>0</v>
          </cell>
          <cell r="AR203">
            <v>0</v>
          </cell>
          <cell r="AS203">
            <v>0</v>
          </cell>
          <cell r="AW203">
            <v>0</v>
          </cell>
          <cell r="AX203">
            <v>0</v>
          </cell>
          <cell r="AY203">
            <v>0</v>
          </cell>
          <cell r="AZ203">
            <v>0</v>
          </cell>
          <cell r="BA203">
            <v>0</v>
          </cell>
          <cell r="BB203">
            <v>0</v>
          </cell>
          <cell r="BC203">
            <v>0</v>
          </cell>
          <cell r="BD203">
            <v>0</v>
          </cell>
          <cell r="BE203">
            <v>0</v>
          </cell>
          <cell r="BF203">
            <v>0</v>
          </cell>
          <cell r="BG203">
            <v>0</v>
          </cell>
          <cell r="BH203">
            <v>0</v>
          </cell>
          <cell r="BL203">
            <v>173902.17495975754</v>
          </cell>
          <cell r="BM203">
            <v>333804.34991951508</v>
          </cell>
          <cell r="BN203">
            <v>496706.52487927262</v>
          </cell>
          <cell r="BO203">
            <v>680438.69983903016</v>
          </cell>
          <cell r="BP203">
            <v>856170.87479878776</v>
          </cell>
          <cell r="BQ203">
            <v>1021903.0497585454</v>
          </cell>
          <cell r="BR203">
            <v>1188130.224718303</v>
          </cell>
          <cell r="BS203">
            <v>1358357.3996780606</v>
          </cell>
          <cell r="BT203">
            <v>1529584.5746378182</v>
          </cell>
          <cell r="BU203">
            <v>1713691.7495975757</v>
          </cell>
          <cell r="BV203">
            <v>1955798.9245573333</v>
          </cell>
          <cell r="BW203">
            <v>2155906.0995170907</v>
          </cell>
        </row>
        <row r="204">
          <cell r="AH204">
            <v>5000</v>
          </cell>
          <cell r="AI204">
            <v>10000</v>
          </cell>
          <cell r="AJ204">
            <v>15000</v>
          </cell>
          <cell r="AK204">
            <v>20000</v>
          </cell>
          <cell r="AL204">
            <v>25000</v>
          </cell>
          <cell r="AM204">
            <v>30000</v>
          </cell>
          <cell r="AN204">
            <v>35000</v>
          </cell>
          <cell r="AO204">
            <v>40000</v>
          </cell>
          <cell r="AP204">
            <v>45000</v>
          </cell>
          <cell r="AQ204">
            <v>50000</v>
          </cell>
          <cell r="AR204">
            <v>55000</v>
          </cell>
          <cell r="AS204">
            <v>60000</v>
          </cell>
          <cell r="AW204">
            <v>0</v>
          </cell>
          <cell r="AX204">
            <v>0</v>
          </cell>
          <cell r="AY204">
            <v>0</v>
          </cell>
          <cell r="AZ204">
            <v>0</v>
          </cell>
          <cell r="BA204">
            <v>0</v>
          </cell>
          <cell r="BB204">
            <v>0</v>
          </cell>
          <cell r="BC204">
            <v>0</v>
          </cell>
          <cell r="BD204">
            <v>0</v>
          </cell>
          <cell r="BE204">
            <v>0</v>
          </cell>
          <cell r="BF204">
            <v>0</v>
          </cell>
          <cell r="BG204">
            <v>0</v>
          </cell>
          <cell r="BH204">
            <v>0</v>
          </cell>
          <cell r="BL204">
            <v>0</v>
          </cell>
          <cell r="BM204">
            <v>0</v>
          </cell>
          <cell r="BN204">
            <v>0</v>
          </cell>
          <cell r="BO204">
            <v>0</v>
          </cell>
          <cell r="BP204">
            <v>0</v>
          </cell>
          <cell r="BQ204">
            <v>0</v>
          </cell>
          <cell r="BR204">
            <v>0</v>
          </cell>
          <cell r="BS204">
            <v>0</v>
          </cell>
          <cell r="BT204">
            <v>0</v>
          </cell>
          <cell r="BU204">
            <v>0</v>
          </cell>
          <cell r="BV204">
            <v>0</v>
          </cell>
          <cell r="BW204">
            <v>0</v>
          </cell>
        </row>
        <row r="205">
          <cell r="AH205">
            <v>22352.680186835281</v>
          </cell>
          <cell r="AI205">
            <v>44705.360373670563</v>
          </cell>
          <cell r="AJ205">
            <v>67058.040560505848</v>
          </cell>
          <cell r="AK205">
            <v>26078.126884641162</v>
          </cell>
          <cell r="AL205">
            <v>-14901.786791223523</v>
          </cell>
          <cell r="AM205">
            <v>-55881.700467088209</v>
          </cell>
          <cell r="AN205">
            <v>-150508.04659135756</v>
          </cell>
          <cell r="AO205">
            <v>-244389.30337606574</v>
          </cell>
          <cell r="AP205">
            <v>-330819.66676516214</v>
          </cell>
          <cell r="AQ205">
            <v>-220546.44451010809</v>
          </cell>
          <cell r="AR205">
            <v>-110273.22225505403</v>
          </cell>
          <cell r="AS205">
            <v>0</v>
          </cell>
          <cell r="AW205">
            <v>2780.4125627820981</v>
          </cell>
          <cell r="AX205">
            <v>5560.8251255641962</v>
          </cell>
          <cell r="AY205">
            <v>8341.2376883462948</v>
          </cell>
          <cell r="AZ205">
            <v>3243.8146565791149</v>
          </cell>
          <cell r="BA205">
            <v>-1853.6083751880651</v>
          </cell>
          <cell r="BB205">
            <v>-6951.0314069552451</v>
          </cell>
          <cell r="BC205">
            <v>-18721.44458939946</v>
          </cell>
          <cell r="BD205">
            <v>-30399.177353084273</v>
          </cell>
          <cell r="BE205">
            <v>-41150.105929175057</v>
          </cell>
          <cell r="BF205">
            <v>-27433.403952783374</v>
          </cell>
          <cell r="BG205">
            <v>-13716.701976391689</v>
          </cell>
          <cell r="BH205">
            <v>0</v>
          </cell>
          <cell r="BL205">
            <v>4866.9072503826201</v>
          </cell>
          <cell r="BM205">
            <v>9733.8145007652402</v>
          </cell>
          <cell r="BN205">
            <v>14600.721751147859</v>
          </cell>
          <cell r="BO205">
            <v>5678.0584587797221</v>
          </cell>
          <cell r="BP205">
            <v>-3244.6048335884152</v>
          </cell>
          <cell r="BQ205">
            <v>-12167.268125956552</v>
          </cell>
          <cell r="BR205">
            <v>-32770.508819242976</v>
          </cell>
          <cell r="BS205">
            <v>-53211.519270849982</v>
          </cell>
          <cell r="BT205">
            <v>-72030.227305662789</v>
          </cell>
          <cell r="BU205">
            <v>-48020.151537108526</v>
          </cell>
          <cell r="BV205">
            <v>-24010.075768554267</v>
          </cell>
          <cell r="BW205">
            <v>0</v>
          </cell>
        </row>
        <row r="206">
          <cell r="AH206">
            <v>0</v>
          </cell>
          <cell r="AI206">
            <v>0</v>
          </cell>
          <cell r="AJ206">
            <v>0</v>
          </cell>
          <cell r="AK206">
            <v>0</v>
          </cell>
          <cell r="AL206">
            <v>0</v>
          </cell>
          <cell r="AM206">
            <v>0</v>
          </cell>
          <cell r="AN206">
            <v>0</v>
          </cell>
          <cell r="AO206">
            <v>0</v>
          </cell>
          <cell r="AP206">
            <v>0</v>
          </cell>
          <cell r="AQ206">
            <v>0</v>
          </cell>
          <cell r="AR206">
            <v>0</v>
          </cell>
          <cell r="AS206">
            <v>0</v>
          </cell>
          <cell r="AW206">
            <v>0</v>
          </cell>
          <cell r="AX206">
            <v>0</v>
          </cell>
          <cell r="AY206">
            <v>0</v>
          </cell>
          <cell r="AZ206">
            <v>0</v>
          </cell>
          <cell r="BA206">
            <v>0</v>
          </cell>
          <cell r="BB206">
            <v>0</v>
          </cell>
          <cell r="BC206">
            <v>0</v>
          </cell>
          <cell r="BD206">
            <v>0</v>
          </cell>
          <cell r="BE206">
            <v>0</v>
          </cell>
          <cell r="BF206">
            <v>0</v>
          </cell>
          <cell r="BG206">
            <v>0</v>
          </cell>
          <cell r="BH206">
            <v>0</v>
          </cell>
          <cell r="BL206">
            <v>0</v>
          </cell>
          <cell r="BM206">
            <v>0</v>
          </cell>
          <cell r="BN206">
            <v>0</v>
          </cell>
          <cell r="BO206">
            <v>0</v>
          </cell>
          <cell r="BP206">
            <v>0</v>
          </cell>
          <cell r="BQ206">
            <v>0</v>
          </cell>
          <cell r="BR206">
            <v>0</v>
          </cell>
          <cell r="BS206">
            <v>0</v>
          </cell>
          <cell r="BT206">
            <v>0</v>
          </cell>
          <cell r="BU206">
            <v>0</v>
          </cell>
          <cell r="BV206">
            <v>0</v>
          </cell>
          <cell r="BW206">
            <v>0</v>
          </cell>
        </row>
        <row r="207">
          <cell r="AH207">
            <v>0</v>
          </cell>
          <cell r="AI207">
            <v>0</v>
          </cell>
          <cell r="AJ207">
            <v>0</v>
          </cell>
          <cell r="AK207">
            <v>0</v>
          </cell>
          <cell r="AL207">
            <v>0</v>
          </cell>
          <cell r="AM207">
            <v>0</v>
          </cell>
          <cell r="AN207">
            <v>0</v>
          </cell>
          <cell r="AO207">
            <v>0</v>
          </cell>
          <cell r="AP207">
            <v>0</v>
          </cell>
          <cell r="AQ207">
            <v>0</v>
          </cell>
          <cell r="AR207">
            <v>0</v>
          </cell>
          <cell r="AS207">
            <v>0</v>
          </cell>
          <cell r="AW207">
            <v>0</v>
          </cell>
          <cell r="AX207">
            <v>0</v>
          </cell>
          <cell r="AY207">
            <v>0</v>
          </cell>
          <cell r="AZ207">
            <v>0</v>
          </cell>
          <cell r="BA207">
            <v>0</v>
          </cell>
          <cell r="BB207">
            <v>0</v>
          </cell>
          <cell r="BC207">
            <v>0</v>
          </cell>
          <cell r="BD207">
            <v>0</v>
          </cell>
          <cell r="BE207">
            <v>0</v>
          </cell>
          <cell r="BF207">
            <v>0</v>
          </cell>
          <cell r="BG207">
            <v>0</v>
          </cell>
          <cell r="BH207">
            <v>0</v>
          </cell>
          <cell r="BL207">
            <v>0</v>
          </cell>
          <cell r="BM207">
            <v>0</v>
          </cell>
          <cell r="BN207">
            <v>0</v>
          </cell>
          <cell r="BO207">
            <v>0</v>
          </cell>
          <cell r="BP207">
            <v>0</v>
          </cell>
          <cell r="BQ207">
            <v>0</v>
          </cell>
          <cell r="BR207">
            <v>0</v>
          </cell>
          <cell r="BS207">
            <v>0</v>
          </cell>
          <cell r="BT207">
            <v>0</v>
          </cell>
          <cell r="BU207">
            <v>0</v>
          </cell>
          <cell r="BV207">
            <v>0</v>
          </cell>
          <cell r="BW207">
            <v>0</v>
          </cell>
        </row>
        <row r="208">
          <cell r="AH208">
            <v>898986.179016607</v>
          </cell>
          <cell r="AI208">
            <v>1824972.358033214</v>
          </cell>
          <cell r="AJ208">
            <v>2794708.5370498211</v>
          </cell>
          <cell r="AK208">
            <v>3803382.1222037282</v>
          </cell>
          <cell r="AL208">
            <v>4826055.7073576357</v>
          </cell>
          <cell r="AM208">
            <v>5879979.2925115423</v>
          </cell>
          <cell r="AN208">
            <v>6747176.445217046</v>
          </cell>
          <cell r="AO208">
            <v>7593118.6872621085</v>
          </cell>
          <cell r="AP208">
            <v>8456511.8227027841</v>
          </cell>
          <cell r="AQ208">
            <v>9429708.5437876098</v>
          </cell>
          <cell r="AR208">
            <v>10313905.264872435</v>
          </cell>
          <cell r="AS208">
            <v>11194101.985957261</v>
          </cell>
          <cell r="AW208">
            <v>134654.73877325261</v>
          </cell>
          <cell r="AX208">
            <v>309309.47754650528</v>
          </cell>
          <cell r="AY208">
            <v>481464.21631975798</v>
          </cell>
          <cell r="AZ208">
            <v>635601.11949846137</v>
          </cell>
          <cell r="BA208">
            <v>781878.02267716464</v>
          </cell>
          <cell r="BB208">
            <v>944014.92585586803</v>
          </cell>
          <cell r="BC208">
            <v>1141678.8388838943</v>
          </cell>
          <cell r="BD208">
            <v>1351435.4323306801</v>
          </cell>
          <cell r="BE208">
            <v>1553118.8299650599</v>
          </cell>
          <cell r="BF208">
            <v>1747549.8581519222</v>
          </cell>
          <cell r="BG208">
            <v>1958980.8863387846</v>
          </cell>
          <cell r="BH208">
            <v>2159411.9145256467</v>
          </cell>
          <cell r="BL208">
            <v>178769.08221014016</v>
          </cell>
          <cell r="BM208">
            <v>343538.16442028031</v>
          </cell>
          <cell r="BN208">
            <v>511307.2466304205</v>
          </cell>
          <cell r="BO208">
            <v>686116.75829780987</v>
          </cell>
          <cell r="BP208">
            <v>852926.26996519929</v>
          </cell>
          <cell r="BQ208">
            <v>1009735.7816325888</v>
          </cell>
          <cell r="BR208">
            <v>1155359.71589906</v>
          </cell>
          <cell r="BS208">
            <v>1305145.8804072107</v>
          </cell>
          <cell r="BT208">
            <v>1457554.3473321553</v>
          </cell>
          <cell r="BU208">
            <v>1665671.5980604673</v>
          </cell>
          <cell r="BV208">
            <v>1931788.848788779</v>
          </cell>
          <cell r="BW208">
            <v>2155906.0995170907</v>
          </cell>
        </row>
        <row r="210">
          <cell r="AH210">
            <v>31815.645957501529</v>
          </cell>
          <cell r="AI210">
            <v>65025.211915003048</v>
          </cell>
          <cell r="AJ210">
            <v>99717.977872504576</v>
          </cell>
          <cell r="AK210">
            <v>137828.3822300061</v>
          </cell>
          <cell r="AL210">
            <v>176332.07938750763</v>
          </cell>
          <cell r="AM210">
            <v>216098.48374500917</v>
          </cell>
          <cell r="AN210">
            <v>249397.71098399855</v>
          </cell>
          <cell r="AO210">
            <v>282074.85822298797</v>
          </cell>
          <cell r="AP210">
            <v>314993.92546197737</v>
          </cell>
          <cell r="AQ210">
            <v>349252.46693799103</v>
          </cell>
          <cell r="AR210">
            <v>380631.0084140047</v>
          </cell>
          <cell r="AS210">
            <v>411744.5898900184</v>
          </cell>
          <cell r="AW210">
            <v>0</v>
          </cell>
          <cell r="AX210">
            <v>0</v>
          </cell>
          <cell r="AY210">
            <v>0</v>
          </cell>
          <cell r="AZ210">
            <v>0</v>
          </cell>
          <cell r="BA210">
            <v>0</v>
          </cell>
          <cell r="BB210">
            <v>0</v>
          </cell>
          <cell r="BC210">
            <v>-306.35908597511553</v>
          </cell>
          <cell r="BD210">
            <v>-612.71817195023107</v>
          </cell>
          <cell r="BE210">
            <v>-919.07725792534666</v>
          </cell>
          <cell r="BF210">
            <v>-612.71817195023118</v>
          </cell>
          <cell r="BG210">
            <v>-306.35908597511565</v>
          </cell>
          <cell r="BH210">
            <v>0</v>
          </cell>
          <cell r="BL210">
            <v>0</v>
          </cell>
          <cell r="BM210">
            <v>0</v>
          </cell>
          <cell r="BN210">
            <v>0</v>
          </cell>
          <cell r="BO210">
            <v>0</v>
          </cell>
          <cell r="BP210">
            <v>0</v>
          </cell>
          <cell r="BQ210">
            <v>0</v>
          </cell>
          <cell r="BR210">
            <v>-339.56459551274162</v>
          </cell>
          <cell r="BS210">
            <v>-679.12919102548324</v>
          </cell>
          <cell r="BT210">
            <v>-1018.6937865382249</v>
          </cell>
          <cell r="BU210">
            <v>-679.12919102548335</v>
          </cell>
          <cell r="BV210">
            <v>-339.56459551274173</v>
          </cell>
          <cell r="BW210">
            <v>0</v>
          </cell>
        </row>
        <row r="212">
          <cell r="AH212">
            <v>34610.837932202587</v>
          </cell>
          <cell r="AI212">
            <v>71058.734687934586</v>
          </cell>
          <cell r="AJ212">
            <v>110019.63144366659</v>
          </cell>
          <cell r="AK212">
            <v>156214.73996410449</v>
          </cell>
          <cell r="AL212">
            <v>207438.31907277767</v>
          </cell>
          <cell r="AM212">
            <v>257979.95700498024</v>
          </cell>
          <cell r="AN212">
            <v>298177.69911221159</v>
          </cell>
          <cell r="AO212">
            <v>334888.38239591353</v>
          </cell>
          <cell r="AP212">
            <v>369493.18332667433</v>
          </cell>
          <cell r="AQ212">
            <v>407915.02296620107</v>
          </cell>
          <cell r="AR212">
            <v>441435.68613513961</v>
          </cell>
          <cell r="AS212">
            <v>473697.0551864311</v>
          </cell>
          <cell r="AW212">
            <v>0</v>
          </cell>
          <cell r="AX212">
            <v>0</v>
          </cell>
          <cell r="AY212">
            <v>0</v>
          </cell>
          <cell r="AZ212">
            <v>0</v>
          </cell>
          <cell r="BA212">
            <v>0</v>
          </cell>
          <cell r="BB212">
            <v>0</v>
          </cell>
          <cell r="BC212">
            <v>-510.59847662519252</v>
          </cell>
          <cell r="BD212">
            <v>-1021.196953250385</v>
          </cell>
          <cell r="BE212">
            <v>-1531.7954298755776</v>
          </cell>
          <cell r="BF212">
            <v>-1021.1969532503851</v>
          </cell>
          <cell r="BG212">
            <v>-510.59847662519263</v>
          </cell>
          <cell r="BH212">
            <v>0</v>
          </cell>
          <cell r="BL212">
            <v>1739.0217495975755</v>
          </cell>
          <cell r="BM212">
            <v>3338.0434991951515</v>
          </cell>
          <cell r="BN212">
            <v>6596.0869983903031</v>
          </cell>
          <cell r="BO212">
            <v>10270.730497585453</v>
          </cell>
          <cell r="BP212">
            <v>15542.69574637818</v>
          </cell>
          <cell r="BQ212">
            <v>20514.660995170907</v>
          </cell>
          <cell r="BR212">
            <v>26597.807001039972</v>
          </cell>
          <cell r="BS212">
            <v>32840.95300690904</v>
          </cell>
          <cell r="BT212">
            <v>40836.370762375678</v>
          </cell>
          <cell r="BU212">
            <v>50607.670502884794</v>
          </cell>
          <cell r="BV212">
            <v>65700.041992991479</v>
          </cell>
          <cell r="BW212">
            <v>78272.413483098164</v>
          </cell>
        </row>
        <row r="213">
          <cell r="AH213">
            <v>42872</v>
          </cell>
          <cell r="AI213">
            <v>80152</v>
          </cell>
          <cell r="AJ213">
            <v>127320</v>
          </cell>
          <cell r="AK213">
            <v>175368</v>
          </cell>
          <cell r="AL213">
            <v>218240</v>
          </cell>
          <cell r="AM213">
            <v>263600</v>
          </cell>
          <cell r="AN213">
            <v>292925.92368148785</v>
          </cell>
          <cell r="AO213">
            <v>323691.84736297571</v>
          </cell>
          <cell r="AP213">
            <v>355737.77104446356</v>
          </cell>
          <cell r="AQ213">
            <v>388083.84736297571</v>
          </cell>
          <cell r="AR213">
            <v>406629.92368148785</v>
          </cell>
          <cell r="AS213">
            <v>421416</v>
          </cell>
          <cell r="AW213">
            <v>16560</v>
          </cell>
          <cell r="AX213">
            <v>30960</v>
          </cell>
          <cell r="AY213">
            <v>46800</v>
          </cell>
          <cell r="AZ213">
            <v>61920</v>
          </cell>
          <cell r="BA213">
            <v>78480</v>
          </cell>
          <cell r="BB213">
            <v>78480</v>
          </cell>
          <cell r="BC213">
            <v>78173.640914024887</v>
          </cell>
          <cell r="BD213">
            <v>77867.281828049774</v>
          </cell>
          <cell r="BE213">
            <v>77560.922742074661</v>
          </cell>
          <cell r="BF213">
            <v>77867.281828049774</v>
          </cell>
          <cell r="BG213">
            <v>78173.640914024887</v>
          </cell>
          <cell r="BH213">
            <v>78480</v>
          </cell>
          <cell r="BL213">
            <v>38957.021960358739</v>
          </cell>
          <cell r="BM213">
            <v>66778.603159987601</v>
          </cell>
          <cell r="BN213">
            <v>103821.72123959588</v>
          </cell>
          <cell r="BO213">
            <v>135789.51420997776</v>
          </cell>
          <cell r="BP213">
            <v>157665.81399094817</v>
          </cell>
          <cell r="BQ213">
            <v>181282.02639078262</v>
          </cell>
          <cell r="BR213">
            <v>216824.18820178643</v>
          </cell>
          <cell r="BS213">
            <v>240882.92672828754</v>
          </cell>
          <cell r="BT213">
            <v>265115.65651667502</v>
          </cell>
          <cell r="BU213">
            <v>297488.26080577704</v>
          </cell>
          <cell r="BV213">
            <v>339952.35828429053</v>
          </cell>
          <cell r="BW213">
            <v>375108.82276357501</v>
          </cell>
        </row>
        <row r="214">
          <cell r="AH214">
            <v>77482.837932202587</v>
          </cell>
          <cell r="AI214">
            <v>151210.73468793457</v>
          </cell>
          <cell r="AJ214">
            <v>237339.63144366659</v>
          </cell>
          <cell r="AK214">
            <v>331582.73996410449</v>
          </cell>
          <cell r="AL214">
            <v>425678.31907277764</v>
          </cell>
          <cell r="AM214">
            <v>521579.95700498024</v>
          </cell>
          <cell r="AN214">
            <v>591103.62279369938</v>
          </cell>
          <cell r="AO214">
            <v>658580.22975888918</v>
          </cell>
          <cell r="AP214">
            <v>725230.95437113789</v>
          </cell>
          <cell r="AQ214">
            <v>795998.87032917677</v>
          </cell>
          <cell r="AR214">
            <v>848065.60981662746</v>
          </cell>
          <cell r="AS214">
            <v>895113.05518643116</v>
          </cell>
          <cell r="AW214">
            <v>16560</v>
          </cell>
          <cell r="AX214">
            <v>30960</v>
          </cell>
          <cell r="AY214">
            <v>46800</v>
          </cell>
          <cell r="AZ214">
            <v>61920</v>
          </cell>
          <cell r="BA214">
            <v>78480</v>
          </cell>
          <cell r="BB214">
            <v>78480</v>
          </cell>
          <cell r="BC214">
            <v>77663.042437399694</v>
          </cell>
          <cell r="BD214">
            <v>76846.084874799388</v>
          </cell>
          <cell r="BE214">
            <v>76029.127312199082</v>
          </cell>
          <cell r="BF214">
            <v>76846.084874799388</v>
          </cell>
          <cell r="BG214">
            <v>77663.042437399694</v>
          </cell>
          <cell r="BH214">
            <v>78480</v>
          </cell>
          <cell r="BL214">
            <v>40696.043709956313</v>
          </cell>
          <cell r="BM214">
            <v>70116.646659182748</v>
          </cell>
          <cell r="BN214">
            <v>110417.80823798617</v>
          </cell>
          <cell r="BO214">
            <v>146060.24470756322</v>
          </cell>
          <cell r="BP214">
            <v>173208.50973732636</v>
          </cell>
          <cell r="BQ214">
            <v>201796.68738595353</v>
          </cell>
          <cell r="BR214">
            <v>243421.99520282639</v>
          </cell>
          <cell r="BS214">
            <v>273723.87973519659</v>
          </cell>
          <cell r="BT214">
            <v>305952.02727905067</v>
          </cell>
          <cell r="BU214">
            <v>348095.93130866182</v>
          </cell>
          <cell r="BV214">
            <v>405652.40027728199</v>
          </cell>
          <cell r="BW214">
            <v>453381.23624667316</v>
          </cell>
        </row>
        <row r="216">
          <cell r="AH216">
            <v>789687.69512690289</v>
          </cell>
          <cell r="AI216">
            <v>1608736.4114302762</v>
          </cell>
          <cell r="AJ216">
            <v>2457650.92773365</v>
          </cell>
          <cell r="AK216">
            <v>3333971.0000096178</v>
          </cell>
          <cell r="AL216">
            <v>4224045.3088973509</v>
          </cell>
          <cell r="AM216">
            <v>5142300.8517615525</v>
          </cell>
          <cell r="AN216">
            <v>5906675.1114393482</v>
          </cell>
          <cell r="AO216">
            <v>6652463.5992802316</v>
          </cell>
          <cell r="AP216">
            <v>7416286.9428696688</v>
          </cell>
          <cell r="AQ216">
            <v>8284457.2065204419</v>
          </cell>
          <cell r="AR216">
            <v>9085208.6466418039</v>
          </cell>
          <cell r="AS216">
            <v>9887244.3408808112</v>
          </cell>
          <cell r="AW216">
            <v>118094.73877325261</v>
          </cell>
          <cell r="AX216">
            <v>278349.47754650528</v>
          </cell>
          <cell r="AY216">
            <v>434664.21631975798</v>
          </cell>
          <cell r="AZ216">
            <v>573681.11949846137</v>
          </cell>
          <cell r="BA216">
            <v>703398.02267716464</v>
          </cell>
          <cell r="BB216">
            <v>865534.92585586803</v>
          </cell>
          <cell r="BC216">
            <v>1064322.1555324697</v>
          </cell>
          <cell r="BD216">
            <v>1275202.0656278308</v>
          </cell>
          <cell r="BE216">
            <v>1478008.7799107863</v>
          </cell>
          <cell r="BF216">
            <v>1671316.491449073</v>
          </cell>
          <cell r="BG216">
            <v>1881624.2029873601</v>
          </cell>
          <cell r="BH216">
            <v>2080931.9145256467</v>
          </cell>
          <cell r="BL216">
            <v>138073.03850018384</v>
          </cell>
          <cell r="BM216">
            <v>273421.51776109758</v>
          </cell>
          <cell r="BN216">
            <v>400889.43839243433</v>
          </cell>
          <cell r="BO216">
            <v>540056.51359024667</v>
          </cell>
          <cell r="BP216">
            <v>679717.76022787299</v>
          </cell>
          <cell r="BQ216">
            <v>807939.09424663533</v>
          </cell>
          <cell r="BR216">
            <v>912277.28529174649</v>
          </cell>
          <cell r="BS216">
            <v>1032101.1298630395</v>
          </cell>
          <cell r="BT216">
            <v>1152621.013839643</v>
          </cell>
          <cell r="BU216">
            <v>1318254.7959428309</v>
          </cell>
          <cell r="BV216">
            <v>1526476.0131070097</v>
          </cell>
          <cell r="BW216">
            <v>1702524.8632704176</v>
          </cell>
        </row>
        <row r="218">
          <cell r="AH218">
            <v>259385.45974488006</v>
          </cell>
          <cell r="AI218">
            <v>484938.03343608003</v>
          </cell>
          <cell r="AJ218">
            <v>733045.8644964</v>
          </cell>
          <cell r="AK218">
            <v>969876.06687215995</v>
          </cell>
          <cell r="AL218">
            <v>1229261.5266170399</v>
          </cell>
          <cell r="AM218">
            <v>1466091.7289928</v>
          </cell>
          <cell r="AN218">
            <v>1714199.5600531199</v>
          </cell>
          <cell r="AO218">
            <v>1973585.0197979999</v>
          </cell>
          <cell r="AP218">
            <v>2199137.5934891999</v>
          </cell>
          <cell r="AQ218">
            <v>2458523.0532340799</v>
          </cell>
          <cell r="AR218">
            <v>2706630.8842944</v>
          </cell>
          <cell r="AS218">
            <v>2943461.0866701598</v>
          </cell>
          <cell r="AW218">
            <v>29440.475630127694</v>
          </cell>
          <cell r="AX218">
            <v>55040.889221543082</v>
          </cell>
          <cell r="AY218">
            <v>83201.344172100013</v>
          </cell>
          <cell r="AZ218">
            <v>110081.77844308616</v>
          </cell>
          <cell r="BA218">
            <v>139522.25407321384</v>
          </cell>
          <cell r="BB218">
            <v>166402.6883442</v>
          </cell>
          <cell r="BC218">
            <v>194563.14329475691</v>
          </cell>
          <cell r="BD218">
            <v>224003.61892488459</v>
          </cell>
          <cell r="BE218">
            <v>249604.03251629998</v>
          </cell>
          <cell r="BF218">
            <v>279044.50814642769</v>
          </cell>
          <cell r="BG218">
            <v>307204.9630969846</v>
          </cell>
          <cell r="BH218">
            <v>334085.39736797079</v>
          </cell>
          <cell r="BL218">
            <v>29949.71493654</v>
          </cell>
          <cell r="BM218">
            <v>55992.945316140002</v>
          </cell>
          <cell r="BN218">
            <v>84640.498733700006</v>
          </cell>
          <cell r="BO218">
            <v>111985.89063228</v>
          </cell>
          <cell r="BP218">
            <v>141935.60556882</v>
          </cell>
          <cell r="BQ218">
            <v>169280.99746739998</v>
          </cell>
          <cell r="BR218">
            <v>197928.55088495999</v>
          </cell>
          <cell r="BS218">
            <v>227878.26582149998</v>
          </cell>
          <cell r="BT218">
            <v>253921.49620109997</v>
          </cell>
          <cell r="BU218">
            <v>283871.21113764</v>
          </cell>
          <cell r="BV218">
            <v>312518.7645552</v>
          </cell>
          <cell r="BW218">
            <v>339864.15645378001</v>
          </cell>
        </row>
        <row r="219">
          <cell r="AH219">
            <v>56311.967011860012</v>
          </cell>
          <cell r="AI219">
            <v>105278.89484826001</v>
          </cell>
          <cell r="AJ219">
            <v>159142.51546830003</v>
          </cell>
          <cell r="AK219">
            <v>210557.78969652002</v>
          </cell>
          <cell r="AL219">
            <v>266869.75670838001</v>
          </cell>
          <cell r="AM219">
            <v>318285.0309366</v>
          </cell>
          <cell r="AN219">
            <v>372148.65155663999</v>
          </cell>
          <cell r="AO219">
            <v>428460.61856849998</v>
          </cell>
          <cell r="AP219">
            <v>477427.54640489997</v>
          </cell>
          <cell r="AQ219">
            <v>533739.51341676002</v>
          </cell>
          <cell r="AR219">
            <v>587603.13403680001</v>
          </cell>
          <cell r="AS219">
            <v>639018.40826502</v>
          </cell>
          <cell r="AW219">
            <v>15869.336687819998</v>
          </cell>
          <cell r="AX219">
            <v>29668.759894619998</v>
          </cell>
          <cell r="AY219">
            <v>44848.125422099998</v>
          </cell>
          <cell r="AZ219">
            <v>59337.519789240003</v>
          </cell>
          <cell r="BA219">
            <v>75206.856477060006</v>
          </cell>
          <cell r="BB219">
            <v>89696.250844200011</v>
          </cell>
          <cell r="BC219">
            <v>104875.61637168001</v>
          </cell>
          <cell r="BD219">
            <v>120744.95305950001</v>
          </cell>
          <cell r="BE219">
            <v>134544.37626630001</v>
          </cell>
          <cell r="BF219">
            <v>150413.71295412001</v>
          </cell>
          <cell r="BG219">
            <v>165593.07848160001</v>
          </cell>
          <cell r="BH219">
            <v>180082.47284874</v>
          </cell>
          <cell r="BL219">
            <v>10735.139124359999</v>
          </cell>
          <cell r="BM219">
            <v>20070.042710759997</v>
          </cell>
          <cell r="BN219">
            <v>30338.436655799997</v>
          </cell>
          <cell r="BO219">
            <v>40140.085421519994</v>
          </cell>
          <cell r="BP219">
            <v>50875.224545879995</v>
          </cell>
          <cell r="BQ219">
            <v>60676.873311599993</v>
          </cell>
          <cell r="BR219">
            <v>70945.26725664</v>
          </cell>
          <cell r="BS219">
            <v>81680.406380999993</v>
          </cell>
          <cell r="BT219">
            <v>91015.309967399997</v>
          </cell>
          <cell r="BU219">
            <v>101750.44909175999</v>
          </cell>
          <cell r="BV219">
            <v>112018.8430368</v>
          </cell>
          <cell r="BW219">
            <v>121820.49180252</v>
          </cell>
        </row>
        <row r="220">
          <cell r="AH220">
            <v>42580.546645602997</v>
          </cell>
          <cell r="AI220">
            <v>86197.623965786624</v>
          </cell>
          <cell r="AJ220">
            <v>131676.81594823868</v>
          </cell>
          <cell r="AK220">
            <v>182460.43334072686</v>
          </cell>
          <cell r="AL220">
            <v>236230.73444705084</v>
          </cell>
          <cell r="AM220">
            <v>290265.11317503458</v>
          </cell>
          <cell r="AN220">
            <v>341451.99257191719</v>
          </cell>
          <cell r="AO220">
            <v>394031.52012307767</v>
          </cell>
          <cell r="AP220">
            <v>444780.81992234325</v>
          </cell>
          <cell r="AQ220">
            <v>493158.37370793725</v>
          </cell>
          <cell r="AR220">
            <v>541235.81601204444</v>
          </cell>
          <cell r="AS220">
            <v>586067.60561393539</v>
          </cell>
          <cell r="AW220">
            <v>14375.502952043633</v>
          </cell>
          <cell r="AX220">
            <v>27147.679432081575</v>
          </cell>
          <cell r="AY220">
            <v>40988.740226789974</v>
          </cell>
          <cell r="AZ220">
            <v>54295.35886416315</v>
          </cell>
          <cell r="BA220">
            <v>68670.861816206787</v>
          </cell>
          <cell r="BB220">
            <v>81977.480453579963</v>
          </cell>
          <cell r="BC220">
            <v>95818.541248288369</v>
          </cell>
          <cell r="BD220">
            <v>110194.04420033201</v>
          </cell>
          <cell r="BE220">
            <v>122966.22068036995</v>
          </cell>
          <cell r="BF220">
            <v>137341.72363241357</v>
          </cell>
          <cell r="BG220">
            <v>151182.78442712198</v>
          </cell>
          <cell r="BH220">
            <v>164489.40306449516</v>
          </cell>
          <cell r="BL220">
            <v>39649.624211312919</v>
          </cell>
          <cell r="BM220">
            <v>74127.55830810676</v>
          </cell>
          <cell r="BN220">
            <v>112053.28581457998</v>
          </cell>
          <cell r="BO220">
            <v>148255.11661621352</v>
          </cell>
          <cell r="BP220">
            <v>187904.74082752643</v>
          </cell>
          <cell r="BQ220">
            <v>224106.57162915997</v>
          </cell>
          <cell r="BR220">
            <v>262032.29913563319</v>
          </cell>
          <cell r="BS220">
            <v>301681.92334694613</v>
          </cell>
          <cell r="BT220">
            <v>336159.85744373995</v>
          </cell>
          <cell r="BU220">
            <v>375809.48165505286</v>
          </cell>
          <cell r="BV220">
            <v>413735.20916152606</v>
          </cell>
          <cell r="BW220">
            <v>449937.03996315959</v>
          </cell>
        </row>
        <row r="221">
          <cell r="AH221">
            <v>28729.947861086919</v>
          </cell>
          <cell r="AI221">
            <v>54000.140100539516</v>
          </cell>
          <cell r="AJ221">
            <v>91679.112427476357</v>
          </cell>
          <cell r="AK221">
            <v>126531.96818435672</v>
          </cell>
          <cell r="AL221">
            <v>158176.58031731477</v>
          </cell>
          <cell r="AM221">
            <v>196725.25217943086</v>
          </cell>
          <cell r="AN221">
            <v>215614.41915187688</v>
          </cell>
          <cell r="AO221">
            <v>234402.79098618485</v>
          </cell>
          <cell r="AP221">
            <v>254829.80127625156</v>
          </cell>
          <cell r="AQ221">
            <v>272500.91421988182</v>
          </cell>
          <cell r="AR221">
            <v>280194.07438510109</v>
          </cell>
          <cell r="AS221">
            <v>287139.46268592041</v>
          </cell>
          <cell r="AW221">
            <v>589.51077898777385</v>
          </cell>
          <cell r="AX221">
            <v>1120.977370240631</v>
          </cell>
          <cell r="AY221">
            <v>1730.3455552154112</v>
          </cell>
          <cell r="AZ221">
            <v>2272.0784167517259</v>
          </cell>
          <cell r="BA221">
            <v>2745.1191376876677</v>
          </cell>
          <cell r="BB221">
            <v>3215.2804218268457</v>
          </cell>
          <cell r="BC221">
            <v>3349.5001887952158</v>
          </cell>
          <cell r="BD221">
            <v>3479.0807006593136</v>
          </cell>
          <cell r="BE221">
            <v>3541.0753664566864</v>
          </cell>
          <cell r="BF221">
            <v>4209.100797143401</v>
          </cell>
          <cell r="BG221">
            <v>4865.3337959240853</v>
          </cell>
          <cell r="BH221">
            <v>5472.5647794536144</v>
          </cell>
          <cell r="BL221">
            <v>344.16921159171727</v>
          </cell>
          <cell r="BM221">
            <v>654.45096422210793</v>
          </cell>
          <cell r="BN221">
            <v>1010.2133612251922</v>
          </cell>
          <cell r="BO221">
            <v>1326.4887856854889</v>
          </cell>
          <cell r="BP221">
            <v>1602.6602447635548</v>
          </cell>
          <cell r="BQ221">
            <v>1877.1506260267722</v>
          </cell>
          <cell r="BR221">
            <v>1794.8055451799148</v>
          </cell>
          <cell r="BS221">
            <v>1709.7519663233147</v>
          </cell>
          <cell r="BT221">
            <v>1585.2403008894269</v>
          </cell>
          <cell r="BU221">
            <v>2135.9535728222663</v>
          </cell>
          <cell r="BV221">
            <v>2679.7821665837987</v>
          </cell>
          <cell r="BW221">
            <v>3195.0023183006347</v>
          </cell>
        </row>
        <row r="222">
          <cell r="AH222">
            <v>55788.408776438737</v>
          </cell>
          <cell r="AI222">
            <v>107080.97784546859</v>
          </cell>
          <cell r="AJ222">
            <v>162535.54916798908</v>
          </cell>
          <cell r="AK222">
            <v>216802.67178022006</v>
          </cell>
          <cell r="AL222">
            <v>273913.11757715215</v>
          </cell>
          <cell r="AM222">
            <v>328833.47766889323</v>
          </cell>
          <cell r="AN222">
            <v>383320.88989385066</v>
          </cell>
          <cell r="AO222">
            <v>439355.27476056671</v>
          </cell>
          <cell r="AP222">
            <v>491101.66991124948</v>
          </cell>
          <cell r="AQ222">
            <v>546219.6038167536</v>
          </cell>
          <cell r="AR222">
            <v>598961.79228289507</v>
          </cell>
          <cell r="AS222">
            <v>649915.11645626021</v>
          </cell>
          <cell r="AW222">
            <v>7821.6521588335017</v>
          </cell>
          <cell r="AX222">
            <v>14869.213475035</v>
          </cell>
          <cell r="AY222">
            <v>22435.700569811921</v>
          </cell>
          <cell r="AZ222">
            <v>29740.628450705281</v>
          </cell>
          <cell r="BA222">
            <v>37553.768736535952</v>
          </cell>
          <cell r="BB222">
            <v>44853.466018358558</v>
          </cell>
          <cell r="BC222">
            <v>52407.617639259064</v>
          </cell>
          <cell r="BD222">
            <v>60218.046498193042</v>
          </cell>
          <cell r="BE222">
            <v>67253.687190347366</v>
          </cell>
          <cell r="BF222">
            <v>75058.688006154174</v>
          </cell>
          <cell r="BG222">
            <v>82606.2107222177</v>
          </cell>
          <cell r="BH222">
            <v>89893.535985141716</v>
          </cell>
          <cell r="BL222">
            <v>10601.74851165992</v>
          </cell>
          <cell r="BM222">
            <v>20128.080917385822</v>
          </cell>
          <cell r="BN222">
            <v>30372.630823432512</v>
          </cell>
          <cell r="BO222">
            <v>40257.140279498431</v>
          </cell>
          <cell r="BP222">
            <v>50855.105736490426</v>
          </cell>
          <cell r="BQ222">
            <v>60737.290481858232</v>
          </cell>
          <cell r="BR222">
            <v>70976.357955070969</v>
          </cell>
          <cell r="BS222">
            <v>81573.118333442209</v>
          </cell>
          <cell r="BT222">
            <v>91094.152684036031</v>
          </cell>
          <cell r="BU222">
            <v>101688.50059879519</v>
          </cell>
          <cell r="BV222">
            <v>111924.62189208037</v>
          </cell>
          <cell r="BW222">
            <v>121801.30796238214</v>
          </cell>
        </row>
        <row r="223">
          <cell r="AH223">
            <v>88556.239093265613</v>
          </cell>
          <cell r="AI223">
            <v>177770.89165940217</v>
          </cell>
          <cell r="AJ223">
            <v>267681.15769840969</v>
          </cell>
          <cell r="AK223">
            <v>359093.05321028817</v>
          </cell>
          <cell r="AL223">
            <v>450746.43419503758</v>
          </cell>
          <cell r="AM223">
            <v>543314.01054414175</v>
          </cell>
          <cell r="AN223">
            <v>636744.37291803956</v>
          </cell>
          <cell r="AO223">
            <v>730303.60265629215</v>
          </cell>
          <cell r="AP223">
            <v>827456.23867373774</v>
          </cell>
          <cell r="AQ223">
            <v>928188.04364949872</v>
          </cell>
          <cell r="AR223">
            <v>1027797.4620981306</v>
          </cell>
          <cell r="AS223">
            <v>1127374.0940196335</v>
          </cell>
          <cell r="AW223">
            <v>15157.965745691225</v>
          </cell>
          <cell r="AX223">
            <v>30325.585701669886</v>
          </cell>
          <cell r="AY223">
            <v>45502.859867935986</v>
          </cell>
          <cell r="AZ223">
            <v>60689.788244489522</v>
          </cell>
          <cell r="BA223">
            <v>75886.370831330496</v>
          </cell>
          <cell r="BB223">
            <v>91131.224469608656</v>
          </cell>
          <cell r="BC223">
            <v>106698.36874056461</v>
          </cell>
          <cell r="BD223">
            <v>122313.78406295774</v>
          </cell>
          <cell r="BE223">
            <v>138363.6388482856</v>
          </cell>
          <cell r="BF223">
            <v>155033.29393406695</v>
          </cell>
          <cell r="BG223">
            <v>171712.60323013575</v>
          </cell>
          <cell r="BH223">
            <v>188401.56673649198</v>
          </cell>
          <cell r="BL223">
            <v>12162.914310002132</v>
          </cell>
          <cell r="BM223">
            <v>24342.627603512537</v>
          </cell>
          <cell r="BN223">
            <v>36539.239880531211</v>
          </cell>
          <cell r="BO223">
            <v>48752.751141058165</v>
          </cell>
          <cell r="BP223">
            <v>60983.161385093394</v>
          </cell>
          <cell r="BQ223">
            <v>73298.066546669987</v>
          </cell>
          <cell r="BR223">
            <v>85901.936384108514</v>
          </cell>
          <cell r="BS223">
            <v>98590.30113908842</v>
          </cell>
          <cell r="BT223">
            <v>112039.1201519406</v>
          </cell>
          <cell r="BU223">
            <v>126572.85390602391</v>
          </cell>
          <cell r="BV223">
            <v>141123.4866436155</v>
          </cell>
          <cell r="BW223">
            <v>155691.01836471536</v>
          </cell>
        </row>
        <row r="224">
          <cell r="AH224">
            <v>531352.56913313433</v>
          </cell>
          <cell r="AI224">
            <v>1015266.561855537</v>
          </cell>
          <cell r="AJ224">
            <v>1545761.0152068138</v>
          </cell>
          <cell r="AK224">
            <v>2065321.9830842717</v>
          </cell>
          <cell r="AL224">
            <v>2615198.1498619751</v>
          </cell>
          <cell r="AM224">
            <v>3143514.6134969001</v>
          </cell>
          <cell r="AN224">
            <v>3663479.8861454446</v>
          </cell>
          <cell r="AO224">
            <v>4200138.8268926209</v>
          </cell>
          <cell r="AP224">
            <v>4694733.6696776822</v>
          </cell>
          <cell r="AQ224">
            <v>5232329.5020449106</v>
          </cell>
          <cell r="AR224">
            <v>5742423.1631093714</v>
          </cell>
          <cell r="AS224">
            <v>6232975.7737109298</v>
          </cell>
          <cell r="AW224">
            <v>83254.443953503811</v>
          </cell>
          <cell r="AX224">
            <v>158173.10509519017</v>
          </cell>
          <cell r="AY224">
            <v>238707.11581395328</v>
          </cell>
          <cell r="AZ224">
            <v>316417.15220843587</v>
          </cell>
          <cell r="BA224">
            <v>399585.23107203475</v>
          </cell>
          <cell r="BB224">
            <v>477276.39055177406</v>
          </cell>
          <cell r="BC224">
            <v>557712.7874833442</v>
          </cell>
          <cell r="BD224">
            <v>640953.5274465268</v>
          </cell>
          <cell r="BE224">
            <v>716273.03086805949</v>
          </cell>
          <cell r="BF224">
            <v>801101.02747032582</v>
          </cell>
          <cell r="BG224">
            <v>883164.97375398409</v>
          </cell>
          <cell r="BH224">
            <v>962424.94078229321</v>
          </cell>
          <cell r="BL224">
            <v>103443.31030546669</v>
          </cell>
          <cell r="BM224">
            <v>195315.70582012724</v>
          </cell>
          <cell r="BN224">
            <v>294954.30526926887</v>
          </cell>
          <cell r="BO224">
            <v>390717.47287625563</v>
          </cell>
          <cell r="BP224">
            <v>494156.49830857379</v>
          </cell>
          <cell r="BQ224">
            <v>589976.95006271498</v>
          </cell>
          <cell r="BR224">
            <v>689579.21716159245</v>
          </cell>
          <cell r="BS224">
            <v>793113.76698830014</v>
          </cell>
          <cell r="BT224">
            <v>885815.17674910615</v>
          </cell>
          <cell r="BU224">
            <v>991828.44996209431</v>
          </cell>
          <cell r="BV224">
            <v>1094000.7074558057</v>
          </cell>
          <cell r="BW224">
            <v>1192309.0168648576</v>
          </cell>
        </row>
        <row r="226">
          <cell r="AH226">
            <v>60516.880881750985</v>
          </cell>
          <cell r="AI226">
            <v>116541.25479171224</v>
          </cell>
          <cell r="AJ226">
            <v>177064.6500349768</v>
          </cell>
          <cell r="AK226">
            <v>237657.73077102593</v>
          </cell>
          <cell r="AL226">
            <v>301224.82323904912</v>
          </cell>
          <cell r="AM226">
            <v>361665.01101614657</v>
          </cell>
          <cell r="AN226">
            <v>425873.32576084515</v>
          </cell>
          <cell r="AO226">
            <v>492313.92443574592</v>
          </cell>
          <cell r="AP226">
            <v>552257.48774007941</v>
          </cell>
          <cell r="AQ226">
            <v>615111.15994404315</v>
          </cell>
          <cell r="AR226">
            <v>675318.88780999382</v>
          </cell>
          <cell r="AS226">
            <v>732144.68470582878</v>
          </cell>
          <cell r="AW226">
            <v>4065.661154292512</v>
          </cell>
          <cell r="AX226">
            <v>7842.0957620019581</v>
          </cell>
          <cell r="AY226">
            <v>11913.593314398138</v>
          </cell>
          <cell r="AZ226">
            <v>16087.271393561872</v>
          </cell>
          <cell r="BA226">
            <v>20601.047966007645</v>
          </cell>
          <cell r="BB226">
            <v>24904.909087193035</v>
          </cell>
          <cell r="BC226">
            <v>29204.982051264589</v>
          </cell>
          <cell r="BD226">
            <v>33671.071787375302</v>
          </cell>
          <cell r="BE226">
            <v>37733.130076086411</v>
          </cell>
          <cell r="BF226">
            <v>42030.943623685962</v>
          </cell>
          <cell r="BG226">
            <v>46206.49314911179</v>
          </cell>
          <cell r="BH226">
            <v>50141.81874176459</v>
          </cell>
          <cell r="BL226">
            <v>4506.3281898593359</v>
          </cell>
          <cell r="BM226">
            <v>8692.0812775002141</v>
          </cell>
          <cell r="BN226">
            <v>13204.878458331419</v>
          </cell>
          <cell r="BO226">
            <v>17830.931262480164</v>
          </cell>
          <cell r="BP226">
            <v>22833.945001011605</v>
          </cell>
          <cell r="BQ226">
            <v>27604.291067643488</v>
          </cell>
          <cell r="BR226">
            <v>32370.43838810793</v>
          </cell>
          <cell r="BS226">
            <v>37320.596631135275</v>
          </cell>
          <cell r="BT226">
            <v>41822.931449654105</v>
          </cell>
          <cell r="BU226">
            <v>46586.57446103965</v>
          </cell>
          <cell r="BV226">
            <v>51214.701552918392</v>
          </cell>
          <cell r="BW226">
            <v>55576.567429449409</v>
          </cell>
        </row>
        <row r="227">
          <cell r="AH227">
            <v>7218.1094996746315</v>
          </cell>
          <cell r="AI227">
            <v>13947.450978585588</v>
          </cell>
          <cell r="AJ227">
            <v>21141.759348075851</v>
          </cell>
          <cell r="AK227">
            <v>28318.109917024314</v>
          </cell>
          <cell r="AL227">
            <v>35818.363988429126</v>
          </cell>
          <cell r="AM227">
            <v>42980.571958674554</v>
          </cell>
          <cell r="AN227">
            <v>50515.735382047467</v>
          </cell>
          <cell r="AO227">
            <v>58281.788777588459</v>
          </cell>
          <cell r="AP227">
            <v>65373.655275478843</v>
          </cell>
          <cell r="AQ227">
            <v>72807.917972458163</v>
          </cell>
          <cell r="AR227">
            <v>79973.027109546878</v>
          </cell>
          <cell r="AS227">
            <v>86800.903923275531</v>
          </cell>
          <cell r="AW227">
            <v>470.86570547716497</v>
          </cell>
          <cell r="AX227">
            <v>909.27375525940647</v>
          </cell>
          <cell r="AY227">
            <v>1378.7779275158309</v>
          </cell>
          <cell r="AZ227">
            <v>1855.8323984529243</v>
          </cell>
          <cell r="BA227">
            <v>2368.1487801092662</v>
          </cell>
          <cell r="BB227">
            <v>2857.2451824333625</v>
          </cell>
          <cell r="BC227">
            <v>3347.892580269759</v>
          </cell>
          <cell r="BD227">
            <v>3855.7979295651076</v>
          </cell>
          <cell r="BE227">
            <v>4320.6261698400031</v>
          </cell>
          <cell r="BF227">
            <v>4812.9659716980696</v>
          </cell>
          <cell r="BG227">
            <v>5292.094951459736</v>
          </cell>
          <cell r="BH227">
            <v>5747.1018173945677</v>
          </cell>
          <cell r="BL227">
            <v>521.90168381088097</v>
          </cell>
          <cell r="BM227">
            <v>1007.8277062756717</v>
          </cell>
          <cell r="BN227">
            <v>1528.2202836211563</v>
          </cell>
          <cell r="BO227">
            <v>2056.9815179932193</v>
          </cell>
          <cell r="BP227">
            <v>2624.8266150562704</v>
          </cell>
          <cell r="BQ227">
            <v>3166.9349762080237</v>
          </cell>
          <cell r="BR227">
            <v>3710.7624414695829</v>
          </cell>
          <cell r="BS227">
            <v>4273.7184051985041</v>
          </cell>
          <cell r="BT227">
            <v>4788.9282377695054</v>
          </cell>
          <cell r="BU227">
            <v>5334.6315425715611</v>
          </cell>
          <cell r="BV227">
            <v>5865.6921366889428</v>
          </cell>
          <cell r="BW227">
            <v>6370.016080256366</v>
          </cell>
        </row>
        <row r="228">
          <cell r="AH228">
            <v>23239.107810558584</v>
          </cell>
          <cell r="AI228">
            <v>55419.287695851279</v>
          </cell>
          <cell r="AJ228">
            <v>76423.127487726335</v>
          </cell>
          <cell r="AK228">
            <v>97426.967279601391</v>
          </cell>
          <cell r="AL228">
            <v>118430.80707147645</v>
          </cell>
          <cell r="AM228">
            <v>139434.64686335152</v>
          </cell>
          <cell r="AN228">
            <v>165875.71893808563</v>
          </cell>
          <cell r="AO228">
            <v>192316.79101281974</v>
          </cell>
          <cell r="AP228">
            <v>218757.86308755385</v>
          </cell>
          <cell r="AQ228">
            <v>245198.93516228796</v>
          </cell>
          <cell r="AR228">
            <v>271640.0072370221</v>
          </cell>
          <cell r="AS228">
            <v>306963.44530241448</v>
          </cell>
          <cell r="AW228">
            <v>1149.2371926166009</v>
          </cell>
          <cell r="AX228">
            <v>3410.6394103460416</v>
          </cell>
          <cell r="AY228">
            <v>4281.8353466844328</v>
          </cell>
          <cell r="AZ228">
            <v>5153.031283022824</v>
          </cell>
          <cell r="BA228">
            <v>6024.2272193612152</v>
          </cell>
          <cell r="BB228">
            <v>6895.4231556996065</v>
          </cell>
          <cell r="BC228">
            <v>8007.5881808124459</v>
          </cell>
          <cell r="BD228">
            <v>9119.7532059252844</v>
          </cell>
          <cell r="BE228">
            <v>10231.918231038124</v>
          </cell>
          <cell r="BF228">
            <v>11344.083256150963</v>
          </cell>
          <cell r="BG228">
            <v>12456.248281263803</v>
          </cell>
          <cell r="BH228">
            <v>13429.392678237537</v>
          </cell>
          <cell r="BL228">
            <v>2011.6549968248162</v>
          </cell>
          <cell r="BM228">
            <v>5970.0728938026805</v>
          </cell>
          <cell r="BN228">
            <v>7495.037165589235</v>
          </cell>
          <cell r="BO228">
            <v>9020.0014373757895</v>
          </cell>
          <cell r="BP228">
            <v>10544.965709162343</v>
          </cell>
          <cell r="BQ228">
            <v>12069.929980948897</v>
          </cell>
          <cell r="BR228">
            <v>14016.692881101944</v>
          </cell>
          <cell r="BS228">
            <v>15963.455781254992</v>
          </cell>
          <cell r="BT228">
            <v>17910.218681408041</v>
          </cell>
          <cell r="BU228">
            <v>19856.981581561089</v>
          </cell>
          <cell r="BV228">
            <v>21803.744481714137</v>
          </cell>
          <cell r="BW228">
            <v>23507.162019348052</v>
          </cell>
        </row>
        <row r="229">
          <cell r="AH229">
            <v>90974.098191984202</v>
          </cell>
          <cell r="AI229">
            <v>185907.99346614911</v>
          </cell>
          <cell r="AJ229">
            <v>274629.536870779</v>
          </cell>
          <cell r="AK229">
            <v>363402.80796765164</v>
          </cell>
          <cell r="AL229">
            <v>455473.99429895473</v>
          </cell>
          <cell r="AM229">
            <v>544080.22983817267</v>
          </cell>
          <cell r="AN229">
            <v>642264.78008097829</v>
          </cell>
          <cell r="AO229">
            <v>742912.50422615407</v>
          </cell>
          <cell r="AP229">
            <v>836389.00610311213</v>
          </cell>
          <cell r="AQ229">
            <v>933118.01307878923</v>
          </cell>
          <cell r="AR229">
            <v>1026931.9221565628</v>
          </cell>
          <cell r="AS229">
            <v>1125909.0339315189</v>
          </cell>
          <cell r="AW229">
            <v>5685.7640523862774</v>
          </cell>
          <cell r="AX229">
            <v>12162.008927607407</v>
          </cell>
          <cell r="AY229">
            <v>17574.206588598405</v>
          </cell>
          <cell r="AZ229">
            <v>23096.135075037622</v>
          </cell>
          <cell r="BA229">
            <v>28993.423965478127</v>
          </cell>
          <cell r="BB229">
            <v>34657.577425326002</v>
          </cell>
          <cell r="BC229">
            <v>40560.462812346792</v>
          </cell>
          <cell r="BD229">
            <v>46646.622922865696</v>
          </cell>
          <cell r="BE229">
            <v>52285.674476964537</v>
          </cell>
          <cell r="BF229">
            <v>58187.992851534989</v>
          </cell>
          <cell r="BG229">
            <v>63954.836381835332</v>
          </cell>
          <cell r="BH229">
            <v>69318.313237396695</v>
          </cell>
          <cell r="BL229">
            <v>7039.8848704950333</v>
          </cell>
          <cell r="BM229">
            <v>15669.981877578566</v>
          </cell>
          <cell r="BN229">
            <v>22228.135907541811</v>
          </cell>
          <cell r="BO229">
            <v>28907.914217849175</v>
          </cell>
          <cell r="BP229">
            <v>36003.73732523022</v>
          </cell>
          <cell r="BQ229">
            <v>42841.15602480041</v>
          </cell>
          <cell r="BR229">
            <v>50097.893710679462</v>
          </cell>
          <cell r="BS229">
            <v>57557.770817588767</v>
          </cell>
          <cell r="BT229">
            <v>64522.078368831651</v>
          </cell>
          <cell r="BU229">
            <v>71778.187585172302</v>
          </cell>
          <cell r="BV229">
            <v>78884.13817132148</v>
          </cell>
          <cell r="BW229">
            <v>85453.74552905382</v>
          </cell>
        </row>
        <row r="231">
          <cell r="AH231">
            <v>56942.621598597842</v>
          </cell>
          <cell r="AI231">
            <v>109796.54745456956</v>
          </cell>
          <cell r="AJ231">
            <v>166527.25775803896</v>
          </cell>
          <cell r="AK231">
            <v>224130.61443962602</v>
          </cell>
          <cell r="AL231">
            <v>286117.72626298398</v>
          </cell>
          <cell r="AM231">
            <v>345186.56941592286</v>
          </cell>
          <cell r="AN231">
            <v>404490.38116403524</v>
          </cell>
          <cell r="AO231">
            <v>465940.67642184562</v>
          </cell>
          <cell r="AP231">
            <v>522009.90308739606</v>
          </cell>
          <cell r="AQ231">
            <v>581565.89265159133</v>
          </cell>
          <cell r="AR231">
            <v>639467.9287777209</v>
          </cell>
          <cell r="AS231">
            <v>694388.12228405545</v>
          </cell>
          <cell r="AW231">
            <v>7410.5029513227837</v>
          </cell>
          <cell r="AX231">
            <v>14288.903744066029</v>
          </cell>
          <cell r="AY231">
            <v>21671.828595998904</v>
          </cell>
          <cell r="AZ231">
            <v>29168.319497034467</v>
          </cell>
          <cell r="BA231">
            <v>37235.311535951776</v>
          </cell>
          <cell r="BB231">
            <v>44922.520593549067</v>
          </cell>
          <cell r="BC231">
            <v>52640.308423586364</v>
          </cell>
          <cell r="BD231">
            <v>60637.439247272807</v>
          </cell>
          <cell r="BE231">
            <v>67934.27873268348</v>
          </cell>
          <cell r="BF231">
            <v>75684.884940201082</v>
          </cell>
          <cell r="BG231">
            <v>83220.245932622391</v>
          </cell>
          <cell r="BH231">
            <v>90367.55044091944</v>
          </cell>
          <cell r="BL231">
            <v>8213.7091811805858</v>
          </cell>
          <cell r="BM231">
            <v>15837.642956567612</v>
          </cell>
          <cell r="BN231">
            <v>24020.784915840817</v>
          </cell>
          <cell r="BO231">
            <v>32329.802069593046</v>
          </cell>
          <cell r="BP231">
            <v>41271.15557957827</v>
          </cell>
          <cell r="BQ231">
            <v>49791.562362868295</v>
          </cell>
          <cell r="BR231">
            <v>58345.862276704196</v>
          </cell>
          <cell r="BS231">
            <v>67209.782485775911</v>
          </cell>
          <cell r="BT231">
            <v>75297.508496899143</v>
          </cell>
          <cell r="BU231">
            <v>83888.183891615627</v>
          </cell>
          <cell r="BV231">
            <v>92240.284170573475</v>
          </cell>
          <cell r="BW231">
            <v>100162.26747536573</v>
          </cell>
        </row>
        <row r="232">
          <cell r="AH232">
            <v>7611.1604483099945</v>
          </cell>
          <cell r="AI232">
            <v>14762.954757110259</v>
          </cell>
          <cell r="AJ232">
            <v>22333.30926024769</v>
          </cell>
          <cell r="AK232">
            <v>29950.124770307557</v>
          </cell>
          <cell r="AL232">
            <v>38010.522276679272</v>
          </cell>
          <cell r="AM232">
            <v>45752.216219096743</v>
          </cell>
          <cell r="AN232">
            <v>53535.397853433533</v>
          </cell>
          <cell r="AO232">
            <v>61540.604035692792</v>
          </cell>
          <cell r="AP232">
            <v>68965.475896185439</v>
          </cell>
          <cell r="AQ232">
            <v>76784.376623369826</v>
          </cell>
          <cell r="AR232">
            <v>84424.36009181416</v>
          </cell>
          <cell r="AS232">
            <v>91757.044577250737</v>
          </cell>
          <cell r="AW232">
            <v>990.51510769538072</v>
          </cell>
          <cell r="AX232">
            <v>1921.2483852430178</v>
          </cell>
          <cell r="AY232">
            <v>2906.4530142733233</v>
          </cell>
          <cell r="AZ232">
            <v>3897.7040707292431</v>
          </cell>
          <cell r="BA232">
            <v>4946.6828116601537</v>
          </cell>
          <cell r="BB232">
            <v>5954.1855257595525</v>
          </cell>
          <cell r="BC232">
            <v>6967.0874409280377</v>
          </cell>
          <cell r="BD232">
            <v>8008.8835924603436</v>
          </cell>
          <cell r="BE232">
            <v>8975.1551354749536</v>
          </cell>
          <cell r="BF232">
            <v>9992.705527224507</v>
          </cell>
          <cell r="BG232">
            <v>10986.971657787737</v>
          </cell>
          <cell r="BH232">
            <v>11941.245951716357</v>
          </cell>
          <cell r="BL232">
            <v>1097.8746095396095</v>
          </cell>
          <cell r="BM232">
            <v>2129.4877830636447</v>
          </cell>
          <cell r="BN232">
            <v>3221.4763241873438</v>
          </cell>
          <cell r="BO232">
            <v>4320.1666501676627</v>
          </cell>
          <cell r="BP232">
            <v>5482.8416226821128</v>
          </cell>
          <cell r="BQ232">
            <v>6599.5450835970614</v>
          </cell>
          <cell r="BR232">
            <v>7722.2329517355811</v>
          </cell>
          <cell r="BS232">
            <v>8876.9468316122584</v>
          </cell>
          <cell r="BT232">
            <v>9947.9501759879513</v>
          </cell>
          <cell r="BU232">
            <v>11075.790357677011</v>
          </cell>
          <cell r="BV232">
            <v>12177.822554248276</v>
          </cell>
          <cell r="BW232">
            <v>13235.528297150249</v>
          </cell>
        </row>
        <row r="233">
          <cell r="AH233">
            <v>21518.765255173865</v>
          </cell>
          <cell r="AI233">
            <v>41819.288487469952</v>
          </cell>
          <cell r="AJ233">
            <v>62119.811719766039</v>
          </cell>
          <cell r="AK233">
            <v>83638.576974939904</v>
          </cell>
          <cell r="AL233">
            <v>103939.100207236</v>
          </cell>
          <cell r="AM233">
            <v>124239.62343953209</v>
          </cell>
          <cell r="AN233">
            <v>152336.895618246</v>
          </cell>
          <cell r="AO233">
            <v>178809.84509978953</v>
          </cell>
          <cell r="AP233">
            <v>202440.2298612849</v>
          </cell>
          <cell r="AQ233">
            <v>227288.85664565803</v>
          </cell>
          <cell r="AR233">
            <v>250919.2414071534</v>
          </cell>
          <cell r="AS233">
            <v>285919.88504884142</v>
          </cell>
          <cell r="AW233">
            <v>2193.2389031597759</v>
          </cell>
          <cell r="AX233">
            <v>4256.4356630323755</v>
          </cell>
          <cell r="AY233">
            <v>6319.632422904976</v>
          </cell>
          <cell r="AZ233">
            <v>8512.8713260647528</v>
          </cell>
          <cell r="BA233">
            <v>10576.06808593735</v>
          </cell>
          <cell r="BB233">
            <v>12639.264845809948</v>
          </cell>
          <cell r="BC233">
            <v>15534.731322720476</v>
          </cell>
          <cell r="BD233">
            <v>18256.808275248102</v>
          </cell>
          <cell r="BE233">
            <v>20675.453560105652</v>
          </cell>
          <cell r="BF233">
            <v>23224.140988250376</v>
          </cell>
          <cell r="BG233">
            <v>25642.786273107926</v>
          </cell>
          <cell r="BH233">
            <v>29275.158228645789</v>
          </cell>
          <cell r="BL233">
            <v>3887.9958416663594</v>
          </cell>
          <cell r="BM233">
            <v>7624.2758494976761</v>
          </cell>
          <cell r="BN233">
            <v>11360.555857328993</v>
          </cell>
          <cell r="BO233">
            <v>15248.551698995352</v>
          </cell>
          <cell r="BP233">
            <v>18984.83170682667</v>
          </cell>
          <cell r="BQ233">
            <v>22721.111714657989</v>
          </cell>
          <cell r="BR233">
            <v>27428.373059033554</v>
          </cell>
          <cell r="BS233">
            <v>31933.346624962403</v>
          </cell>
          <cell r="BT233">
            <v>36084.316578609491</v>
          </cell>
          <cell r="BU233">
            <v>40387.002366091619</v>
          </cell>
          <cell r="BV233">
            <v>44537.972319738707</v>
          </cell>
          <cell r="BW233">
            <v>50104.956722512827</v>
          </cell>
        </row>
        <row r="234">
          <cell r="AH234">
            <v>86072.547302081701</v>
          </cell>
          <cell r="AI234">
            <v>166378.79069914977</v>
          </cell>
          <cell r="AJ234">
            <v>250980.37873805268</v>
          </cell>
          <cell r="AK234">
            <v>337719.31618487346</v>
          </cell>
          <cell r="AL234">
            <v>428067.34874689928</v>
          </cell>
          <cell r="AM234">
            <v>515178.40907455166</v>
          </cell>
          <cell r="AN234">
            <v>610362.67463571485</v>
          </cell>
          <cell r="AO234">
            <v>706291.12555732799</v>
          </cell>
          <cell r="AP234">
            <v>793415.60884486628</v>
          </cell>
          <cell r="AQ234">
            <v>885639.12592061923</v>
          </cell>
          <cell r="AR234">
            <v>974811.53027668851</v>
          </cell>
          <cell r="AS234">
            <v>1072065.0519101475</v>
          </cell>
          <cell r="AW234">
            <v>10594.25696217794</v>
          </cell>
          <cell r="AX234">
            <v>20466.587792341423</v>
          </cell>
          <cell r="AY234">
            <v>30897.914033177203</v>
          </cell>
          <cell r="AZ234">
            <v>41578.894893828459</v>
          </cell>
          <cell r="BA234">
            <v>52758.062433549276</v>
          </cell>
          <cell r="BB234">
            <v>63515.970965118569</v>
          </cell>
          <cell r="BC234">
            <v>75142.127187234873</v>
          </cell>
          <cell r="BD234">
            <v>86903.131114981254</v>
          </cell>
          <cell r="BE234">
            <v>97584.88742826409</v>
          </cell>
          <cell r="BF234">
            <v>108901.73145567597</v>
          </cell>
          <cell r="BG234">
            <v>119850.00386351805</v>
          </cell>
          <cell r="BH234">
            <v>131583.95462128159</v>
          </cell>
          <cell r="BL234">
            <v>13199.579632386554</v>
          </cell>
          <cell r="BM234">
            <v>25591.406589128932</v>
          </cell>
          <cell r="BN234">
            <v>38602.817097357154</v>
          </cell>
          <cell r="BO234">
            <v>51898.520418756067</v>
          </cell>
          <cell r="BP234">
            <v>65738.828909087053</v>
          </cell>
          <cell r="BQ234">
            <v>79112.219161123343</v>
          </cell>
          <cell r="BR234">
            <v>93496.468287473341</v>
          </cell>
          <cell r="BS234">
            <v>108020.07594235058</v>
          </cell>
          <cell r="BT234">
            <v>121329.77525149658</v>
          </cell>
          <cell r="BU234">
            <v>135350.97661538425</v>
          </cell>
          <cell r="BV234">
            <v>148956.07904456047</v>
          </cell>
          <cell r="BW234">
            <v>163502.75249502881</v>
          </cell>
        </row>
        <row r="237">
          <cell r="AH237">
            <v>81288.480499702666</v>
          </cell>
          <cell r="AI237">
            <v>241183.06540944037</v>
          </cell>
          <cell r="AJ237">
            <v>386279.99691800447</v>
          </cell>
          <cell r="AK237">
            <v>567526.89277282101</v>
          </cell>
          <cell r="AL237">
            <v>725305.8159895218</v>
          </cell>
          <cell r="AM237">
            <v>939527.5993519281</v>
          </cell>
          <cell r="AN237">
            <v>990567.77057721047</v>
          </cell>
          <cell r="AO237">
            <v>1003121.1426041286</v>
          </cell>
          <cell r="AP237">
            <v>1091748.6582440082</v>
          </cell>
          <cell r="AQ237">
            <v>1233370.5654761228</v>
          </cell>
          <cell r="AR237">
            <v>1341042.0310991809</v>
          </cell>
          <cell r="AS237">
            <v>1456294.481328215</v>
          </cell>
          <cell r="AW237">
            <v>18560.273805184581</v>
          </cell>
          <cell r="AX237">
            <v>87547.775731366273</v>
          </cell>
          <cell r="AY237">
            <v>147484.9798840291</v>
          </cell>
          <cell r="AZ237">
            <v>192588.93732115941</v>
          </cell>
          <cell r="BA237">
            <v>222061.30520610249</v>
          </cell>
          <cell r="BB237">
            <v>290084.98691364942</v>
          </cell>
          <cell r="BC237">
            <v>390906.77804954385</v>
          </cell>
          <cell r="BD237">
            <v>500698.78414345707</v>
          </cell>
          <cell r="BE237">
            <v>611865.18713749817</v>
          </cell>
          <cell r="BF237">
            <v>703125.73967153626</v>
          </cell>
          <cell r="BG237">
            <v>814654.38898802269</v>
          </cell>
          <cell r="BH237">
            <v>917604.70588467515</v>
          </cell>
          <cell r="BL237">
            <v>14390.263691835571</v>
          </cell>
          <cell r="BM237">
            <v>36844.423474262832</v>
          </cell>
          <cell r="BN237">
            <v>45104.180118266493</v>
          </cell>
          <cell r="BO237">
            <v>68532.606077385804</v>
          </cell>
          <cell r="BP237">
            <v>83818.69568498194</v>
          </cell>
          <cell r="BQ237">
            <v>96008.768997996594</v>
          </cell>
          <cell r="BR237">
            <v>79103.706132001244</v>
          </cell>
          <cell r="BS237">
            <v>73409.516114799975</v>
          </cell>
          <cell r="BT237">
            <v>80953.983470208594</v>
          </cell>
          <cell r="BU237">
            <v>119297.18178017999</v>
          </cell>
          <cell r="BV237">
            <v>204635.08843532202</v>
          </cell>
          <cell r="BW237">
            <v>261259.34838147726</v>
          </cell>
        </row>
        <row r="239">
          <cell r="AH239">
            <v>20444.795883110324</v>
          </cell>
          <cell r="AI239">
            <v>37947.666455070066</v>
          </cell>
          <cell r="AJ239">
            <v>58173.359276759111</v>
          </cell>
          <cell r="AK239">
            <v>77506.789802025625</v>
          </cell>
          <cell r="AL239">
            <v>98262.798752310278</v>
          </cell>
          <cell r="AM239">
            <v>117686.01517045169</v>
          </cell>
          <cell r="AN239">
            <v>137065.26186944533</v>
          </cell>
          <cell r="AO239">
            <v>157332.55837407877</v>
          </cell>
          <cell r="AP239">
            <v>175084.85964024151</v>
          </cell>
          <cell r="AQ239">
            <v>194821.39645982356</v>
          </cell>
          <cell r="AR239">
            <v>212774.53774695384</v>
          </cell>
          <cell r="AS239">
            <v>229984.97503990584</v>
          </cell>
          <cell r="AW239">
            <v>-33677.668233452539</v>
          </cell>
          <cell r="AX239">
            <v>-65082.51229964372</v>
          </cell>
          <cell r="AY239">
            <v>-99621.420217009116</v>
          </cell>
          <cell r="AZ239">
            <v>-134189.36583795198</v>
          </cell>
          <cell r="BA239">
            <v>-170240.75057024651</v>
          </cell>
          <cell r="BB239">
            <v>-205429.54391428703</v>
          </cell>
          <cell r="BC239">
            <v>-239669.16296362286</v>
          </cell>
          <cell r="BD239">
            <v>-274694.13525026618</v>
          </cell>
          <cell r="BE239">
            <v>-307215.0111545496</v>
          </cell>
          <cell r="BF239">
            <v>-340533.02375614154</v>
          </cell>
          <cell r="BG239">
            <v>-371348.53968139249</v>
          </cell>
          <cell r="BH239">
            <v>-401270.45275635435</v>
          </cell>
          <cell r="BL239">
            <v>-2093.2276496577801</v>
          </cell>
          <cell r="BM239">
            <v>-4046.3541554263375</v>
          </cell>
          <cell r="BN239">
            <v>-6029.339059749982</v>
          </cell>
          <cell r="BO239">
            <v>-8220.6239640736258</v>
          </cell>
          <cell r="BP239">
            <v>-10331.848182063735</v>
          </cell>
          <cell r="BQ239">
            <v>-12342.971256164623</v>
          </cell>
          <cell r="BR239">
            <v>-14359.448905822403</v>
          </cell>
          <cell r="BS239">
            <v>-16415.623123812511</v>
          </cell>
          <cell r="BT239">
            <v>-18481.898485691843</v>
          </cell>
          <cell r="BU239">
            <v>-20676.872703681955</v>
          </cell>
          <cell r="BV239">
            <v>-23451.948065561286</v>
          </cell>
          <cell r="BW239">
            <v>-25806.922283551397</v>
          </cell>
        </row>
        <row r="241">
          <cell r="AH241">
            <v>101733.276382813</v>
          </cell>
          <cell r="AI241">
            <v>279130.73186451045</v>
          </cell>
          <cell r="AJ241">
            <v>444453.35619476356</v>
          </cell>
          <cell r="AK241">
            <v>645033.68257484667</v>
          </cell>
          <cell r="AL241">
            <v>823568.61474183202</v>
          </cell>
          <cell r="AM241">
            <v>1057213.6145223798</v>
          </cell>
          <cell r="AN241">
            <v>1127633.0324466559</v>
          </cell>
          <cell r="AO241">
            <v>1160453.7009782074</v>
          </cell>
          <cell r="AP241">
            <v>1266833.5178842498</v>
          </cell>
          <cell r="AQ241">
            <v>1428191.9619359463</v>
          </cell>
          <cell r="AR241">
            <v>1553816.5688461347</v>
          </cell>
          <cell r="AS241">
            <v>1686279.4563681209</v>
          </cell>
          <cell r="AW241">
            <v>-15117.394428267959</v>
          </cell>
          <cell r="AX241">
            <v>22465.263431722553</v>
          </cell>
          <cell r="AY241">
            <v>47863.559667019988</v>
          </cell>
          <cell r="AZ241">
            <v>58399.57148320743</v>
          </cell>
          <cell r="BA241">
            <v>51820.55463585598</v>
          </cell>
          <cell r="BB241">
            <v>84655.442999362393</v>
          </cell>
          <cell r="BC241">
            <v>151237.61508592099</v>
          </cell>
          <cell r="BD241">
            <v>226004.6488931909</v>
          </cell>
          <cell r="BE241">
            <v>304650.17598294857</v>
          </cell>
          <cell r="BF241">
            <v>362592.71591539471</v>
          </cell>
          <cell r="BG241">
            <v>443305.8493066302</v>
          </cell>
          <cell r="BH241">
            <v>516334.25312832079</v>
          </cell>
          <cell r="BL241">
            <v>12297.036042177791</v>
          </cell>
          <cell r="BM241">
            <v>32798.069318836497</v>
          </cell>
          <cell r="BN241">
            <v>39074.841058516511</v>
          </cell>
          <cell r="BO241">
            <v>60311.98211331218</v>
          </cell>
          <cell r="BP241">
            <v>73486.847502918201</v>
          </cell>
          <cell r="BQ241">
            <v>83665.797741831979</v>
          </cell>
          <cell r="BR241">
            <v>64744.257226178845</v>
          </cell>
          <cell r="BS241">
            <v>56993.892990987464</v>
          </cell>
          <cell r="BT241">
            <v>62472.084984516754</v>
          </cell>
          <cell r="BU241">
            <v>98620.30907649803</v>
          </cell>
          <cell r="BV241">
            <v>181183.14036976075</v>
          </cell>
          <cell r="BW241">
            <v>235452.42609792587</v>
          </cell>
        </row>
        <row r="243">
          <cell r="AH243">
            <v>0</v>
          </cell>
          <cell r="AI243">
            <v>0</v>
          </cell>
          <cell r="AJ243">
            <v>0</v>
          </cell>
          <cell r="AK243">
            <v>0</v>
          </cell>
          <cell r="AL243">
            <v>0</v>
          </cell>
          <cell r="AM243">
            <v>0</v>
          </cell>
          <cell r="AN243">
            <v>0</v>
          </cell>
          <cell r="AO243">
            <v>0</v>
          </cell>
          <cell r="AP243">
            <v>0</v>
          </cell>
          <cell r="AQ243">
            <v>0</v>
          </cell>
          <cell r="AR243">
            <v>0</v>
          </cell>
          <cell r="AS243">
            <v>0</v>
          </cell>
          <cell r="AW243">
            <v>0</v>
          </cell>
          <cell r="AX243">
            <v>0</v>
          </cell>
          <cell r="AY243">
            <v>0</v>
          </cell>
          <cell r="AZ243">
            <v>0</v>
          </cell>
          <cell r="BA243">
            <v>0</v>
          </cell>
          <cell r="BB243">
            <v>0</v>
          </cell>
          <cell r="BC243">
            <v>0</v>
          </cell>
          <cell r="BD243">
            <v>0</v>
          </cell>
          <cell r="BE243">
            <v>0</v>
          </cell>
          <cell r="BF243">
            <v>0</v>
          </cell>
          <cell r="BG243">
            <v>0</v>
          </cell>
          <cell r="BH243">
            <v>0</v>
          </cell>
          <cell r="BL243">
            <v>0</v>
          </cell>
          <cell r="BM243">
            <v>0</v>
          </cell>
          <cell r="BN243">
            <v>0</v>
          </cell>
          <cell r="BO243">
            <v>0</v>
          </cell>
          <cell r="BP243">
            <v>0</v>
          </cell>
          <cell r="BQ243">
            <v>0</v>
          </cell>
          <cell r="BR243">
            <v>0</v>
          </cell>
          <cell r="BS243">
            <v>0</v>
          </cell>
          <cell r="BT243">
            <v>0</v>
          </cell>
          <cell r="BU243">
            <v>0</v>
          </cell>
          <cell r="BV243">
            <v>0</v>
          </cell>
          <cell r="BW243">
            <v>0</v>
          </cell>
        </row>
        <row r="244">
          <cell r="AH244">
            <v>30692.209581344679</v>
          </cell>
          <cell r="AI244">
            <v>98665.914960593451</v>
          </cell>
          <cell r="AJ244">
            <v>159939.97809077968</v>
          </cell>
          <cell r="AK244">
            <v>234156.5809138109</v>
          </cell>
          <cell r="AL244">
            <v>297542.9600577876</v>
          </cell>
          <cell r="AM244">
            <v>386015.1555815771</v>
          </cell>
          <cell r="AN244">
            <v>413735.27507237619</v>
          </cell>
          <cell r="AO244">
            <v>427302.90916118654</v>
          </cell>
          <cell r="AP244">
            <v>469493.26322866685</v>
          </cell>
          <cell r="AQ244">
            <v>528694.80699408066</v>
          </cell>
          <cell r="AR244">
            <v>576525.89117843378</v>
          </cell>
          <cell r="AS244">
            <v>625905.91534827161</v>
          </cell>
          <cell r="AW244">
            <v>-12615.068014750561</v>
          </cell>
          <cell r="AX244">
            <v>-10157.95570728344</v>
          </cell>
          <cell r="AY244">
            <v>-11075.716535409829</v>
          </cell>
          <cell r="AZ244">
            <v>-16671.431257107201</v>
          </cell>
          <cell r="BA244">
            <v>-27590.231108492542</v>
          </cell>
          <cell r="BB244">
            <v>-24922.198452439741</v>
          </cell>
          <cell r="BC244">
            <v>-14701.082885897897</v>
          </cell>
          <cell r="BD244">
            <v>-2484.7112922135402</v>
          </cell>
          <cell r="BE244">
            <v>11409.557619639998</v>
          </cell>
          <cell r="BF244">
            <v>21480.340871503828</v>
          </cell>
          <cell r="BG244">
            <v>37478.407448074533</v>
          </cell>
          <cell r="BH244">
            <v>51482.954537163387</v>
          </cell>
          <cell r="BL244">
            <v>3105.7937009511634</v>
          </cell>
          <cell r="BM244">
            <v>9544.5239055352649</v>
          </cell>
          <cell r="BN244">
            <v>10137.192115286445</v>
          </cell>
          <cell r="BO244">
            <v>16852.952729111963</v>
          </cell>
          <cell r="BP244">
            <v>20252.521305086488</v>
          </cell>
          <cell r="BQ244">
            <v>22414.833528928284</v>
          </cell>
          <cell r="BR244">
            <v>12633.557653500153</v>
          </cell>
          <cell r="BS244">
            <v>7421.8050379384831</v>
          </cell>
          <cell r="BT244">
            <v>7471.0484808964638</v>
          </cell>
          <cell r="BU244">
            <v>19997.95233038504</v>
          </cell>
          <cell r="BV244">
            <v>51540.730367727374</v>
          </cell>
          <cell r="BW244">
            <v>71472.495708256552</v>
          </cell>
        </row>
        <row r="245">
          <cell r="AH245">
            <v>38337.436358737701</v>
          </cell>
          <cell r="AI245">
            <v>77281.311732995469</v>
          </cell>
          <cell r="AJ245">
            <v>116506.76158333922</v>
          </cell>
          <cell r="AK245">
            <v>155946.10579738684</v>
          </cell>
          <cell r="AL245">
            <v>195599.34437513835</v>
          </cell>
          <cell r="AM245">
            <v>235432.6372604027</v>
          </cell>
          <cell r="AN245">
            <v>275513.66456556198</v>
          </cell>
          <cell r="AO245">
            <v>315808.58623442514</v>
          </cell>
          <cell r="AP245">
            <v>359295.32721180457</v>
          </cell>
          <cell r="AQ245">
            <v>404687.96536244033</v>
          </cell>
          <cell r="AR245">
            <v>450362.1779891621</v>
          </cell>
          <cell r="AS245">
            <v>496250.28497958777</v>
          </cell>
          <cell r="AW245">
            <v>4187.8564089924812</v>
          </cell>
          <cell r="AX245">
            <v>8441.6122137011516</v>
          </cell>
          <cell r="AY245">
            <v>12726.589509249432</v>
          </cell>
          <cell r="AZ245">
            <v>17035.563732121369</v>
          </cell>
          <cell r="BA245">
            <v>21368.534882316962</v>
          </cell>
          <cell r="BB245">
            <v>25721.890678078231</v>
          </cell>
          <cell r="BC245">
            <v>30102.855682921134</v>
          </cell>
          <cell r="BD245">
            <v>34507.81761508769</v>
          </cell>
          <cell r="BE245">
            <v>39254.657269279887</v>
          </cell>
          <cell r="BF245">
            <v>44206.1079386946</v>
          </cell>
          <cell r="BG245">
            <v>49188.780098948919</v>
          </cell>
          <cell r="BH245">
            <v>54195.449186526894</v>
          </cell>
          <cell r="BL245">
            <v>4721.9294544920394</v>
          </cell>
          <cell r="BM245">
            <v>9518.7427199700505</v>
          </cell>
          <cell r="BN245">
            <v>14349.982240744688</v>
          </cell>
          <cell r="BO245">
            <v>19207.219359380673</v>
          </cell>
          <cell r="BP245">
            <v>24090.454075878006</v>
          </cell>
          <cell r="BQ245">
            <v>28995.472061519045</v>
          </cell>
          <cell r="BR245">
            <v>33930.701973739073</v>
          </cell>
          <cell r="BS245">
            <v>38891.929483820451</v>
          </cell>
          <cell r="BT245">
            <v>44250.01551891549</v>
          </cell>
          <cell r="BU245">
            <v>49844.815587753881</v>
          </cell>
          <cell r="BV245">
            <v>55474.041911888897</v>
          </cell>
          <cell r="BW245">
            <v>61129.265833885263</v>
          </cell>
        </row>
        <row r="246">
          <cell r="AH246">
            <v>0</v>
          </cell>
          <cell r="AI246">
            <v>0</v>
          </cell>
          <cell r="AJ246">
            <v>0</v>
          </cell>
          <cell r="AK246">
            <v>0</v>
          </cell>
          <cell r="AL246">
            <v>0</v>
          </cell>
          <cell r="AM246">
            <v>0</v>
          </cell>
          <cell r="AN246">
            <v>0</v>
          </cell>
          <cell r="AO246">
            <v>0</v>
          </cell>
          <cell r="AP246">
            <v>0</v>
          </cell>
          <cell r="AQ246">
            <v>0</v>
          </cell>
          <cell r="AR246">
            <v>0</v>
          </cell>
          <cell r="AS246">
            <v>0</v>
          </cell>
          <cell r="AW246">
            <v>0</v>
          </cell>
          <cell r="AX246">
            <v>0</v>
          </cell>
          <cell r="AY246">
            <v>0</v>
          </cell>
          <cell r="AZ246">
            <v>0</v>
          </cell>
          <cell r="BA246">
            <v>0</v>
          </cell>
          <cell r="BB246">
            <v>0</v>
          </cell>
          <cell r="BC246">
            <v>0</v>
          </cell>
          <cell r="BD246">
            <v>0</v>
          </cell>
          <cell r="BE246">
            <v>0</v>
          </cell>
          <cell r="BF246">
            <v>0</v>
          </cell>
          <cell r="BG246">
            <v>0</v>
          </cell>
          <cell r="BH246">
            <v>0</v>
          </cell>
          <cell r="BL246">
            <v>0</v>
          </cell>
          <cell r="BM246">
            <v>0</v>
          </cell>
          <cell r="BN246">
            <v>0</v>
          </cell>
          <cell r="BO246">
            <v>0</v>
          </cell>
          <cell r="BP246">
            <v>0</v>
          </cell>
          <cell r="BQ246">
            <v>0</v>
          </cell>
          <cell r="BR246">
            <v>0</v>
          </cell>
          <cell r="BS246">
            <v>0</v>
          </cell>
          <cell r="BT246">
            <v>0</v>
          </cell>
          <cell r="BU246">
            <v>0</v>
          </cell>
          <cell r="BV246">
            <v>0</v>
          </cell>
          <cell r="BW246">
            <v>0</v>
          </cell>
        </row>
        <row r="247">
          <cell r="AH247">
            <v>69029.645940082381</v>
          </cell>
          <cell r="AI247">
            <v>175947.22669358892</v>
          </cell>
          <cell r="AJ247">
            <v>276446.73967411893</v>
          </cell>
          <cell r="AK247">
            <v>390102.68671119772</v>
          </cell>
          <cell r="AL247">
            <v>493142.30443292594</v>
          </cell>
          <cell r="AM247">
            <v>621447.79284197977</v>
          </cell>
          <cell r="AN247">
            <v>689248.93963793817</v>
          </cell>
          <cell r="AO247">
            <v>743111.49539561174</v>
          </cell>
          <cell r="AP247">
            <v>828788.59044047142</v>
          </cell>
          <cell r="AQ247">
            <v>933382.77235652099</v>
          </cell>
          <cell r="AR247">
            <v>1026888.0691675958</v>
          </cell>
          <cell r="AS247">
            <v>1122156.2003278593</v>
          </cell>
          <cell r="AW247">
            <v>-8427.2116057580788</v>
          </cell>
          <cell r="AX247">
            <v>-1716.3434935822879</v>
          </cell>
          <cell r="AY247">
            <v>1650.8729738396032</v>
          </cell>
          <cell r="AZ247">
            <v>364.13247501416845</v>
          </cell>
          <cell r="BA247">
            <v>-6221.6962261755798</v>
          </cell>
          <cell r="BB247">
            <v>799.69222563848962</v>
          </cell>
          <cell r="BC247">
            <v>15401.772797023237</v>
          </cell>
          <cell r="BD247">
            <v>32023.106322874148</v>
          </cell>
          <cell r="BE247">
            <v>50664.214888919887</v>
          </cell>
          <cell r="BF247">
            <v>65686.448810198432</v>
          </cell>
          <cell r="BG247">
            <v>86667.187547023452</v>
          </cell>
          <cell r="BH247">
            <v>105678.40372369028</v>
          </cell>
          <cell r="BL247">
            <v>7827.7231554432028</v>
          </cell>
          <cell r="BM247">
            <v>19063.266625505315</v>
          </cell>
          <cell r="BN247">
            <v>24487.174356031133</v>
          </cell>
          <cell r="BO247">
            <v>36060.172088492633</v>
          </cell>
          <cell r="BP247">
            <v>44342.97538096449</v>
          </cell>
          <cell r="BQ247">
            <v>51410.305590447329</v>
          </cell>
          <cell r="BR247">
            <v>46564.259627239226</v>
          </cell>
          <cell r="BS247">
            <v>46313.734521758932</v>
          </cell>
          <cell r="BT247">
            <v>51721.063999811951</v>
          </cell>
          <cell r="BU247">
            <v>69842.767918138925</v>
          </cell>
          <cell r="BV247">
            <v>107014.77227961627</v>
          </cell>
          <cell r="BW247">
            <v>132601.76154214182</v>
          </cell>
        </row>
        <row r="249">
          <cell r="AH249">
            <v>32703.630442730617</v>
          </cell>
          <cell r="AI249">
            <v>103183.50517092153</v>
          </cell>
          <cell r="AJ249">
            <v>168006.61652064463</v>
          </cell>
          <cell r="AK249">
            <v>254930.99586364895</v>
          </cell>
          <cell r="AL249">
            <v>330426.31030890608</v>
          </cell>
          <cell r="AM249">
            <v>435765.82168040005</v>
          </cell>
          <cell r="AN249">
            <v>438384.09280871775</v>
          </cell>
          <cell r="AO249">
            <v>417342.20558259566</v>
          </cell>
          <cell r="AP249">
            <v>438044.92744377838</v>
          </cell>
          <cell r="AQ249">
            <v>494809.18957942526</v>
          </cell>
          <cell r="AR249">
            <v>526928.49967853888</v>
          </cell>
          <cell r="AS249">
            <v>564123.25604026159</v>
          </cell>
          <cell r="AW249">
            <v>-6690.1828225098798</v>
          </cell>
          <cell r="AX249">
            <v>24181.606925304841</v>
          </cell>
          <cell r="AY249">
            <v>46212.686693180382</v>
          </cell>
          <cell r="AZ249">
            <v>58035.439008193265</v>
          </cell>
          <cell r="BA249">
            <v>58042.250862031564</v>
          </cell>
          <cell r="BB249">
            <v>83855.750773723907</v>
          </cell>
          <cell r="BC249">
            <v>135835.84228889775</v>
          </cell>
          <cell r="BD249">
            <v>193981.54257031676</v>
          </cell>
          <cell r="BE249">
            <v>253985.96109402867</v>
          </cell>
          <cell r="BF249">
            <v>296906.26710519625</v>
          </cell>
          <cell r="BG249">
            <v>356638.66175960674</v>
          </cell>
          <cell r="BH249">
            <v>410655.84940463048</v>
          </cell>
          <cell r="BL249">
            <v>4469.3128867345886</v>
          </cell>
          <cell r="BM249">
            <v>13734.802693331181</v>
          </cell>
          <cell r="BN249">
            <v>14587.666702485378</v>
          </cell>
          <cell r="BO249">
            <v>24251.810024819548</v>
          </cell>
          <cell r="BP249">
            <v>29143.872121953711</v>
          </cell>
          <cell r="BQ249">
            <v>32255.492151384649</v>
          </cell>
          <cell r="BR249">
            <v>18179.997598939619</v>
          </cell>
          <cell r="BS249">
            <v>10680.158469228532</v>
          </cell>
          <cell r="BT249">
            <v>10751.020984704803</v>
          </cell>
          <cell r="BU249">
            <v>28777.541158359105</v>
          </cell>
          <cell r="BV249">
            <v>74168.368090144475</v>
          </cell>
          <cell r="BW249">
            <v>102850.66455578405</v>
          </cell>
        </row>
        <row r="251">
          <cell r="AH251">
            <v>0</v>
          </cell>
          <cell r="AI251">
            <v>0</v>
          </cell>
          <cell r="AJ251">
            <v>0</v>
          </cell>
          <cell r="AK251">
            <v>0</v>
          </cell>
          <cell r="AL251">
            <v>0</v>
          </cell>
          <cell r="AM251">
            <v>0</v>
          </cell>
          <cell r="AN251">
            <v>0</v>
          </cell>
          <cell r="AO251">
            <v>0</v>
          </cell>
          <cell r="AP251">
            <v>0</v>
          </cell>
          <cell r="AQ251">
            <v>0</v>
          </cell>
          <cell r="AR251">
            <v>0</v>
          </cell>
          <cell r="AS251">
            <v>0</v>
          </cell>
          <cell r="AW251">
            <v>0</v>
          </cell>
          <cell r="AX251">
            <v>0</v>
          </cell>
          <cell r="AY251">
            <v>0</v>
          </cell>
          <cell r="AZ251">
            <v>0</v>
          </cell>
          <cell r="BA251">
            <v>0</v>
          </cell>
          <cell r="BB251">
            <v>0</v>
          </cell>
          <cell r="BC251">
            <v>0</v>
          </cell>
          <cell r="BD251">
            <v>0</v>
          </cell>
          <cell r="BE251">
            <v>0</v>
          </cell>
          <cell r="BF251">
            <v>0</v>
          </cell>
          <cell r="BG251">
            <v>0</v>
          </cell>
          <cell r="BH251">
            <v>0</v>
          </cell>
          <cell r="BL251">
            <v>0</v>
          </cell>
          <cell r="BM251">
            <v>0</v>
          </cell>
          <cell r="BN251">
            <v>0</v>
          </cell>
          <cell r="BO251">
            <v>0</v>
          </cell>
          <cell r="BP251">
            <v>0</v>
          </cell>
          <cell r="BQ251">
            <v>0</v>
          </cell>
          <cell r="BR251">
            <v>0</v>
          </cell>
          <cell r="BS251">
            <v>0</v>
          </cell>
          <cell r="BT251">
            <v>0</v>
          </cell>
          <cell r="BU251">
            <v>0</v>
          </cell>
          <cell r="BV251">
            <v>0</v>
          </cell>
          <cell r="BW251">
            <v>0</v>
          </cell>
        </row>
        <row r="252">
          <cell r="AH252">
            <v>0</v>
          </cell>
          <cell r="AI252">
            <v>0</v>
          </cell>
          <cell r="AJ252">
            <v>0</v>
          </cell>
          <cell r="AK252">
            <v>0</v>
          </cell>
          <cell r="AL252">
            <v>0</v>
          </cell>
          <cell r="AM252">
            <v>0</v>
          </cell>
          <cell r="AN252">
            <v>0</v>
          </cell>
          <cell r="AO252">
            <v>0</v>
          </cell>
          <cell r="AP252">
            <v>0</v>
          </cell>
          <cell r="AQ252">
            <v>0</v>
          </cell>
          <cell r="AR252">
            <v>0</v>
          </cell>
          <cell r="AS252">
            <v>0</v>
          </cell>
          <cell r="AW252">
            <v>0</v>
          </cell>
          <cell r="AX252">
            <v>0</v>
          </cell>
          <cell r="AY252">
            <v>0</v>
          </cell>
          <cell r="AZ252">
            <v>0</v>
          </cell>
          <cell r="BA252">
            <v>0</v>
          </cell>
          <cell r="BB252">
            <v>0</v>
          </cell>
          <cell r="BC252">
            <v>0</v>
          </cell>
          <cell r="BD252">
            <v>0</v>
          </cell>
          <cell r="BE252">
            <v>0</v>
          </cell>
          <cell r="BF252">
            <v>0</v>
          </cell>
          <cell r="BG252">
            <v>0</v>
          </cell>
          <cell r="BH252">
            <v>0</v>
          </cell>
          <cell r="BL252">
            <v>0</v>
          </cell>
          <cell r="BM252">
            <v>0</v>
          </cell>
          <cell r="BN252">
            <v>0</v>
          </cell>
          <cell r="BO252">
            <v>0</v>
          </cell>
          <cell r="BP252">
            <v>0</v>
          </cell>
          <cell r="BQ252">
            <v>0</v>
          </cell>
          <cell r="BR252">
            <v>0</v>
          </cell>
          <cell r="BS252">
            <v>0</v>
          </cell>
          <cell r="BT252">
            <v>0</v>
          </cell>
          <cell r="BU252">
            <v>0</v>
          </cell>
          <cell r="BV252">
            <v>0</v>
          </cell>
          <cell r="BW252">
            <v>0</v>
          </cell>
        </row>
      </sheetData>
      <sheetData sheetId="5">
        <row r="46">
          <cell r="F46" t="str">
            <v>The GTS Companies</v>
          </cell>
        </row>
        <row r="47">
          <cell r="F47" t="str">
            <v>Company Summary</v>
          </cell>
        </row>
        <row r="48">
          <cell r="F48" t="str">
            <v>For the Fiscal Year Ended June 30, 2001</v>
          </cell>
        </row>
        <row r="50">
          <cell r="A50" t="str">
            <v>Monthly Cost of Sales</v>
          </cell>
          <cell r="G50" t="str">
            <v>Monthly S&amp;M and G&amp;A Expenses</v>
          </cell>
        </row>
        <row r="70">
          <cell r="A70" t="str">
            <v>Cumulative Cost of Sales</v>
          </cell>
          <cell r="G70" t="str">
            <v>Cumulative S&amp;M and G&amp;A Expenses</v>
          </cell>
        </row>
      </sheetData>
      <sheetData sheetId="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 val="Details"/>
      <sheetName val="REFNCOMPARE"/>
      <sheetName val="Ref"/>
      <sheetName val="Operating and Capital Scenarios"/>
      <sheetName val="deferred taxes"/>
      <sheetName val="AV"/>
      <sheetName val="Storage"/>
      <sheetName val="RelR"/>
      <sheetName val="Allahabad Bank"/>
      <sheetName val="Bank of Baroda"/>
      <sheetName val="BOI"/>
      <sheetName val="Canara"/>
      <sheetName val="Indian"/>
      <sheetName val="IDBI"/>
      <sheetName val="IOB"/>
      <sheetName val="PNB"/>
      <sheetName val="Punjab &amp; Sind"/>
      <sheetName val="SBHyderabad"/>
      <sheetName val="SBI"/>
      <sheetName val="SBMysore"/>
      <sheetName val="SBPatiala"/>
      <sheetName val="SBSaurashtra"/>
      <sheetName val="Union Bank"/>
      <sheetName val="3CD-Ratios-Anx_"/>
      <sheetName val="Operating_and_Capital_Scenarios"/>
      <sheetName val="deferred_taxes"/>
      <sheetName val="3CD-Ratios-Anx_1"/>
      <sheetName val="Operating_and_Capital_Scenario1"/>
      <sheetName val="deferred_taxes1"/>
      <sheetName val="Admin"/>
      <sheetName val="Sheet1"/>
      <sheetName val="old_serial no."/>
      <sheetName val="tot_ass_9697"/>
      <sheetName val="Comp"/>
      <sheetName val="Detail"/>
      <sheetName val="Trial Balance - Import"/>
      <sheetName val="Directors"/>
      <sheetName val="SCH B.S"/>
      <sheetName val="IT_FBT_DDTP"/>
      <sheetName val="PARA NUEVO PGC"/>
      <sheetName val="Assumptions"/>
      <sheetName val="P&amp;L"/>
      <sheetName val="Basement Budget"/>
      <sheetName val="os gl ac"/>
      <sheetName val="Ratio"/>
      <sheetName val="Master Sheet"/>
      <sheetName val="F&amp;B"/>
      <sheetName val="Approved MTD Proj #'s"/>
      <sheetName val="Database"/>
      <sheetName val="Details BS"/>
      <sheetName val="Balance Sheet"/>
      <sheetName val="Working"/>
      <sheetName val="S_1"/>
      <sheetName val="GuestProfile"/>
      <sheetName val="JVDRAFT"/>
      <sheetName val="TRIAL B"/>
      <sheetName val="CG_OS"/>
      <sheetName val="Invoice"/>
      <sheetName val="#REF"/>
      <sheetName val="Maint"/>
      <sheetName val="Kitchen"/>
      <sheetName val="Housek"/>
      <sheetName val="Timeoffice"/>
      <sheetName val="Intaccrual"/>
      <sheetName val="N"/>
      <sheetName val="margin."/>
      <sheetName val="Data"/>
      <sheetName val="party name"/>
      <sheetName val="CMA_Calculations"/>
      <sheetName val="Links"/>
      <sheetName val="WORKRES"/>
      <sheetName val="FY"/>
      <sheetName val="MSOD"/>
      <sheetName val="E150-4"/>
      <sheetName val="Position Class"/>
      <sheetName val="m3&amp;4"/>
      <sheetName val="rm9900"/>
      <sheetName val="Exchange"/>
      <sheetName val="PARAM"/>
      <sheetName val="Q-Mtr"/>
      <sheetName val="DIS Corporate"/>
      <sheetName val="Schedules"/>
      <sheetName val="FORM-16"/>
      <sheetName val="PL grp"/>
      <sheetName val="kpmg format"/>
      <sheetName val="cash flow"/>
      <sheetName val="Plant &amp; Mach"/>
      <sheetName val="TB Mar 09"/>
      <sheetName val="B S-31-3-2006"/>
      <sheetName val="Sheet2"/>
      <sheetName val="Codes"/>
      <sheetName val="CRUDE UPDATE"/>
      <sheetName val="Input"/>
      <sheetName val="Valuation"/>
      <sheetName val="IRR"/>
      <sheetName val="Q4FY02"/>
      <sheetName val="b"/>
      <sheetName val="EXCH"/>
      <sheetName val="Elect."/>
      <sheetName val="«"/>
      <sheetName val="»"/>
      <sheetName val="Assets"/>
      <sheetName val="Profit&amp;Loss"/>
      <sheetName val="Debt"/>
      <sheetName val="AFFI内訳"/>
      <sheetName val="PP_Master Template"/>
      <sheetName val="15"/>
      <sheetName val="NN"/>
      <sheetName val="API"/>
      <sheetName val="NCE"/>
      <sheetName val="EU"/>
      <sheetName val="Latam"/>
      <sheetName val="ROW"/>
      <sheetName val="Inputs"/>
      <sheetName val="CRUDE"/>
      <sheetName val="Cash and Bank - Schedule 7"/>
      <sheetName val="VIKAR"/>
      <sheetName val="P&amp;L, BS, CF, DCF"/>
      <sheetName val="new_main_20K"/>
      <sheetName val="DAILY"/>
      <sheetName val="Current tax"/>
      <sheetName val="Deprn IT"/>
      <sheetName val="Title"/>
      <sheetName val="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C3" t="str">
            <v>Portalplayer (India) Private Limited</v>
          </cell>
        </row>
        <row r="4">
          <cell r="C4" t="str">
            <v>Plot No:249, Prashasan Nagar,Road No:72, Jubilee Hills,Hyderabad-500 034.</v>
          </cell>
        </row>
        <row r="7">
          <cell r="C7" t="str">
            <v>Private Limited Company</v>
          </cell>
        </row>
        <row r="16">
          <cell r="C16" t="str">
            <v>Partner</v>
          </cell>
        </row>
        <row r="19">
          <cell r="C19" t="str">
            <v>Deloitte Haskins &amp; Sells</v>
          </cell>
        </row>
        <row r="20">
          <cell r="C20" t="str">
            <v>P.R. Ramesh</v>
          </cell>
        </row>
        <row r="23">
          <cell r="C23" t="str">
            <v>M.No: 70928</v>
          </cell>
        </row>
        <row r="24">
          <cell r="C24" t="str">
            <v>Chartered Accountants,7th Floor, Amrutha Estates,Lingapur House,Himayathnagar,Hyderabad-500 029.</v>
          </cell>
        </row>
        <row r="28">
          <cell r="C28" t="str">
            <v>31-03-2006</v>
          </cell>
        </row>
        <row r="34">
          <cell r="C34" t="str">
            <v>2006-07</v>
          </cell>
        </row>
        <row r="40">
          <cell r="C40" t="str">
            <v>August 5, 2006</v>
          </cell>
        </row>
        <row r="43">
          <cell r="C43" t="str">
            <v>Hyderabad</v>
          </cell>
        </row>
        <row r="45">
          <cell r="C45" t="str">
            <v>Software Development</v>
          </cell>
        </row>
        <row r="46">
          <cell r="C46" t="str">
            <v>Mercantile</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Trans."/>
      <sheetName val="Cash Book (2)"/>
      <sheetName val="Bank Book"/>
      <sheetName val="Cash Book"/>
      <sheetName val="512"/>
      <sheetName val="511"/>
      <sheetName val="Grandeur"/>
      <sheetName val="Cash - FC"/>
      <sheetName val="FDR"/>
      <sheetName val="001"/>
      <sheetName val="001-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LY"/>
      <sheetName val="budget"/>
      <sheetName val="Estimated_P&amp;L"/>
      <sheetName val="Highlights"/>
      <sheetName val="P&amp;L_New_Formate"/>
      <sheetName val="exp"/>
      <sheetName val="4. WC"/>
      <sheetName val="Carnation"/>
      <sheetName val="CPD"/>
      <sheetName val="Car_Bud"/>
      <sheetName val="CPD_BUD"/>
      <sheetName val="GC-Final_Carnation"/>
      <sheetName val="GC-Final_Cpd"/>
      <sheetName val="Nutralite"/>
      <sheetName val="Working Capital"/>
      <sheetName val="bal"/>
      <sheetName val="Outstanding"/>
      <sheetName val="COST_SCHE"/>
    </sheetNames>
    <sheetDataSet>
      <sheetData sheetId="0"/>
      <sheetData sheetId="1">
        <row r="7">
          <cell r="D7" t="str">
            <v>Particulars</v>
          </cell>
          <cell r="E7">
            <v>39904</v>
          </cell>
          <cell r="F7">
            <v>39934</v>
          </cell>
          <cell r="G7">
            <v>39965</v>
          </cell>
          <cell r="H7">
            <v>39995</v>
          </cell>
          <cell r="I7">
            <v>40026</v>
          </cell>
          <cell r="J7">
            <v>40057</v>
          </cell>
          <cell r="K7">
            <v>40087</v>
          </cell>
          <cell r="L7">
            <v>40118</v>
          </cell>
          <cell r="M7">
            <v>40148</v>
          </cell>
          <cell r="N7">
            <v>40179</v>
          </cell>
          <cell r="O7">
            <v>40210</v>
          </cell>
          <cell r="P7">
            <v>40238</v>
          </cell>
          <cell r="Q7">
            <v>39904</v>
          </cell>
          <cell r="R7">
            <v>39934</v>
          </cell>
          <cell r="S7">
            <v>39965</v>
          </cell>
          <cell r="T7">
            <v>39995</v>
          </cell>
          <cell r="U7">
            <v>40026</v>
          </cell>
          <cell r="V7">
            <v>40057</v>
          </cell>
          <cell r="W7">
            <v>40087</v>
          </cell>
          <cell r="X7">
            <v>40118</v>
          </cell>
          <cell r="Y7">
            <v>40148</v>
          </cell>
          <cell r="Z7">
            <v>40179</v>
          </cell>
          <cell r="AA7">
            <v>40210</v>
          </cell>
          <cell r="AB7">
            <v>40238</v>
          </cell>
        </row>
        <row r="9">
          <cell r="D9" t="str">
            <v>Sales</v>
          </cell>
          <cell r="E9">
            <v>513.04749869447642</v>
          </cell>
          <cell r="F9">
            <v>560.25594643737168</v>
          </cell>
          <cell r="G9">
            <v>608.33265676714063</v>
          </cell>
          <cell r="H9">
            <v>608.33265676714063</v>
          </cell>
          <cell r="I9">
            <v>608.33265676714063</v>
          </cell>
          <cell r="J9">
            <v>651.23728456593813</v>
          </cell>
          <cell r="K9">
            <v>652.51592092957446</v>
          </cell>
          <cell r="L9">
            <v>696.80168509200826</v>
          </cell>
          <cell r="M9">
            <v>745.30985666184949</v>
          </cell>
          <cell r="N9">
            <v>746.2449274083092</v>
          </cell>
          <cell r="O9">
            <v>650.89182500936749</v>
          </cell>
          <cell r="P9">
            <v>613.20346664961744</v>
          </cell>
          <cell r="Q9">
            <v>513.04749869447642</v>
          </cell>
          <cell r="R9">
            <v>1073.3034451318481</v>
          </cell>
          <cell r="S9">
            <v>1681.6361018989887</v>
          </cell>
          <cell r="T9">
            <v>2289.9687586661294</v>
          </cell>
          <cell r="U9">
            <v>2898.30141543327</v>
          </cell>
          <cell r="V9">
            <v>3549.5386999992079</v>
          </cell>
          <cell r="W9">
            <v>4202.0546209287822</v>
          </cell>
          <cell r="X9">
            <v>4898.8563060207907</v>
          </cell>
          <cell r="Y9">
            <v>5644.1661626826399</v>
          </cell>
          <cell r="Z9">
            <v>6390.4110900909491</v>
          </cell>
          <cell r="AA9">
            <v>7041.3029151003166</v>
          </cell>
          <cell r="AB9">
            <v>7654.506381749934</v>
          </cell>
        </row>
        <row r="11">
          <cell r="D11" t="str">
            <v>Cost of Goods Sold</v>
          </cell>
          <cell r="E11">
            <v>265.25</v>
          </cell>
          <cell r="F11">
            <v>289.65232430812114</v>
          </cell>
          <cell r="G11">
            <v>314.50798354861172</v>
          </cell>
          <cell r="H11">
            <v>314.50798354861172</v>
          </cell>
          <cell r="I11">
            <v>314.50798354861172</v>
          </cell>
          <cell r="J11">
            <v>336.68967612059004</v>
          </cell>
          <cell r="K11">
            <v>337.35073112059001</v>
          </cell>
          <cell r="L11">
            <v>360.24647119256826</v>
          </cell>
          <cell r="M11">
            <v>385.3251958941762</v>
          </cell>
          <cell r="N11">
            <v>385.80862747009587</v>
          </cell>
          <cell r="O11">
            <v>336.51107352984303</v>
          </cell>
          <cell r="P11">
            <v>317.02619225785224</v>
          </cell>
          <cell r="Q11">
            <v>265.25</v>
          </cell>
          <cell r="R11">
            <v>554.90232430812114</v>
          </cell>
          <cell r="S11">
            <v>869.41030785673286</v>
          </cell>
          <cell r="T11">
            <v>1183.9182914053445</v>
          </cell>
          <cell r="U11">
            <v>1498.4262749539562</v>
          </cell>
          <cell r="V11">
            <v>1835.1159510745463</v>
          </cell>
          <cell r="W11">
            <v>2172.4666821951364</v>
          </cell>
          <cell r="X11">
            <v>2532.7131533877046</v>
          </cell>
          <cell r="Y11">
            <v>2918.038349281881</v>
          </cell>
          <cell r="Z11">
            <v>3303.8469767519769</v>
          </cell>
          <cell r="AA11">
            <v>3640.3580502818199</v>
          </cell>
          <cell r="AB11">
            <v>3957.3842425396724</v>
          </cell>
        </row>
        <row r="12">
          <cell r="D12" t="str">
            <v>COGS for Normal Sales Qty</v>
          </cell>
          <cell r="E12">
            <v>237.57</v>
          </cell>
          <cell r="F12">
            <v>289.65232430812114</v>
          </cell>
          <cell r="G12">
            <v>314.50798354861172</v>
          </cell>
          <cell r="H12">
            <v>314.50798354861172</v>
          </cell>
          <cell r="I12">
            <v>314.50798354861172</v>
          </cell>
          <cell r="J12">
            <v>336.68967612059004</v>
          </cell>
          <cell r="K12">
            <v>337.35073112059001</v>
          </cell>
          <cell r="L12">
            <v>360.24647119256826</v>
          </cell>
          <cell r="M12">
            <v>385.3251958941762</v>
          </cell>
          <cell r="N12">
            <v>385.80862747009587</v>
          </cell>
          <cell r="O12">
            <v>336.51107352984303</v>
          </cell>
          <cell r="P12">
            <v>317.02619225785224</v>
          </cell>
          <cell r="Q12">
            <v>237.57</v>
          </cell>
          <cell r="R12">
            <v>527.22232430812119</v>
          </cell>
          <cell r="S12">
            <v>841.73030785673291</v>
          </cell>
          <cell r="T12">
            <v>1156.2382914053446</v>
          </cell>
          <cell r="U12">
            <v>1470.7462749539563</v>
          </cell>
          <cell r="V12">
            <v>1807.4359510745464</v>
          </cell>
          <cell r="W12">
            <v>2144.7866821951366</v>
          </cell>
          <cell r="X12">
            <v>2505.0331533877047</v>
          </cell>
          <cell r="Y12">
            <v>2890.3583492818807</v>
          </cell>
          <cell r="Z12">
            <v>3276.1669767519766</v>
          </cell>
          <cell r="AA12">
            <v>3612.6780502818197</v>
          </cell>
          <cell r="AB12">
            <v>3929.7042425396721</v>
          </cell>
        </row>
        <row r="13">
          <cell r="D13" t="str">
            <v>COGS for free Qty</v>
          </cell>
          <cell r="E13">
            <v>27.68</v>
          </cell>
          <cell r="F13">
            <v>0</v>
          </cell>
          <cell r="G13">
            <v>0</v>
          </cell>
          <cell r="H13">
            <v>0</v>
          </cell>
          <cell r="I13">
            <v>0</v>
          </cell>
          <cell r="J13">
            <v>0</v>
          </cell>
          <cell r="K13">
            <v>0</v>
          </cell>
          <cell r="L13">
            <v>0</v>
          </cell>
          <cell r="M13">
            <v>0</v>
          </cell>
          <cell r="N13">
            <v>0</v>
          </cell>
          <cell r="O13">
            <v>0</v>
          </cell>
          <cell r="P13">
            <v>0</v>
          </cell>
          <cell r="Q13">
            <v>27.68</v>
          </cell>
          <cell r="R13">
            <v>27.68</v>
          </cell>
          <cell r="S13">
            <v>27.68</v>
          </cell>
          <cell r="T13">
            <v>27.68</v>
          </cell>
          <cell r="U13">
            <v>27.68</v>
          </cell>
          <cell r="V13">
            <v>27.68</v>
          </cell>
          <cell r="W13">
            <v>27.68</v>
          </cell>
          <cell r="X13">
            <v>27.68</v>
          </cell>
          <cell r="Y13">
            <v>27.68</v>
          </cell>
          <cell r="Z13">
            <v>27.68</v>
          </cell>
          <cell r="AA13">
            <v>27.68</v>
          </cell>
          <cell r="AB13">
            <v>27.68</v>
          </cell>
        </row>
        <row r="15">
          <cell r="D15" t="str">
            <v>Contribution</v>
          </cell>
          <cell r="E15">
            <v>247.79749869447642</v>
          </cell>
          <cell r="F15">
            <v>270.60362212925054</v>
          </cell>
          <cell r="G15">
            <v>293.82467321852891</v>
          </cell>
          <cell r="H15">
            <v>293.82467321852891</v>
          </cell>
          <cell r="I15">
            <v>293.82467321852891</v>
          </cell>
          <cell r="J15">
            <v>314.54760844534809</v>
          </cell>
          <cell r="K15">
            <v>315.16518980898445</v>
          </cell>
          <cell r="L15">
            <v>336.55521389943999</v>
          </cell>
          <cell r="M15">
            <v>359.98466076767329</v>
          </cell>
          <cell r="N15">
            <v>360.43629993821332</v>
          </cell>
          <cell r="O15">
            <v>314.38075147952446</v>
          </cell>
          <cell r="P15">
            <v>296.1772743917652</v>
          </cell>
          <cell r="Q15">
            <v>247.79749869447642</v>
          </cell>
          <cell r="R15">
            <v>518.40112082372696</v>
          </cell>
          <cell r="S15">
            <v>812.22579404225587</v>
          </cell>
          <cell r="T15">
            <v>1106.0504672607849</v>
          </cell>
          <cell r="U15">
            <v>1399.8751404793138</v>
          </cell>
          <cell r="V15">
            <v>1714.4227489246618</v>
          </cell>
          <cell r="W15">
            <v>2029.5879387336463</v>
          </cell>
          <cell r="X15">
            <v>2366.1431526330862</v>
          </cell>
          <cell r="Y15">
            <v>2726.1278134007594</v>
          </cell>
          <cell r="Z15">
            <v>3086.5641133389727</v>
          </cell>
          <cell r="AA15">
            <v>3400.9448648184971</v>
          </cell>
          <cell r="AB15">
            <v>3697.1221392102625</v>
          </cell>
        </row>
        <row r="16">
          <cell r="E16">
            <v>0.48299133964210528</v>
          </cell>
          <cell r="F16">
            <v>0.48300000000000004</v>
          </cell>
          <cell r="G16">
            <v>0.48299999999999998</v>
          </cell>
          <cell r="H16">
            <v>0.48299999999999998</v>
          </cell>
          <cell r="I16">
            <v>0.48299999999999998</v>
          </cell>
          <cell r="J16">
            <v>0.48299999999999998</v>
          </cell>
          <cell r="K16">
            <v>0.48299999999999998</v>
          </cell>
          <cell r="L16">
            <v>0.48299999999999998</v>
          </cell>
          <cell r="M16">
            <v>0.48299999999999998</v>
          </cell>
          <cell r="N16">
            <v>0.48299999999999998</v>
          </cell>
          <cell r="O16">
            <v>0.48299999999999993</v>
          </cell>
          <cell r="P16">
            <v>0.48299999999999993</v>
          </cell>
          <cell r="Q16">
            <v>0.48299133964210528</v>
          </cell>
          <cell r="R16">
            <v>0.48299586028072877</v>
          </cell>
          <cell r="S16">
            <v>0.4829973578261369</v>
          </cell>
          <cell r="T16">
            <v>0.48299805972245746</v>
          </cell>
          <cell r="U16">
            <v>0.48299846697278209</v>
          </cell>
          <cell r="V16">
            <v>0.48299874823876254</v>
          </cell>
          <cell r="W16">
            <v>0.48299894261846732</v>
          </cell>
          <cell r="X16">
            <v>0.48299909301790495</v>
          </cell>
          <cell r="Y16">
            <v>0.4829992127845234</v>
          </cell>
          <cell r="Z16">
            <v>0.48299930471218627</v>
          </cell>
          <cell r="AA16">
            <v>0.48299936898397788</v>
          </cell>
          <cell r="AB16">
            <v>0.48299941953475062</v>
          </cell>
        </row>
        <row r="17">
          <cell r="D17" t="str">
            <v>Overheads</v>
          </cell>
        </row>
        <row r="18">
          <cell r="D18" t="str">
            <v>Personnel Costs</v>
          </cell>
          <cell r="E18">
            <v>20.67</v>
          </cell>
          <cell r="F18">
            <v>20.66</v>
          </cell>
          <cell r="G18">
            <v>20.67</v>
          </cell>
          <cell r="H18">
            <v>20.66</v>
          </cell>
          <cell r="I18">
            <v>20.67</v>
          </cell>
          <cell r="J18">
            <v>20.66</v>
          </cell>
          <cell r="K18">
            <v>20.67</v>
          </cell>
          <cell r="L18">
            <v>20.66</v>
          </cell>
          <cell r="M18">
            <v>20.67</v>
          </cell>
          <cell r="N18">
            <v>20.67</v>
          </cell>
          <cell r="O18">
            <v>20.67</v>
          </cell>
          <cell r="P18">
            <v>20.67</v>
          </cell>
          <cell r="Q18">
            <v>20.67</v>
          </cell>
          <cell r="R18">
            <v>41.33</v>
          </cell>
          <cell r="S18">
            <v>62</v>
          </cell>
          <cell r="T18">
            <v>82.66</v>
          </cell>
          <cell r="U18">
            <v>103.33</v>
          </cell>
          <cell r="V18">
            <v>123.99</v>
          </cell>
          <cell r="W18">
            <v>144.66</v>
          </cell>
          <cell r="X18">
            <v>165.32</v>
          </cell>
          <cell r="Y18">
            <v>185.99</v>
          </cell>
          <cell r="Z18">
            <v>206.66000000000003</v>
          </cell>
          <cell r="AA18">
            <v>227.33000000000004</v>
          </cell>
          <cell r="AB18">
            <v>248.00000000000006</v>
          </cell>
        </row>
        <row r="19">
          <cell r="D19" t="str">
            <v>Administration Exp</v>
          </cell>
          <cell r="E19">
            <v>2.8725000000000001</v>
          </cell>
          <cell r="F19">
            <v>2.8725000000000001</v>
          </cell>
          <cell r="G19">
            <v>2.8725000000000001</v>
          </cell>
          <cell r="H19">
            <v>2.8725000000000001</v>
          </cell>
          <cell r="I19">
            <v>2.8725000000000001</v>
          </cell>
          <cell r="J19">
            <v>2.8725000000000001</v>
          </cell>
          <cell r="K19">
            <v>2.8725000000000001</v>
          </cell>
          <cell r="L19">
            <v>2.8725000000000001</v>
          </cell>
          <cell r="M19">
            <v>2.8725000000000001</v>
          </cell>
          <cell r="N19">
            <v>2.8725000000000001</v>
          </cell>
          <cell r="O19">
            <v>2.8725000000000001</v>
          </cell>
          <cell r="P19">
            <v>2.8725000000000001</v>
          </cell>
          <cell r="Q19">
            <v>2.8725000000000001</v>
          </cell>
          <cell r="R19">
            <v>5.7450000000000001</v>
          </cell>
          <cell r="S19">
            <v>8.6174999999999997</v>
          </cell>
          <cell r="T19">
            <v>11.49</v>
          </cell>
          <cell r="U19">
            <v>14.362500000000001</v>
          </cell>
          <cell r="V19">
            <v>17.234999999999999</v>
          </cell>
          <cell r="W19">
            <v>20.107499999999998</v>
          </cell>
          <cell r="X19">
            <v>22.979999999999997</v>
          </cell>
          <cell r="Y19">
            <v>25.852499999999996</v>
          </cell>
          <cell r="Z19">
            <v>28.724999999999994</v>
          </cell>
          <cell r="AA19">
            <v>31.597499999999993</v>
          </cell>
          <cell r="AB19">
            <v>34.469999999999992</v>
          </cell>
        </row>
        <row r="20">
          <cell r="D20" t="str">
            <v>Production Exp</v>
          </cell>
          <cell r="E20">
            <v>19.826863452260564</v>
          </cell>
          <cell r="F20">
            <v>20.806925922220703</v>
          </cell>
          <cell r="G20">
            <v>21.805013801109762</v>
          </cell>
          <cell r="H20">
            <v>21.805013801109762</v>
          </cell>
          <cell r="I20">
            <v>21.805013801109762</v>
          </cell>
          <cell r="J20">
            <v>22.695727592891622</v>
          </cell>
          <cell r="K20">
            <v>22.722272492642428</v>
          </cell>
          <cell r="L20">
            <v>23.641659116949281</v>
          </cell>
          <cell r="M20">
            <v>24.648704269141213</v>
          </cell>
          <cell r="N20">
            <v>24.668116636824934</v>
          </cell>
          <cell r="O20">
            <v>22.688555742037135</v>
          </cell>
          <cell r="P20">
            <v>21.906133371702825</v>
          </cell>
          <cell r="Q20">
            <v>19.826863452260564</v>
          </cell>
          <cell r="R20">
            <v>40.633789374481267</v>
          </cell>
          <cell r="S20">
            <v>62.438803175591033</v>
          </cell>
          <cell r="T20">
            <v>84.243816976700799</v>
          </cell>
          <cell r="U20">
            <v>106.04883077781056</v>
          </cell>
          <cell r="V20">
            <v>128.74455837070218</v>
          </cell>
          <cell r="W20">
            <v>151.4668308633446</v>
          </cell>
          <cell r="X20">
            <v>175.10848998029388</v>
          </cell>
          <cell r="Y20">
            <v>199.75719424943509</v>
          </cell>
          <cell r="Z20">
            <v>224.42531088626004</v>
          </cell>
          <cell r="AA20">
            <v>247.11386662829716</v>
          </cell>
          <cell r="AB20">
            <v>269.02</v>
          </cell>
        </row>
        <row r="21">
          <cell r="D21" t="str">
            <v>Marketing Exp</v>
          </cell>
          <cell r="E21">
            <v>139.69675355416646</v>
          </cell>
          <cell r="F21">
            <v>134.22362947733518</v>
          </cell>
          <cell r="G21">
            <v>150.83376416429365</v>
          </cell>
          <cell r="H21">
            <v>108.83376416429361</v>
          </cell>
          <cell r="I21">
            <v>109.83376416429361</v>
          </cell>
          <cell r="J21">
            <v>114.94794151731033</v>
          </cell>
          <cell r="K21">
            <v>113.07055152559857</v>
          </cell>
          <cell r="L21">
            <v>150.31716773755028</v>
          </cell>
          <cell r="M21">
            <v>166.96867577171349</v>
          </cell>
          <cell r="N21">
            <v>172.05834085182076</v>
          </cell>
          <cell r="O21">
            <v>159.91481497695926</v>
          </cell>
          <cell r="P21">
            <v>151.300832094665</v>
          </cell>
          <cell r="Q21">
            <v>139.69675355416646</v>
          </cell>
          <cell r="R21">
            <v>273.92038303150161</v>
          </cell>
          <cell r="S21">
            <v>424.75414719579527</v>
          </cell>
          <cell r="T21">
            <v>533.58791136008892</v>
          </cell>
          <cell r="U21">
            <v>643.42167552438252</v>
          </cell>
          <cell r="V21">
            <v>758.36961704169289</v>
          </cell>
          <cell r="W21">
            <v>871.44016856729149</v>
          </cell>
          <cell r="X21">
            <v>1021.7573363048418</v>
          </cell>
          <cell r="Y21">
            <v>1188.7260120765554</v>
          </cell>
          <cell r="Z21">
            <v>1360.7843529283762</v>
          </cell>
          <cell r="AA21">
            <v>1520.6991679053353</v>
          </cell>
          <cell r="AB21">
            <v>1672.0000000000005</v>
          </cell>
        </row>
        <row r="22">
          <cell r="D22" t="str">
            <v>Sales &amp; Distribution Exp</v>
          </cell>
          <cell r="E22">
            <v>48.45947250635195</v>
          </cell>
          <cell r="F22">
            <v>52.918506964732046</v>
          </cell>
          <cell r="G22">
            <v>57.459552439760628</v>
          </cell>
          <cell r="H22">
            <v>57.459552439760628</v>
          </cell>
          <cell r="I22">
            <v>57.459552439760628</v>
          </cell>
          <cell r="J22">
            <v>61.512073183944651</v>
          </cell>
          <cell r="K22">
            <v>61.632845712544686</v>
          </cell>
          <cell r="L22">
            <v>65.815820537123741</v>
          </cell>
          <cell r="M22">
            <v>70.397619322818571</v>
          </cell>
          <cell r="N22">
            <v>70.485940648319342</v>
          </cell>
          <cell r="O22">
            <v>61.47944309038354</v>
          </cell>
          <cell r="P22">
            <v>57.919620714499672</v>
          </cell>
          <cell r="Q22">
            <v>48.45947250635195</v>
          </cell>
          <cell r="R22">
            <v>101.37797947108399</v>
          </cell>
          <cell r="S22">
            <v>158.83753191084463</v>
          </cell>
          <cell r="T22">
            <v>216.29708435060525</v>
          </cell>
          <cell r="U22">
            <v>273.75663679036586</v>
          </cell>
          <cell r="V22">
            <v>335.26870997431053</v>
          </cell>
          <cell r="W22">
            <v>396.9015556868552</v>
          </cell>
          <cell r="X22">
            <v>462.71737622397893</v>
          </cell>
          <cell r="Y22">
            <v>533.11499554679745</v>
          </cell>
          <cell r="Z22">
            <v>603.60093619511679</v>
          </cell>
          <cell r="AA22">
            <v>665.08037928550038</v>
          </cell>
          <cell r="AB22">
            <v>723</v>
          </cell>
        </row>
        <row r="24">
          <cell r="D24" t="str">
            <v>Total Overheads (a+b)</v>
          </cell>
          <cell r="E24">
            <v>231.52558951277896</v>
          </cell>
          <cell r="F24">
            <v>231.48156236428792</v>
          </cell>
          <cell r="G24">
            <v>253.64083040516402</v>
          </cell>
          <cell r="H24">
            <v>211.63083040516398</v>
          </cell>
          <cell r="I24">
            <v>212.64083040516402</v>
          </cell>
          <cell r="J24">
            <v>222.68824229414662</v>
          </cell>
          <cell r="K24">
            <v>220.96816973078569</v>
          </cell>
          <cell r="L24">
            <v>263.30714739162329</v>
          </cell>
          <cell r="M24">
            <v>285.55749936367329</v>
          </cell>
          <cell r="N24">
            <v>290.75489813696504</v>
          </cell>
          <cell r="O24">
            <v>267.62531380937992</v>
          </cell>
          <cell r="P24">
            <v>254.66908618086751</v>
          </cell>
          <cell r="Q24">
            <v>231.52558951277896</v>
          </cell>
          <cell r="R24">
            <v>463.00715187706692</v>
          </cell>
          <cell r="S24">
            <v>716.64798228223094</v>
          </cell>
          <cell r="T24">
            <v>928.27881268739498</v>
          </cell>
          <cell r="U24">
            <v>1140.919643092559</v>
          </cell>
          <cell r="V24">
            <v>1363.6078853867057</v>
          </cell>
          <cell r="W24">
            <v>1584.5760551174913</v>
          </cell>
          <cell r="X24">
            <v>1847.8832025091147</v>
          </cell>
          <cell r="Y24">
            <v>2133.4407018727879</v>
          </cell>
          <cell r="Z24">
            <v>2424.195600009753</v>
          </cell>
          <cell r="AA24">
            <v>2691.8209138191328</v>
          </cell>
          <cell r="AB24">
            <v>2946.4900000000002</v>
          </cell>
        </row>
        <row r="25">
          <cell r="D25" t="str">
            <v>OPERATING PROFIT (LOSS)</v>
          </cell>
          <cell r="E25">
            <v>16.271909181697453</v>
          </cell>
          <cell r="F25">
            <v>39.122059764962614</v>
          </cell>
          <cell r="G25">
            <v>40.18384281336489</v>
          </cell>
          <cell r="H25">
            <v>82.193842813364938</v>
          </cell>
          <cell r="I25">
            <v>81.18384281336489</v>
          </cell>
          <cell r="J25">
            <v>91.859366151201471</v>
          </cell>
          <cell r="K25">
            <v>94.197020078198761</v>
          </cell>
          <cell r="L25">
            <v>73.248066507816702</v>
          </cell>
          <cell r="M25">
            <v>74.427161404000003</v>
          </cell>
          <cell r="N25">
            <v>69.681401801248285</v>
          </cell>
          <cell r="O25">
            <v>46.755437670144545</v>
          </cell>
          <cell r="P25">
            <v>41.508188210897686</v>
          </cell>
          <cell r="Q25">
            <v>16.271909181697453</v>
          </cell>
          <cell r="R25">
            <v>55.393968946660067</v>
          </cell>
          <cell r="S25">
            <v>95.577811760024957</v>
          </cell>
          <cell r="T25">
            <v>177.7716545733899</v>
          </cell>
          <cell r="U25">
            <v>258.95549738675481</v>
          </cell>
          <cell r="V25">
            <v>350.81486353795628</v>
          </cell>
          <cell r="W25">
            <v>445.01188361615505</v>
          </cell>
          <cell r="X25">
            <v>518.25995012397175</v>
          </cell>
          <cell r="Y25">
            <v>592.68711152797175</v>
          </cell>
          <cell r="Z25">
            <v>662.36851332922004</v>
          </cell>
          <cell r="AA25">
            <v>709.12395099936452</v>
          </cell>
          <cell r="AB25">
            <v>750.63213921026227</v>
          </cell>
        </row>
        <row r="27">
          <cell r="D27" t="str">
            <v>Interest &amp; Depreciation</v>
          </cell>
        </row>
        <row r="28">
          <cell r="D28" t="str">
            <v>Variable Interest</v>
          </cell>
          <cell r="E28">
            <v>0.67025549801316664</v>
          </cell>
          <cell r="F28">
            <v>0.73192955691192307</v>
          </cell>
          <cell r="G28">
            <v>0.79473793139364624</v>
          </cell>
          <cell r="H28">
            <v>0.79473793139364624</v>
          </cell>
          <cell r="I28">
            <v>0.79473793139364624</v>
          </cell>
          <cell r="J28">
            <v>0.85078939396880571</v>
          </cell>
          <cell r="K28">
            <v>0.85245983004902737</v>
          </cell>
          <cell r="L28">
            <v>0.91031563675136562</v>
          </cell>
          <cell r="M28">
            <v>0.97368768081353485</v>
          </cell>
          <cell r="N28">
            <v>0.97490927591036447</v>
          </cell>
          <cell r="O28">
            <v>0.85033807870516653</v>
          </cell>
          <cell r="P28">
            <v>0.80110125469570781</v>
          </cell>
          <cell r="Q28">
            <v>0.67025549801316664</v>
          </cell>
          <cell r="R28">
            <v>1.4021850549250896</v>
          </cell>
          <cell r="S28">
            <v>2.1969229863187358</v>
          </cell>
          <cell r="T28">
            <v>2.9916609177123821</v>
          </cell>
          <cell r="U28">
            <v>3.7863988491060283</v>
          </cell>
          <cell r="V28">
            <v>4.6371882430748341</v>
          </cell>
          <cell r="W28">
            <v>5.4896480731238615</v>
          </cell>
          <cell r="X28">
            <v>6.3999637098752267</v>
          </cell>
          <cell r="Y28">
            <v>7.373651390688762</v>
          </cell>
          <cell r="Z28">
            <v>8.348560666599127</v>
          </cell>
          <cell r="AA28">
            <v>9.1988987453042927</v>
          </cell>
          <cell r="AB28">
            <v>10</v>
          </cell>
        </row>
        <row r="29">
          <cell r="D29" t="str">
            <v>Fixed Interest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row>
        <row r="30">
          <cell r="D30" t="str">
            <v>CASH PROFIT</v>
          </cell>
          <cell r="E30">
            <v>15.601653683684287</v>
          </cell>
          <cell r="F30">
            <v>38.390130208050692</v>
          </cell>
          <cell r="G30">
            <v>39.389104881971242</v>
          </cell>
          <cell r="H30">
            <v>81.399104881971297</v>
          </cell>
          <cell r="I30">
            <v>80.389104881971249</v>
          </cell>
          <cell r="J30">
            <v>91.00857675723266</v>
          </cell>
          <cell r="K30">
            <v>93.344560248149733</v>
          </cell>
          <cell r="L30">
            <v>72.337750871065339</v>
          </cell>
          <cell r="M30">
            <v>73.453473723186463</v>
          </cell>
          <cell r="N30">
            <v>68.706492525337922</v>
          </cell>
          <cell r="O30">
            <v>45.905099591439381</v>
          </cell>
          <cell r="P30">
            <v>40.707086956201977</v>
          </cell>
          <cell r="Q30">
            <v>15.601653683684287</v>
          </cell>
          <cell r="R30">
            <v>53.991783891734975</v>
          </cell>
          <cell r="S30">
            <v>93.380888773706218</v>
          </cell>
          <cell r="T30">
            <v>174.77999365567752</v>
          </cell>
          <cell r="U30">
            <v>255.16909853764878</v>
          </cell>
          <cell r="V30">
            <v>346.17767529488145</v>
          </cell>
          <cell r="W30">
            <v>439.52223554303117</v>
          </cell>
          <cell r="X30">
            <v>511.85998641409651</v>
          </cell>
          <cell r="Y30">
            <v>585.31346013728296</v>
          </cell>
          <cell r="Z30">
            <v>654.01995266262088</v>
          </cell>
          <cell r="AA30">
            <v>699.92505225406023</v>
          </cell>
          <cell r="AB30">
            <v>740.63213921026227</v>
          </cell>
        </row>
        <row r="31">
          <cell r="D31" t="str">
            <v>DEPRECIATION</v>
          </cell>
          <cell r="E31">
            <v>14.166666666666666</v>
          </cell>
          <cell r="F31">
            <v>14.166666666666666</v>
          </cell>
          <cell r="G31">
            <v>14.166666666666666</v>
          </cell>
          <cell r="H31">
            <v>14.166666666666666</v>
          </cell>
          <cell r="I31">
            <v>14.166666666666666</v>
          </cell>
          <cell r="J31">
            <v>14.166666666666666</v>
          </cell>
          <cell r="K31">
            <v>14.166666666666666</v>
          </cell>
          <cell r="L31">
            <v>14.166666666666666</v>
          </cell>
          <cell r="M31">
            <v>14.166666666666666</v>
          </cell>
          <cell r="N31">
            <v>14.166666666666666</v>
          </cell>
          <cell r="O31">
            <v>14.166666666666666</v>
          </cell>
          <cell r="P31">
            <v>14.166666666666666</v>
          </cell>
          <cell r="Q31">
            <v>14.166666666666666</v>
          </cell>
          <cell r="R31">
            <v>28.333333333333332</v>
          </cell>
          <cell r="S31">
            <v>42.5</v>
          </cell>
          <cell r="T31">
            <v>56.666666666666664</v>
          </cell>
          <cell r="U31">
            <v>70.833333333333329</v>
          </cell>
          <cell r="V31">
            <v>85</v>
          </cell>
          <cell r="W31">
            <v>99.166666666666671</v>
          </cell>
          <cell r="X31">
            <v>113.33333333333334</v>
          </cell>
          <cell r="Y31">
            <v>127.50000000000001</v>
          </cell>
          <cell r="Z31">
            <v>141.66666666666669</v>
          </cell>
          <cell r="AA31">
            <v>155.83333333333334</v>
          </cell>
          <cell r="AB31">
            <v>170</v>
          </cell>
        </row>
        <row r="32">
          <cell r="D32" t="str">
            <v>Net Profit / - Loss</v>
          </cell>
          <cell r="E32">
            <v>1.4349870170176207</v>
          </cell>
          <cell r="F32">
            <v>24.223463541384028</v>
          </cell>
          <cell r="G32">
            <v>25.222438215304578</v>
          </cell>
          <cell r="H32">
            <v>67.232438215304626</v>
          </cell>
          <cell r="I32">
            <v>66.222438215304578</v>
          </cell>
          <cell r="J32">
            <v>76.841910090565989</v>
          </cell>
          <cell r="K32">
            <v>79.177893581483062</v>
          </cell>
          <cell r="L32">
            <v>58.171084204398674</v>
          </cell>
          <cell r="M32">
            <v>59.286807056519798</v>
          </cell>
          <cell r="N32">
            <v>54.539825858671257</v>
          </cell>
          <cell r="O32">
            <v>31.738432924772717</v>
          </cell>
          <cell r="P32">
            <v>26.540420289535312</v>
          </cell>
          <cell r="Q32">
            <v>1.4349870170176207</v>
          </cell>
          <cell r="R32">
            <v>25.658450558401643</v>
          </cell>
          <cell r="S32">
            <v>50.880888773706218</v>
          </cell>
          <cell r="T32">
            <v>118.11332698901086</v>
          </cell>
          <cell r="U32">
            <v>184.33576520431546</v>
          </cell>
          <cell r="V32">
            <v>261.17767529488145</v>
          </cell>
          <cell r="W32">
            <v>340.35556887636449</v>
          </cell>
          <cell r="X32">
            <v>398.52665308076314</v>
          </cell>
          <cell r="Y32">
            <v>457.81346013728296</v>
          </cell>
          <cell r="Z32">
            <v>512.35328599595414</v>
          </cell>
          <cell r="AA32">
            <v>544.09171892072686</v>
          </cell>
          <cell r="AB32">
            <v>570.63213921026227</v>
          </cell>
        </row>
        <row r="33">
          <cell r="D33" t="str">
            <v>Other operating income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row>
        <row r="34">
          <cell r="D34" t="str">
            <v>Net Profit / - Loss after Extra Ordianry Items</v>
          </cell>
          <cell r="E34">
            <v>1.4349870170176207</v>
          </cell>
          <cell r="F34">
            <v>24.223463541384028</v>
          </cell>
          <cell r="G34">
            <v>25.222438215304578</v>
          </cell>
          <cell r="H34">
            <v>67.232438215304626</v>
          </cell>
          <cell r="I34">
            <v>66.222438215304578</v>
          </cell>
          <cell r="J34">
            <v>76.841910090565989</v>
          </cell>
          <cell r="K34">
            <v>79.177893581483062</v>
          </cell>
          <cell r="L34">
            <v>58.171084204398674</v>
          </cell>
          <cell r="M34">
            <v>59.286807056519798</v>
          </cell>
          <cell r="N34">
            <v>54.539825858671257</v>
          </cell>
          <cell r="O34">
            <v>31.738432924772717</v>
          </cell>
          <cell r="P34">
            <v>26.540420289535312</v>
          </cell>
          <cell r="Q34">
            <v>1.4349870170176207</v>
          </cell>
          <cell r="R34">
            <v>25.658450558401643</v>
          </cell>
          <cell r="S34">
            <v>50.880888773706218</v>
          </cell>
          <cell r="T34">
            <v>118.11332698901086</v>
          </cell>
          <cell r="U34">
            <v>184.33576520431546</v>
          </cell>
          <cell r="V34">
            <v>261.17767529488145</v>
          </cell>
          <cell r="W34">
            <v>340.35556887636449</v>
          </cell>
          <cell r="X34">
            <v>398.52665308076314</v>
          </cell>
          <cell r="Y34">
            <v>457.81346013728296</v>
          </cell>
          <cell r="Z34">
            <v>512.35328599595414</v>
          </cell>
          <cell r="AA34">
            <v>544.09171892072686</v>
          </cell>
          <cell r="AB34">
            <v>570.63213921026227</v>
          </cell>
        </row>
        <row r="35">
          <cell r="D35" t="str">
            <v>PSM saving</v>
          </cell>
          <cell r="E35">
            <v>28.17</v>
          </cell>
          <cell r="F35">
            <v>30.785862220055535</v>
          </cell>
          <cell r="G35">
            <v>33.393313116841789</v>
          </cell>
          <cell r="H35">
            <v>33.393313116841789</v>
          </cell>
          <cell r="I35">
            <v>33.393313116841789</v>
          </cell>
          <cell r="J35">
            <v>35.805573124191582</v>
          </cell>
          <cell r="K35">
            <v>35.856468429851951</v>
          </cell>
          <cell r="L35">
            <v>38.308727121088829</v>
          </cell>
          <cell r="M35">
            <v>40.981092026676535</v>
          </cell>
          <cell r="N35">
            <v>0</v>
          </cell>
          <cell r="O35">
            <v>0</v>
          </cell>
          <cell r="P35">
            <v>0</v>
          </cell>
          <cell r="Q35">
            <v>28.17</v>
          </cell>
          <cell r="R35">
            <v>58.955862220055536</v>
          </cell>
          <cell r="S35">
            <v>92.349175336897332</v>
          </cell>
          <cell r="T35">
            <v>125.74248845373913</v>
          </cell>
          <cell r="U35">
            <v>159.13580157058092</v>
          </cell>
          <cell r="V35">
            <v>194.94137469477249</v>
          </cell>
          <cell r="W35">
            <v>230.79784312462445</v>
          </cell>
          <cell r="X35">
            <v>269.10657024571327</v>
          </cell>
          <cell r="Y35">
            <v>310.08766227238982</v>
          </cell>
          <cell r="Z35">
            <v>310.08766227238982</v>
          </cell>
          <cell r="AA35">
            <v>310.08766227238982</v>
          </cell>
          <cell r="AB35">
            <v>310.08766227238982</v>
          </cell>
        </row>
        <row r="36">
          <cell r="D36" t="str">
            <v>Interest Income</v>
          </cell>
          <cell r="E36">
            <v>8.33</v>
          </cell>
          <cell r="F36">
            <v>8.33</v>
          </cell>
          <cell r="G36">
            <v>8.33</v>
          </cell>
          <cell r="H36">
            <v>8.33</v>
          </cell>
          <cell r="I36">
            <v>8.33</v>
          </cell>
          <cell r="J36">
            <v>8.33</v>
          </cell>
          <cell r="K36">
            <v>8.33</v>
          </cell>
          <cell r="L36">
            <v>8.33</v>
          </cell>
          <cell r="M36">
            <v>8.33</v>
          </cell>
          <cell r="N36">
            <v>8.33</v>
          </cell>
          <cell r="O36">
            <v>8.33</v>
          </cell>
          <cell r="P36">
            <v>8.33</v>
          </cell>
          <cell r="Q36">
            <v>8.33</v>
          </cell>
          <cell r="R36">
            <v>16.66</v>
          </cell>
          <cell r="S36">
            <v>24.990000000000002</v>
          </cell>
          <cell r="T36">
            <v>33.32</v>
          </cell>
          <cell r="U36">
            <v>41.65</v>
          </cell>
          <cell r="V36">
            <v>49.98</v>
          </cell>
          <cell r="W36">
            <v>58.309999999999995</v>
          </cell>
          <cell r="X36">
            <v>66.64</v>
          </cell>
          <cell r="Y36">
            <v>74.97</v>
          </cell>
          <cell r="Z36">
            <v>83.3</v>
          </cell>
          <cell r="AA36">
            <v>91.63</v>
          </cell>
          <cell r="AB36">
            <v>99.96</v>
          </cell>
        </row>
        <row r="37">
          <cell r="D37" t="str">
            <v>PBT After Acquisition Interest</v>
          </cell>
          <cell r="E37">
            <v>37.934987017017619</v>
          </cell>
          <cell r="F37">
            <v>63.339325761439561</v>
          </cell>
          <cell r="G37">
            <v>66.945751332146372</v>
          </cell>
          <cell r="H37">
            <v>108.95575133214642</v>
          </cell>
          <cell r="I37">
            <v>107.94575133214637</v>
          </cell>
          <cell r="J37">
            <v>120.97748321475757</v>
          </cell>
          <cell r="K37">
            <v>123.36436201133502</v>
          </cell>
          <cell r="L37">
            <v>104.8098113254875</v>
          </cell>
          <cell r="M37">
            <v>108.59789908319634</v>
          </cell>
          <cell r="N37">
            <v>62.869825858671256</v>
          </cell>
          <cell r="O37">
            <v>40.068432924772715</v>
          </cell>
          <cell r="P37">
            <v>34.870420289535311</v>
          </cell>
          <cell r="Q37">
            <v>37.934987017017619</v>
          </cell>
          <cell r="R37">
            <v>101.27431277845717</v>
          </cell>
          <cell r="S37">
            <v>168.22006411060357</v>
          </cell>
          <cell r="T37">
            <v>277.17581544274998</v>
          </cell>
          <cell r="U37">
            <v>385.12156677489634</v>
          </cell>
          <cell r="V37">
            <v>506.09904998965396</v>
          </cell>
          <cell r="W37">
            <v>629.46341200098891</v>
          </cell>
          <cell r="X37">
            <v>734.27322332647634</v>
          </cell>
          <cell r="Y37">
            <v>842.87112240967281</v>
          </cell>
          <cell r="Z37">
            <v>905.74094826834391</v>
          </cell>
          <cell r="AA37">
            <v>945.80938119311668</v>
          </cell>
          <cell r="AB37">
            <v>980.67980148265212</v>
          </cell>
        </row>
        <row r="43">
          <cell r="D43" t="str">
            <v>Particulars</v>
          </cell>
          <cell r="E43">
            <v>39904</v>
          </cell>
          <cell r="F43">
            <v>39934</v>
          </cell>
          <cell r="G43">
            <v>39965</v>
          </cell>
          <cell r="H43">
            <v>39995</v>
          </cell>
          <cell r="I43">
            <v>40026</v>
          </cell>
          <cell r="J43">
            <v>40057</v>
          </cell>
          <cell r="K43">
            <v>40087</v>
          </cell>
          <cell r="L43">
            <v>40118</v>
          </cell>
          <cell r="M43">
            <v>40148</v>
          </cell>
          <cell r="N43">
            <v>40179</v>
          </cell>
          <cell r="O43">
            <v>40210</v>
          </cell>
          <cell r="P43">
            <v>40238</v>
          </cell>
          <cell r="Q43">
            <v>39904</v>
          </cell>
          <cell r="R43">
            <v>39934</v>
          </cell>
          <cell r="S43">
            <v>39965</v>
          </cell>
          <cell r="T43">
            <v>39995</v>
          </cell>
          <cell r="U43">
            <v>40026</v>
          </cell>
          <cell r="V43">
            <v>40057</v>
          </cell>
          <cell r="W43">
            <v>40087</v>
          </cell>
          <cell r="X43">
            <v>40118</v>
          </cell>
          <cell r="Y43">
            <v>40148</v>
          </cell>
          <cell r="Z43">
            <v>40179</v>
          </cell>
          <cell r="AA43">
            <v>40210</v>
          </cell>
          <cell r="AB43">
            <v>40238</v>
          </cell>
        </row>
        <row r="45">
          <cell r="D45" t="str">
            <v>Sales</v>
          </cell>
          <cell r="E45">
            <v>1587.3333333333333</v>
          </cell>
          <cell r="F45">
            <v>1522.3433333333335</v>
          </cell>
          <cell r="G45">
            <v>1361.6233333333332</v>
          </cell>
          <cell r="H45">
            <v>1296.0233333333333</v>
          </cell>
          <cell r="I45">
            <v>1187.7733333333333</v>
          </cell>
          <cell r="J45">
            <v>1329.9533333333331</v>
          </cell>
          <cell r="K45">
            <v>1455.0933333333332</v>
          </cell>
          <cell r="L45">
            <v>1477.7833333333333</v>
          </cell>
          <cell r="M45">
            <v>1397.2433333333333</v>
          </cell>
          <cell r="N45">
            <v>1290.5933333333332</v>
          </cell>
          <cell r="O45">
            <v>1392.0633333333333</v>
          </cell>
          <cell r="P45">
            <v>905.61333333333334</v>
          </cell>
          <cell r="Q45">
            <v>1587.3333333333333</v>
          </cell>
          <cell r="R45">
            <v>3109.6766666666667</v>
          </cell>
          <cell r="S45">
            <v>4471.3</v>
          </cell>
          <cell r="T45">
            <v>5767.3233333333337</v>
          </cell>
          <cell r="U45">
            <v>6955.0966666666673</v>
          </cell>
          <cell r="V45">
            <v>8285.0500000000011</v>
          </cell>
          <cell r="W45">
            <v>9740.1433333333334</v>
          </cell>
          <cell r="X45">
            <v>11217.926666666666</v>
          </cell>
          <cell r="Y45">
            <v>12615.17</v>
          </cell>
          <cell r="Z45">
            <v>13905.763333333332</v>
          </cell>
          <cell r="AA45">
            <v>15297.826666666666</v>
          </cell>
          <cell r="AB45">
            <v>16203.439999999999</v>
          </cell>
        </row>
        <row r="46">
          <cell r="D46" t="str">
            <v>Traded sugar Free</v>
          </cell>
          <cell r="E46">
            <v>898.49056603773579</v>
          </cell>
          <cell r="F46">
            <v>798.53981291352954</v>
          </cell>
          <cell r="G46">
            <v>758.40545502229213</v>
          </cell>
          <cell r="H46">
            <v>771.05378905301268</v>
          </cell>
          <cell r="I46">
            <v>750.968929654877</v>
          </cell>
          <cell r="J46">
            <v>741.15198112186351</v>
          </cell>
          <cell r="K46">
            <v>746.25480157412153</v>
          </cell>
          <cell r="L46">
            <v>761.26082058236784</v>
          </cell>
          <cell r="M46">
            <v>766.16394150113808</v>
          </cell>
          <cell r="N46">
            <v>746.07409020708621</v>
          </cell>
          <cell r="O46">
            <v>781.1515670077672</v>
          </cell>
          <cell r="P46">
            <v>461.42897027087963</v>
          </cell>
          <cell r="Q46">
            <v>898.49056603773579</v>
          </cell>
          <cell r="R46">
            <v>1697.0303789512654</v>
          </cell>
          <cell r="S46">
            <v>2455.4358339735577</v>
          </cell>
          <cell r="T46">
            <v>3226.4896230265704</v>
          </cell>
          <cell r="U46">
            <v>3977.4585526814471</v>
          </cell>
          <cell r="V46">
            <v>4718.6105338033103</v>
          </cell>
          <cell r="W46">
            <v>5464.8653353774316</v>
          </cell>
          <cell r="X46">
            <v>6226.1261559597997</v>
          </cell>
          <cell r="Y46">
            <v>6992.2900974609374</v>
          </cell>
          <cell r="Z46">
            <v>7738.364187668024</v>
          </cell>
          <cell r="AA46">
            <v>8519.515754675791</v>
          </cell>
          <cell r="AB46">
            <v>8980.9447249466702</v>
          </cell>
        </row>
        <row r="47">
          <cell r="D47" t="str">
            <v>Traded-cosmetics</v>
          </cell>
          <cell r="E47">
            <v>688.84276729559747</v>
          </cell>
          <cell r="F47">
            <v>659.79352041980383</v>
          </cell>
          <cell r="G47">
            <v>509.92787831104113</v>
          </cell>
          <cell r="H47">
            <v>434.03954428032057</v>
          </cell>
          <cell r="I47">
            <v>367.12440367845625</v>
          </cell>
          <cell r="J47">
            <v>487.94135221146973</v>
          </cell>
          <cell r="K47">
            <v>575.83853175921172</v>
          </cell>
          <cell r="L47">
            <v>592.83251275096552</v>
          </cell>
          <cell r="M47">
            <v>513.92939183219517</v>
          </cell>
          <cell r="N47">
            <v>434.01924312624703</v>
          </cell>
          <cell r="O47">
            <v>513.94176632556605</v>
          </cell>
          <cell r="P47">
            <v>363.82436306245376</v>
          </cell>
          <cell r="Q47">
            <v>688.84276729559747</v>
          </cell>
          <cell r="R47">
            <v>1348.6362877154013</v>
          </cell>
          <cell r="S47">
            <v>1858.5641660264423</v>
          </cell>
          <cell r="T47">
            <v>2292.6037103067629</v>
          </cell>
          <cell r="U47">
            <v>2659.7281139852194</v>
          </cell>
          <cell r="V47">
            <v>3147.669466196689</v>
          </cell>
          <cell r="W47">
            <v>3723.5079979559005</v>
          </cell>
          <cell r="X47">
            <v>4316.3405107068656</v>
          </cell>
          <cell r="Y47">
            <v>4830.2699025390611</v>
          </cell>
          <cell r="Z47">
            <v>5264.2891456653078</v>
          </cell>
          <cell r="AA47">
            <v>5778.2309119908741</v>
          </cell>
          <cell r="AB47">
            <v>6142.0552750533279</v>
          </cell>
        </row>
        <row r="48">
          <cell r="D48" t="str">
            <v>New Products</v>
          </cell>
          <cell r="F48">
            <v>64.010000000000005</v>
          </cell>
          <cell r="G48">
            <v>93.29</v>
          </cell>
          <cell r="H48">
            <v>90.93</v>
          </cell>
          <cell r="I48">
            <v>69.680000000000007</v>
          </cell>
          <cell r="J48">
            <v>100.86</v>
          </cell>
          <cell r="K48">
            <v>133</v>
          </cell>
          <cell r="L48">
            <v>123.69</v>
          </cell>
          <cell r="M48">
            <v>117.15</v>
          </cell>
          <cell r="N48">
            <v>110.5</v>
          </cell>
          <cell r="O48">
            <v>96.97</v>
          </cell>
          <cell r="P48">
            <v>80.36</v>
          </cell>
          <cell r="Q48">
            <v>0</v>
          </cell>
          <cell r="R48">
            <v>64.010000000000005</v>
          </cell>
          <cell r="S48">
            <v>157.30000000000001</v>
          </cell>
          <cell r="T48">
            <v>248.23000000000002</v>
          </cell>
          <cell r="U48">
            <v>317.91000000000003</v>
          </cell>
          <cell r="V48">
            <v>418.77000000000004</v>
          </cell>
          <cell r="W48">
            <v>551.77</v>
          </cell>
          <cell r="X48">
            <v>675.46</v>
          </cell>
          <cell r="Y48">
            <v>792.61</v>
          </cell>
          <cell r="Z48">
            <v>903.11</v>
          </cell>
          <cell r="AA48">
            <v>1000.08</v>
          </cell>
          <cell r="AB48">
            <v>1080.44</v>
          </cell>
        </row>
        <row r="50">
          <cell r="D50" t="str">
            <v>Cost of Goods Sold</v>
          </cell>
          <cell r="E50">
            <v>446.57985330972372</v>
          </cell>
          <cell r="F50">
            <v>440.15454432231274</v>
          </cell>
          <cell r="G50">
            <v>395.42192139035751</v>
          </cell>
          <cell r="H50">
            <v>373.31704212929031</v>
          </cell>
          <cell r="I50">
            <v>335.28474976891727</v>
          </cell>
          <cell r="J50">
            <v>382.07758528211411</v>
          </cell>
          <cell r="K50">
            <v>423.1347918530663</v>
          </cell>
          <cell r="L50">
            <v>428.98616348924651</v>
          </cell>
          <cell r="M50">
            <v>402.62623990381019</v>
          </cell>
          <cell r="N50">
            <v>370.81020129609647</v>
          </cell>
          <cell r="O50">
            <v>399.80740305782729</v>
          </cell>
          <cell r="P50">
            <v>274.3435116300995</v>
          </cell>
          <cell r="Q50">
            <v>446.57985330972372</v>
          </cell>
          <cell r="R50">
            <v>886.73439763203646</v>
          </cell>
          <cell r="S50">
            <v>1282.156319022394</v>
          </cell>
          <cell r="T50">
            <v>1655.4733611516842</v>
          </cell>
          <cell r="U50">
            <v>1990.7581109206014</v>
          </cell>
          <cell r="V50">
            <v>2372.8356962027156</v>
          </cell>
          <cell r="W50">
            <v>2795.970488055782</v>
          </cell>
          <cell r="X50">
            <v>3224.9566515450283</v>
          </cell>
          <cell r="Y50">
            <v>3627.5828914488384</v>
          </cell>
          <cell r="Z50">
            <v>3998.3930927449346</v>
          </cell>
          <cell r="AA50">
            <v>4398.2004958027619</v>
          </cell>
          <cell r="AB50">
            <v>4672.5440074328617</v>
          </cell>
        </row>
        <row r="51">
          <cell r="D51" t="str">
            <v>COGS Traded sugar Free</v>
          </cell>
          <cell r="E51">
            <v>245.68619853879542</v>
          </cell>
          <cell r="F51">
            <v>214.6497633626916</v>
          </cell>
          <cell r="G51">
            <v>205.12595003644452</v>
          </cell>
          <cell r="H51">
            <v>202.40638231604692</v>
          </cell>
          <cell r="I51">
            <v>193.8335862659809</v>
          </cell>
          <cell r="J51">
            <v>193.77143461386422</v>
          </cell>
          <cell r="K51">
            <v>193.65015079076883</v>
          </cell>
          <cell r="L51">
            <v>197.15975055726832</v>
          </cell>
          <cell r="M51">
            <v>198.82371069115538</v>
          </cell>
          <cell r="N51">
            <v>194.63758332636809</v>
          </cell>
          <cell r="O51">
            <v>205.42172914344411</v>
          </cell>
          <cell r="P51">
            <v>129.94765673120807</v>
          </cell>
          <cell r="Q51">
            <v>245.68619853879542</v>
          </cell>
          <cell r="R51">
            <v>460.33596190148705</v>
          </cell>
          <cell r="S51">
            <v>665.46191193793152</v>
          </cell>
          <cell r="T51">
            <v>867.86829425397843</v>
          </cell>
          <cell r="U51">
            <v>1061.7018805199593</v>
          </cell>
          <cell r="V51">
            <v>1255.4733151338235</v>
          </cell>
          <cell r="W51">
            <v>1449.1234659245922</v>
          </cell>
          <cell r="X51">
            <v>1646.2832164818606</v>
          </cell>
          <cell r="Y51">
            <v>1845.1069271730159</v>
          </cell>
          <cell r="Z51">
            <v>2039.744510499384</v>
          </cell>
          <cell r="AA51">
            <v>2245.1662396428283</v>
          </cell>
          <cell r="AB51">
            <v>2375.1138963740364</v>
          </cell>
        </row>
        <row r="52">
          <cell r="D52" t="str">
            <v>COGS Traded-cosmetics</v>
          </cell>
          <cell r="E52">
            <v>200.89365477092829</v>
          </cell>
          <cell r="F52">
            <v>197.73478095962116</v>
          </cell>
          <cell r="G52">
            <v>149.42597135391298</v>
          </cell>
          <cell r="H52">
            <v>130.15065981324341</v>
          </cell>
          <cell r="I52">
            <v>109.97116350293635</v>
          </cell>
          <cell r="J52">
            <v>146.64615066824993</v>
          </cell>
          <cell r="K52">
            <v>173.77464106229749</v>
          </cell>
          <cell r="L52">
            <v>179.77641293197817</v>
          </cell>
          <cell r="M52">
            <v>153.75252921265479</v>
          </cell>
          <cell r="N52">
            <v>128.75261796972836</v>
          </cell>
          <cell r="O52">
            <v>153.2956739143832</v>
          </cell>
          <cell r="P52">
            <v>109.71585489889145</v>
          </cell>
          <cell r="Q52">
            <v>200.89365477092829</v>
          </cell>
          <cell r="R52">
            <v>398.62843573054943</v>
          </cell>
          <cell r="S52">
            <v>548.05440708446235</v>
          </cell>
          <cell r="T52">
            <v>678.20506689770582</v>
          </cell>
          <cell r="U52">
            <v>788.17623040064223</v>
          </cell>
          <cell r="V52">
            <v>934.82238106889213</v>
          </cell>
          <cell r="W52">
            <v>1108.5970221311895</v>
          </cell>
          <cell r="X52">
            <v>1288.3734350631678</v>
          </cell>
          <cell r="Y52">
            <v>1442.1259642758225</v>
          </cell>
          <cell r="Z52">
            <v>1570.8785822455509</v>
          </cell>
          <cell r="AA52">
            <v>1724.174256159934</v>
          </cell>
          <cell r="AB52">
            <v>1833.8901110588254</v>
          </cell>
        </row>
        <row r="53">
          <cell r="D53" t="str">
            <v>COGS New Products</v>
          </cell>
          <cell r="F53">
            <v>27.77</v>
          </cell>
          <cell r="G53">
            <v>40.869999999999997</v>
          </cell>
          <cell r="H53">
            <v>40.76</v>
          </cell>
          <cell r="I53">
            <v>31.48</v>
          </cell>
          <cell r="J53">
            <v>41.66</v>
          </cell>
          <cell r="K53">
            <v>55.71</v>
          </cell>
          <cell r="L53">
            <v>52.05</v>
          </cell>
          <cell r="M53">
            <v>50.05</v>
          </cell>
          <cell r="N53">
            <v>47.42</v>
          </cell>
          <cell r="O53">
            <v>41.09</v>
          </cell>
          <cell r="P53">
            <v>34.68</v>
          </cell>
          <cell r="Q53">
            <v>0</v>
          </cell>
          <cell r="R53">
            <v>27.77</v>
          </cell>
          <cell r="S53">
            <v>68.64</v>
          </cell>
          <cell r="T53">
            <v>109.4</v>
          </cell>
          <cell r="U53">
            <v>140.88</v>
          </cell>
          <cell r="V53">
            <v>182.54</v>
          </cell>
          <cell r="W53">
            <v>238.25</v>
          </cell>
          <cell r="X53">
            <v>290.3</v>
          </cell>
          <cell r="Y53">
            <v>340.35</v>
          </cell>
          <cell r="Z53">
            <v>387.77000000000004</v>
          </cell>
          <cell r="AA53">
            <v>428.86</v>
          </cell>
          <cell r="AB53">
            <v>463.54</v>
          </cell>
        </row>
        <row r="55">
          <cell r="D55" t="str">
            <v>Contribution</v>
          </cell>
          <cell r="E55">
            <v>1140.7534800236094</v>
          </cell>
          <cell r="F55">
            <v>1082.1887890110206</v>
          </cell>
          <cell r="G55">
            <v>966.20141194297571</v>
          </cell>
          <cell r="H55">
            <v>922.70629120404305</v>
          </cell>
          <cell r="I55">
            <v>852.4885835644161</v>
          </cell>
          <cell r="J55">
            <v>947.87574805121903</v>
          </cell>
          <cell r="K55">
            <v>1031.9585414802668</v>
          </cell>
          <cell r="L55">
            <v>1048.7971698440867</v>
          </cell>
          <cell r="M55">
            <v>994.61709342952315</v>
          </cell>
          <cell r="N55">
            <v>919.78313203723678</v>
          </cell>
          <cell r="O55">
            <v>992.25593027550599</v>
          </cell>
          <cell r="P55">
            <v>631.2698217032339</v>
          </cell>
          <cell r="Q55">
            <v>1140.7534800236094</v>
          </cell>
          <cell r="R55">
            <v>2222.94226903463</v>
          </cell>
          <cell r="S55">
            <v>3189.143680977606</v>
          </cell>
          <cell r="T55">
            <v>4111.8499721816488</v>
          </cell>
          <cell r="U55">
            <v>4964.3385557460651</v>
          </cell>
          <cell r="V55">
            <v>5912.2143037972837</v>
          </cell>
          <cell r="W55">
            <v>6944.1728452775506</v>
          </cell>
          <cell r="X55">
            <v>7992.9700151216375</v>
          </cell>
          <cell r="Y55">
            <v>8987.5871085511608</v>
          </cell>
          <cell r="Z55">
            <v>9907.3702405883978</v>
          </cell>
          <cell r="AA55">
            <v>10899.626170863903</v>
          </cell>
          <cell r="AB55">
            <v>11530.895992567137</v>
          </cell>
        </row>
        <row r="56">
          <cell r="D56" t="str">
            <v>Traded sugar Free</v>
          </cell>
          <cell r="E56">
            <v>652.80436749894034</v>
          </cell>
          <cell r="F56">
            <v>583.89004955083794</v>
          </cell>
          <cell r="G56">
            <v>553.27950498584755</v>
          </cell>
          <cell r="H56">
            <v>568.64740673696576</v>
          </cell>
          <cell r="I56">
            <v>557.1353433888961</v>
          </cell>
          <cell r="J56">
            <v>547.38054650799927</v>
          </cell>
          <cell r="K56">
            <v>552.60465078335267</v>
          </cell>
          <cell r="L56">
            <v>564.10107002509949</v>
          </cell>
          <cell r="M56">
            <v>567.3402308099827</v>
          </cell>
          <cell r="N56">
            <v>551.43650688071807</v>
          </cell>
          <cell r="O56">
            <v>575.72983786432314</v>
          </cell>
          <cell r="P56">
            <v>331.48131353967153</v>
          </cell>
          <cell r="Q56">
            <v>652.80436749894034</v>
          </cell>
          <cell r="R56">
            <v>1236.6944170497782</v>
          </cell>
          <cell r="S56">
            <v>1789.9739220356257</v>
          </cell>
          <cell r="T56">
            <v>2358.6213287725914</v>
          </cell>
          <cell r="U56">
            <v>2915.7566721614876</v>
          </cell>
          <cell r="V56">
            <v>3463.1372186694871</v>
          </cell>
          <cell r="W56">
            <v>4015.7418694528396</v>
          </cell>
          <cell r="X56">
            <v>4579.8429394779396</v>
          </cell>
          <cell r="Y56">
            <v>5147.1831702879226</v>
          </cell>
          <cell r="Z56">
            <v>5698.6196771686409</v>
          </cell>
          <cell r="AA56">
            <v>6274.3495150329636</v>
          </cell>
          <cell r="AB56">
            <v>6605.8308285726353</v>
          </cell>
        </row>
        <row r="57">
          <cell r="D57" t="str">
            <v>Traded-cosmetics</v>
          </cell>
          <cell r="E57">
            <v>487.9491125246692</v>
          </cell>
          <cell r="F57">
            <v>462.05873946018266</v>
          </cell>
          <cell r="G57">
            <v>360.50190695712814</v>
          </cell>
          <cell r="H57">
            <v>303.88888446707716</v>
          </cell>
          <cell r="I57">
            <v>257.1532401755199</v>
          </cell>
          <cell r="J57">
            <v>341.29520154321983</v>
          </cell>
          <cell r="K57">
            <v>402.0638906969142</v>
          </cell>
          <cell r="L57">
            <v>413.05609981898738</v>
          </cell>
          <cell r="M57">
            <v>360.17686261954037</v>
          </cell>
          <cell r="N57">
            <v>305.26662515651867</v>
          </cell>
          <cell r="O57">
            <v>360.64609241118285</v>
          </cell>
          <cell r="P57">
            <v>254.10850816356231</v>
          </cell>
          <cell r="Q57">
            <v>487.9491125246692</v>
          </cell>
          <cell r="R57">
            <v>950.00785198485187</v>
          </cell>
          <cell r="S57">
            <v>1310.50975894198</v>
          </cell>
          <cell r="T57">
            <v>1614.3986434090571</v>
          </cell>
          <cell r="U57">
            <v>1871.5518835845769</v>
          </cell>
          <cell r="V57">
            <v>2212.8470851277966</v>
          </cell>
          <cell r="W57">
            <v>2614.9109758247109</v>
          </cell>
          <cell r="X57">
            <v>3027.9670756436981</v>
          </cell>
          <cell r="Y57">
            <v>3388.1439382632384</v>
          </cell>
          <cell r="Z57">
            <v>3693.4105634197572</v>
          </cell>
          <cell r="AA57">
            <v>4054.0566558309401</v>
          </cell>
          <cell r="AB57">
            <v>4308.1651639945021</v>
          </cell>
        </row>
        <row r="58">
          <cell r="D58" t="str">
            <v>New Products</v>
          </cell>
          <cell r="E58">
            <v>0</v>
          </cell>
          <cell r="F58">
            <v>36.240000000000009</v>
          </cell>
          <cell r="G58">
            <v>52.420000000000009</v>
          </cell>
          <cell r="H58">
            <v>50.170000000000009</v>
          </cell>
          <cell r="I58">
            <v>38.200000000000003</v>
          </cell>
          <cell r="J58">
            <v>59.2</v>
          </cell>
          <cell r="K58">
            <v>77.289999999999992</v>
          </cell>
          <cell r="L58">
            <v>71.64</v>
          </cell>
          <cell r="M58">
            <v>67.100000000000009</v>
          </cell>
          <cell r="N58">
            <v>63.08</v>
          </cell>
          <cell r="O58">
            <v>55.879999999999995</v>
          </cell>
          <cell r="P58">
            <v>45.68</v>
          </cell>
          <cell r="Q58">
            <v>0</v>
          </cell>
          <cell r="R58">
            <v>36.240000000000009</v>
          </cell>
          <cell r="S58">
            <v>88.660000000000025</v>
          </cell>
          <cell r="T58">
            <v>138.83000000000004</v>
          </cell>
          <cell r="U58">
            <v>177.03000000000003</v>
          </cell>
          <cell r="V58">
            <v>236.23000000000002</v>
          </cell>
          <cell r="W58">
            <v>313.52</v>
          </cell>
          <cell r="X58">
            <v>385.15999999999997</v>
          </cell>
          <cell r="Y58">
            <v>452.26</v>
          </cell>
          <cell r="Z58">
            <v>515.34</v>
          </cell>
          <cell r="AA58">
            <v>571.22</v>
          </cell>
          <cell r="AB58">
            <v>616.9</v>
          </cell>
        </row>
        <row r="59">
          <cell r="E59">
            <v>0.71866031920848983</v>
          </cell>
          <cell r="F59">
            <v>0.71087038338549591</v>
          </cell>
          <cell r="G59">
            <v>0.70959522232749817</v>
          </cell>
          <cell r="H59">
            <v>0.71195191280304349</v>
          </cell>
          <cell r="I59">
            <v>0.71771992150389197</v>
          </cell>
          <cell r="J59">
            <v>0.71271353986196451</v>
          </cell>
          <cell r="K59">
            <v>0.70920436362405181</v>
          </cell>
          <cell r="L59">
            <v>0.70970970248959819</v>
          </cell>
          <cell r="M59">
            <v>0.71184243266827052</v>
          </cell>
          <cell r="N59">
            <v>0.71268238280886587</v>
          </cell>
          <cell r="O59">
            <v>0.71279510530567769</v>
          </cell>
          <cell r="P59">
            <v>0.69706330336335653</v>
          </cell>
          <cell r="Q59">
            <v>0.71866031920848983</v>
          </cell>
          <cell r="R59">
            <v>0.71484675331775005</v>
          </cell>
          <cell r="S59">
            <v>0.71324753001981656</v>
          </cell>
          <cell r="T59">
            <v>0.71295638106787529</v>
          </cell>
          <cell r="U59">
            <v>0.7137698861237104</v>
          </cell>
          <cell r="V59">
            <v>0.71360031669057922</v>
          </cell>
          <cell r="W59">
            <v>0.71294359924999906</v>
          </cell>
          <cell r="X59">
            <v>0.71251758481112415</v>
          </cell>
          <cell r="Y59">
            <v>0.71244280564995643</v>
          </cell>
          <cell r="Z59">
            <v>0.71246504079639872</v>
          </cell>
          <cell r="AA59">
            <v>0.71249507582758398</v>
          </cell>
          <cell r="AB59">
            <v>0.71163259113911226</v>
          </cell>
        </row>
        <row r="60">
          <cell r="D60" t="str">
            <v>Overheads</v>
          </cell>
        </row>
        <row r="61">
          <cell r="D61" t="str">
            <v>Personnel Costs</v>
          </cell>
          <cell r="E61">
            <v>42.91</v>
          </cell>
          <cell r="F61">
            <v>45.88</v>
          </cell>
          <cell r="G61">
            <v>50.56</v>
          </cell>
          <cell r="H61">
            <v>45.88</v>
          </cell>
          <cell r="I61">
            <v>45.88</v>
          </cell>
          <cell r="J61">
            <v>50.56</v>
          </cell>
          <cell r="K61">
            <v>45.88</v>
          </cell>
          <cell r="L61">
            <v>45.88</v>
          </cell>
          <cell r="M61">
            <v>50.56</v>
          </cell>
          <cell r="N61">
            <v>45.88</v>
          </cell>
          <cell r="O61">
            <v>45.88</v>
          </cell>
          <cell r="P61">
            <v>50.56</v>
          </cell>
          <cell r="Q61">
            <v>42.91</v>
          </cell>
          <cell r="R61">
            <v>88.789999999999992</v>
          </cell>
          <cell r="S61">
            <v>139.35</v>
          </cell>
          <cell r="T61">
            <v>185.23</v>
          </cell>
          <cell r="U61">
            <v>231.10999999999999</v>
          </cell>
          <cell r="V61">
            <v>281.66999999999996</v>
          </cell>
          <cell r="W61">
            <v>327.54999999999995</v>
          </cell>
          <cell r="X61">
            <v>373.42999999999995</v>
          </cell>
          <cell r="Y61">
            <v>423.98999999999995</v>
          </cell>
          <cell r="Z61">
            <v>469.86999999999995</v>
          </cell>
          <cell r="AA61">
            <v>515.75</v>
          </cell>
          <cell r="AB61">
            <v>566.30999999999995</v>
          </cell>
        </row>
        <row r="62">
          <cell r="D62" t="str">
            <v>Administration Exp</v>
          </cell>
          <cell r="E62">
            <v>2.1</v>
          </cell>
          <cell r="F62">
            <v>2.1</v>
          </cell>
          <cell r="G62">
            <v>2.1</v>
          </cell>
          <cell r="H62">
            <v>2.1</v>
          </cell>
          <cell r="I62">
            <v>2.1</v>
          </cell>
          <cell r="J62">
            <v>2.1</v>
          </cell>
          <cell r="K62">
            <v>2.1</v>
          </cell>
          <cell r="L62">
            <v>2.1</v>
          </cell>
          <cell r="M62">
            <v>2.1</v>
          </cell>
          <cell r="N62">
            <v>2.1</v>
          </cell>
          <cell r="O62">
            <v>2.1</v>
          </cell>
          <cell r="P62">
            <v>2.1</v>
          </cell>
          <cell r="Q62">
            <v>2.1</v>
          </cell>
          <cell r="R62">
            <v>4.2</v>
          </cell>
          <cell r="S62">
            <v>6.3000000000000007</v>
          </cell>
          <cell r="T62">
            <v>8.4</v>
          </cell>
          <cell r="U62">
            <v>10.5</v>
          </cell>
          <cell r="V62">
            <v>12.6</v>
          </cell>
          <cell r="W62">
            <v>14.7</v>
          </cell>
          <cell r="X62">
            <v>16.8</v>
          </cell>
          <cell r="Y62">
            <v>18.900000000000002</v>
          </cell>
          <cell r="Z62">
            <v>21.000000000000004</v>
          </cell>
          <cell r="AA62">
            <v>23.100000000000005</v>
          </cell>
          <cell r="AB62">
            <v>25.200000000000006</v>
          </cell>
        </row>
        <row r="63">
          <cell r="D63" t="str">
            <v>Production Exp</v>
          </cell>
          <cell r="E63">
            <v>4.34</v>
          </cell>
          <cell r="F63">
            <v>4.34</v>
          </cell>
          <cell r="G63">
            <v>4.38</v>
          </cell>
          <cell r="H63">
            <v>4.34</v>
          </cell>
          <cell r="I63">
            <v>4.34</v>
          </cell>
          <cell r="J63">
            <v>3.38</v>
          </cell>
          <cell r="K63">
            <v>4.34</v>
          </cell>
          <cell r="L63">
            <v>4.34</v>
          </cell>
          <cell r="M63">
            <v>3.38</v>
          </cell>
          <cell r="N63">
            <v>4.34</v>
          </cell>
          <cell r="O63">
            <v>4.29</v>
          </cell>
          <cell r="P63">
            <v>3.31</v>
          </cell>
          <cell r="Q63">
            <v>4.34</v>
          </cell>
          <cell r="R63">
            <v>8.68</v>
          </cell>
          <cell r="S63">
            <v>13.059999999999999</v>
          </cell>
          <cell r="T63">
            <v>17.399999999999999</v>
          </cell>
          <cell r="U63">
            <v>21.74</v>
          </cell>
          <cell r="V63">
            <v>25.119999999999997</v>
          </cell>
          <cell r="W63">
            <v>29.459999999999997</v>
          </cell>
          <cell r="X63">
            <v>33.799999999999997</v>
          </cell>
          <cell r="Y63">
            <v>37.18</v>
          </cell>
          <cell r="Z63">
            <v>41.519999999999996</v>
          </cell>
          <cell r="AA63">
            <v>45.809999999999995</v>
          </cell>
          <cell r="AB63">
            <v>49.12</v>
          </cell>
        </row>
        <row r="64">
          <cell r="D64" t="str">
            <v xml:space="preserve">Research &amp; Development </v>
          </cell>
          <cell r="E64">
            <v>4.45</v>
          </cell>
          <cell r="F64">
            <v>4.4524999999999997</v>
          </cell>
          <cell r="G64">
            <v>4.4524999999999997</v>
          </cell>
          <cell r="H64">
            <v>4.4524999999999997</v>
          </cell>
          <cell r="I64">
            <v>4.4524999999999997</v>
          </cell>
          <cell r="J64">
            <v>4.4524999999999997</v>
          </cell>
          <cell r="K64">
            <v>4.4524999999999997</v>
          </cell>
          <cell r="L64">
            <v>4.4524999999999997</v>
          </cell>
          <cell r="M64">
            <v>4.4524999999999997</v>
          </cell>
          <cell r="N64">
            <v>4.4524999999999997</v>
          </cell>
          <cell r="O64">
            <v>4.4524999999999997</v>
          </cell>
          <cell r="P64">
            <v>4.4524999999999997</v>
          </cell>
          <cell r="Q64">
            <v>4.45</v>
          </cell>
          <cell r="R64">
            <v>8.9024999999999999</v>
          </cell>
          <cell r="S64">
            <v>13.355</v>
          </cell>
          <cell r="T64">
            <v>17.807500000000001</v>
          </cell>
          <cell r="U64">
            <v>22.26</v>
          </cell>
          <cell r="V64">
            <v>26.712500000000002</v>
          </cell>
          <cell r="W64">
            <v>31.165000000000003</v>
          </cell>
          <cell r="X64">
            <v>35.6175</v>
          </cell>
          <cell r="Y64">
            <v>40.07</v>
          </cell>
          <cell r="Z64">
            <v>44.522500000000001</v>
          </cell>
          <cell r="AA64">
            <v>48.975000000000001</v>
          </cell>
          <cell r="AB64">
            <v>53.427500000000002</v>
          </cell>
        </row>
        <row r="65">
          <cell r="D65" t="str">
            <v>Marketing Exp</v>
          </cell>
          <cell r="E65">
            <v>800.38</v>
          </cell>
          <cell r="F65">
            <v>859.39</v>
          </cell>
          <cell r="G65">
            <v>979.22</v>
          </cell>
          <cell r="H65">
            <v>814.64</v>
          </cell>
          <cell r="I65">
            <v>405.18</v>
          </cell>
          <cell r="J65">
            <v>423.41</v>
          </cell>
          <cell r="K65">
            <v>703.82</v>
          </cell>
          <cell r="L65">
            <v>644.77</v>
          </cell>
          <cell r="M65">
            <v>424.31</v>
          </cell>
          <cell r="N65">
            <v>273.55</v>
          </cell>
          <cell r="O65">
            <v>308.68</v>
          </cell>
          <cell r="P65">
            <v>168.6</v>
          </cell>
          <cell r="Q65">
            <v>800.38</v>
          </cell>
          <cell r="R65">
            <v>1659.77</v>
          </cell>
          <cell r="S65">
            <v>2638.99</v>
          </cell>
          <cell r="T65">
            <v>3453.6299999999997</v>
          </cell>
          <cell r="U65">
            <v>3858.8099999999995</v>
          </cell>
          <cell r="V65">
            <v>4282.2199999999993</v>
          </cell>
          <cell r="W65">
            <v>4986.0399999999991</v>
          </cell>
          <cell r="X65">
            <v>5630.8099999999995</v>
          </cell>
          <cell r="Y65">
            <v>6055.12</v>
          </cell>
          <cell r="Z65">
            <v>6328.67</v>
          </cell>
          <cell r="AA65">
            <v>6637.35</v>
          </cell>
          <cell r="AB65">
            <v>6805.9500000000007</v>
          </cell>
        </row>
        <row r="66">
          <cell r="D66" t="str">
            <v>Sales &amp; Distribution Exp</v>
          </cell>
          <cell r="E66">
            <v>77.09</v>
          </cell>
          <cell r="F66">
            <v>74.08</v>
          </cell>
          <cell r="G66">
            <v>66.62</v>
          </cell>
          <cell r="H66">
            <v>63.58</v>
          </cell>
          <cell r="I66">
            <v>58.58</v>
          </cell>
          <cell r="J66">
            <v>65.16</v>
          </cell>
          <cell r="K66">
            <v>70.95</v>
          </cell>
          <cell r="L66">
            <v>72.02</v>
          </cell>
          <cell r="M66">
            <v>68.27</v>
          </cell>
          <cell r="N66">
            <v>63.33</v>
          </cell>
          <cell r="O66">
            <v>68.03</v>
          </cell>
          <cell r="P66">
            <v>45.5</v>
          </cell>
          <cell r="Q66">
            <v>77.09</v>
          </cell>
          <cell r="R66">
            <v>151.17000000000002</v>
          </cell>
          <cell r="S66">
            <v>217.79000000000002</v>
          </cell>
          <cell r="T66">
            <v>281.37</v>
          </cell>
          <cell r="U66">
            <v>339.95</v>
          </cell>
          <cell r="V66">
            <v>405.11</v>
          </cell>
          <cell r="W66">
            <v>476.06</v>
          </cell>
          <cell r="X66">
            <v>548.08000000000004</v>
          </cell>
          <cell r="Y66">
            <v>616.35</v>
          </cell>
          <cell r="Z66">
            <v>679.68000000000006</v>
          </cell>
          <cell r="AA66">
            <v>747.71</v>
          </cell>
          <cell r="AB66">
            <v>793.21</v>
          </cell>
        </row>
        <row r="68">
          <cell r="D68" t="str">
            <v>Total Overheads (a+b)</v>
          </cell>
          <cell r="E68">
            <v>931.27</v>
          </cell>
          <cell r="F68">
            <v>990.24250000000006</v>
          </cell>
          <cell r="G68">
            <v>1107.3325</v>
          </cell>
          <cell r="H68">
            <v>934.99250000000006</v>
          </cell>
          <cell r="I68">
            <v>520.53250000000003</v>
          </cell>
          <cell r="J68">
            <v>549.0625</v>
          </cell>
          <cell r="K68">
            <v>831.54250000000013</v>
          </cell>
          <cell r="L68">
            <v>773.5625</v>
          </cell>
          <cell r="M68">
            <v>553.07249999999999</v>
          </cell>
          <cell r="N68">
            <v>393.65249999999997</v>
          </cell>
          <cell r="O68">
            <v>433.4325</v>
          </cell>
          <cell r="P68">
            <v>274.52250000000004</v>
          </cell>
          <cell r="Q68">
            <v>931.27</v>
          </cell>
          <cell r="R68">
            <v>1921.5125</v>
          </cell>
          <cell r="S68">
            <v>3028.8450000000003</v>
          </cell>
          <cell r="T68">
            <v>3963.8375000000005</v>
          </cell>
          <cell r="U68">
            <v>4484.3700000000008</v>
          </cell>
          <cell r="V68">
            <v>5033.4325000000008</v>
          </cell>
          <cell r="W68">
            <v>5864.9750000000013</v>
          </cell>
          <cell r="X68">
            <v>6638.5375000000013</v>
          </cell>
          <cell r="Y68">
            <v>7191.6100000000015</v>
          </cell>
          <cell r="Z68">
            <v>7585.2625000000016</v>
          </cell>
          <cell r="AA68">
            <v>8018.6950000000015</v>
          </cell>
          <cell r="AB68">
            <v>8293.2175000000025</v>
          </cell>
        </row>
        <row r="69">
          <cell r="D69" t="str">
            <v>OPERATING PROFIT (LOSS)</v>
          </cell>
          <cell r="E69">
            <v>209.48348002360945</v>
          </cell>
          <cell r="F69">
            <v>91.946289011020554</v>
          </cell>
          <cell r="G69">
            <v>-141.13108805702427</v>
          </cell>
          <cell r="H69">
            <v>-12.286208795957009</v>
          </cell>
          <cell r="I69">
            <v>331.95608356441608</v>
          </cell>
          <cell r="J69">
            <v>398.81324805121903</v>
          </cell>
          <cell r="K69">
            <v>200.4160414802667</v>
          </cell>
          <cell r="L69">
            <v>275.23466984408674</v>
          </cell>
          <cell r="M69">
            <v>441.54459342952316</v>
          </cell>
          <cell r="N69">
            <v>526.13063203723686</v>
          </cell>
          <cell r="O69">
            <v>558.82343027550598</v>
          </cell>
          <cell r="P69">
            <v>356.74732170323387</v>
          </cell>
          <cell r="Q69">
            <v>209.48348002360945</v>
          </cell>
          <cell r="R69">
            <v>301.42976903463</v>
          </cell>
          <cell r="S69">
            <v>160.29868097760573</v>
          </cell>
          <cell r="T69">
            <v>148.01247218164872</v>
          </cell>
          <cell r="U69">
            <v>479.96855574606479</v>
          </cell>
          <cell r="V69">
            <v>878.78180379728383</v>
          </cell>
          <cell r="W69">
            <v>1079.1978452775506</v>
          </cell>
          <cell r="X69">
            <v>1354.4325151216374</v>
          </cell>
          <cell r="Y69">
            <v>1795.9771085511607</v>
          </cell>
          <cell r="Z69">
            <v>2322.1077405883975</v>
          </cell>
          <cell r="AA69">
            <v>2880.9311708639034</v>
          </cell>
          <cell r="AB69">
            <v>3237.6784925671373</v>
          </cell>
        </row>
        <row r="71">
          <cell r="D71" t="str">
            <v>Interest &amp; Depreciation</v>
          </cell>
        </row>
        <row r="72">
          <cell r="D72" t="str">
            <v>Variable Interest</v>
          </cell>
          <cell r="E72">
            <v>1.76</v>
          </cell>
          <cell r="F72">
            <v>1.61</v>
          </cell>
          <cell r="G72">
            <v>1.39</v>
          </cell>
          <cell r="H72">
            <v>1.31</v>
          </cell>
          <cell r="I72">
            <v>1.21</v>
          </cell>
          <cell r="J72">
            <v>1.34</v>
          </cell>
          <cell r="K72">
            <v>1.45</v>
          </cell>
          <cell r="L72">
            <v>1.49</v>
          </cell>
          <cell r="M72">
            <v>1.4</v>
          </cell>
          <cell r="N72">
            <v>1.29</v>
          </cell>
          <cell r="O72">
            <v>1.42</v>
          </cell>
          <cell r="P72">
            <v>0.87</v>
          </cell>
          <cell r="Q72">
            <v>1.76</v>
          </cell>
          <cell r="R72">
            <v>3.37</v>
          </cell>
          <cell r="S72">
            <v>4.76</v>
          </cell>
          <cell r="T72">
            <v>6.07</v>
          </cell>
          <cell r="U72">
            <v>7.28</v>
          </cell>
          <cell r="V72">
            <v>8.620000000000001</v>
          </cell>
          <cell r="W72">
            <v>10.07</v>
          </cell>
          <cell r="X72">
            <v>11.56</v>
          </cell>
          <cell r="Y72">
            <v>12.96</v>
          </cell>
          <cell r="Z72">
            <v>14.25</v>
          </cell>
          <cell r="AA72">
            <v>15.67</v>
          </cell>
          <cell r="AB72">
            <v>16.54</v>
          </cell>
        </row>
        <row r="73">
          <cell r="D73" t="str">
            <v>Fixed Interest</v>
          </cell>
          <cell r="E73">
            <v>0.1</v>
          </cell>
          <cell r="F73">
            <v>0.1</v>
          </cell>
          <cell r="G73">
            <v>0.1</v>
          </cell>
          <cell r="H73">
            <v>0.1</v>
          </cell>
          <cell r="I73">
            <v>0.1</v>
          </cell>
          <cell r="J73">
            <v>0.1</v>
          </cell>
          <cell r="K73">
            <v>0.1</v>
          </cell>
          <cell r="L73">
            <v>0.1</v>
          </cell>
          <cell r="M73">
            <v>0.1</v>
          </cell>
          <cell r="N73">
            <v>0.1</v>
          </cell>
          <cell r="O73">
            <v>0.1</v>
          </cell>
          <cell r="P73">
            <v>0.1</v>
          </cell>
          <cell r="Q73">
            <v>0.1</v>
          </cell>
          <cell r="R73">
            <v>0.2</v>
          </cell>
          <cell r="S73">
            <v>0.30000000000000004</v>
          </cell>
          <cell r="T73">
            <v>0.4</v>
          </cell>
          <cell r="U73">
            <v>0.5</v>
          </cell>
          <cell r="V73">
            <v>0.6</v>
          </cell>
          <cell r="W73">
            <v>0.7</v>
          </cell>
          <cell r="X73">
            <v>0.79999999999999993</v>
          </cell>
          <cell r="Y73">
            <v>0.89999999999999991</v>
          </cell>
          <cell r="Z73">
            <v>0.99999999999999989</v>
          </cell>
          <cell r="AA73">
            <v>1.0999999999999999</v>
          </cell>
          <cell r="AB73">
            <v>1.2</v>
          </cell>
        </row>
        <row r="74">
          <cell r="D74" t="str">
            <v>CASH PROFIT</v>
          </cell>
          <cell r="E74">
            <v>207.62348002360943</v>
          </cell>
          <cell r="F74">
            <v>90.23628901102056</v>
          </cell>
          <cell r="G74">
            <v>-142.62108805702428</v>
          </cell>
          <cell r="H74">
            <v>-13.696208795957009</v>
          </cell>
          <cell r="I74">
            <v>330.64608356441607</v>
          </cell>
          <cell r="J74">
            <v>397.37324805121904</v>
          </cell>
          <cell r="K74">
            <v>198.86604148026669</v>
          </cell>
          <cell r="L74">
            <v>273.64466984408676</v>
          </cell>
          <cell r="M74">
            <v>440.04459342952316</v>
          </cell>
          <cell r="N74">
            <v>524.74063203723688</v>
          </cell>
          <cell r="O74">
            <v>557.303430275506</v>
          </cell>
          <cell r="P74">
            <v>355.77732170323384</v>
          </cell>
          <cell r="Q74">
            <v>207.62348002360943</v>
          </cell>
          <cell r="R74">
            <v>297.85976903463001</v>
          </cell>
          <cell r="S74">
            <v>155.23868097760572</v>
          </cell>
          <cell r="T74">
            <v>141.54247218164872</v>
          </cell>
          <cell r="U74">
            <v>472.18855574606482</v>
          </cell>
          <cell r="V74">
            <v>869.5618037972838</v>
          </cell>
          <cell r="W74">
            <v>1068.4278452775507</v>
          </cell>
          <cell r="X74">
            <v>1342.0725151216375</v>
          </cell>
          <cell r="Y74">
            <v>1782.1171085511608</v>
          </cell>
          <cell r="Z74">
            <v>2306.8577405883975</v>
          </cell>
          <cell r="AA74">
            <v>2864.1611708639034</v>
          </cell>
          <cell r="AB74">
            <v>3219.9384925671375</v>
          </cell>
        </row>
        <row r="75">
          <cell r="D75" t="str">
            <v>DEPRECIATION</v>
          </cell>
          <cell r="E75">
            <v>0.65083333333333326</v>
          </cell>
          <cell r="F75">
            <v>0.65083333333333326</v>
          </cell>
          <cell r="G75">
            <v>0.65083333333333326</v>
          </cell>
          <cell r="H75">
            <v>0.65083333333333326</v>
          </cell>
          <cell r="I75">
            <v>0.65083333333333326</v>
          </cell>
          <cell r="J75">
            <v>0.65083333333333326</v>
          </cell>
          <cell r="K75">
            <v>0.65083333333333326</v>
          </cell>
          <cell r="L75">
            <v>0.65083333333333326</v>
          </cell>
          <cell r="M75">
            <v>0.65083333333333326</v>
          </cell>
          <cell r="N75">
            <v>0.65083333333333326</v>
          </cell>
          <cell r="O75">
            <v>0.65083333333333326</v>
          </cell>
          <cell r="P75">
            <v>0.65083333333333326</v>
          </cell>
          <cell r="Q75">
            <v>0.65083333333333326</v>
          </cell>
          <cell r="R75">
            <v>1.3016666666666665</v>
          </cell>
          <cell r="S75">
            <v>1.9524999999999997</v>
          </cell>
          <cell r="T75">
            <v>2.6033333333333331</v>
          </cell>
          <cell r="U75">
            <v>3.2541666666666664</v>
          </cell>
          <cell r="V75">
            <v>3.9049999999999998</v>
          </cell>
          <cell r="W75">
            <v>4.5558333333333332</v>
          </cell>
          <cell r="X75">
            <v>5.2066666666666661</v>
          </cell>
          <cell r="Y75">
            <v>5.857499999999999</v>
          </cell>
          <cell r="Z75">
            <v>6.508333333333332</v>
          </cell>
          <cell r="AA75">
            <v>7.1591666666666649</v>
          </cell>
          <cell r="AB75">
            <v>7.8099999999999978</v>
          </cell>
        </row>
        <row r="76">
          <cell r="D76" t="str">
            <v>Net Profit / - Loss</v>
          </cell>
          <cell r="E76">
            <v>206.97264669027609</v>
          </cell>
          <cell r="F76">
            <v>89.585455677687222</v>
          </cell>
          <cell r="G76">
            <v>-143.27192139035762</v>
          </cell>
          <cell r="H76">
            <v>-14.347042129290342</v>
          </cell>
          <cell r="I76">
            <v>329.99525023108276</v>
          </cell>
          <cell r="J76">
            <v>396.72241471788573</v>
          </cell>
          <cell r="K76">
            <v>198.21520814693335</v>
          </cell>
          <cell r="L76">
            <v>272.99383651075345</v>
          </cell>
          <cell r="M76">
            <v>439.39376009618985</v>
          </cell>
          <cell r="N76">
            <v>524.08979870390351</v>
          </cell>
          <cell r="O76">
            <v>556.65259694217264</v>
          </cell>
          <cell r="P76">
            <v>355.12648836990053</v>
          </cell>
          <cell r="Q76">
            <v>206.97264669027609</v>
          </cell>
          <cell r="R76">
            <v>296.55810236796333</v>
          </cell>
          <cell r="S76">
            <v>153.28618097760574</v>
          </cell>
          <cell r="T76">
            <v>138.93913884831539</v>
          </cell>
          <cell r="U76">
            <v>468.93438907939816</v>
          </cell>
          <cell r="V76">
            <v>865.65680379728383</v>
          </cell>
          <cell r="W76">
            <v>1063.8720119442173</v>
          </cell>
          <cell r="X76">
            <v>1336.8658484549708</v>
          </cell>
          <cell r="Y76">
            <v>1776.2596085511607</v>
          </cell>
          <cell r="Z76">
            <v>2300.3494072550643</v>
          </cell>
          <cell r="AA76">
            <v>2857.0020041972366</v>
          </cell>
          <cell r="AB76">
            <v>3212.1284925671375</v>
          </cell>
        </row>
        <row r="77">
          <cell r="D77" t="str">
            <v>Other operating income</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row>
        <row r="78">
          <cell r="D78" t="str">
            <v>Net Profit / - Loss after Extra Ordianry Items</v>
          </cell>
          <cell r="E78">
            <v>206.97264669027609</v>
          </cell>
          <cell r="F78">
            <v>89.585455677687222</v>
          </cell>
          <cell r="G78">
            <v>-143.27192139035762</v>
          </cell>
          <cell r="H78">
            <v>-14.347042129290342</v>
          </cell>
          <cell r="I78">
            <v>329.99525023108276</v>
          </cell>
          <cell r="J78">
            <v>396.72241471788573</v>
          </cell>
          <cell r="K78">
            <v>198.21520814693335</v>
          </cell>
          <cell r="L78">
            <v>272.99383651075345</v>
          </cell>
          <cell r="M78">
            <v>439.39376009618985</v>
          </cell>
          <cell r="N78">
            <v>524.08979870390351</v>
          </cell>
          <cell r="O78">
            <v>556.65259694217264</v>
          </cell>
          <cell r="P78">
            <v>355.12648836990053</v>
          </cell>
          <cell r="Q78">
            <v>206.97264669027609</v>
          </cell>
          <cell r="R78">
            <v>296.55810236796333</v>
          </cell>
          <cell r="S78">
            <v>153.28618097760574</v>
          </cell>
          <cell r="T78">
            <v>138.93913884831539</v>
          </cell>
          <cell r="U78">
            <v>468.93438907939816</v>
          </cell>
          <cell r="V78">
            <v>865.65680379728383</v>
          </cell>
          <cell r="W78">
            <v>1063.8720119442173</v>
          </cell>
          <cell r="X78">
            <v>1336.8658484549708</v>
          </cell>
          <cell r="Y78">
            <v>1776.2596085511607</v>
          </cell>
          <cell r="Z78">
            <v>2300.3494072550643</v>
          </cell>
          <cell r="AA78">
            <v>2857.0020041972366</v>
          </cell>
          <cell r="AB78">
            <v>3212.1284925671375</v>
          </cell>
        </row>
        <row r="79">
          <cell r="D79" t="str">
            <v>PSM saving</v>
          </cell>
          <cell r="Q79">
            <v>0</v>
          </cell>
          <cell r="R79">
            <v>0</v>
          </cell>
          <cell r="S79">
            <v>0</v>
          </cell>
          <cell r="T79">
            <v>0</v>
          </cell>
          <cell r="U79">
            <v>0</v>
          </cell>
          <cell r="V79">
            <v>0</v>
          </cell>
          <cell r="W79">
            <v>0</v>
          </cell>
          <cell r="X79">
            <v>0</v>
          </cell>
          <cell r="Y79">
            <v>0</v>
          </cell>
          <cell r="Z79">
            <v>0</v>
          </cell>
          <cell r="AA79">
            <v>0</v>
          </cell>
          <cell r="AB79">
            <v>0</v>
          </cell>
        </row>
        <row r="80">
          <cell r="D80" t="str">
            <v>Interest Income</v>
          </cell>
          <cell r="E80">
            <v>18.170000000000002</v>
          </cell>
          <cell r="F80">
            <v>18.170000000000002</v>
          </cell>
          <cell r="G80">
            <v>18.170000000000002</v>
          </cell>
          <cell r="H80">
            <v>18.170000000000002</v>
          </cell>
          <cell r="I80">
            <v>18.170000000000002</v>
          </cell>
          <cell r="J80">
            <v>18.170000000000002</v>
          </cell>
          <cell r="K80">
            <v>18.170000000000002</v>
          </cell>
          <cell r="L80">
            <v>18.170000000000002</v>
          </cell>
          <cell r="M80">
            <v>18.170000000000002</v>
          </cell>
          <cell r="N80">
            <v>18.170000000000002</v>
          </cell>
          <cell r="O80">
            <v>18.170000000000002</v>
          </cell>
          <cell r="P80">
            <v>18.13</v>
          </cell>
          <cell r="Q80">
            <v>18.170000000000002</v>
          </cell>
          <cell r="R80">
            <v>36.340000000000003</v>
          </cell>
          <cell r="S80">
            <v>54.510000000000005</v>
          </cell>
          <cell r="T80">
            <v>72.680000000000007</v>
          </cell>
          <cell r="U80">
            <v>90.850000000000009</v>
          </cell>
          <cell r="V80">
            <v>109.02000000000001</v>
          </cell>
          <cell r="W80">
            <v>127.19000000000001</v>
          </cell>
          <cell r="X80">
            <v>145.36000000000001</v>
          </cell>
          <cell r="Y80">
            <v>163.53000000000003</v>
          </cell>
          <cell r="Z80">
            <v>181.70000000000005</v>
          </cell>
          <cell r="AA80">
            <v>199.87000000000006</v>
          </cell>
          <cell r="AB80">
            <v>218.00000000000006</v>
          </cell>
        </row>
        <row r="81">
          <cell r="D81" t="str">
            <v>PBT After Acquisition Interest</v>
          </cell>
          <cell r="E81">
            <v>225.14264669027608</v>
          </cell>
          <cell r="F81">
            <v>107.75545567768722</v>
          </cell>
          <cell r="G81">
            <v>-125.10192139035762</v>
          </cell>
          <cell r="H81">
            <v>3.8229578707096596</v>
          </cell>
          <cell r="I81">
            <v>348.16525023108278</v>
          </cell>
          <cell r="J81">
            <v>414.89241471788574</v>
          </cell>
          <cell r="K81">
            <v>216.38520814693334</v>
          </cell>
          <cell r="L81">
            <v>291.16383651075347</v>
          </cell>
          <cell r="M81">
            <v>457.56376009618987</v>
          </cell>
          <cell r="N81">
            <v>542.25979870390347</v>
          </cell>
          <cell r="O81">
            <v>574.82259694217259</v>
          </cell>
          <cell r="P81">
            <v>373.25648836990052</v>
          </cell>
          <cell r="Q81">
            <v>225.14264669027608</v>
          </cell>
          <cell r="R81">
            <v>332.89810236796336</v>
          </cell>
          <cell r="S81">
            <v>207.79618097760573</v>
          </cell>
          <cell r="T81">
            <v>211.6191388483154</v>
          </cell>
          <cell r="U81">
            <v>559.78438907939812</v>
          </cell>
          <cell r="V81">
            <v>974.67680379728381</v>
          </cell>
          <cell r="W81">
            <v>1191.0620119442174</v>
          </cell>
          <cell r="X81">
            <v>1482.2258484549707</v>
          </cell>
          <cell r="Y81">
            <v>1939.7896085511607</v>
          </cell>
          <cell r="Z81">
            <v>2482.0494072550646</v>
          </cell>
          <cell r="AA81">
            <v>3056.8720041972365</v>
          </cell>
          <cell r="AB81">
            <v>3430.1284925671375</v>
          </cell>
        </row>
        <row r="88">
          <cell r="D88" t="str">
            <v>Particulars</v>
          </cell>
          <cell r="E88">
            <v>39904</v>
          </cell>
          <cell r="F88">
            <v>39934</v>
          </cell>
          <cell r="G88">
            <v>39965</v>
          </cell>
          <cell r="H88">
            <v>39995</v>
          </cell>
          <cell r="I88">
            <v>40026</v>
          </cell>
          <cell r="J88">
            <v>40057</v>
          </cell>
          <cell r="K88">
            <v>40087</v>
          </cell>
          <cell r="L88">
            <v>40118</v>
          </cell>
          <cell r="M88">
            <v>40148</v>
          </cell>
          <cell r="N88">
            <v>40179</v>
          </cell>
          <cell r="O88">
            <v>40210</v>
          </cell>
          <cell r="P88">
            <v>40238</v>
          </cell>
          <cell r="Q88">
            <v>39904</v>
          </cell>
          <cell r="R88">
            <v>39934</v>
          </cell>
          <cell r="S88">
            <v>39965</v>
          </cell>
          <cell r="T88">
            <v>39995</v>
          </cell>
          <cell r="U88">
            <v>40026</v>
          </cell>
          <cell r="V88">
            <v>40057</v>
          </cell>
          <cell r="W88">
            <v>40087</v>
          </cell>
          <cell r="X88">
            <v>40118</v>
          </cell>
          <cell r="Y88">
            <v>40148</v>
          </cell>
          <cell r="Z88">
            <v>40179</v>
          </cell>
          <cell r="AA88">
            <v>40210</v>
          </cell>
          <cell r="AB88">
            <v>40238</v>
          </cell>
        </row>
        <row r="91">
          <cell r="D91" t="str">
            <v>Sales</v>
          </cell>
          <cell r="E91">
            <v>2100.3808320278094</v>
          </cell>
          <cell r="F91">
            <v>2082.5992797707049</v>
          </cell>
          <cell r="G91">
            <v>1969.9559901004739</v>
          </cell>
          <cell r="H91">
            <v>1904.3559901004739</v>
          </cell>
          <cell r="I91">
            <v>1796.1059901004739</v>
          </cell>
          <cell r="J91">
            <v>1981.1906178992713</v>
          </cell>
          <cell r="K91">
            <v>2107.6092542629076</v>
          </cell>
          <cell r="L91">
            <v>2174.5850184253413</v>
          </cell>
          <cell r="M91">
            <v>2142.5531899951829</v>
          </cell>
          <cell r="N91">
            <v>2036.8382607416424</v>
          </cell>
          <cell r="O91">
            <v>2042.9551583427008</v>
          </cell>
          <cell r="P91">
            <v>1518.8167999829507</v>
          </cell>
          <cell r="Q91">
            <v>2100.3808320278094</v>
          </cell>
          <cell r="R91">
            <v>4182.9801117985144</v>
          </cell>
          <cell r="S91">
            <v>6152.9361018989885</v>
          </cell>
          <cell r="T91">
            <v>8057.2920919994622</v>
          </cell>
          <cell r="U91">
            <v>9853.3980820999368</v>
          </cell>
          <cell r="V91">
            <v>11834.588699999207</v>
          </cell>
          <cell r="W91">
            <v>13942.197954262116</v>
          </cell>
          <cell r="X91">
            <v>16116.782972687457</v>
          </cell>
          <cell r="Y91">
            <v>18259.336162682641</v>
          </cell>
          <cell r="Z91">
            <v>20296.174423424283</v>
          </cell>
          <cell r="AA91">
            <v>22339.129581766985</v>
          </cell>
          <cell r="AB91">
            <v>23857.946381749935</v>
          </cell>
        </row>
        <row r="93">
          <cell r="D93" t="str">
            <v>Cost of Goods Sold</v>
          </cell>
          <cell r="E93">
            <v>711.82985330972372</v>
          </cell>
          <cell r="F93">
            <v>729.80686863043388</v>
          </cell>
          <cell r="G93">
            <v>709.92990493896923</v>
          </cell>
          <cell r="H93">
            <v>687.82502567790198</v>
          </cell>
          <cell r="I93">
            <v>649.79273331752893</v>
          </cell>
          <cell r="J93">
            <v>718.76726140270421</v>
          </cell>
          <cell r="K93">
            <v>760.48552297365632</v>
          </cell>
          <cell r="L93">
            <v>789.23263468181472</v>
          </cell>
          <cell r="M93">
            <v>787.95143579798639</v>
          </cell>
          <cell r="N93">
            <v>756.61882876619234</v>
          </cell>
          <cell r="O93">
            <v>736.31847658767038</v>
          </cell>
          <cell r="P93">
            <v>591.3697038879518</v>
          </cell>
          <cell r="Q93">
            <v>711.82985330972372</v>
          </cell>
          <cell r="R93">
            <v>1441.6367219401577</v>
          </cell>
          <cell r="S93">
            <v>2151.5666268791269</v>
          </cell>
          <cell r="T93">
            <v>2839.3916525570289</v>
          </cell>
          <cell r="U93">
            <v>3489.1843858745578</v>
          </cell>
          <cell r="V93">
            <v>4207.9516472772621</v>
          </cell>
          <cell r="W93">
            <v>4968.4371702509179</v>
          </cell>
          <cell r="X93">
            <v>5757.6698049327324</v>
          </cell>
          <cell r="Y93">
            <v>6545.6212407307185</v>
          </cell>
          <cell r="Z93">
            <v>7302.240069496911</v>
          </cell>
          <cell r="AA93">
            <v>8038.5585460845814</v>
          </cell>
          <cell r="AB93">
            <v>8629.9282499725341</v>
          </cell>
        </row>
        <row r="95">
          <cell r="D95" t="str">
            <v>Contribution</v>
          </cell>
          <cell r="E95">
            <v>1388.5509787180858</v>
          </cell>
          <cell r="F95">
            <v>1352.792411140271</v>
          </cell>
          <cell r="G95">
            <v>1260.0260851615046</v>
          </cell>
          <cell r="H95">
            <v>1216.530964422572</v>
          </cell>
          <cell r="I95">
            <v>1146.313256782945</v>
          </cell>
          <cell r="J95">
            <v>1262.4233564965671</v>
          </cell>
          <cell r="K95">
            <v>1347.1237312892513</v>
          </cell>
          <cell r="L95">
            <v>1385.3523837435266</v>
          </cell>
          <cell r="M95">
            <v>1354.6017541971964</v>
          </cell>
          <cell r="N95">
            <v>1280.2194319754501</v>
          </cell>
          <cell r="O95">
            <v>1306.6366817550304</v>
          </cell>
          <cell r="P95">
            <v>927.44709609499887</v>
          </cell>
          <cell r="Q95">
            <v>1388.5509787180858</v>
          </cell>
          <cell r="R95">
            <v>2741.3433898583571</v>
          </cell>
          <cell r="S95">
            <v>4001.369475019862</v>
          </cell>
          <cell r="T95">
            <v>5217.9004394424337</v>
          </cell>
          <cell r="U95">
            <v>6364.213696225379</v>
          </cell>
          <cell r="V95">
            <v>7626.637052721946</v>
          </cell>
          <cell r="W95">
            <v>8973.7607840111978</v>
          </cell>
          <cell r="X95">
            <v>10359.113167754724</v>
          </cell>
          <cell r="Y95">
            <v>11713.71492195192</v>
          </cell>
          <cell r="Z95">
            <v>12993.93435392737</v>
          </cell>
          <cell r="AA95">
            <v>14300.5710356824</v>
          </cell>
          <cell r="AB95">
            <v>15228.018131777399</v>
          </cell>
        </row>
        <row r="96">
          <cell r="E96">
            <v>0.6610948631527509</v>
          </cell>
          <cell r="F96">
            <v>0.64956923027900693</v>
          </cell>
          <cell r="G96">
            <v>0.63962143900343649</v>
          </cell>
          <cell r="H96">
            <v>0.63881489109522416</v>
          </cell>
          <cell r="I96">
            <v>0.63822138732404121</v>
          </cell>
          <cell r="J96">
            <v>0.63720438865956297</v>
          </cell>
          <cell r="K96">
            <v>0.63917148236302446</v>
          </cell>
          <cell r="L96">
            <v>0.63706517427710729</v>
          </cell>
          <cell r="M96">
            <v>0.63223716476333636</v>
          </cell>
          <cell r="N96">
            <v>0.62853269042054605</v>
          </cell>
          <cell r="O96">
            <v>0.63958167482002326</v>
          </cell>
          <cell r="P96">
            <v>0.61063789662150814</v>
          </cell>
        </row>
        <row r="97">
          <cell r="D97" t="str">
            <v>Overheads</v>
          </cell>
        </row>
        <row r="99">
          <cell r="D99" t="str">
            <v>Non-controlable Expenses</v>
          </cell>
        </row>
        <row r="100">
          <cell r="D100" t="str">
            <v>Personnel Costs</v>
          </cell>
          <cell r="E100">
            <v>63.58</v>
          </cell>
          <cell r="F100">
            <v>66.540000000000006</v>
          </cell>
          <cell r="G100">
            <v>71.23</v>
          </cell>
          <cell r="H100">
            <v>66.540000000000006</v>
          </cell>
          <cell r="I100">
            <v>66.550000000000011</v>
          </cell>
          <cell r="J100">
            <v>71.22</v>
          </cell>
          <cell r="K100">
            <v>66.550000000000011</v>
          </cell>
          <cell r="L100">
            <v>66.540000000000006</v>
          </cell>
          <cell r="M100">
            <v>71.23</v>
          </cell>
          <cell r="N100">
            <v>66.550000000000011</v>
          </cell>
          <cell r="O100">
            <v>66.550000000000011</v>
          </cell>
          <cell r="P100">
            <v>71.23</v>
          </cell>
          <cell r="Q100">
            <v>63.58</v>
          </cell>
          <cell r="R100">
            <v>130.12</v>
          </cell>
          <cell r="S100">
            <v>201.35000000000002</v>
          </cell>
          <cell r="T100">
            <v>267.89000000000004</v>
          </cell>
          <cell r="U100">
            <v>334.44000000000005</v>
          </cell>
          <cell r="V100">
            <v>405.66000000000008</v>
          </cell>
          <cell r="W100">
            <v>472.21000000000009</v>
          </cell>
          <cell r="X100">
            <v>538.75000000000011</v>
          </cell>
          <cell r="Y100">
            <v>609.98000000000013</v>
          </cell>
          <cell r="Z100">
            <v>676.5300000000002</v>
          </cell>
          <cell r="AA100">
            <v>743.08000000000015</v>
          </cell>
          <cell r="AB100">
            <v>814.31000000000017</v>
          </cell>
        </row>
        <row r="101">
          <cell r="D101" t="str">
            <v>Administration Exp</v>
          </cell>
          <cell r="E101">
            <v>8.4024999999999999</v>
          </cell>
          <cell r="F101">
            <v>12.452500000000001</v>
          </cell>
          <cell r="G101">
            <v>8.9725000000000001</v>
          </cell>
          <cell r="H101">
            <v>11.842500000000001</v>
          </cell>
          <cell r="I101">
            <v>6.3325000000000005</v>
          </cell>
          <cell r="J101">
            <v>6.7025000000000006</v>
          </cell>
          <cell r="K101">
            <v>6.3325000000000005</v>
          </cell>
          <cell r="L101">
            <v>5.4525000000000006</v>
          </cell>
          <cell r="M101">
            <v>4.9725000000000001</v>
          </cell>
          <cell r="N101">
            <v>6.8125</v>
          </cell>
          <cell r="O101">
            <v>4.9725000000000001</v>
          </cell>
          <cell r="P101">
            <v>5.4525000000000006</v>
          </cell>
          <cell r="Q101">
            <v>8.4024999999999999</v>
          </cell>
          <cell r="R101">
            <v>20.855</v>
          </cell>
          <cell r="S101">
            <v>29.827500000000001</v>
          </cell>
          <cell r="T101">
            <v>41.67</v>
          </cell>
          <cell r="U101">
            <v>48.002500000000005</v>
          </cell>
          <cell r="V101">
            <v>54.705000000000005</v>
          </cell>
          <cell r="W101">
            <v>61.037500000000009</v>
          </cell>
          <cell r="X101">
            <v>66.490000000000009</v>
          </cell>
          <cell r="Y101">
            <v>71.462500000000006</v>
          </cell>
          <cell r="Z101">
            <v>78.275000000000006</v>
          </cell>
          <cell r="AA101">
            <v>83.247500000000002</v>
          </cell>
          <cell r="AB101">
            <v>88.7</v>
          </cell>
        </row>
        <row r="102">
          <cell r="D102" t="str">
            <v>Production Exp</v>
          </cell>
          <cell r="E102">
            <v>24.166863452260564</v>
          </cell>
          <cell r="F102">
            <v>25.146925922220703</v>
          </cell>
          <cell r="G102">
            <v>26.185013801109761</v>
          </cell>
          <cell r="H102">
            <v>26.145013801109762</v>
          </cell>
          <cell r="I102">
            <v>26.145013801109762</v>
          </cell>
          <cell r="J102">
            <v>26.075727592891621</v>
          </cell>
          <cell r="K102">
            <v>27.062272492642428</v>
          </cell>
          <cell r="L102">
            <v>27.981659116949281</v>
          </cell>
          <cell r="M102">
            <v>28.028704269141212</v>
          </cell>
          <cell r="N102">
            <v>29.008116636824933</v>
          </cell>
          <cell r="O102">
            <v>26.978555742037134</v>
          </cell>
          <cell r="P102">
            <v>25.216133371702824</v>
          </cell>
          <cell r="Q102">
            <v>24.166863452260564</v>
          </cell>
          <cell r="R102">
            <v>49.313789374481267</v>
          </cell>
          <cell r="S102">
            <v>75.498803175591036</v>
          </cell>
          <cell r="T102">
            <v>101.6438169767008</v>
          </cell>
          <cell r="U102">
            <v>127.78883077781057</v>
          </cell>
          <cell r="V102">
            <v>153.86455837070218</v>
          </cell>
          <cell r="W102">
            <v>180.92683086334461</v>
          </cell>
          <cell r="X102">
            <v>208.90848998029389</v>
          </cell>
          <cell r="Y102">
            <v>236.93719424943509</v>
          </cell>
          <cell r="Z102">
            <v>265.94531088626002</v>
          </cell>
          <cell r="AA102">
            <v>292.92386662829716</v>
          </cell>
          <cell r="AB102">
            <v>318.14</v>
          </cell>
        </row>
        <row r="103">
          <cell r="D103" t="str">
            <v xml:space="preserve">Research &amp; Development </v>
          </cell>
          <cell r="E103">
            <v>4.45</v>
          </cell>
          <cell r="F103">
            <v>4.4524999999999997</v>
          </cell>
          <cell r="G103">
            <v>4.4524999999999997</v>
          </cell>
          <cell r="H103">
            <v>4.4524999999999997</v>
          </cell>
          <cell r="I103">
            <v>4.4524999999999997</v>
          </cell>
          <cell r="J103">
            <v>4.4524999999999997</v>
          </cell>
          <cell r="K103">
            <v>4.4524999999999997</v>
          </cell>
          <cell r="L103">
            <v>4.4524999999999997</v>
          </cell>
          <cell r="M103">
            <v>4.4524999999999997</v>
          </cell>
          <cell r="N103">
            <v>4.4524999999999997</v>
          </cell>
          <cell r="O103">
            <v>4.4524999999999997</v>
          </cell>
          <cell r="P103">
            <v>4.4524999999999997</v>
          </cell>
          <cell r="Q103">
            <v>4.45</v>
          </cell>
          <cell r="R103">
            <v>8.9024999999999999</v>
          </cell>
          <cell r="S103">
            <v>13.355</v>
          </cell>
          <cell r="T103">
            <v>17.807500000000001</v>
          </cell>
          <cell r="U103">
            <v>22.26</v>
          </cell>
          <cell r="V103">
            <v>26.712500000000002</v>
          </cell>
          <cell r="W103">
            <v>31.165000000000003</v>
          </cell>
          <cell r="X103">
            <v>35.6175</v>
          </cell>
          <cell r="Y103">
            <v>40.07</v>
          </cell>
          <cell r="Z103">
            <v>44.522500000000001</v>
          </cell>
          <cell r="AA103">
            <v>48.975000000000001</v>
          </cell>
          <cell r="AB103">
            <v>53.427500000000002</v>
          </cell>
        </row>
        <row r="104">
          <cell r="D104" t="str">
            <v>Marketing Exp</v>
          </cell>
          <cell r="E104">
            <v>940.07675355416643</v>
          </cell>
          <cell r="F104">
            <v>993.61362947733517</v>
          </cell>
          <cell r="G104">
            <v>1130.0537641642936</v>
          </cell>
          <cell r="H104">
            <v>923.47376416429358</v>
          </cell>
          <cell r="I104">
            <v>515.01376416429366</v>
          </cell>
          <cell r="J104">
            <v>538.35794151731034</v>
          </cell>
          <cell r="K104">
            <v>816.89055152559865</v>
          </cell>
          <cell r="L104">
            <v>795.08716773755032</v>
          </cell>
          <cell r="M104">
            <v>591.27867577171355</v>
          </cell>
          <cell r="N104">
            <v>445.6083408518208</v>
          </cell>
          <cell r="O104">
            <v>468.59481497695924</v>
          </cell>
          <cell r="P104">
            <v>319.90083209466502</v>
          </cell>
          <cell r="Q104">
            <v>940.07675355416643</v>
          </cell>
          <cell r="R104">
            <v>1933.6903830315016</v>
          </cell>
          <cell r="S104">
            <v>3063.7441471957954</v>
          </cell>
          <cell r="T104">
            <v>3987.2179113600891</v>
          </cell>
          <cell r="U104">
            <v>4502.2316755243828</v>
          </cell>
          <cell r="V104">
            <v>5040.5896170416927</v>
          </cell>
          <cell r="W104">
            <v>5857.480168567291</v>
          </cell>
          <cell r="X104">
            <v>6652.5673363048409</v>
          </cell>
          <cell r="Y104">
            <v>7243.846012076554</v>
          </cell>
          <cell r="Z104">
            <v>7689.4543529283746</v>
          </cell>
          <cell r="AA104">
            <v>8158.0491679053339</v>
          </cell>
          <cell r="AB104">
            <v>8477.9499999999989</v>
          </cell>
        </row>
        <row r="105">
          <cell r="D105" t="str">
            <v>Sales &amp; Distribution Exp</v>
          </cell>
          <cell r="E105">
            <v>125.54947250635195</v>
          </cell>
          <cell r="F105">
            <v>126.99850696473204</v>
          </cell>
          <cell r="G105">
            <v>124.07955243976063</v>
          </cell>
          <cell r="H105">
            <v>121.03955243976063</v>
          </cell>
          <cell r="I105">
            <v>116.03955243976063</v>
          </cell>
          <cell r="J105">
            <v>126.67207318394465</v>
          </cell>
          <cell r="K105">
            <v>132.5828457125447</v>
          </cell>
          <cell r="L105">
            <v>137.83582053712374</v>
          </cell>
          <cell r="M105">
            <v>138.66761932281855</v>
          </cell>
          <cell r="N105">
            <v>133.81594064831933</v>
          </cell>
          <cell r="O105">
            <v>129.50944309038354</v>
          </cell>
          <cell r="P105">
            <v>103.41962071449967</v>
          </cell>
          <cell r="Q105">
            <v>125.54947250635195</v>
          </cell>
          <cell r="R105">
            <v>252.54797947108398</v>
          </cell>
          <cell r="S105">
            <v>376.6275319108446</v>
          </cell>
          <cell r="T105">
            <v>497.66708435060525</v>
          </cell>
          <cell r="U105">
            <v>613.70663679036591</v>
          </cell>
          <cell r="V105">
            <v>740.3787099743106</v>
          </cell>
          <cell r="W105">
            <v>872.96155568685526</v>
          </cell>
          <cell r="X105">
            <v>1010.797376223979</v>
          </cell>
          <cell r="Y105">
            <v>1149.4649955467976</v>
          </cell>
          <cell r="Z105">
            <v>1283.280936195117</v>
          </cell>
          <cell r="AA105">
            <v>1412.7903792855004</v>
          </cell>
          <cell r="AB105">
            <v>1516.21</v>
          </cell>
        </row>
        <row r="106">
          <cell r="D106" t="str">
            <v>Total Overheads</v>
          </cell>
          <cell r="E106">
            <v>1166.2255895127789</v>
          </cell>
          <cell r="F106">
            <v>1229.2040623642879</v>
          </cell>
          <cell r="G106">
            <v>1364.973330405164</v>
          </cell>
          <cell r="H106">
            <v>1153.493330405164</v>
          </cell>
          <cell r="I106">
            <v>734.53333040516407</v>
          </cell>
          <cell r="J106">
            <v>773.48074229414669</v>
          </cell>
          <cell r="K106">
            <v>1053.8706697307857</v>
          </cell>
          <cell r="L106">
            <v>1037.3496473916234</v>
          </cell>
          <cell r="M106">
            <v>838.62999936367328</v>
          </cell>
          <cell r="N106">
            <v>686.2473981369651</v>
          </cell>
          <cell r="O106">
            <v>701.05781380937992</v>
          </cell>
          <cell r="P106">
            <v>529.67158618086751</v>
          </cell>
          <cell r="Q106">
            <v>1166.2255895127789</v>
          </cell>
          <cell r="R106">
            <v>2395.429651877067</v>
          </cell>
          <cell r="S106">
            <v>3760.4029822822313</v>
          </cell>
          <cell r="T106">
            <v>4913.896312687395</v>
          </cell>
          <cell r="U106">
            <v>5648.4296430925588</v>
          </cell>
          <cell r="V106">
            <v>6421.9103853867055</v>
          </cell>
          <cell r="W106">
            <v>7475.7810551174916</v>
          </cell>
          <cell r="X106">
            <v>8513.1307025091155</v>
          </cell>
          <cell r="Y106">
            <v>9351.7607018727886</v>
          </cell>
          <cell r="Z106">
            <v>10038.008100009754</v>
          </cell>
          <cell r="AA106">
            <v>10739.065913819135</v>
          </cell>
          <cell r="AB106">
            <v>11268.737500000003</v>
          </cell>
        </row>
        <row r="108">
          <cell r="D108" t="str">
            <v>Operating Profit/ - Loss</v>
          </cell>
          <cell r="E108">
            <v>222.32538920530692</v>
          </cell>
          <cell r="F108">
            <v>123.58834877598315</v>
          </cell>
          <cell r="G108">
            <v>-104.94724524365938</v>
          </cell>
          <cell r="H108">
            <v>63.037634017407981</v>
          </cell>
          <cell r="I108">
            <v>411.77992637778095</v>
          </cell>
          <cell r="J108">
            <v>488.94261420242037</v>
          </cell>
          <cell r="K108">
            <v>293.25306155846556</v>
          </cell>
          <cell r="L108">
            <v>348.0027363519032</v>
          </cell>
          <cell r="M108">
            <v>515.97175483352316</v>
          </cell>
          <cell r="N108">
            <v>593.972033838485</v>
          </cell>
          <cell r="O108">
            <v>605.57886794565047</v>
          </cell>
          <cell r="P108">
            <v>397.77550991413136</v>
          </cell>
          <cell r="Q108">
            <v>222.32538920530692</v>
          </cell>
          <cell r="R108">
            <v>345.91373798129007</v>
          </cell>
          <cell r="S108">
            <v>240.96649273763069</v>
          </cell>
          <cell r="T108">
            <v>304.00412675503867</v>
          </cell>
          <cell r="U108">
            <v>715.78405313281962</v>
          </cell>
          <cell r="V108">
            <v>1204.7266673352401</v>
          </cell>
          <cell r="W108">
            <v>1497.9797288937057</v>
          </cell>
          <cell r="X108">
            <v>1845.9824652456089</v>
          </cell>
          <cell r="Y108">
            <v>2361.954220079132</v>
          </cell>
          <cell r="Z108">
            <v>2955.926253917617</v>
          </cell>
          <cell r="AA108">
            <v>3561.5051218632675</v>
          </cell>
          <cell r="AB108">
            <v>3959.2806317773989</v>
          </cell>
        </row>
        <row r="110">
          <cell r="D110" t="str">
            <v>Interest &amp; Depreciation</v>
          </cell>
        </row>
        <row r="111">
          <cell r="D111" t="str">
            <v>Variable Interest</v>
          </cell>
          <cell r="E111">
            <v>2.4302554980131665</v>
          </cell>
          <cell r="F111">
            <v>2.3419295569119232</v>
          </cell>
          <cell r="G111">
            <v>2.1847379313936459</v>
          </cell>
          <cell r="H111">
            <v>2.1047379313936463</v>
          </cell>
          <cell r="I111">
            <v>2.0047379313936462</v>
          </cell>
          <cell r="J111">
            <v>2.1907893939688057</v>
          </cell>
          <cell r="K111">
            <v>2.3024598300490275</v>
          </cell>
          <cell r="L111">
            <v>2.4003156367513654</v>
          </cell>
          <cell r="M111">
            <v>2.3736876808135348</v>
          </cell>
          <cell r="N111">
            <v>2.2649092759103646</v>
          </cell>
          <cell r="O111">
            <v>2.2703380787051666</v>
          </cell>
          <cell r="P111">
            <v>1.6711012546957078</v>
          </cell>
          <cell r="Q111">
            <v>2.4302554980131665</v>
          </cell>
          <cell r="R111">
            <v>4.7721850549250897</v>
          </cell>
          <cell r="S111">
            <v>6.9569229863187356</v>
          </cell>
          <cell r="T111">
            <v>9.0616609177123824</v>
          </cell>
          <cell r="U111">
            <v>11.066398849106029</v>
          </cell>
          <cell r="V111">
            <v>13.257188243074836</v>
          </cell>
          <cell r="W111">
            <v>15.559648073123864</v>
          </cell>
          <cell r="X111">
            <v>17.959963709875229</v>
          </cell>
          <cell r="Y111">
            <v>20.333651390688765</v>
          </cell>
          <cell r="Z111">
            <v>22.598560666599131</v>
          </cell>
          <cell r="AA111">
            <v>24.868898745304296</v>
          </cell>
          <cell r="AB111">
            <v>26.540000000000003</v>
          </cell>
        </row>
        <row r="112">
          <cell r="D112" t="str">
            <v>Fixed Interest</v>
          </cell>
          <cell r="E112">
            <v>0.1</v>
          </cell>
          <cell r="F112">
            <v>0.1</v>
          </cell>
          <cell r="G112">
            <v>0.1</v>
          </cell>
          <cell r="H112">
            <v>0.1</v>
          </cell>
          <cell r="I112">
            <v>0.1</v>
          </cell>
          <cell r="J112">
            <v>0.1</v>
          </cell>
          <cell r="K112">
            <v>0.1</v>
          </cell>
          <cell r="L112">
            <v>0.1</v>
          </cell>
          <cell r="M112">
            <v>0.1</v>
          </cell>
          <cell r="N112">
            <v>0.1</v>
          </cell>
          <cell r="O112">
            <v>0.1</v>
          </cell>
          <cell r="P112">
            <v>0.1</v>
          </cell>
          <cell r="Q112">
            <v>0.1</v>
          </cell>
          <cell r="R112">
            <v>0.2</v>
          </cell>
          <cell r="S112">
            <v>0.30000000000000004</v>
          </cell>
          <cell r="T112">
            <v>0.4</v>
          </cell>
          <cell r="U112">
            <v>0.5</v>
          </cell>
          <cell r="V112">
            <v>0.6</v>
          </cell>
          <cell r="W112">
            <v>0.7</v>
          </cell>
          <cell r="X112">
            <v>0.79999999999999993</v>
          </cell>
          <cell r="Y112">
            <v>0.89999999999999991</v>
          </cell>
          <cell r="Z112">
            <v>0.99999999999999989</v>
          </cell>
          <cell r="AA112">
            <v>1.0999999999999999</v>
          </cell>
          <cell r="AB112">
            <v>1.2</v>
          </cell>
        </row>
        <row r="113">
          <cell r="D113" t="str">
            <v>CASH PROFIT</v>
          </cell>
          <cell r="E113">
            <v>219.79513370729376</v>
          </cell>
          <cell r="F113">
            <v>121.14641921907122</v>
          </cell>
          <cell r="G113">
            <v>-107.23198317505303</v>
          </cell>
          <cell r="H113">
            <v>60.832896086014337</v>
          </cell>
          <cell r="I113">
            <v>409.67518844638732</v>
          </cell>
          <cell r="J113">
            <v>486.65182480845158</v>
          </cell>
          <cell r="K113">
            <v>290.85060172841651</v>
          </cell>
          <cell r="L113">
            <v>345.50242071515186</v>
          </cell>
          <cell r="M113">
            <v>513.49806715270961</v>
          </cell>
          <cell r="N113">
            <v>591.60712456257465</v>
          </cell>
          <cell r="O113">
            <v>603.20852986694536</v>
          </cell>
          <cell r="P113">
            <v>396.00440865943563</v>
          </cell>
          <cell r="Q113">
            <v>219.79513370729376</v>
          </cell>
          <cell r="R113">
            <v>340.94155292636498</v>
          </cell>
          <cell r="S113">
            <v>233.70956975131196</v>
          </cell>
          <cell r="T113">
            <v>294.54246583732629</v>
          </cell>
          <cell r="U113">
            <v>704.21765428371361</v>
          </cell>
          <cell r="V113">
            <v>1190.8694790921652</v>
          </cell>
          <cell r="W113">
            <v>1481.7200808205819</v>
          </cell>
          <cell r="X113">
            <v>1827.2225015357337</v>
          </cell>
          <cell r="Y113">
            <v>2340.7205686884431</v>
          </cell>
          <cell r="Z113">
            <v>2932.327693251018</v>
          </cell>
          <cell r="AA113">
            <v>3535.5362231179633</v>
          </cell>
          <cell r="AB113">
            <v>3931.5406317773991</v>
          </cell>
        </row>
        <row r="114">
          <cell r="D114" t="str">
            <v>DEPRECIATION</v>
          </cell>
          <cell r="E114">
            <v>14.817499999999999</v>
          </cell>
          <cell r="F114">
            <v>14.817499999999999</v>
          </cell>
          <cell r="G114">
            <v>14.817499999999999</v>
          </cell>
          <cell r="H114">
            <v>14.817499999999999</v>
          </cell>
          <cell r="I114">
            <v>14.817499999999999</v>
          </cell>
          <cell r="J114">
            <v>14.817499999999999</v>
          </cell>
          <cell r="K114">
            <v>14.817499999999999</v>
          </cell>
          <cell r="L114">
            <v>14.817499999999999</v>
          </cell>
          <cell r="M114">
            <v>14.817499999999999</v>
          </cell>
          <cell r="N114">
            <v>14.817499999999999</v>
          </cell>
          <cell r="O114">
            <v>14.817499999999999</v>
          </cell>
          <cell r="P114">
            <v>14.817499999999999</v>
          </cell>
          <cell r="Q114">
            <v>14.817499999999999</v>
          </cell>
          <cell r="R114">
            <v>29.634999999999998</v>
          </cell>
          <cell r="S114">
            <v>44.452500000000001</v>
          </cell>
          <cell r="T114">
            <v>59.269999999999996</v>
          </cell>
          <cell r="U114">
            <v>74.087499999999991</v>
          </cell>
          <cell r="V114">
            <v>88.904999999999987</v>
          </cell>
          <cell r="W114">
            <v>103.72249999999998</v>
          </cell>
          <cell r="X114">
            <v>118.53999999999998</v>
          </cell>
          <cell r="Y114">
            <v>133.35749999999999</v>
          </cell>
          <cell r="Z114">
            <v>148.17499999999998</v>
          </cell>
          <cell r="AA114">
            <v>162.99249999999998</v>
          </cell>
          <cell r="AB114">
            <v>177.80999999999997</v>
          </cell>
        </row>
        <row r="115">
          <cell r="D115" t="str">
            <v>Net Profit / - Loss</v>
          </cell>
          <cell r="E115">
            <v>204.97763370729376</v>
          </cell>
          <cell r="F115">
            <v>106.32891921907122</v>
          </cell>
          <cell r="G115">
            <v>-122.04948317505303</v>
          </cell>
          <cell r="H115">
            <v>46.015396086014334</v>
          </cell>
          <cell r="I115">
            <v>394.85768844638733</v>
          </cell>
          <cell r="J115">
            <v>471.83432480845158</v>
          </cell>
          <cell r="K115">
            <v>276.03310172841651</v>
          </cell>
          <cell r="L115">
            <v>330.68492071515186</v>
          </cell>
          <cell r="M115">
            <v>498.68056715270961</v>
          </cell>
          <cell r="N115">
            <v>576.78962456257466</v>
          </cell>
          <cell r="O115">
            <v>588.39102986694536</v>
          </cell>
          <cell r="P115">
            <v>381.18690865943563</v>
          </cell>
          <cell r="Q115">
            <v>204.97763370729376</v>
          </cell>
          <cell r="R115">
            <v>311.30655292636499</v>
          </cell>
          <cell r="S115">
            <v>189.25706975131197</v>
          </cell>
          <cell r="T115">
            <v>235.27246583732631</v>
          </cell>
          <cell r="U115">
            <v>630.13015428371364</v>
          </cell>
          <cell r="V115">
            <v>1101.9644790921652</v>
          </cell>
          <cell r="W115">
            <v>1377.9975808205818</v>
          </cell>
          <cell r="X115">
            <v>1708.6825015357338</v>
          </cell>
          <cell r="Y115">
            <v>2207.363068688443</v>
          </cell>
          <cell r="Z115">
            <v>2784.1526932510178</v>
          </cell>
          <cell r="AA115">
            <v>3372.5437231179635</v>
          </cell>
          <cell r="AB115">
            <v>3753.7306317773991</v>
          </cell>
        </row>
        <row r="116">
          <cell r="D116" t="str">
            <v>Other operating income</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row>
        <row r="117">
          <cell r="D117" t="str">
            <v>Net Profit / - Loss after Extra Ordianry Items</v>
          </cell>
          <cell r="E117">
            <v>204.97763370729376</v>
          </cell>
          <cell r="F117">
            <v>106.32891921907122</v>
          </cell>
          <cell r="G117">
            <v>-122.04948317505303</v>
          </cell>
          <cell r="H117">
            <v>46.015396086014334</v>
          </cell>
          <cell r="I117">
            <v>394.85768844638733</v>
          </cell>
          <cell r="J117">
            <v>471.83432480845158</v>
          </cell>
          <cell r="K117">
            <v>276.03310172841651</v>
          </cell>
          <cell r="L117">
            <v>330.68492071515186</v>
          </cell>
          <cell r="M117">
            <v>498.68056715270961</v>
          </cell>
          <cell r="N117">
            <v>576.78962456257466</v>
          </cell>
          <cell r="O117">
            <v>588.39102986694536</v>
          </cell>
          <cell r="P117">
            <v>381.18690865943563</v>
          </cell>
          <cell r="Q117">
            <v>204.97763370729376</v>
          </cell>
          <cell r="R117">
            <v>311.30655292636499</v>
          </cell>
          <cell r="S117">
            <v>189.25706975131197</v>
          </cell>
          <cell r="T117">
            <v>235.27246583732631</v>
          </cell>
          <cell r="U117">
            <v>630.13015428371364</v>
          </cell>
          <cell r="V117">
            <v>1101.9644790921652</v>
          </cell>
          <cell r="W117">
            <v>1377.9975808205818</v>
          </cell>
          <cell r="X117">
            <v>1708.6825015357338</v>
          </cell>
          <cell r="Y117">
            <v>2207.363068688443</v>
          </cell>
          <cell r="Z117">
            <v>2784.1526932510178</v>
          </cell>
          <cell r="AA117">
            <v>3372.5437231179635</v>
          </cell>
          <cell r="AB117">
            <v>3753.7306317773991</v>
          </cell>
        </row>
        <row r="118">
          <cell r="D118" t="str">
            <v>PSM saving</v>
          </cell>
          <cell r="E118">
            <v>28.17</v>
          </cell>
          <cell r="F118">
            <v>30.785862220055535</v>
          </cell>
          <cell r="G118">
            <v>33.393313116841789</v>
          </cell>
          <cell r="H118">
            <v>33.393313116841789</v>
          </cell>
          <cell r="I118">
            <v>33.393313116841789</v>
          </cell>
          <cell r="J118">
            <v>35.805573124191582</v>
          </cell>
          <cell r="K118">
            <v>35.856468429851951</v>
          </cell>
          <cell r="L118">
            <v>38.308727121088829</v>
          </cell>
          <cell r="M118">
            <v>40.981092026676535</v>
          </cell>
          <cell r="N118">
            <v>0</v>
          </cell>
          <cell r="O118">
            <v>0</v>
          </cell>
          <cell r="P118">
            <v>0</v>
          </cell>
          <cell r="Q118">
            <v>28.17</v>
          </cell>
          <cell r="R118">
            <v>58.955862220055536</v>
          </cell>
          <cell r="S118">
            <v>92.349175336897332</v>
          </cell>
          <cell r="T118">
            <v>125.74248845373913</v>
          </cell>
          <cell r="U118">
            <v>159.13580157058092</v>
          </cell>
          <cell r="V118">
            <v>194.94137469477249</v>
          </cell>
          <cell r="W118">
            <v>230.79784312462445</v>
          </cell>
          <cell r="X118">
            <v>269.10657024571327</v>
          </cell>
          <cell r="Y118">
            <v>310.08766227238982</v>
          </cell>
          <cell r="Z118">
            <v>310.08766227238982</v>
          </cell>
          <cell r="AA118">
            <v>310.08766227238982</v>
          </cell>
          <cell r="AB118">
            <v>310.08766227238982</v>
          </cell>
        </row>
        <row r="119">
          <cell r="D119" t="str">
            <v>Interest Income</v>
          </cell>
          <cell r="E119">
            <v>26.5</v>
          </cell>
          <cell r="F119">
            <v>26.5</v>
          </cell>
          <cell r="G119">
            <v>26.5</v>
          </cell>
          <cell r="H119">
            <v>26.5</v>
          </cell>
          <cell r="I119">
            <v>26.5</v>
          </cell>
          <cell r="J119">
            <v>26.5</v>
          </cell>
          <cell r="K119">
            <v>26.5</v>
          </cell>
          <cell r="L119">
            <v>26.5</v>
          </cell>
          <cell r="M119">
            <v>26.5</v>
          </cell>
          <cell r="N119">
            <v>26.5</v>
          </cell>
          <cell r="O119">
            <v>26.5</v>
          </cell>
          <cell r="P119">
            <v>26.46</v>
          </cell>
          <cell r="Q119">
            <v>26.5</v>
          </cell>
          <cell r="R119">
            <v>53</v>
          </cell>
          <cell r="S119">
            <v>79.5</v>
          </cell>
          <cell r="T119">
            <v>106</v>
          </cell>
          <cell r="U119">
            <v>132.5</v>
          </cell>
          <cell r="V119">
            <v>159</v>
          </cell>
          <cell r="W119">
            <v>185.5</v>
          </cell>
          <cell r="X119">
            <v>212</v>
          </cell>
          <cell r="Y119">
            <v>238.5</v>
          </cell>
          <cell r="Z119">
            <v>265</v>
          </cell>
          <cell r="AA119">
            <v>291.5</v>
          </cell>
          <cell r="AB119">
            <v>317.95999999999998</v>
          </cell>
        </row>
        <row r="120">
          <cell r="D120" t="str">
            <v>PBT After Acquisition Interest</v>
          </cell>
          <cell r="E120">
            <v>259.64763370729378</v>
          </cell>
          <cell r="F120">
            <v>163.61478143912677</v>
          </cell>
          <cell r="G120">
            <v>-62.156170058211245</v>
          </cell>
          <cell r="H120">
            <v>105.90870920285613</v>
          </cell>
          <cell r="I120">
            <v>454.75100156322912</v>
          </cell>
          <cell r="J120">
            <v>534.13989793264318</v>
          </cell>
          <cell r="K120">
            <v>338.38957015826844</v>
          </cell>
          <cell r="L120">
            <v>395.49364783624071</v>
          </cell>
          <cell r="M120">
            <v>566.16165917938611</v>
          </cell>
          <cell r="N120">
            <v>603.28962456257466</v>
          </cell>
          <cell r="O120">
            <v>614.89102986694536</v>
          </cell>
          <cell r="P120">
            <v>407.64690865943561</v>
          </cell>
          <cell r="Q120">
            <v>259.64763370729378</v>
          </cell>
          <cell r="R120">
            <v>423.26241514642049</v>
          </cell>
          <cell r="S120">
            <v>361.10624508820933</v>
          </cell>
          <cell r="T120">
            <v>467.01495429106546</v>
          </cell>
          <cell r="U120">
            <v>921.76595585429459</v>
          </cell>
          <cell r="V120">
            <v>1455.9058537869378</v>
          </cell>
          <cell r="W120">
            <v>1794.2954239452063</v>
          </cell>
          <cell r="X120">
            <v>2189.7890717814471</v>
          </cell>
          <cell r="Y120">
            <v>2755.950730960833</v>
          </cell>
          <cell r="Z120">
            <v>3359.2403555234077</v>
          </cell>
          <cell r="AA120">
            <v>3974.1313853903534</v>
          </cell>
          <cell r="AB120">
            <v>4381.7782940497891</v>
          </cell>
        </row>
        <row r="128">
          <cell r="D128" t="str">
            <v>Particulars</v>
          </cell>
          <cell r="E128" t="str">
            <v>Apr'09</v>
          </cell>
          <cell r="F128" t="str">
            <v>May'09</v>
          </cell>
          <cell r="G128" t="str">
            <v>Jun'09</v>
          </cell>
          <cell r="H128" t="str">
            <v>Jul'09</v>
          </cell>
          <cell r="I128" t="str">
            <v>Aug'09</v>
          </cell>
          <cell r="J128" t="str">
            <v>Sep'09</v>
          </cell>
          <cell r="K128" t="str">
            <v>Oct'09</v>
          </cell>
          <cell r="L128" t="str">
            <v>Nov'09</v>
          </cell>
          <cell r="M128" t="str">
            <v>Dec'09</v>
          </cell>
          <cell r="N128" t="str">
            <v>Jan'10</v>
          </cell>
          <cell r="O128" t="str">
            <v>Feb'10</v>
          </cell>
          <cell r="P128" t="str">
            <v>Mar'10</v>
          </cell>
          <cell r="Q128" t="str">
            <v>Apr'09</v>
          </cell>
          <cell r="R128" t="str">
            <v>May'09</v>
          </cell>
          <cell r="S128" t="str">
            <v>Jun'09</v>
          </cell>
          <cell r="T128" t="str">
            <v>Jul'09</v>
          </cell>
          <cell r="U128" t="str">
            <v>Aug'09</v>
          </cell>
          <cell r="V128" t="str">
            <v>Sep'09</v>
          </cell>
          <cell r="W128" t="str">
            <v>Oct'09</v>
          </cell>
          <cell r="X128" t="str">
            <v>Nov'09</v>
          </cell>
          <cell r="Y128" t="str">
            <v>Dec'09</v>
          </cell>
          <cell r="Z128" t="str">
            <v>Jan'10</v>
          </cell>
          <cell r="AA128" t="str">
            <v>Feb'10</v>
          </cell>
          <cell r="AB128" t="str">
            <v>Mar'10</v>
          </cell>
        </row>
        <row r="130">
          <cell r="D130" t="str">
            <v>Sales</v>
          </cell>
          <cell r="E130">
            <v>435</v>
          </cell>
          <cell r="F130">
            <v>513.55999999999995</v>
          </cell>
          <cell r="G130">
            <v>519.37</v>
          </cell>
          <cell r="H130">
            <v>531.87</v>
          </cell>
          <cell r="I130">
            <v>637.82000000000005</v>
          </cell>
          <cell r="J130">
            <v>600</v>
          </cell>
          <cell r="K130">
            <v>0</v>
          </cell>
          <cell r="L130">
            <v>0</v>
          </cell>
          <cell r="M130">
            <v>0</v>
          </cell>
          <cell r="N130">
            <v>0</v>
          </cell>
          <cell r="O130">
            <v>0</v>
          </cell>
          <cell r="P130">
            <v>0</v>
          </cell>
          <cell r="Q130">
            <v>435</v>
          </cell>
          <cell r="R130">
            <v>948.56</v>
          </cell>
          <cell r="S130">
            <v>1467.9299999999998</v>
          </cell>
          <cell r="T130">
            <v>1999.7999999999997</v>
          </cell>
          <cell r="U130">
            <v>2637.62</v>
          </cell>
          <cell r="V130">
            <v>3237.62</v>
          </cell>
          <cell r="W130">
            <v>3237.62</v>
          </cell>
          <cell r="X130">
            <v>3237.62</v>
          </cell>
          <cell r="Y130">
            <v>3237.62</v>
          </cell>
          <cell r="Z130">
            <v>3237.62</v>
          </cell>
          <cell r="AA130">
            <v>3237.62</v>
          </cell>
          <cell r="AB130">
            <v>3237.62</v>
          </cell>
        </row>
        <row r="132">
          <cell r="D132" t="str">
            <v>Cost of Goods Sold</v>
          </cell>
          <cell r="E132">
            <v>224.56</v>
          </cell>
          <cell r="F132">
            <v>256.73</v>
          </cell>
          <cell r="G132">
            <v>265.14</v>
          </cell>
          <cell r="H132">
            <v>265.88</v>
          </cell>
          <cell r="I132">
            <v>311.35000000000002</v>
          </cell>
          <cell r="J132">
            <v>294</v>
          </cell>
          <cell r="K132">
            <v>0</v>
          </cell>
          <cell r="L132">
            <v>0</v>
          </cell>
          <cell r="M132">
            <v>0</v>
          </cell>
          <cell r="N132">
            <v>0</v>
          </cell>
          <cell r="O132">
            <v>0</v>
          </cell>
          <cell r="P132">
            <v>0</v>
          </cell>
          <cell r="Q132">
            <v>224.56</v>
          </cell>
          <cell r="R132">
            <v>481.29</v>
          </cell>
          <cell r="S132">
            <v>746.43000000000006</v>
          </cell>
          <cell r="T132">
            <v>1012.3100000000001</v>
          </cell>
          <cell r="U132">
            <v>1323.66</v>
          </cell>
          <cell r="V132">
            <v>1617.66</v>
          </cell>
          <cell r="W132">
            <v>1617.66</v>
          </cell>
          <cell r="X132">
            <v>1617.66</v>
          </cell>
          <cell r="Y132">
            <v>1617.66</v>
          </cell>
          <cell r="Z132">
            <v>1617.66</v>
          </cell>
          <cell r="AA132">
            <v>1617.66</v>
          </cell>
          <cell r="AB132">
            <v>1617.66</v>
          </cell>
        </row>
        <row r="133">
          <cell r="D133" t="str">
            <v>COGS for Normal Sales Qty</v>
          </cell>
          <cell r="E133">
            <v>207.45</v>
          </cell>
          <cell r="F133">
            <v>236.74</v>
          </cell>
          <cell r="G133">
            <v>242.93</v>
          </cell>
          <cell r="H133">
            <v>244.78</v>
          </cell>
          <cell r="I133">
            <v>288.55</v>
          </cell>
          <cell r="Q133">
            <v>207.45</v>
          </cell>
          <cell r="R133">
            <v>444.19</v>
          </cell>
          <cell r="S133">
            <v>687.12</v>
          </cell>
          <cell r="T133">
            <v>931.9</v>
          </cell>
          <cell r="U133">
            <v>1220.45</v>
          </cell>
          <cell r="V133">
            <v>1220.45</v>
          </cell>
          <cell r="W133">
            <v>1220.45</v>
          </cell>
          <cell r="X133">
            <v>1220.45</v>
          </cell>
          <cell r="Y133">
            <v>1220.45</v>
          </cell>
          <cell r="Z133">
            <v>1220.45</v>
          </cell>
          <cell r="AA133">
            <v>1220.45</v>
          </cell>
          <cell r="AB133">
            <v>1220.45</v>
          </cell>
        </row>
        <row r="134">
          <cell r="D134" t="str">
            <v>COGS for free Qty</v>
          </cell>
          <cell r="E134">
            <v>17.11</v>
          </cell>
          <cell r="F134">
            <v>19.989999999999998</v>
          </cell>
          <cell r="G134">
            <v>22.21</v>
          </cell>
          <cell r="H134">
            <v>21.1</v>
          </cell>
          <cell r="I134">
            <v>22.8</v>
          </cell>
          <cell r="Q134">
            <v>17.11</v>
          </cell>
          <cell r="R134">
            <v>37.099999999999994</v>
          </cell>
          <cell r="S134">
            <v>59.309999999999995</v>
          </cell>
          <cell r="T134">
            <v>80.41</v>
          </cell>
          <cell r="U134">
            <v>103.21</v>
          </cell>
          <cell r="V134">
            <v>103.21</v>
          </cell>
          <cell r="W134">
            <v>103.21</v>
          </cell>
          <cell r="X134">
            <v>103.21</v>
          </cell>
          <cell r="Y134">
            <v>103.21</v>
          </cell>
          <cell r="Z134">
            <v>103.21</v>
          </cell>
          <cell r="AA134">
            <v>103.21</v>
          </cell>
          <cell r="AB134">
            <v>103.21</v>
          </cell>
        </row>
        <row r="136">
          <cell r="D136" t="str">
            <v>Contribution</v>
          </cell>
          <cell r="E136">
            <v>210.44</v>
          </cell>
          <cell r="F136">
            <v>256.82999999999993</v>
          </cell>
          <cell r="G136">
            <v>254.23000000000002</v>
          </cell>
          <cell r="H136">
            <v>265.99</v>
          </cell>
          <cell r="I136">
            <v>326.47000000000003</v>
          </cell>
          <cell r="J136">
            <v>306</v>
          </cell>
          <cell r="K136">
            <v>0</v>
          </cell>
          <cell r="L136">
            <v>0</v>
          </cell>
          <cell r="M136">
            <v>0</v>
          </cell>
          <cell r="N136">
            <v>0</v>
          </cell>
          <cell r="O136">
            <v>0</v>
          </cell>
          <cell r="P136">
            <v>0</v>
          </cell>
          <cell r="Q136">
            <v>210.44</v>
          </cell>
          <cell r="R136">
            <v>467.26999999999992</v>
          </cell>
          <cell r="S136">
            <v>721.5</v>
          </cell>
          <cell r="T136">
            <v>987.49</v>
          </cell>
          <cell r="U136">
            <v>1313.96</v>
          </cell>
          <cell r="V136">
            <v>1619.96</v>
          </cell>
          <cell r="W136">
            <v>1619.96</v>
          </cell>
          <cell r="X136">
            <v>1619.96</v>
          </cell>
          <cell r="Y136">
            <v>1619.96</v>
          </cell>
          <cell r="Z136">
            <v>1619.96</v>
          </cell>
          <cell r="AA136">
            <v>1619.96</v>
          </cell>
          <cell r="AB136">
            <v>1619.96</v>
          </cell>
        </row>
        <row r="137">
          <cell r="E137">
            <v>0.48377011494252875</v>
          </cell>
          <cell r="F137">
            <v>0.50009735960744595</v>
          </cell>
          <cell r="G137">
            <v>0.48949689046344613</v>
          </cell>
          <cell r="H137">
            <v>0.50010340872769665</v>
          </cell>
          <cell r="I137">
            <v>0.51185287385155687</v>
          </cell>
          <cell r="J137">
            <v>0.51</v>
          </cell>
          <cell r="K137" t="e">
            <v>#DIV/0!</v>
          </cell>
          <cell r="L137" t="e">
            <v>#DIV/0!</v>
          </cell>
          <cell r="M137" t="e">
            <v>#DIV/0!</v>
          </cell>
          <cell r="N137" t="e">
            <v>#DIV/0!</v>
          </cell>
          <cell r="O137" t="e">
            <v>#DIV/0!</v>
          </cell>
          <cell r="P137" t="e">
            <v>#DIV/0!</v>
          </cell>
          <cell r="Q137">
            <v>0.48377011494252875</v>
          </cell>
          <cell r="R137">
            <v>0.49260985072109298</v>
          </cell>
          <cell r="S137">
            <v>0.49150845067544097</v>
          </cell>
          <cell r="T137">
            <v>0.49379437943794385</v>
          </cell>
          <cell r="U137">
            <v>0.49816122110084093</v>
          </cell>
          <cell r="V137">
            <v>0.50035519918952809</v>
          </cell>
          <cell r="W137">
            <v>0.50035519918952809</v>
          </cell>
          <cell r="X137">
            <v>0.50035519918952809</v>
          </cell>
          <cell r="Y137">
            <v>0.50035519918952809</v>
          </cell>
          <cell r="Z137">
            <v>0.50035519918952809</v>
          </cell>
          <cell r="AA137">
            <v>0.50035519918952809</v>
          </cell>
          <cell r="AB137">
            <v>0.50035519918952809</v>
          </cell>
        </row>
        <row r="138">
          <cell r="D138" t="str">
            <v>Overheads</v>
          </cell>
        </row>
        <row r="139">
          <cell r="D139" t="str">
            <v>Personnel Costs</v>
          </cell>
          <cell r="E139">
            <v>20.67</v>
          </cell>
          <cell r="F139">
            <v>20.66</v>
          </cell>
          <cell r="G139">
            <v>20.67</v>
          </cell>
          <cell r="H139">
            <v>20.66</v>
          </cell>
          <cell r="I139">
            <v>20.67</v>
          </cell>
          <cell r="J139">
            <v>20.67</v>
          </cell>
          <cell r="Q139">
            <v>20.67</v>
          </cell>
          <cell r="R139">
            <v>41.33</v>
          </cell>
          <cell r="S139">
            <v>62</v>
          </cell>
          <cell r="T139">
            <v>82.66</v>
          </cell>
          <cell r="U139">
            <v>103.33</v>
          </cell>
          <cell r="V139">
            <v>124</v>
          </cell>
          <cell r="W139">
            <v>124</v>
          </cell>
          <cell r="X139">
            <v>124</v>
          </cell>
          <cell r="Y139">
            <v>124</v>
          </cell>
          <cell r="Z139">
            <v>124</v>
          </cell>
          <cell r="AA139">
            <v>124</v>
          </cell>
          <cell r="AB139">
            <v>124</v>
          </cell>
        </row>
        <row r="140">
          <cell r="D140" t="str">
            <v>Administration Exp</v>
          </cell>
          <cell r="E140">
            <v>2.8725000000000001</v>
          </cell>
          <cell r="F140">
            <v>2.8725000000000001</v>
          </cell>
          <cell r="G140">
            <v>2.8600000000000003</v>
          </cell>
          <cell r="H140">
            <v>2.8600000000000003</v>
          </cell>
          <cell r="I140">
            <v>2.8725000000000001</v>
          </cell>
          <cell r="J140">
            <v>2.87</v>
          </cell>
          <cell r="K140">
            <v>0</v>
          </cell>
          <cell r="L140">
            <v>0</v>
          </cell>
          <cell r="M140">
            <v>0</v>
          </cell>
          <cell r="N140">
            <v>0</v>
          </cell>
          <cell r="O140">
            <v>0</v>
          </cell>
          <cell r="P140">
            <v>0</v>
          </cell>
          <cell r="Q140">
            <v>2.8725000000000001</v>
          </cell>
          <cell r="R140">
            <v>5.7450000000000001</v>
          </cell>
          <cell r="S140">
            <v>8.6050000000000004</v>
          </cell>
          <cell r="T140">
            <v>11.465</v>
          </cell>
          <cell r="U140">
            <v>14.3375</v>
          </cell>
          <cell r="V140">
            <v>17.2075</v>
          </cell>
          <cell r="W140">
            <v>17.2075</v>
          </cell>
          <cell r="X140">
            <v>17.2075</v>
          </cell>
          <cell r="Y140">
            <v>17.2075</v>
          </cell>
          <cell r="Z140">
            <v>17.2075</v>
          </cell>
          <cell r="AA140">
            <v>17.2075</v>
          </cell>
          <cell r="AB140">
            <v>17.2075</v>
          </cell>
        </row>
        <row r="141">
          <cell r="D141" t="str">
            <v>Production Exp</v>
          </cell>
          <cell r="E141">
            <v>19.826863452260564</v>
          </cell>
          <cell r="F141">
            <v>18.80692592222071</v>
          </cell>
          <cell r="G141">
            <v>18.25</v>
          </cell>
          <cell r="H141">
            <v>21.805013801109762</v>
          </cell>
          <cell r="I141">
            <v>21.805013801109762</v>
          </cell>
          <cell r="J141">
            <v>20.27</v>
          </cell>
          <cell r="K141">
            <v>0</v>
          </cell>
          <cell r="L141">
            <v>0</v>
          </cell>
          <cell r="M141">
            <v>0</v>
          </cell>
          <cell r="N141">
            <v>0</v>
          </cell>
          <cell r="O141">
            <v>0</v>
          </cell>
          <cell r="P141">
            <v>0</v>
          </cell>
          <cell r="Q141">
            <v>19.826863452260564</v>
          </cell>
          <cell r="R141">
            <v>38.633789374481275</v>
          </cell>
          <cell r="S141">
            <v>56.883789374481275</v>
          </cell>
          <cell r="T141">
            <v>78.688803175591033</v>
          </cell>
          <cell r="U141">
            <v>100.4938169767008</v>
          </cell>
          <cell r="V141">
            <v>120.7638169767008</v>
          </cell>
          <cell r="W141">
            <v>120.7638169767008</v>
          </cell>
          <cell r="X141">
            <v>120.7638169767008</v>
          </cell>
          <cell r="Y141">
            <v>120.7638169767008</v>
          </cell>
          <cell r="Z141">
            <v>120.7638169767008</v>
          </cell>
          <cell r="AA141">
            <v>120.7638169767008</v>
          </cell>
          <cell r="AB141">
            <v>120.7638169767008</v>
          </cell>
        </row>
        <row r="142">
          <cell r="D142" t="str">
            <v>Marketing Exp</v>
          </cell>
          <cell r="E142">
            <v>139.69675355416646</v>
          </cell>
          <cell r="F142">
            <v>134.22362947733518</v>
          </cell>
          <cell r="G142">
            <v>133.55000000000001</v>
          </cell>
          <cell r="H142">
            <v>97.833764164293569</v>
          </cell>
          <cell r="I142">
            <v>109.83376416429361</v>
          </cell>
          <cell r="J142">
            <v>114.95</v>
          </cell>
          <cell r="K142">
            <v>0</v>
          </cell>
          <cell r="L142">
            <v>0</v>
          </cell>
          <cell r="M142">
            <v>0</v>
          </cell>
          <cell r="N142">
            <v>0</v>
          </cell>
          <cell r="O142">
            <v>0</v>
          </cell>
          <cell r="P142">
            <v>0</v>
          </cell>
          <cell r="Q142">
            <v>139.69675355416646</v>
          </cell>
          <cell r="R142">
            <v>273.92038303150161</v>
          </cell>
          <cell r="S142">
            <v>407.47038303150163</v>
          </cell>
          <cell r="T142">
            <v>505.30414719579517</v>
          </cell>
          <cell r="U142">
            <v>615.13791136008876</v>
          </cell>
          <cell r="V142">
            <v>730.08791136008881</v>
          </cell>
          <cell r="W142">
            <v>730.08791136008881</v>
          </cell>
          <cell r="X142">
            <v>730.08791136008881</v>
          </cell>
          <cell r="Y142">
            <v>730.08791136008881</v>
          </cell>
          <cell r="Z142">
            <v>730.08791136008881</v>
          </cell>
          <cell r="AA142">
            <v>730.08791136008881</v>
          </cell>
          <cell r="AB142">
            <v>730.08791136008881</v>
          </cell>
        </row>
        <row r="143">
          <cell r="D143" t="str">
            <v>Sales &amp; Distribution Exp</v>
          </cell>
          <cell r="E143">
            <v>45.459325031919818</v>
          </cell>
          <cell r="F143">
            <v>46.998506964732016</v>
          </cell>
          <cell r="G143">
            <v>51.510000000000005</v>
          </cell>
          <cell r="H143">
            <v>57.460000000000008</v>
          </cell>
          <cell r="I143">
            <v>57.459552439760614</v>
          </cell>
          <cell r="J143">
            <v>59</v>
          </cell>
          <cell r="K143">
            <v>0</v>
          </cell>
          <cell r="L143">
            <v>0</v>
          </cell>
          <cell r="M143">
            <v>0</v>
          </cell>
          <cell r="N143">
            <v>0</v>
          </cell>
          <cell r="O143">
            <v>0</v>
          </cell>
          <cell r="P143">
            <v>0</v>
          </cell>
          <cell r="Q143">
            <v>45.459325031919818</v>
          </cell>
          <cell r="R143">
            <v>92.457831996651834</v>
          </cell>
          <cell r="S143">
            <v>143.96783199665185</v>
          </cell>
          <cell r="T143">
            <v>201.42783199665186</v>
          </cell>
          <cell r="U143">
            <v>258.8873844364125</v>
          </cell>
          <cell r="V143">
            <v>317.8873844364125</v>
          </cell>
          <cell r="W143">
            <v>317.8873844364125</v>
          </cell>
          <cell r="X143">
            <v>317.8873844364125</v>
          </cell>
          <cell r="Y143">
            <v>317.8873844364125</v>
          </cell>
          <cell r="Z143">
            <v>317.8873844364125</v>
          </cell>
          <cell r="AA143">
            <v>317.8873844364125</v>
          </cell>
          <cell r="AB143">
            <v>317.8873844364125</v>
          </cell>
        </row>
        <row r="144">
          <cell r="D144" t="str">
            <v>Total Overheads (a+b)</v>
          </cell>
          <cell r="E144">
            <v>228.52544203834685</v>
          </cell>
          <cell r="F144">
            <v>223.56156236428791</v>
          </cell>
          <cell r="G144">
            <v>226.84000000000003</v>
          </cell>
          <cell r="H144">
            <v>200.61877796540332</v>
          </cell>
          <cell r="I144">
            <v>212.640830405164</v>
          </cell>
          <cell r="J144">
            <v>217.76</v>
          </cell>
          <cell r="K144">
            <v>0</v>
          </cell>
          <cell r="L144">
            <v>0</v>
          </cell>
          <cell r="M144">
            <v>0</v>
          </cell>
          <cell r="N144">
            <v>0</v>
          </cell>
          <cell r="O144">
            <v>0</v>
          </cell>
          <cell r="P144">
            <v>0</v>
          </cell>
          <cell r="Q144">
            <v>228.52544203834685</v>
          </cell>
          <cell r="R144">
            <v>452.08700440263476</v>
          </cell>
          <cell r="S144">
            <v>678.92700440263479</v>
          </cell>
          <cell r="T144">
            <v>879.54578236803809</v>
          </cell>
          <cell r="U144">
            <v>1092.1866127732021</v>
          </cell>
          <cell r="V144">
            <v>1309.9466127732021</v>
          </cell>
          <cell r="W144">
            <v>1309.9466127732021</v>
          </cell>
          <cell r="X144">
            <v>1309.9466127732021</v>
          </cell>
          <cell r="Y144">
            <v>1309.9466127732021</v>
          </cell>
          <cell r="Z144">
            <v>1309.9466127732021</v>
          </cell>
          <cell r="AA144">
            <v>1309.9466127732021</v>
          </cell>
          <cell r="AB144">
            <v>1309.9466127732021</v>
          </cell>
        </row>
        <row r="145">
          <cell r="D145" t="str">
            <v>OPERATING PROFIT (LOSS)</v>
          </cell>
          <cell r="E145">
            <v>-18.085442038346855</v>
          </cell>
          <cell r="F145">
            <v>33.268437635712019</v>
          </cell>
          <cell r="G145">
            <v>27.389999999999986</v>
          </cell>
          <cell r="H145">
            <v>65.371222034596684</v>
          </cell>
          <cell r="I145">
            <v>113.82916959483603</v>
          </cell>
          <cell r="J145">
            <v>88.240000000000009</v>
          </cell>
          <cell r="K145">
            <v>0</v>
          </cell>
          <cell r="L145">
            <v>0</v>
          </cell>
          <cell r="M145">
            <v>0</v>
          </cell>
          <cell r="N145">
            <v>0</v>
          </cell>
          <cell r="O145">
            <v>0</v>
          </cell>
          <cell r="P145">
            <v>0</v>
          </cell>
          <cell r="Q145">
            <v>-18.085442038346855</v>
          </cell>
          <cell r="R145">
            <v>15.182995597365164</v>
          </cell>
          <cell r="S145">
            <v>42.57299559736515</v>
          </cell>
          <cell r="T145">
            <v>107.94421763196183</v>
          </cell>
          <cell r="U145">
            <v>221.77338722679787</v>
          </cell>
          <cell r="V145">
            <v>310.01338722679787</v>
          </cell>
          <cell r="W145">
            <v>310.01338722679787</v>
          </cell>
          <cell r="X145">
            <v>310.01338722679787</v>
          </cell>
          <cell r="Y145">
            <v>310.01338722679787</v>
          </cell>
          <cell r="Z145">
            <v>310.01338722679787</v>
          </cell>
          <cell r="AA145">
            <v>310.01338722679787</v>
          </cell>
          <cell r="AB145">
            <v>310.01338722679787</v>
          </cell>
        </row>
        <row r="147">
          <cell r="D147" t="str">
            <v>Interest &amp; Depreciation</v>
          </cell>
        </row>
        <row r="148">
          <cell r="D148" t="str">
            <v>Variable Interest</v>
          </cell>
          <cell r="E148">
            <v>0.67025549801316664</v>
          </cell>
          <cell r="F148">
            <v>0.73</v>
          </cell>
          <cell r="G148">
            <v>0.79</v>
          </cell>
          <cell r="H148">
            <v>0.79</v>
          </cell>
          <cell r="I148">
            <v>0.79473793139364624</v>
          </cell>
          <cell r="J148">
            <v>0.85</v>
          </cell>
          <cell r="Q148">
            <v>0.67025549801316664</v>
          </cell>
          <cell r="R148">
            <v>1.4002554980131667</v>
          </cell>
          <cell r="S148">
            <v>2.1902554980131668</v>
          </cell>
          <cell r="T148">
            <v>2.9802554980131668</v>
          </cell>
          <cell r="U148">
            <v>3.774993429406813</v>
          </cell>
          <cell r="V148">
            <v>4.6249934294068131</v>
          </cell>
          <cell r="W148">
            <v>4.6249934294068131</v>
          </cell>
          <cell r="X148">
            <v>4.6249934294068131</v>
          </cell>
          <cell r="Y148">
            <v>4.6249934294068131</v>
          </cell>
          <cell r="Z148">
            <v>4.6249934294068131</v>
          </cell>
          <cell r="AA148">
            <v>4.6249934294068131</v>
          </cell>
          <cell r="AB148">
            <v>4.6249934294068131</v>
          </cell>
        </row>
        <row r="149">
          <cell r="D149" t="str">
            <v>Fixed Interest</v>
          </cell>
          <cell r="E149">
            <v>0</v>
          </cell>
          <cell r="F149">
            <v>0</v>
          </cell>
          <cell r="G149">
            <v>0</v>
          </cell>
          <cell r="H149">
            <v>0</v>
          </cell>
          <cell r="I149">
            <v>0</v>
          </cell>
          <cell r="J149">
            <v>0</v>
          </cell>
          <cell r="Q149">
            <v>0</v>
          </cell>
          <cell r="R149">
            <v>0</v>
          </cell>
          <cell r="S149">
            <v>0</v>
          </cell>
          <cell r="T149">
            <v>0</v>
          </cell>
          <cell r="U149">
            <v>0</v>
          </cell>
          <cell r="V149">
            <v>0</v>
          </cell>
          <cell r="W149">
            <v>0</v>
          </cell>
          <cell r="X149">
            <v>0</v>
          </cell>
          <cell r="Y149">
            <v>0</v>
          </cell>
          <cell r="Z149">
            <v>0</v>
          </cell>
          <cell r="AA149">
            <v>0</v>
          </cell>
          <cell r="AB149">
            <v>0</v>
          </cell>
        </row>
        <row r="150">
          <cell r="D150" t="str">
            <v>CASH PROFIT</v>
          </cell>
          <cell r="E150">
            <v>-18.755697536360021</v>
          </cell>
          <cell r="F150">
            <v>32.538437635712022</v>
          </cell>
          <cell r="G150">
            <v>26.599999999999987</v>
          </cell>
          <cell r="H150">
            <v>64.581222034596678</v>
          </cell>
          <cell r="I150">
            <v>113.03443166344239</v>
          </cell>
          <cell r="J150">
            <v>87.390000000000015</v>
          </cell>
          <cell r="K150">
            <v>0</v>
          </cell>
          <cell r="L150">
            <v>0</v>
          </cell>
          <cell r="M150">
            <v>0</v>
          </cell>
          <cell r="N150">
            <v>0</v>
          </cell>
          <cell r="O150">
            <v>0</v>
          </cell>
          <cell r="P150">
            <v>0</v>
          </cell>
          <cell r="Q150">
            <v>-18.755697536360021</v>
          </cell>
          <cell r="R150">
            <v>13.782740099351997</v>
          </cell>
          <cell r="S150">
            <v>40.382740099351984</v>
          </cell>
          <cell r="T150">
            <v>104.96396213394867</v>
          </cell>
          <cell r="U150">
            <v>217.99839379739106</v>
          </cell>
          <cell r="V150">
            <v>305.38839379739107</v>
          </cell>
          <cell r="W150">
            <v>305.38839379739107</v>
          </cell>
          <cell r="X150">
            <v>305.38839379739107</v>
          </cell>
          <cell r="Y150">
            <v>305.38839379739107</v>
          </cell>
          <cell r="Z150">
            <v>305.38839379739107</v>
          </cell>
          <cell r="AA150">
            <v>305.38839379739107</v>
          </cell>
          <cell r="AB150">
            <v>305.38839379739107</v>
          </cell>
        </row>
        <row r="151">
          <cell r="D151" t="str">
            <v>DEPRECIATION</v>
          </cell>
          <cell r="E151">
            <v>14.166666666666666</v>
          </cell>
          <cell r="F151">
            <v>14.17</v>
          </cell>
          <cell r="G151">
            <v>14.17</v>
          </cell>
          <cell r="H151">
            <v>14.17</v>
          </cell>
          <cell r="I151">
            <v>14.166666666666666</v>
          </cell>
          <cell r="J151">
            <v>14.17</v>
          </cell>
          <cell r="Q151">
            <v>14.166666666666666</v>
          </cell>
          <cell r="R151">
            <v>28.336666666666666</v>
          </cell>
          <cell r="S151">
            <v>42.506666666666668</v>
          </cell>
          <cell r="T151">
            <v>56.676666666666669</v>
          </cell>
          <cell r="U151">
            <v>70.843333333333334</v>
          </cell>
          <cell r="V151">
            <v>85.013333333333335</v>
          </cell>
          <cell r="W151">
            <v>85.013333333333335</v>
          </cell>
          <cell r="X151">
            <v>85.013333333333335</v>
          </cell>
          <cell r="Y151">
            <v>85.013333333333335</v>
          </cell>
          <cell r="Z151">
            <v>85.013333333333335</v>
          </cell>
          <cell r="AA151">
            <v>85.013333333333335</v>
          </cell>
          <cell r="AB151">
            <v>85.013333333333335</v>
          </cell>
        </row>
        <row r="152">
          <cell r="D152" t="str">
            <v>Net Profit / - Loss</v>
          </cell>
          <cell r="E152">
            <v>-32.922364203026689</v>
          </cell>
          <cell r="F152">
            <v>18.36843763571202</v>
          </cell>
          <cell r="G152">
            <v>12.429999999999987</v>
          </cell>
          <cell r="H152">
            <v>50.411222034596676</v>
          </cell>
          <cell r="I152">
            <v>98.867764996775719</v>
          </cell>
          <cell r="J152">
            <v>73.220000000000013</v>
          </cell>
          <cell r="K152">
            <v>0</v>
          </cell>
          <cell r="L152">
            <v>0</v>
          </cell>
          <cell r="M152">
            <v>0</v>
          </cell>
          <cell r="N152">
            <v>0</v>
          </cell>
          <cell r="O152">
            <v>0</v>
          </cell>
          <cell r="P152">
            <v>0</v>
          </cell>
          <cell r="Q152">
            <v>-32.922364203026689</v>
          </cell>
          <cell r="R152">
            <v>-14.553926567314669</v>
          </cell>
          <cell r="S152">
            <v>-2.1239265673146832</v>
          </cell>
          <cell r="T152">
            <v>48.287295467282</v>
          </cell>
          <cell r="U152">
            <v>147.15506046405773</v>
          </cell>
          <cell r="V152">
            <v>220.37506046405775</v>
          </cell>
          <cell r="W152">
            <v>220.37506046405775</v>
          </cell>
          <cell r="X152">
            <v>220.37506046405775</v>
          </cell>
          <cell r="Y152">
            <v>220.37506046405775</v>
          </cell>
          <cell r="Z152">
            <v>220.37506046405775</v>
          </cell>
          <cell r="AA152">
            <v>220.37506046405775</v>
          </cell>
          <cell r="AB152">
            <v>220.37506046405775</v>
          </cell>
        </row>
        <row r="153">
          <cell r="D153" t="str">
            <v>Other operating income</v>
          </cell>
          <cell r="E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row>
        <row r="154">
          <cell r="D154" t="str">
            <v>Net Profit / - Loss after Extra Ordianry Items</v>
          </cell>
          <cell r="E154">
            <v>-32.922364203026689</v>
          </cell>
          <cell r="F154">
            <v>18.36843763571202</v>
          </cell>
          <cell r="G154">
            <v>12.429999999999987</v>
          </cell>
          <cell r="H154">
            <v>50.411222034596676</v>
          </cell>
          <cell r="I154">
            <v>98.867764996775719</v>
          </cell>
          <cell r="J154">
            <v>73.220000000000013</v>
          </cell>
          <cell r="K154">
            <v>0</v>
          </cell>
          <cell r="L154">
            <v>0</v>
          </cell>
          <cell r="M154">
            <v>0</v>
          </cell>
          <cell r="N154">
            <v>0</v>
          </cell>
          <cell r="O154">
            <v>0</v>
          </cell>
          <cell r="P154">
            <v>0</v>
          </cell>
          <cell r="Q154">
            <v>-32.922364203026689</v>
          </cell>
          <cell r="R154">
            <v>-14.553926567314669</v>
          </cell>
          <cell r="S154">
            <v>-2.1239265673146832</v>
          </cell>
          <cell r="T154">
            <v>48.287295467282</v>
          </cell>
          <cell r="U154">
            <v>147.15506046405773</v>
          </cell>
          <cell r="V154">
            <v>220.37506046405775</v>
          </cell>
          <cell r="W154">
            <v>220.37506046405775</v>
          </cell>
          <cell r="X154">
            <v>220.37506046405775</v>
          </cell>
          <cell r="Y154">
            <v>220.37506046405775</v>
          </cell>
          <cell r="Z154">
            <v>220.37506046405775</v>
          </cell>
          <cell r="AA154">
            <v>220.37506046405775</v>
          </cell>
          <cell r="AB154">
            <v>220.37506046405775</v>
          </cell>
        </row>
        <row r="155">
          <cell r="D155" t="str">
            <v>PSM saving</v>
          </cell>
          <cell r="E155">
            <v>39.54</v>
          </cell>
          <cell r="F155">
            <v>41.97</v>
          </cell>
          <cell r="G155">
            <v>27.41</v>
          </cell>
          <cell r="H155">
            <v>36.229999999999997</v>
          </cell>
          <cell r="I155">
            <v>44.97</v>
          </cell>
          <cell r="J155">
            <v>40</v>
          </cell>
          <cell r="K155">
            <v>0</v>
          </cell>
          <cell r="L155">
            <v>0</v>
          </cell>
          <cell r="M155">
            <v>0</v>
          </cell>
          <cell r="N155">
            <v>0</v>
          </cell>
          <cell r="O155">
            <v>0</v>
          </cell>
          <cell r="P155">
            <v>0</v>
          </cell>
          <cell r="Q155">
            <v>39.54</v>
          </cell>
          <cell r="R155">
            <v>81.509999999999991</v>
          </cell>
          <cell r="S155">
            <v>108.91999999999999</v>
          </cell>
          <cell r="T155">
            <v>145.14999999999998</v>
          </cell>
          <cell r="U155">
            <v>190.11999999999998</v>
          </cell>
          <cell r="V155">
            <v>230.11999999999998</v>
          </cell>
          <cell r="W155">
            <v>230.11999999999998</v>
          </cell>
          <cell r="X155">
            <v>230.11999999999998</v>
          </cell>
          <cell r="Y155">
            <v>230.11999999999998</v>
          </cell>
          <cell r="Z155">
            <v>230.11999999999998</v>
          </cell>
          <cell r="AA155">
            <v>230.11999999999998</v>
          </cell>
          <cell r="AB155">
            <v>230.11999999999998</v>
          </cell>
        </row>
        <row r="156">
          <cell r="D156" t="str">
            <v>Interest Income</v>
          </cell>
          <cell r="E156">
            <v>8.33</v>
          </cell>
          <cell r="F156">
            <v>8.33</v>
          </cell>
          <cell r="G156">
            <v>8.33</v>
          </cell>
          <cell r="H156">
            <v>8.33</v>
          </cell>
          <cell r="I156">
            <v>8.33</v>
          </cell>
          <cell r="J156">
            <v>8.33</v>
          </cell>
          <cell r="Q156">
            <v>8.33</v>
          </cell>
          <cell r="R156">
            <v>16.66</v>
          </cell>
          <cell r="S156">
            <v>24.990000000000002</v>
          </cell>
          <cell r="T156">
            <v>33.32</v>
          </cell>
          <cell r="U156">
            <v>41.65</v>
          </cell>
          <cell r="V156">
            <v>49.98</v>
          </cell>
          <cell r="W156">
            <v>49.98</v>
          </cell>
          <cell r="X156">
            <v>49.98</v>
          </cell>
          <cell r="Y156">
            <v>49.98</v>
          </cell>
          <cell r="Z156">
            <v>49.98</v>
          </cell>
          <cell r="AA156">
            <v>49.98</v>
          </cell>
          <cell r="AB156">
            <v>49.98</v>
          </cell>
        </row>
        <row r="157">
          <cell r="D157" t="str">
            <v>PBT After Acquisition Interest</v>
          </cell>
          <cell r="E157">
            <v>14.94763579697331</v>
          </cell>
          <cell r="F157">
            <v>68.668437635712024</v>
          </cell>
          <cell r="G157">
            <v>48.169999999999987</v>
          </cell>
          <cell r="H157">
            <v>94.971222034596664</v>
          </cell>
          <cell r="I157">
            <v>152.16776499677573</v>
          </cell>
          <cell r="J157">
            <v>121.55000000000001</v>
          </cell>
          <cell r="K157">
            <v>0</v>
          </cell>
          <cell r="L157">
            <v>0</v>
          </cell>
          <cell r="M157">
            <v>0</v>
          </cell>
          <cell r="N157">
            <v>0</v>
          </cell>
          <cell r="O157">
            <v>0</v>
          </cell>
          <cell r="P157">
            <v>0</v>
          </cell>
          <cell r="Q157">
            <v>14.94763579697331</v>
          </cell>
          <cell r="R157">
            <v>83.616073432685312</v>
          </cell>
          <cell r="S157">
            <v>131.7860734326853</v>
          </cell>
          <cell r="T157">
            <v>226.75729546728198</v>
          </cell>
          <cell r="U157">
            <v>378.92506046405765</v>
          </cell>
          <cell r="V157">
            <v>500.47506046405772</v>
          </cell>
          <cell r="W157">
            <v>500.47506046405772</v>
          </cell>
          <cell r="X157">
            <v>500.47506046405772</v>
          </cell>
          <cell r="Y157">
            <v>500.47506046405772</v>
          </cell>
          <cell r="Z157">
            <v>500.47506046405772</v>
          </cell>
          <cell r="AA157">
            <v>500.47506046405772</v>
          </cell>
          <cell r="AB157">
            <v>500.47506046405772</v>
          </cell>
        </row>
        <row r="164">
          <cell r="D164" t="str">
            <v>Particulars</v>
          </cell>
          <cell r="E164" t="str">
            <v>Apr'09</v>
          </cell>
          <cell r="F164" t="str">
            <v>May'09</v>
          </cell>
          <cell r="G164" t="str">
            <v>Jun'09</v>
          </cell>
          <cell r="H164" t="str">
            <v>Jul'09</v>
          </cell>
          <cell r="I164" t="str">
            <v>Aug'09</v>
          </cell>
          <cell r="J164" t="str">
            <v>Sep'09</v>
          </cell>
          <cell r="K164" t="str">
            <v>Oct'09</v>
          </cell>
          <cell r="L164" t="str">
            <v>Nov'09</v>
          </cell>
          <cell r="M164" t="str">
            <v>Dec'09</v>
          </cell>
          <cell r="N164" t="str">
            <v>Jan'10</v>
          </cell>
          <cell r="O164" t="str">
            <v>Feb'10</v>
          </cell>
          <cell r="P164" t="str">
            <v>Mar'10</v>
          </cell>
          <cell r="Q164" t="str">
            <v>Apr'09</v>
          </cell>
          <cell r="R164" t="str">
            <v>May'09</v>
          </cell>
          <cell r="S164" t="str">
            <v>Jun'09</v>
          </cell>
          <cell r="T164" t="str">
            <v>Jul'09</v>
          </cell>
          <cell r="U164" t="str">
            <v>Aug'09</v>
          </cell>
          <cell r="V164" t="str">
            <v>Sep'09</v>
          </cell>
          <cell r="W164" t="str">
            <v>Oct'09</v>
          </cell>
          <cell r="X164" t="str">
            <v>Nov'09</v>
          </cell>
          <cell r="Y164" t="str">
            <v>Dec'09</v>
          </cell>
          <cell r="Z164" t="str">
            <v>Jan'10</v>
          </cell>
          <cell r="AA164" t="str">
            <v>Feb'10</v>
          </cell>
          <cell r="AB164" t="str">
            <v>Mar'10</v>
          </cell>
        </row>
        <row r="166">
          <cell r="D166" t="str">
            <v>Sales</v>
          </cell>
          <cell r="E166">
            <v>1664.71</v>
          </cell>
          <cell r="F166">
            <v>1756.3600000000001</v>
          </cell>
          <cell r="G166">
            <v>1534.27</v>
          </cell>
          <cell r="H166">
            <v>1549.25</v>
          </cell>
          <cell r="I166">
            <v>1528.62</v>
          </cell>
          <cell r="J166">
            <v>1475</v>
          </cell>
          <cell r="K166">
            <v>0</v>
          </cell>
          <cell r="L166">
            <v>0</v>
          </cell>
          <cell r="M166">
            <v>0</v>
          </cell>
          <cell r="N166">
            <v>0</v>
          </cell>
          <cell r="O166">
            <v>0</v>
          </cell>
          <cell r="P166">
            <v>0</v>
          </cell>
          <cell r="Q166">
            <v>1664.71</v>
          </cell>
          <cell r="R166">
            <v>3421.07</v>
          </cell>
          <cell r="S166">
            <v>4955.34</v>
          </cell>
          <cell r="T166">
            <v>6504.59</v>
          </cell>
          <cell r="U166">
            <v>8033.21</v>
          </cell>
          <cell r="V166">
            <v>9508.2099999999991</v>
          </cell>
          <cell r="W166">
            <v>9508.2099999999991</v>
          </cell>
          <cell r="X166">
            <v>9508.2099999999991</v>
          </cell>
          <cell r="Y166">
            <v>9508.2099999999991</v>
          </cell>
          <cell r="Z166">
            <v>9508.2099999999991</v>
          </cell>
          <cell r="AA166">
            <v>9508.2099999999991</v>
          </cell>
          <cell r="AB166">
            <v>9508.2099999999991</v>
          </cell>
        </row>
        <row r="167">
          <cell r="D167" t="str">
            <v>Traded sugar Free</v>
          </cell>
          <cell r="E167">
            <v>914.84</v>
          </cell>
          <cell r="F167">
            <v>983.04</v>
          </cell>
          <cell r="G167">
            <v>850.23</v>
          </cell>
          <cell r="H167">
            <v>909.81</v>
          </cell>
          <cell r="I167">
            <v>940.89</v>
          </cell>
          <cell r="J167">
            <v>0</v>
          </cell>
          <cell r="K167">
            <v>0</v>
          </cell>
          <cell r="L167">
            <v>0</v>
          </cell>
          <cell r="M167">
            <v>0</v>
          </cell>
          <cell r="N167">
            <v>0</v>
          </cell>
          <cell r="O167">
            <v>0</v>
          </cell>
          <cell r="P167">
            <v>0</v>
          </cell>
          <cell r="Q167">
            <v>914.84</v>
          </cell>
          <cell r="R167">
            <v>1897.88</v>
          </cell>
          <cell r="S167">
            <v>2748.11</v>
          </cell>
          <cell r="T167">
            <v>3657.92</v>
          </cell>
          <cell r="U167">
            <v>4598.8100000000004</v>
          </cell>
          <cell r="V167">
            <v>4598.8100000000004</v>
          </cell>
          <cell r="W167">
            <v>4598.8100000000004</v>
          </cell>
          <cell r="X167">
            <v>4598.8100000000004</v>
          </cell>
          <cell r="Y167">
            <v>4598.8100000000004</v>
          </cell>
          <cell r="Z167">
            <v>4598.8100000000004</v>
          </cell>
          <cell r="AA167">
            <v>4598.8100000000004</v>
          </cell>
          <cell r="AB167">
            <v>4598.8100000000004</v>
          </cell>
        </row>
        <row r="168">
          <cell r="D168" t="str">
            <v>Traded-cosmetics</v>
          </cell>
          <cell r="E168">
            <v>749.87</v>
          </cell>
          <cell r="F168">
            <v>773.32</v>
          </cell>
          <cell r="G168">
            <v>616.99</v>
          </cell>
          <cell r="H168">
            <v>587.34</v>
          </cell>
          <cell r="I168">
            <v>560.69000000000005</v>
          </cell>
          <cell r="J168">
            <v>0</v>
          </cell>
          <cell r="K168">
            <v>0</v>
          </cell>
          <cell r="L168">
            <v>0</v>
          </cell>
          <cell r="M168">
            <v>0</v>
          </cell>
          <cell r="N168">
            <v>0</v>
          </cell>
          <cell r="O168">
            <v>0</v>
          </cell>
          <cell r="P168">
            <v>0</v>
          </cell>
          <cell r="Q168">
            <v>749.87</v>
          </cell>
          <cell r="R168">
            <v>1523.19</v>
          </cell>
          <cell r="S168">
            <v>2140.1800000000003</v>
          </cell>
          <cell r="T168">
            <v>2727.5200000000004</v>
          </cell>
          <cell r="U168">
            <v>3288.2100000000005</v>
          </cell>
          <cell r="V168">
            <v>3288.2100000000005</v>
          </cell>
          <cell r="W168">
            <v>3288.2100000000005</v>
          </cell>
          <cell r="X168">
            <v>3288.2100000000005</v>
          </cell>
          <cell r="Y168">
            <v>3288.2100000000005</v>
          </cell>
          <cell r="Z168">
            <v>3288.2100000000005</v>
          </cell>
          <cell r="AA168">
            <v>3288.2100000000005</v>
          </cell>
          <cell r="AB168">
            <v>3288.2100000000005</v>
          </cell>
        </row>
        <row r="169">
          <cell r="D169" t="str">
            <v>New Products</v>
          </cell>
          <cell r="E169">
            <v>0</v>
          </cell>
          <cell r="F169">
            <v>0</v>
          </cell>
          <cell r="G169">
            <v>67.05</v>
          </cell>
          <cell r="H169">
            <v>52.1</v>
          </cell>
          <cell r="I169">
            <v>27.04</v>
          </cell>
          <cell r="J169">
            <v>0</v>
          </cell>
          <cell r="K169">
            <v>0</v>
          </cell>
          <cell r="L169">
            <v>0</v>
          </cell>
          <cell r="M169">
            <v>0</v>
          </cell>
          <cell r="N169">
            <v>0</v>
          </cell>
          <cell r="O169">
            <v>0</v>
          </cell>
          <cell r="P169">
            <v>0</v>
          </cell>
          <cell r="Q169">
            <v>0</v>
          </cell>
          <cell r="R169">
            <v>0</v>
          </cell>
          <cell r="S169">
            <v>67.05</v>
          </cell>
          <cell r="T169">
            <v>119.15</v>
          </cell>
          <cell r="U169">
            <v>146.19</v>
          </cell>
          <cell r="V169">
            <v>146.19</v>
          </cell>
          <cell r="W169">
            <v>146.19</v>
          </cell>
          <cell r="X169">
            <v>146.19</v>
          </cell>
          <cell r="Y169">
            <v>146.19</v>
          </cell>
          <cell r="Z169">
            <v>146.19</v>
          </cell>
          <cell r="AA169">
            <v>146.19</v>
          </cell>
          <cell r="AB169">
            <v>146.19</v>
          </cell>
        </row>
        <row r="171">
          <cell r="D171" t="str">
            <v>Cost of Goods Sold</v>
          </cell>
          <cell r="E171">
            <v>481.30132000000003</v>
          </cell>
          <cell r="F171">
            <v>505.21079999999995</v>
          </cell>
          <cell r="G171">
            <v>471.54</v>
          </cell>
          <cell r="H171">
            <v>440</v>
          </cell>
          <cell r="I171">
            <v>418.98493548836325</v>
          </cell>
          <cell r="J171">
            <v>432</v>
          </cell>
          <cell r="K171">
            <v>0</v>
          </cell>
          <cell r="L171">
            <v>0</v>
          </cell>
          <cell r="M171">
            <v>0</v>
          </cell>
          <cell r="N171">
            <v>0</v>
          </cell>
          <cell r="O171">
            <v>0</v>
          </cell>
          <cell r="P171">
            <v>0</v>
          </cell>
          <cell r="Q171">
            <v>481.30132000000003</v>
          </cell>
          <cell r="R171">
            <v>986.51211999999998</v>
          </cell>
          <cell r="S171">
            <v>1458.0521200000001</v>
          </cell>
          <cell r="T171">
            <v>1898.0521200000001</v>
          </cell>
          <cell r="U171">
            <v>2317.0370554883634</v>
          </cell>
          <cell r="V171">
            <v>2749.0370554883634</v>
          </cell>
          <cell r="W171">
            <v>2749.0370554883634</v>
          </cell>
          <cell r="X171">
            <v>2749.0370554883634</v>
          </cell>
          <cell r="Y171">
            <v>2749.0370554883634</v>
          </cell>
          <cell r="Z171">
            <v>2749.0370554883634</v>
          </cell>
          <cell r="AA171">
            <v>2749.0370554883634</v>
          </cell>
          <cell r="AB171">
            <v>2749.0370554883634</v>
          </cell>
        </row>
        <row r="172">
          <cell r="D172" t="str">
            <v>COGS Traded sugar Free</v>
          </cell>
          <cell r="E172">
            <v>249.75132000000002</v>
          </cell>
          <cell r="F172">
            <v>265.42079999999999</v>
          </cell>
          <cell r="G172">
            <v>234.08</v>
          </cell>
          <cell r="H172">
            <v>239</v>
          </cell>
          <cell r="I172">
            <v>237.12447390114423</v>
          </cell>
          <cell r="Q172">
            <v>249.75132000000002</v>
          </cell>
          <cell r="R172">
            <v>515.17211999999995</v>
          </cell>
          <cell r="S172">
            <v>749.25211999999999</v>
          </cell>
          <cell r="T172">
            <v>988.25211999999999</v>
          </cell>
          <cell r="U172">
            <v>1225.3765939011441</v>
          </cell>
          <cell r="V172">
            <v>1225.3765939011441</v>
          </cell>
          <cell r="W172">
            <v>1225.3765939011441</v>
          </cell>
          <cell r="X172">
            <v>1225.3765939011441</v>
          </cell>
          <cell r="Y172">
            <v>1225.3765939011441</v>
          </cell>
          <cell r="Z172">
            <v>1225.3765939011441</v>
          </cell>
          <cell r="AA172">
            <v>1225.3765939011441</v>
          </cell>
          <cell r="AB172">
            <v>1225.3765939011441</v>
          </cell>
        </row>
        <row r="173">
          <cell r="D173" t="str">
            <v>COGS Traded-cosmetics</v>
          </cell>
          <cell r="E173">
            <v>231.55</v>
          </cell>
          <cell r="F173">
            <v>239.79</v>
          </cell>
          <cell r="G173">
            <v>208.1</v>
          </cell>
          <cell r="H173">
            <v>178</v>
          </cell>
          <cell r="I173">
            <v>169.92341744134575</v>
          </cell>
          <cell r="Q173">
            <v>231.55</v>
          </cell>
          <cell r="R173">
            <v>471.34000000000003</v>
          </cell>
          <cell r="S173">
            <v>679.44</v>
          </cell>
          <cell r="T173">
            <v>857.44</v>
          </cell>
          <cell r="U173">
            <v>1027.3634174413457</v>
          </cell>
          <cell r="V173">
            <v>1027.3634174413457</v>
          </cell>
          <cell r="W173">
            <v>1027.3634174413457</v>
          </cell>
          <cell r="X173">
            <v>1027.3634174413457</v>
          </cell>
          <cell r="Y173">
            <v>1027.3634174413457</v>
          </cell>
          <cell r="Z173">
            <v>1027.3634174413457</v>
          </cell>
          <cell r="AA173">
            <v>1027.3634174413457</v>
          </cell>
          <cell r="AB173">
            <v>1027.3634174413457</v>
          </cell>
        </row>
        <row r="174">
          <cell r="D174" t="str">
            <v>COGS New Products</v>
          </cell>
          <cell r="E174">
            <v>0</v>
          </cell>
          <cell r="F174">
            <v>0</v>
          </cell>
          <cell r="G174">
            <v>29.36</v>
          </cell>
          <cell r="H174">
            <v>23</v>
          </cell>
          <cell r="I174">
            <v>11.937044145873319</v>
          </cell>
          <cell r="Q174">
            <v>0</v>
          </cell>
          <cell r="R174">
            <v>0</v>
          </cell>
          <cell r="S174">
            <v>29.36</v>
          </cell>
          <cell r="T174">
            <v>52.36</v>
          </cell>
          <cell r="U174">
            <v>64.297044145873315</v>
          </cell>
          <cell r="V174">
            <v>64.297044145873315</v>
          </cell>
          <cell r="W174">
            <v>64.297044145873315</v>
          </cell>
          <cell r="X174">
            <v>64.297044145873315</v>
          </cell>
          <cell r="Y174">
            <v>64.297044145873315</v>
          </cell>
          <cell r="Z174">
            <v>64.297044145873315</v>
          </cell>
          <cell r="AA174">
            <v>64.297044145873315</v>
          </cell>
          <cell r="AB174">
            <v>64.297044145873315</v>
          </cell>
        </row>
        <row r="176">
          <cell r="D176" t="str">
            <v>Contribution</v>
          </cell>
          <cell r="E176">
            <v>1183.40868</v>
          </cell>
          <cell r="F176">
            <v>1251.1492000000003</v>
          </cell>
          <cell r="G176">
            <v>1062.73</v>
          </cell>
          <cell r="H176">
            <v>1109.25</v>
          </cell>
          <cell r="I176">
            <v>1109.6350645116368</v>
          </cell>
          <cell r="J176">
            <v>1043</v>
          </cell>
          <cell r="K176">
            <v>0</v>
          </cell>
          <cell r="L176">
            <v>0</v>
          </cell>
          <cell r="M176">
            <v>0</v>
          </cell>
          <cell r="N176">
            <v>0</v>
          </cell>
          <cell r="O176">
            <v>0</v>
          </cell>
          <cell r="P176">
            <v>0</v>
          </cell>
          <cell r="Q176">
            <v>1183.40868</v>
          </cell>
          <cell r="R176">
            <v>2434.5578800000003</v>
          </cell>
          <cell r="S176">
            <v>3497.2878800000003</v>
          </cell>
          <cell r="T176">
            <v>4606.5378799999999</v>
          </cell>
          <cell r="U176">
            <v>5716.1729445116362</v>
          </cell>
          <cell r="V176">
            <v>6759.1729445116362</v>
          </cell>
          <cell r="W176">
            <v>6759.1729445116362</v>
          </cell>
          <cell r="X176">
            <v>6759.1729445116362</v>
          </cell>
          <cell r="Y176">
            <v>6759.1729445116362</v>
          </cell>
          <cell r="Z176">
            <v>6759.1729445116362</v>
          </cell>
          <cell r="AA176">
            <v>6759.1729445116362</v>
          </cell>
          <cell r="AB176">
            <v>6759.1729445116362</v>
          </cell>
        </row>
        <row r="177">
          <cell r="D177" t="str">
            <v>Traded sugar Free</v>
          </cell>
          <cell r="E177">
            <v>665.08868000000007</v>
          </cell>
          <cell r="F177">
            <v>717.61919999999998</v>
          </cell>
          <cell r="G177">
            <v>616.15</v>
          </cell>
          <cell r="H177">
            <v>670.81</v>
          </cell>
          <cell r="I177">
            <v>703.76552609885573</v>
          </cell>
          <cell r="J177">
            <v>0</v>
          </cell>
          <cell r="K177">
            <v>0</v>
          </cell>
          <cell r="L177">
            <v>0</v>
          </cell>
          <cell r="M177">
            <v>0</v>
          </cell>
          <cell r="N177">
            <v>0</v>
          </cell>
          <cell r="O177">
            <v>0</v>
          </cell>
          <cell r="P177">
            <v>0</v>
          </cell>
          <cell r="Q177">
            <v>665.08868000000007</v>
          </cell>
          <cell r="R177">
            <v>1382.7078799999999</v>
          </cell>
          <cell r="S177">
            <v>1998.85788</v>
          </cell>
          <cell r="T177">
            <v>2669.66788</v>
          </cell>
          <cell r="U177">
            <v>3373.4334060988558</v>
          </cell>
          <cell r="V177">
            <v>3373.4334060988558</v>
          </cell>
          <cell r="W177">
            <v>3373.4334060988558</v>
          </cell>
          <cell r="X177">
            <v>3373.4334060988558</v>
          </cell>
          <cell r="Y177">
            <v>3373.4334060988558</v>
          </cell>
          <cell r="Z177">
            <v>3373.4334060988558</v>
          </cell>
          <cell r="AA177">
            <v>3373.4334060988558</v>
          </cell>
          <cell r="AB177">
            <v>3373.4334060988558</v>
          </cell>
        </row>
        <row r="178">
          <cell r="D178" t="str">
            <v>Traded-cosmetics</v>
          </cell>
          <cell r="E178">
            <v>518.31999999999994</v>
          </cell>
          <cell r="F178">
            <v>533.53000000000009</v>
          </cell>
          <cell r="G178">
            <v>408.89</v>
          </cell>
          <cell r="H178">
            <v>409.34000000000003</v>
          </cell>
          <cell r="I178">
            <v>390.76658255865431</v>
          </cell>
          <cell r="J178">
            <v>0</v>
          </cell>
          <cell r="K178">
            <v>0</v>
          </cell>
          <cell r="L178">
            <v>0</v>
          </cell>
          <cell r="M178">
            <v>0</v>
          </cell>
          <cell r="N178">
            <v>0</v>
          </cell>
          <cell r="O178">
            <v>0</v>
          </cell>
          <cell r="P178">
            <v>0</v>
          </cell>
          <cell r="Q178">
            <v>518.31999999999994</v>
          </cell>
          <cell r="R178">
            <v>1051.8499999999999</v>
          </cell>
          <cell r="S178">
            <v>1460.7399999999998</v>
          </cell>
          <cell r="T178">
            <v>1870.08</v>
          </cell>
          <cell r="U178">
            <v>2260.8465825586541</v>
          </cell>
          <cell r="V178">
            <v>2260.8465825586541</v>
          </cell>
          <cell r="W178">
            <v>2260.8465825586541</v>
          </cell>
          <cell r="X178">
            <v>2260.8465825586541</v>
          </cell>
          <cell r="Y178">
            <v>2260.8465825586541</v>
          </cell>
          <cell r="Z178">
            <v>2260.8465825586541</v>
          </cell>
          <cell r="AA178">
            <v>2260.8465825586541</v>
          </cell>
          <cell r="AB178">
            <v>2260.8465825586541</v>
          </cell>
        </row>
        <row r="179">
          <cell r="D179" t="str">
            <v>New Products</v>
          </cell>
          <cell r="E179">
            <v>0</v>
          </cell>
          <cell r="F179">
            <v>0</v>
          </cell>
          <cell r="G179">
            <v>37.69</v>
          </cell>
          <cell r="H179">
            <v>29.1</v>
          </cell>
          <cell r="I179">
            <v>15.10295585412668</v>
          </cell>
          <cell r="J179">
            <v>0</v>
          </cell>
          <cell r="K179">
            <v>0</v>
          </cell>
          <cell r="L179">
            <v>0</v>
          </cell>
          <cell r="M179">
            <v>0</v>
          </cell>
          <cell r="N179">
            <v>0</v>
          </cell>
          <cell r="O179">
            <v>0</v>
          </cell>
          <cell r="P179">
            <v>0</v>
          </cell>
          <cell r="Q179">
            <v>0</v>
          </cell>
          <cell r="R179">
            <v>0</v>
          </cell>
          <cell r="S179">
            <v>37.69</v>
          </cell>
          <cell r="T179">
            <v>66.789999999999992</v>
          </cell>
          <cell r="U179">
            <v>81.892955854126669</v>
          </cell>
          <cell r="V179">
            <v>81.892955854126669</v>
          </cell>
          <cell r="W179">
            <v>81.892955854126669</v>
          </cell>
          <cell r="X179">
            <v>81.892955854126669</v>
          </cell>
          <cell r="Y179">
            <v>81.892955854126669</v>
          </cell>
          <cell r="Z179">
            <v>81.892955854126669</v>
          </cell>
          <cell r="AA179">
            <v>81.892955854126669</v>
          </cell>
          <cell r="AB179">
            <v>81.892955854126669</v>
          </cell>
        </row>
        <row r="180">
          <cell r="E180">
            <v>0.71087978086273285</v>
          </cell>
          <cell r="F180">
            <v>0.71235350383748219</v>
          </cell>
          <cell r="G180">
            <v>0.69266165668363455</v>
          </cell>
          <cell r="H180">
            <v>0.71599160884298851</v>
          </cell>
          <cell r="I180">
            <v>0.72590641527105282</v>
          </cell>
          <cell r="J180">
            <v>0.70711864406779656</v>
          </cell>
          <cell r="K180" t="e">
            <v>#DIV/0!</v>
          </cell>
          <cell r="L180" t="e">
            <v>#DIV/0!</v>
          </cell>
          <cell r="M180" t="e">
            <v>#DIV/0!</v>
          </cell>
          <cell r="N180" t="e">
            <v>#DIV/0!</v>
          </cell>
          <cell r="O180" t="e">
            <v>#DIV/0!</v>
          </cell>
          <cell r="P180" t="e">
            <v>#DIV/0!</v>
          </cell>
          <cell r="Q180">
            <v>0.71087978086273285</v>
          </cell>
          <cell r="R180">
            <v>0.71163638276913366</v>
          </cell>
          <cell r="S180">
            <v>0.70576143715668349</v>
          </cell>
          <cell r="T180">
            <v>0.70819803861580821</v>
          </cell>
          <cell r="U180">
            <v>0.71156772255569523</v>
          </cell>
          <cell r="V180">
            <v>0.71087754104207168</v>
          </cell>
          <cell r="W180">
            <v>0.71087754104207168</v>
          </cell>
          <cell r="X180">
            <v>0.71087754104207168</v>
          </cell>
          <cell r="Y180">
            <v>0.71087754104207168</v>
          </cell>
          <cell r="Z180">
            <v>0.71087754104207168</v>
          </cell>
          <cell r="AA180">
            <v>0.71087754104207168</v>
          </cell>
          <cell r="AB180">
            <v>0.71087754104207168</v>
          </cell>
        </row>
        <row r="181">
          <cell r="D181" t="str">
            <v>Overheads</v>
          </cell>
        </row>
        <row r="182">
          <cell r="D182" t="str">
            <v>Personnel Costs</v>
          </cell>
          <cell r="E182">
            <v>42.91</v>
          </cell>
          <cell r="F182">
            <v>45.88</v>
          </cell>
          <cell r="G182">
            <v>50.56</v>
          </cell>
          <cell r="H182">
            <v>46.160000000000004</v>
          </cell>
          <cell r="I182">
            <v>45.88</v>
          </cell>
          <cell r="J182">
            <v>50.56</v>
          </cell>
          <cell r="Q182">
            <v>42.91</v>
          </cell>
          <cell r="R182">
            <v>88.789999999999992</v>
          </cell>
          <cell r="S182">
            <v>139.35</v>
          </cell>
          <cell r="T182">
            <v>185.51</v>
          </cell>
          <cell r="U182">
            <v>231.39</v>
          </cell>
          <cell r="V182">
            <v>281.95</v>
          </cell>
          <cell r="W182">
            <v>281.95</v>
          </cell>
          <cell r="X182">
            <v>281.95</v>
          </cell>
          <cell r="Y182">
            <v>281.95</v>
          </cell>
          <cell r="Z182">
            <v>281.95</v>
          </cell>
          <cell r="AA182">
            <v>281.95</v>
          </cell>
          <cell r="AB182">
            <v>281.95</v>
          </cell>
        </row>
        <row r="183">
          <cell r="D183" t="str">
            <v>Administration Exp</v>
          </cell>
          <cell r="E183">
            <v>0.6</v>
          </cell>
          <cell r="F183">
            <v>9.5</v>
          </cell>
          <cell r="G183">
            <v>2.1</v>
          </cell>
          <cell r="H183">
            <v>2.1</v>
          </cell>
          <cell r="I183">
            <v>-2.4</v>
          </cell>
          <cell r="J183">
            <v>2.1</v>
          </cell>
          <cell r="K183">
            <v>0</v>
          </cell>
          <cell r="L183">
            <v>0</v>
          </cell>
          <cell r="M183">
            <v>0</v>
          </cell>
          <cell r="N183">
            <v>0</v>
          </cell>
          <cell r="O183">
            <v>0</v>
          </cell>
          <cell r="P183">
            <v>0</v>
          </cell>
          <cell r="Q183">
            <v>0.6</v>
          </cell>
          <cell r="R183">
            <v>10.1</v>
          </cell>
          <cell r="S183">
            <v>12.2</v>
          </cell>
          <cell r="T183">
            <v>14.299999999999999</v>
          </cell>
          <cell r="U183">
            <v>11.899999999999999</v>
          </cell>
          <cell r="V183">
            <v>13.999999999999998</v>
          </cell>
          <cell r="W183">
            <v>13.999999999999998</v>
          </cell>
          <cell r="X183">
            <v>13.999999999999998</v>
          </cell>
          <cell r="Y183">
            <v>13.999999999999998</v>
          </cell>
          <cell r="Z183">
            <v>13.999999999999998</v>
          </cell>
          <cell r="AA183">
            <v>13.999999999999998</v>
          </cell>
          <cell r="AB183">
            <v>13.999999999999998</v>
          </cell>
        </row>
        <row r="184">
          <cell r="D184" t="str">
            <v>Production Exp</v>
          </cell>
          <cell r="E184">
            <v>4.34</v>
          </cell>
          <cell r="F184">
            <v>4.34</v>
          </cell>
          <cell r="G184">
            <v>4.38</v>
          </cell>
          <cell r="H184">
            <v>4.34</v>
          </cell>
          <cell r="I184">
            <v>4.34</v>
          </cell>
          <cell r="J184">
            <v>3.38</v>
          </cell>
          <cell r="K184">
            <v>0</v>
          </cell>
          <cell r="L184">
            <v>0</v>
          </cell>
          <cell r="M184">
            <v>0</v>
          </cell>
          <cell r="N184">
            <v>0</v>
          </cell>
          <cell r="O184">
            <v>0</v>
          </cell>
          <cell r="P184">
            <v>0</v>
          </cell>
          <cell r="Q184">
            <v>4.34</v>
          </cell>
          <cell r="R184">
            <v>8.68</v>
          </cell>
          <cell r="S184">
            <v>13.059999999999999</v>
          </cell>
          <cell r="T184">
            <v>17.399999999999999</v>
          </cell>
          <cell r="U184">
            <v>21.74</v>
          </cell>
          <cell r="V184">
            <v>25.119999999999997</v>
          </cell>
          <cell r="W184">
            <v>25.119999999999997</v>
          </cell>
          <cell r="X184">
            <v>25.119999999999997</v>
          </cell>
          <cell r="Y184">
            <v>25.119999999999997</v>
          </cell>
          <cell r="Z184">
            <v>25.119999999999997</v>
          </cell>
          <cell r="AA184">
            <v>25.119999999999997</v>
          </cell>
          <cell r="AB184">
            <v>25.119999999999997</v>
          </cell>
        </row>
        <row r="185">
          <cell r="D185" t="str">
            <v xml:space="preserve">Research &amp; Development </v>
          </cell>
          <cell r="E185">
            <v>4.4499999999999993</v>
          </cell>
          <cell r="F185">
            <v>4.4525000000000006</v>
          </cell>
          <cell r="G185">
            <v>4.45</v>
          </cell>
          <cell r="H185">
            <v>4.4524999999999997</v>
          </cell>
          <cell r="I185">
            <v>4.4524999999999997</v>
          </cell>
          <cell r="J185">
            <v>4.45</v>
          </cell>
          <cell r="K185">
            <v>0</v>
          </cell>
          <cell r="L185">
            <v>0</v>
          </cell>
          <cell r="M185">
            <v>0</v>
          </cell>
          <cell r="N185">
            <v>0</v>
          </cell>
          <cell r="O185">
            <v>0</v>
          </cell>
          <cell r="P185">
            <v>0</v>
          </cell>
          <cell r="Q185">
            <v>4.4499999999999993</v>
          </cell>
          <cell r="R185">
            <v>8.9024999999999999</v>
          </cell>
          <cell r="S185">
            <v>13.352499999999999</v>
          </cell>
          <cell r="T185">
            <v>17.805</v>
          </cell>
          <cell r="U185">
            <v>22.2575</v>
          </cell>
          <cell r="V185">
            <v>26.7075</v>
          </cell>
          <cell r="W185">
            <v>26.7075</v>
          </cell>
          <cell r="X185">
            <v>26.7075</v>
          </cell>
          <cell r="Y185">
            <v>26.7075</v>
          </cell>
          <cell r="Z185">
            <v>26.7075</v>
          </cell>
          <cell r="AA185">
            <v>26.7075</v>
          </cell>
          <cell r="AB185">
            <v>26.7075</v>
          </cell>
        </row>
        <row r="186">
          <cell r="D186" t="str">
            <v>Marketing Exp</v>
          </cell>
          <cell r="E186">
            <v>805.93</v>
          </cell>
          <cell r="F186">
            <v>886.33</v>
          </cell>
          <cell r="G186">
            <v>997.71999999999991</v>
          </cell>
          <cell r="H186">
            <v>836.97</v>
          </cell>
          <cell r="I186">
            <v>424.40999999999997</v>
          </cell>
          <cell r="J186">
            <v>440.83</v>
          </cell>
          <cell r="K186">
            <v>0</v>
          </cell>
          <cell r="L186">
            <v>0</v>
          </cell>
          <cell r="M186">
            <v>0</v>
          </cell>
          <cell r="N186">
            <v>0</v>
          </cell>
          <cell r="O186">
            <v>0</v>
          </cell>
          <cell r="P186">
            <v>0</v>
          </cell>
          <cell r="Q186">
            <v>805.93</v>
          </cell>
          <cell r="R186">
            <v>1692.26</v>
          </cell>
          <cell r="S186">
            <v>2689.98</v>
          </cell>
          <cell r="T186">
            <v>3526.95</v>
          </cell>
          <cell r="U186">
            <v>3951.3599999999997</v>
          </cell>
          <cell r="V186">
            <v>4392.1899999999996</v>
          </cell>
          <cell r="W186">
            <v>4392.1899999999996</v>
          </cell>
          <cell r="X186">
            <v>4392.1899999999996</v>
          </cell>
          <cell r="Y186">
            <v>4392.1899999999996</v>
          </cell>
          <cell r="Z186">
            <v>4392.1899999999996</v>
          </cell>
          <cell r="AA186">
            <v>4392.1899999999996</v>
          </cell>
          <cell r="AB186">
            <v>4392.1899999999996</v>
          </cell>
        </row>
        <row r="187">
          <cell r="D187" t="str">
            <v>Sales &amp; Distribution Exp</v>
          </cell>
          <cell r="E187">
            <v>80.740000000000009</v>
          </cell>
          <cell r="F187">
            <v>87.83</v>
          </cell>
          <cell r="G187">
            <v>75.84</v>
          </cell>
          <cell r="H187">
            <v>77.14</v>
          </cell>
          <cell r="I187">
            <v>76.400000000000006</v>
          </cell>
          <cell r="J187">
            <v>71.92</v>
          </cell>
          <cell r="K187">
            <v>0</v>
          </cell>
          <cell r="L187">
            <v>0</v>
          </cell>
          <cell r="M187">
            <v>0</v>
          </cell>
          <cell r="N187">
            <v>0</v>
          </cell>
          <cell r="O187">
            <v>0</v>
          </cell>
          <cell r="P187">
            <v>0</v>
          </cell>
          <cell r="Q187">
            <v>80.740000000000009</v>
          </cell>
          <cell r="R187">
            <v>168.57</v>
          </cell>
          <cell r="S187">
            <v>244.41</v>
          </cell>
          <cell r="T187">
            <v>321.55</v>
          </cell>
          <cell r="U187">
            <v>397.95000000000005</v>
          </cell>
          <cell r="V187">
            <v>469.87000000000006</v>
          </cell>
          <cell r="W187">
            <v>469.87000000000006</v>
          </cell>
          <cell r="X187">
            <v>469.87000000000006</v>
          </cell>
          <cell r="Y187">
            <v>469.87000000000006</v>
          </cell>
          <cell r="Z187">
            <v>469.87000000000006</v>
          </cell>
          <cell r="AA187">
            <v>469.87000000000006</v>
          </cell>
          <cell r="AB187">
            <v>469.87000000000006</v>
          </cell>
        </row>
        <row r="189">
          <cell r="D189" t="str">
            <v>Total Overheads (a+b)</v>
          </cell>
          <cell r="E189">
            <v>938.96999999999991</v>
          </cell>
          <cell r="F189">
            <v>1038.3325</v>
          </cell>
          <cell r="G189">
            <v>1135.05</v>
          </cell>
          <cell r="H189">
            <v>971.16250000000002</v>
          </cell>
          <cell r="I189">
            <v>553.08249999999998</v>
          </cell>
          <cell r="J189">
            <v>573.24</v>
          </cell>
          <cell r="K189">
            <v>0</v>
          </cell>
          <cell r="L189">
            <v>0</v>
          </cell>
          <cell r="M189">
            <v>0</v>
          </cell>
          <cell r="N189">
            <v>0</v>
          </cell>
          <cell r="O189">
            <v>0</v>
          </cell>
          <cell r="P189">
            <v>0</v>
          </cell>
          <cell r="Q189">
            <v>938.96999999999991</v>
          </cell>
          <cell r="R189">
            <v>1977.3024999999998</v>
          </cell>
          <cell r="S189">
            <v>3112.3525</v>
          </cell>
          <cell r="T189">
            <v>4083.5149999999999</v>
          </cell>
          <cell r="U189">
            <v>4636.5974999999999</v>
          </cell>
          <cell r="V189">
            <v>5209.8374999999996</v>
          </cell>
          <cell r="W189">
            <v>5209.8374999999996</v>
          </cell>
          <cell r="X189">
            <v>5209.8374999999996</v>
          </cell>
          <cell r="Y189">
            <v>5209.8374999999996</v>
          </cell>
          <cell r="Z189">
            <v>5209.8374999999996</v>
          </cell>
          <cell r="AA189">
            <v>5209.8374999999996</v>
          </cell>
          <cell r="AB189">
            <v>5209.8374999999996</v>
          </cell>
        </row>
        <row r="190">
          <cell r="D190" t="str">
            <v>OPERATING PROFIT (LOSS)</v>
          </cell>
          <cell r="E190">
            <v>244.43868000000009</v>
          </cell>
          <cell r="F190">
            <v>212.81670000000031</v>
          </cell>
          <cell r="G190">
            <v>-72.319999999999936</v>
          </cell>
          <cell r="H190">
            <v>138.08749999999998</v>
          </cell>
          <cell r="I190">
            <v>556.55256451163677</v>
          </cell>
          <cell r="J190">
            <v>469.76</v>
          </cell>
          <cell r="K190">
            <v>0</v>
          </cell>
          <cell r="L190">
            <v>0</v>
          </cell>
          <cell r="M190">
            <v>0</v>
          </cell>
          <cell r="N190">
            <v>0</v>
          </cell>
          <cell r="O190">
            <v>0</v>
          </cell>
          <cell r="P190">
            <v>0</v>
          </cell>
          <cell r="Q190">
            <v>244.43868000000009</v>
          </cell>
          <cell r="R190">
            <v>457.2553800000004</v>
          </cell>
          <cell r="S190">
            <v>384.93538000000046</v>
          </cell>
          <cell r="T190">
            <v>523.02288000000044</v>
          </cell>
          <cell r="U190">
            <v>1079.5754445116372</v>
          </cell>
          <cell r="V190">
            <v>1549.3354445116372</v>
          </cell>
          <cell r="W190">
            <v>1549.3354445116372</v>
          </cell>
          <cell r="X190">
            <v>1549.3354445116372</v>
          </cell>
          <cell r="Y190">
            <v>1549.3354445116372</v>
          </cell>
          <cell r="Z190">
            <v>1549.3354445116372</v>
          </cell>
          <cell r="AA190">
            <v>1549.3354445116372</v>
          </cell>
          <cell r="AB190">
            <v>1549.3354445116372</v>
          </cell>
        </row>
        <row r="192">
          <cell r="D192" t="str">
            <v>Interest &amp; Depreciation</v>
          </cell>
        </row>
        <row r="193">
          <cell r="D193" t="str">
            <v>Variable Interest</v>
          </cell>
          <cell r="E193">
            <v>1.76</v>
          </cell>
          <cell r="F193">
            <v>1.61</v>
          </cell>
          <cell r="G193">
            <v>1.39</v>
          </cell>
          <cell r="H193">
            <v>1.31</v>
          </cell>
          <cell r="I193">
            <v>1.21</v>
          </cell>
          <cell r="J193">
            <v>1.34</v>
          </cell>
          <cell r="Q193">
            <v>1.76</v>
          </cell>
          <cell r="R193">
            <v>3.37</v>
          </cell>
          <cell r="S193">
            <v>4.76</v>
          </cell>
          <cell r="T193">
            <v>6.07</v>
          </cell>
          <cell r="U193">
            <v>7.28</v>
          </cell>
          <cell r="V193">
            <v>8.620000000000001</v>
          </cell>
          <cell r="W193">
            <v>8.620000000000001</v>
          </cell>
          <cell r="X193">
            <v>8.620000000000001</v>
          </cell>
          <cell r="Y193">
            <v>8.620000000000001</v>
          </cell>
          <cell r="Z193">
            <v>8.620000000000001</v>
          </cell>
          <cell r="AA193">
            <v>8.620000000000001</v>
          </cell>
          <cell r="AB193">
            <v>8.620000000000001</v>
          </cell>
        </row>
        <row r="194">
          <cell r="D194" t="str">
            <v>Fixed Interest</v>
          </cell>
          <cell r="E194">
            <v>0.1</v>
          </cell>
          <cell r="F194">
            <v>0.1</v>
          </cell>
          <cell r="G194">
            <v>0.1</v>
          </cell>
          <cell r="H194">
            <v>0.1</v>
          </cell>
          <cell r="I194">
            <v>0.1</v>
          </cell>
          <cell r="J194">
            <v>0.1</v>
          </cell>
          <cell r="Q194">
            <v>0.1</v>
          </cell>
          <cell r="R194">
            <v>0.2</v>
          </cell>
          <cell r="S194">
            <v>0.30000000000000004</v>
          </cell>
          <cell r="T194">
            <v>0.4</v>
          </cell>
          <cell r="U194">
            <v>0.5</v>
          </cell>
          <cell r="V194">
            <v>0.6</v>
          </cell>
          <cell r="W194">
            <v>0.6</v>
          </cell>
          <cell r="X194">
            <v>0.6</v>
          </cell>
          <cell r="Y194">
            <v>0.6</v>
          </cell>
          <cell r="Z194">
            <v>0.6</v>
          </cell>
          <cell r="AA194">
            <v>0.6</v>
          </cell>
          <cell r="AB194">
            <v>0.6</v>
          </cell>
        </row>
        <row r="195">
          <cell r="D195" t="str">
            <v>CASH PROFIT</v>
          </cell>
          <cell r="E195">
            <v>242.57868000000008</v>
          </cell>
          <cell r="F195">
            <v>211.1067000000003</v>
          </cell>
          <cell r="G195">
            <v>-73.809999999999931</v>
          </cell>
          <cell r="H195">
            <v>136.67749999999998</v>
          </cell>
          <cell r="I195">
            <v>555.24256451163683</v>
          </cell>
          <cell r="J195">
            <v>468.32</v>
          </cell>
          <cell r="K195">
            <v>0</v>
          </cell>
          <cell r="L195">
            <v>0</v>
          </cell>
          <cell r="M195">
            <v>0</v>
          </cell>
          <cell r="N195">
            <v>0</v>
          </cell>
          <cell r="O195">
            <v>0</v>
          </cell>
          <cell r="P195">
            <v>0</v>
          </cell>
          <cell r="Q195">
            <v>242.57868000000008</v>
          </cell>
          <cell r="R195">
            <v>453.68538000000041</v>
          </cell>
          <cell r="S195">
            <v>379.87538000000046</v>
          </cell>
          <cell r="T195">
            <v>516.55288000000041</v>
          </cell>
          <cell r="U195">
            <v>1071.7954445116372</v>
          </cell>
          <cell r="V195">
            <v>1540.1154445116372</v>
          </cell>
          <cell r="W195">
            <v>1540.1154445116372</v>
          </cell>
          <cell r="X195">
            <v>1540.1154445116372</v>
          </cell>
          <cell r="Y195">
            <v>1540.1154445116372</v>
          </cell>
          <cell r="Z195">
            <v>1540.1154445116372</v>
          </cell>
          <cell r="AA195">
            <v>1540.1154445116372</v>
          </cell>
          <cell r="AB195">
            <v>1540.1154445116372</v>
          </cell>
        </row>
        <row r="196">
          <cell r="D196" t="str">
            <v>DEPRECIATION</v>
          </cell>
          <cell r="E196">
            <v>0.65083333333333326</v>
          </cell>
          <cell r="F196">
            <v>0.65083333333333326</v>
          </cell>
          <cell r="G196">
            <v>0.65</v>
          </cell>
          <cell r="H196">
            <v>0.65</v>
          </cell>
          <cell r="I196">
            <v>0.65083333333333326</v>
          </cell>
          <cell r="J196">
            <v>0.65083333333333326</v>
          </cell>
          <cell r="Q196">
            <v>0.65083333333333326</v>
          </cell>
          <cell r="R196">
            <v>1.3016666666666665</v>
          </cell>
          <cell r="S196">
            <v>1.9516666666666667</v>
          </cell>
          <cell r="T196">
            <v>2.6016666666666666</v>
          </cell>
          <cell r="U196">
            <v>3.2524999999999999</v>
          </cell>
          <cell r="V196">
            <v>3.9033333333333333</v>
          </cell>
          <cell r="W196">
            <v>3.9033333333333333</v>
          </cell>
          <cell r="X196">
            <v>3.9033333333333333</v>
          </cell>
          <cell r="Y196">
            <v>3.9033333333333333</v>
          </cell>
          <cell r="Z196">
            <v>3.9033333333333333</v>
          </cell>
          <cell r="AA196">
            <v>3.9033333333333333</v>
          </cell>
          <cell r="AB196">
            <v>3.9033333333333333</v>
          </cell>
        </row>
        <row r="197">
          <cell r="D197" t="str">
            <v>Net Profit / - Loss</v>
          </cell>
          <cell r="E197">
            <v>241.92784666666674</v>
          </cell>
          <cell r="F197">
            <v>210.45586666666696</v>
          </cell>
          <cell r="G197">
            <v>-74.459999999999937</v>
          </cell>
          <cell r="H197">
            <v>136.02749999999997</v>
          </cell>
          <cell r="I197">
            <v>554.59173117830346</v>
          </cell>
          <cell r="J197">
            <v>467.66916666666668</v>
          </cell>
          <cell r="K197">
            <v>0</v>
          </cell>
          <cell r="L197">
            <v>0</v>
          </cell>
          <cell r="M197">
            <v>0</v>
          </cell>
          <cell r="N197">
            <v>0</v>
          </cell>
          <cell r="O197">
            <v>0</v>
          </cell>
          <cell r="P197">
            <v>0</v>
          </cell>
          <cell r="Q197">
            <v>241.92784666666674</v>
          </cell>
          <cell r="R197">
            <v>452.38371333333373</v>
          </cell>
          <cell r="S197">
            <v>377.92371333333381</v>
          </cell>
          <cell r="T197">
            <v>513.95121333333373</v>
          </cell>
          <cell r="U197">
            <v>1068.5429445116372</v>
          </cell>
          <cell r="V197">
            <v>1536.2121111783038</v>
          </cell>
          <cell r="W197">
            <v>1536.2121111783038</v>
          </cell>
          <cell r="X197">
            <v>1536.2121111783038</v>
          </cell>
          <cell r="Y197">
            <v>1536.2121111783038</v>
          </cell>
          <cell r="Z197">
            <v>1536.2121111783038</v>
          </cell>
          <cell r="AA197">
            <v>1536.2121111783038</v>
          </cell>
          <cell r="AB197">
            <v>1536.2121111783038</v>
          </cell>
        </row>
        <row r="198">
          <cell r="D198" t="str">
            <v>Other operating income</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row>
        <row r="199">
          <cell r="D199" t="str">
            <v>Net Profit / - Loss after Extra Ordianry Items</v>
          </cell>
          <cell r="E199">
            <v>241.92784666666674</v>
          </cell>
          <cell r="F199">
            <v>210.45586666666696</v>
          </cell>
          <cell r="G199">
            <v>-74.459999999999937</v>
          </cell>
          <cell r="H199">
            <v>136.02749999999997</v>
          </cell>
          <cell r="I199">
            <v>554.59173117830346</v>
          </cell>
          <cell r="J199">
            <v>467.66916666666668</v>
          </cell>
          <cell r="K199">
            <v>0</v>
          </cell>
          <cell r="L199">
            <v>0</v>
          </cell>
          <cell r="M199">
            <v>0</v>
          </cell>
          <cell r="N199">
            <v>0</v>
          </cell>
          <cell r="O199">
            <v>0</v>
          </cell>
          <cell r="P199">
            <v>0</v>
          </cell>
          <cell r="Q199">
            <v>241.92784666666674</v>
          </cell>
          <cell r="R199">
            <v>452.38371333333373</v>
          </cell>
          <cell r="S199">
            <v>377.92371333333381</v>
          </cell>
          <cell r="T199">
            <v>513.95121333333373</v>
          </cell>
          <cell r="U199">
            <v>1068.5429445116372</v>
          </cell>
          <cell r="V199">
            <v>1536.2121111783038</v>
          </cell>
          <cell r="W199">
            <v>1536.2121111783038</v>
          </cell>
          <cell r="X199">
            <v>1536.2121111783038</v>
          </cell>
          <cell r="Y199">
            <v>1536.2121111783038</v>
          </cell>
          <cell r="Z199">
            <v>1536.2121111783038</v>
          </cell>
          <cell r="AA199">
            <v>1536.2121111783038</v>
          </cell>
          <cell r="AB199">
            <v>1536.2121111783038</v>
          </cell>
        </row>
        <row r="200">
          <cell r="D200" t="str">
            <v>PSM saving</v>
          </cell>
          <cell r="Q200">
            <v>0</v>
          </cell>
          <cell r="R200">
            <v>0</v>
          </cell>
          <cell r="S200">
            <v>0</v>
          </cell>
          <cell r="T200">
            <v>0</v>
          </cell>
          <cell r="U200">
            <v>0</v>
          </cell>
          <cell r="V200">
            <v>0</v>
          </cell>
          <cell r="W200">
            <v>0</v>
          </cell>
          <cell r="X200">
            <v>0</v>
          </cell>
          <cell r="Y200">
            <v>0</v>
          </cell>
          <cell r="Z200">
            <v>0</v>
          </cell>
          <cell r="AA200">
            <v>0</v>
          </cell>
          <cell r="AB200">
            <v>0</v>
          </cell>
        </row>
        <row r="201">
          <cell r="D201" t="str">
            <v>Interest Income</v>
          </cell>
          <cell r="E201">
            <v>18.170000000000002</v>
          </cell>
          <cell r="F201">
            <v>18.170000000000002</v>
          </cell>
          <cell r="G201">
            <v>18.170000000000002</v>
          </cell>
          <cell r="H201">
            <v>18.170000000000002</v>
          </cell>
          <cell r="I201">
            <v>18.170000000000002</v>
          </cell>
          <cell r="J201">
            <v>18.170000000000002</v>
          </cell>
          <cell r="K201">
            <v>18.170000000000002</v>
          </cell>
          <cell r="L201">
            <v>18.170000000000002</v>
          </cell>
          <cell r="M201">
            <v>18.170000000000002</v>
          </cell>
          <cell r="N201">
            <v>18.170000000000002</v>
          </cell>
          <cell r="O201">
            <v>18.170000000000002</v>
          </cell>
          <cell r="P201">
            <v>18.13</v>
          </cell>
          <cell r="Q201">
            <v>18.170000000000002</v>
          </cell>
          <cell r="R201">
            <v>36.340000000000003</v>
          </cell>
          <cell r="S201">
            <v>54.510000000000005</v>
          </cell>
          <cell r="T201">
            <v>72.680000000000007</v>
          </cell>
          <cell r="U201">
            <v>90.850000000000009</v>
          </cell>
          <cell r="V201">
            <v>109.02000000000001</v>
          </cell>
          <cell r="W201">
            <v>127.19000000000001</v>
          </cell>
          <cell r="X201">
            <v>145.36000000000001</v>
          </cell>
          <cell r="Y201">
            <v>163.53000000000003</v>
          </cell>
          <cell r="Z201">
            <v>181.70000000000005</v>
          </cell>
          <cell r="AA201">
            <v>199.87000000000006</v>
          </cell>
          <cell r="AB201">
            <v>218.00000000000006</v>
          </cell>
        </row>
        <row r="202">
          <cell r="D202" t="str">
            <v>PBT After Acquisition Interest</v>
          </cell>
          <cell r="E202">
            <v>260.09784666666673</v>
          </cell>
          <cell r="F202">
            <v>228.62586666666698</v>
          </cell>
          <cell r="G202">
            <v>-56.289999999999935</v>
          </cell>
          <cell r="H202">
            <v>154.19749999999999</v>
          </cell>
          <cell r="I202">
            <v>572.76173117830342</v>
          </cell>
          <cell r="J202">
            <v>485.8391666666667</v>
          </cell>
          <cell r="K202">
            <v>18.170000000000002</v>
          </cell>
          <cell r="L202">
            <v>18.170000000000002</v>
          </cell>
          <cell r="M202">
            <v>18.170000000000002</v>
          </cell>
          <cell r="N202">
            <v>18.170000000000002</v>
          </cell>
          <cell r="O202">
            <v>18.170000000000002</v>
          </cell>
          <cell r="P202">
            <v>18.13</v>
          </cell>
          <cell r="Q202">
            <v>260.09784666666673</v>
          </cell>
          <cell r="R202">
            <v>488.72371333333376</v>
          </cell>
          <cell r="S202">
            <v>432.4337133333338</v>
          </cell>
          <cell r="T202">
            <v>586.63121333333379</v>
          </cell>
          <cell r="U202">
            <v>1159.3929445116371</v>
          </cell>
          <cell r="V202">
            <v>1645.2321111783037</v>
          </cell>
          <cell r="W202">
            <v>1663.4021111783038</v>
          </cell>
          <cell r="X202">
            <v>1681.5721111783037</v>
          </cell>
          <cell r="Y202">
            <v>1699.7421111783037</v>
          </cell>
          <cell r="Z202">
            <v>1717.9121111783038</v>
          </cell>
          <cell r="AA202">
            <v>1736.0821111783039</v>
          </cell>
          <cell r="AB202">
            <v>1754.2121111783038</v>
          </cell>
        </row>
        <row r="208">
          <cell r="D208" t="str">
            <v>Particulars</v>
          </cell>
          <cell r="E208" t="str">
            <v>Apr'09</v>
          </cell>
          <cell r="F208" t="str">
            <v>May'09</v>
          </cell>
          <cell r="G208" t="str">
            <v>Jun'09</v>
          </cell>
          <cell r="H208" t="str">
            <v>Jul'09</v>
          </cell>
          <cell r="I208" t="str">
            <v>Aug'09</v>
          </cell>
          <cell r="J208" t="str">
            <v>Sep'09</v>
          </cell>
          <cell r="K208" t="str">
            <v>Oct'09</v>
          </cell>
          <cell r="L208" t="str">
            <v>Nov'09</v>
          </cell>
          <cell r="M208" t="str">
            <v>Dec'09</v>
          </cell>
          <cell r="N208" t="str">
            <v>Jan'10</v>
          </cell>
          <cell r="O208" t="str">
            <v>Feb'10</v>
          </cell>
          <cell r="P208" t="str">
            <v>Mar'10</v>
          </cell>
          <cell r="Q208" t="str">
            <v>Apr'09</v>
          </cell>
          <cell r="R208" t="str">
            <v>May'09</v>
          </cell>
          <cell r="S208" t="str">
            <v>Jun'09</v>
          </cell>
          <cell r="T208" t="str">
            <v>Jul'09</v>
          </cell>
          <cell r="U208" t="str">
            <v>Aug'09</v>
          </cell>
          <cell r="V208" t="str">
            <v>Sep'09</v>
          </cell>
          <cell r="W208" t="str">
            <v>Oct'09</v>
          </cell>
          <cell r="X208" t="str">
            <v>Nov'09</v>
          </cell>
          <cell r="Y208" t="str">
            <v>Dec'09</v>
          </cell>
          <cell r="Z208" t="str">
            <v>Jan'10</v>
          </cell>
          <cell r="AA208" t="str">
            <v>Feb'10</v>
          </cell>
          <cell r="AB208" t="str">
            <v>Mar'10</v>
          </cell>
        </row>
        <row r="211">
          <cell r="D211" t="str">
            <v>Sales</v>
          </cell>
          <cell r="E211">
            <v>2099.71</v>
          </cell>
          <cell r="F211">
            <v>2269.92</v>
          </cell>
          <cell r="G211">
            <v>2053.64</v>
          </cell>
          <cell r="H211">
            <v>2081.12</v>
          </cell>
          <cell r="I211">
            <v>2166.44</v>
          </cell>
          <cell r="J211">
            <v>2075</v>
          </cell>
          <cell r="K211">
            <v>0</v>
          </cell>
          <cell r="L211">
            <v>0</v>
          </cell>
          <cell r="M211">
            <v>0</v>
          </cell>
          <cell r="N211">
            <v>0</v>
          </cell>
          <cell r="O211">
            <v>0</v>
          </cell>
          <cell r="P211">
            <v>0</v>
          </cell>
          <cell r="Q211">
            <v>2099.71</v>
          </cell>
          <cell r="R211">
            <v>4369.63</v>
          </cell>
          <cell r="S211">
            <v>6423.27</v>
          </cell>
          <cell r="T211">
            <v>8504.39</v>
          </cell>
          <cell r="U211">
            <v>10670.83</v>
          </cell>
          <cell r="V211">
            <v>12745.83</v>
          </cell>
          <cell r="W211">
            <v>12745.83</v>
          </cell>
          <cell r="X211">
            <v>12745.83</v>
          </cell>
          <cell r="Y211">
            <v>12745.83</v>
          </cell>
          <cell r="Z211">
            <v>12745.83</v>
          </cell>
          <cell r="AA211">
            <v>12745.83</v>
          </cell>
          <cell r="AB211">
            <v>12745.83</v>
          </cell>
        </row>
        <row r="213">
          <cell r="D213" t="str">
            <v>Cost of Goods Sold</v>
          </cell>
          <cell r="E213">
            <v>705.86131999999998</v>
          </cell>
          <cell r="F213">
            <v>761.94079999999997</v>
          </cell>
          <cell r="G213">
            <v>736.68000000000006</v>
          </cell>
          <cell r="H213">
            <v>705.88</v>
          </cell>
          <cell r="I213">
            <v>730.33493548836327</v>
          </cell>
          <cell r="J213">
            <v>726</v>
          </cell>
          <cell r="K213">
            <v>0</v>
          </cell>
          <cell r="L213">
            <v>0</v>
          </cell>
          <cell r="M213">
            <v>0</v>
          </cell>
          <cell r="N213">
            <v>0</v>
          </cell>
          <cell r="O213">
            <v>0</v>
          </cell>
          <cell r="P213">
            <v>0</v>
          </cell>
          <cell r="Q213">
            <v>705.86131999999998</v>
          </cell>
          <cell r="R213">
            <v>1467.8021199999998</v>
          </cell>
          <cell r="S213">
            <v>2204.4821199999997</v>
          </cell>
          <cell r="T213">
            <v>2910.3621199999998</v>
          </cell>
          <cell r="U213">
            <v>3640.6970554883628</v>
          </cell>
          <cell r="V213">
            <v>4366.6970554883628</v>
          </cell>
          <cell r="W213">
            <v>4366.6970554883628</v>
          </cell>
          <cell r="X213">
            <v>4366.6970554883628</v>
          </cell>
          <cell r="Y213">
            <v>4366.6970554883628</v>
          </cell>
          <cell r="Z213">
            <v>4366.6970554883628</v>
          </cell>
          <cell r="AA213">
            <v>4366.6970554883628</v>
          </cell>
          <cell r="AB213">
            <v>4366.6970554883628</v>
          </cell>
        </row>
        <row r="214">
          <cell r="Q214">
            <v>0</v>
          </cell>
          <cell r="R214">
            <v>0</v>
          </cell>
          <cell r="S214">
            <v>0</v>
          </cell>
          <cell r="T214">
            <v>0</v>
          </cell>
          <cell r="U214">
            <v>0</v>
          </cell>
          <cell r="V214">
            <v>0</v>
          </cell>
          <cell r="W214">
            <v>0</v>
          </cell>
          <cell r="X214">
            <v>0</v>
          </cell>
          <cell r="Y214">
            <v>0</v>
          </cell>
          <cell r="Z214">
            <v>0</v>
          </cell>
          <cell r="AA214">
            <v>0</v>
          </cell>
          <cell r="AB214">
            <v>0</v>
          </cell>
        </row>
        <row r="215">
          <cell r="D215" t="str">
            <v>Contribution</v>
          </cell>
          <cell r="E215">
            <v>1393.8486800000001</v>
          </cell>
          <cell r="F215">
            <v>1507.9792000000002</v>
          </cell>
          <cell r="G215">
            <v>1316.9599999999998</v>
          </cell>
          <cell r="H215">
            <v>1375.2399999999998</v>
          </cell>
          <cell r="I215">
            <v>1436.1050645116368</v>
          </cell>
          <cell r="J215">
            <v>1349</v>
          </cell>
          <cell r="K215">
            <v>0</v>
          </cell>
          <cell r="L215">
            <v>0</v>
          </cell>
          <cell r="M215">
            <v>0</v>
          </cell>
          <cell r="N215">
            <v>0</v>
          </cell>
          <cell r="O215">
            <v>0</v>
          </cell>
          <cell r="P215">
            <v>0</v>
          </cell>
          <cell r="Q215">
            <v>1393.8486800000001</v>
          </cell>
          <cell r="R215">
            <v>2901.8278800000003</v>
          </cell>
          <cell r="S215">
            <v>4218.7878799999999</v>
          </cell>
          <cell r="T215">
            <v>5594.0278799999996</v>
          </cell>
          <cell r="U215">
            <v>7030.1329445116362</v>
          </cell>
          <cell r="V215">
            <v>8379.1329445116353</v>
          </cell>
          <cell r="W215">
            <v>8379.1329445116353</v>
          </cell>
          <cell r="X215">
            <v>8379.1329445116353</v>
          </cell>
          <cell r="Y215">
            <v>8379.1329445116353</v>
          </cell>
          <cell r="Z215">
            <v>8379.1329445116353</v>
          </cell>
          <cell r="AA215">
            <v>8379.1329445116353</v>
          </cell>
          <cell r="AB215">
            <v>8379.1329445116353</v>
          </cell>
        </row>
        <row r="216">
          <cell r="E216">
            <v>0.66382913830957613</v>
          </cell>
          <cell r="F216">
            <v>0.66433143018256158</v>
          </cell>
          <cell r="G216">
            <v>0.64128084766560833</v>
          </cell>
          <cell r="H216">
            <v>0.66081725224878907</v>
          </cell>
          <cell r="I216">
            <v>0.66288707026810656</v>
          </cell>
          <cell r="J216">
            <v>0.65012048192771088</v>
          </cell>
          <cell r="K216" t="e">
            <v>#DIV/0!</v>
          </cell>
          <cell r="L216" t="e">
            <v>#DIV/0!</v>
          </cell>
          <cell r="M216" t="e">
            <v>#DIV/0!</v>
          </cell>
          <cell r="N216" t="e">
            <v>#DIV/0!</v>
          </cell>
          <cell r="O216" t="e">
            <v>#DIV/0!</v>
          </cell>
          <cell r="P216" t="e">
            <v>#DIV/0!</v>
          </cell>
        </row>
        <row r="217">
          <cell r="D217" t="str">
            <v>Overheads</v>
          </cell>
        </row>
        <row r="218">
          <cell r="D218" t="str">
            <v>Personnel Costs</v>
          </cell>
          <cell r="E218">
            <v>63.58</v>
          </cell>
          <cell r="F218">
            <v>66.540000000000006</v>
          </cell>
          <cell r="G218">
            <v>71.23</v>
          </cell>
          <cell r="H218">
            <v>66.820000000000007</v>
          </cell>
          <cell r="I218">
            <v>66.550000000000011</v>
          </cell>
          <cell r="J218">
            <v>71.23</v>
          </cell>
          <cell r="K218">
            <v>0</v>
          </cell>
          <cell r="L218">
            <v>0</v>
          </cell>
          <cell r="M218">
            <v>0</v>
          </cell>
          <cell r="N218">
            <v>0</v>
          </cell>
          <cell r="O218">
            <v>0</v>
          </cell>
          <cell r="P218">
            <v>0</v>
          </cell>
          <cell r="Q218">
            <v>63.58</v>
          </cell>
          <cell r="R218">
            <v>130.12</v>
          </cell>
          <cell r="S218">
            <v>201.35000000000002</v>
          </cell>
          <cell r="T218">
            <v>268.17</v>
          </cell>
          <cell r="U218">
            <v>334.72</v>
          </cell>
          <cell r="V218">
            <v>405.95000000000005</v>
          </cell>
          <cell r="W218">
            <v>405.95000000000005</v>
          </cell>
          <cell r="X218">
            <v>405.95000000000005</v>
          </cell>
          <cell r="Y218">
            <v>405.95000000000005</v>
          </cell>
          <cell r="Z218">
            <v>405.95000000000005</v>
          </cell>
          <cell r="AA218">
            <v>405.95000000000005</v>
          </cell>
          <cell r="AB218">
            <v>405.95000000000005</v>
          </cell>
        </row>
        <row r="219">
          <cell r="D219" t="str">
            <v>Administration Exp</v>
          </cell>
          <cell r="E219">
            <v>6.9024999999999999</v>
          </cell>
          <cell r="F219">
            <v>19.852499999999999</v>
          </cell>
          <cell r="G219">
            <v>8.9600000000000009</v>
          </cell>
          <cell r="H219">
            <v>11.830000000000002</v>
          </cell>
          <cell r="I219">
            <v>1.8325000000000002</v>
          </cell>
          <cell r="J219">
            <v>6.7000000000000011</v>
          </cell>
          <cell r="K219">
            <v>0</v>
          </cell>
          <cell r="L219">
            <v>0</v>
          </cell>
          <cell r="M219">
            <v>0</v>
          </cell>
          <cell r="N219">
            <v>0</v>
          </cell>
          <cell r="O219">
            <v>0</v>
          </cell>
          <cell r="P219">
            <v>0</v>
          </cell>
          <cell r="Q219">
            <v>6.9024999999999999</v>
          </cell>
          <cell r="R219">
            <v>26.754999999999999</v>
          </cell>
          <cell r="S219">
            <v>35.715000000000003</v>
          </cell>
          <cell r="T219">
            <v>47.545000000000002</v>
          </cell>
          <cell r="U219">
            <v>49.377500000000005</v>
          </cell>
          <cell r="V219">
            <v>56.077500000000008</v>
          </cell>
          <cell r="W219">
            <v>56.077500000000008</v>
          </cell>
          <cell r="X219">
            <v>56.077500000000008</v>
          </cell>
          <cell r="Y219">
            <v>56.077500000000008</v>
          </cell>
          <cell r="Z219">
            <v>56.077500000000008</v>
          </cell>
          <cell r="AA219">
            <v>56.077500000000008</v>
          </cell>
          <cell r="AB219">
            <v>56.077500000000008</v>
          </cell>
        </row>
        <row r="220">
          <cell r="D220" t="str">
            <v>Production Exp</v>
          </cell>
          <cell r="E220">
            <v>24.166863452260564</v>
          </cell>
          <cell r="F220">
            <v>23.14692592222071</v>
          </cell>
          <cell r="G220">
            <v>22.63</v>
          </cell>
          <cell r="H220">
            <v>26.145013801109762</v>
          </cell>
          <cell r="I220">
            <v>26.145013801109762</v>
          </cell>
          <cell r="J220">
            <v>23.65</v>
          </cell>
          <cell r="K220">
            <v>0</v>
          </cell>
          <cell r="L220">
            <v>0</v>
          </cell>
          <cell r="M220">
            <v>0</v>
          </cell>
          <cell r="N220">
            <v>0</v>
          </cell>
          <cell r="O220">
            <v>0</v>
          </cell>
          <cell r="P220">
            <v>0</v>
          </cell>
          <cell r="Q220">
            <v>24.166863452260564</v>
          </cell>
          <cell r="R220">
            <v>47.313789374481274</v>
          </cell>
          <cell r="S220">
            <v>69.94378937448127</v>
          </cell>
          <cell r="T220">
            <v>96.088803175591039</v>
          </cell>
          <cell r="U220">
            <v>122.23381697670081</v>
          </cell>
          <cell r="V220">
            <v>145.88381697670081</v>
          </cell>
          <cell r="W220">
            <v>145.88381697670081</v>
          </cell>
          <cell r="X220">
            <v>145.88381697670081</v>
          </cell>
          <cell r="Y220">
            <v>145.88381697670081</v>
          </cell>
          <cell r="Z220">
            <v>145.88381697670081</v>
          </cell>
          <cell r="AA220">
            <v>145.88381697670081</v>
          </cell>
          <cell r="AB220">
            <v>145.88381697670081</v>
          </cell>
        </row>
        <row r="221">
          <cell r="D221" t="str">
            <v xml:space="preserve">Research &amp; Development </v>
          </cell>
          <cell r="E221">
            <v>4.4499999999999993</v>
          </cell>
          <cell r="F221">
            <v>4.4525000000000006</v>
          </cell>
          <cell r="G221">
            <v>4.45</v>
          </cell>
          <cell r="H221">
            <v>4.4524999999999997</v>
          </cell>
          <cell r="I221">
            <v>4.4524999999999997</v>
          </cell>
          <cell r="J221">
            <v>4.45</v>
          </cell>
          <cell r="K221">
            <v>0</v>
          </cell>
          <cell r="L221">
            <v>0</v>
          </cell>
          <cell r="M221">
            <v>0</v>
          </cell>
          <cell r="N221">
            <v>0</v>
          </cell>
          <cell r="O221">
            <v>0</v>
          </cell>
          <cell r="P221">
            <v>0</v>
          </cell>
          <cell r="Q221">
            <v>4.4499999999999993</v>
          </cell>
          <cell r="R221">
            <v>8.9024999999999999</v>
          </cell>
          <cell r="S221">
            <v>13.352499999999999</v>
          </cell>
          <cell r="T221">
            <v>17.805</v>
          </cell>
          <cell r="U221">
            <v>22.2575</v>
          </cell>
          <cell r="V221">
            <v>26.7075</v>
          </cell>
          <cell r="W221">
            <v>26.7075</v>
          </cell>
          <cell r="X221">
            <v>26.7075</v>
          </cell>
          <cell r="Y221">
            <v>26.7075</v>
          </cell>
          <cell r="Z221">
            <v>26.7075</v>
          </cell>
          <cell r="AA221">
            <v>26.7075</v>
          </cell>
          <cell r="AB221">
            <v>26.7075</v>
          </cell>
        </row>
        <row r="222">
          <cell r="D222" t="str">
            <v>Marketing Exp</v>
          </cell>
          <cell r="E222">
            <v>945.62675355416638</v>
          </cell>
          <cell r="F222">
            <v>1020.5536294773352</v>
          </cell>
          <cell r="G222">
            <v>1131.27</v>
          </cell>
          <cell r="H222">
            <v>934.80376416429363</v>
          </cell>
          <cell r="I222">
            <v>534.24376416429357</v>
          </cell>
          <cell r="J222">
            <v>555.78</v>
          </cell>
          <cell r="K222">
            <v>0</v>
          </cell>
          <cell r="L222">
            <v>0</v>
          </cell>
          <cell r="M222">
            <v>0</v>
          </cell>
          <cell r="N222">
            <v>0</v>
          </cell>
          <cell r="O222">
            <v>0</v>
          </cell>
          <cell r="P222">
            <v>0</v>
          </cell>
          <cell r="Q222">
            <v>945.62675355416638</v>
          </cell>
          <cell r="R222">
            <v>1966.1803830315016</v>
          </cell>
          <cell r="S222">
            <v>3097.4503830315016</v>
          </cell>
          <cell r="T222">
            <v>4032.2541471957952</v>
          </cell>
          <cell r="U222">
            <v>4566.4979113600884</v>
          </cell>
          <cell r="V222">
            <v>5122.2779113600882</v>
          </cell>
          <cell r="W222">
            <v>5122.2779113600882</v>
          </cell>
          <cell r="X222">
            <v>5122.2779113600882</v>
          </cell>
          <cell r="Y222">
            <v>5122.2779113600882</v>
          </cell>
          <cell r="Z222">
            <v>5122.2779113600882</v>
          </cell>
          <cell r="AA222">
            <v>5122.2779113600882</v>
          </cell>
          <cell r="AB222">
            <v>5122.2779113600882</v>
          </cell>
        </row>
        <row r="223">
          <cell r="D223" t="str">
            <v>Sales &amp; Distribution Exp</v>
          </cell>
          <cell r="E223">
            <v>126.19932503191983</v>
          </cell>
          <cell r="F223">
            <v>134.82850696473201</v>
          </cell>
          <cell r="G223">
            <v>127.35000000000001</v>
          </cell>
          <cell r="H223">
            <v>134.60000000000002</v>
          </cell>
          <cell r="I223">
            <v>133.85955243976062</v>
          </cell>
          <cell r="J223">
            <v>130.92000000000002</v>
          </cell>
          <cell r="K223">
            <v>0</v>
          </cell>
          <cell r="L223">
            <v>0</v>
          </cell>
          <cell r="M223">
            <v>0</v>
          </cell>
          <cell r="N223">
            <v>0</v>
          </cell>
          <cell r="O223">
            <v>0</v>
          </cell>
          <cell r="P223">
            <v>0</v>
          </cell>
          <cell r="Q223">
            <v>126.19932503191983</v>
          </cell>
          <cell r="R223">
            <v>261.02783199665186</v>
          </cell>
          <cell r="S223">
            <v>388.37783199665188</v>
          </cell>
          <cell r="T223">
            <v>522.97783199665196</v>
          </cell>
          <cell r="U223">
            <v>656.83738443641255</v>
          </cell>
          <cell r="V223">
            <v>787.75738443641262</v>
          </cell>
          <cell r="W223">
            <v>787.75738443641262</v>
          </cell>
          <cell r="X223">
            <v>787.75738443641262</v>
          </cell>
          <cell r="Y223">
            <v>787.75738443641262</v>
          </cell>
          <cell r="Z223">
            <v>787.75738443641262</v>
          </cell>
          <cell r="AA223">
            <v>787.75738443641262</v>
          </cell>
          <cell r="AB223">
            <v>787.75738443641262</v>
          </cell>
        </row>
        <row r="224">
          <cell r="D224" t="str">
            <v>Total Overheads (a+b)</v>
          </cell>
          <cell r="E224">
            <v>1170.9254420383468</v>
          </cell>
          <cell r="F224">
            <v>1269.374062364288</v>
          </cell>
          <cell r="G224">
            <v>1365.8899999999999</v>
          </cell>
          <cell r="H224">
            <v>1178.6512779654036</v>
          </cell>
          <cell r="I224">
            <v>767.08333040516391</v>
          </cell>
          <cell r="J224">
            <v>792.73</v>
          </cell>
          <cell r="K224">
            <v>0</v>
          </cell>
          <cell r="L224">
            <v>0</v>
          </cell>
          <cell r="M224">
            <v>0</v>
          </cell>
          <cell r="N224">
            <v>0</v>
          </cell>
          <cell r="O224">
            <v>0</v>
          </cell>
          <cell r="P224">
            <v>0</v>
          </cell>
          <cell r="Q224">
            <v>1170.9254420383468</v>
          </cell>
          <cell r="R224">
            <v>2440.2995044026347</v>
          </cell>
          <cell r="S224">
            <v>3806.1895044026346</v>
          </cell>
          <cell r="T224">
            <v>4984.8407823680382</v>
          </cell>
          <cell r="U224">
            <v>5751.9241127732021</v>
          </cell>
          <cell r="V224">
            <v>6544.6541127732016</v>
          </cell>
          <cell r="W224">
            <v>6544.6541127732016</v>
          </cell>
          <cell r="X224">
            <v>6544.6541127732016</v>
          </cell>
          <cell r="Y224">
            <v>6544.6541127732016</v>
          </cell>
          <cell r="Z224">
            <v>6544.6541127732016</v>
          </cell>
          <cell r="AA224">
            <v>6544.6541127732016</v>
          </cell>
          <cell r="AB224">
            <v>6544.6541127732016</v>
          </cell>
        </row>
        <row r="225">
          <cell r="D225" t="str">
            <v>OPERATING PROFIT (LOSS)</v>
          </cell>
          <cell r="E225">
            <v>222.92323796165329</v>
          </cell>
          <cell r="F225">
            <v>238.60513763571225</v>
          </cell>
          <cell r="G225">
            <v>-48.930000000000064</v>
          </cell>
          <cell r="H225">
            <v>196.58872203459623</v>
          </cell>
          <cell r="I225">
            <v>669.02173410647288</v>
          </cell>
          <cell r="J225">
            <v>556.27</v>
          </cell>
          <cell r="K225">
            <v>0</v>
          </cell>
          <cell r="L225">
            <v>0</v>
          </cell>
          <cell r="M225">
            <v>0</v>
          </cell>
          <cell r="N225">
            <v>0</v>
          </cell>
          <cell r="O225">
            <v>0</v>
          </cell>
          <cell r="P225">
            <v>0</v>
          </cell>
          <cell r="Q225">
            <v>222.92323796165329</v>
          </cell>
          <cell r="R225">
            <v>461.52837559736554</v>
          </cell>
          <cell r="S225">
            <v>412.59837559736548</v>
          </cell>
          <cell r="T225">
            <v>609.18709763196171</v>
          </cell>
          <cell r="U225">
            <v>1278.2088317384346</v>
          </cell>
          <cell r="V225">
            <v>1834.4788317384346</v>
          </cell>
          <cell r="W225">
            <v>1834.4788317384346</v>
          </cell>
          <cell r="X225">
            <v>1834.4788317384346</v>
          </cell>
          <cell r="Y225">
            <v>1834.4788317384346</v>
          </cell>
          <cell r="Z225">
            <v>1834.4788317384346</v>
          </cell>
          <cell r="AA225">
            <v>1834.4788317384346</v>
          </cell>
          <cell r="AB225">
            <v>1834.4788317384346</v>
          </cell>
        </row>
        <row r="227">
          <cell r="D227" t="str">
            <v>Interest &amp; Depreciation</v>
          </cell>
        </row>
        <row r="228">
          <cell r="D228" t="str">
            <v>Variable Interest</v>
          </cell>
          <cell r="E228">
            <v>2.4302554980131665</v>
          </cell>
          <cell r="F228">
            <v>2.34</v>
          </cell>
          <cell r="G228">
            <v>2.1799999999999997</v>
          </cell>
          <cell r="H228">
            <v>2.1</v>
          </cell>
          <cell r="I228">
            <v>2.0047379313936462</v>
          </cell>
          <cell r="J228">
            <v>2.19</v>
          </cell>
          <cell r="K228">
            <v>0</v>
          </cell>
          <cell r="L228">
            <v>0</v>
          </cell>
          <cell r="M228">
            <v>0</v>
          </cell>
          <cell r="N228">
            <v>0</v>
          </cell>
          <cell r="O228">
            <v>0</v>
          </cell>
          <cell r="P228">
            <v>0</v>
          </cell>
          <cell r="Q228">
            <v>2.4302554980131665</v>
          </cell>
          <cell r="R228">
            <v>4.7702554980131664</v>
          </cell>
          <cell r="S228">
            <v>6.9502554980131661</v>
          </cell>
          <cell r="T228">
            <v>9.0502554980131666</v>
          </cell>
          <cell r="U228">
            <v>11.054993429406814</v>
          </cell>
          <cell r="V228">
            <v>13.244993429406813</v>
          </cell>
          <cell r="W228">
            <v>13.244993429406813</v>
          </cell>
          <cell r="X228">
            <v>13.244993429406813</v>
          </cell>
          <cell r="Y228">
            <v>13.244993429406813</v>
          </cell>
          <cell r="Z228">
            <v>13.244993429406813</v>
          </cell>
          <cell r="AA228">
            <v>13.244993429406813</v>
          </cell>
          <cell r="AB228">
            <v>13.244993429406813</v>
          </cell>
        </row>
        <row r="229">
          <cell r="D229" t="str">
            <v>Fixed Interest</v>
          </cell>
          <cell r="E229">
            <v>0.1</v>
          </cell>
          <cell r="F229">
            <v>0.1</v>
          </cell>
          <cell r="G229">
            <v>0.1</v>
          </cell>
          <cell r="H229">
            <v>0.1</v>
          </cell>
          <cell r="I229">
            <v>0.1</v>
          </cell>
          <cell r="J229">
            <v>0.1</v>
          </cell>
          <cell r="K229">
            <v>0</v>
          </cell>
          <cell r="L229">
            <v>0</v>
          </cell>
          <cell r="M229">
            <v>0</v>
          </cell>
          <cell r="N229">
            <v>0</v>
          </cell>
          <cell r="O229">
            <v>0</v>
          </cell>
          <cell r="P229">
            <v>0</v>
          </cell>
          <cell r="Q229">
            <v>0.1</v>
          </cell>
          <cell r="R229">
            <v>0.2</v>
          </cell>
          <cell r="S229">
            <v>0.30000000000000004</v>
          </cell>
          <cell r="T229">
            <v>0.4</v>
          </cell>
          <cell r="U229">
            <v>0.5</v>
          </cell>
          <cell r="V229">
            <v>0.6</v>
          </cell>
          <cell r="W229">
            <v>0.6</v>
          </cell>
          <cell r="X229">
            <v>0.6</v>
          </cell>
          <cell r="Y229">
            <v>0.6</v>
          </cell>
          <cell r="Z229">
            <v>0.6</v>
          </cell>
          <cell r="AA229">
            <v>0.6</v>
          </cell>
          <cell r="AB229">
            <v>0.6</v>
          </cell>
        </row>
        <row r="230">
          <cell r="D230" t="str">
            <v>CASH PROFIT</v>
          </cell>
          <cell r="E230">
            <v>220.39298246364012</v>
          </cell>
          <cell r="F230">
            <v>236.16513763571226</v>
          </cell>
          <cell r="G230">
            <v>-51.210000000000065</v>
          </cell>
          <cell r="H230">
            <v>194.38872203459624</v>
          </cell>
          <cell r="I230">
            <v>666.91699617507925</v>
          </cell>
          <cell r="J230">
            <v>553.98</v>
          </cell>
          <cell r="K230">
            <v>0</v>
          </cell>
          <cell r="L230">
            <v>0</v>
          </cell>
          <cell r="M230">
            <v>0</v>
          </cell>
          <cell r="N230">
            <v>0</v>
          </cell>
          <cell r="O230">
            <v>0</v>
          </cell>
          <cell r="P230">
            <v>0</v>
          </cell>
          <cell r="Q230">
            <v>220.39298246364012</v>
          </cell>
          <cell r="R230">
            <v>456.55812009935238</v>
          </cell>
          <cell r="S230">
            <v>405.34812009935229</v>
          </cell>
          <cell r="T230">
            <v>599.73684213394858</v>
          </cell>
          <cell r="U230">
            <v>1266.6538383090278</v>
          </cell>
          <cell r="V230">
            <v>1820.6338383090279</v>
          </cell>
          <cell r="W230">
            <v>1820.6338383090279</v>
          </cell>
          <cell r="X230">
            <v>1820.6338383090279</v>
          </cell>
          <cell r="Y230">
            <v>1820.6338383090279</v>
          </cell>
          <cell r="Z230">
            <v>1820.6338383090279</v>
          </cell>
          <cell r="AA230">
            <v>1820.6338383090279</v>
          </cell>
          <cell r="AB230">
            <v>1820.6338383090279</v>
          </cell>
        </row>
        <row r="231">
          <cell r="D231" t="str">
            <v>DEPRECIATION</v>
          </cell>
          <cell r="E231">
            <v>14.817499999999999</v>
          </cell>
          <cell r="F231">
            <v>14.820833333333333</v>
          </cell>
          <cell r="G231">
            <v>14.82</v>
          </cell>
          <cell r="H231">
            <v>14.82</v>
          </cell>
          <cell r="I231">
            <v>14.817499999999999</v>
          </cell>
          <cell r="J231">
            <v>14.820833333333333</v>
          </cell>
          <cell r="K231">
            <v>0</v>
          </cell>
          <cell r="L231">
            <v>0</v>
          </cell>
          <cell r="M231">
            <v>0</v>
          </cell>
          <cell r="N231">
            <v>0</v>
          </cell>
          <cell r="O231">
            <v>0</v>
          </cell>
          <cell r="P231">
            <v>0</v>
          </cell>
          <cell r="Q231">
            <v>14.817499999999999</v>
          </cell>
          <cell r="R231">
            <v>29.638333333333332</v>
          </cell>
          <cell r="S231">
            <v>44.458333333333329</v>
          </cell>
          <cell r="T231">
            <v>59.278333333333329</v>
          </cell>
          <cell r="U231">
            <v>74.095833333333331</v>
          </cell>
          <cell r="V231">
            <v>88.916666666666657</v>
          </cell>
          <cell r="W231">
            <v>88.916666666666657</v>
          </cell>
          <cell r="X231">
            <v>88.916666666666657</v>
          </cell>
          <cell r="Y231">
            <v>88.916666666666657</v>
          </cell>
          <cell r="Z231">
            <v>88.916666666666657</v>
          </cell>
          <cell r="AA231">
            <v>88.916666666666657</v>
          </cell>
          <cell r="AB231">
            <v>88.916666666666657</v>
          </cell>
        </row>
        <row r="232">
          <cell r="D232" t="str">
            <v>Net Profit / - Loss</v>
          </cell>
          <cell r="E232">
            <v>205.57548246364013</v>
          </cell>
          <cell r="F232">
            <v>221.34430430237893</v>
          </cell>
          <cell r="G232">
            <v>-66.030000000000058</v>
          </cell>
          <cell r="H232">
            <v>179.56872203459625</v>
          </cell>
          <cell r="I232">
            <v>652.09949617507925</v>
          </cell>
          <cell r="J232">
            <v>539.15916666666669</v>
          </cell>
          <cell r="K232">
            <v>0</v>
          </cell>
          <cell r="L232">
            <v>0</v>
          </cell>
          <cell r="M232">
            <v>0</v>
          </cell>
          <cell r="N232">
            <v>0</v>
          </cell>
          <cell r="O232">
            <v>0</v>
          </cell>
          <cell r="P232">
            <v>0</v>
          </cell>
          <cell r="Q232">
            <v>205.57548246364013</v>
          </cell>
          <cell r="R232">
            <v>426.91978676601906</v>
          </cell>
          <cell r="S232">
            <v>360.88978676601897</v>
          </cell>
          <cell r="T232">
            <v>540.45850880061528</v>
          </cell>
          <cell r="U232">
            <v>1192.5580049756945</v>
          </cell>
          <cell r="V232">
            <v>1731.7171716423611</v>
          </cell>
          <cell r="W232">
            <v>1731.7171716423611</v>
          </cell>
          <cell r="X232">
            <v>1731.7171716423611</v>
          </cell>
          <cell r="Y232">
            <v>1731.7171716423611</v>
          </cell>
          <cell r="Z232">
            <v>1731.7171716423611</v>
          </cell>
          <cell r="AA232">
            <v>1731.7171716423611</v>
          </cell>
          <cell r="AB232">
            <v>1731.7171716423611</v>
          </cell>
        </row>
        <row r="233">
          <cell r="D233" t="str">
            <v>Other operating income</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row>
        <row r="234">
          <cell r="D234" t="str">
            <v>Net Profit / - Loss after Extra Ordianry Items</v>
          </cell>
          <cell r="E234">
            <v>205.57548246364013</v>
          </cell>
          <cell r="F234">
            <v>221.34430430237893</v>
          </cell>
          <cell r="G234">
            <v>-66.030000000000058</v>
          </cell>
          <cell r="H234">
            <v>179.56872203459625</v>
          </cell>
          <cell r="I234">
            <v>652.09949617507925</v>
          </cell>
          <cell r="J234">
            <v>539.15916666666669</v>
          </cell>
          <cell r="K234">
            <v>0</v>
          </cell>
          <cell r="L234">
            <v>0</v>
          </cell>
          <cell r="M234">
            <v>0</v>
          </cell>
          <cell r="N234">
            <v>0</v>
          </cell>
          <cell r="O234">
            <v>0</v>
          </cell>
          <cell r="P234">
            <v>0</v>
          </cell>
          <cell r="Q234">
            <v>205.57548246364013</v>
          </cell>
          <cell r="R234">
            <v>426.91978676601906</v>
          </cell>
          <cell r="S234">
            <v>360.88978676601897</v>
          </cell>
          <cell r="T234">
            <v>540.45850880061528</v>
          </cell>
          <cell r="U234">
            <v>1192.5580049756945</v>
          </cell>
          <cell r="V234">
            <v>1731.7171716423611</v>
          </cell>
          <cell r="W234">
            <v>1731.7171716423611</v>
          </cell>
          <cell r="X234">
            <v>1731.7171716423611</v>
          </cell>
          <cell r="Y234">
            <v>1731.7171716423611</v>
          </cell>
          <cell r="Z234">
            <v>1731.7171716423611</v>
          </cell>
          <cell r="AA234">
            <v>1731.7171716423611</v>
          </cell>
          <cell r="AB234">
            <v>1731.7171716423611</v>
          </cell>
        </row>
        <row r="235">
          <cell r="D235" t="str">
            <v>PSM saving</v>
          </cell>
          <cell r="E235">
            <v>39.54</v>
          </cell>
          <cell r="F235">
            <v>41.97</v>
          </cell>
          <cell r="G235">
            <v>27.41</v>
          </cell>
          <cell r="H235">
            <v>36.229999999999997</v>
          </cell>
          <cell r="I235">
            <v>44.97</v>
          </cell>
          <cell r="J235">
            <v>40</v>
          </cell>
          <cell r="K235">
            <v>0</v>
          </cell>
          <cell r="L235">
            <v>0</v>
          </cell>
          <cell r="M235">
            <v>0</v>
          </cell>
          <cell r="N235">
            <v>0</v>
          </cell>
          <cell r="O235">
            <v>0</v>
          </cell>
          <cell r="P235">
            <v>0</v>
          </cell>
          <cell r="Q235">
            <v>39.54</v>
          </cell>
          <cell r="R235">
            <v>81.509999999999991</v>
          </cell>
          <cell r="S235">
            <v>108.91999999999999</v>
          </cell>
          <cell r="T235">
            <v>145.14999999999998</v>
          </cell>
          <cell r="U235">
            <v>190.11999999999998</v>
          </cell>
          <cell r="V235">
            <v>230.11999999999998</v>
          </cell>
          <cell r="W235">
            <v>230.11999999999998</v>
          </cell>
          <cell r="X235">
            <v>230.11999999999998</v>
          </cell>
          <cell r="Y235">
            <v>230.11999999999998</v>
          </cell>
          <cell r="Z235">
            <v>230.11999999999998</v>
          </cell>
          <cell r="AA235">
            <v>230.11999999999998</v>
          </cell>
          <cell r="AB235">
            <v>230.11999999999998</v>
          </cell>
        </row>
        <row r="236">
          <cell r="D236" t="str">
            <v>Interest Income</v>
          </cell>
          <cell r="E236">
            <v>26.5</v>
          </cell>
          <cell r="F236">
            <v>26.5</v>
          </cell>
          <cell r="G236">
            <v>26.5</v>
          </cell>
          <cell r="H236">
            <v>26.5</v>
          </cell>
          <cell r="I236">
            <v>26.5</v>
          </cell>
          <cell r="J236">
            <v>26.5</v>
          </cell>
          <cell r="K236">
            <v>18.170000000000002</v>
          </cell>
          <cell r="L236">
            <v>18.170000000000002</v>
          </cell>
          <cell r="M236">
            <v>18.170000000000002</v>
          </cell>
          <cell r="N236">
            <v>18.170000000000002</v>
          </cell>
          <cell r="O236">
            <v>18.170000000000002</v>
          </cell>
          <cell r="P236">
            <v>18.13</v>
          </cell>
          <cell r="Q236">
            <v>26.5</v>
          </cell>
          <cell r="R236">
            <v>53</v>
          </cell>
          <cell r="S236">
            <v>79.5</v>
          </cell>
          <cell r="T236">
            <v>106</v>
          </cell>
          <cell r="U236">
            <v>132.5</v>
          </cell>
          <cell r="V236">
            <v>159</v>
          </cell>
          <cell r="W236">
            <v>177.17000000000002</v>
          </cell>
          <cell r="X236">
            <v>195.34000000000003</v>
          </cell>
          <cell r="Y236">
            <v>213.51000000000005</v>
          </cell>
          <cell r="Z236">
            <v>231.68000000000006</v>
          </cell>
          <cell r="AA236">
            <v>249.85000000000008</v>
          </cell>
          <cell r="AB236">
            <v>267.98000000000008</v>
          </cell>
        </row>
        <row r="237">
          <cell r="D237" t="str">
            <v>PBT After Acquisition Interest</v>
          </cell>
          <cell r="E237">
            <v>271.61548246364009</v>
          </cell>
          <cell r="F237">
            <v>289.8143043023789</v>
          </cell>
          <cell r="G237">
            <v>-12.120000000000061</v>
          </cell>
          <cell r="H237">
            <v>242.29872203459624</v>
          </cell>
          <cell r="I237">
            <v>723.56949617507928</v>
          </cell>
          <cell r="J237">
            <v>605.65916666666669</v>
          </cell>
          <cell r="K237">
            <v>18.170000000000002</v>
          </cell>
          <cell r="L237">
            <v>18.170000000000002</v>
          </cell>
          <cell r="M237">
            <v>18.170000000000002</v>
          </cell>
          <cell r="N237">
            <v>18.170000000000002</v>
          </cell>
          <cell r="O237">
            <v>18.170000000000002</v>
          </cell>
          <cell r="P237">
            <v>18.13</v>
          </cell>
          <cell r="Q237">
            <v>271.61548246364009</v>
          </cell>
          <cell r="R237">
            <v>561.42978676601911</v>
          </cell>
          <cell r="S237">
            <v>549.30978676601899</v>
          </cell>
          <cell r="T237">
            <v>791.60850880061525</v>
          </cell>
          <cell r="U237">
            <v>1515.1780049756944</v>
          </cell>
          <cell r="V237">
            <v>2120.8371716423608</v>
          </cell>
          <cell r="W237">
            <v>2139.0071716423608</v>
          </cell>
          <cell r="X237">
            <v>2157.1771716423609</v>
          </cell>
          <cell r="Y237">
            <v>2175.347171642361</v>
          </cell>
          <cell r="Z237">
            <v>2193.5171716423611</v>
          </cell>
          <cell r="AA237">
            <v>2211.6871716423611</v>
          </cell>
          <cell r="AB237">
            <v>2229.8171716423612</v>
          </cell>
        </row>
        <row r="266">
          <cell r="D266">
            <v>4</v>
          </cell>
          <cell r="E266">
            <v>5</v>
          </cell>
          <cell r="F266">
            <v>6</v>
          </cell>
          <cell r="G266">
            <v>7</v>
          </cell>
          <cell r="H266">
            <v>8</v>
          </cell>
          <cell r="I266">
            <v>9</v>
          </cell>
          <cell r="J266">
            <v>10</v>
          </cell>
          <cell r="K266">
            <v>11</v>
          </cell>
          <cell r="L266">
            <v>12</v>
          </cell>
          <cell r="M266">
            <v>13</v>
          </cell>
          <cell r="N266">
            <v>14</v>
          </cell>
          <cell r="O266">
            <v>15</v>
          </cell>
          <cell r="P266">
            <v>16</v>
          </cell>
          <cell r="Q266">
            <v>17</v>
          </cell>
          <cell r="R266">
            <v>18</v>
          </cell>
          <cell r="S266">
            <v>19</v>
          </cell>
          <cell r="T266">
            <v>20</v>
          </cell>
          <cell r="U266">
            <v>21</v>
          </cell>
          <cell r="V266">
            <v>22</v>
          </cell>
          <cell r="W266">
            <v>23</v>
          </cell>
          <cell r="X266">
            <v>24</v>
          </cell>
          <cell r="Y266">
            <v>25</v>
          </cell>
          <cell r="Z266">
            <v>26</v>
          </cell>
          <cell r="AA266">
            <v>27</v>
          </cell>
          <cell r="AB266">
            <v>28</v>
          </cell>
        </row>
        <row r="267">
          <cell r="E267" t="str">
            <v>Actual</v>
          </cell>
          <cell r="F267" t="str">
            <v>Actual</v>
          </cell>
          <cell r="G267" t="str">
            <v>Actual</v>
          </cell>
          <cell r="H267" t="str">
            <v>Actual</v>
          </cell>
          <cell r="I267" t="str">
            <v>Actual</v>
          </cell>
          <cell r="J267" t="str">
            <v>Actual</v>
          </cell>
          <cell r="K267" t="str">
            <v>Actual</v>
          </cell>
          <cell r="L267" t="str">
            <v>Actual</v>
          </cell>
          <cell r="M267" t="str">
            <v>Actual</v>
          </cell>
          <cell r="N267" t="str">
            <v>Actual</v>
          </cell>
          <cell r="O267" t="str">
            <v>Actual</v>
          </cell>
          <cell r="P267" t="str">
            <v>Actual</v>
          </cell>
          <cell r="Q267" t="str">
            <v>Cumu Actual</v>
          </cell>
          <cell r="R267" t="str">
            <v>Cumu Actual</v>
          </cell>
          <cell r="S267" t="str">
            <v>Cumu Actual</v>
          </cell>
          <cell r="T267" t="str">
            <v>Cumu Actual</v>
          </cell>
          <cell r="U267" t="str">
            <v>Cumu Actual</v>
          </cell>
          <cell r="V267" t="str">
            <v>Cumu Actual</v>
          </cell>
          <cell r="W267" t="str">
            <v>Cumu Actual</v>
          </cell>
          <cell r="X267" t="str">
            <v>Cumu Actual</v>
          </cell>
          <cell r="Y267" t="str">
            <v>Cumu Actual</v>
          </cell>
          <cell r="Z267" t="str">
            <v>Cumu Actual</v>
          </cell>
          <cell r="AA267" t="str">
            <v>Cumu Actual</v>
          </cell>
          <cell r="AB267" t="str">
            <v>Cumu Actual</v>
          </cell>
        </row>
        <row r="268">
          <cell r="D268" t="str">
            <v>Particulars</v>
          </cell>
          <cell r="E268">
            <v>39539</v>
          </cell>
          <cell r="F268">
            <v>39569</v>
          </cell>
          <cell r="G268">
            <v>39600</v>
          </cell>
          <cell r="H268">
            <v>39630</v>
          </cell>
          <cell r="I268">
            <v>39661</v>
          </cell>
          <cell r="J268">
            <v>39692</v>
          </cell>
          <cell r="K268">
            <v>39722</v>
          </cell>
          <cell r="L268">
            <v>39753</v>
          </cell>
          <cell r="M268">
            <v>39783</v>
          </cell>
          <cell r="N268">
            <v>39814</v>
          </cell>
          <cell r="O268">
            <v>39845</v>
          </cell>
          <cell r="P268">
            <v>39873</v>
          </cell>
          <cell r="Q268">
            <v>39539</v>
          </cell>
          <cell r="R268">
            <v>39569</v>
          </cell>
          <cell r="S268">
            <v>39600</v>
          </cell>
          <cell r="T268">
            <v>39630</v>
          </cell>
          <cell r="U268">
            <v>39661</v>
          </cell>
          <cell r="V268">
            <v>39692</v>
          </cell>
          <cell r="W268">
            <v>39722</v>
          </cell>
          <cell r="X268">
            <v>39753</v>
          </cell>
          <cell r="Y268">
            <v>39783</v>
          </cell>
          <cell r="Z268">
            <v>39814</v>
          </cell>
          <cell r="AA268">
            <v>39845</v>
          </cell>
          <cell r="AB268">
            <v>39873</v>
          </cell>
        </row>
        <row r="270">
          <cell r="D270" t="str">
            <v>Sales</v>
          </cell>
          <cell r="E270">
            <v>1730.9</v>
          </cell>
          <cell r="F270">
            <v>1808.03</v>
          </cell>
          <cell r="G270">
            <v>1467.54</v>
          </cell>
          <cell r="H270">
            <v>1488.3</v>
          </cell>
          <cell r="I270">
            <v>1594.67</v>
          </cell>
          <cell r="J270">
            <v>1611.86</v>
          </cell>
          <cell r="K270">
            <v>1644.3</v>
          </cell>
          <cell r="L270">
            <v>1878.3</v>
          </cell>
          <cell r="M270">
            <v>1804.2</v>
          </cell>
          <cell r="N270">
            <v>1609.943</v>
          </cell>
          <cell r="O270">
            <v>1715.37</v>
          </cell>
          <cell r="P270">
            <v>1184.2</v>
          </cell>
          <cell r="Q270">
            <v>1730.9</v>
          </cell>
          <cell r="R270">
            <v>3538.9300000000003</v>
          </cell>
          <cell r="S270">
            <v>5006.47</v>
          </cell>
          <cell r="T270">
            <v>6494.77</v>
          </cell>
          <cell r="U270">
            <v>8089.4400000000005</v>
          </cell>
          <cell r="V270">
            <v>9701.3000000000011</v>
          </cell>
          <cell r="W270">
            <v>11345.6</v>
          </cell>
          <cell r="X270">
            <v>13223.9</v>
          </cell>
          <cell r="Y270">
            <v>15028.1</v>
          </cell>
          <cell r="Z270">
            <v>16638.043000000001</v>
          </cell>
          <cell r="AA270">
            <v>18353.413</v>
          </cell>
          <cell r="AB270">
            <v>19537.613000000001</v>
          </cell>
        </row>
        <row r="272">
          <cell r="D272" t="str">
            <v>Cost of Goods Sold</v>
          </cell>
          <cell r="E272">
            <v>654.81999999999994</v>
          </cell>
          <cell r="F272">
            <v>691.38</v>
          </cell>
          <cell r="G272">
            <v>615.65</v>
          </cell>
          <cell r="H272">
            <v>615.05999999999995</v>
          </cell>
          <cell r="I272">
            <v>640.42000000000007</v>
          </cell>
          <cell r="J272">
            <v>650.61</v>
          </cell>
          <cell r="K272">
            <v>644.59</v>
          </cell>
          <cell r="L272">
            <v>769.22</v>
          </cell>
          <cell r="M272">
            <v>728.56509999999992</v>
          </cell>
          <cell r="N272">
            <v>601.12</v>
          </cell>
          <cell r="O272">
            <v>625.65517999999997</v>
          </cell>
          <cell r="P272">
            <v>390.31</v>
          </cell>
          <cell r="Q272">
            <v>654.81999999999994</v>
          </cell>
          <cell r="R272">
            <v>1346.1999999999998</v>
          </cell>
          <cell r="S272">
            <v>1961.85</v>
          </cell>
          <cell r="T272">
            <v>2576.91</v>
          </cell>
          <cell r="U272">
            <v>3217.33</v>
          </cell>
          <cell r="V272">
            <v>3867.94</v>
          </cell>
          <cell r="W272">
            <v>4512.53</v>
          </cell>
          <cell r="X272">
            <v>5281.75</v>
          </cell>
          <cell r="Y272">
            <v>6010.3150999999998</v>
          </cell>
          <cell r="Z272">
            <v>6611.4350999999997</v>
          </cell>
          <cell r="AA272">
            <v>7237.0902799999994</v>
          </cell>
          <cell r="AB272">
            <v>7627.4002799999998</v>
          </cell>
        </row>
        <row r="273">
          <cell r="D273" t="str">
            <v>PSM Savings</v>
          </cell>
          <cell r="Q273">
            <v>0</v>
          </cell>
          <cell r="R273">
            <v>0</v>
          </cell>
          <cell r="S273">
            <v>0</v>
          </cell>
          <cell r="T273">
            <v>0</v>
          </cell>
          <cell r="U273">
            <v>0</v>
          </cell>
          <cell r="V273">
            <v>0</v>
          </cell>
          <cell r="W273">
            <v>0</v>
          </cell>
          <cell r="X273">
            <v>0</v>
          </cell>
          <cell r="Y273">
            <v>0</v>
          </cell>
          <cell r="Z273">
            <v>0</v>
          </cell>
          <cell r="AA273">
            <v>0</v>
          </cell>
          <cell r="AB273">
            <v>0</v>
          </cell>
        </row>
        <row r="274">
          <cell r="D274" t="str">
            <v>Contribution</v>
          </cell>
          <cell r="E274">
            <v>1076.0800000000002</v>
          </cell>
          <cell r="F274">
            <v>1116.6500000000001</v>
          </cell>
          <cell r="G274">
            <v>851.89</v>
          </cell>
          <cell r="H274">
            <v>873.24</v>
          </cell>
          <cell r="I274">
            <v>954.25</v>
          </cell>
          <cell r="J274">
            <v>961.24999999999989</v>
          </cell>
          <cell r="K274">
            <v>999.70999999999992</v>
          </cell>
          <cell r="L274">
            <v>1109.08</v>
          </cell>
          <cell r="M274">
            <v>1075.6349</v>
          </cell>
          <cell r="N274">
            <v>1008.823</v>
          </cell>
          <cell r="O274">
            <v>1089.7148199999999</v>
          </cell>
          <cell r="P274">
            <v>793.8900000000001</v>
          </cell>
          <cell r="Q274">
            <v>1076.0800000000002</v>
          </cell>
          <cell r="R274">
            <v>2192.7300000000005</v>
          </cell>
          <cell r="S274">
            <v>3044.6200000000003</v>
          </cell>
          <cell r="T274">
            <v>3917.8600000000006</v>
          </cell>
          <cell r="U274">
            <v>4872.1100000000006</v>
          </cell>
          <cell r="V274">
            <v>5833.3600000000006</v>
          </cell>
          <cell r="W274">
            <v>6833.0700000000006</v>
          </cell>
          <cell r="X274">
            <v>7942.15</v>
          </cell>
          <cell r="Y274">
            <v>9017.7849000000006</v>
          </cell>
          <cell r="Z274">
            <v>10026.607900000003</v>
          </cell>
          <cell r="AA274">
            <v>11116.32272</v>
          </cell>
          <cell r="AB274">
            <v>11910.212720000001</v>
          </cell>
        </row>
        <row r="275">
          <cell r="E275">
            <v>0.62168813911837773</v>
          </cell>
          <cell r="F275">
            <v>0.61760590255692671</v>
          </cell>
          <cell r="G275">
            <v>0.5804884364310342</v>
          </cell>
          <cell r="H275">
            <v>0.58673654505140094</v>
          </cell>
          <cell r="I275">
            <v>0.59839966889701313</v>
          </cell>
          <cell r="J275">
            <v>0.5963607261176529</v>
          </cell>
          <cell r="K275">
            <v>0.60798516085872401</v>
          </cell>
          <cell r="L275">
            <v>0.59047010594686677</v>
          </cell>
          <cell r="M275">
            <v>0.59618384879725084</v>
          </cell>
          <cell r="N275">
            <v>0.62662032134056922</v>
          </cell>
          <cell r="O275">
            <v>0.63526517311134045</v>
          </cell>
          <cell r="P275">
            <v>0.67040195912852563</v>
          </cell>
          <cell r="Q275">
            <v>0.62168813911837773</v>
          </cell>
          <cell r="R275">
            <v>0.61960253522957509</v>
          </cell>
          <cell r="S275">
            <v>0.60813707063060407</v>
          </cell>
          <cell r="T275">
            <v>0.60323306291061896</v>
          </cell>
          <cell r="U275">
            <v>0.60228025672976127</v>
          </cell>
          <cell r="V275">
            <v>0.6012967334274788</v>
          </cell>
          <cell r="W275">
            <v>0.60226607671696519</v>
          </cell>
          <cell r="X275">
            <v>0.60059059732756603</v>
          </cell>
          <cell r="Y275">
            <v>0.60006154470625028</v>
          </cell>
          <cell r="Z275">
            <v>0.6026314452967817</v>
          </cell>
          <cell r="AA275">
            <v>0.60568150022014977</v>
          </cell>
          <cell r="AB275">
            <v>0.60960429096430568</v>
          </cell>
        </row>
        <row r="276">
          <cell r="D276" t="str">
            <v>Overheads</v>
          </cell>
        </row>
        <row r="277">
          <cell r="D277" t="str">
            <v>Personnel Costs</v>
          </cell>
          <cell r="E277">
            <v>56.12</v>
          </cell>
          <cell r="F277">
            <v>58.29</v>
          </cell>
          <cell r="G277">
            <v>63.33</v>
          </cell>
          <cell r="H277">
            <v>58.29</v>
          </cell>
          <cell r="I277">
            <v>66.91</v>
          </cell>
          <cell r="J277">
            <v>65.050000000000011</v>
          </cell>
          <cell r="K277">
            <v>60.010000000000005</v>
          </cell>
          <cell r="L277">
            <v>60.010000000000005</v>
          </cell>
          <cell r="M277">
            <v>65.050000000000011</v>
          </cell>
          <cell r="N277">
            <v>59.97</v>
          </cell>
          <cell r="O277">
            <v>60.150000000000006</v>
          </cell>
          <cell r="P277">
            <v>33.61</v>
          </cell>
          <cell r="Q277">
            <v>56.12</v>
          </cell>
          <cell r="R277">
            <v>114.41</v>
          </cell>
          <cell r="S277">
            <v>177.74</v>
          </cell>
          <cell r="T277">
            <v>236.03</v>
          </cell>
          <cell r="U277">
            <v>302.94</v>
          </cell>
          <cell r="V277">
            <v>367.99</v>
          </cell>
          <cell r="W277">
            <v>428</v>
          </cell>
          <cell r="X277">
            <v>488.01</v>
          </cell>
          <cell r="Y277">
            <v>553.05999999999995</v>
          </cell>
          <cell r="Z277">
            <v>613.03</v>
          </cell>
          <cell r="AA277">
            <v>673.18</v>
          </cell>
          <cell r="AB277">
            <v>706.79</v>
          </cell>
        </row>
        <row r="278">
          <cell r="D278" t="str">
            <v>Administration Exp</v>
          </cell>
          <cell r="E278">
            <v>1.61</v>
          </cell>
          <cell r="F278">
            <v>1.4300000000000002</v>
          </cell>
          <cell r="G278">
            <v>1.6300000000000001</v>
          </cell>
          <cell r="H278">
            <v>1.58</v>
          </cell>
          <cell r="I278">
            <v>1.3599999999999999</v>
          </cell>
          <cell r="J278">
            <v>1.33</v>
          </cell>
          <cell r="K278">
            <v>1.34</v>
          </cell>
          <cell r="L278">
            <v>2.16</v>
          </cell>
          <cell r="M278">
            <v>15.04</v>
          </cell>
          <cell r="N278">
            <v>-3.7195599999999995</v>
          </cell>
          <cell r="O278">
            <v>3.75</v>
          </cell>
          <cell r="P278">
            <v>-11.209999999999999</v>
          </cell>
          <cell r="Q278">
            <v>1.61</v>
          </cell>
          <cell r="R278">
            <v>3.04</v>
          </cell>
          <cell r="S278">
            <v>4.67</v>
          </cell>
          <cell r="T278">
            <v>6.25</v>
          </cell>
          <cell r="U278">
            <v>7.6099999999999994</v>
          </cell>
          <cell r="V278">
            <v>8.94</v>
          </cell>
          <cell r="W278">
            <v>10.28</v>
          </cell>
          <cell r="X278">
            <v>12.44</v>
          </cell>
          <cell r="Y278">
            <v>27.479999999999997</v>
          </cell>
          <cell r="Z278">
            <v>23.760439999999996</v>
          </cell>
          <cell r="AA278">
            <v>27.510439999999996</v>
          </cell>
          <cell r="AB278">
            <v>16.300439999999995</v>
          </cell>
        </row>
        <row r="279">
          <cell r="D279" t="str">
            <v>Production Exp</v>
          </cell>
          <cell r="E279">
            <v>11.99</v>
          </cell>
          <cell r="F279">
            <v>13.27</v>
          </cell>
          <cell r="G279">
            <v>17.8</v>
          </cell>
          <cell r="H279">
            <v>20.72</v>
          </cell>
          <cell r="I279">
            <v>21.55</v>
          </cell>
          <cell r="J279">
            <v>19.18</v>
          </cell>
          <cell r="K279">
            <v>21.35</v>
          </cell>
          <cell r="L279">
            <v>21.68</v>
          </cell>
          <cell r="M279">
            <v>21.48</v>
          </cell>
          <cell r="N279">
            <v>15.645000000000001</v>
          </cell>
          <cell r="O279">
            <v>18.18</v>
          </cell>
          <cell r="P279">
            <v>80.06</v>
          </cell>
          <cell r="Q279">
            <v>11.99</v>
          </cell>
          <cell r="R279">
            <v>25.259999999999998</v>
          </cell>
          <cell r="S279">
            <v>43.06</v>
          </cell>
          <cell r="T279">
            <v>63.78</v>
          </cell>
          <cell r="U279">
            <v>85.33</v>
          </cell>
          <cell r="V279">
            <v>104.50999999999999</v>
          </cell>
          <cell r="W279">
            <v>125.85999999999999</v>
          </cell>
          <cell r="X279">
            <v>147.54</v>
          </cell>
          <cell r="Y279">
            <v>169.01999999999998</v>
          </cell>
          <cell r="Z279">
            <v>184.66499999999999</v>
          </cell>
          <cell r="AA279">
            <v>202.845</v>
          </cell>
          <cell r="AB279">
            <v>282.90499999999997</v>
          </cell>
        </row>
        <row r="280">
          <cell r="D280" t="str">
            <v xml:space="preserve">Research &amp; Development </v>
          </cell>
          <cell r="E280">
            <v>2.27</v>
          </cell>
          <cell r="F280">
            <v>4.75</v>
          </cell>
          <cell r="G280">
            <v>3.36</v>
          </cell>
          <cell r="H280">
            <v>3.22</v>
          </cell>
          <cell r="I280">
            <v>3.4</v>
          </cell>
          <cell r="J280">
            <v>3.5</v>
          </cell>
          <cell r="K280">
            <v>3.34</v>
          </cell>
          <cell r="L280">
            <v>3.34</v>
          </cell>
          <cell r="M280">
            <v>3.36</v>
          </cell>
          <cell r="N280">
            <v>3.48</v>
          </cell>
          <cell r="O280">
            <v>3.48</v>
          </cell>
          <cell r="P280">
            <v>1.5</v>
          </cell>
          <cell r="Q280">
            <v>2.27</v>
          </cell>
          <cell r="R280">
            <v>7.02</v>
          </cell>
          <cell r="S280">
            <v>10.379999999999999</v>
          </cell>
          <cell r="T280">
            <v>13.6</v>
          </cell>
          <cell r="U280">
            <v>17</v>
          </cell>
          <cell r="V280">
            <v>20.5</v>
          </cell>
          <cell r="W280">
            <v>23.84</v>
          </cell>
          <cell r="X280">
            <v>27.18</v>
          </cell>
          <cell r="Y280">
            <v>30.54</v>
          </cell>
          <cell r="Z280">
            <v>34.019999999999996</v>
          </cell>
          <cell r="AA280">
            <v>37.499999999999993</v>
          </cell>
          <cell r="AB280">
            <v>38.999999999999993</v>
          </cell>
        </row>
        <row r="281">
          <cell r="D281" t="str">
            <v>Marketing Exp</v>
          </cell>
          <cell r="E281">
            <v>819.57999999999993</v>
          </cell>
          <cell r="F281">
            <v>811.81999999999994</v>
          </cell>
          <cell r="G281">
            <v>548.18999999999994</v>
          </cell>
          <cell r="H281">
            <v>556.73</v>
          </cell>
          <cell r="I281">
            <v>407.6</v>
          </cell>
          <cell r="J281">
            <v>363.65</v>
          </cell>
          <cell r="K281">
            <v>558.923</v>
          </cell>
          <cell r="L281">
            <v>616.61</v>
          </cell>
          <cell r="M281">
            <v>508.41</v>
          </cell>
          <cell r="N281">
            <v>340.02</v>
          </cell>
          <cell r="O281">
            <v>383.91</v>
          </cell>
          <cell r="P281">
            <v>-97.710000000000008</v>
          </cell>
          <cell r="Q281">
            <v>819.57999999999993</v>
          </cell>
          <cell r="R281">
            <v>1631.3999999999999</v>
          </cell>
          <cell r="S281">
            <v>2179.5899999999997</v>
          </cell>
          <cell r="T281">
            <v>2736.3199999999997</v>
          </cell>
          <cell r="U281">
            <v>3143.9199999999996</v>
          </cell>
          <cell r="V281">
            <v>3507.5699999999997</v>
          </cell>
          <cell r="W281">
            <v>4066.4929999999995</v>
          </cell>
          <cell r="X281">
            <v>4683.1029999999992</v>
          </cell>
          <cell r="Y281">
            <v>5191.512999999999</v>
          </cell>
          <cell r="Z281">
            <v>5531.5329999999994</v>
          </cell>
          <cell r="AA281">
            <v>5915.4429999999993</v>
          </cell>
          <cell r="AB281">
            <v>5817.7329999999993</v>
          </cell>
        </row>
        <row r="282">
          <cell r="D282" t="str">
            <v>Sales &amp; Distribution Exp</v>
          </cell>
          <cell r="E282">
            <v>90.52000000000001</v>
          </cell>
          <cell r="F282">
            <v>95.25</v>
          </cell>
          <cell r="G282">
            <v>86.29</v>
          </cell>
          <cell r="H282">
            <v>84.300000000000011</v>
          </cell>
          <cell r="I282">
            <v>91.24</v>
          </cell>
          <cell r="J282">
            <v>89.19</v>
          </cell>
          <cell r="K282">
            <v>93.49</v>
          </cell>
          <cell r="L282">
            <v>103.33000000000001</v>
          </cell>
          <cell r="M282">
            <v>100.72999999999999</v>
          </cell>
          <cell r="N282">
            <v>89.533749999999998</v>
          </cell>
          <cell r="O282">
            <v>106.90389999999999</v>
          </cell>
          <cell r="P282">
            <v>-46.8</v>
          </cell>
          <cell r="Q282">
            <v>90.52000000000001</v>
          </cell>
          <cell r="R282">
            <v>185.77</v>
          </cell>
          <cell r="S282">
            <v>272.06</v>
          </cell>
          <cell r="T282">
            <v>356.36</v>
          </cell>
          <cell r="U282">
            <v>447.6</v>
          </cell>
          <cell r="V282">
            <v>536.79</v>
          </cell>
          <cell r="W282">
            <v>630.28</v>
          </cell>
          <cell r="X282">
            <v>733.61</v>
          </cell>
          <cell r="Y282">
            <v>834.34</v>
          </cell>
          <cell r="Z282">
            <v>923.87374999999997</v>
          </cell>
          <cell r="AA282">
            <v>1030.77765</v>
          </cell>
          <cell r="AB282">
            <v>983.97765000000004</v>
          </cell>
        </row>
        <row r="283">
          <cell r="D283" t="str">
            <v>Total overheads</v>
          </cell>
          <cell r="E283">
            <v>982.08999999999992</v>
          </cell>
          <cell r="F283">
            <v>984.81</v>
          </cell>
          <cell r="G283">
            <v>720.59999999999991</v>
          </cell>
          <cell r="H283">
            <v>724.83999999999992</v>
          </cell>
          <cell r="I283">
            <v>592.06000000000006</v>
          </cell>
          <cell r="J283">
            <v>541.9</v>
          </cell>
          <cell r="K283">
            <v>738.45299999999997</v>
          </cell>
          <cell r="L283">
            <v>807.13</v>
          </cell>
          <cell r="M283">
            <v>714.07</v>
          </cell>
          <cell r="N283">
            <v>504.92919000000001</v>
          </cell>
          <cell r="O283">
            <v>576.37390000000005</v>
          </cell>
          <cell r="P283">
            <v>-40.549999999999997</v>
          </cell>
          <cell r="Q283">
            <v>982.08999999999992</v>
          </cell>
          <cell r="R283">
            <v>1966.8999999999999</v>
          </cell>
          <cell r="S283">
            <v>2687.4999999999995</v>
          </cell>
          <cell r="T283">
            <v>3412.3399999999997</v>
          </cell>
          <cell r="U283">
            <v>4004.3999999999996</v>
          </cell>
          <cell r="V283">
            <v>4546.2999999999993</v>
          </cell>
          <cell r="W283">
            <v>5284.7529999999997</v>
          </cell>
          <cell r="X283">
            <v>6091.8829999999989</v>
          </cell>
          <cell r="Y283">
            <v>6805.9529999999995</v>
          </cell>
          <cell r="Z283">
            <v>7310.8821899999994</v>
          </cell>
          <cell r="AA283">
            <v>7887.2560899999989</v>
          </cell>
          <cell r="AB283">
            <v>7846.7060899999988</v>
          </cell>
        </row>
        <row r="284">
          <cell r="D284" t="str">
            <v>OPERATING PROFIT (LOSS)</v>
          </cell>
          <cell r="E284">
            <v>93.990000000000236</v>
          </cell>
          <cell r="F284">
            <v>131.84000000000015</v>
          </cell>
          <cell r="G284">
            <v>131.29000000000008</v>
          </cell>
          <cell r="H284">
            <v>148.40000000000009</v>
          </cell>
          <cell r="I284">
            <v>362.18999999999994</v>
          </cell>
          <cell r="J284">
            <v>419.34999999999991</v>
          </cell>
          <cell r="K284">
            <v>261.25699999999995</v>
          </cell>
          <cell r="L284">
            <v>301.94999999999993</v>
          </cell>
          <cell r="M284">
            <v>361.56489999999997</v>
          </cell>
          <cell r="N284">
            <v>503.89380999999997</v>
          </cell>
          <cell r="O284">
            <v>513.34091999999987</v>
          </cell>
          <cell r="P284">
            <v>834.44</v>
          </cell>
          <cell r="Q284">
            <v>93.990000000000236</v>
          </cell>
          <cell r="R284">
            <v>225.83000000000061</v>
          </cell>
          <cell r="S284">
            <v>357.1200000000008</v>
          </cell>
          <cell r="T284">
            <v>505.52000000000089</v>
          </cell>
          <cell r="U284">
            <v>867.71000000000095</v>
          </cell>
          <cell r="V284">
            <v>1287.0600000000013</v>
          </cell>
          <cell r="W284">
            <v>1548.3170000000009</v>
          </cell>
          <cell r="X284">
            <v>1850.2670000000007</v>
          </cell>
          <cell r="Y284">
            <v>2211.831900000001</v>
          </cell>
          <cell r="Z284">
            <v>2715.7257100000033</v>
          </cell>
          <cell r="AA284">
            <v>3229.0666300000012</v>
          </cell>
          <cell r="AB284">
            <v>4063.5066300000026</v>
          </cell>
        </row>
        <row r="285">
          <cell r="E285">
            <v>5.4301230573690122E-2</v>
          </cell>
          <cell r="F285">
            <v>7.2919144040751616E-2</v>
          </cell>
          <cell r="G285">
            <v>8.946263815637058E-2</v>
          </cell>
          <cell r="H285">
            <v>9.9711079755425716E-2</v>
          </cell>
          <cell r="I285">
            <v>0.22712536136003056</v>
          </cell>
          <cell r="J285">
            <v>0.26016527489980518</v>
          </cell>
          <cell r="K285">
            <v>0.15888645624277806</v>
          </cell>
          <cell r="L285">
            <v>0.16075706756109245</v>
          </cell>
          <cell r="M285">
            <v>0.20040178472453163</v>
          </cell>
          <cell r="N285">
            <v>0.31298860270208323</v>
          </cell>
          <cell r="O285">
            <v>0.29925958831039362</v>
          </cell>
          <cell r="P285">
            <v>0.70464448572876204</v>
          </cell>
        </row>
        <row r="286">
          <cell r="D286" t="str">
            <v>Interest &amp; Depreciation</v>
          </cell>
        </row>
        <row r="287">
          <cell r="D287" t="str">
            <v>Variable Interest</v>
          </cell>
          <cell r="E287">
            <v>3.4400000000000004</v>
          </cell>
          <cell r="F287">
            <v>3.14</v>
          </cell>
          <cell r="G287">
            <v>2.88</v>
          </cell>
          <cell r="H287">
            <v>3.08</v>
          </cell>
          <cell r="I287">
            <v>3.26</v>
          </cell>
          <cell r="J287">
            <v>3.29</v>
          </cell>
          <cell r="K287">
            <v>3.56</v>
          </cell>
          <cell r="L287">
            <v>3.8499999999999996</v>
          </cell>
          <cell r="M287">
            <v>4.21</v>
          </cell>
          <cell r="N287">
            <v>3.7600000000000002</v>
          </cell>
          <cell r="O287">
            <v>3.36</v>
          </cell>
          <cell r="P287">
            <v>-16.96</v>
          </cell>
          <cell r="Q287">
            <v>3.4400000000000004</v>
          </cell>
          <cell r="R287">
            <v>6.58</v>
          </cell>
          <cell r="S287">
            <v>9.4600000000000009</v>
          </cell>
          <cell r="T287">
            <v>12.540000000000001</v>
          </cell>
          <cell r="U287">
            <v>15.8</v>
          </cell>
          <cell r="V287">
            <v>19.09</v>
          </cell>
          <cell r="W287">
            <v>22.65</v>
          </cell>
          <cell r="X287">
            <v>26.5</v>
          </cell>
          <cell r="Y287">
            <v>30.71</v>
          </cell>
          <cell r="Z287">
            <v>34.47</v>
          </cell>
          <cell r="AA287">
            <v>37.83</v>
          </cell>
          <cell r="AB287">
            <v>20.869999999999997</v>
          </cell>
        </row>
        <row r="288">
          <cell r="D288" t="str">
            <v>Fixed Interest</v>
          </cell>
          <cell r="E288">
            <v>0.08</v>
          </cell>
          <cell r="F288">
            <v>0.08</v>
          </cell>
          <cell r="G288">
            <v>0.08</v>
          </cell>
          <cell r="H288">
            <v>0.08</v>
          </cell>
          <cell r="I288">
            <v>0.08</v>
          </cell>
          <cell r="J288">
            <v>0.08</v>
          </cell>
          <cell r="K288">
            <v>0.08</v>
          </cell>
          <cell r="L288">
            <v>0.08</v>
          </cell>
          <cell r="M288">
            <v>0.08</v>
          </cell>
          <cell r="N288">
            <v>0.08</v>
          </cell>
          <cell r="O288">
            <v>0.08</v>
          </cell>
          <cell r="P288">
            <v>0.08</v>
          </cell>
          <cell r="Q288">
            <v>0.08</v>
          </cell>
          <cell r="R288">
            <v>0.16</v>
          </cell>
          <cell r="S288">
            <v>0.24</v>
          </cell>
          <cell r="T288">
            <v>0.32</v>
          </cell>
          <cell r="U288">
            <v>0.4</v>
          </cell>
          <cell r="V288">
            <v>0.48000000000000004</v>
          </cell>
          <cell r="W288">
            <v>0.56000000000000005</v>
          </cell>
          <cell r="X288">
            <v>0.64</v>
          </cell>
          <cell r="Y288">
            <v>0.72</v>
          </cell>
          <cell r="Z288">
            <v>0.79999999999999993</v>
          </cell>
          <cell r="AA288">
            <v>0.87999999999999989</v>
          </cell>
          <cell r="AB288">
            <v>0.95999999999999985</v>
          </cell>
        </row>
        <row r="289">
          <cell r="D289" t="str">
            <v>CASH PROFIT</v>
          </cell>
          <cell r="E289">
            <v>90.47000000000024</v>
          </cell>
          <cell r="F289">
            <v>128.62000000000015</v>
          </cell>
          <cell r="G289">
            <v>128.33000000000007</v>
          </cell>
          <cell r="H289">
            <v>145.24000000000009</v>
          </cell>
          <cell r="I289">
            <v>358.84999999999997</v>
          </cell>
          <cell r="J289">
            <v>415.9799999999999</v>
          </cell>
          <cell r="K289">
            <v>257.61699999999996</v>
          </cell>
          <cell r="L289">
            <v>298.01999999999992</v>
          </cell>
          <cell r="M289">
            <v>357.27489999999995</v>
          </cell>
          <cell r="N289">
            <v>500.05381</v>
          </cell>
          <cell r="O289">
            <v>509.90091999999987</v>
          </cell>
          <cell r="P289">
            <v>851.32</v>
          </cell>
          <cell r="Q289">
            <v>90.47000000000024</v>
          </cell>
          <cell r="R289">
            <v>219.09000000000037</v>
          </cell>
          <cell r="S289">
            <v>347.42000000000041</v>
          </cell>
          <cell r="T289">
            <v>492.66000000000054</v>
          </cell>
          <cell r="U289">
            <v>851.51000000000045</v>
          </cell>
          <cell r="V289">
            <v>1267.4900000000002</v>
          </cell>
          <cell r="W289">
            <v>1525.1070000000002</v>
          </cell>
          <cell r="X289">
            <v>1823.1270000000002</v>
          </cell>
          <cell r="Y289">
            <v>2180.4019000000003</v>
          </cell>
          <cell r="Z289">
            <v>2680.4557100000002</v>
          </cell>
          <cell r="AA289">
            <v>3190.3566300000002</v>
          </cell>
          <cell r="AB289">
            <v>4041.6766300000004</v>
          </cell>
        </row>
        <row r="290">
          <cell r="D290" t="str">
            <v>Depreciation</v>
          </cell>
          <cell r="E290">
            <v>3.75</v>
          </cell>
          <cell r="F290">
            <v>11.74</v>
          </cell>
          <cell r="G290">
            <v>7.74</v>
          </cell>
          <cell r="H290">
            <v>8.09</v>
          </cell>
          <cell r="I290">
            <v>8.09</v>
          </cell>
          <cell r="J290">
            <v>8.42</v>
          </cell>
          <cell r="K290">
            <v>8.09</v>
          </cell>
          <cell r="L290">
            <v>8.09</v>
          </cell>
          <cell r="M290">
            <v>8.09</v>
          </cell>
          <cell r="N290">
            <v>8.1</v>
          </cell>
          <cell r="O290">
            <v>8.1</v>
          </cell>
          <cell r="P290">
            <v>82.12</v>
          </cell>
          <cell r="Q290">
            <v>3.75</v>
          </cell>
          <cell r="R290">
            <v>15.49</v>
          </cell>
          <cell r="S290">
            <v>23.23</v>
          </cell>
          <cell r="T290">
            <v>31.32</v>
          </cell>
          <cell r="U290">
            <v>39.409999999999997</v>
          </cell>
          <cell r="V290">
            <v>47.83</v>
          </cell>
          <cell r="W290">
            <v>55.92</v>
          </cell>
          <cell r="X290">
            <v>64.010000000000005</v>
          </cell>
          <cell r="Y290">
            <v>72.100000000000009</v>
          </cell>
          <cell r="Z290">
            <v>80.2</v>
          </cell>
          <cell r="AA290">
            <v>88.3</v>
          </cell>
          <cell r="AB290">
            <v>170.42000000000002</v>
          </cell>
        </row>
        <row r="291">
          <cell r="D291" t="str">
            <v>Net Profit / - Loss</v>
          </cell>
          <cell r="E291">
            <v>86.72000000000024</v>
          </cell>
          <cell r="F291">
            <v>116.88000000000015</v>
          </cell>
          <cell r="G291">
            <v>120.59000000000007</v>
          </cell>
          <cell r="H291">
            <v>137.15000000000009</v>
          </cell>
          <cell r="I291">
            <v>350.76</v>
          </cell>
          <cell r="J291">
            <v>407.55999999999989</v>
          </cell>
          <cell r="K291">
            <v>249.52699999999996</v>
          </cell>
          <cell r="L291">
            <v>289.92999999999995</v>
          </cell>
          <cell r="M291">
            <v>349.18489999999997</v>
          </cell>
          <cell r="N291">
            <v>491.95380999999998</v>
          </cell>
          <cell r="O291">
            <v>501.80091999999985</v>
          </cell>
          <cell r="P291">
            <v>769.2</v>
          </cell>
          <cell r="Q291">
            <v>86.72000000000024</v>
          </cell>
          <cell r="R291">
            <v>203.60000000000036</v>
          </cell>
          <cell r="S291">
            <v>324.1900000000004</v>
          </cell>
          <cell r="T291">
            <v>461.34000000000054</v>
          </cell>
          <cell r="U291">
            <v>812.10000000000048</v>
          </cell>
          <cell r="V291">
            <v>1219.6600000000003</v>
          </cell>
          <cell r="W291">
            <v>1469.1870000000001</v>
          </cell>
          <cell r="X291">
            <v>1759.1170000000002</v>
          </cell>
          <cell r="Y291">
            <v>2108.3019000000004</v>
          </cell>
          <cell r="Z291">
            <v>2600.2557100000004</v>
          </cell>
          <cell r="AA291">
            <v>3102.05663</v>
          </cell>
          <cell r="AB291">
            <v>3871.2566300000003</v>
          </cell>
        </row>
        <row r="292">
          <cell r="D292" t="str">
            <v>Other operating income</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row>
        <row r="293">
          <cell r="D293" t="str">
            <v>Net Profit / - Loss after Extra Ordianry Items</v>
          </cell>
          <cell r="E293">
            <v>86.72000000000024</v>
          </cell>
          <cell r="F293">
            <v>116.88000000000015</v>
          </cell>
          <cell r="G293">
            <v>120.59000000000007</v>
          </cell>
          <cell r="H293">
            <v>137.15000000000009</v>
          </cell>
          <cell r="I293">
            <v>350.76</v>
          </cell>
          <cell r="J293">
            <v>407.55999999999989</v>
          </cell>
          <cell r="K293">
            <v>249.52699999999996</v>
          </cell>
          <cell r="L293">
            <v>289.92999999999995</v>
          </cell>
          <cell r="M293">
            <v>349.18489999999997</v>
          </cell>
          <cell r="N293">
            <v>491.95380999999998</v>
          </cell>
          <cell r="O293">
            <v>501.80091999999985</v>
          </cell>
          <cell r="P293">
            <v>769.2</v>
          </cell>
          <cell r="Q293">
            <v>86.72000000000024</v>
          </cell>
          <cell r="R293">
            <v>203.60000000000036</v>
          </cell>
          <cell r="S293">
            <v>324.1900000000004</v>
          </cell>
          <cell r="T293">
            <v>461.34000000000054</v>
          </cell>
          <cell r="U293">
            <v>812.10000000000048</v>
          </cell>
          <cell r="V293">
            <v>1219.6600000000003</v>
          </cell>
          <cell r="W293">
            <v>1469.1870000000001</v>
          </cell>
          <cell r="X293">
            <v>1759.1170000000002</v>
          </cell>
          <cell r="Y293">
            <v>2108.3019000000004</v>
          </cell>
          <cell r="Z293">
            <v>2600.2557100000004</v>
          </cell>
          <cell r="AA293">
            <v>3102.05663</v>
          </cell>
          <cell r="AB293">
            <v>3871.2566300000003</v>
          </cell>
        </row>
        <row r="294">
          <cell r="D294" t="str">
            <v>PSM saving</v>
          </cell>
          <cell r="E294">
            <v>2.2842493210002788</v>
          </cell>
          <cell r="F294">
            <v>23.142454222204318</v>
          </cell>
          <cell r="G294">
            <v>20.716470158282654</v>
          </cell>
          <cell r="H294">
            <v>18.087635230098861</v>
          </cell>
          <cell r="I294">
            <v>14.237258029592759</v>
          </cell>
          <cell r="J294">
            <v>-2.7044650042607405</v>
          </cell>
          <cell r="K294">
            <v>-4.32979</v>
          </cell>
          <cell r="L294">
            <v>-4.4002499999999998</v>
          </cell>
          <cell r="M294">
            <v>42.890199999999993</v>
          </cell>
          <cell r="N294">
            <v>49.232840000000003</v>
          </cell>
          <cell r="O294">
            <v>62.511052544148193</v>
          </cell>
          <cell r="P294">
            <v>62.35285687088966</v>
          </cell>
          <cell r="Q294">
            <v>2.2842493210002788</v>
          </cell>
          <cell r="R294">
            <v>25.426703543204596</v>
          </cell>
          <cell r="S294">
            <v>46.14317370148725</v>
          </cell>
          <cell r="T294">
            <v>64.230808931586111</v>
          </cell>
          <cell r="U294">
            <v>78.468066961178863</v>
          </cell>
          <cell r="V294">
            <v>75.763601956918123</v>
          </cell>
          <cell r="W294">
            <v>71.43381195691812</v>
          </cell>
          <cell r="X294">
            <v>67.03356195691812</v>
          </cell>
          <cell r="Y294">
            <v>109.92376195691811</v>
          </cell>
          <cell r="Z294">
            <v>159.15660195691811</v>
          </cell>
          <cell r="AA294">
            <v>221.66765450106629</v>
          </cell>
          <cell r="AB294">
            <v>284.02051137195593</v>
          </cell>
        </row>
        <row r="295">
          <cell r="D295" t="str">
            <v>Interest Income</v>
          </cell>
          <cell r="E295">
            <v>8.33</v>
          </cell>
          <cell r="F295">
            <v>8.33</v>
          </cell>
          <cell r="G295">
            <v>8.33</v>
          </cell>
          <cell r="H295">
            <v>8.33</v>
          </cell>
          <cell r="I295">
            <v>8.33</v>
          </cell>
          <cell r="J295">
            <v>8.33</v>
          </cell>
          <cell r="K295">
            <v>8.33</v>
          </cell>
          <cell r="L295">
            <v>8.33</v>
          </cell>
          <cell r="M295">
            <v>8.33</v>
          </cell>
          <cell r="N295">
            <v>8.33</v>
          </cell>
          <cell r="O295">
            <v>8.33</v>
          </cell>
          <cell r="P295">
            <v>8.33</v>
          </cell>
          <cell r="Q295">
            <v>8.33</v>
          </cell>
          <cell r="R295">
            <v>16.66</v>
          </cell>
          <cell r="S295">
            <v>24.990000000000002</v>
          </cell>
          <cell r="T295">
            <v>33.32</v>
          </cell>
          <cell r="U295">
            <v>41.65</v>
          </cell>
          <cell r="V295">
            <v>49.98</v>
          </cell>
          <cell r="W295">
            <v>58.309999999999995</v>
          </cell>
          <cell r="X295">
            <v>66.64</v>
          </cell>
          <cell r="Y295">
            <v>74.97</v>
          </cell>
          <cell r="Z295">
            <v>83.3</v>
          </cell>
          <cell r="AA295">
            <v>91.63</v>
          </cell>
          <cell r="AB295">
            <v>99.96</v>
          </cell>
        </row>
        <row r="296">
          <cell r="D296" t="str">
            <v>Net profit</v>
          </cell>
          <cell r="E296">
            <v>97.334249321000513</v>
          </cell>
          <cell r="F296">
            <v>148.35245422220447</v>
          </cell>
          <cell r="G296">
            <v>149.63647015828275</v>
          </cell>
          <cell r="H296">
            <v>163.56763523009897</v>
          </cell>
          <cell r="I296">
            <v>373.32725802959271</v>
          </cell>
          <cell r="J296">
            <v>413.18553499573915</v>
          </cell>
          <cell r="K296">
            <v>253.52720999999997</v>
          </cell>
          <cell r="L296">
            <v>293.85974999999991</v>
          </cell>
          <cell r="M296">
            <v>400.40509999999995</v>
          </cell>
          <cell r="N296">
            <v>549.51665000000003</v>
          </cell>
          <cell r="O296">
            <v>572.64197254414808</v>
          </cell>
          <cell r="P296">
            <v>839.88285687088978</v>
          </cell>
          <cell r="Q296">
            <v>97.334249321000513</v>
          </cell>
          <cell r="R296">
            <v>245.68670354320497</v>
          </cell>
          <cell r="S296">
            <v>395.32317370148763</v>
          </cell>
          <cell r="T296">
            <v>558.89080893158666</v>
          </cell>
          <cell r="U296">
            <v>932.21806696117926</v>
          </cell>
          <cell r="V296">
            <v>1345.4036019569185</v>
          </cell>
          <cell r="W296">
            <v>1598.9308119569182</v>
          </cell>
          <cell r="X296">
            <v>1892.7905619569185</v>
          </cell>
          <cell r="Y296">
            <v>2293.1956619569182</v>
          </cell>
          <cell r="Z296">
            <v>2842.7123119569187</v>
          </cell>
          <cell r="AA296">
            <v>3415.3542845010666</v>
          </cell>
          <cell r="AB296">
            <v>4255.2371413719566</v>
          </cell>
        </row>
        <row r="305">
          <cell r="D305" t="str">
            <v>Particulars</v>
          </cell>
          <cell r="E305" t="str">
            <v>Actual</v>
          </cell>
          <cell r="F305" t="str">
            <v>Actual</v>
          </cell>
          <cell r="G305" t="str">
            <v>Actual</v>
          </cell>
          <cell r="H305" t="str">
            <v>Actual</v>
          </cell>
          <cell r="I305" t="str">
            <v>Actual</v>
          </cell>
          <cell r="J305" t="str">
            <v>Actual</v>
          </cell>
          <cell r="K305" t="str">
            <v>Actual</v>
          </cell>
          <cell r="L305" t="str">
            <v>Actual</v>
          </cell>
          <cell r="M305" t="str">
            <v>Actual</v>
          </cell>
          <cell r="N305" t="str">
            <v>Actual</v>
          </cell>
          <cell r="O305" t="str">
            <v>Actual</v>
          </cell>
          <cell r="P305" t="str">
            <v>Actual</v>
          </cell>
          <cell r="Q305" t="str">
            <v>Cumu Act</v>
          </cell>
          <cell r="R305" t="str">
            <v>Cumu Act</v>
          </cell>
          <cell r="S305" t="str">
            <v>Cumu Act</v>
          </cell>
          <cell r="T305" t="str">
            <v>Cumu Act</v>
          </cell>
          <cell r="U305" t="str">
            <v>Cumu Act</v>
          </cell>
          <cell r="V305" t="str">
            <v>Cumu Act</v>
          </cell>
          <cell r="W305" t="str">
            <v>Cumu Act</v>
          </cell>
          <cell r="X305" t="str">
            <v>Cumu Act</v>
          </cell>
          <cell r="Y305" t="str">
            <v>Cumu Act</v>
          </cell>
          <cell r="Z305" t="str">
            <v>Cumu Act</v>
          </cell>
          <cell r="AA305" t="str">
            <v>Cumu Act</v>
          </cell>
          <cell r="AB305" t="str">
            <v>Cumu Act</v>
          </cell>
        </row>
        <row r="306">
          <cell r="E306">
            <v>39539</v>
          </cell>
          <cell r="F306">
            <v>39569</v>
          </cell>
          <cell r="G306">
            <v>39600</v>
          </cell>
          <cell r="H306">
            <v>39630</v>
          </cell>
          <cell r="I306">
            <v>39661</v>
          </cell>
          <cell r="J306">
            <v>39692</v>
          </cell>
          <cell r="K306">
            <v>39722</v>
          </cell>
          <cell r="L306">
            <v>39753</v>
          </cell>
          <cell r="M306">
            <v>39783</v>
          </cell>
          <cell r="N306">
            <v>39814</v>
          </cell>
          <cell r="O306">
            <v>39845</v>
          </cell>
          <cell r="P306">
            <v>39873</v>
          </cell>
          <cell r="Q306">
            <v>39539</v>
          </cell>
          <cell r="R306">
            <v>39569</v>
          </cell>
          <cell r="S306">
            <v>39600</v>
          </cell>
          <cell r="T306">
            <v>39630</v>
          </cell>
          <cell r="U306">
            <v>39661</v>
          </cell>
          <cell r="V306">
            <v>39692</v>
          </cell>
          <cell r="W306">
            <v>39722</v>
          </cell>
          <cell r="X306">
            <v>39753</v>
          </cell>
          <cell r="Y306">
            <v>39783</v>
          </cell>
          <cell r="Z306">
            <v>39814</v>
          </cell>
          <cell r="AA306">
            <v>39845</v>
          </cell>
          <cell r="AB306">
            <v>39873</v>
          </cell>
        </row>
        <row r="307">
          <cell r="D307" t="str">
            <v>Sales</v>
          </cell>
          <cell r="E307">
            <v>491.93</v>
          </cell>
          <cell r="F307">
            <v>500</v>
          </cell>
          <cell r="G307">
            <v>550</v>
          </cell>
          <cell r="H307">
            <v>546</v>
          </cell>
          <cell r="I307">
            <v>555.19000000000005</v>
          </cell>
          <cell r="J307">
            <v>590.5</v>
          </cell>
          <cell r="K307">
            <v>576</v>
          </cell>
          <cell r="L307">
            <v>655</v>
          </cell>
          <cell r="M307">
            <v>744.06</v>
          </cell>
          <cell r="N307">
            <v>490.50299999999999</v>
          </cell>
          <cell r="O307">
            <v>507.89</v>
          </cell>
          <cell r="P307">
            <v>510.48</v>
          </cell>
          <cell r="Q307">
            <v>491.93</v>
          </cell>
          <cell r="R307">
            <v>991.93000000000006</v>
          </cell>
          <cell r="S307">
            <v>1541.93</v>
          </cell>
          <cell r="T307">
            <v>2087.9300000000003</v>
          </cell>
          <cell r="U307">
            <v>2643.1200000000003</v>
          </cell>
          <cell r="V307">
            <v>3233.6200000000003</v>
          </cell>
          <cell r="W307">
            <v>3809.6200000000003</v>
          </cell>
          <cell r="X307">
            <v>4464.6200000000008</v>
          </cell>
          <cell r="Y307">
            <v>5208.68</v>
          </cell>
          <cell r="Z307">
            <v>5699.183</v>
          </cell>
          <cell r="AA307">
            <v>6207.0730000000003</v>
          </cell>
          <cell r="AB307">
            <v>6717.5529999999999</v>
          </cell>
        </row>
        <row r="309">
          <cell r="D309" t="str">
            <v>Cost of Goods Sold</v>
          </cell>
          <cell r="E309">
            <v>302.64999999999998</v>
          </cell>
          <cell r="F309">
            <v>307</v>
          </cell>
          <cell r="G309">
            <v>338</v>
          </cell>
          <cell r="H309">
            <v>335</v>
          </cell>
          <cell r="I309">
            <v>338.81</v>
          </cell>
          <cell r="J309">
            <v>361.5</v>
          </cell>
          <cell r="K309">
            <v>341</v>
          </cell>
          <cell r="L309">
            <v>416.45</v>
          </cell>
          <cell r="M309">
            <v>435.27509999999995</v>
          </cell>
          <cell r="N309">
            <v>267.92</v>
          </cell>
          <cell r="O309">
            <v>272.44517999999999</v>
          </cell>
          <cell r="P309">
            <v>190.36</v>
          </cell>
          <cell r="Q309">
            <v>302.64999999999998</v>
          </cell>
          <cell r="R309">
            <v>609.65</v>
          </cell>
          <cell r="S309">
            <v>947.65</v>
          </cell>
          <cell r="T309">
            <v>1282.6500000000001</v>
          </cell>
          <cell r="U309">
            <v>1621.46</v>
          </cell>
          <cell r="V309">
            <v>1982.96</v>
          </cell>
          <cell r="W309">
            <v>2323.96</v>
          </cell>
          <cell r="X309">
            <v>2740.41</v>
          </cell>
          <cell r="Y309">
            <v>3175.6850999999997</v>
          </cell>
          <cell r="Z309">
            <v>3443.6050999999998</v>
          </cell>
          <cell r="AA309">
            <v>3716.0502799999999</v>
          </cell>
          <cell r="AB309">
            <v>3906.4102800000001</v>
          </cell>
        </row>
        <row r="310">
          <cell r="D310" t="str">
            <v>COGS for Normal Sales Qty</v>
          </cell>
          <cell r="E310">
            <v>302.64999999999998</v>
          </cell>
          <cell r="F310">
            <v>307</v>
          </cell>
          <cell r="G310">
            <v>338</v>
          </cell>
          <cell r="H310">
            <v>335</v>
          </cell>
          <cell r="I310">
            <v>338.81</v>
          </cell>
          <cell r="J310">
            <v>361.5</v>
          </cell>
          <cell r="K310">
            <v>341</v>
          </cell>
          <cell r="L310">
            <v>416.45</v>
          </cell>
          <cell r="M310">
            <v>435.27509999999995</v>
          </cell>
          <cell r="N310">
            <v>267.92</v>
          </cell>
          <cell r="O310">
            <v>272.44517999999999</v>
          </cell>
          <cell r="P310">
            <v>190.36</v>
          </cell>
          <cell r="Q310">
            <v>302.64999999999998</v>
          </cell>
          <cell r="R310">
            <v>609.65</v>
          </cell>
          <cell r="S310">
            <v>947.65</v>
          </cell>
          <cell r="T310">
            <v>1282.6500000000001</v>
          </cell>
          <cell r="U310">
            <v>1621.46</v>
          </cell>
          <cell r="V310">
            <v>1982.96</v>
          </cell>
          <cell r="W310">
            <v>2323.96</v>
          </cell>
          <cell r="X310">
            <v>2740.41</v>
          </cell>
          <cell r="Y310">
            <v>3175.6850999999997</v>
          </cell>
          <cell r="Z310">
            <v>3443.6050999999998</v>
          </cell>
          <cell r="AA310">
            <v>3716.0502799999999</v>
          </cell>
          <cell r="AB310">
            <v>3906.4102800000001</v>
          </cell>
        </row>
        <row r="311">
          <cell r="D311" t="str">
            <v>COGS for free Qty</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row>
        <row r="312">
          <cell r="S312">
            <v>0.61458691380283148</v>
          </cell>
        </row>
        <row r="313">
          <cell r="D313" t="str">
            <v>Contribution</v>
          </cell>
          <cell r="E313">
            <v>189.28000000000003</v>
          </cell>
          <cell r="F313">
            <v>193</v>
          </cell>
          <cell r="G313">
            <v>212</v>
          </cell>
          <cell r="H313">
            <v>211</v>
          </cell>
          <cell r="I313">
            <v>216.38000000000005</v>
          </cell>
          <cell r="J313">
            <v>229</v>
          </cell>
          <cell r="K313">
            <v>235</v>
          </cell>
          <cell r="L313">
            <v>238.55</v>
          </cell>
          <cell r="M313">
            <v>308.78489999999999</v>
          </cell>
          <cell r="N313">
            <v>222.58299999999997</v>
          </cell>
          <cell r="O313">
            <v>235.44481999999999</v>
          </cell>
          <cell r="P313">
            <v>320.12</v>
          </cell>
          <cell r="Q313">
            <v>189.28000000000003</v>
          </cell>
          <cell r="R313">
            <v>382.28000000000003</v>
          </cell>
          <cell r="S313">
            <v>594.28</v>
          </cell>
          <cell r="T313">
            <v>805.28</v>
          </cell>
          <cell r="U313">
            <v>1021.6600000000001</v>
          </cell>
          <cell r="V313">
            <v>1250.6600000000001</v>
          </cell>
          <cell r="W313">
            <v>1485.66</v>
          </cell>
          <cell r="X313">
            <v>1724.21</v>
          </cell>
          <cell r="Y313">
            <v>2032.9949000000001</v>
          </cell>
          <cell r="Z313">
            <v>2255.5779000000002</v>
          </cell>
          <cell r="AA313">
            <v>2491.0227200000004</v>
          </cell>
          <cell r="AB313">
            <v>2811.1427200000003</v>
          </cell>
        </row>
        <row r="314">
          <cell r="E314">
            <v>0.38477019088081643</v>
          </cell>
          <cell r="F314">
            <v>0.38600000000000001</v>
          </cell>
          <cell r="G314">
            <v>0.38545454545454544</v>
          </cell>
          <cell r="H314">
            <v>0.38644688644688646</v>
          </cell>
          <cell r="I314">
            <v>0.38974044921558393</v>
          </cell>
          <cell r="J314">
            <v>0.38780694326841658</v>
          </cell>
          <cell r="K314">
            <v>0.4079861111111111</v>
          </cell>
          <cell r="L314">
            <v>0.36419847328244276</v>
          </cell>
          <cell r="M314">
            <v>0.41500000000000004</v>
          </cell>
          <cell r="N314">
            <v>0.45378519601307227</v>
          </cell>
          <cell r="O314">
            <v>0.46357443540924215</v>
          </cell>
          <cell r="P314">
            <v>0.62709606644726534</v>
          </cell>
          <cell r="Q314">
            <v>0.38477019088081643</v>
          </cell>
          <cell r="R314">
            <v>0.38539009809159919</v>
          </cell>
          <cell r="S314">
            <v>0.38541308619716846</v>
          </cell>
          <cell r="T314">
            <v>0.3856834280842748</v>
          </cell>
          <cell r="U314">
            <v>0.38653560943127818</v>
          </cell>
          <cell r="V314">
            <v>0.38676777110482985</v>
          </cell>
          <cell r="W314">
            <v>0.38997590310844649</v>
          </cell>
          <cell r="X314">
            <v>0.38619412178416074</v>
          </cell>
          <cell r="Y314">
            <v>0.39030904183017578</v>
          </cell>
          <cell r="Z314">
            <v>0.3957721483939014</v>
          </cell>
          <cell r="AA314">
            <v>0.40132002958560342</v>
          </cell>
          <cell r="AB314">
            <v>0.41847719251340487</v>
          </cell>
        </row>
        <row r="315">
          <cell r="D315" t="str">
            <v>Overheads</v>
          </cell>
        </row>
        <row r="316">
          <cell r="D316" t="str">
            <v>Personnel Costs</v>
          </cell>
          <cell r="E316">
            <v>17</v>
          </cell>
          <cell r="F316">
            <v>19.170000000000002</v>
          </cell>
          <cell r="G316">
            <v>19.170000000000002</v>
          </cell>
          <cell r="H316">
            <v>19.170000000000002</v>
          </cell>
          <cell r="I316">
            <v>19.170000000000002</v>
          </cell>
          <cell r="J316">
            <v>19.170000000000002</v>
          </cell>
          <cell r="K316">
            <v>19.170000000000002</v>
          </cell>
          <cell r="L316">
            <v>19.170000000000002</v>
          </cell>
          <cell r="M316">
            <v>19.170000000000002</v>
          </cell>
          <cell r="N316">
            <v>19.13</v>
          </cell>
          <cell r="O316">
            <v>19.309999999999999</v>
          </cell>
          <cell r="P316">
            <v>7.4</v>
          </cell>
          <cell r="Q316">
            <v>17</v>
          </cell>
          <cell r="R316">
            <v>36.17</v>
          </cell>
          <cell r="S316">
            <v>55.34</v>
          </cell>
          <cell r="T316">
            <v>74.510000000000005</v>
          </cell>
          <cell r="U316">
            <v>93.68</v>
          </cell>
          <cell r="V316">
            <v>112.85000000000001</v>
          </cell>
          <cell r="W316">
            <v>132.02000000000001</v>
          </cell>
          <cell r="X316">
            <v>151.19</v>
          </cell>
          <cell r="Y316">
            <v>170.36</v>
          </cell>
          <cell r="Z316">
            <v>189.49</v>
          </cell>
          <cell r="AA316">
            <v>208.8</v>
          </cell>
          <cell r="AB316">
            <v>216.20000000000002</v>
          </cell>
        </row>
        <row r="317">
          <cell r="D317" t="str">
            <v>Administration Exp</v>
          </cell>
          <cell r="E317">
            <v>1.08</v>
          </cell>
          <cell r="F317">
            <v>0.9</v>
          </cell>
          <cell r="G317">
            <v>1.1000000000000001</v>
          </cell>
          <cell r="H317">
            <v>1.05</v>
          </cell>
          <cell r="I317">
            <v>0.83</v>
          </cell>
          <cell r="J317">
            <v>0.81</v>
          </cell>
          <cell r="K317">
            <v>0.81</v>
          </cell>
          <cell r="L317">
            <v>1.63</v>
          </cell>
          <cell r="M317">
            <v>14.53</v>
          </cell>
          <cell r="N317">
            <v>-4.2495599999999998</v>
          </cell>
          <cell r="O317">
            <v>3.22</v>
          </cell>
          <cell r="P317">
            <v>-10.62</v>
          </cell>
          <cell r="Q317">
            <v>1.08</v>
          </cell>
          <cell r="R317">
            <v>1.98</v>
          </cell>
          <cell r="S317">
            <v>3.08</v>
          </cell>
          <cell r="T317">
            <v>4.13</v>
          </cell>
          <cell r="U317">
            <v>4.96</v>
          </cell>
          <cell r="V317">
            <v>5.77</v>
          </cell>
          <cell r="W317">
            <v>6.58</v>
          </cell>
          <cell r="X317">
            <v>8.2100000000000009</v>
          </cell>
          <cell r="Y317">
            <v>22.740000000000002</v>
          </cell>
          <cell r="Z317">
            <v>18.490440000000003</v>
          </cell>
          <cell r="AA317">
            <v>21.710440000000002</v>
          </cell>
          <cell r="AB317">
            <v>11.090440000000003</v>
          </cell>
        </row>
        <row r="318">
          <cell r="D318" t="str">
            <v>Production Exp</v>
          </cell>
          <cell r="E318">
            <v>8.67</v>
          </cell>
          <cell r="F318">
            <v>10</v>
          </cell>
          <cell r="G318">
            <v>14.5</v>
          </cell>
          <cell r="H318">
            <v>17.399999999999999</v>
          </cell>
          <cell r="I318">
            <v>18.28</v>
          </cell>
          <cell r="J318">
            <v>15.9</v>
          </cell>
          <cell r="K318">
            <v>18.03</v>
          </cell>
          <cell r="L318">
            <v>18.41</v>
          </cell>
          <cell r="M318">
            <v>18.2</v>
          </cell>
          <cell r="N318">
            <v>12.335000000000001</v>
          </cell>
          <cell r="O318">
            <v>14.92</v>
          </cell>
          <cell r="P318">
            <v>97.09</v>
          </cell>
          <cell r="Q318">
            <v>8.67</v>
          </cell>
          <cell r="R318">
            <v>18.670000000000002</v>
          </cell>
          <cell r="S318">
            <v>33.17</v>
          </cell>
          <cell r="T318">
            <v>50.57</v>
          </cell>
          <cell r="U318">
            <v>68.849999999999994</v>
          </cell>
          <cell r="V318">
            <v>84.75</v>
          </cell>
          <cell r="W318">
            <v>102.78</v>
          </cell>
          <cell r="X318">
            <v>121.19</v>
          </cell>
          <cell r="Y318">
            <v>139.38999999999999</v>
          </cell>
          <cell r="Z318">
            <v>151.72499999999999</v>
          </cell>
          <cell r="AA318">
            <v>166.64499999999998</v>
          </cell>
          <cell r="AB318">
            <v>263.73500000000001</v>
          </cell>
        </row>
        <row r="319">
          <cell r="D319" t="str">
            <v>Marketing Exp</v>
          </cell>
          <cell r="E319">
            <v>150.16</v>
          </cell>
          <cell r="F319">
            <v>96.65</v>
          </cell>
          <cell r="G319">
            <v>62.87</v>
          </cell>
          <cell r="H319">
            <v>62.24</v>
          </cell>
          <cell r="I319">
            <v>55</v>
          </cell>
          <cell r="J319">
            <v>53.38</v>
          </cell>
          <cell r="K319">
            <v>108.84</v>
          </cell>
          <cell r="L319">
            <v>182.23</v>
          </cell>
          <cell r="M319">
            <v>229.5</v>
          </cell>
          <cell r="N319">
            <v>60.87</v>
          </cell>
          <cell r="O319">
            <v>54.24</v>
          </cell>
          <cell r="P319">
            <v>135.07</v>
          </cell>
          <cell r="Q319">
            <v>150.16</v>
          </cell>
          <cell r="R319">
            <v>246.81</v>
          </cell>
          <cell r="S319">
            <v>309.68</v>
          </cell>
          <cell r="T319">
            <v>371.92</v>
          </cell>
          <cell r="U319">
            <v>426.92</v>
          </cell>
          <cell r="V319">
            <v>480.3</v>
          </cell>
          <cell r="W319">
            <v>589.14</v>
          </cell>
          <cell r="X319">
            <v>771.37</v>
          </cell>
          <cell r="Y319">
            <v>1000.87</v>
          </cell>
          <cell r="Z319">
            <v>1061.74</v>
          </cell>
          <cell r="AA319">
            <v>1115.98</v>
          </cell>
          <cell r="AB319">
            <v>1251.05</v>
          </cell>
        </row>
        <row r="320">
          <cell r="D320" t="str">
            <v>Sales &amp; Distribution Exp</v>
          </cell>
          <cell r="E320">
            <v>37.28</v>
          </cell>
          <cell r="F320">
            <v>39.08</v>
          </cell>
          <cell r="G320">
            <v>44.02</v>
          </cell>
          <cell r="H320">
            <v>43.6</v>
          </cell>
          <cell r="I320">
            <v>46.44</v>
          </cell>
          <cell r="J320">
            <v>45.09</v>
          </cell>
          <cell r="K320">
            <v>47.48</v>
          </cell>
          <cell r="L320">
            <v>50.77</v>
          </cell>
          <cell r="M320">
            <v>54.72</v>
          </cell>
          <cell r="N320">
            <v>41.333750000000002</v>
          </cell>
          <cell r="O320">
            <v>37.023899999999998</v>
          </cell>
          <cell r="P320">
            <v>-75.69</v>
          </cell>
          <cell r="Q320">
            <v>37.28</v>
          </cell>
          <cell r="R320">
            <v>76.36</v>
          </cell>
          <cell r="S320">
            <v>120.38</v>
          </cell>
          <cell r="T320">
            <v>163.98</v>
          </cell>
          <cell r="U320">
            <v>210.42</v>
          </cell>
          <cell r="V320">
            <v>255.51</v>
          </cell>
          <cell r="W320">
            <v>302.99</v>
          </cell>
          <cell r="X320">
            <v>353.76</v>
          </cell>
          <cell r="Y320">
            <v>408.48</v>
          </cell>
          <cell r="Z320">
            <v>449.81375000000003</v>
          </cell>
          <cell r="AA320">
            <v>486.83765000000005</v>
          </cell>
          <cell r="AB320">
            <v>411.14765000000006</v>
          </cell>
        </row>
        <row r="321">
          <cell r="D321" t="str">
            <v>Total controlable Expenses (1-5)</v>
          </cell>
          <cell r="E321">
            <v>214.19</v>
          </cell>
          <cell r="F321">
            <v>165.8</v>
          </cell>
          <cell r="G321">
            <v>141.66</v>
          </cell>
          <cell r="H321">
            <v>143.46</v>
          </cell>
          <cell r="I321">
            <v>139.72</v>
          </cell>
          <cell r="J321">
            <v>134.35000000000002</v>
          </cell>
          <cell r="K321">
            <v>194.33</v>
          </cell>
          <cell r="L321">
            <v>272.20999999999998</v>
          </cell>
          <cell r="M321">
            <v>336.12</v>
          </cell>
          <cell r="N321">
            <v>129.41919000000001</v>
          </cell>
          <cell r="O321">
            <v>128.7139</v>
          </cell>
          <cell r="P321">
            <v>153.25</v>
          </cell>
          <cell r="Q321">
            <v>214.19</v>
          </cell>
          <cell r="R321">
            <v>379.99</v>
          </cell>
          <cell r="S321">
            <v>521.65</v>
          </cell>
          <cell r="T321">
            <v>665.11</v>
          </cell>
          <cell r="U321">
            <v>804.83</v>
          </cell>
          <cell r="V321">
            <v>939.18000000000006</v>
          </cell>
          <cell r="W321">
            <v>1133.51</v>
          </cell>
          <cell r="X321">
            <v>1405.72</v>
          </cell>
          <cell r="Y321">
            <v>1741.8400000000001</v>
          </cell>
          <cell r="Z321">
            <v>1871.25919</v>
          </cell>
          <cell r="AA321">
            <v>1999.97309</v>
          </cell>
          <cell r="AB321">
            <v>2153.22309</v>
          </cell>
        </row>
        <row r="323">
          <cell r="D323" t="str">
            <v>OPERATING PROFIT (LOSS)</v>
          </cell>
          <cell r="E323">
            <v>-24.909999999999968</v>
          </cell>
          <cell r="F323">
            <v>27.199999999999989</v>
          </cell>
          <cell r="G323">
            <v>70.34</v>
          </cell>
          <cell r="H323">
            <v>67.539999999999992</v>
          </cell>
          <cell r="I323">
            <v>76.660000000000053</v>
          </cell>
          <cell r="J323">
            <v>94.649999999999977</v>
          </cell>
          <cell r="K323">
            <v>40.669999999999987</v>
          </cell>
          <cell r="L323">
            <v>-33.659999999999968</v>
          </cell>
          <cell r="M323">
            <v>-27.335100000000011</v>
          </cell>
          <cell r="N323">
            <v>93.163809999999955</v>
          </cell>
          <cell r="O323">
            <v>106.73092</v>
          </cell>
          <cell r="P323">
            <v>166.87</v>
          </cell>
          <cell r="Q323">
            <v>-24.909999999999968</v>
          </cell>
          <cell r="R323">
            <v>2.2900000000000205</v>
          </cell>
          <cell r="S323">
            <v>72.63</v>
          </cell>
          <cell r="T323">
            <v>140.16999999999996</v>
          </cell>
          <cell r="U323">
            <v>216.83000000000004</v>
          </cell>
          <cell r="V323">
            <v>311.48</v>
          </cell>
          <cell r="W323">
            <v>352.15000000000009</v>
          </cell>
          <cell r="X323">
            <v>318.49</v>
          </cell>
          <cell r="Y323">
            <v>291.1549</v>
          </cell>
          <cell r="Z323">
            <v>384.31871000000024</v>
          </cell>
          <cell r="AA323">
            <v>491.04963000000043</v>
          </cell>
          <cell r="AB323">
            <v>657.91963000000032</v>
          </cell>
        </row>
        <row r="325">
          <cell r="D325" t="str">
            <v>Interest &amp; Depreciation</v>
          </cell>
        </row>
        <row r="326">
          <cell r="D326" t="str">
            <v>Variable Interest</v>
          </cell>
          <cell r="E326">
            <v>2.08</v>
          </cell>
          <cell r="F326">
            <v>1.87</v>
          </cell>
          <cell r="G326">
            <v>1.99</v>
          </cell>
          <cell r="H326">
            <v>2.09</v>
          </cell>
          <cell r="I326">
            <v>2.08</v>
          </cell>
          <cell r="J326">
            <v>2.11</v>
          </cell>
          <cell r="K326">
            <v>2.29</v>
          </cell>
          <cell r="L326">
            <v>2.46</v>
          </cell>
          <cell r="M326">
            <v>3.11</v>
          </cell>
          <cell r="N326">
            <v>2.83</v>
          </cell>
          <cell r="O326">
            <v>2.2799999999999998</v>
          </cell>
          <cell r="P326">
            <v>-17.93</v>
          </cell>
          <cell r="Q326">
            <v>2.08</v>
          </cell>
          <cell r="R326">
            <v>3.95</v>
          </cell>
          <cell r="S326">
            <v>5.94</v>
          </cell>
          <cell r="T326">
            <v>8.0300000000000011</v>
          </cell>
          <cell r="U326">
            <v>10.110000000000001</v>
          </cell>
          <cell r="V326">
            <v>12.22</v>
          </cell>
          <cell r="W326">
            <v>14.510000000000002</v>
          </cell>
          <cell r="X326">
            <v>16.970000000000002</v>
          </cell>
          <cell r="Y326">
            <v>20.080000000000002</v>
          </cell>
          <cell r="Z326">
            <v>22.910000000000004</v>
          </cell>
          <cell r="AA326">
            <v>25.190000000000005</v>
          </cell>
          <cell r="AB326">
            <v>7.2600000000000051</v>
          </cell>
        </row>
        <row r="327">
          <cell r="D327" t="str">
            <v>Fixed Interest</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row>
        <row r="328">
          <cell r="D328" t="str">
            <v>CASH PROFIT</v>
          </cell>
          <cell r="E328">
            <v>-26.989999999999966</v>
          </cell>
          <cell r="F328">
            <v>25.329999999999988</v>
          </cell>
          <cell r="G328">
            <v>68.350000000000009</v>
          </cell>
          <cell r="H328">
            <v>65.449999999999989</v>
          </cell>
          <cell r="I328">
            <v>74.580000000000055</v>
          </cell>
          <cell r="J328">
            <v>92.539999999999978</v>
          </cell>
          <cell r="K328">
            <v>38.379999999999988</v>
          </cell>
          <cell r="L328">
            <v>-36.119999999999969</v>
          </cell>
          <cell r="M328">
            <v>-30.445100000000011</v>
          </cell>
          <cell r="N328">
            <v>90.333809999999957</v>
          </cell>
          <cell r="O328">
            <v>104.45092</v>
          </cell>
          <cell r="P328">
            <v>184.8</v>
          </cell>
          <cell r="Q328">
            <v>-26.989999999999966</v>
          </cell>
          <cell r="R328">
            <v>-1.6599999999999788</v>
          </cell>
          <cell r="S328">
            <v>66.690000000000026</v>
          </cell>
          <cell r="T328">
            <v>132.14000000000001</v>
          </cell>
          <cell r="U328">
            <v>206.72000000000008</v>
          </cell>
          <cell r="V328">
            <v>299.26000000000005</v>
          </cell>
          <cell r="W328">
            <v>337.64000000000004</v>
          </cell>
          <cell r="X328">
            <v>301.5200000000001</v>
          </cell>
          <cell r="Y328">
            <v>271.07490000000007</v>
          </cell>
          <cell r="Z328">
            <v>361.40871000000004</v>
          </cell>
          <cell r="AA328">
            <v>465.85963000000004</v>
          </cell>
          <cell r="AB328">
            <v>650.65963000000011</v>
          </cell>
        </row>
        <row r="329">
          <cell r="D329" t="str">
            <v>Depreciation</v>
          </cell>
          <cell r="E329">
            <v>3.58</v>
          </cell>
          <cell r="F329">
            <v>11.58</v>
          </cell>
          <cell r="G329">
            <v>7.58</v>
          </cell>
          <cell r="H329">
            <v>7.58</v>
          </cell>
          <cell r="I329">
            <v>7.58</v>
          </cell>
          <cell r="J329">
            <v>7.58</v>
          </cell>
          <cell r="K329">
            <v>7.58</v>
          </cell>
          <cell r="L329">
            <v>7.58</v>
          </cell>
          <cell r="M329">
            <v>7.59</v>
          </cell>
          <cell r="N329">
            <v>7.59</v>
          </cell>
          <cell r="O329">
            <v>7.59</v>
          </cell>
          <cell r="P329">
            <v>81.59</v>
          </cell>
          <cell r="Q329">
            <v>3.58</v>
          </cell>
          <cell r="R329">
            <v>15.16</v>
          </cell>
          <cell r="S329">
            <v>22.740000000000002</v>
          </cell>
          <cell r="T329">
            <v>30.32</v>
          </cell>
          <cell r="U329">
            <v>37.9</v>
          </cell>
          <cell r="V329">
            <v>45.48</v>
          </cell>
          <cell r="W329">
            <v>53.059999999999995</v>
          </cell>
          <cell r="X329">
            <v>60.639999999999993</v>
          </cell>
          <cell r="Y329">
            <v>68.22999999999999</v>
          </cell>
          <cell r="Z329">
            <v>75.819999999999993</v>
          </cell>
          <cell r="AA329">
            <v>83.41</v>
          </cell>
          <cell r="AB329">
            <v>165</v>
          </cell>
        </row>
        <row r="330">
          <cell r="D330" t="str">
            <v>Net Profit / - Loss</v>
          </cell>
          <cell r="E330">
            <v>-30.569999999999965</v>
          </cell>
          <cell r="F330">
            <v>13.749999999999988</v>
          </cell>
          <cell r="G330">
            <v>60.77000000000001</v>
          </cell>
          <cell r="H330">
            <v>57.86999999999999</v>
          </cell>
          <cell r="I330">
            <v>67.000000000000057</v>
          </cell>
          <cell r="J330">
            <v>84.95999999999998</v>
          </cell>
          <cell r="K330">
            <v>30.79999999999999</v>
          </cell>
          <cell r="L330">
            <v>-43.699999999999967</v>
          </cell>
          <cell r="M330">
            <v>-38.035100000000014</v>
          </cell>
          <cell r="N330">
            <v>82.743809999999954</v>
          </cell>
          <cell r="O330">
            <v>96.860919999999993</v>
          </cell>
          <cell r="P330">
            <v>103.21000000000001</v>
          </cell>
          <cell r="Q330">
            <v>-30.569999999999965</v>
          </cell>
          <cell r="R330">
            <v>-16.819999999999979</v>
          </cell>
          <cell r="S330">
            <v>43.950000000000024</v>
          </cell>
          <cell r="T330">
            <v>101.82000000000002</v>
          </cell>
          <cell r="U330">
            <v>168.82000000000008</v>
          </cell>
          <cell r="V330">
            <v>253.78000000000006</v>
          </cell>
          <cell r="W330">
            <v>284.58000000000004</v>
          </cell>
          <cell r="X330">
            <v>240.88000000000011</v>
          </cell>
          <cell r="Y330">
            <v>202.84490000000008</v>
          </cell>
          <cell r="Z330">
            <v>285.58871000000005</v>
          </cell>
          <cell r="AA330">
            <v>382.44963000000007</v>
          </cell>
          <cell r="AB330">
            <v>485.65963000000011</v>
          </cell>
        </row>
        <row r="331">
          <cell r="D331" t="str">
            <v>Other operating income</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t="str">
            <v>Net Profit / - Loss after Extra Ordianry Items</v>
          </cell>
          <cell r="E332">
            <v>-30.569999999999965</v>
          </cell>
          <cell r="F332">
            <v>13.749999999999988</v>
          </cell>
          <cell r="G332">
            <v>60.77000000000001</v>
          </cell>
          <cell r="H332">
            <v>57.86999999999999</v>
          </cell>
          <cell r="I332">
            <v>67.000000000000057</v>
          </cell>
          <cell r="J332">
            <v>84.95999999999998</v>
          </cell>
          <cell r="K332">
            <v>30.79999999999999</v>
          </cell>
          <cell r="L332">
            <v>-43.699999999999967</v>
          </cell>
          <cell r="M332">
            <v>-38.035100000000014</v>
          </cell>
          <cell r="N332">
            <v>82.743809999999954</v>
          </cell>
          <cell r="O332">
            <v>96.860919999999993</v>
          </cell>
          <cell r="P332">
            <v>103.21000000000001</v>
          </cell>
          <cell r="Q332">
            <v>-30.569999999999965</v>
          </cell>
          <cell r="R332">
            <v>-16.819999999999979</v>
          </cell>
          <cell r="S332">
            <v>43.950000000000024</v>
          </cell>
          <cell r="T332">
            <v>101.82000000000002</v>
          </cell>
          <cell r="U332">
            <v>168.82000000000008</v>
          </cell>
          <cell r="V332">
            <v>253.78000000000006</v>
          </cell>
          <cell r="W332">
            <v>284.58000000000004</v>
          </cell>
          <cell r="X332">
            <v>240.88000000000011</v>
          </cell>
          <cell r="Y332">
            <v>202.84490000000008</v>
          </cell>
          <cell r="Z332">
            <v>285.58871000000005</v>
          </cell>
          <cell r="AA332">
            <v>382.44963000000007</v>
          </cell>
          <cell r="AB332">
            <v>485.65963000000011</v>
          </cell>
        </row>
        <row r="333">
          <cell r="D333" t="str">
            <v>PSM saving</v>
          </cell>
          <cell r="E333">
            <v>2.2842493210002788</v>
          </cell>
          <cell r="F333">
            <v>23.142454222204318</v>
          </cell>
          <cell r="G333">
            <v>20.716470158282654</v>
          </cell>
          <cell r="H333">
            <v>18.087635230098861</v>
          </cell>
          <cell r="I333">
            <v>14.237258029592759</v>
          </cell>
          <cell r="J333">
            <v>-2.7044650042607405</v>
          </cell>
          <cell r="K333">
            <v>-4.32979</v>
          </cell>
          <cell r="L333">
            <v>-4.4002499999999998</v>
          </cell>
          <cell r="M333">
            <v>42.890199999999993</v>
          </cell>
          <cell r="N333">
            <v>49.232840000000003</v>
          </cell>
          <cell r="O333">
            <v>62.511052544148193</v>
          </cell>
          <cell r="P333">
            <v>62.35285687088966</v>
          </cell>
          <cell r="Q333">
            <v>2.2842493210002788</v>
          </cell>
          <cell r="R333">
            <v>25.426703543204596</v>
          </cell>
          <cell r="S333">
            <v>46.14317370148725</v>
          </cell>
          <cell r="T333">
            <v>64.230808931586111</v>
          </cell>
          <cell r="U333">
            <v>78.468066961178863</v>
          </cell>
          <cell r="V333">
            <v>75.763601956918123</v>
          </cell>
          <cell r="W333">
            <v>71.43381195691812</v>
          </cell>
          <cell r="X333">
            <v>67.03356195691812</v>
          </cell>
          <cell r="Y333">
            <v>109.92376195691811</v>
          </cell>
          <cell r="Z333">
            <v>159.15660195691811</v>
          </cell>
          <cell r="AA333">
            <v>221.66765450106629</v>
          </cell>
          <cell r="AB333">
            <v>284.02051137195593</v>
          </cell>
        </row>
        <row r="334">
          <cell r="D334" t="str">
            <v>Interest Income</v>
          </cell>
          <cell r="E334">
            <v>8.33</v>
          </cell>
          <cell r="F334">
            <v>8.33</v>
          </cell>
          <cell r="G334">
            <v>8.33</v>
          </cell>
          <cell r="H334">
            <v>8.33</v>
          </cell>
          <cell r="I334">
            <v>8.33</v>
          </cell>
          <cell r="J334">
            <v>8.33</v>
          </cell>
          <cell r="K334">
            <v>8.33</v>
          </cell>
          <cell r="L334">
            <v>8.33</v>
          </cell>
          <cell r="M334">
            <v>8.33</v>
          </cell>
          <cell r="N334">
            <v>8.33</v>
          </cell>
          <cell r="O334">
            <v>8.33</v>
          </cell>
          <cell r="P334">
            <v>8.33</v>
          </cell>
          <cell r="Q334">
            <v>8.33</v>
          </cell>
          <cell r="R334">
            <v>16.66</v>
          </cell>
          <cell r="S334">
            <v>24.990000000000002</v>
          </cell>
          <cell r="T334">
            <v>33.32</v>
          </cell>
          <cell r="U334">
            <v>41.65</v>
          </cell>
          <cell r="V334">
            <v>49.98</v>
          </cell>
          <cell r="W334">
            <v>58.309999999999995</v>
          </cell>
          <cell r="X334">
            <v>66.64</v>
          </cell>
          <cell r="Y334">
            <v>74.97</v>
          </cell>
          <cell r="Z334">
            <v>83.3</v>
          </cell>
          <cell r="AA334">
            <v>91.63</v>
          </cell>
          <cell r="AB334">
            <v>99.96</v>
          </cell>
        </row>
        <row r="335">
          <cell r="D335" t="str">
            <v>Net profit</v>
          </cell>
          <cell r="E335">
            <v>-19.955750678999685</v>
          </cell>
          <cell r="F335">
            <v>45.222454222204306</v>
          </cell>
          <cell r="G335">
            <v>89.816470158282655</v>
          </cell>
          <cell r="H335">
            <v>84.287635230098843</v>
          </cell>
          <cell r="I335">
            <v>89.567258029592821</v>
          </cell>
          <cell r="J335">
            <v>90.585534995739238</v>
          </cell>
          <cell r="K335">
            <v>34.800209999999993</v>
          </cell>
          <cell r="L335">
            <v>-39.770249999999969</v>
          </cell>
          <cell r="M335">
            <v>13.185099999999979</v>
          </cell>
          <cell r="N335">
            <v>140.30664999999996</v>
          </cell>
          <cell r="O335">
            <v>167.70197254414819</v>
          </cell>
          <cell r="P335">
            <v>173.89285687088969</v>
          </cell>
          <cell r="Q335">
            <v>-19.955750678999685</v>
          </cell>
          <cell r="R335">
            <v>25.266703543204617</v>
          </cell>
          <cell r="S335">
            <v>115.08317370148728</v>
          </cell>
          <cell r="T335">
            <v>199.37080893158611</v>
          </cell>
          <cell r="U335">
            <v>288.93806696117895</v>
          </cell>
          <cell r="V335">
            <v>379.52360195691818</v>
          </cell>
          <cell r="W335">
            <v>414.32381195691818</v>
          </cell>
          <cell r="X335">
            <v>374.5535619569182</v>
          </cell>
          <cell r="Y335">
            <v>387.73866195691824</v>
          </cell>
          <cell r="Z335">
            <v>528.04531195691811</v>
          </cell>
          <cell r="AA335">
            <v>695.74728450106636</v>
          </cell>
          <cell r="AB335">
            <v>869.64014137195613</v>
          </cell>
        </row>
        <row r="342">
          <cell r="E342">
            <v>39539</v>
          </cell>
          <cell r="F342">
            <v>39569</v>
          </cell>
          <cell r="G342">
            <v>39600</v>
          </cell>
          <cell r="H342">
            <v>39630</v>
          </cell>
          <cell r="I342">
            <v>39661</v>
          </cell>
          <cell r="J342">
            <v>39692</v>
          </cell>
          <cell r="K342">
            <v>39722</v>
          </cell>
          <cell r="L342">
            <v>39753</v>
          </cell>
          <cell r="M342">
            <v>39783</v>
          </cell>
          <cell r="N342">
            <v>39814</v>
          </cell>
          <cell r="O342">
            <v>39845</v>
          </cell>
          <cell r="P342">
            <v>39873</v>
          </cell>
          <cell r="Q342">
            <v>39539</v>
          </cell>
          <cell r="R342">
            <v>39569</v>
          </cell>
          <cell r="S342">
            <v>39600</v>
          </cell>
          <cell r="T342">
            <v>39630</v>
          </cell>
          <cell r="U342">
            <v>39661</v>
          </cell>
          <cell r="V342">
            <v>39692</v>
          </cell>
          <cell r="W342">
            <v>39722</v>
          </cell>
          <cell r="X342">
            <v>39753</v>
          </cell>
          <cell r="Y342">
            <v>39783</v>
          </cell>
          <cell r="Z342">
            <v>39814</v>
          </cell>
          <cell r="AA342">
            <v>39845</v>
          </cell>
          <cell r="AB342">
            <v>39873</v>
          </cell>
        </row>
        <row r="343">
          <cell r="D343" t="str">
            <v>Sales</v>
          </cell>
          <cell r="E343">
            <v>1238.97</v>
          </cell>
          <cell r="F343">
            <v>1308.03</v>
          </cell>
          <cell r="G343">
            <v>917.54</v>
          </cell>
          <cell r="H343">
            <v>942.3</v>
          </cell>
          <cell r="I343">
            <v>1039.48</v>
          </cell>
          <cell r="J343">
            <v>1021.3599999999999</v>
          </cell>
          <cell r="K343">
            <v>1068.3</v>
          </cell>
          <cell r="L343">
            <v>1223.3</v>
          </cell>
          <cell r="M343">
            <v>1060.1400000000001</v>
          </cell>
          <cell r="N343">
            <v>1119.44</v>
          </cell>
          <cell r="O343">
            <v>1207.48</v>
          </cell>
          <cell r="P343">
            <v>673.72</v>
          </cell>
          <cell r="Q343">
            <v>1238.97</v>
          </cell>
          <cell r="R343">
            <v>2547</v>
          </cell>
          <cell r="S343">
            <v>3464.54</v>
          </cell>
          <cell r="T343">
            <v>4406.84</v>
          </cell>
          <cell r="U343">
            <v>5446.32</v>
          </cell>
          <cell r="V343">
            <v>6467.6799999999994</v>
          </cell>
          <cell r="W343">
            <v>7535.98</v>
          </cell>
          <cell r="X343">
            <v>8759.2799999999988</v>
          </cell>
          <cell r="Y343">
            <v>9819.4199999999983</v>
          </cell>
          <cell r="Z343">
            <v>10938.859999999999</v>
          </cell>
          <cell r="AA343">
            <v>12146.339999999998</v>
          </cell>
          <cell r="AB343">
            <v>12820.059999999998</v>
          </cell>
        </row>
        <row r="344">
          <cell r="D344" t="str">
            <v>Traded sugar Free</v>
          </cell>
          <cell r="E344">
            <v>755.04</v>
          </cell>
          <cell r="F344">
            <v>751.62</v>
          </cell>
          <cell r="G344">
            <v>565.75</v>
          </cell>
          <cell r="H344">
            <v>596.21</v>
          </cell>
          <cell r="I344">
            <v>678.19</v>
          </cell>
          <cell r="J344">
            <v>692.06</v>
          </cell>
          <cell r="K344">
            <v>644.12</v>
          </cell>
          <cell r="L344">
            <v>696.77</v>
          </cell>
          <cell r="M344">
            <v>622.97</v>
          </cell>
          <cell r="N344">
            <v>750.89</v>
          </cell>
          <cell r="O344">
            <v>726.92</v>
          </cell>
          <cell r="P344">
            <v>358.5</v>
          </cell>
          <cell r="Q344">
            <v>755.04</v>
          </cell>
          <cell r="R344">
            <v>1506.6599999999999</v>
          </cell>
          <cell r="S344">
            <v>2072.41</v>
          </cell>
          <cell r="T344">
            <v>2668.62</v>
          </cell>
          <cell r="U344">
            <v>3346.81</v>
          </cell>
          <cell r="V344">
            <v>4038.87</v>
          </cell>
          <cell r="W344">
            <v>4682.99</v>
          </cell>
          <cell r="X344">
            <v>5379.76</v>
          </cell>
          <cell r="Y344">
            <v>6002.7300000000005</v>
          </cell>
          <cell r="Z344">
            <v>6753.6200000000008</v>
          </cell>
          <cell r="AA344">
            <v>7480.5400000000009</v>
          </cell>
          <cell r="AB344">
            <v>7839.0400000000009</v>
          </cell>
        </row>
        <row r="345">
          <cell r="D345" t="str">
            <v>Traded-cosmetics</v>
          </cell>
          <cell r="E345">
            <v>483.93</v>
          </cell>
          <cell r="F345">
            <v>556.41</v>
          </cell>
          <cell r="G345">
            <v>351.79</v>
          </cell>
          <cell r="H345">
            <v>346.09</v>
          </cell>
          <cell r="I345">
            <v>361.29</v>
          </cell>
          <cell r="J345">
            <v>329.3</v>
          </cell>
          <cell r="K345">
            <v>424.18</v>
          </cell>
          <cell r="L345">
            <v>526.53</v>
          </cell>
          <cell r="M345">
            <v>437.17</v>
          </cell>
          <cell r="N345">
            <v>368.55</v>
          </cell>
          <cell r="O345">
            <v>480.56</v>
          </cell>
          <cell r="P345">
            <v>315.22000000000003</v>
          </cell>
          <cell r="Q345">
            <v>483.93</v>
          </cell>
          <cell r="R345">
            <v>1040.3399999999999</v>
          </cell>
          <cell r="S345">
            <v>1392.1299999999999</v>
          </cell>
          <cell r="T345">
            <v>1738.2199999999998</v>
          </cell>
          <cell r="U345">
            <v>2099.5099999999998</v>
          </cell>
          <cell r="V345">
            <v>2428.81</v>
          </cell>
          <cell r="W345">
            <v>2852.99</v>
          </cell>
          <cell r="X345">
            <v>3379.5199999999995</v>
          </cell>
          <cell r="Y345">
            <v>3816.6899999999996</v>
          </cell>
          <cell r="Z345">
            <v>4185.24</v>
          </cell>
          <cell r="AA345">
            <v>4665.8</v>
          </cell>
          <cell r="AB345">
            <v>4981.0200000000004</v>
          </cell>
        </row>
        <row r="346">
          <cell r="D346" t="str">
            <v>New Products</v>
          </cell>
        </row>
        <row r="348">
          <cell r="D348" t="str">
            <v>Cost of Goods Sold</v>
          </cell>
          <cell r="E348">
            <v>352.16999999999996</v>
          </cell>
          <cell r="F348">
            <v>384.38</v>
          </cell>
          <cell r="G348">
            <v>277.64999999999998</v>
          </cell>
          <cell r="H348">
            <v>280.06</v>
          </cell>
          <cell r="I348">
            <v>301.61</v>
          </cell>
          <cell r="J348">
            <v>289.11</v>
          </cell>
          <cell r="K348">
            <v>303.59000000000003</v>
          </cell>
          <cell r="L348">
            <v>352.77</v>
          </cell>
          <cell r="M348">
            <v>293.28999999999996</v>
          </cell>
          <cell r="N348">
            <v>333.2</v>
          </cell>
          <cell r="O348">
            <v>353.21000000000004</v>
          </cell>
          <cell r="P348">
            <v>199.95</v>
          </cell>
          <cell r="Q348">
            <v>352.16999999999996</v>
          </cell>
          <cell r="R348">
            <v>736.55</v>
          </cell>
          <cell r="S348">
            <v>1014.1999999999999</v>
          </cell>
          <cell r="T348">
            <v>1294.26</v>
          </cell>
          <cell r="U348">
            <v>1595.87</v>
          </cell>
          <cell r="V348">
            <v>1884.98</v>
          </cell>
          <cell r="W348">
            <v>2188.5700000000002</v>
          </cell>
          <cell r="X348">
            <v>2541.34</v>
          </cell>
          <cell r="Y348">
            <v>2834.63</v>
          </cell>
          <cell r="Z348">
            <v>3167.83</v>
          </cell>
          <cell r="AA348">
            <v>3521.04</v>
          </cell>
          <cell r="AB348">
            <v>3720.99</v>
          </cell>
        </row>
        <row r="349">
          <cell r="D349" t="str">
            <v>COGS Traded sugar Free</v>
          </cell>
          <cell r="E349">
            <v>209.6</v>
          </cell>
          <cell r="F349">
            <v>209.14</v>
          </cell>
          <cell r="G349">
            <v>162.91999999999999</v>
          </cell>
          <cell r="H349">
            <v>163</v>
          </cell>
          <cell r="I349">
            <v>183</v>
          </cell>
          <cell r="J349">
            <v>186.86</v>
          </cell>
          <cell r="K349">
            <v>173.91</v>
          </cell>
          <cell r="L349">
            <v>191.89</v>
          </cell>
          <cell r="M349">
            <v>171.32</v>
          </cell>
          <cell r="N349">
            <v>225.65</v>
          </cell>
          <cell r="O349">
            <v>205.77</v>
          </cell>
          <cell r="P349">
            <v>102.42</v>
          </cell>
          <cell r="Q349">
            <v>209.6</v>
          </cell>
          <cell r="R349">
            <v>418.74</v>
          </cell>
          <cell r="S349">
            <v>581.66</v>
          </cell>
          <cell r="T349">
            <v>744.66</v>
          </cell>
          <cell r="U349">
            <v>927.66</v>
          </cell>
          <cell r="V349">
            <v>1114.52</v>
          </cell>
          <cell r="W349">
            <v>1288.43</v>
          </cell>
          <cell r="X349">
            <v>1480.3200000000002</v>
          </cell>
          <cell r="Y349">
            <v>1651.64</v>
          </cell>
          <cell r="Z349">
            <v>1877.2900000000002</v>
          </cell>
          <cell r="AA349">
            <v>2083.0600000000004</v>
          </cell>
          <cell r="AB349">
            <v>2185.4800000000005</v>
          </cell>
        </row>
        <row r="350">
          <cell r="D350" t="str">
            <v>COGS Traded-cosmetics</v>
          </cell>
          <cell r="E350">
            <v>142.57</v>
          </cell>
          <cell r="F350">
            <v>175.24</v>
          </cell>
          <cell r="G350">
            <v>114.73</v>
          </cell>
          <cell r="H350">
            <v>117.06</v>
          </cell>
          <cell r="I350">
            <v>118.61</v>
          </cell>
          <cell r="J350">
            <v>102.25</v>
          </cell>
          <cell r="K350">
            <v>129.68</v>
          </cell>
          <cell r="L350">
            <v>160.88</v>
          </cell>
          <cell r="M350">
            <v>121.97</v>
          </cell>
          <cell r="N350">
            <v>107.55</v>
          </cell>
          <cell r="O350">
            <v>147.44</v>
          </cell>
          <cell r="P350">
            <v>97.53</v>
          </cell>
          <cell r="Q350">
            <v>142.57</v>
          </cell>
          <cell r="R350">
            <v>317.81</v>
          </cell>
          <cell r="S350">
            <v>432.54</v>
          </cell>
          <cell r="T350">
            <v>549.6</v>
          </cell>
          <cell r="U350">
            <v>668.21</v>
          </cell>
          <cell r="V350">
            <v>770.46</v>
          </cell>
          <cell r="W350">
            <v>900.1400000000001</v>
          </cell>
          <cell r="X350">
            <v>1061.02</v>
          </cell>
          <cell r="Y350">
            <v>1182.99</v>
          </cell>
          <cell r="Z350">
            <v>1290.54</v>
          </cell>
          <cell r="AA350">
            <v>1437.98</v>
          </cell>
          <cell r="AB350">
            <v>1535.51</v>
          </cell>
        </row>
        <row r="351">
          <cell r="D351" t="str">
            <v>COGS New Products</v>
          </cell>
        </row>
        <row r="353">
          <cell r="D353" t="str">
            <v>Contribution</v>
          </cell>
          <cell r="E353">
            <v>886.80000000000007</v>
          </cell>
          <cell r="F353">
            <v>923.65</v>
          </cell>
          <cell r="G353">
            <v>639.89</v>
          </cell>
          <cell r="H353">
            <v>662.24</v>
          </cell>
          <cell r="I353">
            <v>737.87</v>
          </cell>
          <cell r="J353">
            <v>732.24999999999989</v>
          </cell>
          <cell r="K353">
            <v>764.70999999999992</v>
          </cell>
          <cell r="L353">
            <v>870.53</v>
          </cell>
          <cell r="M353">
            <v>766.85000000000014</v>
          </cell>
          <cell r="N353">
            <v>786.24</v>
          </cell>
          <cell r="O353">
            <v>854.27</v>
          </cell>
          <cell r="P353">
            <v>473.77000000000004</v>
          </cell>
          <cell r="Q353">
            <v>886.80000000000007</v>
          </cell>
          <cell r="R353">
            <v>1810.45</v>
          </cell>
          <cell r="S353">
            <v>2450.34</v>
          </cell>
          <cell r="T353">
            <v>3112.58</v>
          </cell>
          <cell r="U353">
            <v>3850.45</v>
          </cell>
          <cell r="V353">
            <v>4582.6999999999989</v>
          </cell>
          <cell r="W353">
            <v>5347.41</v>
          </cell>
          <cell r="X353">
            <v>6217.9399999999987</v>
          </cell>
          <cell r="Y353">
            <v>6984.7899999999981</v>
          </cell>
          <cell r="Z353">
            <v>7771.0299999999988</v>
          </cell>
          <cell r="AA353">
            <v>8625.2999999999993</v>
          </cell>
          <cell r="AB353">
            <v>9099.0699999999979</v>
          </cell>
        </row>
        <row r="354">
          <cell r="E354">
            <v>0.71575582943896954</v>
          </cell>
          <cell r="F354">
            <v>0.7061382384196081</v>
          </cell>
          <cell r="G354">
            <v>0.6973973886697038</v>
          </cell>
          <cell r="H354">
            <v>0.70279104319218932</v>
          </cell>
          <cell r="I354">
            <v>0.70984530726901907</v>
          </cell>
          <cell r="J354">
            <v>0.71693624187358029</v>
          </cell>
          <cell r="K354">
            <v>0.71581952635027613</v>
          </cell>
          <cell r="L354">
            <v>0.71162429493991664</v>
          </cell>
          <cell r="M354">
            <v>0.72334785971664128</v>
          </cell>
          <cell r="N354">
            <v>0.70235117558779392</v>
          </cell>
          <cell r="O354">
            <v>0.70748169741941891</v>
          </cell>
          <cell r="P354">
            <v>0.70321498545389782</v>
          </cell>
          <cell r="Q354">
            <v>0.71575582943896954</v>
          </cell>
          <cell r="R354">
            <v>0.71081664703572833</v>
          </cell>
          <cell r="S354">
            <v>0.70726272463299611</v>
          </cell>
          <cell r="T354">
            <v>0.7063065598024888</v>
          </cell>
          <cell r="U354">
            <v>0.70698196213222875</v>
          </cell>
          <cell r="V354">
            <v>0.70855391732429551</v>
          </cell>
          <cell r="W354">
            <v>0.70958388955384699</v>
          </cell>
          <cell r="X354">
            <v>0.70986884766784475</v>
          </cell>
          <cell r="Y354">
            <v>0.71132409042489264</v>
          </cell>
          <cell r="Z354">
            <v>0.71040583753700104</v>
          </cell>
          <cell r="AA354">
            <v>0.71011514579700552</v>
          </cell>
          <cell r="AB354">
            <v>0.70975252845930514</v>
          </cell>
        </row>
        <row r="355">
          <cell r="D355" t="str">
            <v>Overheads</v>
          </cell>
        </row>
        <row r="356">
          <cell r="D356" t="str">
            <v>Personnel Costs</v>
          </cell>
          <cell r="E356">
            <v>39.119999999999997</v>
          </cell>
          <cell r="F356">
            <v>39.119999999999997</v>
          </cell>
          <cell r="G356">
            <v>44.16</v>
          </cell>
          <cell r="H356">
            <v>39.119999999999997</v>
          </cell>
          <cell r="I356">
            <v>47.74</v>
          </cell>
          <cell r="J356">
            <v>45.88</v>
          </cell>
          <cell r="K356">
            <v>40.840000000000003</v>
          </cell>
          <cell r="L356">
            <v>40.840000000000003</v>
          </cell>
          <cell r="M356">
            <v>45.88</v>
          </cell>
          <cell r="N356">
            <v>40.840000000000003</v>
          </cell>
          <cell r="O356">
            <v>40.840000000000003</v>
          </cell>
          <cell r="P356">
            <v>26.21</v>
          </cell>
          <cell r="Q356">
            <v>39.119999999999997</v>
          </cell>
          <cell r="R356">
            <v>78.239999999999995</v>
          </cell>
          <cell r="S356">
            <v>122.39999999999999</v>
          </cell>
          <cell r="T356">
            <v>161.51999999999998</v>
          </cell>
          <cell r="U356">
            <v>209.26</v>
          </cell>
          <cell r="V356">
            <v>255.14</v>
          </cell>
          <cell r="W356">
            <v>295.98</v>
          </cell>
          <cell r="X356">
            <v>336.82000000000005</v>
          </cell>
          <cell r="Y356">
            <v>382.70000000000005</v>
          </cell>
          <cell r="Z356">
            <v>423.54000000000008</v>
          </cell>
          <cell r="AA356">
            <v>464.38000000000011</v>
          </cell>
          <cell r="AB356">
            <v>490.59000000000009</v>
          </cell>
        </row>
        <row r="357">
          <cell r="D357" t="str">
            <v>Administration Exp</v>
          </cell>
          <cell r="E357">
            <v>0.53</v>
          </cell>
          <cell r="F357">
            <v>0.53</v>
          </cell>
          <cell r="G357">
            <v>0.53</v>
          </cell>
          <cell r="H357">
            <v>0.53</v>
          </cell>
          <cell r="I357">
            <v>0.53</v>
          </cell>
          <cell r="J357">
            <v>0.52</v>
          </cell>
          <cell r="K357">
            <v>0.53</v>
          </cell>
          <cell r="L357">
            <v>0.53</v>
          </cell>
          <cell r="M357">
            <v>0.51</v>
          </cell>
          <cell r="N357">
            <v>0.53</v>
          </cell>
          <cell r="O357">
            <v>0.53</v>
          </cell>
          <cell r="P357">
            <v>-0.59</v>
          </cell>
          <cell r="Q357">
            <v>0.53</v>
          </cell>
          <cell r="R357">
            <v>1.06</v>
          </cell>
          <cell r="S357">
            <v>1.59</v>
          </cell>
          <cell r="T357">
            <v>2.12</v>
          </cell>
          <cell r="U357">
            <v>2.6500000000000004</v>
          </cell>
          <cell r="V357">
            <v>3.1700000000000004</v>
          </cell>
          <cell r="W357">
            <v>3.7</v>
          </cell>
          <cell r="X357">
            <v>4.2300000000000004</v>
          </cell>
          <cell r="Y357">
            <v>4.74</v>
          </cell>
          <cell r="Z357">
            <v>5.2700000000000005</v>
          </cell>
          <cell r="AA357">
            <v>5.8000000000000007</v>
          </cell>
          <cell r="AB357">
            <v>5.2100000000000009</v>
          </cell>
        </row>
        <row r="358">
          <cell r="D358" t="str">
            <v>Production Exp</v>
          </cell>
          <cell r="E358">
            <v>3.32</v>
          </cell>
          <cell r="F358">
            <v>3.27</v>
          </cell>
          <cell r="G358">
            <v>3.3</v>
          </cell>
          <cell r="H358">
            <v>3.32</v>
          </cell>
          <cell r="I358">
            <v>3.27</v>
          </cell>
          <cell r="J358">
            <v>3.28</v>
          </cell>
          <cell r="K358">
            <v>3.32</v>
          </cell>
          <cell r="L358">
            <v>3.27</v>
          </cell>
          <cell r="M358">
            <v>3.28</v>
          </cell>
          <cell r="N358">
            <v>3.31</v>
          </cell>
          <cell r="O358">
            <v>3.26</v>
          </cell>
          <cell r="P358">
            <v>-17.03</v>
          </cell>
          <cell r="Q358">
            <v>3.32</v>
          </cell>
          <cell r="R358">
            <v>6.59</v>
          </cell>
          <cell r="S358">
            <v>9.89</v>
          </cell>
          <cell r="T358">
            <v>13.21</v>
          </cell>
          <cell r="U358">
            <v>16.48</v>
          </cell>
          <cell r="V358">
            <v>19.760000000000002</v>
          </cell>
          <cell r="W358">
            <v>23.080000000000002</v>
          </cell>
          <cell r="X358">
            <v>26.35</v>
          </cell>
          <cell r="Y358">
            <v>29.630000000000003</v>
          </cell>
          <cell r="Z358">
            <v>32.940000000000005</v>
          </cell>
          <cell r="AA358">
            <v>36.200000000000003</v>
          </cell>
          <cell r="AB358">
            <v>19.170000000000002</v>
          </cell>
        </row>
        <row r="359">
          <cell r="D359" t="str">
            <v xml:space="preserve">Research &amp; Development </v>
          </cell>
          <cell r="E359">
            <v>2.27</v>
          </cell>
          <cell r="F359">
            <v>4.75</v>
          </cell>
          <cell r="G359">
            <v>3.36</v>
          </cell>
          <cell r="H359">
            <v>3.22</v>
          </cell>
          <cell r="I359">
            <v>3.4</v>
          </cell>
          <cell r="J359">
            <v>3.5</v>
          </cell>
          <cell r="K359">
            <v>3.34</v>
          </cell>
          <cell r="L359">
            <v>3.34</v>
          </cell>
          <cell r="M359">
            <v>3.36</v>
          </cell>
          <cell r="N359">
            <v>3.48</v>
          </cell>
          <cell r="O359">
            <v>3.48</v>
          </cell>
          <cell r="P359">
            <v>1.5</v>
          </cell>
          <cell r="Q359">
            <v>2.27</v>
          </cell>
          <cell r="R359">
            <v>7.02</v>
          </cell>
          <cell r="S359">
            <v>10.379999999999999</v>
          </cell>
          <cell r="T359">
            <v>13.6</v>
          </cell>
          <cell r="U359">
            <v>17</v>
          </cell>
          <cell r="V359">
            <v>20.5</v>
          </cell>
          <cell r="W359">
            <v>23.84</v>
          </cell>
          <cell r="X359">
            <v>27.18</v>
          </cell>
          <cell r="Y359">
            <v>30.54</v>
          </cell>
          <cell r="Z359">
            <v>34.019999999999996</v>
          </cell>
          <cell r="AA359">
            <v>37.499999999999993</v>
          </cell>
          <cell r="AB359">
            <v>38.999999999999993</v>
          </cell>
        </row>
        <row r="360">
          <cell r="D360" t="str">
            <v>Marketing Exp</v>
          </cell>
          <cell r="E360">
            <v>669.42</v>
          </cell>
          <cell r="F360">
            <v>715.17</v>
          </cell>
          <cell r="G360">
            <v>485.32</v>
          </cell>
          <cell r="H360">
            <v>494.49</v>
          </cell>
          <cell r="I360">
            <v>352.6</v>
          </cell>
          <cell r="J360">
            <v>310.27</v>
          </cell>
          <cell r="K360">
            <v>450.08299999999997</v>
          </cell>
          <cell r="L360">
            <v>434.38</v>
          </cell>
          <cell r="M360">
            <v>278.91000000000003</v>
          </cell>
          <cell r="N360">
            <v>279.14999999999998</v>
          </cell>
          <cell r="O360">
            <v>329.67</v>
          </cell>
          <cell r="P360">
            <v>-232.78</v>
          </cell>
          <cell r="Q360">
            <v>669.42</v>
          </cell>
          <cell r="R360">
            <v>1384.59</v>
          </cell>
          <cell r="S360">
            <v>1869.9099999999999</v>
          </cell>
          <cell r="T360">
            <v>2364.3999999999996</v>
          </cell>
          <cell r="U360">
            <v>2716.9999999999995</v>
          </cell>
          <cell r="V360">
            <v>3027.2699999999995</v>
          </cell>
          <cell r="W360">
            <v>3477.3529999999996</v>
          </cell>
          <cell r="X360">
            <v>3911.7329999999997</v>
          </cell>
          <cell r="Y360">
            <v>4190.643</v>
          </cell>
          <cell r="Z360">
            <v>4469.7929999999997</v>
          </cell>
          <cell r="AA360">
            <v>4799.4629999999997</v>
          </cell>
          <cell r="AB360">
            <v>4566.683</v>
          </cell>
        </row>
        <row r="361">
          <cell r="D361" t="str">
            <v>Sales &amp; Distribution Exp</v>
          </cell>
          <cell r="E361">
            <v>53.24</v>
          </cell>
          <cell r="F361">
            <v>56.17</v>
          </cell>
          <cell r="G361">
            <v>42.27</v>
          </cell>
          <cell r="H361">
            <v>40.700000000000003</v>
          </cell>
          <cell r="I361">
            <v>44.8</v>
          </cell>
          <cell r="J361">
            <v>44.1</v>
          </cell>
          <cell r="K361">
            <v>46.01</v>
          </cell>
          <cell r="L361">
            <v>52.56</v>
          </cell>
          <cell r="M361">
            <v>46.01</v>
          </cell>
          <cell r="N361">
            <v>48.2</v>
          </cell>
          <cell r="O361">
            <v>69.88</v>
          </cell>
          <cell r="P361">
            <v>28.89</v>
          </cell>
          <cell r="Q361">
            <v>53.24</v>
          </cell>
          <cell r="R361">
            <v>109.41</v>
          </cell>
          <cell r="S361">
            <v>151.68</v>
          </cell>
          <cell r="T361">
            <v>192.38</v>
          </cell>
          <cell r="U361">
            <v>237.18</v>
          </cell>
          <cell r="V361">
            <v>281.28000000000003</v>
          </cell>
          <cell r="W361">
            <v>327.29000000000002</v>
          </cell>
          <cell r="X361">
            <v>379.85</v>
          </cell>
          <cell r="Y361">
            <v>425.86</v>
          </cell>
          <cell r="Z361">
            <v>474.06</v>
          </cell>
          <cell r="AA361">
            <v>543.94000000000005</v>
          </cell>
          <cell r="AB361">
            <v>572.83000000000004</v>
          </cell>
        </row>
        <row r="363">
          <cell r="D363" t="str">
            <v>Total Overheads (a+b)</v>
          </cell>
          <cell r="E363">
            <v>767.9</v>
          </cell>
          <cell r="F363">
            <v>819.00999999999988</v>
          </cell>
          <cell r="G363">
            <v>578.93999999999994</v>
          </cell>
          <cell r="H363">
            <v>581.38000000000011</v>
          </cell>
          <cell r="I363">
            <v>452.34000000000003</v>
          </cell>
          <cell r="J363">
            <v>407.55</v>
          </cell>
          <cell r="K363">
            <v>544.12299999999993</v>
          </cell>
          <cell r="L363">
            <v>534.92000000000007</v>
          </cell>
          <cell r="M363">
            <v>377.95000000000005</v>
          </cell>
          <cell r="N363">
            <v>375.51</v>
          </cell>
          <cell r="O363">
            <v>447.66</v>
          </cell>
          <cell r="P363">
            <v>-193.8</v>
          </cell>
          <cell r="Q363">
            <v>767.9</v>
          </cell>
          <cell r="R363">
            <v>1586.9099999999999</v>
          </cell>
          <cell r="S363">
            <v>2165.85</v>
          </cell>
          <cell r="T363">
            <v>2747.23</v>
          </cell>
          <cell r="U363">
            <v>3199.57</v>
          </cell>
          <cell r="V363">
            <v>3607.1200000000003</v>
          </cell>
          <cell r="W363">
            <v>4151.2430000000004</v>
          </cell>
          <cell r="X363">
            <v>4686.1630000000005</v>
          </cell>
          <cell r="Y363">
            <v>5064.1130000000003</v>
          </cell>
          <cell r="Z363">
            <v>5439.6230000000005</v>
          </cell>
          <cell r="AA363">
            <v>5887.2830000000004</v>
          </cell>
          <cell r="AB363">
            <v>5693.4830000000002</v>
          </cell>
        </row>
        <row r="364">
          <cell r="D364" t="str">
            <v>OPERATING PROFIT (LOSS)</v>
          </cell>
          <cell r="E364">
            <v>118.90000000000009</v>
          </cell>
          <cell r="F364">
            <v>104.6400000000001</v>
          </cell>
          <cell r="G364">
            <v>60.950000000000045</v>
          </cell>
          <cell r="H364">
            <v>80.8599999999999</v>
          </cell>
          <cell r="I364">
            <v>285.52999999999997</v>
          </cell>
          <cell r="J364">
            <v>324.69999999999987</v>
          </cell>
          <cell r="K364">
            <v>220.58699999999999</v>
          </cell>
          <cell r="L364">
            <v>335.6099999999999</v>
          </cell>
          <cell r="M364">
            <v>388.90000000000009</v>
          </cell>
          <cell r="N364">
            <v>410.73</v>
          </cell>
          <cell r="O364">
            <v>406.60999999999996</v>
          </cell>
          <cell r="P364">
            <v>667.57</v>
          </cell>
          <cell r="Q364">
            <v>118.90000000000009</v>
          </cell>
          <cell r="R364">
            <v>223.54000000000019</v>
          </cell>
          <cell r="S364">
            <v>284.49000000000024</v>
          </cell>
          <cell r="T364">
            <v>365.35000000000014</v>
          </cell>
          <cell r="U364">
            <v>650.88000000000011</v>
          </cell>
          <cell r="V364">
            <v>975.57999999999993</v>
          </cell>
          <cell r="W364">
            <v>1196.1669999999999</v>
          </cell>
          <cell r="X364">
            <v>1531.7769999999998</v>
          </cell>
          <cell r="Y364">
            <v>1920.6769999999999</v>
          </cell>
          <cell r="Z364">
            <v>2331.4070000000002</v>
          </cell>
          <cell r="AA364">
            <v>2738.0170000000003</v>
          </cell>
          <cell r="AB364">
            <v>3405.5870000000004</v>
          </cell>
        </row>
        <row r="366">
          <cell r="D366" t="str">
            <v>Interest &amp; Depreciation</v>
          </cell>
        </row>
        <row r="367">
          <cell r="D367" t="str">
            <v>Variable Interest</v>
          </cell>
          <cell r="E367">
            <v>1.36</v>
          </cell>
          <cell r="F367">
            <v>1.27</v>
          </cell>
          <cell r="G367">
            <v>0.89</v>
          </cell>
          <cell r="H367">
            <v>0.99</v>
          </cell>
          <cell r="I367">
            <v>1.18</v>
          </cell>
          <cell r="J367">
            <v>1.18</v>
          </cell>
          <cell r="K367">
            <v>1.27</v>
          </cell>
          <cell r="L367">
            <v>1.39</v>
          </cell>
          <cell r="M367">
            <v>1.1000000000000001</v>
          </cell>
          <cell r="N367">
            <v>0.93</v>
          </cell>
          <cell r="O367">
            <v>1.08</v>
          </cell>
          <cell r="P367">
            <v>0.97</v>
          </cell>
          <cell r="Q367">
            <v>1.36</v>
          </cell>
          <cell r="R367">
            <v>2.63</v>
          </cell>
          <cell r="S367">
            <v>3.52</v>
          </cell>
          <cell r="T367">
            <v>4.51</v>
          </cell>
          <cell r="U367">
            <v>5.6899999999999995</v>
          </cell>
          <cell r="V367">
            <v>6.8699999999999992</v>
          </cell>
          <cell r="W367">
            <v>8.1399999999999988</v>
          </cell>
          <cell r="X367">
            <v>9.5299999999999994</v>
          </cell>
          <cell r="Y367">
            <v>10.629999999999999</v>
          </cell>
          <cell r="Z367">
            <v>11.559999999999999</v>
          </cell>
          <cell r="AA367">
            <v>12.639999999999999</v>
          </cell>
          <cell r="AB367">
            <v>13.61</v>
          </cell>
        </row>
        <row r="368">
          <cell r="D368" t="str">
            <v>Fixed Interest</v>
          </cell>
          <cell r="E368">
            <v>0.08</v>
          </cell>
          <cell r="F368">
            <v>0.08</v>
          </cell>
          <cell r="G368">
            <v>0.08</v>
          </cell>
          <cell r="H368">
            <v>0.08</v>
          </cell>
          <cell r="I368">
            <v>0.08</v>
          </cell>
          <cell r="J368">
            <v>0.08</v>
          </cell>
          <cell r="K368">
            <v>0.08</v>
          </cell>
          <cell r="L368">
            <v>0.08</v>
          </cell>
          <cell r="M368">
            <v>0.08</v>
          </cell>
          <cell r="N368">
            <v>0.08</v>
          </cell>
          <cell r="O368">
            <v>0.08</v>
          </cell>
          <cell r="P368">
            <v>0.08</v>
          </cell>
          <cell r="Q368">
            <v>0.08</v>
          </cell>
          <cell r="R368">
            <v>0.16</v>
          </cell>
          <cell r="S368">
            <v>0.24</v>
          </cell>
          <cell r="T368">
            <v>0.32</v>
          </cell>
          <cell r="U368">
            <v>0.4</v>
          </cell>
          <cell r="V368">
            <v>0.48000000000000004</v>
          </cell>
          <cell r="W368">
            <v>0.56000000000000005</v>
          </cell>
          <cell r="X368">
            <v>0.64</v>
          </cell>
          <cell r="Y368">
            <v>0.72</v>
          </cell>
          <cell r="Z368">
            <v>0.79999999999999993</v>
          </cell>
          <cell r="AA368">
            <v>0.87999999999999989</v>
          </cell>
          <cell r="AB368">
            <v>0.95999999999999985</v>
          </cell>
        </row>
        <row r="369">
          <cell r="D369" t="str">
            <v>CASH PROFIT</v>
          </cell>
          <cell r="E369">
            <v>117.46000000000009</v>
          </cell>
          <cell r="F369">
            <v>103.29000000000011</v>
          </cell>
          <cell r="G369">
            <v>59.980000000000047</v>
          </cell>
          <cell r="H369">
            <v>79.789999999999907</v>
          </cell>
          <cell r="I369">
            <v>284.27</v>
          </cell>
          <cell r="J369">
            <v>323.43999999999988</v>
          </cell>
          <cell r="K369">
            <v>219.23699999999999</v>
          </cell>
          <cell r="L369">
            <v>334.13999999999987</v>
          </cell>
          <cell r="M369">
            <v>387.72000000000008</v>
          </cell>
          <cell r="N369">
            <v>409.72</v>
          </cell>
          <cell r="O369">
            <v>405.44999999999993</v>
          </cell>
          <cell r="P369">
            <v>666.5200000000001</v>
          </cell>
          <cell r="Q369">
            <v>117.46000000000009</v>
          </cell>
          <cell r="R369">
            <v>220.7500000000002</v>
          </cell>
          <cell r="S369">
            <v>280.73000000000025</v>
          </cell>
          <cell r="T369">
            <v>360.52000000000015</v>
          </cell>
          <cell r="U369">
            <v>644.79000000000008</v>
          </cell>
          <cell r="V369">
            <v>968.2299999999999</v>
          </cell>
          <cell r="W369">
            <v>1187.4669999999999</v>
          </cell>
          <cell r="X369">
            <v>1521.6069999999997</v>
          </cell>
          <cell r="Y369">
            <v>1909.327</v>
          </cell>
          <cell r="Z369">
            <v>2319.047</v>
          </cell>
          <cell r="AA369">
            <v>2724.4970000000003</v>
          </cell>
          <cell r="AB369">
            <v>3391.0170000000003</v>
          </cell>
        </row>
        <row r="370">
          <cell r="D370" t="str">
            <v>DEPRECIATION</v>
          </cell>
          <cell r="E370">
            <v>0.17</v>
          </cell>
          <cell r="F370">
            <v>0.16</v>
          </cell>
          <cell r="G370">
            <v>0.16</v>
          </cell>
          <cell r="H370">
            <v>0.51</v>
          </cell>
          <cell r="I370">
            <v>0.51</v>
          </cell>
          <cell r="J370">
            <v>0.84</v>
          </cell>
          <cell r="K370">
            <v>0.51</v>
          </cell>
          <cell r="L370">
            <v>0.51</v>
          </cell>
          <cell r="M370">
            <v>0.5</v>
          </cell>
          <cell r="N370">
            <v>0.51</v>
          </cell>
          <cell r="O370">
            <v>0.51</v>
          </cell>
          <cell r="P370">
            <v>0.53</v>
          </cell>
          <cell r="Q370">
            <v>0.17</v>
          </cell>
          <cell r="R370">
            <v>0.33</v>
          </cell>
          <cell r="S370">
            <v>0.49</v>
          </cell>
          <cell r="T370">
            <v>1</v>
          </cell>
          <cell r="U370">
            <v>1.51</v>
          </cell>
          <cell r="V370">
            <v>2.35</v>
          </cell>
          <cell r="W370">
            <v>2.8600000000000003</v>
          </cell>
          <cell r="X370">
            <v>3.37</v>
          </cell>
          <cell r="Y370">
            <v>3.87</v>
          </cell>
          <cell r="Z370">
            <v>4.38</v>
          </cell>
          <cell r="AA370">
            <v>4.8899999999999997</v>
          </cell>
          <cell r="AB370">
            <v>5.42</v>
          </cell>
        </row>
        <row r="371">
          <cell r="D371" t="str">
            <v>Net Profit / - Loss</v>
          </cell>
          <cell r="E371">
            <v>117.29000000000009</v>
          </cell>
          <cell r="F371">
            <v>103.13000000000011</v>
          </cell>
          <cell r="G371">
            <v>59.82000000000005</v>
          </cell>
          <cell r="H371">
            <v>79.279999999999902</v>
          </cell>
          <cell r="I371">
            <v>283.76</v>
          </cell>
          <cell r="J371">
            <v>322.59999999999991</v>
          </cell>
          <cell r="K371">
            <v>218.727</v>
          </cell>
          <cell r="L371">
            <v>333.62999999999988</v>
          </cell>
          <cell r="M371">
            <v>387.22000000000008</v>
          </cell>
          <cell r="N371">
            <v>409.21000000000004</v>
          </cell>
          <cell r="O371">
            <v>404.93999999999994</v>
          </cell>
          <cell r="P371">
            <v>665.99000000000012</v>
          </cell>
          <cell r="Q371">
            <v>117.29000000000009</v>
          </cell>
          <cell r="R371">
            <v>220.42000000000019</v>
          </cell>
          <cell r="S371">
            <v>280.24000000000024</v>
          </cell>
          <cell r="T371">
            <v>359.52000000000015</v>
          </cell>
          <cell r="U371">
            <v>643.28000000000009</v>
          </cell>
          <cell r="V371">
            <v>965.87999999999988</v>
          </cell>
          <cell r="W371">
            <v>1184.607</v>
          </cell>
          <cell r="X371">
            <v>1518.2369999999999</v>
          </cell>
          <cell r="Y371">
            <v>1905.4570000000001</v>
          </cell>
          <cell r="Z371">
            <v>2314.6669999999999</v>
          </cell>
          <cell r="AA371">
            <v>2719.6070000000004</v>
          </cell>
          <cell r="AB371">
            <v>3385.5970000000002</v>
          </cell>
        </row>
        <row r="372">
          <cell r="D372" t="str">
            <v>Other operating income</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row>
        <row r="373">
          <cell r="D373" t="str">
            <v>Net Profit / - Loss after Extra Ordianry Items</v>
          </cell>
          <cell r="E373">
            <v>117.29000000000009</v>
          </cell>
          <cell r="F373">
            <v>103.13000000000011</v>
          </cell>
          <cell r="G373">
            <v>59.82000000000005</v>
          </cell>
          <cell r="H373">
            <v>79.279999999999902</v>
          </cell>
          <cell r="I373">
            <v>283.76</v>
          </cell>
          <cell r="J373">
            <v>322.59999999999991</v>
          </cell>
          <cell r="K373">
            <v>218.727</v>
          </cell>
          <cell r="L373">
            <v>333.62999999999988</v>
          </cell>
          <cell r="M373">
            <v>387.22000000000008</v>
          </cell>
          <cell r="N373">
            <v>409.21000000000004</v>
          </cell>
          <cell r="O373">
            <v>404.93999999999994</v>
          </cell>
          <cell r="P373">
            <v>665.99000000000012</v>
          </cell>
          <cell r="Q373">
            <v>117.29000000000009</v>
          </cell>
          <cell r="R373">
            <v>220.42000000000019</v>
          </cell>
          <cell r="S373">
            <v>280.24000000000024</v>
          </cell>
          <cell r="T373">
            <v>359.52000000000015</v>
          </cell>
          <cell r="U373">
            <v>643.28000000000009</v>
          </cell>
          <cell r="V373">
            <v>965.87999999999988</v>
          </cell>
          <cell r="W373">
            <v>1184.607</v>
          </cell>
          <cell r="X373">
            <v>1518.2369999999999</v>
          </cell>
          <cell r="Y373">
            <v>1905.4570000000001</v>
          </cell>
          <cell r="Z373">
            <v>2314.6669999999999</v>
          </cell>
          <cell r="AA373">
            <v>2719.6070000000004</v>
          </cell>
          <cell r="AB373">
            <v>3385.5970000000002</v>
          </cell>
        </row>
        <row r="374">
          <cell r="D374" t="str">
            <v>PSM saving</v>
          </cell>
          <cell r="Q374">
            <v>0</v>
          </cell>
          <cell r="R374">
            <v>0</v>
          </cell>
          <cell r="S374">
            <v>0</v>
          </cell>
          <cell r="T374">
            <v>0</v>
          </cell>
          <cell r="U374">
            <v>0</v>
          </cell>
          <cell r="V374">
            <v>0</v>
          </cell>
          <cell r="W374">
            <v>0</v>
          </cell>
          <cell r="X374">
            <v>0</v>
          </cell>
          <cell r="Y374">
            <v>0</v>
          </cell>
          <cell r="Z374">
            <v>0</v>
          </cell>
          <cell r="AA374">
            <v>0</v>
          </cell>
          <cell r="AB374">
            <v>0</v>
          </cell>
        </row>
        <row r="375">
          <cell r="D375" t="str">
            <v>Interest Income</v>
          </cell>
          <cell r="Q375">
            <v>0</v>
          </cell>
          <cell r="R375">
            <v>0</v>
          </cell>
          <cell r="S375">
            <v>0</v>
          </cell>
          <cell r="T375">
            <v>0</v>
          </cell>
          <cell r="U375">
            <v>0</v>
          </cell>
          <cell r="V375">
            <v>0</v>
          </cell>
          <cell r="W375">
            <v>0</v>
          </cell>
          <cell r="X375">
            <v>0</v>
          </cell>
          <cell r="Y375">
            <v>0</v>
          </cell>
          <cell r="Z375">
            <v>0</v>
          </cell>
          <cell r="AA375">
            <v>0</v>
          </cell>
          <cell r="AB375">
            <v>0</v>
          </cell>
        </row>
        <row r="376">
          <cell r="D376" t="str">
            <v>PBT After Acquisition Interest</v>
          </cell>
          <cell r="E376">
            <v>117.29000000000009</v>
          </cell>
          <cell r="F376">
            <v>103.13000000000011</v>
          </cell>
          <cell r="G376">
            <v>59.82000000000005</v>
          </cell>
          <cell r="H376">
            <v>79.279999999999902</v>
          </cell>
          <cell r="I376">
            <v>283.76</v>
          </cell>
          <cell r="J376">
            <v>322.59999999999991</v>
          </cell>
          <cell r="K376">
            <v>218.727</v>
          </cell>
          <cell r="L376">
            <v>333.62999999999988</v>
          </cell>
          <cell r="M376">
            <v>387.22000000000008</v>
          </cell>
          <cell r="N376">
            <v>409.21000000000004</v>
          </cell>
          <cell r="O376">
            <v>404.93999999999994</v>
          </cell>
          <cell r="P376">
            <v>665.99000000000012</v>
          </cell>
          <cell r="Q376">
            <v>117.29000000000009</v>
          </cell>
          <cell r="R376">
            <v>220.42000000000019</v>
          </cell>
          <cell r="S376">
            <v>280.24000000000024</v>
          </cell>
          <cell r="T376">
            <v>359.52000000000015</v>
          </cell>
          <cell r="U376">
            <v>643.28000000000009</v>
          </cell>
          <cell r="V376">
            <v>965.87999999999988</v>
          </cell>
          <cell r="W376">
            <v>1184.607</v>
          </cell>
          <cell r="X376">
            <v>1518.2369999999999</v>
          </cell>
          <cell r="Y376">
            <v>1905.4570000000001</v>
          </cell>
          <cell r="Z376">
            <v>2314.6669999999999</v>
          </cell>
          <cell r="AA376">
            <v>2719.6070000000004</v>
          </cell>
          <cell r="AB376">
            <v>3385.5970000000002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BS"/>
      <sheetName val="PL"/>
      <sheetName val="BS-SCH"/>
      <sheetName val="CO-DEPN"/>
      <sheetName val="PL-SCH"/>
      <sheetName val="BS-GRP"/>
      <sheetName val="PL-GRP"/>
      <sheetName val="ABST"/>
      <sheetName val="COMP"/>
      <sheetName val="115JB"/>
      <sheetName val="115JB CERT"/>
      <sheetName val="IT-DEPN"/>
      <sheetName val="DEF TAX"/>
      <sheetName val="GRATUITY"/>
      <sheetName val="TDS "/>
      <sheetName val="TRIAL BALANCE"/>
      <sheetName val="Masters"/>
      <sheetName val="Schedule"/>
      <sheetName val="Ann -1"/>
      <sheetName val="BS-203"/>
      <sheetName val="97-98"/>
      <sheetName val="Consolidation"/>
      <sheetName val="Schedules PL"/>
      <sheetName val="Schedules BS"/>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Rates"/>
      <sheetName val="Sheet1"/>
      <sheetName val="old_serial no."/>
      <sheetName val="tot_ass_9697"/>
      <sheetName val="2266957"/>
      <sheetName val="Index"/>
      <sheetName val="CO-DEPW"/>
      <sheetName val="IT-DEPW"/>
      <sheetName val="INT-234"/>
      <sheetName val="TDS"/>
      <sheetName val="Provisions"/>
      <sheetName val="FOREX"/>
      <sheetName val="list of directo"/>
      <sheetName val="3MLKQ"/>
      <sheetName val="Scenarios and sensitivities"/>
      <sheetName val="Breadown"/>
      <sheetName val="Assumptions"/>
      <sheetName val="Unidentified Contracts-NLX"/>
      <sheetName val="2002_03 Prem Projection"/>
      <sheetName val="coa_ramco_168"/>
      <sheetName val="Final"/>
      <sheetName val="Summary-Price_New"/>
      <sheetName val="Sheet3"/>
      <sheetName val="AN-2K"/>
      <sheetName val="Switch V16"/>
      <sheetName val="Payroll BL"/>
      <sheetName val="Cap"/>
      <sheetName val="외화금융(97-03)"/>
      <sheetName val="EVA Calculations"/>
      <sheetName val="EBT"/>
      <sheetName val="Summary"/>
      <sheetName val="Balance Sheet - Final"/>
      <sheetName val="CATEGORY"/>
      <sheetName val="TYPE"/>
      <sheetName val="Schedule VI - 03-04"/>
      <sheetName val="new_main_20K"/>
      <sheetName val="Total Haryana POs AMC Sheet 3%"/>
      <sheetName val="delhi 03-04AMC @ 3%"/>
      <sheetName val="itemsdetails"/>
      <sheetName val="SPS DETAIL"/>
      <sheetName val="115JB_CERT"/>
      <sheetName val="DEF_TAX"/>
      <sheetName val="TDS_"/>
      <sheetName val="1__Lead"/>
      <sheetName val="Cost_of_Services"/>
      <sheetName val="Income_Statement"/>
      <sheetName val="Shareholders'_Equity"/>
      <sheetName val="Grant_Ranges"/>
      <sheetName val="fin_stmts_5Yr_Model_Format"/>
      <sheetName val="Equity_Movement_(Shares)"/>
      <sheetName val="TRIAL_BALANCE"/>
      <sheetName val="old_serial_no_"/>
      <sheetName val="Schedules_PL"/>
      <sheetName val="Schedules_BS"/>
      <sheetName val="Ann_-1"/>
      <sheetName val="list_of_directo"/>
      <sheetName val="TaxComputn"/>
      <sheetName val="BS-P&amp;L"/>
      <sheetName val="Gratutity - Ask &amp; delete"/>
      <sheetName val="Gratutity_-_Ask_&amp;_delete"/>
      <sheetName val="Challan"/>
      <sheetName val="Schedules"/>
      <sheetName val="NSV N KGs"/>
      <sheetName val="Sch"/>
      <sheetName val="Source Ref."/>
      <sheetName val="p&amp;m"/>
      <sheetName val="Balance sheet"/>
      <sheetName val="Investments"/>
      <sheetName val="ANNX - I ( a )"/>
      <sheetName val="Rec'd Statements"/>
      <sheetName val="14"/>
      <sheetName val="Front"/>
      <sheetName val="Overview"/>
      <sheetName val="EXPENSES"/>
      <sheetName val="Variance"/>
      <sheetName val="RF Vol"/>
      <sheetName val="ASP"/>
      <sheetName val="Input"/>
      <sheetName val="Debt"/>
      <sheetName val="Master List"/>
      <sheetName val="Category wise Summary"/>
      <sheetName val="CRITERIA1"/>
      <sheetName val="pacific forms"/>
      <sheetName val="pactbformat"/>
      <sheetName val="HypMGMT-NaturalAcct"/>
      <sheetName val="Names"/>
      <sheetName val="ct"/>
      <sheetName val="Non-Recurring Items Detail"/>
      <sheetName val="Gross Margin by Practice"/>
      <sheetName val="OpServicesDetail"/>
      <sheetName val="Exchange Rate"/>
      <sheetName val="entitlements"/>
      <sheetName val="Payroll_Statement"/>
      <sheetName val="Financials"/>
      <sheetName val="Formulas"/>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Sub-Cont Rev"/>
      <sheetName val="Input schedule"/>
      <sheetName val="Consol wkg"/>
      <sheetName val="Resource Details"/>
      <sheetName val="1 - A (Narrative)"/>
      <sheetName val="Interface"/>
      <sheetName val=""/>
      <sheetName val="BS Sch"/>
      <sheetName val="Directors"/>
      <sheetName val="gen ledger data"/>
      <sheetName val="Payroll_BL"/>
      <sheetName val="Switch_V16"/>
      <sheetName val="EVA_Calculations"/>
      <sheetName val="Revenue_Contribution"/>
      <sheetName val="Balance_sheet"/>
      <sheetName val="BAB"/>
      <sheetName val="b_master"/>
      <sheetName val="Pending"/>
      <sheetName val="Profile"/>
      <sheetName val="QuanOP"/>
      <sheetName val="115JB_CERT1"/>
      <sheetName val="DEF_TAX1"/>
      <sheetName val="TDS_1"/>
      <sheetName val="1__Lead1"/>
      <sheetName val="Cost_of_Services1"/>
      <sheetName val="Income_Statement1"/>
      <sheetName val="Shareholders'_Equity1"/>
      <sheetName val="Grant_Ranges1"/>
      <sheetName val="fin_stmts_5Yr_Model_Format1"/>
      <sheetName val="Equity_Movement_(Shares)1"/>
      <sheetName val="old_serial_no_1"/>
      <sheetName val="TRIAL_BALANCE1"/>
      <sheetName val="Schedules_PL1"/>
      <sheetName val="Schedules_BS1"/>
      <sheetName val="Ann_-11"/>
      <sheetName val="list_of_directo1"/>
      <sheetName val="Balance_Sheet_-_Final"/>
      <sheetName val="Schedule_VI_-_03-04"/>
      <sheetName val="Total_Haryana_POs_AMC_Sheet_3%"/>
      <sheetName val="delhi_03-04AMC_@_3%"/>
      <sheetName val="SPS_DETAIL"/>
      <sheetName val="Gratutity_-_Ask_&amp;_delete1"/>
      <sheetName val="NSV_N_KGs"/>
      <sheetName val="Source_Ref_"/>
      <sheetName val="Scenarios_and_sensitivities"/>
      <sheetName val="ANNX_-_I_(_a_)"/>
      <sheetName val="Rec'd_Statements"/>
      <sheetName val="RF_Vol"/>
      <sheetName val="Master_List"/>
      <sheetName val="Category_wise_Summary"/>
      <sheetName val="FF-6"/>
      <sheetName val="PRECAST lightconc-II"/>
      <sheetName val="3BPA00132-5-3 W plan HVPNL"/>
      <sheetName val="SALES"/>
      <sheetName val="EXE-SUM"/>
      <sheetName val="Control"/>
      <sheetName val="405"/>
      <sheetName val="427"/>
      <sheetName val="403"/>
      <sheetName val="Grouping TB"/>
      <sheetName val="main"/>
      <sheetName val="SI-FIN"/>
      <sheetName val="Clause 9"/>
      <sheetName val="マスタ"/>
      <sheetName val="NBP Gp wise - blr 15"/>
      <sheetName val="CF"/>
      <sheetName val="RPT 71-VOLUME DATA-PCI "/>
      <sheetName val="??????"/>
      <sheetName val="List_ratios"/>
      <sheetName val="Data"/>
      <sheetName val="Export"/>
      <sheetName val="scj99"/>
      <sheetName val="bspld99"/>
      <sheetName val="invtdec99_5-2_00"/>
      <sheetName val="qe32"/>
      <sheetName val="Exchange"/>
      <sheetName val="Balancesheet"/>
      <sheetName val="Excess Calc"/>
      <sheetName val="x-rate"/>
      <sheetName val="Modality Summary"/>
      <sheetName val="115JB_CERT2"/>
      <sheetName val="DEF_TAX2"/>
      <sheetName val="TDS_2"/>
      <sheetName val="1__Lead2"/>
      <sheetName val="Cost_of_Services2"/>
      <sheetName val="Income_Statement2"/>
      <sheetName val="Shareholders'_Equity2"/>
      <sheetName val="Grant_Ranges2"/>
      <sheetName val="fin_stmts_5Yr_Model_Format2"/>
      <sheetName val="Equity_Movement_(Shares)2"/>
      <sheetName val="old_serial_no_2"/>
      <sheetName val="TRIAL_BALANCE2"/>
      <sheetName val="Schedules_PL2"/>
      <sheetName val="Schedules_BS2"/>
      <sheetName val="Ann_-12"/>
      <sheetName val="list_of_directo2"/>
      <sheetName val="Balance_Sheet_-_Final1"/>
      <sheetName val="Schedule_VI_-_03-041"/>
      <sheetName val="Switch_V161"/>
      <sheetName val="Total_Haryana_POs_AMC_Sheet_3%1"/>
      <sheetName val="delhi_03-04AMC_@_3%1"/>
      <sheetName val="SPS_DETAIL1"/>
      <sheetName val="Gratutity_-_Ask_&amp;_delete2"/>
      <sheetName val="NSV_N_KGs1"/>
      <sheetName val="Source_Ref_1"/>
      <sheetName val="Payroll_BL1"/>
      <sheetName val="Balance_sheet1"/>
      <sheetName val="Scenarios_and_sensitivities1"/>
      <sheetName val="ANNX_-_I_(_a_)1"/>
      <sheetName val="Rec'd_Statements1"/>
      <sheetName val="RF_Vol1"/>
      <sheetName val="Master_List1"/>
      <sheetName val="Category_wise_Summary1"/>
      <sheetName val="Code"/>
      <sheetName val="DN_TIME 02"/>
      <sheetName val="DN_TIME 14"/>
      <sheetName val="Assm"/>
      <sheetName val="Pro-Forma profile_AVP"/>
      <sheetName val="Nov 02 &amp; Dec 02 sal"/>
      <sheetName val="Parameters"/>
      <sheetName val="August"/>
      <sheetName val="July"/>
      <sheetName val="November"/>
      <sheetName val="UC-Premix"/>
      <sheetName val="MRP97-6"/>
      <sheetName val="Customize Your Purchase Order"/>
      <sheetName val="Calculations"/>
      <sheetName val="Lists"/>
      <sheetName val="CHC ADGRR"/>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C3" t="str">
            <v>ADARSH PLANT PROTECT LTD.</v>
          </cell>
        </row>
        <row r="25">
          <cell r="C25" t="str">
            <v>31st March, 2012</v>
          </cell>
        </row>
        <row r="27">
          <cell r="C27" t="str">
            <v>31-03-2011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
      <sheetName val="PMO ALL"/>
      <sheetName val="370 entries"/>
      <sheetName val="Consolidated TB"/>
      <sheetName val="BS before PMO"/>
      <sheetName val="BS afterPMO"/>
    </sheetNames>
    <sheetDataSet>
      <sheetData sheetId="0"/>
      <sheetData sheetId="1"/>
      <sheetData sheetId="2"/>
      <sheetData sheetId="3"/>
      <sheetData sheetId="4">
        <row r="1">
          <cell r="C1" t="str">
            <v>SCHEDULES TO THE BALANCE SHEET AS AT</v>
          </cell>
          <cell r="I1" t="str">
            <v>SCHEDULES TO THE BALANCE SHEET AS AT</v>
          </cell>
          <cell r="U1" t="str">
            <v>HCL INFOSYSTEMS LIMITED</v>
          </cell>
          <cell r="Z1" t="str">
            <v>HCL INFOSYSTEMS LIMITED</v>
          </cell>
        </row>
        <row r="2">
          <cell r="U2" t="str">
            <v>FRONTLINE DIVISION</v>
          </cell>
          <cell r="Z2" t="str">
            <v>FRONTLINE DIVISION</v>
          </cell>
        </row>
        <row r="3">
          <cell r="C3" t="str">
            <v>6- INVENTORIES</v>
          </cell>
          <cell r="I3" t="str">
            <v>1- H.O. ACCOUNT</v>
          </cell>
        </row>
        <row r="5">
          <cell r="E5" t="str">
            <v>30.11.02</v>
          </cell>
          <cell r="G5" t="str">
            <v>31.03.02</v>
          </cell>
          <cell r="K5" t="str">
            <v>30.11.02</v>
          </cell>
          <cell r="L5" t="str">
            <v>31.03.02</v>
          </cell>
          <cell r="U5" t="str">
            <v>PROFIT AND LOSS ACCOUNT FOR THE PERIOD 1.4.02 TO 30.11.02</v>
          </cell>
          <cell r="Z5" t="str">
            <v>BALANCE SHEET AS AT NOVEMBER 30, 2002</v>
          </cell>
        </row>
        <row r="6">
          <cell r="E6" t="str">
            <v>Rs</v>
          </cell>
          <cell r="G6" t="str">
            <v>Rs</v>
          </cell>
          <cell r="K6" t="str">
            <v>Rs</v>
          </cell>
          <cell r="L6" t="str">
            <v>Rs</v>
          </cell>
          <cell r="Z6" t="str">
            <v>WITHOUT PMO OVERHEAD ALLOCATION DEBIT NOTE</v>
          </cell>
        </row>
        <row r="7">
          <cell r="V7" t="str">
            <v>SCHEDULE</v>
          </cell>
          <cell r="W7" t="str">
            <v>30.11.02</v>
          </cell>
          <cell r="X7" t="str">
            <v>31.03.02</v>
          </cell>
          <cell r="AA7" t="str">
            <v>SCHEDULE</v>
          </cell>
          <cell r="AC7" t="str">
            <v>30.11.02</v>
          </cell>
          <cell r="AD7">
            <v>1998</v>
          </cell>
          <cell r="BC7" t="str">
            <v>31.03.02</v>
          </cell>
        </row>
        <row r="8">
          <cell r="C8" t="str">
            <v>Stores and spares (Including in Transit)</v>
          </cell>
          <cell r="E8">
            <v>39500000</v>
          </cell>
          <cell r="G8">
            <v>33480207.09</v>
          </cell>
          <cell r="I8" t="str">
            <v>Interdivision Account</v>
          </cell>
          <cell r="W8" t="str">
            <v>Rs</v>
          </cell>
          <cell r="AB8" t="str">
            <v>Rs</v>
          </cell>
          <cell r="AC8" t="str">
            <v>Rs</v>
          </cell>
          <cell r="AD8" t="str">
            <v>Rs</v>
          </cell>
          <cell r="BC8" t="str">
            <v>Rs</v>
          </cell>
        </row>
        <row r="9">
          <cell r="C9" t="str">
            <v>Finished Goods (Including in Transit)</v>
          </cell>
          <cell r="E9">
            <v>100141379.05000001</v>
          </cell>
          <cell r="G9">
            <v>95268544.400000006</v>
          </cell>
          <cell r="I9" t="str">
            <v>Office Automation Division</v>
          </cell>
          <cell r="K9">
            <v>-489803.09</v>
          </cell>
          <cell r="L9">
            <v>3523128.9000000022</v>
          </cell>
        </row>
        <row r="10">
          <cell r="I10" t="str">
            <v>Insys Division</v>
          </cell>
          <cell r="K10">
            <v>603353266.28999996</v>
          </cell>
          <cell r="L10">
            <v>568328577.75999951</v>
          </cell>
          <cell r="U10" t="str">
            <v>INCOME</v>
          </cell>
          <cell r="Z10" t="str">
            <v>SOURCES OF FUNDS</v>
          </cell>
        </row>
        <row r="11">
          <cell r="I11" t="str">
            <v>Peripherals Division</v>
          </cell>
          <cell r="K11">
            <v>303219.00000000373</v>
          </cell>
          <cell r="L11">
            <v>589115.80000000377</v>
          </cell>
        </row>
        <row r="12">
          <cell r="E12">
            <v>139641379.05000001</v>
          </cell>
          <cell r="G12">
            <v>128748751.49000001</v>
          </cell>
          <cell r="U12" t="str">
            <v>Business Income</v>
          </cell>
          <cell r="V12">
            <v>12</v>
          </cell>
          <cell r="W12">
            <v>1289046833.6700001</v>
          </cell>
          <cell r="X12">
            <v>1475496195.2400002</v>
          </cell>
        </row>
        <row r="13">
          <cell r="U13" t="str">
            <v>Other Income</v>
          </cell>
          <cell r="V13">
            <v>13</v>
          </cell>
          <cell r="W13">
            <v>855527.87</v>
          </cell>
          <cell r="X13">
            <v>1246631.95</v>
          </cell>
          <cell r="Z13" t="str">
            <v>H.O. Account</v>
          </cell>
          <cell r="AA13">
            <v>1</v>
          </cell>
          <cell r="AC13">
            <v>603166682.19999993</v>
          </cell>
          <cell r="BC13">
            <v>572440822.45999944</v>
          </cell>
        </row>
        <row r="14">
          <cell r="C14" t="str">
            <v>7- SUNDRY DEBTORS (UNSECURED)</v>
          </cell>
          <cell r="K14">
            <v>603166682.19999993</v>
          </cell>
          <cell r="L14">
            <v>572440822.45999944</v>
          </cell>
          <cell r="U14">
            <v>0</v>
          </cell>
        </row>
        <row r="15">
          <cell r="Z15" t="str">
            <v>Secured Loans</v>
          </cell>
          <cell r="AA15">
            <v>3</v>
          </cell>
          <cell r="AC15">
            <v>37558798.519999743</v>
          </cell>
          <cell r="BC15">
            <v>42226884.470000029</v>
          </cell>
        </row>
        <row r="16">
          <cell r="I16" t="str">
            <v>2- RESERVE AND SURPLUS</v>
          </cell>
          <cell r="W16">
            <v>1289902361.54</v>
          </cell>
          <cell r="X16">
            <v>1476742827.1900003</v>
          </cell>
        </row>
        <row r="17">
          <cell r="E17" t="str">
            <v>30.11.02</v>
          </cell>
          <cell r="G17" t="str">
            <v>31.03.02</v>
          </cell>
          <cell r="Z17" t="str">
            <v>Unsecured Loans</v>
          </cell>
          <cell r="AA17">
            <v>4</v>
          </cell>
          <cell r="AC17">
            <v>0</v>
          </cell>
          <cell r="BC17">
            <v>844093.93</v>
          </cell>
        </row>
        <row r="18">
          <cell r="E18" t="str">
            <v>Rs</v>
          </cell>
          <cell r="G18" t="str">
            <v>Rs</v>
          </cell>
          <cell r="K18" t="str">
            <v>AS AT 1.4.02</v>
          </cell>
          <cell r="L18" t="str">
            <v>ADDITIONS</v>
          </cell>
          <cell r="M18" t="str">
            <v>DEDUCTIONS</v>
          </cell>
          <cell r="N18" t="str">
            <v>AS AT 30.11.02</v>
          </cell>
          <cell r="U18" t="str">
            <v>EXPENDITURE</v>
          </cell>
        </row>
        <row r="19">
          <cell r="K19" t="str">
            <v>Rs</v>
          </cell>
          <cell r="N19" t="str">
            <v>Rs</v>
          </cell>
          <cell r="Z19" t="str">
            <v>TOTAL</v>
          </cell>
          <cell r="AC19">
            <v>640725480.71999967</v>
          </cell>
          <cell r="BC19">
            <v>615511800.85999942</v>
          </cell>
        </row>
        <row r="20">
          <cell r="C20" t="str">
            <v>Debts Exceeding 6 months :</v>
          </cell>
          <cell r="U20" t="str">
            <v>Cost of Sales and Services</v>
          </cell>
          <cell r="V20">
            <v>14</v>
          </cell>
          <cell r="W20">
            <v>1209472641.573</v>
          </cell>
          <cell r="X20">
            <v>1386893096.1174033</v>
          </cell>
        </row>
        <row r="21">
          <cell r="C21" t="str">
            <v xml:space="preserve"> - Considered Good</v>
          </cell>
          <cell r="D21">
            <v>-6138741.8900000267</v>
          </cell>
          <cell r="G21">
            <v>18138472.36999999</v>
          </cell>
          <cell r="I21" t="str">
            <v>Profit and Loss Account (Loss)</v>
          </cell>
          <cell r="K21">
            <v>-343239419.19380897</v>
          </cell>
          <cell r="L21">
            <v>-54388237.342999697</v>
          </cell>
          <cell r="M21">
            <v>0</v>
          </cell>
          <cell r="N21">
            <v>-397627656.53680867</v>
          </cell>
          <cell r="U21" t="str">
            <v>Personnel</v>
          </cell>
          <cell r="V21">
            <v>15</v>
          </cell>
          <cell r="W21">
            <v>55975273.560000002</v>
          </cell>
          <cell r="X21">
            <v>80916667.329999998</v>
          </cell>
          <cell r="Z21" t="str">
            <v>APPLICATION OF FUNDS</v>
          </cell>
        </row>
        <row r="22">
          <cell r="C22" t="str">
            <v xml:space="preserve"> - Considered Doubtful</v>
          </cell>
          <cell r="D22">
            <v>7995663.75</v>
          </cell>
          <cell r="G22">
            <v>5948406.1500000004</v>
          </cell>
          <cell r="U22" t="str">
            <v>Administration, Selling and Distribution</v>
          </cell>
          <cell r="V22">
            <v>16</v>
          </cell>
          <cell r="W22">
            <v>74344931.109999999</v>
          </cell>
          <cell r="X22">
            <v>97478920.27058658</v>
          </cell>
        </row>
        <row r="23">
          <cell r="D23">
            <v>1856921.8599999733</v>
          </cell>
          <cell r="G23">
            <v>24086878.519999988</v>
          </cell>
          <cell r="K23">
            <v>-343239419.19380897</v>
          </cell>
          <cell r="L23">
            <v>-54388237.342999697</v>
          </cell>
          <cell r="M23">
            <v>0</v>
          </cell>
          <cell r="N23">
            <v>-397627656.53680867</v>
          </cell>
          <cell r="U23" t="str">
            <v>Repairs and Maintenance</v>
          </cell>
          <cell r="V23">
            <v>17</v>
          </cell>
          <cell r="W23">
            <v>1262722.5</v>
          </cell>
          <cell r="X23">
            <v>1799378.08</v>
          </cell>
          <cell r="Z23" t="str">
            <v>FIXED ASSETS</v>
          </cell>
          <cell r="AA23">
            <v>5</v>
          </cell>
        </row>
        <row r="24">
          <cell r="C24" t="str">
            <v>Less : Provision for Doubtful Debts</v>
          </cell>
          <cell r="D24">
            <v>7995663.75</v>
          </cell>
          <cell r="E24">
            <v>-6138741.8900000267</v>
          </cell>
          <cell r="G24">
            <v>5948406.1500000004</v>
          </cell>
          <cell r="I24" t="str">
            <v>Previous Year</v>
          </cell>
          <cell r="N24">
            <v>-343239419.19380897</v>
          </cell>
          <cell r="U24" t="str">
            <v>Finance Charges</v>
          </cell>
          <cell r="V24">
            <v>18</v>
          </cell>
          <cell r="W24">
            <v>668027.07000000007</v>
          </cell>
          <cell r="X24">
            <v>430639.98</v>
          </cell>
          <cell r="Z24" t="str">
            <v>Gross Block</v>
          </cell>
          <cell r="AB24">
            <v>28051915.640000001</v>
          </cell>
          <cell r="BB24">
            <v>27012993.800000001</v>
          </cell>
        </row>
        <row r="25">
          <cell r="U25" t="str">
            <v>Depreciation</v>
          </cell>
          <cell r="V25">
            <v>5</v>
          </cell>
          <cell r="W25">
            <v>2567003.0700000003</v>
          </cell>
          <cell r="X25">
            <v>4229984.71</v>
          </cell>
          <cell r="Z25" t="str">
            <v>Less : Depreciation</v>
          </cell>
          <cell r="AB25">
            <v>21636848.370000001</v>
          </cell>
          <cell r="BB25">
            <v>19570414.260586586</v>
          </cell>
        </row>
        <row r="26">
          <cell r="C26" t="str">
            <v>Other Debts - Considered Good</v>
          </cell>
          <cell r="E26">
            <v>286932724.09000009</v>
          </cell>
          <cell r="G26">
            <v>267384218.53000015</v>
          </cell>
          <cell r="I26" t="str">
            <v>3. SECURED LOANS</v>
          </cell>
          <cell r="Z26" t="str">
            <v>Net Block</v>
          </cell>
          <cell r="AB26">
            <v>6415067.2699999996</v>
          </cell>
          <cell r="BB26">
            <v>7442579.5394134149</v>
          </cell>
        </row>
        <row r="27">
          <cell r="W27">
            <v>1344290598.8829997</v>
          </cell>
          <cell r="X27">
            <v>1571748686.4879897</v>
          </cell>
          <cell r="Z27" t="str">
            <v>Capital Work in Progress (including Capital Advances)</v>
          </cell>
          <cell r="AB27">
            <v>0</v>
          </cell>
          <cell r="AC27">
            <v>6415067.2699999996</v>
          </cell>
          <cell r="BB27">
            <v>0</v>
          </cell>
          <cell r="BC27">
            <v>7442579.5394134149</v>
          </cell>
        </row>
        <row r="28">
          <cell r="E28">
            <v>280793982.20000005</v>
          </cell>
          <cell r="G28">
            <v>285522690.90000015</v>
          </cell>
          <cell r="K28" t="str">
            <v>30.11.02</v>
          </cell>
          <cell r="L28" t="str">
            <v>30.06.01</v>
          </cell>
        </row>
        <row r="29">
          <cell r="K29" t="str">
            <v>Rs</v>
          </cell>
          <cell r="L29" t="str">
            <v>Rs</v>
          </cell>
          <cell r="U29" t="str">
            <v>LOSS FOR THE PERIOD</v>
          </cell>
          <cell r="W29">
            <v>-54388237.342999697</v>
          </cell>
          <cell r="X29">
            <v>-95005859.297989368</v>
          </cell>
          <cell r="Z29" t="str">
            <v>CURRENT ASSETS, LOANS &amp; ADVANCES</v>
          </cell>
        </row>
        <row r="30">
          <cell r="C30" t="str">
            <v>8- CASH AND BANK BALANCES</v>
          </cell>
          <cell r="Z30" t="str">
            <v>Inventories</v>
          </cell>
          <cell r="AA30">
            <v>6</v>
          </cell>
          <cell r="AB30">
            <v>139641379.05000001</v>
          </cell>
          <cell r="BB30">
            <v>128748751.49000001</v>
          </cell>
        </row>
        <row r="31">
          <cell r="I31" t="str">
            <v>From Banks :</v>
          </cell>
          <cell r="U31" t="str">
            <v>LOSS AVAILABLE FOR APPROPRIATION</v>
          </cell>
          <cell r="W31">
            <v>-54388237.342999697</v>
          </cell>
          <cell r="X31">
            <v>-95005859.297989368</v>
          </cell>
          <cell r="Z31" t="str">
            <v>Sundry Debtors</v>
          </cell>
          <cell r="AA31">
            <v>7</v>
          </cell>
          <cell r="AB31">
            <v>280793982.20000005</v>
          </cell>
          <cell r="BB31">
            <v>285522690.90000015</v>
          </cell>
        </row>
        <row r="32">
          <cell r="E32" t="str">
            <v>30.11.02</v>
          </cell>
          <cell r="G32" t="str">
            <v>31.03.02</v>
          </cell>
          <cell r="Z32" t="str">
            <v>Cash and Bank Balances</v>
          </cell>
          <cell r="AA32">
            <v>8</v>
          </cell>
          <cell r="AB32">
            <v>870344.80999992788</v>
          </cell>
          <cell r="BB32">
            <v>11111999.689999949</v>
          </cell>
        </row>
        <row r="33">
          <cell r="E33" t="str">
            <v>Rs</v>
          </cell>
          <cell r="G33" t="str">
            <v>Rs</v>
          </cell>
          <cell r="I33" t="str">
            <v>Cash Credit</v>
          </cell>
          <cell r="K33">
            <v>37558798.519999743</v>
          </cell>
          <cell r="L33">
            <v>42226884.470000029</v>
          </cell>
          <cell r="U33" t="str">
            <v>ACCOUNTING POLICIES</v>
          </cell>
          <cell r="V33">
            <v>19</v>
          </cell>
          <cell r="Z33" t="str">
            <v>Other Current Assets</v>
          </cell>
          <cell r="AA33">
            <v>9</v>
          </cell>
          <cell r="AB33">
            <v>3938641.84</v>
          </cell>
          <cell r="BB33">
            <v>6228638.4399999995</v>
          </cell>
        </row>
        <row r="34">
          <cell r="U34" t="str">
            <v>NOTES TO ACCOUNTS</v>
          </cell>
          <cell r="V34">
            <v>20</v>
          </cell>
          <cell r="Z34" t="str">
            <v>Loans and Advances</v>
          </cell>
          <cell r="AA34">
            <v>10</v>
          </cell>
          <cell r="AB34">
            <v>14470080.970000003</v>
          </cell>
          <cell r="BB34">
            <v>10113685.030500002</v>
          </cell>
        </row>
        <row r="35">
          <cell r="C35" t="str">
            <v>Cash in Hand and in Transit</v>
          </cell>
          <cell r="E35">
            <v>541371.34000000358</v>
          </cell>
          <cell r="G35">
            <v>9431265.1700000055</v>
          </cell>
          <cell r="K35">
            <v>37558798.519999743</v>
          </cell>
          <cell r="L35">
            <v>42226884.470000029</v>
          </cell>
          <cell r="AB35">
            <v>439714428.87</v>
          </cell>
          <cell r="BB35">
            <v>441725765.55050009</v>
          </cell>
        </row>
        <row r="36">
          <cell r="C36" t="str">
            <v>(Includes Cheques in Hand : Rs 90.04  lacs ; Previous Year Rs. 88.70 lacs )</v>
          </cell>
          <cell r="Z36" t="str">
            <v>CURRENT LIABILITIES &amp; PROVISIONS</v>
          </cell>
          <cell r="AA36">
            <v>11</v>
          </cell>
        </row>
        <row r="37">
          <cell r="Z37" t="str">
            <v>Current Liabilities</v>
          </cell>
          <cell r="AB37">
            <v>196198842.95300007</v>
          </cell>
          <cell r="BB37">
            <v>172829112.42049998</v>
          </cell>
        </row>
        <row r="38">
          <cell r="C38" t="str">
            <v>Balances with Scheduled Banks</v>
          </cell>
          <cell r="Z38" t="str">
            <v>Provisions</v>
          </cell>
          <cell r="AB38">
            <v>6832829</v>
          </cell>
          <cell r="BB38">
            <v>4066851</v>
          </cell>
        </row>
        <row r="39">
          <cell r="C39" t="str">
            <v xml:space="preserve"> - On Current Accounts</v>
          </cell>
          <cell r="E39">
            <v>328973.4699999243</v>
          </cell>
          <cell r="G39">
            <v>1680734.5199999441</v>
          </cell>
          <cell r="AB39">
            <v>203031671.95300007</v>
          </cell>
          <cell r="BB39">
            <v>176895963.42049998</v>
          </cell>
        </row>
        <row r="40">
          <cell r="I40" t="str">
            <v>4. UNSECURED LOANS</v>
          </cell>
          <cell r="Z40" t="str">
            <v>NET CURRENT ASSETS</v>
          </cell>
          <cell r="AC40">
            <v>236682756.91699994</v>
          </cell>
          <cell r="BC40">
            <v>264829802.13000011</v>
          </cell>
        </row>
        <row r="42">
          <cell r="E42">
            <v>870344.80999992788</v>
          </cell>
          <cell r="G42">
            <v>11111999.689999949</v>
          </cell>
          <cell r="K42" t="str">
            <v>30.11.02</v>
          </cell>
          <cell r="L42" t="str">
            <v>30.06.01</v>
          </cell>
          <cell r="Z42" t="str">
            <v>ACCUMULATED LOSS</v>
          </cell>
          <cell r="AC42">
            <v>397627656.53680867</v>
          </cell>
          <cell r="BC42">
            <v>343239419.19380939</v>
          </cell>
        </row>
        <row r="43">
          <cell r="K43" t="str">
            <v>Rs</v>
          </cell>
          <cell r="L43" t="str">
            <v>Rs</v>
          </cell>
        </row>
        <row r="44">
          <cell r="C44" t="str">
            <v>9- OTHER CURRENT ASSETS</v>
          </cell>
        </row>
        <row r="45">
          <cell r="I45" t="str">
            <v>From Banks :</v>
          </cell>
          <cell r="Z45" t="str">
            <v>TOTAL</v>
          </cell>
          <cell r="AC45">
            <v>640725480.72380865</v>
          </cell>
          <cell r="BC45">
            <v>615511800.86322284</v>
          </cell>
        </row>
        <row r="46">
          <cell r="E46" t="str">
            <v>30.11.02</v>
          </cell>
          <cell r="G46" t="str">
            <v>31.03.02</v>
          </cell>
        </row>
        <row r="47">
          <cell r="E47" t="str">
            <v>Rs</v>
          </cell>
          <cell r="G47" t="str">
            <v>Rs</v>
          </cell>
          <cell r="I47" t="str">
            <v>Book Overdarft</v>
          </cell>
          <cell r="K47">
            <v>0</v>
          </cell>
          <cell r="L47">
            <v>844093.93</v>
          </cell>
          <cell r="Z47" t="str">
            <v>ACCOUNTING POLICIES</v>
          </cell>
          <cell r="AA47">
            <v>19</v>
          </cell>
        </row>
        <row r="48">
          <cell r="Z48" t="str">
            <v>NOTES TO ACCOUNTS</v>
          </cell>
          <cell r="AA48">
            <v>20</v>
          </cell>
        </row>
        <row r="49">
          <cell r="C49" t="str">
            <v>Deposits</v>
          </cell>
          <cell r="E49">
            <v>3029395</v>
          </cell>
          <cell r="G49">
            <v>4086250</v>
          </cell>
          <cell r="K49">
            <v>0</v>
          </cell>
          <cell r="L49">
            <v>844093.93</v>
          </cell>
        </row>
        <row r="50">
          <cell r="C50" t="str">
            <v>Prepaid Expenses</v>
          </cell>
          <cell r="E50">
            <v>909246.84</v>
          </cell>
          <cell r="G50">
            <v>2142388.44</v>
          </cell>
        </row>
        <row r="52">
          <cell r="E52">
            <v>3938641.84</v>
          </cell>
          <cell r="G52">
            <v>6228638.4399999995</v>
          </cell>
        </row>
        <row r="57">
          <cell r="C57" t="str">
            <v>SCHEDULES TO THE BALANCE SHEET AS AT</v>
          </cell>
        </row>
        <row r="59">
          <cell r="C59" t="str">
            <v>10- LOANS AND ADVANCES</v>
          </cell>
        </row>
        <row r="61">
          <cell r="E61" t="str">
            <v>30.11.02</v>
          </cell>
          <cell r="G61" t="str">
            <v>31.03.02</v>
          </cell>
        </row>
        <row r="62">
          <cell r="E62" t="str">
            <v>Rs</v>
          </cell>
          <cell r="G62" t="str">
            <v>Rs</v>
          </cell>
        </row>
        <row r="64">
          <cell r="C64" t="str">
            <v>Amount recoverable in cash or in kind or for</v>
          </cell>
        </row>
        <row r="65">
          <cell r="C65" t="str">
            <v xml:space="preserve">  value to be received</v>
          </cell>
        </row>
        <row r="66">
          <cell r="C66" t="str">
            <v xml:space="preserve"> - Unsecured considered good</v>
          </cell>
          <cell r="E66">
            <v>10652327.950000003</v>
          </cell>
          <cell r="G66">
            <v>8905263.3605000023</v>
          </cell>
        </row>
        <row r="67">
          <cell r="C67" t="str">
            <v xml:space="preserve"> - Advances and Loans to Subsidiaries</v>
          </cell>
          <cell r="E67">
            <v>2272745.04</v>
          </cell>
          <cell r="G67">
            <v>303649.17</v>
          </cell>
        </row>
        <row r="68">
          <cell r="C68" t="str">
            <v>Advance Tax</v>
          </cell>
        </row>
        <row r="69">
          <cell r="C69" t="str">
            <v xml:space="preserve"> - TDS Customers</v>
          </cell>
          <cell r="D69">
            <v>1545007.98</v>
          </cell>
          <cell r="G69">
            <v>904772.5</v>
          </cell>
        </row>
        <row r="70">
          <cell r="C70" t="str">
            <v xml:space="preserve"> - Withholding Tax</v>
          </cell>
          <cell r="D70">
            <v>0</v>
          </cell>
          <cell r="E70">
            <v>1545007.98</v>
          </cell>
          <cell r="G70">
            <v>0</v>
          </cell>
        </row>
        <row r="73">
          <cell r="E73">
            <v>14470080.970000003</v>
          </cell>
          <cell r="G73">
            <v>10113685.030500002</v>
          </cell>
        </row>
        <row r="75">
          <cell r="C75" t="str">
            <v>11- CURRENT LIABILITIES AND PROVISIONS</v>
          </cell>
        </row>
        <row r="77">
          <cell r="E77" t="str">
            <v>30.11.02</v>
          </cell>
          <cell r="G77" t="str">
            <v>31.03.02</v>
          </cell>
        </row>
        <row r="78">
          <cell r="E78" t="str">
            <v>Rs</v>
          </cell>
          <cell r="G78" t="str">
            <v>Rs</v>
          </cell>
        </row>
        <row r="80">
          <cell r="C80" t="str">
            <v>CURRENT LIABILITIES :</v>
          </cell>
        </row>
        <row r="82">
          <cell r="C82" t="str">
            <v>Acceptances</v>
          </cell>
          <cell r="E82">
            <v>73049759.287950739</v>
          </cell>
          <cell r="G82">
            <v>53777947.765499994</v>
          </cell>
        </row>
        <row r="83">
          <cell r="C83" t="str">
            <v>Sundry Creditors</v>
          </cell>
        </row>
        <row r="84">
          <cell r="C84" t="str">
            <v xml:space="preserve"> - Due to Subsidiaries</v>
          </cell>
          <cell r="D84">
            <v>0</v>
          </cell>
        </row>
        <row r="85">
          <cell r="C85" t="str">
            <v xml:space="preserve"> - Due to SSI Undertakings</v>
          </cell>
          <cell r="D85">
            <v>0</v>
          </cell>
          <cell r="G85">
            <v>0</v>
          </cell>
        </row>
        <row r="86">
          <cell r="C86" t="str">
            <v xml:space="preserve"> - Others </v>
          </cell>
          <cell r="D86">
            <v>58754625.235049292</v>
          </cell>
          <cell r="E86">
            <v>58754625.235049292</v>
          </cell>
          <cell r="G86">
            <v>47559159.185000002</v>
          </cell>
        </row>
        <row r="87">
          <cell r="C87" t="str">
            <v>Sundry Deposits</v>
          </cell>
          <cell r="E87">
            <v>12372730</v>
          </cell>
          <cell r="G87">
            <v>9934543</v>
          </cell>
        </row>
        <row r="88">
          <cell r="C88" t="str">
            <v>Advances from Customers</v>
          </cell>
          <cell r="E88">
            <v>8252499.9999999944</v>
          </cell>
          <cell r="G88">
            <v>19119064.130000003</v>
          </cell>
        </row>
        <row r="89">
          <cell r="C89" t="str">
            <v>Unaccrued Service Revenue</v>
          </cell>
          <cell r="E89">
            <v>6449274.9999999981</v>
          </cell>
          <cell r="G89">
            <v>9716408.3299999982</v>
          </cell>
        </row>
        <row r="90">
          <cell r="C90" t="str">
            <v>Interest Accrued bt not due</v>
          </cell>
          <cell r="E90">
            <v>116842</v>
          </cell>
          <cell r="G90">
            <v>0</v>
          </cell>
        </row>
        <row r="91">
          <cell r="C91" t="str">
            <v>Other Liabilities</v>
          </cell>
          <cell r="E91">
            <v>37203111.430000044</v>
          </cell>
          <cell r="G91">
            <v>32721990.00999999</v>
          </cell>
        </row>
        <row r="92">
          <cell r="E92">
            <v>196198842.95300007</v>
          </cell>
          <cell r="G92">
            <v>172829112.42049998</v>
          </cell>
        </row>
        <row r="94">
          <cell r="C94" t="str">
            <v>PROVISIONS :</v>
          </cell>
        </row>
        <row r="96">
          <cell r="C96" t="str">
            <v>For Warranty Liability</v>
          </cell>
          <cell r="E96">
            <v>3959558</v>
          </cell>
          <cell r="G96">
            <v>1538977</v>
          </cell>
        </row>
        <row r="97">
          <cell r="C97" t="str">
            <v>For Gratuity &amp; Other Employee Benefits</v>
          </cell>
          <cell r="E97">
            <v>2873271</v>
          </cell>
          <cell r="G97">
            <v>2527874</v>
          </cell>
        </row>
        <row r="98">
          <cell r="E98">
            <v>6832829</v>
          </cell>
          <cell r="G98">
            <v>4066851</v>
          </cell>
        </row>
        <row r="99">
          <cell r="E99">
            <v>203031671.95300007</v>
          </cell>
          <cell r="G99">
            <v>176895963.42049998</v>
          </cell>
        </row>
        <row r="102">
          <cell r="C102" t="str">
            <v>SCHEDULES TO THE PROFIT AND LOSS ACCOUNT FOR THE YEAR ENDED</v>
          </cell>
        </row>
        <row r="104">
          <cell r="C104" t="str">
            <v>12- BUSINESS INCOME</v>
          </cell>
        </row>
        <row r="106">
          <cell r="E106" t="str">
            <v>30.11.02</v>
          </cell>
          <cell r="G106" t="str">
            <v>31.03.02</v>
          </cell>
        </row>
        <row r="107">
          <cell r="E107" t="str">
            <v>Rs</v>
          </cell>
          <cell r="G107" t="str">
            <v>Rs</v>
          </cell>
        </row>
        <row r="109">
          <cell r="C109" t="str">
            <v>Sales and Related Income</v>
          </cell>
          <cell r="E109">
            <v>1267015239.48</v>
          </cell>
          <cell r="G109">
            <v>1433506215.8806126</v>
          </cell>
        </row>
        <row r="110">
          <cell r="C110" t="str">
            <v>Services</v>
          </cell>
          <cell r="E110">
            <v>22031594.189999998</v>
          </cell>
          <cell r="G110">
            <v>41989979.359387673</v>
          </cell>
        </row>
        <row r="112">
          <cell r="E112">
            <v>1289046833.6700001</v>
          </cell>
          <cell r="G112">
            <v>1475496195.2400002</v>
          </cell>
        </row>
        <row r="115">
          <cell r="C115" t="str">
            <v>13- OTHER INCOME</v>
          </cell>
        </row>
        <row r="117">
          <cell r="E117" t="str">
            <v>30.11.02</v>
          </cell>
          <cell r="G117" t="str">
            <v>31.03.02</v>
          </cell>
        </row>
        <row r="118">
          <cell r="E118" t="str">
            <v>Rs</v>
          </cell>
          <cell r="G118" t="str">
            <v>Rs</v>
          </cell>
        </row>
        <row r="120">
          <cell r="C120" t="str">
            <v>Liabilities no Longer Required Written Back</v>
          </cell>
          <cell r="E120">
            <v>651966.87</v>
          </cell>
          <cell r="G120">
            <v>739110.83</v>
          </cell>
        </row>
        <row r="121">
          <cell r="C121" t="str">
            <v>Miscellaneous Income (TDS : Nil ; Previous Year : Nil)</v>
          </cell>
          <cell r="E121">
            <v>203561</v>
          </cell>
          <cell r="G121">
            <v>507521.12</v>
          </cell>
        </row>
        <row r="124">
          <cell r="E124">
            <v>855527.87</v>
          </cell>
          <cell r="G124">
            <v>1246631.95</v>
          </cell>
        </row>
        <row r="127">
          <cell r="C127" t="str">
            <v>14- COST OF SALES AND SERVICES</v>
          </cell>
        </row>
        <row r="129">
          <cell r="E129" t="str">
            <v>30.11.02</v>
          </cell>
          <cell r="G129" t="str">
            <v>31.03.02</v>
          </cell>
        </row>
        <row r="130">
          <cell r="E130" t="str">
            <v>Rs</v>
          </cell>
          <cell r="G130" t="str">
            <v>Rs</v>
          </cell>
        </row>
        <row r="132">
          <cell r="C132" t="str">
            <v>Purchase of Finished Goods and Services</v>
          </cell>
          <cell r="E132">
            <v>1234353189.803</v>
          </cell>
          <cell r="G132">
            <v>1391074844.5474033</v>
          </cell>
        </row>
        <row r="133">
          <cell r="C133" t="str">
            <v>Telesupport / Indent Margin from Insys</v>
          </cell>
          <cell r="E133">
            <v>-40591546.32</v>
          </cell>
          <cell r="G133">
            <v>-53435861.659999996</v>
          </cell>
        </row>
        <row r="134">
          <cell r="C134" t="str">
            <v>Stores and Spares Consumed</v>
          </cell>
          <cell r="E134">
            <v>22508261.290000007</v>
          </cell>
          <cell r="G134">
            <v>58423524.819999993</v>
          </cell>
        </row>
        <row r="135">
          <cell r="C135" t="str">
            <v>Royalty</v>
          </cell>
          <cell r="E135">
            <v>2092867.36</v>
          </cell>
          <cell r="G135">
            <v>2360122.2000000002</v>
          </cell>
        </row>
        <row r="136">
          <cell r="E136">
            <v>1218362772.1329999</v>
          </cell>
          <cell r="G136">
            <v>1398422629.9074032</v>
          </cell>
        </row>
        <row r="138">
          <cell r="C138" t="str">
            <v>Closing Stock</v>
          </cell>
        </row>
        <row r="139">
          <cell r="C139" t="str">
            <v xml:space="preserve"> - Finished Goods (Including in Transit)</v>
          </cell>
          <cell r="E139">
            <v>100141379.05000001</v>
          </cell>
          <cell r="G139">
            <v>91251248.49000001</v>
          </cell>
        </row>
        <row r="141">
          <cell r="C141" t="str">
            <v>Opening Stock</v>
          </cell>
        </row>
        <row r="142">
          <cell r="C142" t="str">
            <v xml:space="preserve"> - Finished Goods (Including in Transit)</v>
          </cell>
          <cell r="E142">
            <v>91251248.49000001</v>
          </cell>
          <cell r="G142">
            <v>79721714.699999988</v>
          </cell>
        </row>
        <row r="144">
          <cell r="E144">
            <v>91251248.49000001</v>
          </cell>
          <cell r="G144">
            <v>79721714.699999988</v>
          </cell>
        </row>
        <row r="145">
          <cell r="E145">
            <v>-8890130.5600000024</v>
          </cell>
          <cell r="G145">
            <v>-11529533.790000021</v>
          </cell>
        </row>
        <row r="146">
          <cell r="E146">
            <v>1209472641.573</v>
          </cell>
          <cell r="G146">
            <v>1386893096.1174033</v>
          </cell>
        </row>
        <row r="148">
          <cell r="C148" t="str">
            <v>15- PERSONNEL</v>
          </cell>
        </row>
        <row r="150">
          <cell r="E150" t="str">
            <v>30.11.02</v>
          </cell>
          <cell r="G150" t="str">
            <v>31.03.02</v>
          </cell>
        </row>
        <row r="151">
          <cell r="E151" t="str">
            <v>Rs</v>
          </cell>
          <cell r="G151" t="str">
            <v>Rs</v>
          </cell>
        </row>
        <row r="153">
          <cell r="C153" t="str">
            <v>Salaries, Wages, Allowances, Bonus &amp; Gratuity</v>
          </cell>
          <cell r="E153">
            <v>52434833.100000001</v>
          </cell>
          <cell r="G153">
            <v>65908311.810000002</v>
          </cell>
        </row>
        <row r="154">
          <cell r="C154" t="str">
            <v>Contribution to Provident Fund &amp; Other Funds</v>
          </cell>
          <cell r="E154">
            <v>1341558.46</v>
          </cell>
          <cell r="G154">
            <v>2073067.67</v>
          </cell>
        </row>
        <row r="155">
          <cell r="C155" t="str">
            <v>Staff Welfare Expenses</v>
          </cell>
          <cell r="E155">
            <v>2198882</v>
          </cell>
          <cell r="G155">
            <v>3940632.85</v>
          </cell>
        </row>
        <row r="156">
          <cell r="C156" t="str">
            <v>Advance Equity Trust Written Off</v>
          </cell>
          <cell r="E156">
            <v>0</v>
          </cell>
          <cell r="G156">
            <v>8994655</v>
          </cell>
        </row>
        <row r="158">
          <cell r="E158">
            <v>55975273.560000002</v>
          </cell>
          <cell r="G158">
            <v>80916667.329999998</v>
          </cell>
        </row>
        <row r="160">
          <cell r="C160" t="str">
            <v>SCHEDULES TO THE PROFIT AND LOSS ACCOUNT FOR THE YEAR ENDED</v>
          </cell>
        </row>
        <row r="162">
          <cell r="C162" t="str">
            <v>16- ADMINISTRATION, SELLING AND DISTRIBUTION</v>
          </cell>
        </row>
        <row r="164">
          <cell r="E164" t="str">
            <v>30.11.02</v>
          </cell>
          <cell r="G164" t="str">
            <v>31.03.02</v>
          </cell>
        </row>
        <row r="165">
          <cell r="E165" t="str">
            <v>Rs</v>
          </cell>
          <cell r="G165" t="str">
            <v>Rs</v>
          </cell>
        </row>
        <row r="167">
          <cell r="C167" t="str">
            <v>Rent</v>
          </cell>
          <cell r="E167">
            <v>1475303.82</v>
          </cell>
          <cell r="G167">
            <v>14868432.989999998</v>
          </cell>
        </row>
        <row r="168">
          <cell r="C168" t="str">
            <v>Rates and Taxes</v>
          </cell>
          <cell r="E168">
            <v>455193.00000000017</v>
          </cell>
          <cell r="G168">
            <v>433469.74</v>
          </cell>
        </row>
        <row r="169">
          <cell r="C169" t="str">
            <v>Printing and Stationery</v>
          </cell>
          <cell r="E169">
            <v>1193668</v>
          </cell>
          <cell r="G169">
            <v>2040516.31</v>
          </cell>
        </row>
        <row r="170">
          <cell r="C170" t="str">
            <v>Communication</v>
          </cell>
          <cell r="E170">
            <v>6093102.0599999996</v>
          </cell>
          <cell r="G170">
            <v>10658680.939999999</v>
          </cell>
        </row>
        <row r="171">
          <cell r="C171" t="str">
            <v>Travelling and Conveyance</v>
          </cell>
          <cell r="E171">
            <v>10328096.940000001</v>
          </cell>
          <cell r="G171">
            <v>14347144.68</v>
          </cell>
        </row>
        <row r="172">
          <cell r="C172" t="str">
            <v>Packing, Freight and Forwarding</v>
          </cell>
          <cell r="E172">
            <v>22749341.900000002</v>
          </cell>
          <cell r="G172">
            <v>24986171.199999999</v>
          </cell>
        </row>
        <row r="173">
          <cell r="C173" t="str">
            <v>Legal and Professional</v>
          </cell>
          <cell r="E173">
            <v>4412526.68</v>
          </cell>
          <cell r="G173">
            <v>3863896.5</v>
          </cell>
        </row>
        <row r="174">
          <cell r="C174" t="str">
            <v>Traning and Conference</v>
          </cell>
          <cell r="E174">
            <v>788751.77</v>
          </cell>
          <cell r="G174">
            <v>1540784</v>
          </cell>
        </row>
        <row r="175">
          <cell r="C175" t="str">
            <v>Office Electricity and Water</v>
          </cell>
          <cell r="E175">
            <v>1828935.2</v>
          </cell>
          <cell r="G175">
            <v>2591698.6</v>
          </cell>
        </row>
        <row r="176">
          <cell r="C176" t="str">
            <v>Miscellaneous</v>
          </cell>
          <cell r="E176">
            <v>749752.85</v>
          </cell>
          <cell r="G176">
            <v>1570622.3905865857</v>
          </cell>
        </row>
        <row r="177">
          <cell r="C177" t="str">
            <v>Insurance</v>
          </cell>
          <cell r="E177">
            <v>1497265.85</v>
          </cell>
          <cell r="G177">
            <v>2221713.21</v>
          </cell>
        </row>
        <row r="178">
          <cell r="C178" t="str">
            <v>Advertisement, Publicity &amp; Entertainment</v>
          </cell>
          <cell r="E178">
            <v>17076979.490000002</v>
          </cell>
          <cell r="G178">
            <v>10980592.219999999</v>
          </cell>
        </row>
        <row r="179">
          <cell r="C179" t="str">
            <v>Computer Equipment &amp; Vehicle Hire Charges</v>
          </cell>
          <cell r="E179">
            <v>482399</v>
          </cell>
          <cell r="G179">
            <v>587217.05000000005</v>
          </cell>
        </row>
        <row r="180">
          <cell r="C180" t="str">
            <v>Loss on Foreign Exchange Fluctuation (Net)</v>
          </cell>
          <cell r="E180">
            <v>-1849624.69</v>
          </cell>
          <cell r="G180">
            <v>695478.92</v>
          </cell>
        </row>
        <row r="181">
          <cell r="C181" t="str">
            <v>Loss / Profit on Sale of Fixed Assets  (Net)</v>
          </cell>
          <cell r="E181">
            <v>0</v>
          </cell>
          <cell r="G181">
            <v>109211.09</v>
          </cell>
        </row>
        <row r="182">
          <cell r="C182" t="str">
            <v>Bank Charges</v>
          </cell>
          <cell r="E182">
            <v>4963239.24</v>
          </cell>
          <cell r="G182">
            <v>4483290.43</v>
          </cell>
        </row>
        <row r="183">
          <cell r="C183" t="str">
            <v>Provision for Doubtful Debts</v>
          </cell>
          <cell r="E183">
            <v>2100000</v>
          </cell>
          <cell r="G183">
            <v>1500000</v>
          </cell>
        </row>
        <row r="185">
          <cell r="E185">
            <v>74344931.109999999</v>
          </cell>
          <cell r="G185">
            <v>97478920.27058658</v>
          </cell>
        </row>
        <row r="188">
          <cell r="C188" t="str">
            <v>17- REPAIRS AND MAINTENANCE</v>
          </cell>
        </row>
        <row r="190">
          <cell r="E190" t="str">
            <v>30.11.02</v>
          </cell>
          <cell r="G190" t="str">
            <v>31.03.02</v>
          </cell>
        </row>
        <row r="191">
          <cell r="E191" t="str">
            <v>Rs</v>
          </cell>
          <cell r="G191" t="str">
            <v>Rs</v>
          </cell>
        </row>
        <row r="193">
          <cell r="C193" t="str">
            <v>Others</v>
          </cell>
          <cell r="E193">
            <v>1262722.5</v>
          </cell>
          <cell r="G193">
            <v>1799378.08</v>
          </cell>
        </row>
        <row r="195">
          <cell r="E195">
            <v>1262722.5</v>
          </cell>
          <cell r="G195">
            <v>1799378.08</v>
          </cell>
        </row>
        <row r="197">
          <cell r="C197" t="str">
            <v>18- FINANCE CHARGES</v>
          </cell>
        </row>
        <row r="198">
          <cell r="D198">
            <v>132250954.23999999</v>
          </cell>
        </row>
        <row r="199">
          <cell r="E199" t="str">
            <v>30.11.02</v>
          </cell>
          <cell r="G199" t="str">
            <v>31.03.02</v>
          </cell>
        </row>
        <row r="200">
          <cell r="E200" t="str">
            <v>Rs</v>
          </cell>
          <cell r="G200" t="str">
            <v>Rs</v>
          </cell>
        </row>
        <row r="202">
          <cell r="C202" t="str">
            <v>Others</v>
          </cell>
          <cell r="E202">
            <v>668027.07000000007</v>
          </cell>
          <cell r="G202">
            <v>430639.98</v>
          </cell>
        </row>
        <row r="203">
          <cell r="C203" t="str">
            <v>(Interest recovered from employees Rs. Nil ; Previous Year :  Rs. Nil lacs)</v>
          </cell>
        </row>
        <row r="204">
          <cell r="E204">
            <v>668027.07000000007</v>
          </cell>
          <cell r="G204">
            <v>430639.98</v>
          </cell>
        </row>
      </sheetData>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P&amp;L"/>
      <sheetName val="DP&amp;L"/>
      <sheetName val="LivaP&amp;L"/>
      <sheetName val="Cadila"/>
      <sheetName val="Cslcog"/>
      <sheetName val="CExp"/>
      <sheetName val="CBs"/>
      <sheetName val="Alidac"/>
      <sheetName val="AP&amp;L"/>
      <sheetName val="AExp"/>
      <sheetName val="For"/>
      <sheetName val="ForP&amp;L"/>
      <sheetName val="FExp"/>
      <sheetName val="Cor"/>
      <sheetName val="CorP&amp;L"/>
      <sheetName val="CorExp"/>
      <sheetName val="Medica"/>
      <sheetName val="MP&amp;L"/>
      <sheetName val="MExp"/>
      <sheetName val="CnD"/>
      <sheetName val="DExp"/>
      <sheetName val="Bio"/>
      <sheetName val="BP&amp;L"/>
      <sheetName val="Temp-B"/>
      <sheetName val="Bslcog"/>
      <sheetName val="BExp"/>
      <sheetName val="BBs"/>
      <sheetName val="Neuro"/>
      <sheetName val="NP&amp;L"/>
      <sheetName val="Nslcog"/>
      <sheetName val="NExp"/>
      <sheetName val="NBs"/>
      <sheetName val="Liva"/>
      <sheetName val="Livaexp"/>
      <sheetName val="Other1"/>
      <sheetName val="Other7"/>
      <sheetName val="TP&amp;L1"/>
      <sheetName val="TP&amp;L7"/>
      <sheetName val="BU1"/>
      <sheetName val="SalPBT1"/>
      <sheetName val="BU7"/>
      <sheetName val="SalPBT7"/>
      <sheetName val="WK7"/>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 &amp; Dec 04"/>
      <sheetName val="PO for Assets 2004"/>
      <sheetName val="Capex Consolidated"/>
      <sheetName val="EXPENSE Consolidated"/>
      <sheetName val="RFC11"/>
      <sheetName val="RFC 05 2005"/>
      <sheetName val="Sales &amp; debit note Consolidated"/>
      <sheetName val="APAG Template"/>
      <sheetName val="Dividend"/>
      <sheetName val="Cash Flow Forecast 2005"/>
      <sheetName val="Cash Flow Mar 05"/>
      <sheetName val="Jan sorted for cash flow"/>
      <sheetName val="Feb sorted for cash flow"/>
      <sheetName val="Mar sorted for cash flow"/>
      <sheetName val="lIST OF ASSET ADVANCES"/>
      <sheetName val="Bank Balance"/>
      <sheetName val="May 05"/>
      <sheetName val="May 05 sorted for cash flow"/>
      <sheetName val="Nov_&amp;_Dec_04"/>
      <sheetName val="PO_for_Assets_2004"/>
      <sheetName val="Capex_Consolidated"/>
      <sheetName val="EXPENSE_Consolidated"/>
      <sheetName val="RFC_05_2005"/>
      <sheetName val="Sales_&amp;_debit_note_Consolidated"/>
      <sheetName val="APAG_Template"/>
      <sheetName val="Cash_Flow_Forecast_2005"/>
      <sheetName val="Cash_Flow_Mar_05"/>
      <sheetName val="Jan_sorted_for_cash_flow"/>
      <sheetName val="Feb_sorted_for_cash_flow"/>
      <sheetName val="Mar_sorted_for_cash_flow"/>
      <sheetName val="lIST_OF_ASSET_ADVANCES"/>
      <sheetName val="Bank_Balance"/>
      <sheetName val="May_05"/>
      <sheetName val="May_05_sorted_for_cash_flow"/>
      <sheetName val="Nov_&amp;_Dec_041"/>
      <sheetName val="PO_for_Assets_20041"/>
      <sheetName val="Capex_Consolidated1"/>
      <sheetName val="EXPENSE_Consolidated1"/>
      <sheetName val="RFC_05_20051"/>
      <sheetName val="Sales_&amp;_debit_note_Consolidate1"/>
      <sheetName val="APAG_Template1"/>
      <sheetName val="Cash_Flow_Forecast_20051"/>
      <sheetName val="Cash_Flow_Mar_051"/>
      <sheetName val="Jan_sorted_for_cash_flow1"/>
      <sheetName val="Feb_sorted_for_cash_flow1"/>
      <sheetName val="Mar_sorted_for_cash_flow1"/>
      <sheetName val="lIST_OF_ASSET_ADVANCES1"/>
      <sheetName val="Bank_Balance1"/>
      <sheetName val="May_051"/>
      <sheetName val="May_05_sorted_for_cash_flow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above 10L F"/>
      <sheetName val="Home"/>
      <sheetName val="Approved Budget 05-06"/>
      <sheetName val="CapEx Detail 05-06"/>
      <sheetName val="Action Plan For 05-06"/>
      <sheetName val="CapEx Summary 05-06"/>
      <sheetName val="CF 05-06"/>
      <sheetName val="05-06 CF Summary"/>
      <sheetName val="Items above 10L"/>
      <sheetName val="06-07 Detail"/>
      <sheetName val="Summary"/>
      <sheetName val="Time Line-Wishlist"/>
      <sheetName val="Time Line-Final"/>
      <sheetName val="Statistics Wishlist"/>
      <sheetName val="Statistics Final"/>
      <sheetName val="Sheet2"/>
      <sheetName val="Nslcog"/>
      <sheetName val="Cor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E2" t="str">
            <v>Apr | 06</v>
          </cell>
          <cell r="BH2" t="str">
            <v>Development</v>
          </cell>
          <cell r="BK2" t="str">
            <v>ADL</v>
          </cell>
        </row>
        <row r="3">
          <cell r="BE3" t="str">
            <v>May | 06</v>
          </cell>
          <cell r="BH3" t="str">
            <v>Discovery</v>
          </cell>
          <cell r="BK3" t="str">
            <v>ADM</v>
          </cell>
        </row>
        <row r="4">
          <cell r="BE4" t="str">
            <v>Jun | 06</v>
          </cell>
          <cell r="BH4" t="str">
            <v>Support</v>
          </cell>
          <cell r="BK4" t="str">
            <v>APP</v>
          </cell>
        </row>
        <row r="5">
          <cell r="BE5" t="str">
            <v>Jul | 06</v>
          </cell>
          <cell r="BK5" t="str">
            <v>BAN</v>
          </cell>
        </row>
        <row r="6">
          <cell r="BE6" t="str">
            <v>Aug | 06</v>
          </cell>
          <cell r="BK6" t="str">
            <v>CMB</v>
          </cell>
        </row>
        <row r="7">
          <cell r="BE7" t="str">
            <v>Sep | 06</v>
          </cell>
          <cell r="BK7" t="str">
            <v>COM</v>
          </cell>
        </row>
        <row r="8">
          <cell r="BE8" t="str">
            <v>Oct | 06</v>
          </cell>
          <cell r="BK8" t="str">
            <v>CQA</v>
          </cell>
        </row>
        <row r="9">
          <cell r="BE9" t="str">
            <v>Nov | 06</v>
          </cell>
          <cell r="BK9" t="str">
            <v>CR</v>
          </cell>
        </row>
        <row r="10">
          <cell r="BE10" t="str">
            <v>Dec | 06</v>
          </cell>
          <cell r="BK10" t="str">
            <v>ENG</v>
          </cell>
        </row>
        <row r="11">
          <cell r="BE11" t="str">
            <v>Jan | 07</v>
          </cell>
          <cell r="BK11" t="str">
            <v>FND</v>
          </cell>
        </row>
        <row r="12">
          <cell r="BE12" t="str">
            <v>Feb | 07</v>
          </cell>
          <cell r="BK12" t="str">
            <v>HRD</v>
          </cell>
        </row>
        <row r="13">
          <cell r="BE13" t="str">
            <v>Mar | 07</v>
          </cell>
          <cell r="BK13" t="str">
            <v>IM</v>
          </cell>
        </row>
        <row r="14">
          <cell r="BE14" t="str">
            <v>Apr | 07</v>
          </cell>
          <cell r="BK14" t="str">
            <v>ITD</v>
          </cell>
        </row>
        <row r="15">
          <cell r="BE15" t="str">
            <v>May | 07</v>
          </cell>
          <cell r="BK15" t="str">
            <v>MCD</v>
          </cell>
        </row>
        <row r="16">
          <cell r="BE16" t="str">
            <v>Jun | 07</v>
          </cell>
          <cell r="BK16" t="str">
            <v>MDD</v>
          </cell>
        </row>
        <row r="17">
          <cell r="BE17" t="str">
            <v>Jul | 07</v>
          </cell>
          <cell r="BK17" t="str">
            <v>PAT</v>
          </cell>
        </row>
        <row r="18">
          <cell r="BE18" t="str">
            <v>Aug | 07</v>
          </cell>
        </row>
        <row r="19">
          <cell r="BE19" t="str">
            <v>Sep | 07</v>
          </cell>
        </row>
        <row r="20">
          <cell r="BE20" t="str">
            <v>Oct | 07</v>
          </cell>
        </row>
        <row r="21">
          <cell r="BE21" t="str">
            <v>Nov | 07</v>
          </cell>
        </row>
        <row r="22">
          <cell r="BE22" t="str">
            <v>Dec | 07</v>
          </cell>
        </row>
        <row r="23">
          <cell r="BE23" t="str">
            <v>Jan | 08</v>
          </cell>
        </row>
        <row r="24">
          <cell r="BE24" t="str">
            <v>Feb | 08</v>
          </cell>
        </row>
        <row r="25">
          <cell r="BE25" t="str">
            <v>Mar | 08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_SHEET_Local"/>
      <sheetName val="COST_SHEET_Exports"/>
      <sheetName val="ProdCost"/>
      <sheetName val="RmPm"/>
      <sheetName val="Exports"/>
      <sheetName val="Local"/>
    </sheetNames>
    <sheetDataSet>
      <sheetData sheetId="0" refreshError="1"/>
      <sheetData sheetId="1" refreshError="1"/>
      <sheetData sheetId="2" refreshError="1"/>
      <sheetData sheetId="3" refreshError="1"/>
      <sheetData sheetId="4" refreshError="1">
        <row r="190">
          <cell r="S190">
            <v>61073.350396926333</v>
          </cell>
        </row>
        <row r="192">
          <cell r="S192">
            <v>6787729.1458379207</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Enero"/>
      <sheetName val="Febrero"/>
      <sheetName val="Marzo"/>
      <sheetName val="Abril"/>
      <sheetName val="Mayo"/>
      <sheetName val="Junio"/>
      <sheetName val="Julio"/>
      <sheetName val="Agosto"/>
      <sheetName val="Octubre"/>
      <sheetName val="noviembre"/>
      <sheetName val="Septiembre"/>
      <sheetName val="Sistema"/>
      <sheetName val="Exports"/>
    </sheetNames>
    <sheetDataSet>
      <sheetData sheetId="0"/>
      <sheetData sheetId="1" refreshError="1">
        <row r="12">
          <cell r="P12">
            <v>0.01</v>
          </cell>
          <cell r="Q12">
            <v>341.35</v>
          </cell>
          <cell r="R12">
            <v>0</v>
          </cell>
          <cell r="U12">
            <v>0.01</v>
          </cell>
          <cell r="V12">
            <v>1217.26</v>
          </cell>
        </row>
        <row r="13">
          <cell r="P13">
            <v>341.36</v>
          </cell>
          <cell r="Q13">
            <v>2897.26</v>
          </cell>
          <cell r="R13">
            <v>10.24</v>
          </cell>
          <cell r="U13">
            <v>1217.27</v>
          </cell>
          <cell r="V13">
            <v>1792.32</v>
          </cell>
        </row>
        <row r="14">
          <cell r="P14">
            <v>2897.2700000000004</v>
          </cell>
          <cell r="Q14">
            <v>5091.68</v>
          </cell>
          <cell r="R14">
            <v>265.83</v>
          </cell>
          <cell r="U14">
            <v>1792.33</v>
          </cell>
          <cell r="V14">
            <v>1825.85</v>
          </cell>
        </row>
        <row r="15">
          <cell r="P15">
            <v>5091.6900000000005</v>
          </cell>
          <cell r="Q15">
            <v>5918.87</v>
          </cell>
          <cell r="R15">
            <v>638.88</v>
          </cell>
          <cell r="U15">
            <v>1825.86</v>
          </cell>
          <cell r="V15">
            <v>2389.7399999999998</v>
          </cell>
        </row>
        <row r="16">
          <cell r="P16">
            <v>5918.88</v>
          </cell>
          <cell r="Q16">
            <v>7086.49</v>
          </cell>
          <cell r="R16">
            <v>845.68</v>
          </cell>
          <cell r="U16">
            <v>2389.75</v>
          </cell>
          <cell r="V16">
            <v>2434.48</v>
          </cell>
        </row>
        <row r="17">
          <cell r="P17">
            <v>7086.5</v>
          </cell>
          <cell r="Q17">
            <v>14292.44</v>
          </cell>
          <cell r="R17">
            <v>1219.32</v>
          </cell>
          <cell r="U17">
            <v>2434.4900000000002</v>
          </cell>
          <cell r="V17">
            <v>2604.9</v>
          </cell>
        </row>
        <row r="18">
          <cell r="P18">
            <v>14292.45</v>
          </cell>
          <cell r="Q18">
            <v>41666.67</v>
          </cell>
          <cell r="R18">
            <v>3597.28</v>
          </cell>
          <cell r="U18">
            <v>2604.9100000000003</v>
          </cell>
          <cell r="V18">
            <v>3059.49</v>
          </cell>
        </row>
        <row r="19">
          <cell r="P19">
            <v>41666.68</v>
          </cell>
          <cell r="Q19">
            <v>125000</v>
          </cell>
          <cell r="R19">
            <v>12904.52</v>
          </cell>
          <cell r="U19">
            <v>3059.5</v>
          </cell>
          <cell r="V19">
            <v>3245.98</v>
          </cell>
        </row>
        <row r="20">
          <cell r="U20">
            <v>3245.9900000000002</v>
          </cell>
          <cell r="V20">
            <v>3671.41</v>
          </cell>
        </row>
        <row r="21">
          <cell r="U21">
            <v>3671.42</v>
          </cell>
          <cell r="V21">
            <v>4283.32</v>
          </cell>
        </row>
        <row r="22">
          <cell r="U22">
            <v>4283.33</v>
          </cell>
          <cell r="V22">
            <v>4895.2</v>
          </cell>
        </row>
        <row r="23">
          <cell r="U23">
            <v>4895.21</v>
          </cell>
          <cell r="V23">
            <v>5079.93</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Graphs"/>
      <sheetName val="GTS"/>
      <sheetName val="GRF"/>
      <sheetName val="INN"/>
      <sheetName val="PUB"/>
      <sheetName val="COR"/>
      <sheetName val="GTS TB"/>
      <sheetName val="GRF TB"/>
      <sheetName val="INN TB"/>
      <sheetName val="PUB TB"/>
      <sheetName val="COR TB"/>
      <sheetName val="Sales Fcst 101801"/>
      <sheetName val="Fab 5"/>
      <sheetName val="Staffing"/>
      <sheetName val="GRF Labor"/>
      <sheetName val="GRF Summ Labor"/>
      <sheetName val="PUB Labor"/>
      <sheetName val="INN Labor"/>
      <sheetName val="All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ales_Eur"/>
      <sheetName val="Samples_Eur"/>
      <sheetName val="Poland"/>
      <sheetName val="Romania"/>
      <sheetName val="Czech"/>
      <sheetName val="We"/>
      <sheetName val="HO_EUROPE"/>
      <sheetName val="Europe"/>
      <sheetName val="Sheet1"/>
    </sheetNames>
    <sheetDataSet>
      <sheetData sheetId="0" refreshError="1"/>
      <sheetData sheetId="1" refreshError="1">
        <row r="2">
          <cell r="AX2" t="str">
            <v>Budget 2003-04 : International Operations</v>
          </cell>
          <cell r="DG2" t="str">
            <v>Budget 2003-04 : International Operations</v>
          </cell>
        </row>
        <row r="3">
          <cell r="AX3" t="str">
            <v>Territory : Russia &amp; CIS</v>
          </cell>
          <cell r="BD3">
            <v>100000</v>
          </cell>
          <cell r="DG3" t="str">
            <v>Territory : Russia &amp; CIS</v>
          </cell>
        </row>
        <row r="4">
          <cell r="AX4" t="str">
            <v>Country-wise Material Cost Calculation</v>
          </cell>
          <cell r="DG4" t="str">
            <v>Country-wise DEPB Income calculation</v>
          </cell>
        </row>
        <row r="5">
          <cell r="AX5" t="str">
            <v>ARM</v>
          </cell>
          <cell r="AY5" t="str">
            <v>IRM</v>
          </cell>
          <cell r="AZ5" t="str">
            <v>RM</v>
          </cell>
          <cell r="BA5" t="str">
            <v>PM</v>
          </cell>
          <cell r="BB5" t="str">
            <v>Mat</v>
          </cell>
          <cell r="BD5" t="str">
            <v>April 2003</v>
          </cell>
          <cell r="DG5" t="str">
            <v>DEPB %</v>
          </cell>
          <cell r="DH5" t="str">
            <v>FOB %</v>
          </cell>
          <cell r="DI5" t="str">
            <v>Apr 03</v>
          </cell>
          <cell r="DJ5" t="str">
            <v>May 03</v>
          </cell>
          <cell r="DK5" t="str">
            <v>Jun 03</v>
          </cell>
          <cell r="DL5" t="str">
            <v>Jul 03</v>
          </cell>
          <cell r="DM5" t="str">
            <v>Aug 03</v>
          </cell>
          <cell r="DN5" t="str">
            <v>Sep 03</v>
          </cell>
          <cell r="DO5" t="str">
            <v>Oct 03</v>
          </cell>
          <cell r="DP5" t="str">
            <v>Nov 03</v>
          </cell>
          <cell r="DQ5" t="str">
            <v>Dec 03</v>
          </cell>
          <cell r="DR5" t="str">
            <v>Jan 04</v>
          </cell>
          <cell r="DS5" t="str">
            <v>Feb 04</v>
          </cell>
          <cell r="DT5" t="str">
            <v>Mar 04</v>
          </cell>
          <cell r="DU5" t="str">
            <v>Total 03-04</v>
          </cell>
          <cell r="DV5" t="str">
            <v>Cumm</v>
          </cell>
        </row>
        <row r="6">
          <cell r="AX6" t="str">
            <v>Per Pack</v>
          </cell>
          <cell r="AY6" t="str">
            <v>Per Pack</v>
          </cell>
          <cell r="AZ6" t="str">
            <v>Per Pack</v>
          </cell>
          <cell r="BA6" t="str">
            <v>Per Pack</v>
          </cell>
          <cell r="BB6" t="str">
            <v>Per Pack</v>
          </cell>
          <cell r="BD6" t="str">
            <v>ARM</v>
          </cell>
          <cell r="BE6" t="str">
            <v>IRM</v>
          </cell>
          <cell r="DI6" t="str">
            <v>DEPB</v>
          </cell>
          <cell r="DJ6" t="str">
            <v>DEPB</v>
          </cell>
          <cell r="DK6" t="str">
            <v>DEPB</v>
          </cell>
          <cell r="DL6" t="str">
            <v>DEPB</v>
          </cell>
          <cell r="DM6" t="str">
            <v>DEPB</v>
          </cell>
          <cell r="DN6" t="str">
            <v>DEPB</v>
          </cell>
          <cell r="DO6" t="str">
            <v>DEPB</v>
          </cell>
          <cell r="DP6" t="str">
            <v>DEPB</v>
          </cell>
          <cell r="DQ6" t="str">
            <v>DEPB</v>
          </cell>
          <cell r="DR6" t="str">
            <v>DEPB</v>
          </cell>
          <cell r="DS6" t="str">
            <v>DEPB</v>
          </cell>
          <cell r="DT6" t="str">
            <v>DEPB</v>
          </cell>
          <cell r="DU6" t="str">
            <v>DEPB</v>
          </cell>
          <cell r="DV6" t="str">
            <v>Aug 02</v>
          </cell>
        </row>
        <row r="7">
          <cell r="AX7" t="str">
            <v>( Material cost Rs in Lacs)</v>
          </cell>
        </row>
        <row r="8">
          <cell r="AX8">
            <v>77.439570223388245</v>
          </cell>
          <cell r="AY8">
            <v>5.6524146861075319</v>
          </cell>
          <cell r="AZ8">
            <v>83.091984909495778</v>
          </cell>
          <cell r="BA8">
            <v>23.082238958333335</v>
          </cell>
          <cell r="BB8">
            <v>106.17422386782911</v>
          </cell>
          <cell r="BD8">
            <v>0</v>
          </cell>
          <cell r="BE8">
            <v>0</v>
          </cell>
          <cell r="DG8">
            <v>0.1</v>
          </cell>
          <cell r="DH8">
            <v>0.9</v>
          </cell>
          <cell r="DI8">
            <v>0</v>
          </cell>
          <cell r="DJ8">
            <v>0</v>
          </cell>
          <cell r="DK8">
            <v>0</v>
          </cell>
          <cell r="DL8">
            <v>0</v>
          </cell>
          <cell r="DM8">
            <v>0</v>
          </cell>
          <cell r="DN8">
            <v>0</v>
          </cell>
          <cell r="DO8">
            <v>0</v>
          </cell>
          <cell r="DP8">
            <v>0</v>
          </cell>
          <cell r="DQ8">
            <v>0</v>
          </cell>
          <cell r="DR8">
            <v>0</v>
          </cell>
          <cell r="DS8">
            <v>0</v>
          </cell>
          <cell r="DT8">
            <v>0</v>
          </cell>
          <cell r="DU8">
            <v>0</v>
          </cell>
        </row>
        <row r="9">
          <cell r="AX9">
            <v>77.439570223388245</v>
          </cell>
          <cell r="AY9">
            <v>5.6524146861075319</v>
          </cell>
          <cell r="AZ9">
            <v>83.091984909495778</v>
          </cell>
          <cell r="BA9">
            <v>23.082238958333335</v>
          </cell>
          <cell r="BB9">
            <v>106.17422386782911</v>
          </cell>
        </row>
        <row r="10">
          <cell r="AX10">
            <v>77.439570223388245</v>
          </cell>
          <cell r="AY10">
            <v>5.6524146861075319</v>
          </cell>
          <cell r="AZ10">
            <v>83.091984909495778</v>
          </cell>
          <cell r="BA10">
            <v>23.082238958333335</v>
          </cell>
          <cell r="BB10">
            <v>106.17422386782911</v>
          </cell>
        </row>
        <row r="11">
          <cell r="AX11">
            <v>77.439570223388245</v>
          </cell>
          <cell r="AY11">
            <v>5.6524146861075319</v>
          </cell>
          <cell r="AZ11">
            <v>83.091984909495778</v>
          </cell>
          <cell r="BA11">
            <v>23.082238958333335</v>
          </cell>
          <cell r="BB11">
            <v>106.17422386782911</v>
          </cell>
        </row>
        <row r="12">
          <cell r="BD12">
            <v>0</v>
          </cell>
          <cell r="BE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row>
        <row r="15">
          <cell r="AX15">
            <v>77.439570223388245</v>
          </cell>
          <cell r="AY15">
            <v>5.6524146861075319</v>
          </cell>
          <cell r="AZ15">
            <v>83.091984909495778</v>
          </cell>
          <cell r="BA15">
            <v>23.082238958333335</v>
          </cell>
          <cell r="BB15">
            <v>106.17422386782911</v>
          </cell>
        </row>
        <row r="16">
          <cell r="AX16">
            <v>77.439570223388245</v>
          </cell>
          <cell r="AY16">
            <v>5.6524146861075319</v>
          </cell>
          <cell r="AZ16">
            <v>83.091984909495778</v>
          </cell>
          <cell r="BA16">
            <v>23.082238958333335</v>
          </cell>
          <cell r="BB16">
            <v>106.17422386782911</v>
          </cell>
        </row>
        <row r="17">
          <cell r="AX17">
            <v>77.439570223388245</v>
          </cell>
          <cell r="AY17">
            <v>5.6524146861075319</v>
          </cell>
          <cell r="AZ17">
            <v>83.091984909495778</v>
          </cell>
          <cell r="BA17">
            <v>23.082238958333335</v>
          </cell>
          <cell r="BB17">
            <v>106.17422386782911</v>
          </cell>
        </row>
        <row r="18">
          <cell r="AX18">
            <v>77.439570223388245</v>
          </cell>
          <cell r="AY18">
            <v>5.6524146861075319</v>
          </cell>
          <cell r="AZ18">
            <v>83.091984909495778</v>
          </cell>
          <cell r="BA18">
            <v>23.082238958333335</v>
          </cell>
          <cell r="BB18">
            <v>106.17422386782911</v>
          </cell>
        </row>
        <row r="19">
          <cell r="AX19">
            <v>77.439570223388245</v>
          </cell>
          <cell r="AY19">
            <v>5.6524146861075319</v>
          </cell>
          <cell r="AZ19">
            <v>83.091984909495778</v>
          </cell>
          <cell r="BA19">
            <v>23.082238958333335</v>
          </cell>
          <cell r="BB19">
            <v>106.17422386782911</v>
          </cell>
        </row>
        <row r="20">
          <cell r="AX20">
            <v>77.439570223388245</v>
          </cell>
          <cell r="AY20">
            <v>5.6524146861075319</v>
          </cell>
          <cell r="AZ20">
            <v>83.091984909495778</v>
          </cell>
          <cell r="BA20">
            <v>23.082238958333335</v>
          </cell>
          <cell r="BB20">
            <v>106.17422386782911</v>
          </cell>
        </row>
        <row r="21">
          <cell r="AX21">
            <v>77.439570223388245</v>
          </cell>
          <cell r="AY21">
            <v>5.6524146861075319</v>
          </cell>
          <cell r="AZ21">
            <v>83.091984909495778</v>
          </cell>
          <cell r="BA21">
            <v>23.082238958333335</v>
          </cell>
          <cell r="BB21">
            <v>106.17422386782911</v>
          </cell>
        </row>
        <row r="22">
          <cell r="AX22">
            <v>77.439570223388245</v>
          </cell>
          <cell r="AY22">
            <v>5.6524146861075319</v>
          </cell>
          <cell r="AZ22">
            <v>83.091984909495778</v>
          </cell>
          <cell r="BA22">
            <v>23.082238958333335</v>
          </cell>
          <cell r="BB22">
            <v>106.17422386782911</v>
          </cell>
        </row>
        <row r="23">
          <cell r="AX23">
            <v>77.439570223388245</v>
          </cell>
          <cell r="AY23">
            <v>5.6524146861075319</v>
          </cell>
          <cell r="AZ23">
            <v>83.091984909495778</v>
          </cell>
          <cell r="BA23">
            <v>23.082238958333335</v>
          </cell>
          <cell r="BB23">
            <v>106.17422386782911</v>
          </cell>
        </row>
        <row r="24">
          <cell r="AX24">
            <v>77.439570223388245</v>
          </cell>
          <cell r="AY24">
            <v>5.6524146861075319</v>
          </cell>
          <cell r="AZ24">
            <v>83.091984909495778</v>
          </cell>
          <cell r="BA24">
            <v>23.082238958333335</v>
          </cell>
          <cell r="BB24">
            <v>106.17422386782911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ure 1"/>
      <sheetName val="Annexure 2"/>
      <sheetName val="Annexure 3A"/>
      <sheetName val="ann4"/>
      <sheetName val="Annexure 3B"/>
      <sheetName val="Annexure 4A"/>
      <sheetName val="Annexure 4B"/>
      <sheetName val="Annexure 5A"/>
      <sheetName val="Annexure 5B"/>
      <sheetName val="Annexure 6A"/>
      <sheetName val="ann6"/>
      <sheetName val="Annexure 6B"/>
      <sheetName val="Annexure 6C"/>
      <sheetName val="Annexure 7"/>
      <sheetName val="Annexure 8"/>
      <sheetName val="Annexure 9"/>
      <sheetName val="Annexure 10"/>
      <sheetName val="Annexure 11"/>
      <sheetName val="Annexure 12"/>
      <sheetName val="Sales_E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C Manpower"/>
      <sheetName val="Scientist Data"/>
      <sheetName val="Project List"/>
      <sheetName val="Project Approval"/>
      <sheetName val="AssetMasterDetail"/>
      <sheetName val="Preamble"/>
      <sheetName val="MIS"/>
      <sheetName val="CapEx"/>
      <sheetName val="Asset"/>
      <sheetName val="CivilProjectUpdate"/>
      <sheetName val="ExecutiveSummary"/>
      <sheetName val="ProjectLifeCycle"/>
      <sheetName val="ScientistUsage"/>
      <sheetName val="DetailExpenses"/>
      <sheetName val="ExpensesSummary"/>
      <sheetName val="DataSheet"/>
      <sheetName val="ProjectStatusSummary"/>
      <sheetName val="ProjectStatusJan"/>
      <sheetName val="AssetSummary"/>
      <sheetName val="ProjectMasterData"/>
      <sheetName val="Apr-05"/>
      <sheetName val="May-05"/>
      <sheetName val="Jun-05"/>
      <sheetName val="Jul-05"/>
      <sheetName val="Aug-05"/>
      <sheetName val="Sep-05"/>
      <sheetName val="Oct-05"/>
      <sheetName val="Q1"/>
      <sheetName val="Q2"/>
      <sheetName val="H1"/>
      <sheetName val="Apr-05 (2)"/>
      <sheetName val="Print"/>
      <sheetName val="Cost Element Group"/>
    </sheetNames>
    <sheetDataSet>
      <sheetData sheetId="0"/>
      <sheetData sheetId="1"/>
      <sheetData sheetId="2"/>
      <sheetData sheetId="3" refreshError="1">
        <row r="3">
          <cell r="P3" t="str">
            <v>Division</v>
          </cell>
          <cell r="Q3" t="str">
            <v>Thera Area</v>
          </cell>
          <cell r="R3" t="str">
            <v>Thera Segment</v>
          </cell>
        </row>
        <row r="4">
          <cell r="P4" t="str">
            <v>AXON</v>
          </cell>
          <cell r="Q4" t="str">
            <v>Analgesic &amp; Anti Inf</v>
          </cell>
          <cell r="R4" t="str">
            <v>Ace Inhibitors</v>
          </cell>
        </row>
        <row r="5">
          <cell r="P5" t="str">
            <v>BRAZIL</v>
          </cell>
          <cell r="Q5" t="str">
            <v>Anti Asthamatic</v>
          </cell>
          <cell r="R5" t="str">
            <v>Alfablocker</v>
          </cell>
        </row>
        <row r="6">
          <cell r="P6" t="str">
            <v>DELTA</v>
          </cell>
          <cell r="Q6" t="str">
            <v>Anti Biotics</v>
          </cell>
          <cell r="R6" t="str">
            <v>Amoxycillin</v>
          </cell>
        </row>
        <row r="7">
          <cell r="P7" t="str">
            <v>EUROPE</v>
          </cell>
          <cell r="Q7" t="str">
            <v>Anti Histaminic</v>
          </cell>
          <cell r="R7" t="str">
            <v>Amoxycillin Comb.</v>
          </cell>
        </row>
        <row r="8">
          <cell r="P8" t="str">
            <v>Heumann</v>
          </cell>
          <cell r="Q8" t="str">
            <v>Anti Osteoporosis</v>
          </cell>
          <cell r="R8" t="str">
            <v>Angioten Rec Bloc Co</v>
          </cell>
        </row>
        <row r="9">
          <cell r="P9" t="str">
            <v>MIND</v>
          </cell>
          <cell r="Q9" t="str">
            <v>Anti Parasitics</v>
          </cell>
          <cell r="R9" t="str">
            <v>Angiotensin Rec Bloc</v>
          </cell>
        </row>
        <row r="10">
          <cell r="P10" t="str">
            <v>NEURON</v>
          </cell>
          <cell r="Q10" t="str">
            <v>Anti Rheumatic</v>
          </cell>
          <cell r="R10" t="str">
            <v>Antabuse</v>
          </cell>
        </row>
        <row r="11">
          <cell r="P11" t="str">
            <v>PRIMA</v>
          </cell>
          <cell r="Q11" t="str">
            <v>Cardio Vascular</v>
          </cell>
          <cell r="R11" t="str">
            <v>Anthelmintic</v>
          </cell>
        </row>
        <row r="12">
          <cell r="P12" t="str">
            <v>PS</v>
          </cell>
          <cell r="Q12" t="str">
            <v>Deaddiction</v>
          </cell>
          <cell r="R12" t="str">
            <v>Anti-Alzheimer</v>
          </cell>
        </row>
        <row r="13">
          <cell r="P13" t="str">
            <v>PSYCAN</v>
          </cell>
          <cell r="Q13" t="str">
            <v>Dermatology</v>
          </cell>
          <cell r="R13" t="str">
            <v>Anti-Anginals</v>
          </cell>
        </row>
        <row r="14">
          <cell r="P14" t="str">
            <v>ROW</v>
          </cell>
          <cell r="Q14" t="str">
            <v>Diabetology</v>
          </cell>
          <cell r="R14" t="str">
            <v>Anti-Arthritcs</v>
          </cell>
        </row>
        <row r="15">
          <cell r="P15" t="str">
            <v>RUSSIA</v>
          </cell>
          <cell r="Q15" t="str">
            <v>Gastro Intestinal</v>
          </cell>
          <cell r="R15" t="str">
            <v>Anti-Asthamatic</v>
          </cell>
        </row>
        <row r="16">
          <cell r="P16" t="str">
            <v>USA</v>
          </cell>
          <cell r="Q16" t="str">
            <v>Gynecology</v>
          </cell>
          <cell r="R16" t="str">
            <v>Anti-Coagulants</v>
          </cell>
        </row>
        <row r="17">
          <cell r="P17" t="str">
            <v>VISTA</v>
          </cell>
          <cell r="Q17" t="str">
            <v>Neuro Psychiatry</v>
          </cell>
          <cell r="R17" t="str">
            <v>Anti-Depressant</v>
          </cell>
        </row>
        <row r="18">
          <cell r="Q18" t="str">
            <v>Neurology</v>
          </cell>
          <cell r="R18" t="str">
            <v>Anti-Depressant</v>
          </cell>
        </row>
        <row r="19">
          <cell r="Q19" t="str">
            <v>Nutritional</v>
          </cell>
          <cell r="R19" t="str">
            <v>Anti-Diab</v>
          </cell>
        </row>
        <row r="20">
          <cell r="Q20" t="str">
            <v>Others</v>
          </cell>
          <cell r="R20" t="str">
            <v>Anti-Diab Comb.</v>
          </cell>
        </row>
        <row r="21">
          <cell r="Q21" t="str">
            <v>Pain Killers</v>
          </cell>
          <cell r="R21" t="str">
            <v>Anti-Emetics</v>
          </cell>
        </row>
        <row r="22">
          <cell r="Q22" t="str">
            <v>Psychiatry</v>
          </cell>
          <cell r="R22" t="str">
            <v>Anti-Emetics Comb.</v>
          </cell>
        </row>
        <row r="23">
          <cell r="Q23" t="str">
            <v>Undefined</v>
          </cell>
          <cell r="R23" t="str">
            <v>Anti-Epileptics</v>
          </cell>
        </row>
        <row r="24">
          <cell r="R24" t="str">
            <v>Anti-Fibrinolytics</v>
          </cell>
        </row>
        <row r="25">
          <cell r="R25" t="str">
            <v>Anti-Fungal</v>
          </cell>
        </row>
        <row r="26">
          <cell r="R26" t="str">
            <v>Anti-Histaminic</v>
          </cell>
        </row>
        <row r="27">
          <cell r="R27" t="str">
            <v>Anti-Hypertensive</v>
          </cell>
        </row>
        <row r="28">
          <cell r="R28" t="str">
            <v>Anti-Infectives</v>
          </cell>
        </row>
        <row r="29">
          <cell r="R29" t="str">
            <v>Antiinfla Analgesic</v>
          </cell>
        </row>
        <row r="30">
          <cell r="R30" t="str">
            <v>Anti-Malarials</v>
          </cell>
        </row>
        <row r="31">
          <cell r="R31" t="str">
            <v>Anti-Migraine</v>
          </cell>
        </row>
        <row r="33">
          <cell r="R33" t="str">
            <v>Anti-Obesity</v>
          </cell>
        </row>
        <row r="34">
          <cell r="R34" t="str">
            <v>Anti-Osteoporosis</v>
          </cell>
        </row>
        <row r="35">
          <cell r="R35" t="str">
            <v>Anti-Parkinson</v>
          </cell>
        </row>
        <row r="36">
          <cell r="R36" t="str">
            <v>Anti-Peptic Ulcerant</v>
          </cell>
        </row>
        <row r="37">
          <cell r="R37" t="str">
            <v>Anti-Peptic Ulcerant</v>
          </cell>
        </row>
        <row r="38">
          <cell r="R38" t="str">
            <v>Anti-Peptic Ulcerant</v>
          </cell>
        </row>
        <row r="39">
          <cell r="R39" t="str">
            <v>Anti-Psychotic</v>
          </cell>
        </row>
        <row r="40">
          <cell r="R40" t="str">
            <v>Anti-Rheumatic</v>
          </cell>
        </row>
        <row r="41">
          <cell r="R41" t="str">
            <v>Antivertigo</v>
          </cell>
        </row>
        <row r="42">
          <cell r="R42" t="str">
            <v>Anti-Viral</v>
          </cell>
        </row>
        <row r="43">
          <cell r="R43" t="str">
            <v>Betablocker</v>
          </cell>
        </row>
        <row r="44">
          <cell r="R44" t="str">
            <v>Calc Channel Blocker</v>
          </cell>
        </row>
        <row r="45">
          <cell r="R45" t="str">
            <v>Cephalosporin</v>
          </cell>
        </row>
        <row r="46">
          <cell r="R46" t="str">
            <v>Digestive Enzyme</v>
          </cell>
        </row>
        <row r="47">
          <cell r="R47" t="str">
            <v>Drug for ED</v>
          </cell>
        </row>
        <row r="48">
          <cell r="R48" t="str">
            <v>GI Prokinetic</v>
          </cell>
        </row>
        <row r="49">
          <cell r="R49" t="str">
            <v>Haematinics</v>
          </cell>
        </row>
        <row r="50">
          <cell r="R50" t="str">
            <v>Haemorrheological</v>
          </cell>
        </row>
        <row r="51">
          <cell r="R51" t="str">
            <v>Hormonal Contra</v>
          </cell>
        </row>
        <row r="52">
          <cell r="R52" t="str">
            <v>Hypnotics</v>
          </cell>
        </row>
        <row r="53">
          <cell r="R53" t="str">
            <v>Intestinal Anti-Infe</v>
          </cell>
        </row>
        <row r="54">
          <cell r="R54" t="str">
            <v>Intestinal Anti-Infe</v>
          </cell>
        </row>
        <row r="55">
          <cell r="R55" t="str">
            <v>Iron Polymaltose</v>
          </cell>
        </row>
        <row r="56">
          <cell r="R56" t="str">
            <v>Iron Polymaltose Com</v>
          </cell>
        </row>
        <row r="57">
          <cell r="R57" t="str">
            <v>Lipid Lowering Agent</v>
          </cell>
        </row>
        <row r="58">
          <cell r="R58" t="str">
            <v>Lipid Lowering agent</v>
          </cell>
        </row>
        <row r="59">
          <cell r="R59" t="str">
            <v>Macrolide</v>
          </cell>
        </row>
        <row r="60">
          <cell r="R60" t="str">
            <v>Neurotonics</v>
          </cell>
        </row>
        <row r="61">
          <cell r="R61" t="str">
            <v>Nitrates</v>
          </cell>
        </row>
        <row r="62">
          <cell r="R62" t="str">
            <v>Other Derma</v>
          </cell>
        </row>
        <row r="63">
          <cell r="R63" t="str">
            <v>Other Diuretics</v>
          </cell>
        </row>
        <row r="64">
          <cell r="R64" t="str">
            <v>Other Multi-Vitamins</v>
          </cell>
        </row>
        <row r="65">
          <cell r="R65" t="str">
            <v>Pot.Channel Opener</v>
          </cell>
        </row>
        <row r="66">
          <cell r="R66" t="str">
            <v>Quinolones</v>
          </cell>
        </row>
        <row r="67">
          <cell r="R67" t="str">
            <v>Statins</v>
          </cell>
        </row>
        <row r="68">
          <cell r="R68" t="str">
            <v>Tranquilizer</v>
          </cell>
        </row>
        <row r="69">
          <cell r="R69" t="str">
            <v>Ulcerative Colitis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
      <sheetName val="Exp"/>
      <sheetName val="BS"/>
      <sheetName val="PNL"/>
      <sheetName val="sl&amp;cog"/>
      <sheetName val="Reco"/>
      <sheetName val="BS-Detail"/>
      <sheetName val="Day"/>
      <sheetName val="SALES"/>
      <sheetName val="Prism"/>
      <sheetName val="shn"/>
    </sheetNames>
    <sheetDataSet>
      <sheetData sheetId="0"/>
      <sheetData sheetId="1"/>
      <sheetData sheetId="2" refreshError="1"/>
      <sheetData sheetId="3"/>
      <sheetData sheetId="4" refreshError="1"/>
      <sheetData sheetId="5" refreshError="1"/>
      <sheetData sheetId="6"/>
      <sheetData sheetId="7" refreshError="1"/>
      <sheetData sheetId="8"/>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RATE"/>
      <sheetName val="QTY-DATA"/>
      <sheetName val="VALUE-DOMESTIC"/>
      <sheetName val="VALUE-EXPORT"/>
      <sheetName val="comments"/>
      <sheetName val="SUMMARY"/>
      <sheetName val="Exp"/>
    </sheetNames>
    <sheetDataSet>
      <sheetData sheetId="0"/>
      <sheetData sheetId="1">
        <row r="463">
          <cell r="D463" t="str">
            <v>ACTRAPID HM (GE)</v>
          </cell>
          <cell r="F463">
            <v>10</v>
          </cell>
          <cell r="H463">
            <v>0</v>
          </cell>
        </row>
        <row r="464">
          <cell r="D464" t="str">
            <v>ALCYTAM 20 (4*7)</v>
          </cell>
          <cell r="F464">
            <v>7</v>
          </cell>
          <cell r="H464">
            <v>700000</v>
          </cell>
          <cell r="I464">
            <v>40320</v>
          </cell>
        </row>
        <row r="465">
          <cell r="D465" t="str">
            <v>ALCYTAM 20 (2*7)</v>
          </cell>
          <cell r="F465">
            <v>7</v>
          </cell>
          <cell r="H465">
            <v>0</v>
          </cell>
        </row>
        <row r="466">
          <cell r="D466" t="str">
            <v>ALMINTH 200</v>
          </cell>
          <cell r="F466">
            <v>2</v>
          </cell>
          <cell r="H466">
            <v>3200</v>
          </cell>
          <cell r="I466">
            <v>78992</v>
          </cell>
        </row>
        <row r="467">
          <cell r="D467" t="str">
            <v>ALMINTH 200 (100 T)</v>
          </cell>
          <cell r="F467">
            <v>100</v>
          </cell>
          <cell r="H467">
            <v>0</v>
          </cell>
        </row>
        <row r="468">
          <cell r="D468" t="str">
            <v>ALMINTH 400</v>
          </cell>
          <cell r="F468">
            <v>1</v>
          </cell>
          <cell r="H468">
            <v>0</v>
          </cell>
        </row>
        <row r="469">
          <cell r="D469" t="str">
            <v>ALMINTH 400 (100 T)</v>
          </cell>
          <cell r="F469">
            <v>100</v>
          </cell>
          <cell r="H469">
            <v>0</v>
          </cell>
          <cell r="I469">
            <v>52</v>
          </cell>
        </row>
        <row r="470">
          <cell r="D470" t="str">
            <v>ALMINTH SUSP.</v>
          </cell>
          <cell r="F470">
            <v>10</v>
          </cell>
          <cell r="H470">
            <v>0</v>
          </cell>
        </row>
        <row r="471">
          <cell r="D471" t="str">
            <v>ALPRAX 0.25 (2*10)</v>
          </cell>
          <cell r="F471">
            <v>10</v>
          </cell>
          <cell r="H471">
            <v>400000</v>
          </cell>
          <cell r="I471">
            <v>96150</v>
          </cell>
        </row>
        <row r="472">
          <cell r="D472" t="str">
            <v>ALPRAX 0.50(3*10)</v>
          </cell>
          <cell r="F472">
            <v>10</v>
          </cell>
          <cell r="H472">
            <v>0</v>
          </cell>
          <cell r="I472">
            <v>117348</v>
          </cell>
        </row>
        <row r="473">
          <cell r="D473" t="str">
            <v>ALPRAX 0.50 - 1*10</v>
          </cell>
          <cell r="F473">
            <v>10</v>
          </cell>
          <cell r="H473">
            <v>0</v>
          </cell>
        </row>
        <row r="474">
          <cell r="D474" t="str">
            <v>ALPRAX 0.50(2*10)</v>
          </cell>
          <cell r="F474">
            <v>10</v>
          </cell>
          <cell r="H474">
            <v>400000</v>
          </cell>
        </row>
        <row r="475">
          <cell r="D475" t="str">
            <v>ALPRAX 1 (2*10)</v>
          </cell>
          <cell r="F475">
            <v>10</v>
          </cell>
          <cell r="H475">
            <v>400000</v>
          </cell>
          <cell r="I475">
            <v>77828</v>
          </cell>
        </row>
        <row r="476">
          <cell r="D476" t="str">
            <v>AMLOCOR 2.5 (3*10)</v>
          </cell>
          <cell r="F476">
            <v>10</v>
          </cell>
          <cell r="H476">
            <v>0</v>
          </cell>
          <cell r="I476">
            <v>16956</v>
          </cell>
        </row>
        <row r="477">
          <cell r="D477" t="str">
            <v>AMLOCOR 5</v>
          </cell>
          <cell r="F477">
            <v>10</v>
          </cell>
          <cell r="H477">
            <v>0</v>
          </cell>
          <cell r="I477">
            <v>16570</v>
          </cell>
        </row>
        <row r="478">
          <cell r="D478" t="str">
            <v>AMLOCOR 5(1*10)</v>
          </cell>
          <cell r="F478">
            <v>10</v>
          </cell>
          <cell r="H478">
            <v>403000</v>
          </cell>
        </row>
        <row r="479">
          <cell r="D479" t="str">
            <v>AMLOCOR 5(3*10)</v>
          </cell>
          <cell r="F479">
            <v>10</v>
          </cell>
          <cell r="H479">
            <v>0</v>
          </cell>
        </row>
        <row r="480">
          <cell r="D480" t="str">
            <v>AMLOCOR 10(3*10)</v>
          </cell>
          <cell r="F480">
            <v>10</v>
          </cell>
          <cell r="H480">
            <v>0</v>
          </cell>
        </row>
        <row r="481">
          <cell r="D481" t="str">
            <v>AMLOCOR 10(10*10)</v>
          </cell>
          <cell r="F481">
            <v>10</v>
          </cell>
          <cell r="H481">
            <v>0</v>
          </cell>
          <cell r="I481">
            <v>25341</v>
          </cell>
        </row>
        <row r="482">
          <cell r="D482" t="str">
            <v>ANDROZ 50 (1*10)</v>
          </cell>
          <cell r="F482">
            <v>10</v>
          </cell>
          <cell r="H482">
            <v>0</v>
          </cell>
          <cell r="I482">
            <v>3720</v>
          </cell>
        </row>
        <row r="483">
          <cell r="D483" t="str">
            <v>ANDROZ 50 (1*6)</v>
          </cell>
          <cell r="F483">
            <v>6</v>
          </cell>
          <cell r="H483">
            <v>0</v>
          </cell>
        </row>
        <row r="484">
          <cell r="D484" t="str">
            <v>ANDROZ 100 (1*10)</v>
          </cell>
          <cell r="F484">
            <v>10</v>
          </cell>
          <cell r="H484">
            <v>0</v>
          </cell>
          <cell r="I484">
            <v>1000</v>
          </cell>
        </row>
        <row r="485">
          <cell r="D485" t="str">
            <v>ANGIOPRIL 25</v>
          </cell>
          <cell r="F485">
            <v>10</v>
          </cell>
          <cell r="H485">
            <v>36000</v>
          </cell>
          <cell r="I485">
            <v>410140</v>
          </cell>
          <cell r="K485">
            <v>28750</v>
          </cell>
        </row>
        <row r="486">
          <cell r="D486" t="str">
            <v>ANGIOPRIL 25 (1000 T)</v>
          </cell>
          <cell r="F486">
            <v>1000</v>
          </cell>
          <cell r="H486">
            <v>0</v>
          </cell>
          <cell r="I486">
            <v>290</v>
          </cell>
        </row>
        <row r="487">
          <cell r="D487" t="str">
            <v>ANGIOPRIL 25(1*10)</v>
          </cell>
          <cell r="F487">
            <v>10</v>
          </cell>
          <cell r="H487">
            <v>0</v>
          </cell>
        </row>
        <row r="488">
          <cell r="D488" t="str">
            <v>ANTIDEP-25 TAB</v>
          </cell>
          <cell r="F488">
            <v>10</v>
          </cell>
          <cell r="H488">
            <v>0</v>
          </cell>
          <cell r="I488">
            <v>10</v>
          </cell>
        </row>
        <row r="489">
          <cell r="D489" t="str">
            <v>ANTIDEP-25 TAB (1*10)</v>
          </cell>
          <cell r="F489">
            <v>10</v>
          </cell>
          <cell r="H489">
            <v>0</v>
          </cell>
        </row>
        <row r="490">
          <cell r="D490" t="str">
            <v>ANTIDEP-25 TAB (1000)</v>
          </cell>
          <cell r="F490">
            <v>1000</v>
          </cell>
          <cell r="H490">
            <v>0</v>
          </cell>
        </row>
        <row r="491">
          <cell r="D491" t="str">
            <v>ASTELONG TAB</v>
          </cell>
          <cell r="F491">
            <v>10</v>
          </cell>
          <cell r="H491">
            <v>0</v>
          </cell>
          <cell r="I491">
            <v>21390</v>
          </cell>
        </row>
        <row r="492">
          <cell r="D492" t="str">
            <v>ASTELONG TAB(1*10)</v>
          </cell>
          <cell r="F492">
            <v>10</v>
          </cell>
          <cell r="H492">
            <v>0</v>
          </cell>
        </row>
        <row r="493">
          <cell r="D493" t="str">
            <v>ASTHAFEN (10)</v>
          </cell>
          <cell r="F493">
            <v>10</v>
          </cell>
          <cell r="H493">
            <v>0</v>
          </cell>
          <cell r="I493">
            <v>21380</v>
          </cell>
        </row>
        <row r="494">
          <cell r="D494" t="str">
            <v>ASTHAFEN (5*10)</v>
          </cell>
          <cell r="F494">
            <v>10</v>
          </cell>
          <cell r="H494">
            <v>0</v>
          </cell>
        </row>
        <row r="495">
          <cell r="D495" t="str">
            <v>AZUKON MR (3*10) BRAZIL</v>
          </cell>
          <cell r="F495">
            <v>10</v>
          </cell>
          <cell r="H495">
            <v>0</v>
          </cell>
        </row>
        <row r="496">
          <cell r="D496" t="str">
            <v>AZUKON MR (2*10) BRAZIL</v>
          </cell>
          <cell r="F496">
            <v>10</v>
          </cell>
          <cell r="H496">
            <v>0</v>
          </cell>
        </row>
        <row r="497">
          <cell r="D497" t="str">
            <v>AZULIX 1 2*10</v>
          </cell>
          <cell r="F497">
            <v>10</v>
          </cell>
          <cell r="H497">
            <v>0</v>
          </cell>
        </row>
        <row r="498">
          <cell r="D498" t="str">
            <v>AZULIX 1 - 3*10</v>
          </cell>
          <cell r="F498">
            <v>10</v>
          </cell>
          <cell r="H498">
            <v>0</v>
          </cell>
        </row>
        <row r="499">
          <cell r="D499" t="str">
            <v>AZULIX 2 - 3*10</v>
          </cell>
          <cell r="F499">
            <v>10</v>
          </cell>
          <cell r="H499">
            <v>3500</v>
          </cell>
        </row>
        <row r="500">
          <cell r="D500" t="str">
            <v>BETACARD -100 TAB (10T)</v>
          </cell>
          <cell r="F500">
            <v>10</v>
          </cell>
          <cell r="H500">
            <v>105800</v>
          </cell>
          <cell r="I500">
            <v>5000</v>
          </cell>
        </row>
        <row r="501">
          <cell r="D501" t="str">
            <v>BETACARD -100 TAB - (2*10)</v>
          </cell>
          <cell r="F501">
            <v>10</v>
          </cell>
          <cell r="H501">
            <v>0</v>
          </cell>
        </row>
        <row r="502">
          <cell r="D502" t="str">
            <v>BETACARD -100 TAB (1*10)</v>
          </cell>
          <cell r="F502">
            <v>10</v>
          </cell>
          <cell r="H502">
            <v>0</v>
          </cell>
        </row>
        <row r="503">
          <cell r="D503" t="str">
            <v>BETACARD -100 TAB (3*10T)</v>
          </cell>
          <cell r="F503">
            <v>10</v>
          </cell>
          <cell r="H503">
            <v>0</v>
          </cell>
        </row>
        <row r="504">
          <cell r="D504" t="str">
            <v>BETACARD -100 TAB (1000 T)</v>
          </cell>
          <cell r="F504">
            <v>1000</v>
          </cell>
          <cell r="H504">
            <v>0</v>
          </cell>
        </row>
        <row r="505">
          <cell r="D505" t="str">
            <v>BETACARD -50 TAB (3*10)</v>
          </cell>
          <cell r="F505">
            <v>10</v>
          </cell>
          <cell r="H505">
            <v>0</v>
          </cell>
        </row>
        <row r="506">
          <cell r="D506" t="str">
            <v>BETACARD -50 TAB (2*5*10)</v>
          </cell>
          <cell r="F506">
            <v>10</v>
          </cell>
          <cell r="H506">
            <v>526000</v>
          </cell>
        </row>
        <row r="507">
          <cell r="D507" t="str">
            <v>BETACARD -50 TAB (10T)</v>
          </cell>
          <cell r="F507">
            <v>10</v>
          </cell>
          <cell r="H507">
            <v>0</v>
          </cell>
          <cell r="I507">
            <v>58840</v>
          </cell>
        </row>
        <row r="508">
          <cell r="D508" t="str">
            <v>BETACARD -50 TAB - (2*10)</v>
          </cell>
          <cell r="F508">
            <v>10</v>
          </cell>
          <cell r="H508">
            <v>0</v>
          </cell>
        </row>
        <row r="509">
          <cell r="D509" t="str">
            <v>BETACARD -50 TAB (1*10)</v>
          </cell>
          <cell r="F509">
            <v>10</v>
          </cell>
          <cell r="H509">
            <v>0</v>
          </cell>
        </row>
        <row r="510">
          <cell r="D510" t="str">
            <v>BETACARD -50 TAB (30*14)</v>
          </cell>
          <cell r="F510">
            <v>14</v>
          </cell>
          <cell r="H510">
            <v>0</v>
          </cell>
        </row>
        <row r="511">
          <cell r="D511" t="str">
            <v>CALCIGARD 10 CAP</v>
          </cell>
          <cell r="F511">
            <v>10</v>
          </cell>
          <cell r="H511">
            <v>3256500</v>
          </cell>
          <cell r="I511">
            <v>443610</v>
          </cell>
        </row>
        <row r="512">
          <cell r="D512" t="str">
            <v>CALCIGARD 10 CAP (1*10)</v>
          </cell>
          <cell r="F512">
            <v>10</v>
          </cell>
          <cell r="H512">
            <v>0</v>
          </cell>
        </row>
        <row r="513">
          <cell r="D513" t="str">
            <v>CALCIGARD 5 CAP</v>
          </cell>
          <cell r="F513">
            <v>10</v>
          </cell>
          <cell r="H513">
            <v>3567200</v>
          </cell>
          <cell r="I513">
            <v>15250</v>
          </cell>
        </row>
        <row r="514">
          <cell r="D514" t="str">
            <v>CALCIGARD RETD TAB</v>
          </cell>
          <cell r="F514">
            <v>10</v>
          </cell>
          <cell r="H514">
            <v>0</v>
          </cell>
          <cell r="I514">
            <v>312490</v>
          </cell>
          <cell r="K514">
            <v>179320</v>
          </cell>
        </row>
        <row r="515">
          <cell r="D515" t="str">
            <v>CALCIGARD RETD TAB(3*10)</v>
          </cell>
          <cell r="F515">
            <v>10</v>
          </cell>
          <cell r="H515">
            <v>0</v>
          </cell>
        </row>
        <row r="516">
          <cell r="D516" t="str">
            <v>CALCIGARD RETD TAB(1*10)</v>
          </cell>
          <cell r="F516">
            <v>10</v>
          </cell>
          <cell r="H516">
            <v>0</v>
          </cell>
        </row>
        <row r="517">
          <cell r="D517" t="str">
            <v>CARBATOL -200</v>
          </cell>
          <cell r="F517">
            <v>10</v>
          </cell>
          <cell r="H517">
            <v>300000</v>
          </cell>
          <cell r="I517">
            <v>135700</v>
          </cell>
          <cell r="K517">
            <v>52000</v>
          </cell>
        </row>
        <row r="518">
          <cell r="D518" t="str">
            <v>CARBATOL -200(5*10)</v>
          </cell>
          <cell r="F518">
            <v>10</v>
          </cell>
          <cell r="H518">
            <v>0</v>
          </cell>
        </row>
        <row r="519">
          <cell r="D519" t="str">
            <v>CARBATOL -200(1*10)</v>
          </cell>
          <cell r="F519">
            <v>10</v>
          </cell>
          <cell r="H519">
            <v>0</v>
          </cell>
        </row>
        <row r="520">
          <cell r="D520" t="str">
            <v>CARBATOL -200(100)</v>
          </cell>
          <cell r="F520">
            <v>10</v>
          </cell>
          <cell r="H520">
            <v>0</v>
          </cell>
        </row>
        <row r="521">
          <cell r="D521" t="str">
            <v>CARBATOL -200(500)</v>
          </cell>
          <cell r="F521">
            <v>500</v>
          </cell>
          <cell r="H521">
            <v>0</v>
          </cell>
          <cell r="I521">
            <v>843</v>
          </cell>
        </row>
        <row r="522">
          <cell r="D522" t="str">
            <v>CARBATOL -200(1000)</v>
          </cell>
          <cell r="F522">
            <v>1000</v>
          </cell>
          <cell r="H522">
            <v>0</v>
          </cell>
        </row>
        <row r="523">
          <cell r="D523" t="str">
            <v>CARBATOL CR 200</v>
          </cell>
          <cell r="F523">
            <v>10</v>
          </cell>
          <cell r="H523">
            <v>0</v>
          </cell>
          <cell r="I523">
            <v>10800</v>
          </cell>
        </row>
        <row r="524">
          <cell r="D524" t="str">
            <v>CARBATOL CR 200(1*10)</v>
          </cell>
          <cell r="F524">
            <v>10</v>
          </cell>
          <cell r="H524">
            <v>0</v>
          </cell>
        </row>
        <row r="525">
          <cell r="D525" t="str">
            <v>CHLORPROMAZINE 25 TAB</v>
          </cell>
          <cell r="F525">
            <v>1000</v>
          </cell>
          <cell r="H525">
            <v>0</v>
          </cell>
        </row>
        <row r="526">
          <cell r="D526" t="str">
            <v>CHLORPROMAZINE 100 TAB</v>
          </cell>
          <cell r="F526">
            <v>1000</v>
          </cell>
          <cell r="H526">
            <v>0</v>
          </cell>
        </row>
        <row r="527">
          <cell r="D527" t="str">
            <v>CLONOTRIL 0.5 (2*10)</v>
          </cell>
          <cell r="F527">
            <v>10</v>
          </cell>
          <cell r="H527">
            <v>0</v>
          </cell>
          <cell r="I527">
            <v>53222</v>
          </cell>
        </row>
        <row r="528">
          <cell r="D528" t="str">
            <v>CLONOTRIL 2 (2*10)</v>
          </cell>
          <cell r="F528">
            <v>10</v>
          </cell>
          <cell r="H528">
            <v>4200000</v>
          </cell>
          <cell r="I528">
            <v>53214</v>
          </cell>
        </row>
        <row r="529">
          <cell r="D529" t="str">
            <v>CONPRESS 6.25 (10*10)</v>
          </cell>
          <cell r="F529">
            <v>10</v>
          </cell>
          <cell r="H529">
            <v>23200</v>
          </cell>
        </row>
        <row r="530">
          <cell r="D530" t="str">
            <v>CONPRESS 12.5 (10*10)</v>
          </cell>
          <cell r="F530">
            <v>10</v>
          </cell>
          <cell r="H530">
            <v>0</v>
          </cell>
        </row>
        <row r="531">
          <cell r="D531" t="str">
            <v>DEPLATT  TAB</v>
          </cell>
          <cell r="F531">
            <v>10</v>
          </cell>
          <cell r="H531">
            <v>0</v>
          </cell>
          <cell r="I531">
            <v>9936</v>
          </cell>
        </row>
        <row r="532">
          <cell r="D532" t="str">
            <v>DEPLATT  TAB (10*10)</v>
          </cell>
          <cell r="F532">
            <v>10</v>
          </cell>
          <cell r="H532">
            <v>0</v>
          </cell>
        </row>
        <row r="533">
          <cell r="D533" t="str">
            <v>DEPLATT  TAB (1*10)</v>
          </cell>
          <cell r="F533">
            <v>10</v>
          </cell>
          <cell r="H533">
            <v>0</v>
          </cell>
        </row>
        <row r="534">
          <cell r="D534" t="str">
            <v>DICLOGESIC TAB</v>
          </cell>
          <cell r="F534">
            <v>10</v>
          </cell>
          <cell r="H534">
            <v>0</v>
          </cell>
        </row>
        <row r="535">
          <cell r="D535" t="str">
            <v>DICLOMAX 25 TAB</v>
          </cell>
          <cell r="F535">
            <v>10</v>
          </cell>
          <cell r="H535">
            <v>0</v>
          </cell>
          <cell r="I535">
            <v>302270</v>
          </cell>
          <cell r="K535">
            <v>8100</v>
          </cell>
        </row>
        <row r="536">
          <cell r="D536" t="str">
            <v>DICLOMAX 25 - 2*10</v>
          </cell>
          <cell r="F536">
            <v>10</v>
          </cell>
          <cell r="H536">
            <v>0</v>
          </cell>
        </row>
        <row r="537">
          <cell r="D537" t="str">
            <v>DICLOMAX 25(1*10)</v>
          </cell>
          <cell r="F537">
            <v>10</v>
          </cell>
          <cell r="H537">
            <v>0</v>
          </cell>
        </row>
        <row r="538">
          <cell r="D538" t="str">
            <v>DICLOMAX 25(50*10)</v>
          </cell>
          <cell r="F538">
            <v>10</v>
          </cell>
          <cell r="H538">
            <v>0</v>
          </cell>
        </row>
        <row r="539">
          <cell r="D539" t="str">
            <v>DICLOMAX 50 (40*10)</v>
          </cell>
          <cell r="F539">
            <v>10</v>
          </cell>
          <cell r="H539">
            <v>0</v>
          </cell>
        </row>
        <row r="540">
          <cell r="D540" t="str">
            <v>DICLOMAX 50</v>
          </cell>
          <cell r="F540">
            <v>10</v>
          </cell>
          <cell r="H540">
            <v>2912500</v>
          </cell>
          <cell r="I540">
            <v>59130</v>
          </cell>
          <cell r="K540">
            <v>28460</v>
          </cell>
        </row>
        <row r="541">
          <cell r="D541" t="str">
            <v>DICLOMAX 50 (2*10)</v>
          </cell>
          <cell r="F541">
            <v>10</v>
          </cell>
          <cell r="H541">
            <v>0</v>
          </cell>
        </row>
        <row r="542">
          <cell r="D542" t="str">
            <v>DICLOMAX 50(1*10)</v>
          </cell>
          <cell r="F542">
            <v>10</v>
          </cell>
          <cell r="H542">
            <v>0</v>
          </cell>
        </row>
        <row r="543">
          <cell r="D543" t="str">
            <v>DICLOMAX INJ.</v>
          </cell>
          <cell r="F543">
            <v>3</v>
          </cell>
          <cell r="H543">
            <v>0</v>
          </cell>
          <cell r="I543">
            <v>64075</v>
          </cell>
          <cell r="K543">
            <v>79900</v>
          </cell>
        </row>
        <row r="544">
          <cell r="D544" t="str">
            <v>DILZEM -30</v>
          </cell>
          <cell r="F544">
            <v>10</v>
          </cell>
          <cell r="H544">
            <v>490800</v>
          </cell>
          <cell r="I544">
            <v>12020</v>
          </cell>
        </row>
        <row r="545">
          <cell r="D545" t="str">
            <v>DILZEM -60 (OTHER THAN RUSSIAN)</v>
          </cell>
          <cell r="F545">
            <v>10</v>
          </cell>
          <cell r="H545">
            <v>500699.99999999994</v>
          </cell>
          <cell r="I545">
            <v>50120</v>
          </cell>
        </row>
        <row r="546">
          <cell r="D546" t="str">
            <v>DILZEM 60 (1000 T)</v>
          </cell>
          <cell r="F546">
            <v>1000</v>
          </cell>
          <cell r="H546">
            <v>0</v>
          </cell>
          <cell r="I546">
            <v>73</v>
          </cell>
        </row>
        <row r="547">
          <cell r="D547" t="str">
            <v>DILZEM - SR TAB (10)</v>
          </cell>
          <cell r="F547">
            <v>10</v>
          </cell>
          <cell r="H547">
            <v>0</v>
          </cell>
        </row>
        <row r="548">
          <cell r="D548" t="str">
            <v>DILZEM - SR TAB (20*5*10)</v>
          </cell>
          <cell r="F548">
            <v>10</v>
          </cell>
          <cell r="H548">
            <v>0</v>
          </cell>
        </row>
        <row r="549">
          <cell r="D549" t="str">
            <v>DILZEM - SR TAB (10*10)</v>
          </cell>
          <cell r="F549">
            <v>10</v>
          </cell>
          <cell r="H549">
            <v>0</v>
          </cell>
        </row>
        <row r="550">
          <cell r="D550" t="str">
            <v>DILTOR CD 180 (2*10)</v>
          </cell>
          <cell r="F550">
            <v>10</v>
          </cell>
          <cell r="H550">
            <v>0</v>
          </cell>
        </row>
        <row r="551">
          <cell r="D551" t="str">
            <v>DILTOR CD 180 (1*8)</v>
          </cell>
          <cell r="F551">
            <v>8</v>
          </cell>
          <cell r="H551">
            <v>0</v>
          </cell>
        </row>
        <row r="552">
          <cell r="D552" t="str">
            <v>DILTOR CD 240 (2*10)</v>
          </cell>
          <cell r="F552">
            <v>10</v>
          </cell>
          <cell r="H552">
            <v>0</v>
          </cell>
        </row>
        <row r="553">
          <cell r="D553" t="str">
            <v>DOMSTAL 10</v>
          </cell>
          <cell r="F553">
            <v>10</v>
          </cell>
          <cell r="H553">
            <v>500000</v>
          </cell>
          <cell r="I553">
            <v>210590</v>
          </cell>
          <cell r="K553">
            <v>9710</v>
          </cell>
        </row>
        <row r="554">
          <cell r="D554" t="str">
            <v>DOMSTAL 10(3*10)</v>
          </cell>
          <cell r="F554">
            <v>10</v>
          </cell>
          <cell r="H554">
            <v>0</v>
          </cell>
        </row>
        <row r="555">
          <cell r="D555" t="str">
            <v>DOMSTAL 10(5*10)</v>
          </cell>
          <cell r="F555">
            <v>10</v>
          </cell>
          <cell r="H555">
            <v>0</v>
          </cell>
        </row>
        <row r="556">
          <cell r="D556" t="str">
            <v>DOMSTAL 10(10*1*10)</v>
          </cell>
          <cell r="F556">
            <v>10</v>
          </cell>
          <cell r="H556">
            <v>0</v>
          </cell>
        </row>
        <row r="557">
          <cell r="D557" t="str">
            <v>DOMSTAL 10(1*10)</v>
          </cell>
          <cell r="F557">
            <v>10</v>
          </cell>
          <cell r="H557">
            <v>0</v>
          </cell>
        </row>
        <row r="558">
          <cell r="D558" t="str">
            <v>DOMSTAL SUSP</v>
          </cell>
          <cell r="F558">
            <v>30</v>
          </cell>
          <cell r="H558">
            <v>0</v>
          </cell>
        </row>
        <row r="559">
          <cell r="D559" t="str">
            <v>DOXETAR 25</v>
          </cell>
          <cell r="F559">
            <v>1000</v>
          </cell>
          <cell r="H559">
            <v>0</v>
          </cell>
        </row>
        <row r="560">
          <cell r="D560" t="str">
            <v xml:space="preserve">DOXETAR 25 100 </v>
          </cell>
          <cell r="F560">
            <v>100</v>
          </cell>
          <cell r="H560">
            <v>0</v>
          </cell>
          <cell r="I560">
            <v>1151</v>
          </cell>
        </row>
        <row r="561">
          <cell r="D561" t="str">
            <v>DOXETAR 25 2*10</v>
          </cell>
          <cell r="F561">
            <v>10</v>
          </cell>
          <cell r="H561">
            <v>0</v>
          </cell>
        </row>
        <row r="562">
          <cell r="D562" t="str">
            <v>DROXYL 500TAB.</v>
          </cell>
          <cell r="F562">
            <v>4</v>
          </cell>
          <cell r="H562">
            <v>0</v>
          </cell>
        </row>
        <row r="563">
          <cell r="D563" t="str">
            <v>DUODOPA CR</v>
          </cell>
          <cell r="F563">
            <v>10</v>
          </cell>
          <cell r="H563">
            <v>1178500</v>
          </cell>
        </row>
        <row r="564">
          <cell r="D564" t="str">
            <v>ECATOR 2.5</v>
          </cell>
          <cell r="F564">
            <v>7</v>
          </cell>
          <cell r="H564">
            <v>0</v>
          </cell>
        </row>
        <row r="565">
          <cell r="D565" t="str">
            <v>ECATOR 5</v>
          </cell>
          <cell r="F565">
            <v>7</v>
          </cell>
          <cell r="H565">
            <v>0</v>
          </cell>
        </row>
        <row r="566">
          <cell r="D566" t="str">
            <v>ENSELIN - 4 TAB</v>
          </cell>
          <cell r="F566">
            <v>10</v>
          </cell>
          <cell r="H566">
            <v>0</v>
          </cell>
          <cell r="I566">
            <v>1375</v>
          </cell>
        </row>
        <row r="567">
          <cell r="D567" t="str">
            <v>ENSELIN - 2 TAB</v>
          </cell>
          <cell r="F567">
            <v>10</v>
          </cell>
          <cell r="H567">
            <v>0</v>
          </cell>
          <cell r="I567">
            <v>4950</v>
          </cell>
        </row>
        <row r="568">
          <cell r="D568" t="str">
            <v>ENZYSTAL  TAB</v>
          </cell>
          <cell r="F568">
            <v>10</v>
          </cell>
          <cell r="H568">
            <v>15796850</v>
          </cell>
          <cell r="I568">
            <v>601270</v>
          </cell>
          <cell r="K568">
            <v>2716510</v>
          </cell>
          <cell r="L568">
            <v>427680</v>
          </cell>
        </row>
        <row r="569">
          <cell r="D569" t="str">
            <v>ESPERAL</v>
          </cell>
          <cell r="F569">
            <v>10</v>
          </cell>
          <cell r="H569">
            <v>0</v>
          </cell>
        </row>
        <row r="570">
          <cell r="D570" t="str">
            <v>ESPERAL (1*10)</v>
          </cell>
          <cell r="F570">
            <v>10</v>
          </cell>
          <cell r="H570">
            <v>0</v>
          </cell>
        </row>
        <row r="571">
          <cell r="D571" t="str">
            <v>FEGEM - 50 TAB(1*10)</v>
          </cell>
          <cell r="F571">
            <v>10</v>
          </cell>
          <cell r="H571">
            <v>0</v>
          </cell>
        </row>
        <row r="572">
          <cell r="D572" t="str">
            <v>FEGEM - 50 TAB(3*10)</v>
          </cell>
          <cell r="F572">
            <v>10</v>
          </cell>
          <cell r="H572">
            <v>0</v>
          </cell>
        </row>
        <row r="573">
          <cell r="D573" t="str">
            <v>FEGEM - 50 TAB(10*10)</v>
          </cell>
          <cell r="F573">
            <v>10</v>
          </cell>
          <cell r="H573">
            <v>0</v>
          </cell>
          <cell r="I573">
            <v>4060</v>
          </cell>
        </row>
        <row r="574">
          <cell r="D574" t="str">
            <v>FEGEM - 100 TAB(1*10)</v>
          </cell>
          <cell r="F574">
            <v>10</v>
          </cell>
          <cell r="H574">
            <v>0</v>
          </cell>
        </row>
        <row r="575">
          <cell r="D575" t="str">
            <v>FEGEM - 100 TAB(3*10)</v>
          </cell>
          <cell r="F575">
            <v>10</v>
          </cell>
          <cell r="H575">
            <v>0</v>
          </cell>
        </row>
        <row r="576">
          <cell r="D576" t="str">
            <v>FEGEM - 100 TAB(10*10)</v>
          </cell>
          <cell r="F576">
            <v>10</v>
          </cell>
          <cell r="H576">
            <v>0</v>
          </cell>
        </row>
        <row r="577">
          <cell r="D577" t="str">
            <v>FEGEM SYRUP</v>
          </cell>
          <cell r="F577">
            <v>150</v>
          </cell>
          <cell r="H577">
            <v>0</v>
          </cell>
        </row>
        <row r="578">
          <cell r="D578" t="str">
            <v>FEXO 120 (10*6)</v>
          </cell>
          <cell r="F578">
            <v>6</v>
          </cell>
          <cell r="H578">
            <v>0</v>
          </cell>
        </row>
        <row r="579">
          <cell r="D579" t="str">
            <v>FUNGICIDE TAB (1*10)</v>
          </cell>
          <cell r="F579">
            <v>10</v>
          </cell>
          <cell r="H579">
            <v>0</v>
          </cell>
        </row>
        <row r="580">
          <cell r="D580" t="str">
            <v>FUNGICIDE TAB (3*10)</v>
          </cell>
          <cell r="F580">
            <v>10</v>
          </cell>
          <cell r="H580">
            <v>0</v>
          </cell>
        </row>
        <row r="581">
          <cell r="D581" t="str">
            <v>FUNGICIDE TAB (2*10)</v>
          </cell>
          <cell r="F581">
            <v>10</v>
          </cell>
          <cell r="H581">
            <v>0</v>
          </cell>
        </row>
        <row r="582">
          <cell r="D582" t="str">
            <v>FUNGICIDE TAB (100 T)</v>
          </cell>
          <cell r="F582">
            <v>100</v>
          </cell>
          <cell r="H582">
            <v>0</v>
          </cell>
          <cell r="I582">
            <v>211</v>
          </cell>
        </row>
        <row r="583">
          <cell r="D583" t="str">
            <v>FUNGICIDE TAB (10*10)</v>
          </cell>
          <cell r="F583">
            <v>10</v>
          </cell>
          <cell r="H583">
            <v>0</v>
          </cell>
          <cell r="I583">
            <v>3648</v>
          </cell>
        </row>
        <row r="584">
          <cell r="D584" t="str">
            <v xml:space="preserve">FUNGINOC CREAM </v>
          </cell>
          <cell r="F584">
            <v>15</v>
          </cell>
          <cell r="H584">
            <v>0</v>
          </cell>
        </row>
        <row r="585">
          <cell r="D585" t="str">
            <v xml:space="preserve">GLUCOMOL .25% </v>
          </cell>
          <cell r="F585">
            <v>5</v>
          </cell>
          <cell r="H585">
            <v>0</v>
          </cell>
        </row>
        <row r="586">
          <cell r="D586" t="str">
            <v xml:space="preserve">GLUCOMOL .50% </v>
          </cell>
          <cell r="F586">
            <v>5</v>
          </cell>
          <cell r="H586">
            <v>0</v>
          </cell>
        </row>
        <row r="587">
          <cell r="D587" t="str">
            <v>Hb PLUS CAP (30C)</v>
          </cell>
          <cell r="F587">
            <v>30</v>
          </cell>
          <cell r="H587">
            <v>786280</v>
          </cell>
          <cell r="I587">
            <v>3776</v>
          </cell>
        </row>
        <row r="588">
          <cell r="D588" t="str">
            <v>HERPEX TAB</v>
          </cell>
          <cell r="F588">
            <v>10</v>
          </cell>
          <cell r="H588">
            <v>0</v>
          </cell>
          <cell r="I588">
            <v>3267</v>
          </cell>
        </row>
        <row r="589">
          <cell r="D589" t="str">
            <v>HERPEX TAB (1*10)</v>
          </cell>
          <cell r="F589">
            <v>10</v>
          </cell>
          <cell r="H589">
            <v>0</v>
          </cell>
        </row>
        <row r="590">
          <cell r="D590" t="str">
            <v>HERPEX CR. 5%</v>
          </cell>
          <cell r="F590">
            <v>5</v>
          </cell>
          <cell r="H590">
            <v>0</v>
          </cell>
        </row>
        <row r="591">
          <cell r="D591" t="str">
            <v>INDAPEN SR (2*15)</v>
          </cell>
          <cell r="F591">
            <v>15</v>
          </cell>
          <cell r="H591">
            <v>987405</v>
          </cell>
          <cell r="I591">
            <v>135856</v>
          </cell>
        </row>
        <row r="592">
          <cell r="D592" t="str">
            <v>INDAPEN SR (1*15)</v>
          </cell>
          <cell r="F592">
            <v>15</v>
          </cell>
          <cell r="H592">
            <v>0</v>
          </cell>
        </row>
        <row r="593">
          <cell r="D593" t="str">
            <v>IVEMETRO</v>
          </cell>
          <cell r="F593">
            <v>100</v>
          </cell>
          <cell r="H593">
            <v>0</v>
          </cell>
        </row>
        <row r="594">
          <cell r="D594" t="str">
            <v>KARVIL 3.125 (1*8)</v>
          </cell>
          <cell r="F594">
            <v>8</v>
          </cell>
          <cell r="H594">
            <v>0</v>
          </cell>
        </row>
        <row r="595">
          <cell r="D595" t="str">
            <v>KARVIL 3.125</v>
          </cell>
          <cell r="F595">
            <v>15</v>
          </cell>
          <cell r="H595">
            <v>0</v>
          </cell>
          <cell r="I595">
            <v>11293.33</v>
          </cell>
        </row>
        <row r="596">
          <cell r="D596" t="str">
            <v>KARVIL 6.25</v>
          </cell>
          <cell r="F596">
            <v>15</v>
          </cell>
          <cell r="H596">
            <v>0</v>
          </cell>
          <cell r="I596">
            <v>8866</v>
          </cell>
        </row>
        <row r="597">
          <cell r="D597" t="str">
            <v>KARVIL 12.5</v>
          </cell>
          <cell r="F597">
            <v>15</v>
          </cell>
          <cell r="H597">
            <v>0</v>
          </cell>
        </row>
        <row r="598">
          <cell r="D598" t="str">
            <v>LAMITOR 25(1*5*10)</v>
          </cell>
          <cell r="F598">
            <v>10</v>
          </cell>
          <cell r="H598">
            <v>0</v>
          </cell>
        </row>
        <row r="599">
          <cell r="D599" t="str">
            <v>LAMITOR 25 (5*10)</v>
          </cell>
          <cell r="F599">
            <v>10</v>
          </cell>
          <cell r="H599">
            <v>139300</v>
          </cell>
          <cell r="I599">
            <v>5000</v>
          </cell>
        </row>
        <row r="600">
          <cell r="D600" t="str">
            <v>LAMITOR 50 (5*10)</v>
          </cell>
          <cell r="F600">
            <v>10</v>
          </cell>
          <cell r="H600">
            <v>0</v>
          </cell>
          <cell r="I600">
            <v>35125</v>
          </cell>
          <cell r="K600">
            <v>2715</v>
          </cell>
        </row>
        <row r="601">
          <cell r="D601" t="str">
            <v>LAMITOR 100 (5*10)</v>
          </cell>
          <cell r="F601">
            <v>10</v>
          </cell>
          <cell r="H601">
            <v>0</v>
          </cell>
          <cell r="I601">
            <v>15828</v>
          </cell>
          <cell r="K601">
            <v>3960</v>
          </cell>
        </row>
        <row r="602">
          <cell r="D602" t="str">
            <v>LAMITOR 25 (1*10)</v>
          </cell>
          <cell r="F602">
            <v>10</v>
          </cell>
          <cell r="H602">
            <v>0</v>
          </cell>
          <cell r="K602">
            <v>13890</v>
          </cell>
        </row>
        <row r="603">
          <cell r="D603" t="str">
            <v>LAMITOR 25(3*10)</v>
          </cell>
          <cell r="F603">
            <v>10</v>
          </cell>
          <cell r="H603">
            <v>0</v>
          </cell>
        </row>
        <row r="604">
          <cell r="D604" t="str">
            <v>LAMITOR 50 (3*10)</v>
          </cell>
          <cell r="F604">
            <v>10</v>
          </cell>
          <cell r="H604">
            <v>0</v>
          </cell>
          <cell r="L604">
            <v>5000</v>
          </cell>
        </row>
        <row r="605">
          <cell r="D605" t="str">
            <v>LAMITOR 100 (3*10)</v>
          </cell>
          <cell r="F605">
            <v>10</v>
          </cell>
          <cell r="H605">
            <v>0</v>
          </cell>
        </row>
        <row r="606">
          <cell r="D606" t="str">
            <v>LAMITOR 200 (5*10)</v>
          </cell>
          <cell r="F606">
            <v>10</v>
          </cell>
          <cell r="H606">
            <v>0</v>
          </cell>
          <cell r="I606">
            <v>6910</v>
          </cell>
        </row>
        <row r="607">
          <cell r="D607" t="str">
            <v>LEFRA 20 - 10*10</v>
          </cell>
          <cell r="F607">
            <v>10</v>
          </cell>
          <cell r="H607">
            <v>0</v>
          </cell>
          <cell r="I607">
            <v>0</v>
          </cell>
        </row>
        <row r="608">
          <cell r="D608" t="str">
            <v>LEFRA 20 (5*10)</v>
          </cell>
          <cell r="F608">
            <v>10</v>
          </cell>
          <cell r="H608">
            <v>0</v>
          </cell>
        </row>
        <row r="609">
          <cell r="D609" t="str">
            <v>LICAB (10*10)</v>
          </cell>
          <cell r="F609">
            <v>10</v>
          </cell>
          <cell r="H609">
            <v>0</v>
          </cell>
        </row>
        <row r="610">
          <cell r="D610" t="str">
            <v>LICAB (100)</v>
          </cell>
          <cell r="F610">
            <v>100</v>
          </cell>
          <cell r="H610">
            <v>0</v>
          </cell>
        </row>
        <row r="611">
          <cell r="D611" t="str">
            <v>LIPIGEM 300</v>
          </cell>
          <cell r="F611">
            <v>10</v>
          </cell>
          <cell r="H611">
            <v>0</v>
          </cell>
        </row>
        <row r="612">
          <cell r="D612" t="str">
            <v>LIPIGEM 300 (1*10)</v>
          </cell>
          <cell r="F612">
            <v>10</v>
          </cell>
          <cell r="H612">
            <v>0</v>
          </cell>
        </row>
        <row r="613">
          <cell r="D613" t="str">
            <v>LISTRIL -10 TAB</v>
          </cell>
          <cell r="F613">
            <v>10</v>
          </cell>
          <cell r="H613">
            <v>0</v>
          </cell>
          <cell r="I613">
            <v>81732</v>
          </cell>
          <cell r="L613">
            <v>9090</v>
          </cell>
        </row>
        <row r="614">
          <cell r="D614" t="str">
            <v>LISTRIL -10 TAB(1*10)</v>
          </cell>
          <cell r="F614">
            <v>10</v>
          </cell>
          <cell r="H614">
            <v>0</v>
          </cell>
        </row>
        <row r="615">
          <cell r="D615" t="str">
            <v>LISTRIL -10 TAB(2*15)</v>
          </cell>
          <cell r="F615">
            <v>15</v>
          </cell>
          <cell r="H615">
            <v>0</v>
          </cell>
        </row>
        <row r="616">
          <cell r="D616" t="str">
            <v>LISTRIL -10 TAB(3*10)</v>
          </cell>
          <cell r="F616">
            <v>10</v>
          </cell>
          <cell r="H616">
            <v>0</v>
          </cell>
        </row>
        <row r="617">
          <cell r="D617" t="str">
            <v>LISTRIL -2.5 TAB</v>
          </cell>
          <cell r="F617">
            <v>10</v>
          </cell>
          <cell r="H617">
            <v>0</v>
          </cell>
        </row>
        <row r="618">
          <cell r="D618" t="str">
            <v>LISTRIL -2.5 TAB(1*10)</v>
          </cell>
          <cell r="F618">
            <v>10</v>
          </cell>
          <cell r="H618">
            <v>0</v>
          </cell>
        </row>
        <row r="619">
          <cell r="D619" t="str">
            <v>LISTRIL -5.0 TAB (10)</v>
          </cell>
          <cell r="F619">
            <v>10</v>
          </cell>
          <cell r="H619">
            <v>0</v>
          </cell>
          <cell r="I619">
            <v>73626</v>
          </cell>
          <cell r="L619">
            <v>24000</v>
          </cell>
        </row>
        <row r="620">
          <cell r="D620" t="str">
            <v>LISTRIL -5.0 TAB (3*10)</v>
          </cell>
          <cell r="F620">
            <v>10</v>
          </cell>
          <cell r="H620">
            <v>0</v>
          </cell>
        </row>
        <row r="621">
          <cell r="D621" t="str">
            <v>LISTRIL -5.0 TAB (1*10)</v>
          </cell>
          <cell r="F621">
            <v>10</v>
          </cell>
          <cell r="H621">
            <v>0</v>
          </cell>
        </row>
        <row r="622">
          <cell r="D622" t="str">
            <v>LISTRIL -5.0 TAB (1*15)</v>
          </cell>
          <cell r="F622">
            <v>15</v>
          </cell>
          <cell r="H622">
            <v>0</v>
          </cell>
        </row>
        <row r="623">
          <cell r="D623" t="str">
            <v>LISTRIL -5.0 TAB (2*15)</v>
          </cell>
          <cell r="F623">
            <v>15</v>
          </cell>
          <cell r="H623">
            <v>0</v>
          </cell>
        </row>
        <row r="624">
          <cell r="D624" t="str">
            <v>LOMEF 400 TAB(1*10 )</v>
          </cell>
          <cell r="F624">
            <v>10</v>
          </cell>
          <cell r="H624">
            <v>0</v>
          </cell>
        </row>
        <row r="625">
          <cell r="D625" t="str">
            <v>LOPAMIDE</v>
          </cell>
          <cell r="F625">
            <v>10</v>
          </cell>
          <cell r="H625">
            <v>991700</v>
          </cell>
          <cell r="I625">
            <v>790</v>
          </cell>
        </row>
        <row r="626">
          <cell r="D626" t="str">
            <v>LOPAMIDE(1*10)</v>
          </cell>
          <cell r="F626">
            <v>10</v>
          </cell>
          <cell r="H626">
            <v>0</v>
          </cell>
        </row>
        <row r="627">
          <cell r="D627" t="str">
            <v>LOPAMIDE(40*10)</v>
          </cell>
          <cell r="F627">
            <v>10</v>
          </cell>
          <cell r="H627">
            <v>0</v>
          </cell>
        </row>
        <row r="628">
          <cell r="D628" t="str">
            <v>LOPAMIDE(1000 T)</v>
          </cell>
          <cell r="F628">
            <v>1000</v>
          </cell>
          <cell r="H628">
            <v>0</v>
          </cell>
        </row>
        <row r="629">
          <cell r="D629" t="str">
            <v>LORVAS</v>
          </cell>
          <cell r="F629">
            <v>10</v>
          </cell>
          <cell r="H629">
            <v>0</v>
          </cell>
        </row>
        <row r="630">
          <cell r="D630" t="str">
            <v>LORVAS (5*10)</v>
          </cell>
          <cell r="F630">
            <v>10</v>
          </cell>
          <cell r="H630">
            <v>0</v>
          </cell>
        </row>
        <row r="631">
          <cell r="D631" t="str">
            <v>LORVAS (10*1*10)</v>
          </cell>
          <cell r="F631">
            <v>10</v>
          </cell>
          <cell r="H631">
            <v>0</v>
          </cell>
        </row>
        <row r="632">
          <cell r="D632" t="str">
            <v>LOVASTATE 20 TAB</v>
          </cell>
          <cell r="F632">
            <v>10</v>
          </cell>
          <cell r="H632">
            <v>0</v>
          </cell>
          <cell r="I632">
            <v>16830</v>
          </cell>
        </row>
        <row r="633">
          <cell r="D633" t="str">
            <v>LOVASTATE 20 TAB(5*10)</v>
          </cell>
          <cell r="F633">
            <v>10</v>
          </cell>
          <cell r="H633">
            <v>0</v>
          </cell>
        </row>
        <row r="634">
          <cell r="D634" t="str">
            <v>LOVASTATE 20 TAB(10*10)</v>
          </cell>
          <cell r="F634">
            <v>10</v>
          </cell>
          <cell r="H634">
            <v>0</v>
          </cell>
        </row>
        <row r="635">
          <cell r="D635" t="str">
            <v>MALOCIDE</v>
          </cell>
          <cell r="F635">
            <v>2</v>
          </cell>
          <cell r="H635">
            <v>0</v>
          </cell>
        </row>
        <row r="636">
          <cell r="D636" t="str">
            <v>MONOTARD HM 40</v>
          </cell>
          <cell r="F636">
            <v>10</v>
          </cell>
          <cell r="H636">
            <v>0</v>
          </cell>
        </row>
        <row r="637">
          <cell r="D637" t="str">
            <v>MOSID MT 2.5 (10*10)</v>
          </cell>
          <cell r="F637">
            <v>10</v>
          </cell>
          <cell r="H637">
            <v>0</v>
          </cell>
        </row>
        <row r="638">
          <cell r="D638" t="str">
            <v>MOSID MT 2.5  - (1*10)</v>
          </cell>
          <cell r="F638">
            <v>10</v>
          </cell>
          <cell r="H638">
            <v>0</v>
          </cell>
        </row>
        <row r="639">
          <cell r="D639" t="str">
            <v>MOSID MT 5</v>
          </cell>
          <cell r="F639">
            <v>10</v>
          </cell>
          <cell r="H639">
            <v>0</v>
          </cell>
          <cell r="I639">
            <v>6280</v>
          </cell>
        </row>
        <row r="640">
          <cell r="D640" t="str">
            <v>MOSID MT 5 (3*10)</v>
          </cell>
          <cell r="F640">
            <v>10</v>
          </cell>
          <cell r="H640">
            <v>0</v>
          </cell>
        </row>
        <row r="641">
          <cell r="D641" t="str">
            <v>MOSID MT 5 (1*10)</v>
          </cell>
          <cell r="F641">
            <v>10</v>
          </cell>
          <cell r="H641">
            <v>0</v>
          </cell>
        </row>
        <row r="642">
          <cell r="D642" t="str">
            <v>NALICID 500 MG TAB (10T)</v>
          </cell>
          <cell r="F642">
            <v>10</v>
          </cell>
          <cell r="H642">
            <v>0</v>
          </cell>
          <cell r="I642">
            <v>170</v>
          </cell>
        </row>
        <row r="643">
          <cell r="D643" t="str">
            <v>NALICID 500 MG TAB (500 T)</v>
          </cell>
          <cell r="F643">
            <v>500</v>
          </cell>
          <cell r="H643">
            <v>200000</v>
          </cell>
          <cell r="I643">
            <v>1337</v>
          </cell>
        </row>
        <row r="644">
          <cell r="D644" t="str">
            <v>NALICID 500 MG TAB (1000T)</v>
          </cell>
          <cell r="F644">
            <v>1000</v>
          </cell>
          <cell r="H644">
            <v>0</v>
          </cell>
        </row>
        <row r="645">
          <cell r="D645" t="str">
            <v>NEXPRO 20 (1*10)</v>
          </cell>
          <cell r="F645">
            <v>10</v>
          </cell>
          <cell r="H645">
            <v>0</v>
          </cell>
        </row>
        <row r="646">
          <cell r="D646" t="str">
            <v>NEXPRO 40 (1*10)</v>
          </cell>
          <cell r="F646">
            <v>10</v>
          </cell>
          <cell r="H646">
            <v>0</v>
          </cell>
          <cell r="I646">
            <v>0</v>
          </cell>
        </row>
        <row r="647">
          <cell r="D647" t="str">
            <v>NEXPRO 20 -5*10</v>
          </cell>
          <cell r="F647">
            <v>10</v>
          </cell>
          <cell r="H647">
            <v>0</v>
          </cell>
        </row>
        <row r="648">
          <cell r="D648" t="str">
            <v>NEXPRO 40 -5*10</v>
          </cell>
          <cell r="F648">
            <v>10</v>
          </cell>
          <cell r="H648">
            <v>0</v>
          </cell>
        </row>
        <row r="649">
          <cell r="D649" t="str">
            <v>NIKORAN 5 20 T</v>
          </cell>
          <cell r="F649">
            <v>20</v>
          </cell>
          <cell r="H649">
            <v>0</v>
          </cell>
        </row>
        <row r="650">
          <cell r="D650" t="str">
            <v>NIKORAN 5 6 T</v>
          </cell>
          <cell r="F650">
            <v>6</v>
          </cell>
          <cell r="H650">
            <v>0</v>
          </cell>
        </row>
        <row r="651">
          <cell r="D651" t="str">
            <v>NIKORAN 10 20 T</v>
          </cell>
          <cell r="F651">
            <v>20</v>
          </cell>
          <cell r="H651">
            <v>0</v>
          </cell>
        </row>
        <row r="652">
          <cell r="D652" t="str">
            <v>NOMIGRAIN 10 CAP</v>
          </cell>
          <cell r="F652">
            <v>10</v>
          </cell>
          <cell r="H652">
            <v>0</v>
          </cell>
        </row>
        <row r="653">
          <cell r="D653" t="str">
            <v>NOMIGRAIN 5 CAP</v>
          </cell>
          <cell r="F653">
            <v>10</v>
          </cell>
          <cell r="H653">
            <v>0</v>
          </cell>
          <cell r="I653">
            <v>850</v>
          </cell>
        </row>
        <row r="654">
          <cell r="D654" t="str">
            <v>NORMABRAIN 400 CAP</v>
          </cell>
          <cell r="F654">
            <v>6</v>
          </cell>
          <cell r="H654">
            <v>0</v>
          </cell>
          <cell r="I654">
            <v>1300</v>
          </cell>
        </row>
        <row r="655">
          <cell r="D655" t="str">
            <v>OMIZAC 20MG CAP</v>
          </cell>
          <cell r="F655">
            <v>10</v>
          </cell>
          <cell r="H655">
            <v>534000</v>
          </cell>
          <cell r="I655">
            <v>94990</v>
          </cell>
          <cell r="K655">
            <v>56070</v>
          </cell>
          <cell r="L655">
            <v>49040</v>
          </cell>
        </row>
        <row r="656">
          <cell r="D656" t="str">
            <v>OMIZAC 10MG CAP(1*10)</v>
          </cell>
          <cell r="F656">
            <v>10</v>
          </cell>
          <cell r="H656">
            <v>0</v>
          </cell>
        </row>
        <row r="657">
          <cell r="D657" t="str">
            <v>OMIZAC 20MG CAP (10*10)</v>
          </cell>
          <cell r="F657">
            <v>10</v>
          </cell>
          <cell r="H657">
            <v>0</v>
          </cell>
        </row>
        <row r="658">
          <cell r="D658" t="str">
            <v>OMIZAC 20MG CAP(1*10)</v>
          </cell>
          <cell r="F658">
            <v>10</v>
          </cell>
          <cell r="H658">
            <v>0</v>
          </cell>
        </row>
        <row r="659">
          <cell r="D659" t="str">
            <v>ONE UP TABLET</v>
          </cell>
          <cell r="F659">
            <v>10</v>
          </cell>
          <cell r="H659">
            <v>0</v>
          </cell>
        </row>
        <row r="660">
          <cell r="D660" t="str">
            <v>ONE UP TABLET - 1*10</v>
          </cell>
          <cell r="F660">
            <v>10</v>
          </cell>
          <cell r="H660">
            <v>0</v>
          </cell>
        </row>
        <row r="661">
          <cell r="D661" t="str">
            <v>OXEDEP CAP (1*10)</v>
          </cell>
          <cell r="F661">
            <v>10</v>
          </cell>
          <cell r="H661">
            <v>0</v>
          </cell>
        </row>
        <row r="662">
          <cell r="D662" t="str">
            <v>OXEDEP CAP (10*10)</v>
          </cell>
          <cell r="F662">
            <v>10</v>
          </cell>
          <cell r="H662">
            <v>0</v>
          </cell>
          <cell r="I662">
            <v>54580</v>
          </cell>
        </row>
        <row r="663">
          <cell r="D663" t="str">
            <v>PLEXO 25 TABLET</v>
          </cell>
          <cell r="F663">
            <v>10</v>
          </cell>
          <cell r="H663">
            <v>0</v>
          </cell>
          <cell r="I663">
            <v>738</v>
          </cell>
        </row>
        <row r="664">
          <cell r="D664" t="str">
            <v>PLEXO 50 TABLET</v>
          </cell>
          <cell r="F664">
            <v>10</v>
          </cell>
          <cell r="H664">
            <v>0</v>
          </cell>
          <cell r="I664">
            <v>2364</v>
          </cell>
        </row>
        <row r="665">
          <cell r="D665" t="str">
            <v>PLEXO 100 TABLET</v>
          </cell>
          <cell r="F665">
            <v>10</v>
          </cell>
          <cell r="H665">
            <v>0</v>
          </cell>
          <cell r="I665">
            <v>710</v>
          </cell>
        </row>
        <row r="666">
          <cell r="D666" t="str">
            <v>PLEXO 25 TABLET(3*10)</v>
          </cell>
          <cell r="F666">
            <v>10</v>
          </cell>
          <cell r="H666">
            <v>200000</v>
          </cell>
        </row>
        <row r="667">
          <cell r="D667" t="str">
            <v>PLEXO 50 TABLET(3*10)</v>
          </cell>
          <cell r="F667">
            <v>10</v>
          </cell>
          <cell r="H667">
            <v>150000</v>
          </cell>
        </row>
        <row r="668">
          <cell r="D668" t="str">
            <v>PLEXO 100 TABLET (3*10)</v>
          </cell>
          <cell r="F668">
            <v>10</v>
          </cell>
          <cell r="H668">
            <v>0</v>
          </cell>
        </row>
        <row r="669">
          <cell r="D669" t="str">
            <v>PLEXO 100 TABLET - (10*10)</v>
          </cell>
          <cell r="F669">
            <v>10</v>
          </cell>
          <cell r="H669">
            <v>213800</v>
          </cell>
        </row>
        <row r="670">
          <cell r="D670" t="str">
            <v>QUINTOR 250 TAB</v>
          </cell>
          <cell r="F670">
            <v>10</v>
          </cell>
          <cell r="H670">
            <v>303100</v>
          </cell>
          <cell r="I670">
            <v>45160</v>
          </cell>
          <cell r="K670">
            <v>5421</v>
          </cell>
          <cell r="L670">
            <v>13130</v>
          </cell>
        </row>
        <row r="671">
          <cell r="D671" t="str">
            <v>QUINTOR 250 TAB(5*10)</v>
          </cell>
          <cell r="F671">
            <v>10</v>
          </cell>
          <cell r="H671">
            <v>0</v>
          </cell>
        </row>
        <row r="672">
          <cell r="D672" t="str">
            <v>QUINTOR 250 TAB - (1*50*2*10)</v>
          </cell>
          <cell r="F672">
            <v>10</v>
          </cell>
          <cell r="H672">
            <v>0</v>
          </cell>
        </row>
        <row r="673">
          <cell r="D673" t="str">
            <v>QUINTOR 250 TAB(1*10)</v>
          </cell>
          <cell r="F673">
            <v>10</v>
          </cell>
          <cell r="H673">
            <v>0</v>
          </cell>
        </row>
        <row r="674">
          <cell r="D674" t="str">
            <v>QUINTOR 500 TAB (5*4)</v>
          </cell>
          <cell r="F674">
            <v>4</v>
          </cell>
          <cell r="H674">
            <v>0</v>
          </cell>
          <cell r="I674">
            <v>42500</v>
          </cell>
        </row>
        <row r="675">
          <cell r="D675" t="str">
            <v>QUINTOR 500 TAB(10*4)</v>
          </cell>
          <cell r="F675">
            <v>4</v>
          </cell>
          <cell r="H675">
            <v>0</v>
          </cell>
        </row>
        <row r="676">
          <cell r="D676" t="str">
            <v>QUINTOR 500 TAB(25*4)</v>
          </cell>
          <cell r="F676">
            <v>4</v>
          </cell>
          <cell r="H676">
            <v>0</v>
          </cell>
        </row>
        <row r="677">
          <cell r="D677" t="str">
            <v>QUINTOR 500 TAB (10T)</v>
          </cell>
          <cell r="F677">
            <v>10</v>
          </cell>
          <cell r="H677">
            <v>294400</v>
          </cell>
          <cell r="I677">
            <v>107319</v>
          </cell>
          <cell r="K677">
            <v>15515</v>
          </cell>
          <cell r="L677">
            <v>10080</v>
          </cell>
        </row>
        <row r="678">
          <cell r="D678" t="str">
            <v>QUINTOR 500 TAB(3*4)</v>
          </cell>
          <cell r="F678">
            <v>4</v>
          </cell>
          <cell r="H678">
            <v>0</v>
          </cell>
        </row>
        <row r="679">
          <cell r="D679" t="str">
            <v>QUINTOR 500 TAB (1*4)</v>
          </cell>
          <cell r="F679">
            <v>4</v>
          </cell>
          <cell r="H679">
            <v>0</v>
          </cell>
        </row>
        <row r="680">
          <cell r="D680" t="str">
            <v>QUINTOR 500 TAB(10*10)</v>
          </cell>
          <cell r="F680">
            <v>10</v>
          </cell>
          <cell r="H680">
            <v>4559050</v>
          </cell>
        </row>
        <row r="681">
          <cell r="D681" t="str">
            <v>QUINTOR INFUSION</v>
          </cell>
          <cell r="F681">
            <v>100</v>
          </cell>
          <cell r="H681">
            <v>0</v>
          </cell>
          <cell r="K681">
            <v>2720</v>
          </cell>
          <cell r="L681">
            <v>50040</v>
          </cell>
        </row>
        <row r="682">
          <cell r="D682" t="str">
            <v>RANITIN -150</v>
          </cell>
          <cell r="F682">
            <v>10</v>
          </cell>
          <cell r="H682">
            <v>2083500</v>
          </cell>
          <cell r="I682">
            <v>277730</v>
          </cell>
          <cell r="K682">
            <v>129440</v>
          </cell>
        </row>
        <row r="683">
          <cell r="D683" t="str">
            <v>RANITIN -150(1*10)</v>
          </cell>
          <cell r="F683">
            <v>10</v>
          </cell>
          <cell r="H683">
            <v>0</v>
          </cell>
        </row>
        <row r="684">
          <cell r="D684" t="str">
            <v>RANITIN -150(2*10)</v>
          </cell>
          <cell r="F684">
            <v>10</v>
          </cell>
          <cell r="H684">
            <v>0</v>
          </cell>
        </row>
        <row r="685">
          <cell r="D685" t="str">
            <v>RANITIN 150 - (1*100*10)</v>
          </cell>
          <cell r="F685">
            <v>10</v>
          </cell>
          <cell r="H685">
            <v>0</v>
          </cell>
        </row>
        <row r="686">
          <cell r="D686" t="str">
            <v>RANITIN -150(6*10)</v>
          </cell>
          <cell r="F686">
            <v>10</v>
          </cell>
          <cell r="H686">
            <v>0</v>
          </cell>
        </row>
        <row r="687">
          <cell r="D687" t="str">
            <v>RANITIN -150(40*10)</v>
          </cell>
          <cell r="F687">
            <v>10</v>
          </cell>
          <cell r="H687">
            <v>0</v>
          </cell>
        </row>
        <row r="688">
          <cell r="D688" t="str">
            <v>RANITIN -300 (50*10)</v>
          </cell>
          <cell r="F688">
            <v>10</v>
          </cell>
          <cell r="H688">
            <v>0</v>
          </cell>
        </row>
        <row r="689">
          <cell r="D689" t="str">
            <v>RANITIN -300 (100*10)</v>
          </cell>
          <cell r="F689">
            <v>10</v>
          </cell>
          <cell r="H689">
            <v>0</v>
          </cell>
        </row>
        <row r="690">
          <cell r="D690" t="str">
            <v>RANITIN -300(2*10)</v>
          </cell>
          <cell r="F690">
            <v>10</v>
          </cell>
          <cell r="H690">
            <v>0</v>
          </cell>
        </row>
        <row r="691">
          <cell r="D691" t="str">
            <v>RANITIN -300</v>
          </cell>
          <cell r="F691">
            <v>10</v>
          </cell>
          <cell r="H691">
            <v>0</v>
          </cell>
          <cell r="I691">
            <v>33874</v>
          </cell>
          <cell r="K691">
            <v>48130</v>
          </cell>
        </row>
        <row r="692">
          <cell r="D692" t="str">
            <v>RANITIN -300(3*10)</v>
          </cell>
          <cell r="F692">
            <v>10</v>
          </cell>
          <cell r="H692">
            <v>0</v>
          </cell>
        </row>
        <row r="693">
          <cell r="D693" t="str">
            <v>RANITIN -300(1*10)</v>
          </cell>
          <cell r="F693">
            <v>10</v>
          </cell>
          <cell r="H693">
            <v>0</v>
          </cell>
        </row>
        <row r="694">
          <cell r="D694" t="str">
            <v>RANITIN -INJ</v>
          </cell>
          <cell r="F694">
            <v>2</v>
          </cell>
          <cell r="H694">
            <v>0</v>
          </cell>
          <cell r="I694">
            <v>83950</v>
          </cell>
          <cell r="K694">
            <v>48000</v>
          </cell>
        </row>
        <row r="695">
          <cell r="D695" t="str">
            <v>RESPIDON 1 (2*10)</v>
          </cell>
          <cell r="F695">
            <v>10</v>
          </cell>
          <cell r="H695">
            <v>0</v>
          </cell>
        </row>
        <row r="696">
          <cell r="D696" t="str">
            <v>RESPIDON 1 T 10*10</v>
          </cell>
          <cell r="F696">
            <v>10</v>
          </cell>
          <cell r="H696">
            <v>0</v>
          </cell>
        </row>
        <row r="697">
          <cell r="D697" t="str">
            <v>RESPIDON 2  (2*10)</v>
          </cell>
          <cell r="F697">
            <v>10</v>
          </cell>
          <cell r="H697">
            <v>0</v>
          </cell>
          <cell r="I697">
            <v>6465</v>
          </cell>
        </row>
        <row r="698">
          <cell r="D698" t="str">
            <v>RESPIDON 2  (1*10)</v>
          </cell>
          <cell r="F698">
            <v>10</v>
          </cell>
          <cell r="H698">
            <v>0</v>
          </cell>
        </row>
        <row r="699">
          <cell r="D699" t="str">
            <v>RESPIDON 2  (3*10)</v>
          </cell>
          <cell r="F699">
            <v>10</v>
          </cell>
          <cell r="H699">
            <v>0</v>
          </cell>
        </row>
        <row r="700">
          <cell r="D700" t="str">
            <v>RESPIDON 2 (2*5*10)</v>
          </cell>
          <cell r="F700">
            <v>10</v>
          </cell>
          <cell r="H700">
            <v>0</v>
          </cell>
        </row>
        <row r="701">
          <cell r="D701" t="str">
            <v>RESPIDON 3  (2*10)</v>
          </cell>
          <cell r="F701">
            <v>10</v>
          </cell>
          <cell r="H701">
            <v>0</v>
          </cell>
        </row>
        <row r="702">
          <cell r="D702" t="str">
            <v>RESPIDON 3  T 10*10</v>
          </cell>
          <cell r="F702">
            <v>10</v>
          </cell>
          <cell r="H702">
            <v>0</v>
          </cell>
          <cell r="I702">
            <v>39375</v>
          </cell>
        </row>
        <row r="703">
          <cell r="D703" t="str">
            <v>RESPIDON 4  (5*10)</v>
          </cell>
          <cell r="F703">
            <v>10</v>
          </cell>
          <cell r="H703">
            <v>0</v>
          </cell>
          <cell r="I703">
            <v>0</v>
          </cell>
        </row>
        <row r="704">
          <cell r="D704" t="str">
            <v>RB FLEX 100 TABLET (10T)</v>
          </cell>
          <cell r="F704">
            <v>10</v>
          </cell>
          <cell r="H704">
            <v>632900</v>
          </cell>
        </row>
        <row r="705">
          <cell r="D705" t="str">
            <v>RB FLEX 400 TABLET (10T)</v>
          </cell>
          <cell r="F705">
            <v>10</v>
          </cell>
          <cell r="H705">
            <v>127200</v>
          </cell>
        </row>
        <row r="706">
          <cell r="D706" t="str">
            <v>ROXIMOL</v>
          </cell>
          <cell r="F706">
            <v>10</v>
          </cell>
          <cell r="H706">
            <v>0</v>
          </cell>
        </row>
        <row r="707">
          <cell r="D707" t="str">
            <v>SERENATA 50 (2*10)</v>
          </cell>
          <cell r="F707">
            <v>10</v>
          </cell>
          <cell r="H707">
            <v>0</v>
          </cell>
        </row>
        <row r="708">
          <cell r="D708" t="str">
            <v>SERENATA 50 (5*10)</v>
          </cell>
          <cell r="F708">
            <v>10</v>
          </cell>
          <cell r="H708">
            <v>0</v>
          </cell>
          <cell r="I708">
            <v>61056</v>
          </cell>
        </row>
        <row r="709">
          <cell r="D709" t="str">
            <v>SERENATA 50 (20*10)</v>
          </cell>
          <cell r="F709">
            <v>10</v>
          </cell>
          <cell r="H709">
            <v>0</v>
          </cell>
        </row>
        <row r="710">
          <cell r="D710" t="str">
            <v>SERENATA 50 (1*10)</v>
          </cell>
          <cell r="F710">
            <v>10</v>
          </cell>
          <cell r="H710">
            <v>0</v>
          </cell>
        </row>
        <row r="711">
          <cell r="D711" t="str">
            <v>SERENATA 100</v>
          </cell>
          <cell r="F711">
            <v>10</v>
          </cell>
          <cell r="H711">
            <v>0</v>
          </cell>
        </row>
        <row r="712">
          <cell r="D712" t="str">
            <v>SERENATA 100 (5*10)</v>
          </cell>
          <cell r="F712">
            <v>10</v>
          </cell>
          <cell r="H712">
            <v>0</v>
          </cell>
        </row>
        <row r="713">
          <cell r="D713" t="str">
            <v>SERENATA 100 (1*10)</v>
          </cell>
          <cell r="F713">
            <v>10</v>
          </cell>
          <cell r="H713">
            <v>0</v>
          </cell>
        </row>
        <row r="714">
          <cell r="D714" t="str">
            <v>SPASMALGIN INJ.</v>
          </cell>
          <cell r="F714">
            <v>5</v>
          </cell>
          <cell r="H714">
            <v>2765.165</v>
          </cell>
          <cell r="I714">
            <v>2500</v>
          </cell>
          <cell r="K714">
            <v>70075</v>
          </cell>
          <cell r="L714">
            <v>207050</v>
          </cell>
        </row>
        <row r="715">
          <cell r="D715" t="str">
            <v>SPASMALGIN TAB</v>
          </cell>
          <cell r="F715">
            <v>10</v>
          </cell>
          <cell r="H715">
            <v>1558300</v>
          </cell>
          <cell r="I715">
            <v>283120</v>
          </cell>
          <cell r="K715">
            <v>270090</v>
          </cell>
        </row>
        <row r="716">
          <cell r="D716" t="str">
            <v>SYSCAN 100 (8)</v>
          </cell>
          <cell r="F716">
            <v>8</v>
          </cell>
          <cell r="H716">
            <v>0</v>
          </cell>
        </row>
        <row r="717">
          <cell r="D717" t="str">
            <v>SYSCAN 100 (1*2)</v>
          </cell>
          <cell r="F717">
            <v>2</v>
          </cell>
          <cell r="H717">
            <v>0</v>
          </cell>
          <cell r="I717">
            <v>10365</v>
          </cell>
        </row>
        <row r="718">
          <cell r="D718" t="str">
            <v>SYSCAN 100 (1*7)</v>
          </cell>
          <cell r="F718">
            <v>7</v>
          </cell>
          <cell r="H718">
            <v>9400</v>
          </cell>
          <cell r="I718">
            <v>1000</v>
          </cell>
          <cell r="L718">
            <v>1735</v>
          </cell>
        </row>
        <row r="719">
          <cell r="D719" t="str">
            <v>SYSCAN 100 (1*4)</v>
          </cell>
          <cell r="F719">
            <v>4</v>
          </cell>
          <cell r="H719">
            <v>0</v>
          </cell>
        </row>
        <row r="720">
          <cell r="D720" t="str">
            <v>SYSCAN 100 (6*4)</v>
          </cell>
          <cell r="F720">
            <v>4</v>
          </cell>
          <cell r="H720">
            <v>0</v>
          </cell>
        </row>
        <row r="721">
          <cell r="D721" t="str">
            <v>SYSCAN 100 (3*4)</v>
          </cell>
          <cell r="F721">
            <v>4</v>
          </cell>
          <cell r="H721">
            <v>0</v>
          </cell>
        </row>
        <row r="722">
          <cell r="D722" t="str">
            <v>SYSCAN 200 - (1*4)</v>
          </cell>
          <cell r="F722">
            <v>4</v>
          </cell>
          <cell r="H722">
            <v>0</v>
          </cell>
        </row>
        <row r="723">
          <cell r="D723" t="str">
            <v>SYSCAN 50 (1*7)</v>
          </cell>
          <cell r="F723">
            <v>7</v>
          </cell>
          <cell r="H723">
            <v>0</v>
          </cell>
          <cell r="I723">
            <v>1713</v>
          </cell>
          <cell r="K723">
            <v>2000</v>
          </cell>
        </row>
        <row r="724">
          <cell r="D724" t="str">
            <v>SYSCAN 150 (1C)</v>
          </cell>
          <cell r="F724">
            <v>1</v>
          </cell>
          <cell r="H724">
            <v>29000</v>
          </cell>
          <cell r="I724">
            <v>17490</v>
          </cell>
          <cell r="K724">
            <v>1860</v>
          </cell>
          <cell r="L724">
            <v>8000</v>
          </cell>
        </row>
        <row r="725">
          <cell r="D725" t="str">
            <v>SYSCAN 150 (4C)</v>
          </cell>
          <cell r="F725">
            <v>4</v>
          </cell>
          <cell r="H725">
            <v>0</v>
          </cell>
        </row>
        <row r="726">
          <cell r="D726" t="str">
            <v>SYSCAN INFUSION</v>
          </cell>
          <cell r="F726">
            <v>100</v>
          </cell>
          <cell r="H726">
            <v>0</v>
          </cell>
        </row>
        <row r="727">
          <cell r="D727" t="str">
            <v>THIORIL 25</v>
          </cell>
          <cell r="F727">
            <v>10</v>
          </cell>
          <cell r="H727">
            <v>0</v>
          </cell>
          <cell r="I727">
            <v>52000</v>
          </cell>
          <cell r="K727">
            <v>9600</v>
          </cell>
        </row>
        <row r="728">
          <cell r="D728" t="str">
            <v>TIDOCOL 400</v>
          </cell>
          <cell r="F728">
            <v>10</v>
          </cell>
          <cell r="H728">
            <v>0</v>
          </cell>
          <cell r="I728">
            <v>2100</v>
          </cell>
        </row>
        <row r="729">
          <cell r="D729" t="str">
            <v>TIDOMET FORTE</v>
          </cell>
          <cell r="F729">
            <v>10</v>
          </cell>
          <cell r="H729">
            <v>160400</v>
          </cell>
          <cell r="I729">
            <v>33310</v>
          </cell>
          <cell r="K729">
            <v>37170</v>
          </cell>
          <cell r="L729">
            <v>54870</v>
          </cell>
        </row>
        <row r="730">
          <cell r="D730" t="str">
            <v>TIDOMET FORTE (2*10)</v>
          </cell>
          <cell r="F730">
            <v>10</v>
          </cell>
          <cell r="H730">
            <v>0</v>
          </cell>
        </row>
        <row r="731">
          <cell r="D731" t="str">
            <v>TIDOMET FORTE (1*10)</v>
          </cell>
          <cell r="F731">
            <v>10</v>
          </cell>
          <cell r="H731">
            <v>0</v>
          </cell>
        </row>
        <row r="732">
          <cell r="D732" t="str">
            <v>TOCOFER 200 CAP (10C)</v>
          </cell>
          <cell r="F732">
            <v>10</v>
          </cell>
          <cell r="H732">
            <v>44000</v>
          </cell>
          <cell r="I732">
            <v>142560</v>
          </cell>
          <cell r="K732">
            <v>16560</v>
          </cell>
        </row>
        <row r="733">
          <cell r="D733" t="str">
            <v>TOCOFER 200 CAP (1*10C)</v>
          </cell>
          <cell r="F733">
            <v>10</v>
          </cell>
          <cell r="H733">
            <v>0</v>
          </cell>
        </row>
        <row r="734">
          <cell r="D734" t="str">
            <v>TOCOFER 400 CAP (10C)</v>
          </cell>
          <cell r="F734">
            <v>10</v>
          </cell>
          <cell r="H734">
            <v>0</v>
          </cell>
          <cell r="I734">
            <v>103490</v>
          </cell>
          <cell r="K734">
            <v>25870</v>
          </cell>
        </row>
        <row r="735">
          <cell r="D735" t="str">
            <v>TOCOFER 400 CAP (1*10C)</v>
          </cell>
          <cell r="F735">
            <v>10</v>
          </cell>
          <cell r="H735">
            <v>0</v>
          </cell>
        </row>
        <row r="736">
          <cell r="D736" t="str">
            <v>TOLDIN 20 (10*10)</v>
          </cell>
          <cell r="F736">
            <v>10</v>
          </cell>
          <cell r="H736">
            <v>0</v>
          </cell>
        </row>
        <row r="737">
          <cell r="D737" t="str">
            <v>TOPCEF 100 DT (5*10)</v>
          </cell>
          <cell r="F737">
            <v>10</v>
          </cell>
          <cell r="H737">
            <v>0</v>
          </cell>
        </row>
        <row r="738">
          <cell r="D738" t="str">
            <v>TOPCEF 100 DT - (1*10)</v>
          </cell>
          <cell r="F738">
            <v>10</v>
          </cell>
          <cell r="H738">
            <v>0</v>
          </cell>
        </row>
        <row r="739">
          <cell r="D739" t="str">
            <v>TOPCEF 100 DT - (3*10)</v>
          </cell>
          <cell r="F739">
            <v>10</v>
          </cell>
          <cell r="H739">
            <v>0</v>
          </cell>
        </row>
        <row r="740">
          <cell r="D740" t="str">
            <v>TOPCEF 200 (5*4)</v>
          </cell>
          <cell r="F740">
            <v>4</v>
          </cell>
          <cell r="H740">
            <v>0</v>
          </cell>
        </row>
        <row r="741">
          <cell r="D741" t="str">
            <v>TOPCEF 200 - (1*10)</v>
          </cell>
          <cell r="F741">
            <v>10</v>
          </cell>
          <cell r="H741">
            <v>0</v>
          </cell>
        </row>
        <row r="742">
          <cell r="D742" t="str">
            <v>TOPCID-20TAB (10)</v>
          </cell>
          <cell r="F742">
            <v>10</v>
          </cell>
          <cell r="H742">
            <v>0</v>
          </cell>
          <cell r="I742">
            <v>42270</v>
          </cell>
        </row>
        <row r="743">
          <cell r="D743" t="str">
            <v>TOPCID-40TAB</v>
          </cell>
          <cell r="F743">
            <v>10</v>
          </cell>
          <cell r="H743">
            <v>0</v>
          </cell>
          <cell r="I743">
            <v>4500</v>
          </cell>
        </row>
        <row r="744">
          <cell r="D744" t="str">
            <v>TORLOS 25 (4*7)</v>
          </cell>
          <cell r="F744">
            <v>7</v>
          </cell>
          <cell r="H744">
            <v>0</v>
          </cell>
          <cell r="I744">
            <v>61256</v>
          </cell>
        </row>
        <row r="745">
          <cell r="D745" t="str">
            <v>TORLOS 50 (1*7)</v>
          </cell>
          <cell r="F745">
            <v>7</v>
          </cell>
          <cell r="H745">
            <v>0</v>
          </cell>
          <cell r="I745">
            <v>237192</v>
          </cell>
        </row>
        <row r="746">
          <cell r="D746" t="str">
            <v>TORLOS 50 (2*7)</v>
          </cell>
          <cell r="F746">
            <v>7</v>
          </cell>
          <cell r="H746">
            <v>0</v>
          </cell>
        </row>
        <row r="747">
          <cell r="D747" t="str">
            <v>TORLOS 50 (4*7)</v>
          </cell>
          <cell r="F747">
            <v>7</v>
          </cell>
          <cell r="H747">
            <v>1335900</v>
          </cell>
        </row>
        <row r="748">
          <cell r="D748" t="str">
            <v>TORLOS H TAB (1*7)</v>
          </cell>
          <cell r="F748">
            <v>7</v>
          </cell>
          <cell r="H748">
            <v>0</v>
          </cell>
          <cell r="I748">
            <v>80640</v>
          </cell>
        </row>
        <row r="749">
          <cell r="D749" t="str">
            <v>TORLOS H TAB (2*7)</v>
          </cell>
          <cell r="F749">
            <v>7</v>
          </cell>
          <cell r="H749">
            <v>0</v>
          </cell>
        </row>
        <row r="750">
          <cell r="D750" t="str">
            <v>TORLOS H TAB (4*7)</v>
          </cell>
          <cell r="F750">
            <v>7</v>
          </cell>
          <cell r="H750">
            <v>0</v>
          </cell>
        </row>
        <row r="751">
          <cell r="D751" t="str">
            <v>TORMOXIN -500CAP (10)</v>
          </cell>
          <cell r="F751">
            <v>10</v>
          </cell>
          <cell r="H751">
            <v>0</v>
          </cell>
        </row>
        <row r="752">
          <cell r="D752" t="str">
            <v>TORMOXIN -500CAP (500)</v>
          </cell>
          <cell r="F752">
            <v>500</v>
          </cell>
          <cell r="H752">
            <v>0</v>
          </cell>
        </row>
        <row r="753">
          <cell r="D753" t="str">
            <v>TOROSPAR TAB (6 TAB)</v>
          </cell>
          <cell r="F753">
            <v>6</v>
          </cell>
          <cell r="H753">
            <v>0</v>
          </cell>
          <cell r="I753">
            <v>15000</v>
          </cell>
        </row>
        <row r="754">
          <cell r="D754" t="str">
            <v>TOROXX 12.5 (10*10)</v>
          </cell>
          <cell r="F754">
            <v>10</v>
          </cell>
          <cell r="H754">
            <v>0</v>
          </cell>
        </row>
        <row r="755">
          <cell r="D755" t="str">
            <v>TOROXX 25 (10*10)</v>
          </cell>
          <cell r="F755">
            <v>10</v>
          </cell>
          <cell r="H755">
            <v>0</v>
          </cell>
        </row>
        <row r="756">
          <cell r="D756" t="str">
            <v>TOROXX  MT 12.5 (1*10)</v>
          </cell>
          <cell r="F756">
            <v>10</v>
          </cell>
          <cell r="H756">
            <v>261600</v>
          </cell>
        </row>
        <row r="757">
          <cell r="D757" t="str">
            <v>TOROXX  MT 12.5 (5*10)</v>
          </cell>
          <cell r="F757">
            <v>10</v>
          </cell>
          <cell r="H757">
            <v>0</v>
          </cell>
        </row>
        <row r="758">
          <cell r="D758" t="str">
            <v>TOROXX  MT 12.5 (10*10)</v>
          </cell>
          <cell r="F758">
            <v>10</v>
          </cell>
          <cell r="H758">
            <v>0</v>
          </cell>
          <cell r="I758">
            <v>11970</v>
          </cell>
        </row>
        <row r="759">
          <cell r="D759" t="str">
            <v>TOROXX MT 25 (10*10)</v>
          </cell>
          <cell r="F759">
            <v>10</v>
          </cell>
          <cell r="H759">
            <v>0</v>
          </cell>
          <cell r="I759">
            <v>33340</v>
          </cell>
        </row>
        <row r="760">
          <cell r="D760" t="str">
            <v>TOROXX MT 25 (5*10)</v>
          </cell>
          <cell r="F760">
            <v>10</v>
          </cell>
          <cell r="H760">
            <v>0</v>
          </cell>
        </row>
        <row r="761">
          <cell r="D761" t="str">
            <v>TOROXX MT 25 1*10</v>
          </cell>
          <cell r="F761">
            <v>10</v>
          </cell>
          <cell r="H761">
            <v>0</v>
          </cell>
        </row>
        <row r="762">
          <cell r="D762" t="str">
            <v xml:space="preserve">TOROCEF 1000 INJ. </v>
          </cell>
          <cell r="F762">
            <v>1</v>
          </cell>
          <cell r="H762">
            <v>0</v>
          </cell>
          <cell r="K762">
            <v>10100</v>
          </cell>
          <cell r="L762">
            <v>14500</v>
          </cell>
        </row>
        <row r="763">
          <cell r="D763" t="str">
            <v>TOROCEF 250 INJ.</v>
          </cell>
          <cell r="F763">
            <v>1</v>
          </cell>
          <cell r="H763">
            <v>0</v>
          </cell>
        </row>
        <row r="764">
          <cell r="D764" t="str">
            <v>TOZAAR 25</v>
          </cell>
          <cell r="F764">
            <v>10</v>
          </cell>
          <cell r="H764">
            <v>0</v>
          </cell>
        </row>
        <row r="765">
          <cell r="D765" t="str">
            <v>TOZAAR 25 (15*7)</v>
          </cell>
          <cell r="F765">
            <v>7</v>
          </cell>
          <cell r="H765">
            <v>0</v>
          </cell>
        </row>
        <row r="766">
          <cell r="D766" t="str">
            <v>TOZAAR 25 - (1*7)</v>
          </cell>
          <cell r="F766">
            <v>7</v>
          </cell>
          <cell r="H766">
            <v>0</v>
          </cell>
          <cell r="I766">
            <v>55582</v>
          </cell>
        </row>
        <row r="767">
          <cell r="D767" t="str">
            <v>TOZAAR 25 (5*10)</v>
          </cell>
          <cell r="F767">
            <v>10</v>
          </cell>
          <cell r="H767">
            <v>0</v>
          </cell>
        </row>
        <row r="768">
          <cell r="D768" t="str">
            <v>TOZAAR 25 (1*10)</v>
          </cell>
          <cell r="F768">
            <v>10</v>
          </cell>
          <cell r="H768">
            <v>0</v>
          </cell>
        </row>
        <row r="769">
          <cell r="D769" t="str">
            <v>TOZAAR 50</v>
          </cell>
          <cell r="F769">
            <v>10</v>
          </cell>
          <cell r="H769">
            <v>0</v>
          </cell>
          <cell r="I769">
            <v>280</v>
          </cell>
        </row>
        <row r="770">
          <cell r="D770" t="str">
            <v>TOZAAR 50 (5*10)</v>
          </cell>
          <cell r="F770">
            <v>10</v>
          </cell>
          <cell r="H770">
            <v>0</v>
          </cell>
        </row>
        <row r="771">
          <cell r="D771" t="str">
            <v>TOZAAR 50 (1*10)</v>
          </cell>
          <cell r="F771">
            <v>10</v>
          </cell>
          <cell r="H771">
            <v>0</v>
          </cell>
        </row>
        <row r="772">
          <cell r="D772" t="str">
            <v>TOZAAR 50 (15*7)</v>
          </cell>
          <cell r="F772">
            <v>7</v>
          </cell>
          <cell r="H772">
            <v>148500</v>
          </cell>
          <cell r="I772">
            <v>50724</v>
          </cell>
        </row>
        <row r="773">
          <cell r="D773" t="str">
            <v>TOZAAR H TAB (10 t)</v>
          </cell>
          <cell r="F773">
            <v>10</v>
          </cell>
          <cell r="H773">
            <v>0</v>
          </cell>
        </row>
        <row r="774">
          <cell r="D774" t="str">
            <v>TOZAAR H TAB (4*7)</v>
          </cell>
          <cell r="F774">
            <v>7</v>
          </cell>
          <cell r="H774">
            <v>0</v>
          </cell>
        </row>
        <row r="775">
          <cell r="D775" t="str">
            <v>TOZAAR H TAB (1*7)</v>
          </cell>
          <cell r="F775">
            <v>7</v>
          </cell>
          <cell r="H775">
            <v>0</v>
          </cell>
        </row>
        <row r="776">
          <cell r="D776" t="str">
            <v>TRIDEP-25 (1000T)</v>
          </cell>
          <cell r="F776">
            <v>1000</v>
          </cell>
          <cell r="H776">
            <v>0</v>
          </cell>
          <cell r="I776">
            <v>3439</v>
          </cell>
        </row>
        <row r="777">
          <cell r="D777" t="str">
            <v>TRIDEP-25 (10T)</v>
          </cell>
          <cell r="F777">
            <v>10</v>
          </cell>
          <cell r="H777">
            <v>0</v>
          </cell>
          <cell r="I777">
            <v>76680</v>
          </cell>
        </row>
        <row r="778">
          <cell r="D778" t="str">
            <v>ULCIBAN 400MG TAB</v>
          </cell>
          <cell r="F778">
            <v>10</v>
          </cell>
          <cell r="H778">
            <v>0</v>
          </cell>
        </row>
        <row r="779">
          <cell r="D779" t="str">
            <v>ULCIBAN 400MG TAB(1*10)</v>
          </cell>
          <cell r="F779">
            <v>10</v>
          </cell>
          <cell r="H779">
            <v>0</v>
          </cell>
        </row>
        <row r="780">
          <cell r="D780" t="str">
            <v>ULTRATARD HM</v>
          </cell>
          <cell r="F780">
            <v>10</v>
          </cell>
          <cell r="H780">
            <v>0</v>
          </cell>
        </row>
        <row r="781">
          <cell r="D781" t="str">
            <v>UNIPRIDE TAB</v>
          </cell>
          <cell r="F781">
            <v>10</v>
          </cell>
          <cell r="H781">
            <v>0</v>
          </cell>
        </row>
        <row r="782">
          <cell r="D782" t="str">
            <v>UROFLOX -400 TAB</v>
          </cell>
          <cell r="F782">
            <v>10</v>
          </cell>
          <cell r="H782">
            <v>167000</v>
          </cell>
          <cell r="I782">
            <v>42500</v>
          </cell>
        </row>
        <row r="783">
          <cell r="D783" t="str">
            <v>UROFLOX -400 TAB(1*10)</v>
          </cell>
          <cell r="F783">
            <v>10</v>
          </cell>
          <cell r="H783">
            <v>0</v>
          </cell>
        </row>
        <row r="784">
          <cell r="D784" t="str">
            <v>VALPARIN ALKALETS 200</v>
          </cell>
          <cell r="F784">
            <v>10</v>
          </cell>
          <cell r="H784">
            <v>0</v>
          </cell>
          <cell r="I784">
            <v>170530</v>
          </cell>
        </row>
        <row r="785">
          <cell r="D785" t="str">
            <v>VALPARIN ALKALETS 200(1*10)</v>
          </cell>
          <cell r="F785">
            <v>10</v>
          </cell>
          <cell r="H785">
            <v>0</v>
          </cell>
        </row>
        <row r="786">
          <cell r="D786" t="str">
            <v xml:space="preserve">VALPARIN XR 300 </v>
          </cell>
          <cell r="F786">
            <v>10</v>
          </cell>
          <cell r="H786">
            <v>0</v>
          </cell>
          <cell r="I786">
            <v>91350</v>
          </cell>
        </row>
        <row r="787">
          <cell r="D787" t="str">
            <v>VALPARIN CHRONO 500 (10*10)</v>
          </cell>
          <cell r="F787">
            <v>10</v>
          </cell>
          <cell r="H787">
            <v>0</v>
          </cell>
          <cell r="I787">
            <v>61380</v>
          </cell>
          <cell r="K787">
            <v>14630</v>
          </cell>
        </row>
        <row r="788">
          <cell r="D788" t="str">
            <v>VALPARIN SYRUP</v>
          </cell>
          <cell r="F788">
            <v>100</v>
          </cell>
          <cell r="H788">
            <v>0</v>
          </cell>
        </row>
        <row r="789">
          <cell r="D789" t="str">
            <v>VALZ 10 (10*10)</v>
          </cell>
          <cell r="F789">
            <v>10</v>
          </cell>
          <cell r="H789">
            <v>0</v>
          </cell>
        </row>
        <row r="790">
          <cell r="D790" t="str">
            <v>VALZ 20 (10*10)</v>
          </cell>
          <cell r="F790">
            <v>10</v>
          </cell>
          <cell r="H790">
            <v>0</v>
          </cell>
        </row>
        <row r="791">
          <cell r="D791" t="str">
            <v>VASOPTEN 40</v>
          </cell>
          <cell r="F791">
            <v>10</v>
          </cell>
          <cell r="H791">
            <v>0</v>
          </cell>
          <cell r="I791">
            <v>74350</v>
          </cell>
        </row>
        <row r="792">
          <cell r="D792" t="str">
            <v>VASOPTEN 40 (1*10)</v>
          </cell>
          <cell r="F792">
            <v>10</v>
          </cell>
          <cell r="H792">
            <v>0</v>
          </cell>
        </row>
        <row r="793">
          <cell r="D793" t="str">
            <v>VASOPTEN 80</v>
          </cell>
          <cell r="F793">
            <v>10</v>
          </cell>
          <cell r="H793">
            <v>0</v>
          </cell>
        </row>
        <row r="794">
          <cell r="D794" t="str">
            <v>VASOPTEN 80 (1*10)</v>
          </cell>
          <cell r="F794">
            <v>10</v>
          </cell>
          <cell r="H794">
            <v>0</v>
          </cell>
        </row>
        <row r="795">
          <cell r="D795" t="str">
            <v>VASOTRATE 20 TAB</v>
          </cell>
          <cell r="F795">
            <v>10</v>
          </cell>
          <cell r="H795">
            <v>0</v>
          </cell>
        </row>
        <row r="796">
          <cell r="D796" t="str">
            <v>VASOTRATE 20 TAB(1*10)</v>
          </cell>
          <cell r="F796">
            <v>10</v>
          </cell>
          <cell r="H796">
            <v>0</v>
          </cell>
        </row>
        <row r="797">
          <cell r="D797" t="str">
            <v>VASOTRATE 30 OD (1*7)</v>
          </cell>
          <cell r="F797">
            <v>7</v>
          </cell>
          <cell r="H797">
            <v>0</v>
          </cell>
          <cell r="I797">
            <v>15576</v>
          </cell>
        </row>
        <row r="798">
          <cell r="D798" t="str">
            <v>VASOTRATE 30 OD (4*7)</v>
          </cell>
          <cell r="F798">
            <v>7</v>
          </cell>
          <cell r="H798">
            <v>0</v>
          </cell>
        </row>
        <row r="799">
          <cell r="D799" t="str">
            <v>VASOTRATE 60 OD (1*7)</v>
          </cell>
          <cell r="F799">
            <v>7</v>
          </cell>
          <cell r="H799">
            <v>329116</v>
          </cell>
          <cell r="I799">
            <v>27412</v>
          </cell>
        </row>
        <row r="800">
          <cell r="D800" t="str">
            <v>VASOTRATE 60 OD (4*7)</v>
          </cell>
          <cell r="F800">
            <v>7</v>
          </cell>
          <cell r="H800">
            <v>0</v>
          </cell>
        </row>
        <row r="801">
          <cell r="D801" t="str">
            <v>VELOZ 10 (10*10)</v>
          </cell>
          <cell r="F801">
            <v>10</v>
          </cell>
          <cell r="H801">
            <v>0</v>
          </cell>
        </row>
        <row r="802">
          <cell r="D802" t="str">
            <v>VELOZ 10 (4*7)</v>
          </cell>
          <cell r="F802">
            <v>7</v>
          </cell>
          <cell r="H802">
            <v>0</v>
          </cell>
        </row>
        <row r="803">
          <cell r="D803" t="str">
            <v>VELOZ 20</v>
          </cell>
          <cell r="F803">
            <v>7</v>
          </cell>
          <cell r="H803">
            <v>65000</v>
          </cell>
        </row>
        <row r="804">
          <cell r="D804" t="str">
            <v>VENLIFT OD 75 (2*7)</v>
          </cell>
          <cell r="F804">
            <v>7</v>
          </cell>
          <cell r="H804">
            <v>1030400</v>
          </cell>
          <cell r="I804">
            <v>360</v>
          </cell>
        </row>
        <row r="805">
          <cell r="D805" t="str">
            <v>VENLIFT OD 150 (2*7)</v>
          </cell>
          <cell r="F805">
            <v>7</v>
          </cell>
          <cell r="H805">
            <v>150000</v>
          </cell>
        </row>
        <row r="806">
          <cell r="D806" t="str">
            <v>VERTIZINE-25 TAB</v>
          </cell>
          <cell r="F806">
            <v>10</v>
          </cell>
          <cell r="H806">
            <v>0</v>
          </cell>
        </row>
        <row r="807">
          <cell r="D807" t="str">
            <v>WATER FOR INJ. 10ML</v>
          </cell>
          <cell r="F807">
            <v>10</v>
          </cell>
          <cell r="H807">
            <v>0</v>
          </cell>
          <cell r="I807">
            <v>12578</v>
          </cell>
        </row>
        <row r="808">
          <cell r="D808" t="str">
            <v>ZIRTIN TAB</v>
          </cell>
          <cell r="F808">
            <v>10</v>
          </cell>
          <cell r="H808">
            <v>0</v>
          </cell>
        </row>
        <row r="816">
          <cell r="D816" t="str">
            <v>ALMINTH SUSP.</v>
          </cell>
          <cell r="E816" t="str">
            <v>lts</v>
          </cell>
          <cell r="F816">
            <v>10</v>
          </cell>
          <cell r="H816">
            <v>200</v>
          </cell>
          <cell r="I816">
            <v>6020</v>
          </cell>
        </row>
        <row r="817">
          <cell r="D817" t="str">
            <v>ALPRAX 0.25 - RPG</v>
          </cell>
          <cell r="F817">
            <v>10</v>
          </cell>
        </row>
        <row r="818">
          <cell r="D818" t="str">
            <v>ALPRAX 0.50 - RPG</v>
          </cell>
          <cell r="F818">
            <v>10</v>
          </cell>
        </row>
        <row r="819">
          <cell r="D819" t="str">
            <v>ASTHAFEN (RPG)</v>
          </cell>
          <cell r="F819">
            <v>10</v>
          </cell>
        </row>
        <row r="820">
          <cell r="D820" t="str">
            <v>CALCIGARD 10 CAP (1*10) CASIL</v>
          </cell>
          <cell r="F820">
            <v>10</v>
          </cell>
        </row>
        <row r="821">
          <cell r="D821" t="str">
            <v>CALCIGARD 5 CAP CASIL</v>
          </cell>
          <cell r="F821">
            <v>10</v>
          </cell>
        </row>
        <row r="822">
          <cell r="D822" t="str">
            <v>DOMSTAL SUSP</v>
          </cell>
          <cell r="E822" t="str">
            <v>lts</v>
          </cell>
          <cell r="F822">
            <v>10</v>
          </cell>
          <cell r="I822">
            <v>5208</v>
          </cell>
        </row>
        <row r="823">
          <cell r="D823" t="str">
            <v>DROXYL 500TAB.</v>
          </cell>
          <cell r="F823">
            <v>30</v>
          </cell>
        </row>
        <row r="824">
          <cell r="D824" t="str">
            <v>FEGEM SYRUP</v>
          </cell>
          <cell r="F824">
            <v>150</v>
          </cell>
          <cell r="I824">
            <v>464</v>
          </cell>
        </row>
        <row r="825">
          <cell r="D825" t="str">
            <v xml:space="preserve">FUNGINOC CREAM </v>
          </cell>
          <cell r="F825">
            <v>15</v>
          </cell>
          <cell r="I825">
            <v>2001</v>
          </cell>
        </row>
        <row r="826">
          <cell r="D826" t="str">
            <v xml:space="preserve">GLUCOMOL .25% </v>
          </cell>
          <cell r="F826">
            <v>5</v>
          </cell>
        </row>
        <row r="827">
          <cell r="D827" t="str">
            <v xml:space="preserve">GLUCOMOL .50% </v>
          </cell>
          <cell r="F827">
            <v>5</v>
          </cell>
        </row>
        <row r="828">
          <cell r="D828" t="str">
            <v>HERPEX CR. 5%</v>
          </cell>
          <cell r="F828">
            <v>5</v>
          </cell>
          <cell r="I828">
            <v>692</v>
          </cell>
        </row>
        <row r="829">
          <cell r="D829" t="str">
            <v>LOPAMIDE (RPG)</v>
          </cell>
          <cell r="F829">
            <v>10</v>
          </cell>
        </row>
        <row r="830">
          <cell r="D830" t="str">
            <v>IVEMETRO</v>
          </cell>
          <cell r="F830">
            <v>100</v>
          </cell>
          <cell r="I830">
            <v>10656</v>
          </cell>
        </row>
        <row r="831">
          <cell r="D831" t="str">
            <v>ONE UP (LL)</v>
          </cell>
          <cell r="F831">
            <v>10</v>
          </cell>
        </row>
        <row r="832">
          <cell r="D832" t="str">
            <v>QUINTOR INFUSION</v>
          </cell>
          <cell r="E832" t="str">
            <v>Lts</v>
          </cell>
          <cell r="F832">
            <v>100</v>
          </cell>
          <cell r="H832">
            <v>2875.2</v>
          </cell>
          <cell r="I832">
            <v>722</v>
          </cell>
        </row>
        <row r="833">
          <cell r="D833" t="str">
            <v>RANITIN AMP.</v>
          </cell>
          <cell r="F833">
            <v>2</v>
          </cell>
        </row>
        <row r="834">
          <cell r="D834" t="str">
            <v>RANITIN AMP.(ELYSIUM)</v>
          </cell>
          <cell r="F834">
            <v>2</v>
          </cell>
        </row>
        <row r="835">
          <cell r="D835" t="str">
            <v>SYSCAN INFUSION</v>
          </cell>
          <cell r="F835">
            <v>100</v>
          </cell>
          <cell r="I835">
            <v>0</v>
          </cell>
        </row>
        <row r="836">
          <cell r="D836" t="str">
            <v>TOPCEF 100 DT (5*10) LL</v>
          </cell>
          <cell r="F836">
            <v>10</v>
          </cell>
          <cell r="H836">
            <v>12000</v>
          </cell>
          <cell r="I836">
            <v>643</v>
          </cell>
        </row>
        <row r="837">
          <cell r="D837" t="str">
            <v>TOPCEF 200 (5*4) LL</v>
          </cell>
          <cell r="F837">
            <v>4</v>
          </cell>
          <cell r="H837">
            <v>20000</v>
          </cell>
          <cell r="I837">
            <v>1840</v>
          </cell>
        </row>
        <row r="838">
          <cell r="D838" t="str">
            <v>TORMOXIN -250 CAP. (1000 C)</v>
          </cell>
          <cell r="F838">
            <v>1000</v>
          </cell>
          <cell r="H838">
            <v>2400000</v>
          </cell>
          <cell r="I838">
            <v>7</v>
          </cell>
        </row>
        <row r="839">
          <cell r="D839" t="str">
            <v>TORMOXIN -500CAP (10)</v>
          </cell>
          <cell r="F839">
            <v>10</v>
          </cell>
          <cell r="I839">
            <v>1300</v>
          </cell>
        </row>
        <row r="840">
          <cell r="D840" t="str">
            <v>TORMOXIN -500CAP (500)</v>
          </cell>
          <cell r="F840">
            <v>500</v>
          </cell>
        </row>
        <row r="841">
          <cell r="D841" t="str">
            <v>TOROCEF 250 INJ.</v>
          </cell>
          <cell r="F841">
            <v>1</v>
          </cell>
          <cell r="H841">
            <v>3095</v>
          </cell>
        </row>
        <row r="842">
          <cell r="D842" t="str">
            <v>TOROCEF 1000</v>
          </cell>
          <cell r="F842">
            <v>1</v>
          </cell>
          <cell r="H842">
            <v>30153</v>
          </cell>
          <cell r="I842">
            <v>39969</v>
          </cell>
        </row>
        <row r="843">
          <cell r="D843" t="str">
            <v xml:space="preserve">TOROCEF 1000 INJ. </v>
          </cell>
          <cell r="F843">
            <v>1</v>
          </cell>
        </row>
        <row r="844">
          <cell r="D844" t="str">
            <v>VALPARIN SYRUP (LL)</v>
          </cell>
          <cell r="F844">
            <v>100</v>
          </cell>
          <cell r="I844">
            <v>1474</v>
          </cell>
        </row>
      </sheetData>
      <sheetData sheetId="2" refreshError="1"/>
      <sheetData sheetId="3" refreshError="1"/>
      <sheetData sheetId="4" refreshError="1"/>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04"/>
      <sheetName val="adjsch-V"/>
      <sheetName val="Sheet1"/>
      <sheetName val="0604"/>
      <sheetName val="sch-v"/>
      <sheetName val="Schedule V"/>
    </sheetNames>
    <sheetDataSet>
      <sheetData sheetId="0"/>
      <sheetData sheetId="1"/>
      <sheetData sheetId="2"/>
      <sheetData sheetId="3"/>
      <sheetData sheetId="4"/>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IL"/>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March 03 TB"/>
      <sheetName val="Jan - Dec 03"/>
      <sheetName val="Sheet4"/>
      <sheetName val="Sheet5"/>
      <sheetName val="Financials -Jan 03-Mar04 (2)"/>
      <sheetName val="Trial Balance (3)"/>
      <sheetName val="Trial Balance final"/>
      <sheetName val="Trial Balance"/>
      <sheetName val="Jan - Mar 04"/>
      <sheetName val="Jan 03 - March 04"/>
      <sheetName val="ICR Jan 03 - March 04"/>
      <sheetName val="Sheet2"/>
      <sheetName val="ICR Jan 03 March 04-Pivot"/>
      <sheetName val="ICR Mar 03 Pivot"/>
      <sheetName val="New Jan - March 03"/>
      <sheetName val="Financials -Jan 03-Mar04"/>
      <sheetName val="Sheet1"/>
      <sheetName val="Summary"/>
      <sheetName val="SC6-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000000000000000000"/>
      <sheetName val="0000000"/>
      <sheetName val="LINK GAP"/>
      <sheetName val="LINK MOR"/>
      <sheetName val="Converter"/>
      <sheetName val="linkmor2"/>
      <sheetName val="MOR"/>
      <sheetName val="GAP"/>
      <sheetName val="SII"/>
      <sheetName val="QTY-DATA"/>
    </sheetNames>
    <sheetDataSet>
      <sheetData sheetId="0" refreshError="1"/>
      <sheetData sheetId="1" refreshError="1"/>
      <sheetData sheetId="2" refreshError="1">
        <row r="1">
          <cell r="CJ1" t="str">
            <v>Code</v>
          </cell>
          <cell r="CK1" t="str">
            <v>USD per</v>
          </cell>
          <cell r="CL1" t="str">
            <v>Local Currency</v>
          </cell>
          <cell r="CM1" t="str">
            <v>Fixed Euro</v>
          </cell>
        </row>
        <row r="2">
          <cell r="CK2" t="str">
            <v>Local Currency</v>
          </cell>
          <cell r="CL2" t="str">
            <v>per USD</v>
          </cell>
          <cell r="CM2" t="str">
            <v>Conversion Rates</v>
          </cell>
        </row>
        <row r="3">
          <cell r="CJ3" t="str">
            <v>ADP</v>
          </cell>
          <cell r="CK3">
            <v>7.3898999999999996E-3</v>
          </cell>
          <cell r="CL3">
            <v>135.32</v>
          </cell>
          <cell r="CM3" t="str">
            <v xml:space="preserve"> </v>
          </cell>
        </row>
        <row r="4">
          <cell r="CJ4" t="str">
            <v>DZD</v>
          </cell>
          <cell r="CK4">
            <v>1.48787E-2</v>
          </cell>
          <cell r="CL4">
            <v>67.209999999999994</v>
          </cell>
          <cell r="CM4" t="str">
            <v xml:space="preserve"> </v>
          </cell>
        </row>
        <row r="5">
          <cell r="CJ5" t="str">
            <v>AFN</v>
          </cell>
          <cell r="CK5">
            <v>2.33727E-2</v>
          </cell>
          <cell r="CL5">
            <v>42.784999999999997</v>
          </cell>
          <cell r="CM5" t="str">
            <v xml:space="preserve"> </v>
          </cell>
        </row>
        <row r="6">
          <cell r="CJ6" t="str">
            <v>ALL</v>
          </cell>
          <cell r="CK6">
            <v>9.2038999999999992E-3</v>
          </cell>
          <cell r="CL6">
            <v>108.65</v>
          </cell>
          <cell r="CM6" t="str">
            <v xml:space="preserve"> </v>
          </cell>
        </row>
        <row r="7">
          <cell r="CJ7" t="str">
            <v>AOA</v>
          </cell>
          <cell r="CK7">
            <v>1.28717E-2</v>
          </cell>
          <cell r="CL7">
            <v>77.689700000000002</v>
          </cell>
          <cell r="CM7" t="str">
            <v xml:space="preserve"> </v>
          </cell>
        </row>
        <row r="8">
          <cell r="CJ8" t="str">
            <v>ARS</v>
          </cell>
          <cell r="CK8">
            <v>0.33783780000000002</v>
          </cell>
          <cell r="CL8">
            <v>2.96</v>
          </cell>
          <cell r="CM8" t="str">
            <v xml:space="preserve"> </v>
          </cell>
        </row>
        <row r="9">
          <cell r="CJ9" t="str">
            <v>AWG</v>
          </cell>
          <cell r="CK9">
            <v>0.55865920000000002</v>
          </cell>
          <cell r="CL9">
            <v>1.79</v>
          </cell>
          <cell r="CM9" t="str">
            <v xml:space="preserve"> </v>
          </cell>
        </row>
        <row r="10">
          <cell r="CJ10" t="str">
            <v>AUD</v>
          </cell>
          <cell r="CK10">
            <v>0.74409999999999998</v>
          </cell>
          <cell r="CL10">
            <v>1.3439053999999999</v>
          </cell>
          <cell r="CM10" t="str">
            <v xml:space="preserve"> </v>
          </cell>
        </row>
        <row r="11">
          <cell r="CJ11" t="str">
            <v>ATS</v>
          </cell>
          <cell r="CK11">
            <v>8.9482099999999995E-2</v>
          </cell>
          <cell r="CL11">
            <v>11.175424899999999</v>
          </cell>
          <cell r="CM11">
            <v>13.760300000000001</v>
          </cell>
        </row>
        <row r="12">
          <cell r="CJ12" t="str">
            <v>BSD</v>
          </cell>
          <cell r="CK12">
            <v>1</v>
          </cell>
          <cell r="CL12">
            <v>1</v>
          </cell>
          <cell r="CM12" t="str">
            <v xml:space="preserve"> </v>
          </cell>
        </row>
        <row r="13">
          <cell r="CJ13" t="str">
            <v>BHD</v>
          </cell>
          <cell r="CK13">
            <v>2.6525903</v>
          </cell>
          <cell r="CL13">
            <v>0.37698999999999999</v>
          </cell>
          <cell r="CM13" t="str">
            <v xml:space="preserve"> </v>
          </cell>
        </row>
        <row r="14">
          <cell r="CJ14" t="str">
            <v>BDT</v>
          </cell>
          <cell r="CK14">
            <v>1.7138E-2</v>
          </cell>
          <cell r="CL14">
            <v>58.35</v>
          </cell>
          <cell r="CM14" t="str">
            <v xml:space="preserve"> </v>
          </cell>
        </row>
        <row r="15">
          <cell r="CJ15" t="str">
            <v>BBD</v>
          </cell>
          <cell r="CK15">
            <v>0.50251259999999998</v>
          </cell>
          <cell r="CL15">
            <v>1.99</v>
          </cell>
          <cell r="CM15" t="str">
            <v xml:space="preserve"> </v>
          </cell>
        </row>
        <row r="16">
          <cell r="CJ16" t="str">
            <v>BYR</v>
          </cell>
          <cell r="CK16">
            <v>4.64E-4</v>
          </cell>
          <cell r="CL16">
            <v>2155</v>
          </cell>
          <cell r="CM16" t="str">
            <v xml:space="preserve"> </v>
          </cell>
        </row>
        <row r="17">
          <cell r="CJ17" t="str">
            <v>BEF</v>
          </cell>
          <cell r="CK17">
            <v>3.0523100000000001E-2</v>
          </cell>
          <cell r="CL17">
            <v>32.762041699999997</v>
          </cell>
          <cell r="CM17">
            <v>40.3399</v>
          </cell>
        </row>
        <row r="18">
          <cell r="CJ18" t="str">
            <v>BZD</v>
          </cell>
          <cell r="CK18">
            <v>0.50761420000000002</v>
          </cell>
          <cell r="CL18">
            <v>1.97</v>
          </cell>
          <cell r="CM18" t="str">
            <v xml:space="preserve"> </v>
          </cell>
        </row>
        <row r="19">
          <cell r="CJ19" t="str">
            <v>XOF</v>
          </cell>
          <cell r="CK19">
            <v>1.8794E-3</v>
          </cell>
          <cell r="CL19">
            <v>532.08000000000004</v>
          </cell>
          <cell r="CM19" t="str">
            <v xml:space="preserve"> </v>
          </cell>
        </row>
        <row r="20">
          <cell r="CJ20" t="str">
            <v>BMD</v>
          </cell>
          <cell r="CK20">
            <v>1</v>
          </cell>
          <cell r="CL20">
            <v>1</v>
          </cell>
          <cell r="CM20" t="str">
            <v xml:space="preserve"> </v>
          </cell>
        </row>
        <row r="21">
          <cell r="CJ21" t="str">
            <v>BTN</v>
          </cell>
          <cell r="CK21">
            <v>2.1961100000000001E-2</v>
          </cell>
          <cell r="CL21">
            <v>45.534999999999997</v>
          </cell>
          <cell r="CM21" t="str">
            <v xml:space="preserve"> </v>
          </cell>
        </row>
        <row r="22">
          <cell r="CJ22" t="str">
            <v>BOB</v>
          </cell>
          <cell r="CK22">
            <v>0.12827910000000001</v>
          </cell>
          <cell r="CL22">
            <v>7.7954999999999997</v>
          </cell>
          <cell r="CM22" t="str">
            <v xml:space="preserve"> </v>
          </cell>
        </row>
        <row r="23">
          <cell r="CJ23" t="str">
            <v>BAM</v>
          </cell>
          <cell r="CK23">
            <v>0.62810909999999998</v>
          </cell>
          <cell r="CL23">
            <v>1.5920799999999999</v>
          </cell>
          <cell r="CM23" t="str">
            <v xml:space="preserve"> </v>
          </cell>
        </row>
        <row r="24">
          <cell r="CJ24" t="str">
            <v>BWP</v>
          </cell>
          <cell r="CK24">
            <v>0.22869999999999999</v>
          </cell>
          <cell r="CL24">
            <v>4.3725404000000001</v>
          </cell>
          <cell r="CM24" t="str">
            <v xml:space="preserve"> </v>
          </cell>
        </row>
        <row r="25">
          <cell r="CJ25" t="str">
            <v>BRL</v>
          </cell>
          <cell r="CK25">
            <v>0.34258309999999997</v>
          </cell>
          <cell r="CL25">
            <v>2.919</v>
          </cell>
          <cell r="CM25" t="str">
            <v xml:space="preserve"> </v>
          </cell>
        </row>
        <row r="26">
          <cell r="CJ26" t="str">
            <v>BND</v>
          </cell>
          <cell r="CK26">
            <v>0.58510329999999999</v>
          </cell>
          <cell r="CL26">
            <v>1.7091000000000001</v>
          </cell>
          <cell r="CM26" t="str">
            <v xml:space="preserve"> </v>
          </cell>
        </row>
        <row r="27">
          <cell r="CJ27" t="str">
            <v>BGN</v>
          </cell>
          <cell r="CK27">
            <v>0.63123339999999994</v>
          </cell>
          <cell r="CL27">
            <v>1.5842000000000001</v>
          </cell>
          <cell r="CM27" t="str">
            <v xml:space="preserve"> </v>
          </cell>
        </row>
        <row r="28">
          <cell r="CJ28" t="str">
            <v>BGL</v>
          </cell>
          <cell r="CK28">
            <v>0.63123339999999994</v>
          </cell>
          <cell r="CL28">
            <v>1.5842000000000001</v>
          </cell>
          <cell r="CM28" t="str">
            <v xml:space="preserve"> </v>
          </cell>
        </row>
        <row r="29">
          <cell r="CJ29" t="str">
            <v>MMK</v>
          </cell>
          <cell r="CK29">
            <v>0.15654599999999999</v>
          </cell>
          <cell r="CL29">
            <v>6.3879000000000001</v>
          </cell>
          <cell r="CM29" t="str">
            <v xml:space="preserve"> </v>
          </cell>
        </row>
        <row r="30">
          <cell r="CJ30" t="str">
            <v>BIF</v>
          </cell>
          <cell r="CK30">
            <v>9.4209999999999997E-4</v>
          </cell>
          <cell r="CL30">
            <v>1061.5</v>
          </cell>
          <cell r="CM30" t="str">
            <v xml:space="preserve"> </v>
          </cell>
        </row>
        <row r="31">
          <cell r="CJ31" t="str">
            <v>KHR</v>
          </cell>
          <cell r="CK31">
            <v>2.519E-4</v>
          </cell>
          <cell r="CL31">
            <v>3970.05</v>
          </cell>
          <cell r="CM31" t="str">
            <v xml:space="preserve"> </v>
          </cell>
        </row>
        <row r="32">
          <cell r="CJ32" t="str">
            <v>CAD</v>
          </cell>
          <cell r="CK32">
            <v>0.76277649999999997</v>
          </cell>
          <cell r="CL32">
            <v>1.3109999999999999</v>
          </cell>
          <cell r="CM32" t="str">
            <v xml:space="preserve"> </v>
          </cell>
        </row>
        <row r="33">
          <cell r="CJ33" t="str">
            <v>CVE</v>
          </cell>
          <cell r="CK33">
            <v>9.1784999999999992E-3</v>
          </cell>
          <cell r="CL33">
            <v>108.95</v>
          </cell>
          <cell r="CM33" t="str">
            <v xml:space="preserve"> </v>
          </cell>
        </row>
        <row r="34">
          <cell r="CJ34" t="str">
            <v>KYD</v>
          </cell>
          <cell r="CK34">
            <v>1.2195122</v>
          </cell>
          <cell r="CL34">
            <v>0.82</v>
          </cell>
          <cell r="CM34" t="str">
            <v xml:space="preserve"> </v>
          </cell>
        </row>
        <row r="35">
          <cell r="CJ35" t="str">
            <v>XAF</v>
          </cell>
          <cell r="CK35">
            <v>1.8768000000000001E-3</v>
          </cell>
          <cell r="CL35">
            <v>532.82000000000005</v>
          </cell>
          <cell r="CM35" t="str">
            <v xml:space="preserve"> </v>
          </cell>
        </row>
        <row r="36">
          <cell r="CJ36" t="str">
            <v>CLP</v>
          </cell>
          <cell r="CK36">
            <v>1.6764E-3</v>
          </cell>
          <cell r="CL36">
            <v>596.5</v>
          </cell>
          <cell r="CM36" t="str">
            <v xml:space="preserve"> </v>
          </cell>
        </row>
        <row r="37">
          <cell r="CJ37" t="str">
            <v>CNY</v>
          </cell>
          <cell r="CK37">
            <v>0.1208138</v>
          </cell>
          <cell r="CL37">
            <v>8.2772000000000006</v>
          </cell>
          <cell r="CM37" t="str">
            <v xml:space="preserve"> </v>
          </cell>
        </row>
        <row r="38">
          <cell r="CJ38" t="str">
            <v>COP</v>
          </cell>
          <cell r="CK38">
            <v>3.5750000000000002E-4</v>
          </cell>
          <cell r="CL38">
            <v>2797</v>
          </cell>
          <cell r="CM38" t="str">
            <v xml:space="preserve"> </v>
          </cell>
        </row>
        <row r="39">
          <cell r="CJ39" t="str">
            <v>CDF</v>
          </cell>
          <cell r="CK39">
            <v>2.6667000000000001E-3</v>
          </cell>
          <cell r="CL39">
            <v>375</v>
          </cell>
          <cell r="CM39" t="str">
            <v xml:space="preserve"> </v>
          </cell>
        </row>
        <row r="40">
          <cell r="CJ40" t="str">
            <v>CRC</v>
          </cell>
          <cell r="CK40">
            <v>2.3995000000000002E-3</v>
          </cell>
          <cell r="CL40">
            <v>416.75</v>
          </cell>
          <cell r="CM40" t="str">
            <v xml:space="preserve"> </v>
          </cell>
        </row>
        <row r="41">
          <cell r="CJ41" t="str">
            <v>HRK</v>
          </cell>
          <cell r="CK41">
            <v>0.160223</v>
          </cell>
          <cell r="CL41">
            <v>6.2412999999999998</v>
          </cell>
          <cell r="CM41" t="str">
            <v xml:space="preserve"> </v>
          </cell>
        </row>
        <row r="42">
          <cell r="CJ42" t="str">
            <v>CUP</v>
          </cell>
          <cell r="CK42">
            <v>1</v>
          </cell>
          <cell r="CL42">
            <v>1</v>
          </cell>
          <cell r="CM42" t="str">
            <v xml:space="preserve"> </v>
          </cell>
        </row>
        <row r="43">
          <cell r="CJ43" t="str">
            <v>CYP</v>
          </cell>
          <cell r="CK43">
            <v>2.1074999999999999</v>
          </cell>
          <cell r="CL43">
            <v>0.47449580000000002</v>
          </cell>
          <cell r="CM43" t="str">
            <v xml:space="preserve"> </v>
          </cell>
        </row>
        <row r="44">
          <cell r="CJ44" t="str">
            <v>CZK</v>
          </cell>
          <cell r="CK44">
            <v>3.83627E-2</v>
          </cell>
          <cell r="CL44">
            <v>26.067</v>
          </cell>
          <cell r="CM44" t="str">
            <v xml:space="preserve"> </v>
          </cell>
        </row>
        <row r="45">
          <cell r="CJ45" t="str">
            <v>DKK</v>
          </cell>
          <cell r="CK45">
            <v>0.16556570000000001</v>
          </cell>
          <cell r="CL45">
            <v>6.0399000000000003</v>
          </cell>
          <cell r="CM45" t="str">
            <v xml:space="preserve"> </v>
          </cell>
        </row>
        <row r="46">
          <cell r="CJ46" t="str">
            <v>DJF</v>
          </cell>
          <cell r="CK46">
            <v>5.7143000000000003E-3</v>
          </cell>
          <cell r="CL46">
            <v>175</v>
          </cell>
          <cell r="CM46" t="str">
            <v xml:space="preserve"> </v>
          </cell>
        </row>
        <row r="47">
          <cell r="CJ47" t="str">
            <v>DOP</v>
          </cell>
          <cell r="CK47">
            <v>2.7397299999999999E-2</v>
          </cell>
          <cell r="CL47">
            <v>36.5</v>
          </cell>
          <cell r="CM47" t="str">
            <v xml:space="preserve"> </v>
          </cell>
        </row>
        <row r="48">
          <cell r="CJ48" t="str">
            <v>XCD</v>
          </cell>
          <cell r="CK48">
            <v>0.37453180000000003</v>
          </cell>
          <cell r="CL48">
            <v>2.67</v>
          </cell>
          <cell r="CM48" t="str">
            <v xml:space="preserve"> </v>
          </cell>
        </row>
        <row r="49">
          <cell r="CJ49" t="str">
            <v>USD</v>
          </cell>
          <cell r="CK49">
            <v>1</v>
          </cell>
          <cell r="CL49">
            <v>1</v>
          </cell>
          <cell r="CM49" t="str">
            <v xml:space="preserve"> </v>
          </cell>
        </row>
        <row r="50">
          <cell r="CJ50" t="str">
            <v>EGP</v>
          </cell>
          <cell r="CK50">
            <v>0.1631321</v>
          </cell>
          <cell r="CL50">
            <v>6.13</v>
          </cell>
          <cell r="CM50" t="str">
            <v xml:space="preserve"> </v>
          </cell>
        </row>
        <row r="51">
          <cell r="CJ51" t="str">
            <v>SVC</v>
          </cell>
          <cell r="CK51">
            <v>0.11432489999999999</v>
          </cell>
          <cell r="CL51">
            <v>8.7469999999999999</v>
          </cell>
          <cell r="CM51" t="str">
            <v xml:space="preserve"> </v>
          </cell>
        </row>
        <row r="52">
          <cell r="CJ52" t="str">
            <v>ERN</v>
          </cell>
          <cell r="CK52">
            <v>0.1041667</v>
          </cell>
          <cell r="CL52">
            <v>9.6</v>
          </cell>
          <cell r="CM52" t="str">
            <v xml:space="preserve"> </v>
          </cell>
        </row>
        <row r="53">
          <cell r="CJ53" t="str">
            <v>EEK</v>
          </cell>
          <cell r="CK53">
            <v>7.8750700000000007E-2</v>
          </cell>
          <cell r="CL53">
            <v>12.6983</v>
          </cell>
          <cell r="CM53" t="str">
            <v xml:space="preserve"> </v>
          </cell>
        </row>
        <row r="54">
          <cell r="CJ54" t="str">
            <v>ETB</v>
          </cell>
          <cell r="CK54">
            <v>0.1190476</v>
          </cell>
          <cell r="CL54">
            <v>8.4</v>
          </cell>
          <cell r="CM54" t="str">
            <v xml:space="preserve"> </v>
          </cell>
        </row>
        <row r="55">
          <cell r="CJ55" t="str">
            <v>EUR</v>
          </cell>
          <cell r="CK55">
            <v>1.2313000000000001</v>
          </cell>
          <cell r="CL55">
            <v>0.81214980000000003</v>
          </cell>
          <cell r="CM55" t="str">
            <v xml:space="preserve"> </v>
          </cell>
        </row>
        <row r="56">
          <cell r="CJ56" t="str">
            <v>FJD</v>
          </cell>
          <cell r="CK56">
            <v>0.57240000000000002</v>
          </cell>
          <cell r="CL56">
            <v>1.7470300000000001</v>
          </cell>
          <cell r="CM56" t="str">
            <v xml:space="preserve"> </v>
          </cell>
        </row>
        <row r="57">
          <cell r="CJ57" t="str">
            <v>FIM</v>
          </cell>
          <cell r="CK57">
            <v>0.20708979999999999</v>
          </cell>
          <cell r="CL57">
            <v>4.8288234000000001</v>
          </cell>
          <cell r="CM57">
            <v>5.9457300000000002</v>
          </cell>
        </row>
        <row r="58">
          <cell r="CJ58" t="str">
            <v>FRF</v>
          </cell>
          <cell r="CK58">
            <v>0.1877105</v>
          </cell>
          <cell r="CL58">
            <v>5.3273535000000001</v>
          </cell>
          <cell r="CM58">
            <v>6.5595699999999999</v>
          </cell>
        </row>
        <row r="59">
          <cell r="CJ59" t="str">
            <v>GMD</v>
          </cell>
          <cell r="CK59">
            <v>3.3333300000000003E-2</v>
          </cell>
          <cell r="CL59">
            <v>30</v>
          </cell>
          <cell r="CM59" t="str">
            <v xml:space="preserve"> </v>
          </cell>
        </row>
        <row r="60">
          <cell r="CJ60" t="str">
            <v>DEM</v>
          </cell>
          <cell r="CK60">
            <v>0.62955369999999999</v>
          </cell>
          <cell r="CL60">
            <v>1.5884269</v>
          </cell>
          <cell r="CM60">
            <v>1.95583</v>
          </cell>
        </row>
        <row r="61">
          <cell r="CJ61" t="str">
            <v>GHC</v>
          </cell>
          <cell r="CK61">
            <v>1.17E-4</v>
          </cell>
          <cell r="CL61">
            <v>8750</v>
          </cell>
          <cell r="CM61" t="str">
            <v xml:space="preserve"> </v>
          </cell>
        </row>
        <row r="62">
          <cell r="CJ62" t="str">
            <v>GIP</v>
          </cell>
          <cell r="CK62">
            <v>1.7450000000000001</v>
          </cell>
          <cell r="CL62">
            <v>0.57306590000000002</v>
          </cell>
          <cell r="CM62" t="str">
            <v xml:space="preserve"> </v>
          </cell>
        </row>
        <row r="63">
          <cell r="CJ63" t="str">
            <v>GEL</v>
          </cell>
          <cell r="CK63">
            <v>0.45500049999999997</v>
          </cell>
          <cell r="CL63">
            <v>2.1978</v>
          </cell>
          <cell r="CM63" t="str">
            <v xml:space="preserve"> </v>
          </cell>
        </row>
        <row r="64">
          <cell r="CJ64" t="str">
            <v>GRD</v>
          </cell>
          <cell r="CK64">
            <v>3.6135E-3</v>
          </cell>
          <cell r="CL64">
            <v>276.74004439999999</v>
          </cell>
          <cell r="CM64">
            <v>340.75</v>
          </cell>
        </row>
        <row r="65">
          <cell r="CJ65" t="str">
            <v>GTQ</v>
          </cell>
          <cell r="CK65">
            <v>0.1247661</v>
          </cell>
          <cell r="CL65">
            <v>8.0150000000000006</v>
          </cell>
          <cell r="CM65" t="str">
            <v xml:space="preserve"> </v>
          </cell>
        </row>
        <row r="66">
          <cell r="CJ66" t="str">
            <v>GNF</v>
          </cell>
          <cell r="CK66">
            <v>4.9879999999999998E-4</v>
          </cell>
          <cell r="CL66">
            <v>2005</v>
          </cell>
          <cell r="CM66" t="str">
            <v xml:space="preserve"> </v>
          </cell>
        </row>
        <row r="67">
          <cell r="CJ67" t="str">
            <v>GYD</v>
          </cell>
          <cell r="CK67">
            <v>5.5865999999999997E-3</v>
          </cell>
          <cell r="CL67">
            <v>179</v>
          </cell>
          <cell r="CM67" t="str">
            <v xml:space="preserve"> </v>
          </cell>
        </row>
        <row r="68">
          <cell r="CJ68" t="str">
            <v>HTG</v>
          </cell>
          <cell r="CK68">
            <v>2.4242400000000001E-2</v>
          </cell>
          <cell r="CL68">
            <v>41.25</v>
          </cell>
          <cell r="CM68" t="str">
            <v xml:space="preserve"> </v>
          </cell>
        </row>
        <row r="69">
          <cell r="CJ69" t="str">
            <v>HNL</v>
          </cell>
          <cell r="CK69">
            <v>5.6433400000000002E-2</v>
          </cell>
          <cell r="CL69">
            <v>17.72</v>
          </cell>
          <cell r="CM69" t="str">
            <v xml:space="preserve"> </v>
          </cell>
        </row>
        <row r="70">
          <cell r="CJ70" t="str">
            <v>HKD</v>
          </cell>
          <cell r="CK70">
            <v>0.12883439999999999</v>
          </cell>
          <cell r="CL70">
            <v>7.7618999999999998</v>
          </cell>
          <cell r="CM70" t="str">
            <v xml:space="preserve"> </v>
          </cell>
        </row>
        <row r="71">
          <cell r="CJ71" t="str">
            <v>HUF</v>
          </cell>
          <cell r="CK71">
            <v>4.6661000000000003E-3</v>
          </cell>
          <cell r="CL71">
            <v>214.31</v>
          </cell>
          <cell r="CM71" t="str">
            <v xml:space="preserve"> </v>
          </cell>
        </row>
        <row r="72">
          <cell r="CJ72" t="str">
            <v>ISK</v>
          </cell>
          <cell r="CK72">
            <v>1.36743E-2</v>
          </cell>
          <cell r="CL72">
            <v>73.13</v>
          </cell>
          <cell r="CM72" t="str">
            <v xml:space="preserve"> </v>
          </cell>
        </row>
        <row r="73">
          <cell r="CJ73" t="str">
            <v>INR</v>
          </cell>
          <cell r="CK73">
            <v>2.20022E-2</v>
          </cell>
          <cell r="CL73">
            <v>45.45</v>
          </cell>
          <cell r="CM73" t="str">
            <v xml:space="preserve"> </v>
          </cell>
        </row>
        <row r="74">
          <cell r="CJ74" t="str">
            <v>IDR</v>
          </cell>
          <cell r="CK74">
            <v>1.18E-4</v>
          </cell>
          <cell r="CL74">
            <v>8477</v>
          </cell>
          <cell r="CM74" t="str">
            <v xml:space="preserve"> </v>
          </cell>
        </row>
        <row r="75">
          <cell r="CJ75" t="str">
            <v>IRR</v>
          </cell>
          <cell r="CK75">
            <v>1.2019999999999999E-4</v>
          </cell>
          <cell r="CL75">
            <v>8321</v>
          </cell>
          <cell r="CM75" t="str">
            <v xml:space="preserve"> </v>
          </cell>
        </row>
        <row r="76">
          <cell r="CJ76" t="str">
            <v>IQD</v>
          </cell>
          <cell r="CK76">
            <v>3.2154341</v>
          </cell>
          <cell r="CL76">
            <v>0.311</v>
          </cell>
          <cell r="CM76" t="str">
            <v xml:space="preserve"> </v>
          </cell>
        </row>
        <row r="77">
          <cell r="CJ77" t="str">
            <v>IEP</v>
          </cell>
          <cell r="CK77">
            <v>1.5634285000000001</v>
          </cell>
          <cell r="CL77">
            <v>0.63961990000000002</v>
          </cell>
          <cell r="CM77">
            <v>0.78756400000000004</v>
          </cell>
        </row>
        <row r="78">
          <cell r="CJ78" t="str">
            <v>ILS</v>
          </cell>
          <cell r="CK78">
            <v>0.2287806</v>
          </cell>
          <cell r="CL78">
            <v>4.3710000000000004</v>
          </cell>
          <cell r="CM78" t="str">
            <v xml:space="preserve"> </v>
          </cell>
        </row>
        <row r="79">
          <cell r="CJ79" t="str">
            <v>ITL</v>
          </cell>
          <cell r="CK79">
            <v>6.3590000000000001E-4</v>
          </cell>
          <cell r="CL79">
            <v>1572.5412931999999</v>
          </cell>
          <cell r="CM79">
            <v>1936.27</v>
          </cell>
        </row>
        <row r="80">
          <cell r="CJ80" t="str">
            <v>JMD</v>
          </cell>
          <cell r="CK80">
            <v>1.66806E-2</v>
          </cell>
          <cell r="CL80">
            <v>59.95</v>
          </cell>
          <cell r="CM80" t="str">
            <v xml:space="preserve"> </v>
          </cell>
        </row>
        <row r="81">
          <cell r="CJ81" t="str">
            <v>JPY</v>
          </cell>
          <cell r="CK81">
            <v>9.3040999999999992E-3</v>
          </cell>
          <cell r="CL81">
            <v>107.48</v>
          </cell>
          <cell r="CM81" t="str">
            <v xml:space="preserve"> </v>
          </cell>
        </row>
        <row r="82">
          <cell r="CJ82" t="str">
            <v>JOD</v>
          </cell>
          <cell r="CK82">
            <v>1.4124293999999999</v>
          </cell>
          <cell r="CL82">
            <v>0.70799999999999996</v>
          </cell>
          <cell r="CM82" t="str">
            <v xml:space="preserve"> </v>
          </cell>
        </row>
        <row r="83">
          <cell r="CJ83" t="str">
            <v>KZT</v>
          </cell>
          <cell r="CK83">
            <v>6.8770999999999997E-3</v>
          </cell>
          <cell r="CL83">
            <v>145.41</v>
          </cell>
          <cell r="CM83" t="str">
            <v xml:space="preserve"> </v>
          </cell>
        </row>
        <row r="84">
          <cell r="CJ84" t="str">
            <v>KES</v>
          </cell>
          <cell r="CK84">
            <v>1.3218799999999999E-2</v>
          </cell>
          <cell r="CL84">
            <v>75.650000000000006</v>
          </cell>
          <cell r="CM84" t="str">
            <v xml:space="preserve"> </v>
          </cell>
        </row>
        <row r="85">
          <cell r="CJ85" t="str">
            <v>KRW</v>
          </cell>
          <cell r="CK85">
            <v>8.4599999999999996E-4</v>
          </cell>
          <cell r="CL85">
            <v>1182</v>
          </cell>
          <cell r="CM85" t="str">
            <v xml:space="preserve"> </v>
          </cell>
        </row>
        <row r="86">
          <cell r="CJ86" t="str">
            <v>KWD</v>
          </cell>
          <cell r="CK86">
            <v>3.3977778999999999</v>
          </cell>
          <cell r="CL86">
            <v>0.29431000000000002</v>
          </cell>
          <cell r="CM86" t="str">
            <v xml:space="preserve"> </v>
          </cell>
        </row>
        <row r="87">
          <cell r="CJ87" t="str">
            <v>LAK</v>
          </cell>
          <cell r="CK87">
            <v>1.2750000000000001E-4</v>
          </cell>
          <cell r="CL87">
            <v>7842.59</v>
          </cell>
          <cell r="CM87" t="str">
            <v xml:space="preserve"> </v>
          </cell>
        </row>
        <row r="88">
          <cell r="CJ88" t="str">
            <v>LVL</v>
          </cell>
          <cell r="CK88">
            <v>1.8559762</v>
          </cell>
          <cell r="CL88">
            <v>0.53879999999999995</v>
          </cell>
          <cell r="CM88" t="str">
            <v xml:space="preserve"> </v>
          </cell>
        </row>
        <row r="89">
          <cell r="CJ89" t="str">
            <v>LBP</v>
          </cell>
          <cell r="CK89">
            <v>6.6049999999999995E-4</v>
          </cell>
          <cell r="CL89">
            <v>1514</v>
          </cell>
          <cell r="CM89" t="str">
            <v xml:space="preserve"> </v>
          </cell>
        </row>
        <row r="90">
          <cell r="CJ90" t="str">
            <v>LSL</v>
          </cell>
          <cell r="CK90">
            <v>0.15948960000000001</v>
          </cell>
          <cell r="CL90">
            <v>6.27</v>
          </cell>
          <cell r="CM90" t="str">
            <v xml:space="preserve"> </v>
          </cell>
        </row>
        <row r="91">
          <cell r="CJ91" t="str">
            <v>LRD</v>
          </cell>
          <cell r="CK91">
            <v>1</v>
          </cell>
          <cell r="CL91">
            <v>1</v>
          </cell>
          <cell r="CM91" t="str">
            <v xml:space="preserve"> </v>
          </cell>
        </row>
        <row r="92">
          <cell r="CJ92" t="str">
            <v>LYD</v>
          </cell>
          <cell r="CK92">
            <v>0.74403050000000004</v>
          </cell>
          <cell r="CL92">
            <v>1.344031</v>
          </cell>
          <cell r="CM92" t="str">
            <v xml:space="preserve"> </v>
          </cell>
        </row>
        <row r="93">
          <cell r="CJ93" t="str">
            <v>LTL</v>
          </cell>
          <cell r="CK93">
            <v>0.35688789999999998</v>
          </cell>
          <cell r="CL93">
            <v>2.802</v>
          </cell>
          <cell r="CM93" t="str">
            <v xml:space="preserve"> </v>
          </cell>
        </row>
        <row r="94">
          <cell r="CJ94" t="str">
            <v>LUF</v>
          </cell>
          <cell r="CK94">
            <v>3.0523100000000001E-2</v>
          </cell>
          <cell r="CL94">
            <v>32.762041699999997</v>
          </cell>
          <cell r="CM94">
            <v>40.3399</v>
          </cell>
        </row>
        <row r="95">
          <cell r="CJ95" t="str">
            <v>MOP</v>
          </cell>
          <cell r="CK95">
            <v>0.1257008</v>
          </cell>
          <cell r="CL95">
            <v>7.9554</v>
          </cell>
          <cell r="CM95" t="str">
            <v xml:space="preserve"> </v>
          </cell>
        </row>
        <row r="96">
          <cell r="CJ96" t="str">
            <v>MKD</v>
          </cell>
          <cell r="CK96">
            <v>2.0379100000000001E-2</v>
          </cell>
          <cell r="CL96">
            <v>49.07</v>
          </cell>
          <cell r="CM96" t="str">
            <v xml:space="preserve"> </v>
          </cell>
        </row>
        <row r="97">
          <cell r="CJ97" t="str">
            <v>MGF</v>
          </cell>
          <cell r="CK97">
            <v>1.695E-4</v>
          </cell>
          <cell r="CL97">
            <v>5900</v>
          </cell>
          <cell r="CM97" t="str">
            <v xml:space="preserve"> </v>
          </cell>
        </row>
        <row r="98">
          <cell r="CJ98" t="str">
            <v>MWK</v>
          </cell>
          <cell r="CK98">
            <v>9.5238000000000007E-3</v>
          </cell>
          <cell r="CL98">
            <v>105</v>
          </cell>
          <cell r="CM98" t="str">
            <v xml:space="preserve"> </v>
          </cell>
        </row>
        <row r="99">
          <cell r="CJ99" t="str">
            <v>MYR</v>
          </cell>
          <cell r="CK99">
            <v>0.2631925</v>
          </cell>
          <cell r="CL99">
            <v>3.7995000000000001</v>
          </cell>
          <cell r="CM99" t="str">
            <v xml:space="preserve"> </v>
          </cell>
        </row>
        <row r="100">
          <cell r="CJ100" t="str">
            <v>MVR</v>
          </cell>
          <cell r="CK100">
            <v>7.8431399999999998E-2</v>
          </cell>
          <cell r="CL100">
            <v>12.75</v>
          </cell>
          <cell r="CM100" t="str">
            <v xml:space="preserve"> </v>
          </cell>
        </row>
        <row r="101">
          <cell r="CJ101" t="str">
            <v>MTL</v>
          </cell>
          <cell r="CK101">
            <v>2.8546</v>
          </cell>
          <cell r="CL101">
            <v>0.35031180000000001</v>
          </cell>
          <cell r="CM101" t="str">
            <v xml:space="preserve"> </v>
          </cell>
        </row>
        <row r="102">
          <cell r="CJ102" t="str">
            <v>MRO</v>
          </cell>
          <cell r="CK102">
            <v>3.8023000000000002E-3</v>
          </cell>
          <cell r="CL102">
            <v>263</v>
          </cell>
          <cell r="CM102" t="str">
            <v xml:space="preserve"> </v>
          </cell>
        </row>
        <row r="103">
          <cell r="CJ103" t="str">
            <v>MUR</v>
          </cell>
          <cell r="CK103">
            <v>3.8022800000000002E-2</v>
          </cell>
          <cell r="CL103">
            <v>26.3</v>
          </cell>
          <cell r="CM103" t="str">
            <v xml:space="preserve"> </v>
          </cell>
        </row>
        <row r="104">
          <cell r="CJ104" t="str">
            <v>MXN</v>
          </cell>
          <cell r="CK104">
            <v>8.8444700000000001E-2</v>
          </cell>
          <cell r="CL104">
            <v>11.3065</v>
          </cell>
          <cell r="CM104" t="str">
            <v xml:space="preserve"> </v>
          </cell>
        </row>
        <row r="105">
          <cell r="CJ105" t="str">
            <v>MNT</v>
          </cell>
          <cell r="CK105">
            <v>8.9260000000000001E-4</v>
          </cell>
          <cell r="CL105">
            <v>1120.3699999999999</v>
          </cell>
          <cell r="CM105" t="str">
            <v xml:space="preserve"> </v>
          </cell>
        </row>
        <row r="106">
          <cell r="CJ106" t="str">
            <v>MAD</v>
          </cell>
          <cell r="CK106">
            <v>0.1119695</v>
          </cell>
          <cell r="CL106">
            <v>8.9309999999999992</v>
          </cell>
          <cell r="CM106" t="str">
            <v xml:space="preserve"> </v>
          </cell>
        </row>
        <row r="107">
          <cell r="CJ107" t="str">
            <v>MZM</v>
          </cell>
          <cell r="CK107">
            <v>4.3000000000000002E-5</v>
          </cell>
          <cell r="CL107">
            <v>23235</v>
          </cell>
          <cell r="CM107" t="str">
            <v xml:space="preserve"> </v>
          </cell>
        </row>
        <row r="108">
          <cell r="CJ108" t="str">
            <v>NAD</v>
          </cell>
          <cell r="CK108">
            <v>0.15895219999999999</v>
          </cell>
          <cell r="CL108">
            <v>6.2911999999999999</v>
          </cell>
          <cell r="CM108" t="str">
            <v xml:space="preserve"> </v>
          </cell>
        </row>
        <row r="109">
          <cell r="CJ109" t="str">
            <v>NPR</v>
          </cell>
          <cell r="CK109">
            <v>1.36986E-2</v>
          </cell>
          <cell r="CL109">
            <v>73</v>
          </cell>
          <cell r="CM109" t="str">
            <v xml:space="preserve"> </v>
          </cell>
        </row>
        <row r="110">
          <cell r="CJ110" t="str">
            <v>NLG</v>
          </cell>
          <cell r="CK110">
            <v>0.5587396</v>
          </cell>
          <cell r="CL110">
            <v>1.7897426000000001</v>
          </cell>
          <cell r="CM110">
            <v>2.2037100000000001</v>
          </cell>
        </row>
        <row r="111">
          <cell r="CJ111" t="str">
            <v>ANG</v>
          </cell>
          <cell r="CK111">
            <v>0.56179780000000001</v>
          </cell>
          <cell r="CL111">
            <v>1.78</v>
          </cell>
          <cell r="CM111" t="str">
            <v xml:space="preserve"> </v>
          </cell>
        </row>
        <row r="112">
          <cell r="CJ112" t="str">
            <v>NZD</v>
          </cell>
          <cell r="CK112">
            <v>0.64880000000000004</v>
          </cell>
          <cell r="CL112">
            <v>1.541307</v>
          </cell>
          <cell r="CM112" t="str">
            <v xml:space="preserve"> </v>
          </cell>
        </row>
        <row r="113">
          <cell r="CJ113" t="str">
            <v>NIO</v>
          </cell>
          <cell r="CK113">
            <v>6.4892900000000003E-2</v>
          </cell>
          <cell r="CL113">
            <v>15.41</v>
          </cell>
          <cell r="CM113" t="str">
            <v xml:space="preserve"> </v>
          </cell>
        </row>
        <row r="114">
          <cell r="CJ114" t="str">
            <v>NGN</v>
          </cell>
          <cell r="CK114">
            <v>7.2992999999999999E-3</v>
          </cell>
          <cell r="CL114">
            <v>137</v>
          </cell>
          <cell r="CM114" t="str">
            <v xml:space="preserve"> </v>
          </cell>
        </row>
        <row r="115">
          <cell r="CJ115" t="str">
            <v>KPW</v>
          </cell>
          <cell r="CK115">
            <v>0.45454549999999999</v>
          </cell>
          <cell r="CL115">
            <v>2.2000000000000002</v>
          </cell>
          <cell r="CM115" t="str">
            <v xml:space="preserve"> </v>
          </cell>
        </row>
        <row r="116">
          <cell r="CJ116" t="str">
            <v>NOK</v>
          </cell>
          <cell r="CK116">
            <v>0.14987780000000001</v>
          </cell>
          <cell r="CL116">
            <v>6.6721000000000004</v>
          </cell>
          <cell r="CM116" t="str">
            <v xml:space="preserve"> </v>
          </cell>
        </row>
        <row r="117">
          <cell r="CJ117" t="str">
            <v>XPF</v>
          </cell>
          <cell r="CK117">
            <v>1.03161E-2</v>
          </cell>
          <cell r="CL117">
            <v>96.935457600000007</v>
          </cell>
          <cell r="CM117" t="str">
            <v xml:space="preserve"> </v>
          </cell>
        </row>
        <row r="118">
          <cell r="CJ118" t="str">
            <v>OMR</v>
          </cell>
          <cell r="CK118">
            <v>2.5976050000000002</v>
          </cell>
          <cell r="CL118">
            <v>0.38496999999999998</v>
          </cell>
          <cell r="CM118" t="str">
            <v xml:space="preserve"> </v>
          </cell>
        </row>
        <row r="119">
          <cell r="CJ119" t="str">
            <v>PKR</v>
          </cell>
          <cell r="CK119">
            <v>1.74155E-2</v>
          </cell>
          <cell r="CL119">
            <v>57.42</v>
          </cell>
          <cell r="CM119" t="str">
            <v xml:space="preserve"> </v>
          </cell>
        </row>
        <row r="120">
          <cell r="CJ120" t="str">
            <v>PAB</v>
          </cell>
          <cell r="CK120">
            <v>1</v>
          </cell>
          <cell r="CL120">
            <v>1</v>
          </cell>
          <cell r="CM120" t="str">
            <v xml:space="preserve"> </v>
          </cell>
        </row>
        <row r="121">
          <cell r="CJ121" t="str">
            <v>PGK</v>
          </cell>
          <cell r="CK121">
            <v>0.29899999999999999</v>
          </cell>
          <cell r="CL121">
            <v>3.3444815999999999</v>
          </cell>
          <cell r="CM121" t="str">
            <v xml:space="preserve"> </v>
          </cell>
        </row>
        <row r="122">
          <cell r="CJ122" t="str">
            <v>PYG</v>
          </cell>
          <cell r="CK122">
            <v>1.7019999999999999E-4</v>
          </cell>
          <cell r="CL122">
            <v>5875</v>
          </cell>
          <cell r="CM122" t="str">
            <v xml:space="preserve"> </v>
          </cell>
        </row>
        <row r="123">
          <cell r="CJ123" t="str">
            <v>PEN</v>
          </cell>
          <cell r="CK123">
            <v>0.28799350000000001</v>
          </cell>
          <cell r="CL123">
            <v>3.4723000000000002</v>
          </cell>
          <cell r="CM123" t="str">
            <v xml:space="preserve"> </v>
          </cell>
        </row>
        <row r="124">
          <cell r="CJ124" t="str">
            <v>PHP</v>
          </cell>
          <cell r="CK124">
            <v>1.8047299999999999E-2</v>
          </cell>
          <cell r="CL124">
            <v>55.41</v>
          </cell>
          <cell r="CM124" t="str">
            <v xml:space="preserve"> </v>
          </cell>
        </row>
        <row r="125">
          <cell r="CJ125" t="str">
            <v>PLN</v>
          </cell>
          <cell r="CK125">
            <v>0.26479540000000001</v>
          </cell>
          <cell r="CL125">
            <v>3.7765</v>
          </cell>
          <cell r="CM125" t="str">
            <v xml:space="preserve"> </v>
          </cell>
        </row>
        <row r="126">
          <cell r="CJ126" t="str">
            <v>PTE</v>
          </cell>
          <cell r="CK126">
            <v>6.1416999999999999E-3</v>
          </cell>
          <cell r="CL126">
            <v>162.82141619999999</v>
          </cell>
          <cell r="CM126">
            <v>200.482</v>
          </cell>
        </row>
        <row r="127">
          <cell r="CJ127" t="str">
            <v>QAR</v>
          </cell>
          <cell r="CK127">
            <v>0.27475549999999999</v>
          </cell>
          <cell r="CL127">
            <v>3.6396000000000002</v>
          </cell>
          <cell r="CM127" t="str">
            <v xml:space="preserve"> </v>
          </cell>
        </row>
        <row r="128">
          <cell r="CJ128" t="str">
            <v>ROL</v>
          </cell>
          <cell r="CK128">
            <v>3.04E-5</v>
          </cell>
          <cell r="CL128">
            <v>32921</v>
          </cell>
          <cell r="CM128" t="str">
            <v xml:space="preserve"> </v>
          </cell>
        </row>
        <row r="129">
          <cell r="CJ129" t="str">
            <v>RUB</v>
          </cell>
          <cell r="CK129">
            <v>3.4036799999999999E-2</v>
          </cell>
          <cell r="CL129">
            <v>29.38</v>
          </cell>
          <cell r="CM129" t="str">
            <v xml:space="preserve"> </v>
          </cell>
        </row>
        <row r="130">
          <cell r="CJ130" t="str">
            <v>RWF</v>
          </cell>
          <cell r="CK130">
            <v>1.7968000000000001E-3</v>
          </cell>
          <cell r="CL130">
            <v>556.54999999999995</v>
          </cell>
          <cell r="CM130" t="str">
            <v xml:space="preserve"> </v>
          </cell>
        </row>
        <row r="131">
          <cell r="CJ131" t="str">
            <v>STD</v>
          </cell>
          <cell r="CK131">
            <v>1.149E-4</v>
          </cell>
          <cell r="CL131">
            <v>8700</v>
          </cell>
          <cell r="CM131" t="str">
            <v xml:space="preserve"> </v>
          </cell>
        </row>
        <row r="132">
          <cell r="CJ132" t="str">
            <v>SAR</v>
          </cell>
          <cell r="CK132">
            <v>0.2666596</v>
          </cell>
          <cell r="CL132">
            <v>3.7501000000000002</v>
          </cell>
          <cell r="CM132" t="str">
            <v xml:space="preserve"> </v>
          </cell>
        </row>
        <row r="133">
          <cell r="CJ133" t="str">
            <v>SCR</v>
          </cell>
          <cell r="CK133">
            <v>0.19305020000000001</v>
          </cell>
          <cell r="CL133">
            <v>5.18</v>
          </cell>
          <cell r="CM133" t="str">
            <v xml:space="preserve"> </v>
          </cell>
        </row>
        <row r="134">
          <cell r="CJ134" t="str">
            <v>SLL</v>
          </cell>
          <cell r="CK134">
            <v>4.2549999999999999E-4</v>
          </cell>
          <cell r="CL134">
            <v>2350</v>
          </cell>
          <cell r="CM134" t="str">
            <v xml:space="preserve"> </v>
          </cell>
        </row>
        <row r="135">
          <cell r="CJ135" t="str">
            <v>SGD</v>
          </cell>
          <cell r="CK135">
            <v>0.58503479999999997</v>
          </cell>
          <cell r="CL135">
            <v>1.7093</v>
          </cell>
          <cell r="CM135" t="str">
            <v xml:space="preserve"> </v>
          </cell>
        </row>
        <row r="136">
          <cell r="CJ136" t="str">
            <v>SKK</v>
          </cell>
          <cell r="CK136">
            <v>2.9950000000000001E-2</v>
          </cell>
          <cell r="CL136">
            <v>33.389000000000003</v>
          </cell>
          <cell r="CM136" t="str">
            <v xml:space="preserve"> </v>
          </cell>
        </row>
        <row r="137">
          <cell r="CJ137" t="str">
            <v>SIT</v>
          </cell>
          <cell r="CK137">
            <v>5.2066999999999999E-3</v>
          </cell>
          <cell r="CL137">
            <v>192.06</v>
          </cell>
          <cell r="CM137" t="str">
            <v xml:space="preserve"> </v>
          </cell>
        </row>
        <row r="138">
          <cell r="CJ138" t="str">
            <v>SBD</v>
          </cell>
          <cell r="CK138">
            <v>0.136381</v>
          </cell>
          <cell r="CL138">
            <v>7.3323999999999998</v>
          </cell>
          <cell r="CM138" t="str">
            <v xml:space="preserve"> </v>
          </cell>
        </row>
        <row r="139">
          <cell r="CJ139" t="str">
            <v>SOS</v>
          </cell>
          <cell r="CK139">
            <v>3.8170000000000001E-4</v>
          </cell>
          <cell r="CL139">
            <v>2620</v>
          </cell>
          <cell r="CM139" t="str">
            <v xml:space="preserve"> </v>
          </cell>
        </row>
        <row r="140">
          <cell r="CJ140" t="str">
            <v>ZAR</v>
          </cell>
          <cell r="CK140">
            <v>0.15816530000000001</v>
          </cell>
          <cell r="CL140">
            <v>6.3224999999999998</v>
          </cell>
          <cell r="CM140" t="str">
            <v xml:space="preserve"> </v>
          </cell>
        </row>
        <row r="141">
          <cell r="CJ141" t="str">
            <v>ESP</v>
          </cell>
          <cell r="CK141">
            <v>7.4003000000000003E-3</v>
          </cell>
          <cell r="CL141">
            <v>135.1303566</v>
          </cell>
          <cell r="CM141">
            <v>166.386</v>
          </cell>
        </row>
        <row r="142">
          <cell r="CJ142" t="str">
            <v>LKR</v>
          </cell>
          <cell r="CK142">
            <v>1.04221E-2</v>
          </cell>
          <cell r="CL142">
            <v>95.95</v>
          </cell>
          <cell r="CM142" t="str">
            <v xml:space="preserve"> </v>
          </cell>
        </row>
        <row r="143">
          <cell r="CJ143" t="str">
            <v>SDD</v>
          </cell>
          <cell r="CK143">
            <v>3.8484000000000001E-3</v>
          </cell>
          <cell r="CL143">
            <v>259.85000000000002</v>
          </cell>
          <cell r="CM143" t="str">
            <v xml:space="preserve"> </v>
          </cell>
        </row>
        <row r="144">
          <cell r="CJ144" t="str">
            <v>SDP</v>
          </cell>
          <cell r="CK144">
            <v>3.8479999999999997E-4</v>
          </cell>
          <cell r="CL144">
            <v>2598.5</v>
          </cell>
          <cell r="CM144" t="str">
            <v xml:space="preserve"> </v>
          </cell>
        </row>
        <row r="145">
          <cell r="CJ145" t="str">
            <v>SRG</v>
          </cell>
          <cell r="CK145">
            <v>3.9760000000000002E-4</v>
          </cell>
          <cell r="CL145">
            <v>2515</v>
          </cell>
          <cell r="CM145" t="str">
            <v xml:space="preserve"> </v>
          </cell>
        </row>
        <row r="146">
          <cell r="CJ146" t="str">
            <v>SZL</v>
          </cell>
          <cell r="CK146">
            <v>0.15760440000000001</v>
          </cell>
          <cell r="CL146">
            <v>6.3449999999999998</v>
          </cell>
          <cell r="CM146" t="str">
            <v xml:space="preserve"> </v>
          </cell>
        </row>
        <row r="147">
          <cell r="CJ147" t="str">
            <v>SEK</v>
          </cell>
          <cell r="CK147">
            <v>0.13674649999999999</v>
          </cell>
          <cell r="CL147">
            <v>7.3128000000000002</v>
          </cell>
          <cell r="CM147" t="str">
            <v xml:space="preserve"> </v>
          </cell>
        </row>
        <row r="148">
          <cell r="CJ148" t="str">
            <v>CHF</v>
          </cell>
          <cell r="CK148">
            <v>0.79314720000000005</v>
          </cell>
          <cell r="CL148">
            <v>1.2607999999999999</v>
          </cell>
          <cell r="CM148" t="str">
            <v xml:space="preserve"> </v>
          </cell>
        </row>
        <row r="149">
          <cell r="CJ149" t="str">
            <v>SYP</v>
          </cell>
          <cell r="CK149">
            <v>2.2789400000000001E-2</v>
          </cell>
          <cell r="CL149">
            <v>43.88</v>
          </cell>
          <cell r="CM149" t="str">
            <v xml:space="preserve"> </v>
          </cell>
        </row>
        <row r="150">
          <cell r="CJ150" t="str">
            <v>TWD</v>
          </cell>
          <cell r="CK150">
            <v>2.9463799999999998E-2</v>
          </cell>
          <cell r="CL150">
            <v>33.94</v>
          </cell>
          <cell r="CM150" t="str">
            <v xml:space="preserve"> </v>
          </cell>
        </row>
        <row r="151">
          <cell r="CJ151" t="str">
            <v>TZS</v>
          </cell>
          <cell r="CK151">
            <v>9.4339999999999995E-4</v>
          </cell>
          <cell r="CL151">
            <v>1060</v>
          </cell>
          <cell r="CM151" t="str">
            <v xml:space="preserve"> </v>
          </cell>
        </row>
        <row r="152">
          <cell r="CJ152" t="str">
            <v>THB</v>
          </cell>
          <cell r="CK152">
            <v>2.52334E-2</v>
          </cell>
          <cell r="CL152">
            <v>39.630000000000003</v>
          </cell>
          <cell r="CM152" t="str">
            <v xml:space="preserve"> </v>
          </cell>
        </row>
        <row r="153">
          <cell r="CJ153" t="str">
            <v>TOP</v>
          </cell>
          <cell r="CK153">
            <v>0.48730570000000001</v>
          </cell>
          <cell r="CL153">
            <v>2.0520999999999998</v>
          </cell>
          <cell r="CM153" t="str">
            <v xml:space="preserve"> </v>
          </cell>
        </row>
        <row r="154">
          <cell r="CJ154" t="str">
            <v>TTD</v>
          </cell>
          <cell r="CK154">
            <v>0.16260160000000001</v>
          </cell>
          <cell r="CL154">
            <v>6.15</v>
          </cell>
          <cell r="CM154" t="str">
            <v xml:space="preserve"> </v>
          </cell>
        </row>
        <row r="155">
          <cell r="CJ155" t="str">
            <v>TND</v>
          </cell>
          <cell r="CK155">
            <v>0.81373589999999996</v>
          </cell>
          <cell r="CL155">
            <v>1.2289000000000001</v>
          </cell>
          <cell r="CM155" t="str">
            <v xml:space="preserve"> </v>
          </cell>
        </row>
        <row r="156">
          <cell r="CJ156" t="str">
            <v>TRL</v>
          </cell>
          <cell r="CK156">
            <v>6.9999999999999997E-7</v>
          </cell>
          <cell r="CL156">
            <v>1423000</v>
          </cell>
          <cell r="CM156" t="str">
            <v xml:space="preserve"> </v>
          </cell>
        </row>
        <row r="157">
          <cell r="CJ157" t="str">
            <v>TMM</v>
          </cell>
          <cell r="CK157">
            <v>1.9230000000000001E-4</v>
          </cell>
          <cell r="CL157">
            <v>5200</v>
          </cell>
          <cell r="CM157" t="str">
            <v xml:space="preserve"> </v>
          </cell>
        </row>
        <row r="158">
          <cell r="CJ158" t="str">
            <v>UGX</v>
          </cell>
          <cell r="CK158">
            <v>5.3330000000000001E-4</v>
          </cell>
          <cell r="CL158">
            <v>1875</v>
          </cell>
          <cell r="CM158" t="str">
            <v xml:space="preserve"> </v>
          </cell>
        </row>
        <row r="159">
          <cell r="CJ159" t="str">
            <v>UAH</v>
          </cell>
          <cell r="CK159">
            <v>0.18735360000000001</v>
          </cell>
          <cell r="CL159">
            <v>5.3375000000000004</v>
          </cell>
          <cell r="CM159" t="str">
            <v xml:space="preserve"> </v>
          </cell>
        </row>
        <row r="160">
          <cell r="CJ160" t="str">
            <v>AED</v>
          </cell>
          <cell r="CK160">
            <v>0.2722792</v>
          </cell>
          <cell r="CL160">
            <v>3.6726999999999999</v>
          </cell>
          <cell r="CM160" t="str">
            <v xml:space="preserve"> </v>
          </cell>
        </row>
        <row r="161">
          <cell r="CJ161" t="str">
            <v>GBP</v>
          </cell>
          <cell r="CK161">
            <v>1.7466999999999999</v>
          </cell>
          <cell r="CL161">
            <v>0.57250820000000002</v>
          </cell>
          <cell r="CM161" t="str">
            <v xml:space="preserve"> </v>
          </cell>
        </row>
        <row r="162">
          <cell r="CJ162" t="str">
            <v>UYU</v>
          </cell>
          <cell r="CK162">
            <v>3.3955899999999997E-2</v>
          </cell>
          <cell r="CL162">
            <v>29.45</v>
          </cell>
          <cell r="CM162" t="str">
            <v xml:space="preserve"> </v>
          </cell>
        </row>
        <row r="163">
          <cell r="CJ163" t="str">
            <v>UZS</v>
          </cell>
          <cell r="CK163">
            <v>1.0222E-3</v>
          </cell>
          <cell r="CL163">
            <v>978.24</v>
          </cell>
          <cell r="CM163" t="str">
            <v xml:space="preserve"> </v>
          </cell>
        </row>
        <row r="164">
          <cell r="CJ164" t="str">
            <v>VUV</v>
          </cell>
          <cell r="CK164">
            <v>8.8944000000000002E-3</v>
          </cell>
          <cell r="CL164">
            <v>112.43</v>
          </cell>
          <cell r="CM164" t="str">
            <v xml:space="preserve"> </v>
          </cell>
        </row>
        <row r="165">
          <cell r="CJ165" t="str">
            <v>VEB</v>
          </cell>
          <cell r="CK165">
            <v>6.2660000000000005E-4</v>
          </cell>
          <cell r="CL165">
            <v>1596</v>
          </cell>
          <cell r="CM165" t="str">
            <v xml:space="preserve"> </v>
          </cell>
        </row>
        <row r="166">
          <cell r="CJ166" t="str">
            <v>VND</v>
          </cell>
          <cell r="CK166">
            <v>6.3899999999999995E-5</v>
          </cell>
          <cell r="CL166">
            <v>15638</v>
          </cell>
          <cell r="CM166" t="str">
            <v xml:space="preserve"> </v>
          </cell>
        </row>
        <row r="167">
          <cell r="CJ167" t="str">
            <v>WST</v>
          </cell>
          <cell r="CK167">
            <v>0.35060000000000002</v>
          </cell>
          <cell r="CL167">
            <v>2.8522533000000001</v>
          </cell>
          <cell r="CM167" t="str">
            <v xml:space="preserve"> </v>
          </cell>
        </row>
        <row r="168">
          <cell r="CJ168" t="str">
            <v>YER</v>
          </cell>
          <cell r="CK168">
            <v>5.6214999999999998E-3</v>
          </cell>
          <cell r="CL168">
            <v>177.89</v>
          </cell>
          <cell r="CM168" t="str">
            <v xml:space="preserve"> </v>
          </cell>
        </row>
        <row r="169">
          <cell r="CJ169" t="str">
            <v>YUM</v>
          </cell>
          <cell r="CK169">
            <v>1.72724E-2</v>
          </cell>
          <cell r="CL169">
            <v>57.896000000000001</v>
          </cell>
          <cell r="CM169" t="str">
            <v xml:space="preserve"> </v>
          </cell>
        </row>
        <row r="170">
          <cell r="CJ170" t="str">
            <v>ZMK</v>
          </cell>
          <cell r="CK170">
            <v>2.2469999999999999E-4</v>
          </cell>
          <cell r="CL170">
            <v>4450</v>
          </cell>
          <cell r="CM170" t="str">
            <v xml:space="preserve"> </v>
          </cell>
        </row>
        <row r="171">
          <cell r="CJ171" t="str">
            <v>ZWD</v>
          </cell>
          <cell r="CK171">
            <v>1.8181800000000001E-2</v>
          </cell>
          <cell r="CL171">
            <v>55</v>
          </cell>
          <cell r="CM171" t="str">
            <v xml:space="preserve"> </v>
          </cell>
        </row>
        <row r="172">
          <cell r="CJ172" t="str">
            <v xml:space="preserve"> </v>
          </cell>
          <cell r="CK172" t="str">
            <v xml:space="preserve"> </v>
          </cell>
          <cell r="CL172" t="str">
            <v xml:space="preserve"> </v>
          </cell>
          <cell r="CM172" t="str">
            <v xml:space="preserve"> </v>
          </cell>
        </row>
        <row r="173">
          <cell r="CJ173" t="str">
            <v xml:space="preserve"> </v>
          </cell>
          <cell r="CK173" t="str">
            <v xml:space="preserve"> </v>
          </cell>
          <cell r="CL173" t="str">
            <v xml:space="preserve"> </v>
          </cell>
          <cell r="CM173" t="str">
            <v xml:space="preserve"> </v>
          </cell>
        </row>
        <row r="174">
          <cell r="CJ174" t="str">
            <v xml:space="preserve"> </v>
          </cell>
          <cell r="CK174" t="str">
            <v xml:space="preserve"> </v>
          </cell>
          <cell r="CL174" t="str">
            <v xml:space="preserve"> </v>
          </cell>
          <cell r="CM174" t="str">
            <v xml:space="preserve"> </v>
          </cell>
        </row>
        <row r="175">
          <cell r="CJ175" t="str">
            <v xml:space="preserve"> </v>
          </cell>
          <cell r="CK175" t="str">
            <v xml:space="preserve"> </v>
          </cell>
          <cell r="CL175" t="str">
            <v xml:space="preserve"> </v>
          </cell>
          <cell r="CM175" t="str">
            <v xml:space="preserve"> </v>
          </cell>
        </row>
        <row r="176">
          <cell r="CJ176" t="str">
            <v xml:space="preserve"> </v>
          </cell>
          <cell r="CK176" t="str">
            <v xml:space="preserve"> </v>
          </cell>
          <cell r="CL176">
            <v>13.760300000000001</v>
          </cell>
          <cell r="CM176" t="str">
            <v xml:space="preserve"> </v>
          </cell>
        </row>
        <row r="177">
          <cell r="CJ177" t="str">
            <v xml:space="preserve"> </v>
          </cell>
          <cell r="CK177" t="str">
            <v xml:space="preserve"> </v>
          </cell>
          <cell r="CL177">
            <v>40.3399</v>
          </cell>
          <cell r="CM177" t="str">
            <v xml:space="preserve"> </v>
          </cell>
        </row>
        <row r="178">
          <cell r="CJ178" t="str">
            <v xml:space="preserve"> </v>
          </cell>
          <cell r="CK178" t="str">
            <v xml:space="preserve"> </v>
          </cell>
          <cell r="CL178">
            <v>5.9457300000000002</v>
          </cell>
          <cell r="CM178" t="str">
            <v xml:space="preserve"> </v>
          </cell>
        </row>
        <row r="179">
          <cell r="CJ179" t="str">
            <v xml:space="preserve"> </v>
          </cell>
          <cell r="CK179" t="str">
            <v xml:space="preserve"> </v>
          </cell>
          <cell r="CL179">
            <v>6.5595699999999999</v>
          </cell>
          <cell r="CM179" t="str">
            <v xml:space="preserve"> </v>
          </cell>
        </row>
        <row r="180">
          <cell r="CJ180" t="str">
            <v xml:space="preserve"> </v>
          </cell>
          <cell r="CK180" t="str">
            <v xml:space="preserve"> </v>
          </cell>
          <cell r="CL180">
            <v>1.95583</v>
          </cell>
          <cell r="CM180" t="str">
            <v xml:space="preserve"> </v>
          </cell>
        </row>
        <row r="181">
          <cell r="CJ181" t="str">
            <v xml:space="preserve"> </v>
          </cell>
          <cell r="CK181" t="str">
            <v xml:space="preserve"> </v>
          </cell>
          <cell r="CL181">
            <v>340.75</v>
          </cell>
          <cell r="CM181" t="str">
            <v xml:space="preserve"> </v>
          </cell>
        </row>
        <row r="182">
          <cell r="CJ182" t="str">
            <v xml:space="preserve"> </v>
          </cell>
          <cell r="CK182" t="str">
            <v xml:space="preserve"> </v>
          </cell>
          <cell r="CL182">
            <v>0.78756400000000004</v>
          </cell>
          <cell r="CM182" t="str">
            <v xml:space="preserve"> </v>
          </cell>
        </row>
        <row r="183">
          <cell r="CJ183" t="str">
            <v xml:space="preserve"> </v>
          </cell>
          <cell r="CK183" t="str">
            <v xml:space="preserve"> </v>
          </cell>
          <cell r="CL183">
            <v>1936.27</v>
          </cell>
          <cell r="CM183" t="str">
            <v xml:space="preserve"> </v>
          </cell>
        </row>
        <row r="184">
          <cell r="CJ184" t="str">
            <v xml:space="preserve"> </v>
          </cell>
          <cell r="CK184" t="str">
            <v xml:space="preserve"> </v>
          </cell>
          <cell r="CL184">
            <v>40.3399</v>
          </cell>
          <cell r="CM184" t="str">
            <v xml:space="preserve"> </v>
          </cell>
        </row>
        <row r="185">
          <cell r="CJ185" t="str">
            <v xml:space="preserve"> </v>
          </cell>
          <cell r="CK185" t="str">
            <v xml:space="preserve"> </v>
          </cell>
          <cell r="CL185">
            <v>2.2037100000000001</v>
          </cell>
          <cell r="CM185" t="str">
            <v xml:space="preserve"> </v>
          </cell>
        </row>
        <row r="186">
          <cell r="CJ186" t="str">
            <v xml:space="preserve"> </v>
          </cell>
          <cell r="CK186" t="str">
            <v xml:space="preserve"> </v>
          </cell>
          <cell r="CL186">
            <v>200.482</v>
          </cell>
          <cell r="CM186" t="str">
            <v xml:space="preserve"> </v>
          </cell>
        </row>
        <row r="187">
          <cell r="CJ187" t="str">
            <v xml:space="preserve"> </v>
          </cell>
          <cell r="CK187" t="str">
            <v xml:space="preserve"> </v>
          </cell>
          <cell r="CL187">
            <v>166.386</v>
          </cell>
          <cell r="CM187" t="str">
            <v xml:space="preserve"> </v>
          </cell>
        </row>
      </sheetData>
      <sheetData sheetId="3" refreshError="1"/>
      <sheetData sheetId="4" refreshError="1"/>
      <sheetData sheetId="5" refreshError="1"/>
      <sheetData sheetId="6"/>
      <sheetData sheetId="7" refreshError="1"/>
      <sheetData sheetId="8"/>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 BDC (Auto)"/>
      <sheetName val="Guidelines Old"/>
      <sheetName val="Guidelines"/>
      <sheetName val="Pivot SBU"/>
      <sheetName val="LSMW Heads"/>
      <sheetName val="Pivot PC"/>
      <sheetName val="Summary PC"/>
      <sheetName val="Database"/>
      <sheetName val="Masters1"/>
      <sheetName val="Masters2"/>
      <sheetName val="Masters3"/>
      <sheetName val="Masters4"/>
      <sheetName val="Depreciation key"/>
      <sheetName val="Depr Rates"/>
      <sheetName val="US GAAP Master"/>
      <sheetName val="LINK 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9"/>
      <sheetName val="C-16(b) PF"/>
      <sheetName val="C-18 others"/>
      <sheetName val="C-21(b)"/>
      <sheetName val="C-24(a)"/>
      <sheetName val="C-24(b)"/>
      <sheetName val="C-28"/>
      <sheetName val="C-32 "/>
      <sheetName val="FA Top Sheet"/>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ee"/>
      <sheetName val="Input"/>
      <sheetName val="HeaderFooter"/>
      <sheetName val="Treestructure"/>
      <sheetName val="Masters1"/>
      <sheetName val="FA Schedule"/>
      <sheetName val="GAREF2000"/>
      <sheetName val="FA_Schedule"/>
      <sheetName val="FA_Schedule1"/>
      <sheetName val="po for assets 2004"/>
      <sheetName val="BCSACT02"/>
      <sheetName val="May'09 wo hospira"/>
    </sheetNames>
    <sheetDataSet>
      <sheetData sheetId="0">
        <row r="1">
          <cell r="L1" t="str">
            <v>original</v>
          </cell>
        </row>
      </sheetData>
      <sheetData sheetId="1" refreshError="1">
        <row r="1">
          <cell r="L1" t="str">
            <v>original</v>
          </cell>
          <cell r="M1" t="str">
            <v>actual</v>
          </cell>
        </row>
        <row r="2">
          <cell r="J2" t="str">
            <v>Claims ratio</v>
          </cell>
          <cell r="K2" t="str">
            <v>in percent</v>
          </cell>
        </row>
        <row r="3">
          <cell r="J3" t="str">
            <v>Total claims paid</v>
          </cell>
          <cell r="K3" t="str">
            <v>in EUR mil</v>
          </cell>
        </row>
        <row r="4">
          <cell r="J4" t="str">
            <v>Total premiums written</v>
          </cell>
          <cell r="K4" t="str">
            <v>in EUR mil</v>
          </cell>
        </row>
        <row r="5">
          <cell r="J5" t="str">
            <v>Claims for hospital treatment*</v>
          </cell>
          <cell r="K5" t="str">
            <v>in EUR mil</v>
          </cell>
        </row>
        <row r="6">
          <cell r="J6" t="str">
            <v>Claims for hospital treatment*</v>
          </cell>
          <cell r="K6" t="str">
            <v>in EUR</v>
          </cell>
        </row>
        <row r="7">
          <cell r="J7" t="str">
            <v>Conversion factor EUR to Mio EUR</v>
          </cell>
          <cell r="K7" t="str">
            <v>(factor)</v>
          </cell>
          <cell r="L7">
            <v>1000000</v>
          </cell>
          <cell r="M7">
            <v>1000000</v>
          </cell>
        </row>
        <row r="8">
          <cell r="J8" t="str">
            <v>Outpatient physiciant costs</v>
          </cell>
          <cell r="K8" t="str">
            <v>in EUR mil</v>
          </cell>
          <cell r="L8">
            <v>148</v>
          </cell>
          <cell r="M8">
            <v>148</v>
          </cell>
        </row>
        <row r="9">
          <cell r="J9" t="str">
            <v>Dental care</v>
          </cell>
          <cell r="K9" t="str">
            <v>in EUR mil</v>
          </cell>
          <cell r="L9">
            <v>80</v>
          </cell>
          <cell r="M9">
            <v>80</v>
          </cell>
        </row>
        <row r="10">
          <cell r="J10" t="str">
            <v>Pharmaceuticals</v>
          </cell>
          <cell r="K10" t="str">
            <v>in EUR mil</v>
          </cell>
          <cell r="L10">
            <v>73</v>
          </cell>
          <cell r="M10">
            <v>73</v>
          </cell>
        </row>
        <row r="11">
          <cell r="J11" t="str">
            <v>Medical aid and vehicles</v>
          </cell>
          <cell r="K11" t="str">
            <v>in EUR mil</v>
          </cell>
          <cell r="L11">
            <v>59</v>
          </cell>
          <cell r="M11">
            <v>59</v>
          </cell>
        </row>
        <row r="12">
          <cell r="J12" t="str">
            <v>Per diem indemnity for sickness</v>
          </cell>
          <cell r="K12" t="str">
            <v>in EUR mil</v>
          </cell>
          <cell r="L12">
            <v>17</v>
          </cell>
          <cell r="M12">
            <v>17</v>
          </cell>
        </row>
        <row r="13">
          <cell r="J13" t="str">
            <v>Full coverage premium</v>
          </cell>
          <cell r="K13" t="str">
            <v>in EUR mil</v>
          </cell>
        </row>
        <row r="14">
          <cell r="J14" t="str">
            <v>Supplementary coverage premium</v>
          </cell>
          <cell r="K14" t="str">
            <v>in EUR mil</v>
          </cell>
          <cell r="L14">
            <v>300</v>
          </cell>
          <cell r="M14">
            <v>300</v>
          </cell>
        </row>
        <row r="15">
          <cell r="J15" t="str">
            <v>Costs of inpatient care</v>
          </cell>
          <cell r="K15" t="str">
            <v>in EUR</v>
          </cell>
        </row>
        <row r="16">
          <cell r="J16" t="str">
            <v>Inpatient physicians' costs</v>
          </cell>
          <cell r="K16" t="str">
            <v>in EUR</v>
          </cell>
        </row>
        <row r="17">
          <cell r="J17" t="str">
            <v>1-/2-bedroom surcharge</v>
          </cell>
          <cell r="K17" t="str">
            <v>in EUR</v>
          </cell>
        </row>
        <row r="18">
          <cell r="J18" t="str">
            <v>Daily hospital allowance</v>
          </cell>
          <cell r="K18" t="str">
            <v>in EUR</v>
          </cell>
        </row>
        <row r="19">
          <cell r="J19" t="str">
            <v>Other hospital costs e.g. transportation</v>
          </cell>
          <cell r="K19" t="str">
            <v>in EUR</v>
          </cell>
          <cell r="L19">
            <v>8000000</v>
          </cell>
          <cell r="M19">
            <v>8000000</v>
          </cell>
        </row>
        <row r="20">
          <cell r="J20" t="str">
            <v>Full coverage premium</v>
          </cell>
          <cell r="K20" t="str">
            <v>in EUR</v>
          </cell>
        </row>
        <row r="21">
          <cell r="J21" t="str">
            <v>Conversion factor EUR to Mio EUR</v>
          </cell>
          <cell r="K21" t="str">
            <v>(factor)</v>
          </cell>
          <cell r="L21">
            <v>1000000</v>
          </cell>
          <cell r="M21">
            <v>1000000</v>
          </cell>
        </row>
        <row r="22">
          <cell r="J22" t="str">
            <v>Number of full coverage policy holders</v>
          </cell>
          <cell r="K22" t="str">
            <v>number of insurants</v>
          </cell>
          <cell r="L22">
            <v>100000</v>
          </cell>
          <cell r="M22">
            <v>100000</v>
          </cell>
        </row>
        <row r="23">
          <cell r="J23" t="str">
            <v>Average premium per full coverage policy</v>
          </cell>
          <cell r="K23" t="str">
            <v>in EUR</v>
          </cell>
          <cell r="L23">
            <v>7000</v>
          </cell>
          <cell r="M23">
            <v>7000</v>
          </cell>
        </row>
        <row r="24">
          <cell r="J24" t="str">
            <v>Number of cases inpatient care</v>
          </cell>
          <cell r="K24" t="str">
            <v>number of cases</v>
          </cell>
          <cell r="L24">
            <v>37727.272727272728</v>
          </cell>
          <cell r="M24">
            <v>37727.272727272728</v>
          </cell>
        </row>
        <row r="25">
          <cell r="J25" t="str">
            <v>Number of cases with inpatient physicians' costs</v>
          </cell>
          <cell r="K25" t="str">
            <v>number of cases</v>
          </cell>
          <cell r="L25">
            <v>31428.571428571428</v>
          </cell>
          <cell r="M25">
            <v>31428.571428571428</v>
          </cell>
        </row>
        <row r="26">
          <cell r="J26" t="str">
            <v>Number of cases Bedroom surcharge</v>
          </cell>
          <cell r="K26" t="str">
            <v>number of cases</v>
          </cell>
          <cell r="L26">
            <v>26875</v>
          </cell>
          <cell r="M26">
            <v>26875</v>
          </cell>
        </row>
        <row r="27">
          <cell r="J27" t="str">
            <v>Number of cases daily hospital allowance</v>
          </cell>
          <cell r="K27" t="str">
            <v>number of cases</v>
          </cell>
          <cell r="L27">
            <v>23030.303030303032</v>
          </cell>
          <cell r="M27">
            <v>23030.303030303032</v>
          </cell>
        </row>
        <row r="28">
          <cell r="J28" t="str">
            <v>Costs of inpatient care per diem</v>
          </cell>
          <cell r="K28" t="str">
            <v>in EUR</v>
          </cell>
          <cell r="L28">
            <v>200</v>
          </cell>
          <cell r="M28">
            <v>200</v>
          </cell>
        </row>
        <row r="29">
          <cell r="J29" t="str">
            <v>Physicians' price per unit</v>
          </cell>
          <cell r="K29" t="str">
            <v>in EUR</v>
          </cell>
          <cell r="L29">
            <v>6</v>
          </cell>
          <cell r="M29">
            <v>8</v>
          </cell>
        </row>
        <row r="30">
          <cell r="J30" t="str">
            <v>1-/2-bedroom surcharge per diem</v>
          </cell>
          <cell r="K30" t="str">
            <v>in EUR</v>
          </cell>
          <cell r="L30">
            <v>100</v>
          </cell>
          <cell r="M30">
            <v>100</v>
          </cell>
        </row>
        <row r="31">
          <cell r="J31" t="str">
            <v>Daily hospital allowance per diem</v>
          </cell>
          <cell r="K31" t="str">
            <v>in EUR</v>
          </cell>
          <cell r="L31">
            <v>110</v>
          </cell>
          <cell r="M31">
            <v>110</v>
          </cell>
        </row>
        <row r="32">
          <cell r="J32" t="str">
            <v>Average Lenght of stay (LOS) inpatient care</v>
          </cell>
          <cell r="K32" t="str">
            <v>in days</v>
          </cell>
          <cell r="L32">
            <v>11</v>
          </cell>
          <cell r="M32">
            <v>12</v>
          </cell>
        </row>
        <row r="33">
          <cell r="J33" t="str">
            <v>Average Number of units per case</v>
          </cell>
          <cell r="K33" t="str">
            <v>number of units</v>
          </cell>
          <cell r="L33">
            <v>700</v>
          </cell>
          <cell r="M33">
            <v>700</v>
          </cell>
        </row>
        <row r="34">
          <cell r="J34" t="str">
            <v>Average LOS Bedroom surcharge</v>
          </cell>
          <cell r="K34" t="str">
            <v>in days</v>
          </cell>
          <cell r="L34">
            <v>16</v>
          </cell>
          <cell r="M34">
            <v>16</v>
          </cell>
        </row>
        <row r="35">
          <cell r="J35" t="str">
            <v>Average LOS daily hospital allowance</v>
          </cell>
          <cell r="K35" t="str">
            <v>in days</v>
          </cell>
          <cell r="L35">
            <v>15</v>
          </cell>
          <cell r="M35">
            <v>13</v>
          </cell>
        </row>
      </sheetData>
      <sheetData sheetId="2"/>
      <sheetData sheetId="3"/>
      <sheetData sheetId="4" refreshError="1"/>
      <sheetData sheetId="5" refreshError="1"/>
      <sheetData sheetId="6" refreshError="1"/>
      <sheetData sheetId="7"/>
      <sheetData sheetId="8"/>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ed Budget"/>
      <sheetName val="CapEx"/>
      <sheetName val="Summary"/>
      <sheetName val="Details"/>
      <sheetName val="PR details"/>
      <sheetName val="PO Details"/>
      <sheetName val="Invoice details"/>
      <sheetName val="capitalisation"/>
      <sheetName val="2004-05 c_f"/>
      <sheetName val="Cashflow"/>
      <sheetName val="IRR Model"/>
      <sheetName val="Master Data"/>
      <sheetName val="Input"/>
      <sheetName val="SBU ACCOUNTS "/>
    </sheetNames>
    <sheetDataSet>
      <sheetData sheetId="0"/>
      <sheetData sheetId="1"/>
      <sheetData sheetId="2"/>
      <sheetData sheetId="3"/>
      <sheetData sheetId="4"/>
      <sheetData sheetId="5"/>
      <sheetData sheetId="6" refreshError="1">
        <row r="6">
          <cell r="AV6" t="str">
            <v>ADL</v>
          </cell>
        </row>
        <row r="7">
          <cell r="AV7" t="str">
            <v>ADL</v>
          </cell>
        </row>
        <row r="8">
          <cell r="AV8" t="str">
            <v>ADL</v>
          </cell>
        </row>
        <row r="9">
          <cell r="AV9" t="str">
            <v>ADL</v>
          </cell>
        </row>
        <row r="10">
          <cell r="AV10" t="str">
            <v>ADL</v>
          </cell>
        </row>
        <row r="11">
          <cell r="AV11" t="str">
            <v>ADL</v>
          </cell>
        </row>
        <row r="12">
          <cell r="AV12" t="str">
            <v>ADL</v>
          </cell>
        </row>
        <row r="13">
          <cell r="AV13" t="str">
            <v>ADL</v>
          </cell>
        </row>
        <row r="14">
          <cell r="AV14" t="str">
            <v>ADL</v>
          </cell>
        </row>
        <row r="15">
          <cell r="AV15" t="str">
            <v>ADL</v>
          </cell>
        </row>
        <row r="16">
          <cell r="AV16" t="str">
            <v>ADL</v>
          </cell>
        </row>
        <row r="17">
          <cell r="AV17" t="str">
            <v>ADL</v>
          </cell>
        </row>
        <row r="18">
          <cell r="AV18" t="str">
            <v>ADL</v>
          </cell>
        </row>
        <row r="19">
          <cell r="AV19" t="str">
            <v>ADL</v>
          </cell>
        </row>
        <row r="20">
          <cell r="AV20" t="str">
            <v>ADL</v>
          </cell>
        </row>
        <row r="21">
          <cell r="AV21" t="str">
            <v>ADL Discovery</v>
          </cell>
        </row>
        <row r="22">
          <cell r="AV22" t="str">
            <v>ADL Discovery</v>
          </cell>
        </row>
        <row r="23">
          <cell r="AV23" t="str">
            <v>ADL Discovery</v>
          </cell>
        </row>
        <row r="24">
          <cell r="AV24" t="str">
            <v>ADL Discovery</v>
          </cell>
        </row>
        <row r="25">
          <cell r="AV25" t="str">
            <v>ADL Discovery</v>
          </cell>
        </row>
        <row r="26">
          <cell r="AV26" t="str">
            <v>ADL Discovery</v>
          </cell>
        </row>
        <row r="27">
          <cell r="AV27" t="str">
            <v>ADL Discovery</v>
          </cell>
        </row>
        <row r="28">
          <cell r="AV28" t="str">
            <v>ADL Discovery</v>
          </cell>
        </row>
        <row r="29">
          <cell r="AV29" t="str">
            <v>ADL Discovery</v>
          </cell>
        </row>
        <row r="30">
          <cell r="AV30" t="str">
            <v>ADL Discovery</v>
          </cell>
        </row>
        <row r="31">
          <cell r="AV31" t="str">
            <v>ADL Discovery</v>
          </cell>
        </row>
        <row r="32">
          <cell r="AV32" t="str">
            <v>ADL Discovery</v>
          </cell>
        </row>
        <row r="33">
          <cell r="AV33" t="str">
            <v>ADL Discovery</v>
          </cell>
        </row>
        <row r="34">
          <cell r="AV34" t="str">
            <v>ADL Discovery</v>
          </cell>
        </row>
        <row r="35">
          <cell r="AV35" t="str">
            <v>ADL Discovery</v>
          </cell>
        </row>
        <row r="36">
          <cell r="AV36" t="str">
            <v>ADL Discovery</v>
          </cell>
        </row>
        <row r="37">
          <cell r="AV37" t="str">
            <v>ADM</v>
          </cell>
        </row>
        <row r="38">
          <cell r="AV38" t="str">
            <v>ADM</v>
          </cell>
        </row>
        <row r="39">
          <cell r="AV39" t="str">
            <v>ADM</v>
          </cell>
        </row>
        <row r="40">
          <cell r="AV40" t="str">
            <v>ADM</v>
          </cell>
        </row>
        <row r="41">
          <cell r="AV41" t="str">
            <v>ADM</v>
          </cell>
        </row>
        <row r="42">
          <cell r="AV42" t="str">
            <v>ADM</v>
          </cell>
        </row>
        <row r="43">
          <cell r="AV43" t="str">
            <v>ADM</v>
          </cell>
        </row>
        <row r="44">
          <cell r="AV44" t="str">
            <v>ADM</v>
          </cell>
        </row>
        <row r="45">
          <cell r="AV45" t="str">
            <v>ADM</v>
          </cell>
        </row>
        <row r="46">
          <cell r="AV46" t="str">
            <v>ADM</v>
          </cell>
        </row>
        <row r="47">
          <cell r="AV47" t="str">
            <v>ADM</v>
          </cell>
        </row>
        <row r="48">
          <cell r="AV48" t="str">
            <v>ADM</v>
          </cell>
        </row>
        <row r="49">
          <cell r="AV49" t="str">
            <v>ADM</v>
          </cell>
        </row>
        <row r="50">
          <cell r="AV50" t="str">
            <v>ADM</v>
          </cell>
        </row>
        <row r="51">
          <cell r="AV51" t="str">
            <v>ADM</v>
          </cell>
        </row>
        <row r="52">
          <cell r="AV52" t="str">
            <v>ADM</v>
          </cell>
        </row>
        <row r="53">
          <cell r="AV53" t="str">
            <v>ADM</v>
          </cell>
        </row>
        <row r="54">
          <cell r="AV54" t="str">
            <v>ADM</v>
          </cell>
        </row>
        <row r="55">
          <cell r="AV55" t="str">
            <v>ADM</v>
          </cell>
        </row>
        <row r="56">
          <cell r="AV56" t="str">
            <v>BA</v>
          </cell>
        </row>
        <row r="57">
          <cell r="AV57" t="str">
            <v>BA</v>
          </cell>
        </row>
        <row r="58">
          <cell r="AV58" t="str">
            <v>BA</v>
          </cell>
        </row>
        <row r="59">
          <cell r="AV59" t="str">
            <v>BA</v>
          </cell>
        </row>
        <row r="60">
          <cell r="AV60" t="str">
            <v>BA</v>
          </cell>
        </row>
        <row r="61">
          <cell r="AV61" t="str">
            <v>BA</v>
          </cell>
        </row>
        <row r="62">
          <cell r="AV62" t="str">
            <v>BA</v>
          </cell>
        </row>
        <row r="63">
          <cell r="AV63" t="str">
            <v>BA</v>
          </cell>
        </row>
        <row r="64">
          <cell r="AV64" t="str">
            <v>BA</v>
          </cell>
        </row>
        <row r="65">
          <cell r="AV65" t="str">
            <v>BA</v>
          </cell>
        </row>
        <row r="66">
          <cell r="AV66" t="str">
            <v>BA</v>
          </cell>
        </row>
        <row r="67">
          <cell r="AV67" t="str">
            <v>BA</v>
          </cell>
        </row>
        <row r="68">
          <cell r="AV68" t="str">
            <v>BA</v>
          </cell>
        </row>
        <row r="69">
          <cell r="AV69" t="str">
            <v>BA</v>
          </cell>
        </row>
        <row r="70">
          <cell r="AV70" t="str">
            <v>BA</v>
          </cell>
        </row>
        <row r="71">
          <cell r="AV71" t="str">
            <v>BA</v>
          </cell>
        </row>
        <row r="72">
          <cell r="AV72" t="str">
            <v>BA</v>
          </cell>
        </row>
        <row r="73">
          <cell r="AV73" t="str">
            <v>BA</v>
          </cell>
        </row>
        <row r="74">
          <cell r="AV74" t="str">
            <v>BA</v>
          </cell>
        </row>
        <row r="75">
          <cell r="AV75" t="str">
            <v>BA</v>
          </cell>
        </row>
        <row r="76">
          <cell r="AV76" t="str">
            <v>BA</v>
          </cell>
        </row>
        <row r="77">
          <cell r="AV77" t="str">
            <v>BA</v>
          </cell>
        </row>
        <row r="78">
          <cell r="AV78" t="str">
            <v>BA</v>
          </cell>
        </row>
        <row r="79">
          <cell r="AV79" t="str">
            <v>BA</v>
          </cell>
        </row>
        <row r="80">
          <cell r="AV80" t="str">
            <v>BA</v>
          </cell>
        </row>
        <row r="81">
          <cell r="AV81" t="str">
            <v>BA</v>
          </cell>
        </row>
        <row r="82">
          <cell r="AV82" t="str">
            <v>BA</v>
          </cell>
        </row>
        <row r="83">
          <cell r="AV83" t="str">
            <v>BA</v>
          </cell>
        </row>
        <row r="84">
          <cell r="AV84" t="str">
            <v>CMB</v>
          </cell>
        </row>
        <row r="85">
          <cell r="AV85" t="str">
            <v>CMB</v>
          </cell>
        </row>
        <row r="86">
          <cell r="AV86" t="str">
            <v>CMB</v>
          </cell>
        </row>
        <row r="87">
          <cell r="AV87" t="str">
            <v>CMB</v>
          </cell>
        </row>
        <row r="88">
          <cell r="AV88" t="str">
            <v>CMB</v>
          </cell>
        </row>
        <row r="89">
          <cell r="AV89" t="str">
            <v>CMB</v>
          </cell>
        </row>
        <row r="90">
          <cell r="AV90" t="str">
            <v>CMB</v>
          </cell>
        </row>
        <row r="91">
          <cell r="AV91" t="str">
            <v>CMB</v>
          </cell>
        </row>
        <row r="92">
          <cell r="AV92" t="str">
            <v>CMB</v>
          </cell>
        </row>
        <row r="93">
          <cell r="AV93" t="str">
            <v>CMB</v>
          </cell>
        </row>
        <row r="94">
          <cell r="AV94" t="str">
            <v>CMB</v>
          </cell>
        </row>
        <row r="95">
          <cell r="AV95" t="str">
            <v>CMB</v>
          </cell>
        </row>
        <row r="96">
          <cell r="AV96" t="str">
            <v>CMB</v>
          </cell>
        </row>
        <row r="97">
          <cell r="AV97" t="str">
            <v>CMB</v>
          </cell>
        </row>
        <row r="98">
          <cell r="AV98" t="str">
            <v>CMB</v>
          </cell>
        </row>
        <row r="99">
          <cell r="AV99" t="str">
            <v>CMB</v>
          </cell>
        </row>
        <row r="100">
          <cell r="AV100" t="str">
            <v>CMB</v>
          </cell>
        </row>
        <row r="101">
          <cell r="AV101" t="str">
            <v>CMB</v>
          </cell>
        </row>
        <row r="102">
          <cell r="AV102" t="str">
            <v>CMB</v>
          </cell>
        </row>
        <row r="103">
          <cell r="AV103" t="str">
            <v>CMB</v>
          </cell>
        </row>
        <row r="104">
          <cell r="AV104" t="str">
            <v>CMB</v>
          </cell>
        </row>
        <row r="105">
          <cell r="AV105" t="str">
            <v>CMB</v>
          </cell>
        </row>
        <row r="106">
          <cell r="AV106" t="str">
            <v>CMB</v>
          </cell>
        </row>
        <row r="107">
          <cell r="AV107" t="str">
            <v>CMB</v>
          </cell>
        </row>
        <row r="108">
          <cell r="AV108" t="str">
            <v>CMB</v>
          </cell>
        </row>
        <row r="109">
          <cell r="AV109" t="str">
            <v>CMB</v>
          </cell>
        </row>
        <row r="110">
          <cell r="AV110" t="str">
            <v>CMB</v>
          </cell>
        </row>
        <row r="111">
          <cell r="AV111" t="str">
            <v>CMB</v>
          </cell>
        </row>
        <row r="112">
          <cell r="AV112" t="str">
            <v>CMB</v>
          </cell>
        </row>
        <row r="113">
          <cell r="AV113" t="str">
            <v>CMB</v>
          </cell>
        </row>
        <row r="114">
          <cell r="AV114" t="str">
            <v>CMB</v>
          </cell>
        </row>
        <row r="115">
          <cell r="AV115" t="str">
            <v>CMB</v>
          </cell>
        </row>
        <row r="116">
          <cell r="AV116" t="str">
            <v>CMB</v>
          </cell>
        </row>
        <row r="117">
          <cell r="AV117" t="str">
            <v>CMB</v>
          </cell>
        </row>
        <row r="118">
          <cell r="AV118" t="str">
            <v>CMB</v>
          </cell>
        </row>
        <row r="119">
          <cell r="AV119" t="str">
            <v>CMB</v>
          </cell>
        </row>
        <row r="120">
          <cell r="AV120" t="str">
            <v>CMB</v>
          </cell>
        </row>
        <row r="121">
          <cell r="AV121" t="str">
            <v>CMB</v>
          </cell>
        </row>
        <row r="122">
          <cell r="AV122" t="str">
            <v>CMB</v>
          </cell>
        </row>
        <row r="123">
          <cell r="AV123" t="str">
            <v>CMB</v>
          </cell>
        </row>
        <row r="124">
          <cell r="AV124" t="str">
            <v>CMB</v>
          </cell>
        </row>
        <row r="125">
          <cell r="AV125" t="str">
            <v>CMB</v>
          </cell>
        </row>
        <row r="126">
          <cell r="AV126" t="str">
            <v>CMB</v>
          </cell>
        </row>
        <row r="127">
          <cell r="AV127" t="str">
            <v>CMB</v>
          </cell>
        </row>
        <row r="128">
          <cell r="AV128" t="str">
            <v>CMB</v>
          </cell>
        </row>
        <row r="129">
          <cell r="AV129" t="str">
            <v>CMB</v>
          </cell>
        </row>
        <row r="130">
          <cell r="AV130" t="str">
            <v>CMB</v>
          </cell>
        </row>
        <row r="131">
          <cell r="AV131" t="str">
            <v>CMB</v>
          </cell>
        </row>
        <row r="132">
          <cell r="AV132" t="str">
            <v>CMB</v>
          </cell>
        </row>
        <row r="133">
          <cell r="AV133" t="str">
            <v>CMB</v>
          </cell>
        </row>
        <row r="134">
          <cell r="AV134" t="str">
            <v>CMB</v>
          </cell>
        </row>
        <row r="135">
          <cell r="AV135" t="str">
            <v>CMB</v>
          </cell>
        </row>
        <row r="136">
          <cell r="AV136" t="str">
            <v>CMB</v>
          </cell>
        </row>
        <row r="137">
          <cell r="AV137" t="str">
            <v>ENG</v>
          </cell>
        </row>
        <row r="138">
          <cell r="AV138" t="str">
            <v>ENG</v>
          </cell>
        </row>
        <row r="139">
          <cell r="AV139" t="str">
            <v>ENG</v>
          </cell>
        </row>
        <row r="140">
          <cell r="AV140" t="str">
            <v>ENG</v>
          </cell>
        </row>
        <row r="141">
          <cell r="AV141" t="str">
            <v>ENG</v>
          </cell>
        </row>
        <row r="142">
          <cell r="AV142" t="str">
            <v>ENG</v>
          </cell>
        </row>
        <row r="143">
          <cell r="AV143" t="str">
            <v>ENG</v>
          </cell>
        </row>
        <row r="144">
          <cell r="AV144" t="str">
            <v>ENG</v>
          </cell>
        </row>
        <row r="145">
          <cell r="AV145" t="str">
            <v>ENG</v>
          </cell>
        </row>
        <row r="146">
          <cell r="AV146" t="str">
            <v>ENG</v>
          </cell>
        </row>
        <row r="147">
          <cell r="AV147" t="str">
            <v>ENG</v>
          </cell>
        </row>
        <row r="148">
          <cell r="AV148" t="str">
            <v>ENG</v>
          </cell>
        </row>
        <row r="149">
          <cell r="AV149" t="str">
            <v>ENG</v>
          </cell>
        </row>
        <row r="150">
          <cell r="AV150" t="str">
            <v>ENG</v>
          </cell>
        </row>
        <row r="151">
          <cell r="AV151" t="str">
            <v>ENG</v>
          </cell>
        </row>
        <row r="152">
          <cell r="AV152" t="str">
            <v>ENG</v>
          </cell>
        </row>
        <row r="153">
          <cell r="AV153" t="str">
            <v>ENG</v>
          </cell>
        </row>
        <row r="154">
          <cell r="AV154" t="str">
            <v>ENG</v>
          </cell>
        </row>
        <row r="155">
          <cell r="AV155" t="str">
            <v>ENG</v>
          </cell>
        </row>
        <row r="156">
          <cell r="AV156" t="str">
            <v>ENG</v>
          </cell>
        </row>
        <row r="157">
          <cell r="AV157" t="str">
            <v>ENG</v>
          </cell>
        </row>
        <row r="158">
          <cell r="AV158" t="str">
            <v>ENG</v>
          </cell>
        </row>
        <row r="159">
          <cell r="AV159" t="str">
            <v>ENG</v>
          </cell>
        </row>
        <row r="160">
          <cell r="AV160" t="str">
            <v>ENG</v>
          </cell>
        </row>
        <row r="161">
          <cell r="AV161" t="str">
            <v>ENG</v>
          </cell>
        </row>
        <row r="169">
          <cell r="AV169" t="str">
            <v>FND</v>
          </cell>
        </row>
        <row r="170">
          <cell r="AV170" t="str">
            <v>FND</v>
          </cell>
        </row>
        <row r="171">
          <cell r="AV171" t="str">
            <v>FND</v>
          </cell>
        </row>
        <row r="172">
          <cell r="AV172" t="str">
            <v>FND</v>
          </cell>
        </row>
        <row r="173">
          <cell r="AV173" t="str">
            <v>FND</v>
          </cell>
        </row>
        <row r="174">
          <cell r="AV174" t="str">
            <v>FND</v>
          </cell>
        </row>
        <row r="175">
          <cell r="AV175" t="str">
            <v>FND</v>
          </cell>
        </row>
        <row r="176">
          <cell r="AV176" t="str">
            <v>FND</v>
          </cell>
        </row>
        <row r="177">
          <cell r="AV177" t="str">
            <v>FND</v>
          </cell>
        </row>
        <row r="178">
          <cell r="AV178" t="str">
            <v>FND</v>
          </cell>
        </row>
        <row r="179">
          <cell r="AV179" t="str">
            <v>FND</v>
          </cell>
        </row>
        <row r="180">
          <cell r="AV180" t="str">
            <v>FND</v>
          </cell>
        </row>
        <row r="181">
          <cell r="AV181" t="str">
            <v>FND</v>
          </cell>
        </row>
        <row r="182">
          <cell r="AV182" t="str">
            <v>FND</v>
          </cell>
        </row>
        <row r="183">
          <cell r="AV183" t="str">
            <v>FND</v>
          </cell>
        </row>
        <row r="184">
          <cell r="AV184" t="str">
            <v>FND</v>
          </cell>
        </row>
        <row r="185">
          <cell r="AV185" t="str">
            <v>FND</v>
          </cell>
        </row>
        <row r="186">
          <cell r="AV186" t="str">
            <v>FND</v>
          </cell>
        </row>
        <row r="187">
          <cell r="AV187" t="str">
            <v>IM</v>
          </cell>
        </row>
        <row r="188">
          <cell r="AV188" t="str">
            <v>IM</v>
          </cell>
        </row>
        <row r="189">
          <cell r="AV189" t="str">
            <v>IM</v>
          </cell>
        </row>
        <row r="190">
          <cell r="AV190" t="str">
            <v>IM</v>
          </cell>
        </row>
        <row r="191">
          <cell r="AV191" t="str">
            <v>IM</v>
          </cell>
        </row>
        <row r="192">
          <cell r="AV192" t="str">
            <v>IM</v>
          </cell>
        </row>
        <row r="193">
          <cell r="AV193" t="str">
            <v>IM</v>
          </cell>
        </row>
        <row r="194">
          <cell r="AV194" t="str">
            <v>IM</v>
          </cell>
        </row>
        <row r="195">
          <cell r="AV195" t="str">
            <v>ITD</v>
          </cell>
        </row>
        <row r="196">
          <cell r="AV196" t="str">
            <v>ITD</v>
          </cell>
        </row>
        <row r="197">
          <cell r="AV197" t="str">
            <v>ITD</v>
          </cell>
        </row>
        <row r="198">
          <cell r="AV198" t="str">
            <v>ITD</v>
          </cell>
        </row>
        <row r="199">
          <cell r="AV199" t="str">
            <v>ITD</v>
          </cell>
        </row>
        <row r="200">
          <cell r="AV200" t="str">
            <v>ITD</v>
          </cell>
        </row>
        <row r="201">
          <cell r="AV201" t="str">
            <v>ITD</v>
          </cell>
        </row>
        <row r="202">
          <cell r="AV202" t="str">
            <v>ITD</v>
          </cell>
        </row>
        <row r="203">
          <cell r="AV203" t="str">
            <v>ITD</v>
          </cell>
        </row>
        <row r="204">
          <cell r="AV204" t="str">
            <v>ITD</v>
          </cell>
        </row>
        <row r="205">
          <cell r="AV205" t="str">
            <v>ITD</v>
          </cell>
        </row>
        <row r="206">
          <cell r="AV206" t="str">
            <v>ITD</v>
          </cell>
        </row>
        <row r="207">
          <cell r="AV207" t="str">
            <v>ITD</v>
          </cell>
        </row>
        <row r="208">
          <cell r="AV208" t="str">
            <v>ITD</v>
          </cell>
        </row>
        <row r="209">
          <cell r="AV209" t="str">
            <v>ITD</v>
          </cell>
        </row>
        <row r="210">
          <cell r="AV210" t="str">
            <v>ITD</v>
          </cell>
        </row>
        <row r="211">
          <cell r="AV211" t="str">
            <v>ITD</v>
          </cell>
        </row>
        <row r="212">
          <cell r="AV212" t="str">
            <v>ITD</v>
          </cell>
        </row>
        <row r="213">
          <cell r="AV213" t="str">
            <v>ITD</v>
          </cell>
        </row>
        <row r="214">
          <cell r="AV214" t="str">
            <v>MCD</v>
          </cell>
        </row>
        <row r="215">
          <cell r="AV215" t="str">
            <v>MCD</v>
          </cell>
        </row>
        <row r="216">
          <cell r="AV216" t="str">
            <v>MCD</v>
          </cell>
        </row>
        <row r="217">
          <cell r="AV217" t="str">
            <v>MCD</v>
          </cell>
        </row>
        <row r="218">
          <cell r="AV218" t="str">
            <v>MCD</v>
          </cell>
        </row>
        <row r="219">
          <cell r="AV219" t="str">
            <v>MCD</v>
          </cell>
        </row>
        <row r="220">
          <cell r="AV220" t="str">
            <v>MCD</v>
          </cell>
        </row>
        <row r="221">
          <cell r="AV221" t="str">
            <v>MCD</v>
          </cell>
        </row>
        <row r="222">
          <cell r="AV222" t="str">
            <v>MCD</v>
          </cell>
        </row>
        <row r="223">
          <cell r="AV223" t="str">
            <v>MCD</v>
          </cell>
        </row>
        <row r="224">
          <cell r="AV224" t="str">
            <v>MCD</v>
          </cell>
        </row>
        <row r="225">
          <cell r="AV225" t="str">
            <v>MCD</v>
          </cell>
        </row>
        <row r="226">
          <cell r="AV226" t="str">
            <v>MCD</v>
          </cell>
        </row>
        <row r="227">
          <cell r="AV227" t="str">
            <v>MCD</v>
          </cell>
        </row>
        <row r="228">
          <cell r="AV228" t="str">
            <v>MCD</v>
          </cell>
        </row>
        <row r="229">
          <cell r="AV229" t="str">
            <v>MCD</v>
          </cell>
        </row>
        <row r="230">
          <cell r="AV230" t="str">
            <v>MCD-DISCOVERY</v>
          </cell>
        </row>
        <row r="231">
          <cell r="AV231" t="str">
            <v>MCD-DISCOVERY</v>
          </cell>
        </row>
        <row r="232">
          <cell r="AV232" t="str">
            <v>MCD-DISCOVERY</v>
          </cell>
        </row>
        <row r="233">
          <cell r="AV233" t="str">
            <v>MCD-DISCOVERY</v>
          </cell>
        </row>
        <row r="234">
          <cell r="AV234" t="str">
            <v>MCD-DISCOVERY</v>
          </cell>
        </row>
        <row r="235">
          <cell r="AV235" t="str">
            <v>MCD-DISCOVERY</v>
          </cell>
        </row>
        <row r="236">
          <cell r="AV236" t="str">
            <v>MCD-DISCOVERY</v>
          </cell>
        </row>
        <row r="237">
          <cell r="AV237" t="str">
            <v>MCD-DISCOVERY</v>
          </cell>
        </row>
        <row r="238">
          <cell r="AV238" t="str">
            <v>MCD-DISCOVERY</v>
          </cell>
        </row>
        <row r="239">
          <cell r="AV239" t="str">
            <v>MCD-DISCOVERY</v>
          </cell>
        </row>
        <row r="240">
          <cell r="AV240" t="str">
            <v>MCD-DISCOVERY</v>
          </cell>
        </row>
        <row r="241">
          <cell r="AV241" t="str">
            <v>MCD-DISCOVERY</v>
          </cell>
        </row>
        <row r="242">
          <cell r="AV242" t="str">
            <v>MCD-DISCOVERY</v>
          </cell>
        </row>
        <row r="243">
          <cell r="AV243" t="str">
            <v>MCD-DISCOVERY</v>
          </cell>
        </row>
        <row r="244">
          <cell r="AV244" t="str">
            <v>MCD-DISCOVERY</v>
          </cell>
        </row>
        <row r="245">
          <cell r="AV245" t="str">
            <v>MCD-DISCOVERY</v>
          </cell>
        </row>
        <row r="246">
          <cell r="AV246" t="str">
            <v>MCD-DISCOVERY</v>
          </cell>
        </row>
        <row r="247">
          <cell r="AV247" t="str">
            <v>MCD-DISCOVERY</v>
          </cell>
        </row>
        <row r="248">
          <cell r="AV248" t="str">
            <v>MCD-DISCOVERY</v>
          </cell>
        </row>
        <row r="249">
          <cell r="AV249" t="str">
            <v>MCD-DISCOVERY</v>
          </cell>
        </row>
        <row r="250">
          <cell r="AV250" t="str">
            <v>MCD-DISCOVERY</v>
          </cell>
        </row>
        <row r="251">
          <cell r="AV251" t="str">
            <v>MCD-DISCOVERY</v>
          </cell>
        </row>
        <row r="252">
          <cell r="AV252" t="str">
            <v>MCD-DISCOVERY</v>
          </cell>
        </row>
        <row r="253">
          <cell r="AV253" t="str">
            <v>MCD-DISCOVERY</v>
          </cell>
        </row>
        <row r="254">
          <cell r="AV254" t="str">
            <v>MCD-DISCOVERY</v>
          </cell>
        </row>
        <row r="255">
          <cell r="AV255" t="str">
            <v>MCD-DISCOVERY</v>
          </cell>
        </row>
        <row r="256">
          <cell r="AV256" t="str">
            <v>MCD-DISCOVERY</v>
          </cell>
        </row>
        <row r="257">
          <cell r="AV257" t="str">
            <v>MCD-DISCOVERY</v>
          </cell>
        </row>
        <row r="258">
          <cell r="AV258" t="str">
            <v>MCD-DISCOVERY</v>
          </cell>
        </row>
        <row r="259">
          <cell r="AV259" t="str">
            <v>MCD-DISCOVERY</v>
          </cell>
        </row>
        <row r="260">
          <cell r="AV260" t="str">
            <v>MCD-DISCOVERY</v>
          </cell>
        </row>
        <row r="261">
          <cell r="AV261" t="str">
            <v>MCD-DISCOVERY</v>
          </cell>
        </row>
        <row r="262">
          <cell r="AV262" t="str">
            <v>MCD-DISCOVERY</v>
          </cell>
        </row>
        <row r="263">
          <cell r="AV263" t="str">
            <v>MCD-DISCOVERY</v>
          </cell>
        </row>
        <row r="264">
          <cell r="AV264" t="str">
            <v>MCD-DISCOVERY</v>
          </cell>
        </row>
        <row r="265">
          <cell r="AV265" t="str">
            <v>MCD-DISCOVERY</v>
          </cell>
        </row>
        <row r="266">
          <cell r="AV266" t="str">
            <v>MCD-DISCOVERY</v>
          </cell>
        </row>
        <row r="267">
          <cell r="AV267" t="str">
            <v>MCD-DISCOVERY</v>
          </cell>
        </row>
        <row r="268">
          <cell r="AV268" t="str">
            <v>PKG</v>
          </cell>
        </row>
        <row r="269">
          <cell r="AV269" t="str">
            <v>PKG</v>
          </cell>
        </row>
        <row r="270">
          <cell r="AV270" t="str">
            <v>PKG</v>
          </cell>
        </row>
        <row r="271">
          <cell r="AV271" t="str">
            <v>PKG</v>
          </cell>
        </row>
        <row r="272">
          <cell r="AV272" t="str">
            <v>PKG</v>
          </cell>
        </row>
        <row r="273">
          <cell r="AV273" t="str">
            <v>PKG</v>
          </cell>
        </row>
        <row r="274">
          <cell r="AV274" t="str">
            <v>PKG</v>
          </cell>
        </row>
        <row r="275">
          <cell r="AV275" t="str">
            <v>PKG</v>
          </cell>
        </row>
        <row r="276">
          <cell r="AV276" t="str">
            <v>PKG</v>
          </cell>
        </row>
        <row r="277">
          <cell r="AV277" t="str">
            <v>PCD</v>
          </cell>
        </row>
        <row r="278">
          <cell r="AV278" t="str">
            <v>PCD</v>
          </cell>
        </row>
        <row r="279">
          <cell r="AV279" t="str">
            <v>PCD</v>
          </cell>
        </row>
        <row r="280">
          <cell r="AV280" t="str">
            <v>PCD</v>
          </cell>
        </row>
        <row r="281">
          <cell r="AV281" t="str">
            <v>PCD</v>
          </cell>
        </row>
        <row r="282">
          <cell r="AV282" t="str">
            <v>PCD</v>
          </cell>
        </row>
        <row r="283">
          <cell r="AV283" t="str">
            <v>PCD</v>
          </cell>
        </row>
        <row r="284">
          <cell r="AV284" t="str">
            <v>PCD</v>
          </cell>
        </row>
        <row r="285">
          <cell r="AV285" t="str">
            <v>PCD</v>
          </cell>
        </row>
        <row r="286">
          <cell r="AV286" t="str">
            <v>PCD</v>
          </cell>
        </row>
        <row r="287">
          <cell r="AV287" t="str">
            <v>PCD</v>
          </cell>
        </row>
        <row r="288">
          <cell r="AV288" t="str">
            <v>PCD</v>
          </cell>
        </row>
        <row r="289">
          <cell r="AV289" t="str">
            <v>PCD</v>
          </cell>
        </row>
        <row r="290">
          <cell r="AV290" t="str">
            <v>PCD</v>
          </cell>
        </row>
        <row r="291">
          <cell r="AV291" t="str">
            <v>PCD</v>
          </cell>
        </row>
        <row r="292">
          <cell r="AV292" t="str">
            <v>PCD</v>
          </cell>
        </row>
        <row r="293">
          <cell r="AV293" t="str">
            <v>PCD</v>
          </cell>
        </row>
        <row r="294">
          <cell r="AV294" t="str">
            <v>PCD</v>
          </cell>
        </row>
        <row r="295">
          <cell r="AV295" t="str">
            <v>PCD</v>
          </cell>
        </row>
        <row r="296">
          <cell r="AV296" t="str">
            <v>PCD</v>
          </cell>
        </row>
        <row r="297">
          <cell r="AV297" t="str">
            <v>PCD</v>
          </cell>
        </row>
        <row r="298">
          <cell r="AV298" t="str">
            <v>PCD</v>
          </cell>
        </row>
        <row r="299">
          <cell r="AV299" t="str">
            <v>PCD</v>
          </cell>
        </row>
        <row r="300">
          <cell r="AV300" t="str">
            <v>PCD</v>
          </cell>
        </row>
        <row r="301">
          <cell r="AV301" t="str">
            <v>PCD</v>
          </cell>
        </row>
        <row r="302">
          <cell r="AV302" t="str">
            <v>PCD</v>
          </cell>
        </row>
        <row r="303">
          <cell r="AV303" t="str">
            <v>PCSE</v>
          </cell>
        </row>
        <row r="304">
          <cell r="AV304" t="str">
            <v>PCSE</v>
          </cell>
        </row>
        <row r="305">
          <cell r="AV305" t="str">
            <v>PCSE</v>
          </cell>
        </row>
        <row r="306">
          <cell r="AV306" t="str">
            <v>PCSE</v>
          </cell>
        </row>
        <row r="307">
          <cell r="AV307" t="str">
            <v>PCSE</v>
          </cell>
        </row>
        <row r="308">
          <cell r="AV308" t="str">
            <v>PCSE</v>
          </cell>
        </row>
        <row r="309">
          <cell r="AV309" t="str">
            <v>PCSE</v>
          </cell>
        </row>
        <row r="310">
          <cell r="AV310" t="str">
            <v>PCSE</v>
          </cell>
        </row>
        <row r="311">
          <cell r="AV311" t="str">
            <v>PCSE</v>
          </cell>
        </row>
        <row r="312">
          <cell r="AV312" t="str">
            <v>PCSE</v>
          </cell>
        </row>
        <row r="313">
          <cell r="AV313" t="str">
            <v>PCSE</v>
          </cell>
        </row>
        <row r="314">
          <cell r="AV314" t="str">
            <v>Pilot Plant</v>
          </cell>
        </row>
        <row r="315">
          <cell r="AV315" t="str">
            <v>Pilot Plant</v>
          </cell>
        </row>
        <row r="316">
          <cell r="AV316" t="str">
            <v>Pilot Plant</v>
          </cell>
        </row>
        <row r="317">
          <cell r="AV317" t="str">
            <v>Pilot Plant</v>
          </cell>
        </row>
        <row r="318">
          <cell r="AV318" t="str">
            <v>Pilot Plant</v>
          </cell>
        </row>
        <row r="319">
          <cell r="AV319" t="str">
            <v>Pilot Plant</v>
          </cell>
        </row>
        <row r="320">
          <cell r="AV320" t="str">
            <v>Pilot Plant</v>
          </cell>
        </row>
        <row r="321">
          <cell r="AV321" t="str">
            <v>Pilot Plant</v>
          </cell>
        </row>
        <row r="322">
          <cell r="AV322" t="str">
            <v>Pilot Plant</v>
          </cell>
        </row>
        <row r="323">
          <cell r="AV323" t="str">
            <v>Pilot Plant</v>
          </cell>
        </row>
        <row r="324">
          <cell r="AV324" t="str">
            <v>Pilot Plant</v>
          </cell>
        </row>
        <row r="325">
          <cell r="AV325" t="str">
            <v>Pilot Plant</v>
          </cell>
        </row>
        <row r="326">
          <cell r="AV326" t="str">
            <v>Pilot Plant</v>
          </cell>
        </row>
        <row r="327">
          <cell r="AV327" t="str">
            <v>Pilot Plant</v>
          </cell>
        </row>
        <row r="328">
          <cell r="AV328" t="str">
            <v>Pilot Plant</v>
          </cell>
        </row>
        <row r="329">
          <cell r="AV329" t="str">
            <v>Pilot Plant</v>
          </cell>
        </row>
        <row r="330">
          <cell r="AV330" t="str">
            <v>Pilot Plant</v>
          </cell>
        </row>
        <row r="331">
          <cell r="AV331" t="str">
            <v>Pilot Plant</v>
          </cell>
        </row>
        <row r="332">
          <cell r="AV332" t="str">
            <v>Pilot Plant</v>
          </cell>
        </row>
        <row r="333">
          <cell r="AV333" t="str">
            <v>Pilot Plant</v>
          </cell>
        </row>
        <row r="334">
          <cell r="AV334" t="str">
            <v>Pilot Plant</v>
          </cell>
        </row>
        <row r="335">
          <cell r="AV335" t="str">
            <v>PKU</v>
          </cell>
        </row>
        <row r="336">
          <cell r="AV336" t="str">
            <v>PKU</v>
          </cell>
        </row>
        <row r="337">
          <cell r="AV337" t="str">
            <v>PKU</v>
          </cell>
        </row>
        <row r="338">
          <cell r="AV338" t="str">
            <v>PKU</v>
          </cell>
        </row>
        <row r="339">
          <cell r="AV339" t="str">
            <v>PKU</v>
          </cell>
        </row>
        <row r="340">
          <cell r="AV340" t="str">
            <v>PKU</v>
          </cell>
        </row>
        <row r="341">
          <cell r="AV341" t="str">
            <v>PKU</v>
          </cell>
        </row>
        <row r="342">
          <cell r="AV342" t="str">
            <v>PKU</v>
          </cell>
        </row>
        <row r="343">
          <cell r="AV343" t="str">
            <v>PKU</v>
          </cell>
        </row>
        <row r="344">
          <cell r="AV344" t="str">
            <v>PKU</v>
          </cell>
        </row>
        <row r="345">
          <cell r="AV345" t="str">
            <v>PKU</v>
          </cell>
        </row>
        <row r="346">
          <cell r="AV346" t="str">
            <v>PKU</v>
          </cell>
        </row>
        <row r="347">
          <cell r="AV347" t="str">
            <v>PKU</v>
          </cell>
        </row>
      </sheetData>
      <sheetData sheetId="7"/>
      <sheetData sheetId="8"/>
      <sheetData sheetId="9"/>
      <sheetData sheetId="10"/>
      <sheetData sheetId="1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_jan04"/>
      <sheetName val="Jan 2004"/>
      <sheetName val="2003"/>
      <sheetName val="2002"/>
      <sheetName val="Dec"/>
      <sheetName val="Nov data"/>
      <sheetName val="CRM Nov_cogs"/>
      <sheetName val="Sep data"/>
      <sheetName val="CRM SepOct_cogs"/>
      <sheetName val="Aug data"/>
      <sheetName val="CRM Aug_cogs"/>
      <sheetName val="july data"/>
      <sheetName val="CRM July_cogs"/>
      <sheetName val="june data"/>
      <sheetName val="CRM June_cogs"/>
      <sheetName val="may data"/>
      <sheetName val="CRM May_cogs"/>
      <sheetName val="april data"/>
      <sheetName val="CRM Apr_cogs"/>
      <sheetName val="CRM Mar_prod"/>
      <sheetName val="CRM Mar_cogs"/>
      <sheetName val="CRM Feb"/>
      <sheetName val="CRM Jan"/>
      <sheetName val="Sheet3"/>
      <sheetName val="Sheet1"/>
      <sheetName val="Jan_2004"/>
      <sheetName val="Nov_data"/>
      <sheetName val="CRM_Nov_cogs"/>
      <sheetName val="Sep_data"/>
      <sheetName val="CRM_SepOct_cogs"/>
      <sheetName val="Aug_data"/>
      <sheetName val="CRM_Aug_cogs"/>
      <sheetName val="july_data"/>
      <sheetName val="CRM_July_cogs"/>
      <sheetName val="june_data"/>
      <sheetName val="CRM_June_cogs"/>
      <sheetName val="may_data"/>
      <sheetName val="CRM_May_cogs"/>
      <sheetName val="april_data"/>
      <sheetName val="CRM_Apr_cogs"/>
      <sheetName val="CRM_Mar_prod"/>
      <sheetName val="CRM_Mar_cogs"/>
      <sheetName val="CRM_Feb"/>
      <sheetName val="CRM_Jan"/>
      <sheetName val="Invoice details"/>
      <sheetName val="Input"/>
      <sheetName val="Budget 11-12"/>
      <sheetName val="Monthly Split of Exp."/>
      <sheetName val="Jan_20041"/>
      <sheetName val="Nov_data1"/>
      <sheetName val="CRM_Nov_cogs1"/>
      <sheetName val="Sep_data1"/>
      <sheetName val="CRM_SepOct_cogs1"/>
      <sheetName val="Aug_data1"/>
      <sheetName val="CRM_Aug_cogs1"/>
      <sheetName val="july_data1"/>
      <sheetName val="CRM_July_cogs1"/>
      <sheetName val="june_data1"/>
      <sheetName val="CRM_June_cogs1"/>
      <sheetName val="may_data1"/>
      <sheetName val="CRM_May_cogs1"/>
      <sheetName val="april_data1"/>
      <sheetName val="CRM_Apr_cogs1"/>
      <sheetName val="CRM_Mar_prod1"/>
      <sheetName val="CRM_Mar_cogs1"/>
      <sheetName val="CRM_Feb1"/>
      <sheetName val="CRM_Jan1"/>
      <sheetName val="Invoice_details"/>
      <sheetName val="Budget_11-12"/>
      <sheetName val="Jan_20042"/>
      <sheetName val="Nov_data2"/>
      <sheetName val="CRM_Nov_cogs2"/>
      <sheetName val="Sep_data2"/>
      <sheetName val="CRM_SepOct_cogs2"/>
      <sheetName val="Aug_data2"/>
      <sheetName val="CRM_Aug_cogs2"/>
      <sheetName val="july_data2"/>
      <sheetName val="CRM_July_cogs2"/>
      <sheetName val="june_data2"/>
      <sheetName val="CRM_June_cogs2"/>
      <sheetName val="may_data2"/>
      <sheetName val="CRM_May_cogs2"/>
      <sheetName val="april_data2"/>
      <sheetName val="CRM_Apr_cogs2"/>
      <sheetName val="CRM_Mar_prod2"/>
      <sheetName val="CRM_Mar_cogs2"/>
      <sheetName val="CRM_Feb2"/>
      <sheetName val="CRM_Jan2"/>
      <sheetName val="Invoice_details1"/>
      <sheetName val="Budget_11-121"/>
      <sheetName val="Cal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ACCOUNTS "/>
      <sheetName val="LINK GAP"/>
      <sheetName val="SBU_ACCOUNTS_"/>
      <sheetName val="SBU_ACCOUNTS_1"/>
      <sheetName val="LINK_GAP"/>
      <sheetName val="Exp"/>
      <sheetName val="PNL"/>
    </sheetNames>
    <sheetDataSet>
      <sheetData sheetId="0" refreshError="1">
        <row r="49">
          <cell r="O49">
            <v>0</v>
          </cell>
        </row>
      </sheetData>
      <sheetData sheetId="1" refreshError="1"/>
      <sheetData sheetId="2" refreshError="1"/>
      <sheetData sheetId="3">
        <row r="49">
          <cell r="O49">
            <v>0</v>
          </cell>
        </row>
      </sheetData>
      <sheetData sheetId="4"/>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stimate"/>
      <sheetName val="Financials -Jan 03-Mar04"/>
      <sheetName val="SBU ACCOUNTS "/>
    </sheetNames>
    <sheetDataSet>
      <sheetData sheetId="0" refreshError="1">
        <row r="2">
          <cell r="A2" t="str">
            <v>CHHQOUGM001</v>
          </cell>
        </row>
        <row r="3">
          <cell r="A3" t="str">
            <v>SIELMLE7004</v>
          </cell>
        </row>
        <row r="4">
          <cell r="A4" t="str">
            <v>CHHQOUGM002</v>
          </cell>
        </row>
        <row r="5">
          <cell r="A5" t="str">
            <v>CHHQMSMS001</v>
          </cell>
        </row>
        <row r="6">
          <cell r="A6" t="str">
            <v>SIELAUAL001</v>
          </cell>
        </row>
        <row r="7">
          <cell r="A7" t="str">
            <v>SIELAUAL002</v>
          </cell>
        </row>
        <row r="8">
          <cell r="A8" t="str">
            <v>SIELAUAL003</v>
          </cell>
        </row>
        <row r="9">
          <cell r="A9" t="str">
            <v>SIELAUAL004</v>
          </cell>
        </row>
        <row r="10">
          <cell r="A10" t="str">
            <v>SIELAUAL005</v>
          </cell>
        </row>
        <row r="11">
          <cell r="A11" t="str">
            <v>SIELAUAL006</v>
          </cell>
        </row>
        <row r="12">
          <cell r="A12" t="str">
            <v>SIELAUAL007</v>
          </cell>
        </row>
        <row r="13">
          <cell r="A13" t="str">
            <v>SIELAUAL008</v>
          </cell>
        </row>
        <row r="14">
          <cell r="A14" t="str">
            <v>SIELAUAL009</v>
          </cell>
        </row>
        <row r="15">
          <cell r="A15" t="str">
            <v>SIELAUAL010</v>
          </cell>
        </row>
        <row r="16">
          <cell r="A16" t="str">
            <v>SIELAUAL011</v>
          </cell>
        </row>
        <row r="17">
          <cell r="A17" t="str">
            <v>SIELAUAL012</v>
          </cell>
        </row>
        <row r="18">
          <cell r="A18" t="str">
            <v>SIELAUAL013</v>
          </cell>
        </row>
        <row r="19">
          <cell r="A19" t="str">
            <v>SIELNOFT001</v>
          </cell>
        </row>
        <row r="20">
          <cell r="A20" t="str">
            <v>SIELITAL001</v>
          </cell>
        </row>
        <row r="21">
          <cell r="A21" t="str">
            <v>SIELMLC1001</v>
          </cell>
        </row>
        <row r="22">
          <cell r="A22" t="str">
            <v>SIELMLC1002</v>
          </cell>
        </row>
        <row r="23">
          <cell r="A23" t="str">
            <v>SIELMLC1003</v>
          </cell>
        </row>
        <row r="24">
          <cell r="A24" t="str">
            <v>SIELMLC1004</v>
          </cell>
        </row>
        <row r="25">
          <cell r="A25" t="str">
            <v>SIELMLC1005</v>
          </cell>
        </row>
        <row r="26">
          <cell r="A26" t="str">
            <v>SIELMLC1006</v>
          </cell>
        </row>
        <row r="27">
          <cell r="A27" t="str">
            <v>SIELMLC1007</v>
          </cell>
        </row>
        <row r="28">
          <cell r="A28" t="str">
            <v>SIELMLOU001</v>
          </cell>
        </row>
        <row r="29">
          <cell r="A29" t="str">
            <v>SIELMLOU002</v>
          </cell>
        </row>
        <row r="30">
          <cell r="A30" t="str">
            <v>SIELMLOU003</v>
          </cell>
        </row>
        <row r="31">
          <cell r="A31" t="str">
            <v>SIELMLOU004</v>
          </cell>
        </row>
        <row r="32">
          <cell r="A32" t="str">
            <v>SIELMLOU005</v>
          </cell>
        </row>
        <row r="33">
          <cell r="A33" t="str">
            <v>SIELMLOU006</v>
          </cell>
        </row>
        <row r="34">
          <cell r="A34" t="str">
            <v>SIELMLOU007</v>
          </cell>
        </row>
        <row r="35">
          <cell r="A35" t="str">
            <v>SIELMLOU008</v>
          </cell>
        </row>
        <row r="36">
          <cell r="A36" t="str">
            <v>SIELMOAL001</v>
          </cell>
        </row>
        <row r="37">
          <cell r="A37" t="str">
            <v>SIELMOAL002</v>
          </cell>
        </row>
        <row r="38">
          <cell r="A38" t="str">
            <v>SIELMOAL003</v>
          </cell>
        </row>
        <row r="39">
          <cell r="A39" t="str">
            <v>SIELMOAL004</v>
          </cell>
        </row>
        <row r="40">
          <cell r="A40" t="str">
            <v>SIELMOAL005</v>
          </cell>
        </row>
        <row r="41">
          <cell r="A41" t="str">
            <v>SIELMOAL006</v>
          </cell>
        </row>
        <row r="42">
          <cell r="A42" t="str">
            <v>SIELMOAL007</v>
          </cell>
        </row>
        <row r="43">
          <cell r="A43" t="str">
            <v>SIELMOAL008</v>
          </cell>
        </row>
        <row r="44">
          <cell r="A44" t="str">
            <v>SIELMOMB001</v>
          </cell>
        </row>
        <row r="45">
          <cell r="A45" t="str">
            <v>SIELMOMB002</v>
          </cell>
        </row>
        <row r="46">
          <cell r="A46" t="str">
            <v>SIELMOMB003</v>
          </cell>
        </row>
        <row r="47">
          <cell r="A47" t="str">
            <v>SIELMOMB004</v>
          </cell>
        </row>
        <row r="48">
          <cell r="A48" t="str">
            <v>SIELMOMB006</v>
          </cell>
        </row>
        <row r="49">
          <cell r="A49" t="str">
            <v>SIELMOMB007</v>
          </cell>
        </row>
        <row r="50">
          <cell r="A50" t="str">
            <v>SIELMOMB008</v>
          </cell>
        </row>
        <row r="51">
          <cell r="A51" t="str">
            <v>SIELMOMB009</v>
          </cell>
        </row>
        <row r="52">
          <cell r="A52" t="str">
            <v>SIELMOMB010</v>
          </cell>
        </row>
        <row r="53">
          <cell r="A53" t="str">
            <v>SIELMOMB011</v>
          </cell>
        </row>
        <row r="54">
          <cell r="A54" t="str">
            <v>SIELMOMB012</v>
          </cell>
        </row>
        <row r="55">
          <cell r="A55" t="str">
            <v>SIELMOMB013</v>
          </cell>
        </row>
        <row r="56">
          <cell r="A56" t="str">
            <v>SIELMOMB014</v>
          </cell>
        </row>
        <row r="57">
          <cell r="A57" t="str">
            <v>SIELMOMB015</v>
          </cell>
        </row>
        <row r="58">
          <cell r="A58" t="str">
            <v>SIELMOOU001</v>
          </cell>
        </row>
        <row r="59">
          <cell r="A59" t="str">
            <v>SIELSSKJ001</v>
          </cell>
        </row>
        <row r="60">
          <cell r="A60" t="str">
            <v>SIELSSKJ002</v>
          </cell>
        </row>
        <row r="61">
          <cell r="A61" t="str">
            <v>TRITALCO001</v>
          </cell>
        </row>
        <row r="62">
          <cell r="A62" t="str">
            <v>SIELMLC1008</v>
          </cell>
        </row>
        <row r="63">
          <cell r="A63" t="str">
            <v>SIELMLC1009</v>
          </cell>
        </row>
        <row r="64">
          <cell r="A64" t="str">
            <v>SIELMLC1010</v>
          </cell>
        </row>
        <row r="65">
          <cell r="A65" t="str">
            <v>SIELMLC1011</v>
          </cell>
        </row>
        <row r="66">
          <cell r="A66" t="str">
            <v>SIELMLC1012</v>
          </cell>
        </row>
        <row r="67">
          <cell r="A67" t="str">
            <v>SIELMLC1013</v>
          </cell>
        </row>
        <row r="68">
          <cell r="A68" t="str">
            <v>TRITALCO002</v>
          </cell>
        </row>
        <row r="69">
          <cell r="A69" t="str">
            <v>SIELAUAL014</v>
          </cell>
        </row>
        <row r="70">
          <cell r="A70" t="str">
            <v>SIELAUAL015</v>
          </cell>
        </row>
        <row r="71">
          <cell r="A71" t="str">
            <v>SIELMLC1014</v>
          </cell>
        </row>
        <row r="72">
          <cell r="A72" t="str">
            <v>SIELMLC1015</v>
          </cell>
        </row>
        <row r="73">
          <cell r="A73" t="str">
            <v>SIELMOMB016</v>
          </cell>
        </row>
        <row r="74">
          <cell r="A74" t="str">
            <v>SIELMLOU009</v>
          </cell>
        </row>
        <row r="75">
          <cell r="A75" t="str">
            <v>SIELMLOU010</v>
          </cell>
        </row>
        <row r="76">
          <cell r="A76" t="str">
            <v>SIELMLOU011</v>
          </cell>
        </row>
        <row r="77">
          <cell r="A77" t="str">
            <v>SIELMLOU012</v>
          </cell>
        </row>
        <row r="78">
          <cell r="A78" t="str">
            <v>SIELMLOU013</v>
          </cell>
        </row>
        <row r="79">
          <cell r="A79" t="str">
            <v>SIELMLOU014</v>
          </cell>
        </row>
        <row r="80">
          <cell r="A80" t="str">
            <v>SIELMLOU015</v>
          </cell>
        </row>
        <row r="81">
          <cell r="A81" t="str">
            <v>SIELMOMB017</v>
          </cell>
        </row>
        <row r="82">
          <cell r="A82" t="str">
            <v>SIELRFCO001</v>
          </cell>
        </row>
        <row r="83">
          <cell r="A83" t="str">
            <v>SIELRFCO002</v>
          </cell>
        </row>
        <row r="84">
          <cell r="A84" t="str">
            <v>SIELAUAL016</v>
          </cell>
        </row>
        <row r="85">
          <cell r="A85" t="str">
            <v>SIELALEX001</v>
          </cell>
        </row>
        <row r="86">
          <cell r="A86" t="str">
            <v>PORTMLAL001</v>
          </cell>
        </row>
        <row r="87">
          <cell r="A87" t="str">
            <v>OGMAMLAL001</v>
          </cell>
        </row>
        <row r="88">
          <cell r="A88" t="str">
            <v>MUDRCOAL001</v>
          </cell>
        </row>
        <row r="89">
          <cell r="A89" t="str">
            <v>MUDRCOAL002</v>
          </cell>
        </row>
        <row r="90">
          <cell r="A90" t="str">
            <v>MUDRCOAL003</v>
          </cell>
        </row>
        <row r="91">
          <cell r="A91" t="str">
            <v>TRITALCO003</v>
          </cell>
        </row>
        <row r="92">
          <cell r="A92" t="str">
            <v>SIELMLC1016</v>
          </cell>
        </row>
        <row r="93">
          <cell r="A93" t="str">
            <v>SIELAUAL017</v>
          </cell>
        </row>
        <row r="94">
          <cell r="A94" t="str">
            <v>SIELCRAL001</v>
          </cell>
        </row>
        <row r="95">
          <cell r="A95" t="str">
            <v>SIELMLC1017</v>
          </cell>
        </row>
        <row r="96">
          <cell r="A96" t="str">
            <v>SIELMLC1018</v>
          </cell>
        </row>
        <row r="97">
          <cell r="A97" t="str">
            <v>SIELMOMB018</v>
          </cell>
        </row>
        <row r="98">
          <cell r="A98" t="str">
            <v>SIELMOMB019</v>
          </cell>
        </row>
        <row r="99">
          <cell r="A99" t="str">
            <v>SIELMLOU016</v>
          </cell>
        </row>
        <row r="100">
          <cell r="A100" t="str">
            <v>SIELCDAL001</v>
          </cell>
        </row>
        <row r="101">
          <cell r="A101" t="str">
            <v>SIELCDAL002</v>
          </cell>
        </row>
        <row r="102">
          <cell r="A102" t="str">
            <v>SIELMLAL001</v>
          </cell>
        </row>
        <row r="103">
          <cell r="A103" t="str">
            <v>SIELMOMB020</v>
          </cell>
        </row>
        <row r="104">
          <cell r="A104" t="str">
            <v>SIELMLC1019</v>
          </cell>
        </row>
        <row r="105">
          <cell r="A105" t="str">
            <v>SIELMLC1020</v>
          </cell>
        </row>
        <row r="106">
          <cell r="A106" t="str">
            <v>SIELMLC1021</v>
          </cell>
        </row>
        <row r="107">
          <cell r="A107" t="str">
            <v>CHHQCDML001</v>
          </cell>
        </row>
        <row r="108">
          <cell r="A108" t="str">
            <v>CHHQCDML002</v>
          </cell>
        </row>
        <row r="109">
          <cell r="A109" t="str">
            <v>CHHQCDML003</v>
          </cell>
        </row>
        <row r="110">
          <cell r="A110" t="str">
            <v>CHHQCDML004</v>
          </cell>
        </row>
        <row r="111">
          <cell r="A111" t="str">
            <v>SIELMOMB021</v>
          </cell>
        </row>
        <row r="112">
          <cell r="A112" t="str">
            <v>SIELCDAL003</v>
          </cell>
        </row>
        <row r="113">
          <cell r="A113" t="str">
            <v>SIELMLOU017</v>
          </cell>
        </row>
        <row r="114">
          <cell r="A114" t="str">
            <v>SIELMLC1022</v>
          </cell>
        </row>
        <row r="115">
          <cell r="A115" t="str">
            <v>SIELMOOU002</v>
          </cell>
        </row>
        <row r="116">
          <cell r="A116" t="str">
            <v>SIELMOMB022</v>
          </cell>
        </row>
        <row r="117">
          <cell r="A117" t="str">
            <v>SIELMLC1023</v>
          </cell>
        </row>
        <row r="118">
          <cell r="A118" t="str">
            <v>SIELMLC1024</v>
          </cell>
        </row>
        <row r="119">
          <cell r="A119" t="str">
            <v>CHHQINCN001</v>
          </cell>
        </row>
        <row r="120">
          <cell r="A120" t="str">
            <v>SIELCDAL004</v>
          </cell>
        </row>
        <row r="121">
          <cell r="A121" t="str">
            <v>SIELCDAL005</v>
          </cell>
        </row>
        <row r="122">
          <cell r="A122" t="str">
            <v>SIELRFCO003</v>
          </cell>
        </row>
        <row r="123">
          <cell r="A123" t="str">
            <v>SIELMLC1025</v>
          </cell>
        </row>
        <row r="124">
          <cell r="A124" t="str">
            <v>SIELMLE7001</v>
          </cell>
        </row>
        <row r="125">
          <cell r="A125" t="str">
            <v>SIELMOAL009</v>
          </cell>
        </row>
        <row r="126">
          <cell r="A126" t="str">
            <v>SIELCDAL006</v>
          </cell>
        </row>
        <row r="127">
          <cell r="A127" t="str">
            <v>SIELCDAL007</v>
          </cell>
        </row>
        <row r="128">
          <cell r="A128" t="str">
            <v>SIELMLOU018</v>
          </cell>
        </row>
        <row r="129">
          <cell r="A129" t="str">
            <v>SIELMLOU019</v>
          </cell>
        </row>
        <row r="130">
          <cell r="A130" t="str">
            <v>SIELMLAL002</v>
          </cell>
        </row>
        <row r="131">
          <cell r="A131" t="str">
            <v>SIELMLAL003</v>
          </cell>
        </row>
        <row r="132">
          <cell r="A132" t="str">
            <v>SIELCRAL002</v>
          </cell>
        </row>
        <row r="133">
          <cell r="A133" t="str">
            <v>SIELMLGS001</v>
          </cell>
        </row>
        <row r="134">
          <cell r="A134" t="str">
            <v>SIELMLGS002</v>
          </cell>
        </row>
        <row r="135">
          <cell r="A135" t="str">
            <v>SIELMLGS003</v>
          </cell>
        </row>
        <row r="136">
          <cell r="A136" t="str">
            <v>SIELMLGS004</v>
          </cell>
        </row>
        <row r="137">
          <cell r="A137" t="str">
            <v>SIELMLGS005</v>
          </cell>
        </row>
        <row r="138">
          <cell r="A138" t="str">
            <v>SIELMLGS006</v>
          </cell>
        </row>
        <row r="139">
          <cell r="A139" t="str">
            <v>SIELMLGS007</v>
          </cell>
        </row>
        <row r="140">
          <cell r="A140" t="str">
            <v>SAPLMLGS001</v>
          </cell>
        </row>
        <row r="141">
          <cell r="A141" t="str">
            <v>SIELGRWM001</v>
          </cell>
        </row>
        <row r="142">
          <cell r="A142" t="str">
            <v>SIELMLC1026</v>
          </cell>
        </row>
        <row r="143">
          <cell r="A143" t="str">
            <v>SIELLPAL001</v>
          </cell>
        </row>
        <row r="144">
          <cell r="A144" t="str">
            <v>SECLMLAL001</v>
          </cell>
        </row>
        <row r="145">
          <cell r="A145" t="str">
            <v>SECLMLAL002</v>
          </cell>
        </row>
        <row r="146">
          <cell r="A146" t="str">
            <v>SECLMLAL003</v>
          </cell>
        </row>
        <row r="147">
          <cell r="A147" t="str">
            <v>SECLMLAL004</v>
          </cell>
        </row>
        <row r="148">
          <cell r="A148" t="str">
            <v>CHHQCDML005</v>
          </cell>
        </row>
        <row r="149">
          <cell r="A149" t="str">
            <v>SIELAUAL018</v>
          </cell>
        </row>
        <row r="150">
          <cell r="A150" t="str">
            <v>MUDRCOAL004</v>
          </cell>
        </row>
        <row r="151">
          <cell r="A151" t="str">
            <v>MUDRCOAL005</v>
          </cell>
        </row>
        <row r="152">
          <cell r="A152" t="str">
            <v>SIELLPAL002</v>
          </cell>
        </row>
        <row r="153">
          <cell r="A153" t="str">
            <v>SIELMLAL004</v>
          </cell>
        </row>
        <row r="154">
          <cell r="A154" t="str">
            <v>SIELLPAL003</v>
          </cell>
        </row>
        <row r="155">
          <cell r="A155" t="str">
            <v>SIELLPAL004</v>
          </cell>
        </row>
        <row r="156">
          <cell r="A156" t="str">
            <v>SIELLPAL005</v>
          </cell>
        </row>
        <row r="157">
          <cell r="A157" t="str">
            <v>SIELLPAL006</v>
          </cell>
        </row>
        <row r="158">
          <cell r="A158" t="str">
            <v>SIELMLAL005</v>
          </cell>
        </row>
        <row r="159">
          <cell r="A159" t="str">
            <v>SIELLPAL007</v>
          </cell>
        </row>
        <row r="160">
          <cell r="A160" t="str">
            <v>SIELITAL002</v>
          </cell>
        </row>
        <row r="161">
          <cell r="A161" t="str">
            <v>SIELITAL003</v>
          </cell>
        </row>
        <row r="162">
          <cell r="A162" t="str">
            <v>SIELMLOU020</v>
          </cell>
        </row>
        <row r="163">
          <cell r="A163" t="str">
            <v>SIELMLOU021</v>
          </cell>
        </row>
        <row r="164">
          <cell r="A164" t="str">
            <v>SIELMLOU022</v>
          </cell>
        </row>
        <row r="165">
          <cell r="A165" t="str">
            <v>SIELLPAL009</v>
          </cell>
        </row>
        <row r="166">
          <cell r="A166" t="str">
            <v>SIELMLAL006</v>
          </cell>
        </row>
        <row r="167">
          <cell r="A167" t="str">
            <v>SIELMLC1027</v>
          </cell>
        </row>
        <row r="168">
          <cell r="A168" t="str">
            <v>SIELAUAL019</v>
          </cell>
        </row>
        <row r="169">
          <cell r="A169" t="str">
            <v>SIELITAL004</v>
          </cell>
        </row>
        <row r="170">
          <cell r="A170" t="str">
            <v>SIELITAL005</v>
          </cell>
        </row>
        <row r="171">
          <cell r="A171" t="str">
            <v>SIELITAL006</v>
          </cell>
        </row>
        <row r="172">
          <cell r="A172" t="str">
            <v>SIELITAL007</v>
          </cell>
        </row>
        <row r="173">
          <cell r="A173" t="str">
            <v>SIELCDAL008</v>
          </cell>
        </row>
        <row r="174">
          <cell r="A174" t="str">
            <v>SIELACAL001</v>
          </cell>
        </row>
        <row r="175">
          <cell r="A175" t="str">
            <v>SIELACAL002</v>
          </cell>
        </row>
        <row r="176">
          <cell r="A176" t="str">
            <v>SIELAUAL020</v>
          </cell>
        </row>
        <row r="177">
          <cell r="A177" t="str">
            <v>SIELMLC1028</v>
          </cell>
        </row>
        <row r="178">
          <cell r="A178" t="str">
            <v>SIELMLC1029</v>
          </cell>
        </row>
        <row r="179">
          <cell r="A179" t="str">
            <v>SIELMLC1030</v>
          </cell>
        </row>
        <row r="180">
          <cell r="A180" t="str">
            <v>SIELMLC1031</v>
          </cell>
        </row>
        <row r="181">
          <cell r="A181" t="str">
            <v>SIELMLC1031</v>
          </cell>
        </row>
        <row r="182">
          <cell r="A182" t="str">
            <v>SIELMLC1032</v>
          </cell>
        </row>
        <row r="183">
          <cell r="A183" t="str">
            <v>SIELLPAL010</v>
          </cell>
        </row>
        <row r="184">
          <cell r="A184" t="str">
            <v>SIELITAL008</v>
          </cell>
        </row>
        <row r="185">
          <cell r="A185" t="str">
            <v>SIELMLC1033</v>
          </cell>
        </row>
        <row r="186">
          <cell r="A186" t="str">
            <v>SIELLPAL011</v>
          </cell>
        </row>
        <row r="187">
          <cell r="A187" t="str">
            <v>SIELMOAL010</v>
          </cell>
        </row>
        <row r="188">
          <cell r="A188" t="str">
            <v>SIELMLAL007</v>
          </cell>
        </row>
        <row r="189">
          <cell r="A189" t="str">
            <v>SIELMLE7002</v>
          </cell>
        </row>
        <row r="190">
          <cell r="A190" t="str">
            <v>SIELMLOU023</v>
          </cell>
        </row>
        <row r="191">
          <cell r="A191" t="str">
            <v>SIELMLOU024</v>
          </cell>
        </row>
        <row r="192">
          <cell r="A192" t="str">
            <v>SIELLPOU012</v>
          </cell>
        </row>
        <row r="193">
          <cell r="A193" t="str">
            <v>SIELCDAL009</v>
          </cell>
        </row>
        <row r="194">
          <cell r="A194" t="str">
            <v>SIELCDAL010</v>
          </cell>
        </row>
        <row r="195">
          <cell r="A195" t="str">
            <v>SIELCDAL011</v>
          </cell>
        </row>
        <row r="196">
          <cell r="A196" t="str">
            <v>SIELITAL009</v>
          </cell>
        </row>
        <row r="197">
          <cell r="A197" t="str">
            <v>SIELMLE7003</v>
          </cell>
        </row>
        <row r="198">
          <cell r="A198" t="str">
            <v>SIELAUAL021</v>
          </cell>
        </row>
        <row r="199">
          <cell r="A199" t="str">
            <v>SIELITAL010</v>
          </cell>
        </row>
        <row r="200">
          <cell r="A200" t="str">
            <v>SIELMLOU025</v>
          </cell>
        </row>
        <row r="201">
          <cell r="A201" t="str">
            <v>SIELMLOU026</v>
          </cell>
        </row>
        <row r="202">
          <cell r="A202" t="str">
            <v>SIELMLOU027</v>
          </cell>
        </row>
        <row r="203">
          <cell r="A203" t="str">
            <v>SIELMLOU028</v>
          </cell>
        </row>
        <row r="204">
          <cell r="A204" t="str">
            <v>SIELMLOU029</v>
          </cell>
        </row>
        <row r="205">
          <cell r="A205" t="str">
            <v>TRITALCO004</v>
          </cell>
        </row>
        <row r="206">
          <cell r="A206" t="str">
            <v>SIELMLC1034</v>
          </cell>
        </row>
        <row r="207">
          <cell r="A207" t="str">
            <v>SIELMLC1035</v>
          </cell>
        </row>
        <row r="208">
          <cell r="A208" t="str">
            <v>SIELMLC1036</v>
          </cell>
        </row>
        <row r="209">
          <cell r="A209" t="str">
            <v>SIELMLE7005</v>
          </cell>
        </row>
        <row r="210">
          <cell r="A210" t="str">
            <v>SIELCDAL012</v>
          </cell>
        </row>
        <row r="211">
          <cell r="A211" t="str">
            <v>SIELMLAL008</v>
          </cell>
        </row>
        <row r="212">
          <cell r="A212" t="str">
            <v>SIELAUAL022</v>
          </cell>
        </row>
        <row r="213">
          <cell r="A213" t="str">
            <v>SIELAUAL023</v>
          </cell>
        </row>
        <row r="214">
          <cell r="A214" t="str">
            <v>SIELLPOU013</v>
          </cell>
        </row>
        <row r="215">
          <cell r="A215" t="str">
            <v>SIELMLAL009</v>
          </cell>
        </row>
        <row r="216">
          <cell r="A216">
            <v>0</v>
          </cell>
        </row>
        <row r="217">
          <cell r="A217">
            <v>0</v>
          </cell>
        </row>
        <row r="218">
          <cell r="A218" t="str">
            <v>SIELSSAL001</v>
          </cell>
        </row>
        <row r="219">
          <cell r="A219" t="str">
            <v>SIELMLC1037</v>
          </cell>
        </row>
        <row r="220">
          <cell r="A220" t="str">
            <v>SIELCDAL013</v>
          </cell>
        </row>
        <row r="221">
          <cell r="A221" t="str">
            <v>SIELCTAL014</v>
          </cell>
        </row>
        <row r="222">
          <cell r="A222" t="str">
            <v>SIELCTAL015</v>
          </cell>
        </row>
        <row r="223">
          <cell r="A223" t="str">
            <v>SIELMLE7006</v>
          </cell>
        </row>
        <row r="224">
          <cell r="A224" t="str">
            <v>SIELCDAL014</v>
          </cell>
        </row>
        <row r="225">
          <cell r="A225" t="str">
            <v>SIELMLAL010</v>
          </cell>
        </row>
        <row r="226">
          <cell r="A226">
            <v>0</v>
          </cell>
        </row>
        <row r="227">
          <cell r="A227" t="str">
            <v>SIELMLAL011</v>
          </cell>
        </row>
        <row r="228">
          <cell r="A228" t="str">
            <v>SIELMLAL012</v>
          </cell>
        </row>
        <row r="229">
          <cell r="A229" t="str">
            <v>SIELMLE7007</v>
          </cell>
        </row>
        <row r="230">
          <cell r="A230" t="str">
            <v>SIELMLAL013</v>
          </cell>
        </row>
        <row r="231">
          <cell r="A231" t="str">
            <v>MUDRCOAL006</v>
          </cell>
        </row>
        <row r="232">
          <cell r="A232">
            <v>0</v>
          </cell>
        </row>
        <row r="233">
          <cell r="A233">
            <v>0</v>
          </cell>
        </row>
        <row r="234">
          <cell r="A234">
            <v>0</v>
          </cell>
        </row>
        <row r="235">
          <cell r="A235">
            <v>0</v>
          </cell>
        </row>
        <row r="236">
          <cell r="A236">
            <v>0</v>
          </cell>
        </row>
        <row r="237">
          <cell r="A237" t="str">
            <v>SIELMLOU030</v>
          </cell>
        </row>
        <row r="238">
          <cell r="A238" t="str">
            <v>SIELMLOU031</v>
          </cell>
        </row>
        <row r="239">
          <cell r="A239" t="str">
            <v>SIELMLOU032</v>
          </cell>
        </row>
        <row r="240">
          <cell r="A240" t="str">
            <v>SIELLPAL014</v>
          </cell>
        </row>
        <row r="241">
          <cell r="A241" t="str">
            <v>SIELLPAL015</v>
          </cell>
        </row>
        <row r="242">
          <cell r="A242" t="str">
            <v>SIELLPAL016</v>
          </cell>
        </row>
        <row r="243">
          <cell r="A243" t="str">
            <v>SIELLPAL017</v>
          </cell>
        </row>
        <row r="244">
          <cell r="A244" t="str">
            <v>SIELLPAL018</v>
          </cell>
        </row>
        <row r="245">
          <cell r="A245" t="str">
            <v>SIELMLS5001</v>
          </cell>
        </row>
        <row r="246">
          <cell r="A246" t="str">
            <v>SIELMLGS008</v>
          </cell>
        </row>
        <row r="247">
          <cell r="A247" t="str">
            <v>CHHQMLAL001</v>
          </cell>
        </row>
        <row r="248">
          <cell r="A248" t="str">
            <v>CHHQMLAL002</v>
          </cell>
        </row>
        <row r="249">
          <cell r="A249" t="str">
            <v>CHHQMLAL003</v>
          </cell>
        </row>
        <row r="250">
          <cell r="A250" t="str">
            <v>SIELAUAL024</v>
          </cell>
        </row>
        <row r="251">
          <cell r="A251" t="str">
            <v>SIELAUAL025</v>
          </cell>
        </row>
        <row r="252">
          <cell r="A252" t="str">
            <v>SIELLPAL019</v>
          </cell>
        </row>
        <row r="253">
          <cell r="A253" t="str">
            <v>SIELMLC1038</v>
          </cell>
        </row>
        <row r="254">
          <cell r="A254" t="str">
            <v>SIELMLC1039</v>
          </cell>
        </row>
        <row r="255">
          <cell r="A255" t="str">
            <v>SIELAUAL026</v>
          </cell>
        </row>
        <row r="256">
          <cell r="A256" t="str">
            <v>SIELAUAL027</v>
          </cell>
        </row>
        <row r="257">
          <cell r="A257" t="str">
            <v>SIELMLAL014</v>
          </cell>
        </row>
        <row r="258">
          <cell r="A258" t="str">
            <v>SIELLPAL020</v>
          </cell>
        </row>
        <row r="259">
          <cell r="A259" t="str">
            <v>SIELLPAL021</v>
          </cell>
        </row>
        <row r="260">
          <cell r="A260" t="str">
            <v>SIELCTAL016</v>
          </cell>
        </row>
        <row r="261">
          <cell r="A261" t="str">
            <v>SIELMLAL015</v>
          </cell>
        </row>
        <row r="262">
          <cell r="A262" t="str">
            <v>SIELLPAL022</v>
          </cell>
        </row>
        <row r="263">
          <cell r="A263" t="str">
            <v>SIELLPAL023</v>
          </cell>
        </row>
        <row r="264">
          <cell r="A264" t="str">
            <v>SIELMLE7008</v>
          </cell>
        </row>
        <row r="265">
          <cell r="A265" t="str">
            <v>SIELMLR2016</v>
          </cell>
        </row>
        <row r="266">
          <cell r="A266" t="str">
            <v>SIELMLR2017</v>
          </cell>
        </row>
        <row r="267">
          <cell r="A267">
            <v>0</v>
          </cell>
        </row>
        <row r="268">
          <cell r="A268" t="str">
            <v>SIELPRAL001</v>
          </cell>
        </row>
        <row r="269">
          <cell r="A269" t="str">
            <v>SIELMLE7009</v>
          </cell>
        </row>
        <row r="270">
          <cell r="A270" t="str">
            <v>SIELLPAL024</v>
          </cell>
        </row>
        <row r="271">
          <cell r="A271" t="str">
            <v>SIELACAL003</v>
          </cell>
        </row>
        <row r="272">
          <cell r="A272" t="str">
            <v>SIELCTAL017</v>
          </cell>
        </row>
        <row r="273">
          <cell r="A273" t="str">
            <v>MUDRCOAL007</v>
          </cell>
        </row>
        <row r="274">
          <cell r="A274" t="str">
            <v>SIELACAL004</v>
          </cell>
        </row>
        <row r="275">
          <cell r="A275" t="str">
            <v>SIELMLS5002</v>
          </cell>
        </row>
        <row r="276">
          <cell r="A276" t="str">
            <v>SIELMLS5002</v>
          </cell>
        </row>
        <row r="277">
          <cell r="A277" t="str">
            <v>SIELMLAL016</v>
          </cell>
        </row>
        <row r="278">
          <cell r="A278" t="str">
            <v>SIELACAL005</v>
          </cell>
        </row>
        <row r="279">
          <cell r="A279" t="str">
            <v>MUDRCOAL008</v>
          </cell>
        </row>
        <row r="280">
          <cell r="A280" t="str">
            <v>SIELACAL006</v>
          </cell>
        </row>
        <row r="281">
          <cell r="A281" t="str">
            <v>SIELMLS5003</v>
          </cell>
        </row>
        <row r="282">
          <cell r="A282" t="str">
            <v>SIELMLS5004</v>
          </cell>
        </row>
        <row r="283">
          <cell r="A283" t="str">
            <v>SIELMLOU033</v>
          </cell>
        </row>
        <row r="284">
          <cell r="A284" t="str">
            <v>SIELMLC1040</v>
          </cell>
        </row>
        <row r="285">
          <cell r="A285" t="str">
            <v>SIELCTAL018</v>
          </cell>
        </row>
        <row r="286">
          <cell r="A286" t="str">
            <v>SIELMLC1041</v>
          </cell>
        </row>
        <row r="287">
          <cell r="A287" t="str">
            <v>SIELMLC1042</v>
          </cell>
        </row>
        <row r="288">
          <cell r="A288" t="str">
            <v>SIELPRAL002</v>
          </cell>
        </row>
        <row r="289">
          <cell r="A289" t="str">
            <v>SIELCTAL019</v>
          </cell>
        </row>
        <row r="290">
          <cell r="A290" t="str">
            <v>SIELPRAL003</v>
          </cell>
        </row>
        <row r="291">
          <cell r="A291" t="str">
            <v>SIELMLAL017</v>
          </cell>
        </row>
        <row r="292">
          <cell r="A292" t="str">
            <v>SIELLPAL025</v>
          </cell>
        </row>
        <row r="293">
          <cell r="A293" t="str">
            <v>SIELDVDAL001</v>
          </cell>
        </row>
        <row r="294">
          <cell r="A294" t="str">
            <v>SIELMLC1043</v>
          </cell>
        </row>
        <row r="295">
          <cell r="A295" t="str">
            <v>SIELMLE7010</v>
          </cell>
        </row>
        <row r="296">
          <cell r="A296" t="str">
            <v>SIELMLE7011</v>
          </cell>
        </row>
        <row r="297">
          <cell r="A297" t="str">
            <v>SIEL MOAL001</v>
          </cell>
        </row>
        <row r="298">
          <cell r="A298" t="str">
            <v>SIELMLS5005</v>
          </cell>
        </row>
        <row r="299">
          <cell r="A299" t="str">
            <v>SIELMLS5006</v>
          </cell>
        </row>
        <row r="300">
          <cell r="A300" t="str">
            <v>SIELLPAL026</v>
          </cell>
        </row>
        <row r="301">
          <cell r="A301" t="str">
            <v>SIELCTAL020</v>
          </cell>
        </row>
        <row r="302">
          <cell r="A302" t="str">
            <v>SIELACAL007</v>
          </cell>
        </row>
        <row r="303">
          <cell r="A303" t="str">
            <v>SIELMLE7012</v>
          </cell>
        </row>
        <row r="304">
          <cell r="A304" t="str">
            <v>SIELMLE7013</v>
          </cell>
        </row>
        <row r="305">
          <cell r="A305" t="str">
            <v>SIELACAL008</v>
          </cell>
        </row>
        <row r="306">
          <cell r="A306" t="str">
            <v>SIELACAL009</v>
          </cell>
        </row>
        <row r="307">
          <cell r="A307" t="str">
            <v>SIELMLC1044</v>
          </cell>
        </row>
        <row r="308">
          <cell r="A308" t="str">
            <v>SIELMLC1045</v>
          </cell>
        </row>
        <row r="309">
          <cell r="A309" t="str">
            <v>SIELMLC1046</v>
          </cell>
        </row>
        <row r="310">
          <cell r="A310" t="str">
            <v>SIELMLC1047</v>
          </cell>
        </row>
        <row r="311">
          <cell r="A311" t="str">
            <v>SIELLPAL027</v>
          </cell>
        </row>
        <row r="312">
          <cell r="A312" t="str">
            <v>SIELACAL010</v>
          </cell>
        </row>
        <row r="313">
          <cell r="A313" t="str">
            <v>SIELMLC1048</v>
          </cell>
        </row>
        <row r="314">
          <cell r="A314" t="str">
            <v>SIELMLC1049</v>
          </cell>
        </row>
        <row r="315">
          <cell r="A315" t="str">
            <v>SIELMLOU034</v>
          </cell>
        </row>
        <row r="316">
          <cell r="A316" t="str">
            <v>SIELMLOU035</v>
          </cell>
        </row>
        <row r="317">
          <cell r="A317" t="str">
            <v>SIELMLAL018</v>
          </cell>
        </row>
        <row r="318">
          <cell r="A318" t="str">
            <v>SIELMLAL019</v>
          </cell>
        </row>
        <row r="319">
          <cell r="A319" t="str">
            <v>SIELMLAL020</v>
          </cell>
        </row>
        <row r="320">
          <cell r="A320">
            <v>0</v>
          </cell>
        </row>
        <row r="321">
          <cell r="A321" t="str">
            <v>SAPLCTAL001</v>
          </cell>
        </row>
        <row r="322">
          <cell r="A322" t="str">
            <v>SAPLCTAL002</v>
          </cell>
        </row>
        <row r="323">
          <cell r="A323" t="str">
            <v>SIELMLC1050</v>
          </cell>
        </row>
        <row r="324">
          <cell r="A324" t="str">
            <v>SIELMLC1051</v>
          </cell>
        </row>
        <row r="325">
          <cell r="A325" t="str">
            <v>SIELMLAL021</v>
          </cell>
        </row>
        <row r="326">
          <cell r="A326" t="str">
            <v>SIELMLAL022</v>
          </cell>
        </row>
        <row r="327">
          <cell r="A327" t="str">
            <v>SIELACAL011</v>
          </cell>
        </row>
        <row r="328">
          <cell r="A328" t="str">
            <v>SIELCTAL021</v>
          </cell>
        </row>
        <row r="329">
          <cell r="A329" t="str">
            <v>SIELCTAL022</v>
          </cell>
        </row>
        <row r="330">
          <cell r="A330" t="str">
            <v>SIELMLAL023</v>
          </cell>
        </row>
        <row r="331">
          <cell r="A331" t="str">
            <v>SIELCTAL023</v>
          </cell>
        </row>
        <row r="332">
          <cell r="A332" t="str">
            <v>SIELPRAL004</v>
          </cell>
        </row>
        <row r="333">
          <cell r="A333" t="str">
            <v>SIELPRAL005</v>
          </cell>
        </row>
        <row r="334">
          <cell r="A334" t="str">
            <v>SIELCDRW015</v>
          </cell>
        </row>
        <row r="335">
          <cell r="A335">
            <v>0</v>
          </cell>
        </row>
        <row r="336">
          <cell r="A336" t="str">
            <v>SIELMLE7014</v>
          </cell>
        </row>
        <row r="337">
          <cell r="A337">
            <v>0</v>
          </cell>
        </row>
        <row r="338">
          <cell r="A338" t="str">
            <v>SIELPRAL006</v>
          </cell>
        </row>
        <row r="339">
          <cell r="A339" t="str">
            <v>SIELCTAL024</v>
          </cell>
        </row>
        <row r="340">
          <cell r="A340" t="str">
            <v>SIELMLC1052</v>
          </cell>
        </row>
        <row r="341">
          <cell r="A341" t="str">
            <v>SIELMLC1053</v>
          </cell>
        </row>
        <row r="342">
          <cell r="A342" t="str">
            <v>SIELMLS5007</v>
          </cell>
        </row>
        <row r="343">
          <cell r="A343" t="str">
            <v>SIELMLS5008</v>
          </cell>
        </row>
        <row r="344">
          <cell r="A344" t="str">
            <v>SIELMLAL024</v>
          </cell>
        </row>
        <row r="345">
          <cell r="A345" t="str">
            <v>SIELMLAL025</v>
          </cell>
        </row>
        <row r="346">
          <cell r="A346" t="str">
            <v>SIELMLC1054</v>
          </cell>
        </row>
        <row r="347">
          <cell r="A347" t="str">
            <v>SIELMLC1055</v>
          </cell>
        </row>
        <row r="348">
          <cell r="A348" t="str">
            <v>SIELMLC1056</v>
          </cell>
        </row>
        <row r="349">
          <cell r="A349" t="str">
            <v>SIELCDRW016</v>
          </cell>
        </row>
        <row r="350">
          <cell r="A350" t="str">
            <v>SIELCTAL025</v>
          </cell>
        </row>
        <row r="351">
          <cell r="A351" t="str">
            <v>SIELLPAL028</v>
          </cell>
        </row>
        <row r="352">
          <cell r="A352" t="str">
            <v>MUDRCOAL009</v>
          </cell>
        </row>
        <row r="353">
          <cell r="A353" t="str">
            <v>SIELACAL012</v>
          </cell>
        </row>
        <row r="354">
          <cell r="A354" t="str">
            <v>SIELCTAL026</v>
          </cell>
        </row>
        <row r="355">
          <cell r="A355" t="str">
            <v>SIELCTAL027</v>
          </cell>
        </row>
        <row r="356">
          <cell r="A356" t="str">
            <v>SIELMLS5009</v>
          </cell>
        </row>
        <row r="357">
          <cell r="A357" t="str">
            <v>SIELMLS5010</v>
          </cell>
        </row>
        <row r="358">
          <cell r="A358">
            <v>0</v>
          </cell>
        </row>
        <row r="359">
          <cell r="A359" t="str">
            <v>SIELCDRW017</v>
          </cell>
        </row>
        <row r="360">
          <cell r="A360" t="str">
            <v>SIELMLX4001</v>
          </cell>
        </row>
        <row r="361">
          <cell r="A361" t="str">
            <v>SIELMLX4002</v>
          </cell>
        </row>
        <row r="362">
          <cell r="A362" t="str">
            <v>SIELMLX1001</v>
          </cell>
        </row>
        <row r="363">
          <cell r="A363" t="str">
            <v>SIELMLX1002</v>
          </cell>
        </row>
        <row r="364">
          <cell r="A364" t="str">
            <v>SIELMLC1057</v>
          </cell>
        </row>
        <row r="365">
          <cell r="A365" t="str">
            <v>SIELMLC1058</v>
          </cell>
        </row>
        <row r="366">
          <cell r="A366" t="str">
            <v>SIELMLC1059</v>
          </cell>
        </row>
        <row r="367">
          <cell r="A367" t="str">
            <v>SIELMLC1060</v>
          </cell>
        </row>
        <row r="368">
          <cell r="A368" t="str">
            <v>SIELMLCD001</v>
          </cell>
        </row>
        <row r="369">
          <cell r="A369" t="str">
            <v>SIELPRAL007</v>
          </cell>
        </row>
        <row r="370">
          <cell r="A370" t="str">
            <v>SIELPRAL008</v>
          </cell>
        </row>
        <row r="371">
          <cell r="A371" t="str">
            <v>SIELPRAL009</v>
          </cell>
        </row>
        <row r="372">
          <cell r="A372">
            <v>0</v>
          </cell>
        </row>
        <row r="373">
          <cell r="A373" t="str">
            <v>SIELPRAL010</v>
          </cell>
        </row>
        <row r="374">
          <cell r="A374" t="str">
            <v>SIELMLS5011</v>
          </cell>
        </row>
        <row r="375">
          <cell r="A375" t="str">
            <v>SIELMLAL026</v>
          </cell>
        </row>
        <row r="376">
          <cell r="A376" t="str">
            <v>SIELCRAL003</v>
          </cell>
        </row>
        <row r="377">
          <cell r="A377" t="str">
            <v>SIELMLC1061</v>
          </cell>
        </row>
        <row r="378">
          <cell r="A378" t="str">
            <v>SIELPRAL011</v>
          </cell>
        </row>
        <row r="379">
          <cell r="A379" t="str">
            <v>SIELPRAL012</v>
          </cell>
        </row>
        <row r="380">
          <cell r="A380" t="str">
            <v>SIELPRAL013</v>
          </cell>
        </row>
        <row r="381">
          <cell r="A381" t="str">
            <v>SIELMLAL027</v>
          </cell>
        </row>
        <row r="382">
          <cell r="A382" t="str">
            <v>SIELMLAL028</v>
          </cell>
        </row>
        <row r="383">
          <cell r="A383" t="str">
            <v>SIELMLCD002</v>
          </cell>
        </row>
        <row r="384">
          <cell r="A384" t="str">
            <v>MUDRCOAL010</v>
          </cell>
        </row>
        <row r="385">
          <cell r="A385" t="str">
            <v>SIELMLC1062</v>
          </cell>
        </row>
        <row r="386">
          <cell r="A386" t="str">
            <v>SIELMLC1063</v>
          </cell>
        </row>
        <row r="387">
          <cell r="A387" t="str">
            <v>CHHQMLOT001</v>
          </cell>
        </row>
        <row r="388">
          <cell r="A388" t="str">
            <v>SIELMLOU036</v>
          </cell>
        </row>
        <row r="389">
          <cell r="A389" t="str">
            <v>SIELMLOU037</v>
          </cell>
        </row>
        <row r="390">
          <cell r="A390" t="str">
            <v>SIELSSAL002</v>
          </cell>
        </row>
        <row r="391">
          <cell r="A391" t="str">
            <v>SIELACAL013</v>
          </cell>
        </row>
        <row r="392">
          <cell r="A392" t="str">
            <v>SIELCTAL028</v>
          </cell>
        </row>
        <row r="393">
          <cell r="A393" t="str">
            <v>SIELMLX1003</v>
          </cell>
        </row>
        <row r="394">
          <cell r="A394" t="str">
            <v>SIELMLE7015</v>
          </cell>
        </row>
        <row r="395">
          <cell r="A395" t="str">
            <v>SIELCTAL029</v>
          </cell>
        </row>
        <row r="396">
          <cell r="A396" t="str">
            <v>SIELCTAL030</v>
          </cell>
        </row>
        <row r="397">
          <cell r="A397" t="str">
            <v>SIELACAL014</v>
          </cell>
        </row>
        <row r="398">
          <cell r="A398" t="str">
            <v>SIELCRAL004</v>
          </cell>
        </row>
        <row r="399">
          <cell r="A399" t="str">
            <v>SIELMLAL029</v>
          </cell>
        </row>
        <row r="400">
          <cell r="A400" t="str">
            <v>SIELMLAL030</v>
          </cell>
        </row>
        <row r="401">
          <cell r="A401" t="str">
            <v>SIELMLAL031</v>
          </cell>
        </row>
        <row r="402">
          <cell r="A402" t="str">
            <v>SIELMLAL032</v>
          </cell>
        </row>
        <row r="403">
          <cell r="A403" t="str">
            <v>SIELMLS5012</v>
          </cell>
        </row>
        <row r="404">
          <cell r="A404" t="str">
            <v>SIELMLS5013</v>
          </cell>
        </row>
        <row r="405">
          <cell r="A405" t="str">
            <v>SIELLPAL029</v>
          </cell>
        </row>
        <row r="406">
          <cell r="A406" t="str">
            <v>SIELLPAL030</v>
          </cell>
        </row>
        <row r="407">
          <cell r="A407" t="str">
            <v>SIELACAL015</v>
          </cell>
        </row>
        <row r="408">
          <cell r="A408" t="str">
            <v>SIELMLS5014</v>
          </cell>
        </row>
        <row r="409">
          <cell r="A409" t="str">
            <v>SIELMLE7016</v>
          </cell>
        </row>
        <row r="410">
          <cell r="A410" t="str">
            <v>SIELMLC1064</v>
          </cell>
        </row>
        <row r="411">
          <cell r="A411">
            <v>0</v>
          </cell>
        </row>
        <row r="412">
          <cell r="A412" t="str">
            <v>SIELMLX6001</v>
          </cell>
        </row>
        <row r="413">
          <cell r="A413" t="str">
            <v>SIELCTAL031</v>
          </cell>
        </row>
        <row r="414">
          <cell r="A414" t="str">
            <v>SIELMLX1004</v>
          </cell>
        </row>
        <row r="415">
          <cell r="A415" t="str">
            <v>SIELMLX1005</v>
          </cell>
        </row>
        <row r="416">
          <cell r="A416" t="str">
            <v>SIELACAL016</v>
          </cell>
        </row>
        <row r="417">
          <cell r="A417" t="str">
            <v>SIELCTAL032</v>
          </cell>
        </row>
        <row r="418">
          <cell r="A418" t="str">
            <v>SIELACAL017</v>
          </cell>
        </row>
        <row r="419">
          <cell r="A419" t="str">
            <v>SIELMLX6002</v>
          </cell>
        </row>
        <row r="420">
          <cell r="A420" t="str">
            <v>SIELMLAL033</v>
          </cell>
        </row>
        <row r="421">
          <cell r="A421" t="str">
            <v>SIELMLX1006</v>
          </cell>
        </row>
        <row r="422">
          <cell r="A422" t="str">
            <v>SIELMLX1007</v>
          </cell>
        </row>
        <row r="423">
          <cell r="A423" t="str">
            <v>SIELCRAL005</v>
          </cell>
        </row>
        <row r="424">
          <cell r="A424" t="str">
            <v>SIELACAL018</v>
          </cell>
        </row>
        <row r="425">
          <cell r="A425" t="str">
            <v>SIELCDRW018</v>
          </cell>
        </row>
        <row r="426">
          <cell r="A426" t="str">
            <v>SIELCDRW019</v>
          </cell>
        </row>
        <row r="427">
          <cell r="A427" t="str">
            <v>SIELACAL019</v>
          </cell>
        </row>
        <row r="428">
          <cell r="A428" t="str">
            <v>SIELACAL020</v>
          </cell>
        </row>
        <row r="429">
          <cell r="A429" t="str">
            <v>SIELCTAL033</v>
          </cell>
        </row>
        <row r="430">
          <cell r="A430" t="str">
            <v>SIELCTAL034</v>
          </cell>
        </row>
        <row r="431">
          <cell r="A431" t="str">
            <v>SIELCTAL035</v>
          </cell>
        </row>
        <row r="432">
          <cell r="A432">
            <v>0</v>
          </cell>
        </row>
        <row r="433">
          <cell r="A433">
            <v>0</v>
          </cell>
        </row>
        <row r="434">
          <cell r="A434" t="str">
            <v>SIELMLAL034</v>
          </cell>
        </row>
        <row r="435">
          <cell r="A435" t="str">
            <v>SIELMLAL035</v>
          </cell>
        </row>
        <row r="436">
          <cell r="A436" t="str">
            <v>SIELCTAL036</v>
          </cell>
        </row>
        <row r="437">
          <cell r="A437" t="str">
            <v>SIELCTAL037</v>
          </cell>
        </row>
        <row r="438">
          <cell r="A438" t="str">
            <v>SIELCTAL038</v>
          </cell>
        </row>
        <row r="439">
          <cell r="A439" t="str">
            <v>SIELCTAL039</v>
          </cell>
        </row>
        <row r="440">
          <cell r="A440" t="str">
            <v>SIELMLAL036</v>
          </cell>
        </row>
        <row r="441">
          <cell r="A441" t="str">
            <v>SIELMLX6003</v>
          </cell>
        </row>
        <row r="442">
          <cell r="A442" t="str">
            <v>SIELMLX6004</v>
          </cell>
        </row>
        <row r="443">
          <cell r="A443" t="str">
            <v>SIELMLX6005</v>
          </cell>
        </row>
        <row r="444">
          <cell r="A444" t="str">
            <v>SIELAUAL028</v>
          </cell>
        </row>
        <row r="445">
          <cell r="A445" t="str">
            <v>SIELAUAL029</v>
          </cell>
        </row>
        <row r="446">
          <cell r="A446" t="str">
            <v>SIELAUAL030</v>
          </cell>
        </row>
        <row r="447">
          <cell r="A447" t="str">
            <v>SIELAUAL031</v>
          </cell>
        </row>
        <row r="448">
          <cell r="A448" t="str">
            <v>SIELMLX6006</v>
          </cell>
        </row>
        <row r="449">
          <cell r="A449" t="str">
            <v>SIELMLX6007</v>
          </cell>
        </row>
        <row r="450">
          <cell r="A450" t="str">
            <v>SIELMLX6008</v>
          </cell>
        </row>
        <row r="451">
          <cell r="A451" t="str">
            <v>CHHQMLOT002</v>
          </cell>
        </row>
        <row r="452">
          <cell r="A452" t="str">
            <v>CHHQMLOT003</v>
          </cell>
        </row>
        <row r="453">
          <cell r="A453" t="str">
            <v>CHHQMLOT004</v>
          </cell>
        </row>
        <row r="454">
          <cell r="A454" t="str">
            <v>SIELLPAL031</v>
          </cell>
        </row>
        <row r="455">
          <cell r="A455" t="str">
            <v>SIELCTAL040</v>
          </cell>
        </row>
        <row r="456">
          <cell r="A456" t="str">
            <v>SIELCTAL041</v>
          </cell>
        </row>
        <row r="457">
          <cell r="A457" t="str">
            <v>SIELMLAL037</v>
          </cell>
        </row>
        <row r="458">
          <cell r="A458" t="str">
            <v>SIELMLAL038</v>
          </cell>
        </row>
        <row r="459">
          <cell r="A459" t="str">
            <v>SIELCTAL042</v>
          </cell>
        </row>
        <row r="460">
          <cell r="A460" t="str">
            <v>SIELCTAL043</v>
          </cell>
        </row>
        <row r="461">
          <cell r="A461" t="str">
            <v>SIELCTAL044</v>
          </cell>
        </row>
        <row r="462">
          <cell r="A462" t="str">
            <v>SIELCTAL045</v>
          </cell>
        </row>
        <row r="463">
          <cell r="A463" t="str">
            <v>SIELMLAL039</v>
          </cell>
        </row>
        <row r="464">
          <cell r="A464" t="str">
            <v>SIELAUAL032</v>
          </cell>
        </row>
        <row r="465">
          <cell r="A465" t="str">
            <v>SIELACAL021</v>
          </cell>
        </row>
        <row r="466">
          <cell r="A466" t="str">
            <v>SIELCTAL046</v>
          </cell>
        </row>
        <row r="467">
          <cell r="A467" t="str">
            <v>SIELCTAL047</v>
          </cell>
        </row>
        <row r="468">
          <cell r="A468" t="str">
            <v>SIELMLX6009</v>
          </cell>
        </row>
        <row r="469">
          <cell r="A469" t="str">
            <v>SIELMLAL040</v>
          </cell>
        </row>
        <row r="470">
          <cell r="A470" t="str">
            <v>SIELCTAL048</v>
          </cell>
        </row>
        <row r="471">
          <cell r="A471" t="str">
            <v>SIELACAL022</v>
          </cell>
        </row>
        <row r="472">
          <cell r="A472" t="str">
            <v>SIELMLAL041</v>
          </cell>
        </row>
        <row r="473">
          <cell r="A473" t="str">
            <v>SIELMLX6010</v>
          </cell>
        </row>
        <row r="474">
          <cell r="A474" t="str">
            <v>SIELMLAL042</v>
          </cell>
        </row>
        <row r="475">
          <cell r="A475" t="str">
            <v>SIELMLAL043</v>
          </cell>
        </row>
        <row r="476">
          <cell r="A476" t="str">
            <v>SIELMLAL044</v>
          </cell>
        </row>
        <row r="477">
          <cell r="A477" t="str">
            <v>SIELMLAL045</v>
          </cell>
        </row>
        <row r="478">
          <cell r="A478" t="str">
            <v>SIELMLAL046</v>
          </cell>
        </row>
        <row r="479">
          <cell r="A479" t="str">
            <v>SIELCTAL049</v>
          </cell>
        </row>
        <row r="480">
          <cell r="A480" t="str">
            <v>SIELPRAL014</v>
          </cell>
        </row>
        <row r="481">
          <cell r="A481" t="str">
            <v>SIELCRAL006</v>
          </cell>
        </row>
        <row r="482">
          <cell r="A482" t="str">
            <v>SIELMLAL047</v>
          </cell>
        </row>
        <row r="483">
          <cell r="A483" t="str">
            <v>SIELMLAL048</v>
          </cell>
        </row>
        <row r="484">
          <cell r="A484" t="str">
            <v>SIELMLAL049</v>
          </cell>
        </row>
        <row r="485">
          <cell r="A485" t="str">
            <v>SIELMLAL050</v>
          </cell>
        </row>
        <row r="486">
          <cell r="A486" t="str">
            <v>SIELCDRW020</v>
          </cell>
        </row>
        <row r="487">
          <cell r="A487" t="str">
            <v>SIEL MOAL012</v>
          </cell>
        </row>
        <row r="488">
          <cell r="A488" t="str">
            <v>SIEL MOAL013</v>
          </cell>
        </row>
        <row r="489">
          <cell r="A489" t="str">
            <v>SIELPRAL015</v>
          </cell>
        </row>
        <row r="490">
          <cell r="A490" t="str">
            <v>SIELACAL023</v>
          </cell>
        </row>
        <row r="491">
          <cell r="A491" t="str">
            <v>SIELACAL024</v>
          </cell>
        </row>
        <row r="492">
          <cell r="A492" t="str">
            <v>SIELPRAL016</v>
          </cell>
        </row>
        <row r="493">
          <cell r="A493" t="str">
            <v>SIELPRAL017</v>
          </cell>
        </row>
        <row r="494">
          <cell r="A494" t="str">
            <v>SIELMLAL051</v>
          </cell>
        </row>
        <row r="495">
          <cell r="A495" t="str">
            <v>SIELPRAL018</v>
          </cell>
        </row>
        <row r="496">
          <cell r="A496" t="str">
            <v>SIELPRAL019</v>
          </cell>
        </row>
        <row r="497">
          <cell r="A497" t="str">
            <v>SIELCTAL050</v>
          </cell>
        </row>
        <row r="498">
          <cell r="A498" t="str">
            <v>SIELACAL025</v>
          </cell>
        </row>
        <row r="499">
          <cell r="A499" t="str">
            <v>TWIIMLAL001</v>
          </cell>
        </row>
        <row r="500">
          <cell r="A500" t="str">
            <v>SIELPRAL20</v>
          </cell>
        </row>
        <row r="501">
          <cell r="A501" t="str">
            <v>SIELPRAL021</v>
          </cell>
        </row>
        <row r="502">
          <cell r="A502" t="str">
            <v>SIELMLX6011</v>
          </cell>
        </row>
        <row r="503">
          <cell r="A503" t="str">
            <v>SIELMLX6012</v>
          </cell>
        </row>
        <row r="504">
          <cell r="A504">
            <v>0</v>
          </cell>
        </row>
        <row r="505">
          <cell r="A505" t="str">
            <v>CHHQTRAL004</v>
          </cell>
        </row>
        <row r="506">
          <cell r="A506" t="str">
            <v>SIELCTAL051</v>
          </cell>
        </row>
        <row r="507">
          <cell r="A507" t="str">
            <v>SIELCTAL052</v>
          </cell>
        </row>
        <row r="508">
          <cell r="A508" t="str">
            <v>SIELCTAL053</v>
          </cell>
        </row>
        <row r="509">
          <cell r="A509" t="str">
            <v>SIELCRAL007</v>
          </cell>
        </row>
        <row r="510">
          <cell r="A510" t="str">
            <v>SIELCTAL054</v>
          </cell>
        </row>
        <row r="511">
          <cell r="A511" t="str">
            <v>SIELCTAL055</v>
          </cell>
        </row>
        <row r="512">
          <cell r="A512" t="str">
            <v>SIELSSAL003</v>
          </cell>
        </row>
        <row r="513">
          <cell r="A513" t="str">
            <v>SIELCTAL056</v>
          </cell>
        </row>
        <row r="514">
          <cell r="A514" t="str">
            <v>SIELMLAL052</v>
          </cell>
        </row>
        <row r="515">
          <cell r="A515" t="str">
            <v>SIELMLAL053</v>
          </cell>
        </row>
        <row r="516">
          <cell r="A516" t="str">
            <v>SIELMLX6013</v>
          </cell>
        </row>
        <row r="517">
          <cell r="A517" t="str">
            <v>SIELMLE7017</v>
          </cell>
        </row>
        <row r="518">
          <cell r="A518" t="str">
            <v>SIELMLX6014</v>
          </cell>
        </row>
        <row r="519">
          <cell r="A519" t="str">
            <v>SIELMLX6015</v>
          </cell>
        </row>
        <row r="520">
          <cell r="A520">
            <v>0</v>
          </cell>
        </row>
        <row r="521">
          <cell r="A521" t="str">
            <v>SIELCTAL057</v>
          </cell>
        </row>
        <row r="522">
          <cell r="A522" t="str">
            <v>SIELCDRW021</v>
          </cell>
        </row>
        <row r="523">
          <cell r="A523" t="str">
            <v>SIELCDRW022</v>
          </cell>
        </row>
        <row r="524">
          <cell r="A524" t="str">
            <v>SIELMLAL054</v>
          </cell>
        </row>
        <row r="525">
          <cell r="A525" t="str">
            <v>SIELMLAL055</v>
          </cell>
        </row>
        <row r="526">
          <cell r="A526">
            <v>0</v>
          </cell>
        </row>
        <row r="527">
          <cell r="A527" t="str">
            <v>SIELCTAL058</v>
          </cell>
        </row>
        <row r="528">
          <cell r="A528" t="str">
            <v>SIELMLX6016</v>
          </cell>
        </row>
        <row r="529">
          <cell r="A529" t="str">
            <v>SIELMLX6017</v>
          </cell>
        </row>
        <row r="530">
          <cell r="A530" t="str">
            <v>SIELCTAL059</v>
          </cell>
        </row>
        <row r="531">
          <cell r="A531" t="str">
            <v>SIELCTAL060</v>
          </cell>
        </row>
        <row r="532">
          <cell r="A532" t="str">
            <v>SIELCRAL008</v>
          </cell>
        </row>
        <row r="533">
          <cell r="A533" t="str">
            <v>SIELPRAL022</v>
          </cell>
        </row>
        <row r="534">
          <cell r="A534" t="str">
            <v>SIELMLX6018</v>
          </cell>
        </row>
        <row r="535">
          <cell r="A535" t="str">
            <v>SIELCTAL061</v>
          </cell>
        </row>
        <row r="536">
          <cell r="A536" t="str">
            <v>SIELPRAL023</v>
          </cell>
        </row>
        <row r="537">
          <cell r="A537" t="str">
            <v>SIELMLAL056</v>
          </cell>
        </row>
        <row r="538">
          <cell r="A538" t="str">
            <v>SIELCRAL009</v>
          </cell>
        </row>
        <row r="539">
          <cell r="A539" t="str">
            <v>SIELMLAL057</v>
          </cell>
        </row>
        <row r="540">
          <cell r="A540">
            <v>0</v>
          </cell>
        </row>
        <row r="541">
          <cell r="A541" t="str">
            <v>CHHQMLOT005</v>
          </cell>
        </row>
        <row r="542">
          <cell r="A542" t="str">
            <v>SIELOTAL001</v>
          </cell>
        </row>
        <row r="543">
          <cell r="A543" t="str">
            <v>SIELCTAL062</v>
          </cell>
        </row>
        <row r="544">
          <cell r="A544" t="str">
            <v>SIELMLAL058</v>
          </cell>
        </row>
        <row r="545">
          <cell r="A545" t="str">
            <v>SIELMLAL059</v>
          </cell>
        </row>
        <row r="546">
          <cell r="A546" t="str">
            <v>SIELMLAL060</v>
          </cell>
        </row>
        <row r="547">
          <cell r="A547" t="str">
            <v>SIELMLX6019</v>
          </cell>
        </row>
        <row r="548">
          <cell r="A548" t="str">
            <v>SIELCRAL010</v>
          </cell>
        </row>
        <row r="549">
          <cell r="A549" t="str">
            <v>SIELCRAL011</v>
          </cell>
        </row>
        <row r="550">
          <cell r="A550" t="str">
            <v>MUDRCOAL011</v>
          </cell>
        </row>
        <row r="551">
          <cell r="A551" t="str">
            <v>SIELACAL026</v>
          </cell>
        </row>
        <row r="552">
          <cell r="A552" t="str">
            <v>SIELMLX6020</v>
          </cell>
        </row>
        <row r="553">
          <cell r="A553" t="str">
            <v>SIELMLAL061</v>
          </cell>
        </row>
        <row r="554">
          <cell r="A554" t="str">
            <v>SIELCTAL063</v>
          </cell>
        </row>
        <row r="555">
          <cell r="A555" t="str">
            <v>SIELCTAL064</v>
          </cell>
        </row>
        <row r="556">
          <cell r="A556" t="str">
            <v>SIELMLAL062</v>
          </cell>
        </row>
        <row r="557">
          <cell r="A557" t="str">
            <v>SIELMLAL063</v>
          </cell>
        </row>
        <row r="558">
          <cell r="A558">
            <v>0</v>
          </cell>
        </row>
        <row r="559">
          <cell r="A559" t="str">
            <v>SIELMLOU038</v>
          </cell>
        </row>
        <row r="560">
          <cell r="A560" t="str">
            <v>SIELCTAL065</v>
          </cell>
        </row>
        <row r="561">
          <cell r="A561" t="str">
            <v>SIELMLE7018</v>
          </cell>
        </row>
        <row r="562">
          <cell r="A562" t="str">
            <v>SIELMLX6021</v>
          </cell>
        </row>
        <row r="563">
          <cell r="A563" t="str">
            <v>SIELACAL027</v>
          </cell>
        </row>
        <row r="564">
          <cell r="A564" t="str">
            <v>SIELMLX6022</v>
          </cell>
        </row>
        <row r="565">
          <cell r="A565" t="str">
            <v>SIELCTAL066</v>
          </cell>
        </row>
        <row r="566">
          <cell r="A566" t="str">
            <v>SIELPRAL024</v>
          </cell>
        </row>
        <row r="567">
          <cell r="A567" t="str">
            <v>SIELPRAL025</v>
          </cell>
        </row>
        <row r="568">
          <cell r="A568" t="str">
            <v>SIELMLX1008</v>
          </cell>
        </row>
        <row r="569">
          <cell r="A569" t="str">
            <v>SIELMLX1009</v>
          </cell>
        </row>
        <row r="570">
          <cell r="A570" t="str">
            <v>SIELCRAL012</v>
          </cell>
        </row>
        <row r="571">
          <cell r="A571" t="str">
            <v>SIELPRAL026</v>
          </cell>
        </row>
        <row r="572">
          <cell r="A572" t="str">
            <v>SIELMLX1010</v>
          </cell>
        </row>
        <row r="573">
          <cell r="A573" t="str">
            <v>SIELMLX1011</v>
          </cell>
        </row>
        <row r="574">
          <cell r="A574" t="str">
            <v>SIELOTRAL001</v>
          </cell>
        </row>
        <row r="575">
          <cell r="A575" t="str">
            <v>SIELCTAL067</v>
          </cell>
        </row>
        <row r="576">
          <cell r="A576" t="str">
            <v>SIELCTAL068</v>
          </cell>
        </row>
        <row r="577">
          <cell r="A577" t="str">
            <v>SIELMLE7019</v>
          </cell>
        </row>
        <row r="578">
          <cell r="A578" t="str">
            <v>SIELMLE7020</v>
          </cell>
        </row>
        <row r="579">
          <cell r="A579" t="str">
            <v>SIELMLAL064</v>
          </cell>
        </row>
        <row r="580">
          <cell r="A580" t="str">
            <v>SIELMLAL065</v>
          </cell>
        </row>
        <row r="581">
          <cell r="A581" t="str">
            <v>SIELMLAL066</v>
          </cell>
        </row>
        <row r="582">
          <cell r="A582" t="str">
            <v>SIELMLAL067</v>
          </cell>
        </row>
        <row r="583">
          <cell r="A583" t="str">
            <v>SIELMLAL068</v>
          </cell>
        </row>
        <row r="584">
          <cell r="A584" t="str">
            <v>SIELMLAL069</v>
          </cell>
        </row>
        <row r="585">
          <cell r="A585" t="str">
            <v>SIELMLAL070</v>
          </cell>
        </row>
        <row r="586">
          <cell r="A586" t="str">
            <v>SIELMLAL071</v>
          </cell>
        </row>
        <row r="587">
          <cell r="A587" t="str">
            <v>SIELOTRAL002</v>
          </cell>
        </row>
        <row r="588">
          <cell r="A588" t="str">
            <v>SIELMLX4003</v>
          </cell>
        </row>
        <row r="589">
          <cell r="A589" t="str">
            <v>SIELMLX6023</v>
          </cell>
        </row>
        <row r="590">
          <cell r="A590" t="str">
            <v>SIELMLX6024</v>
          </cell>
        </row>
        <row r="591">
          <cell r="A591" t="str">
            <v>SIELCTAL068</v>
          </cell>
        </row>
        <row r="592">
          <cell r="A592" t="str">
            <v>SIELMLX6025</v>
          </cell>
        </row>
        <row r="593">
          <cell r="A593" t="str">
            <v>SIELMLX6026</v>
          </cell>
        </row>
        <row r="594">
          <cell r="A594" t="str">
            <v>SIELMLX1012</v>
          </cell>
        </row>
        <row r="595">
          <cell r="A595" t="str">
            <v>SIELMLOU039</v>
          </cell>
        </row>
        <row r="596">
          <cell r="A596" t="str">
            <v>SIELMLAL072</v>
          </cell>
        </row>
        <row r="597">
          <cell r="A597" t="str">
            <v>SIELMLOU040</v>
          </cell>
        </row>
        <row r="598">
          <cell r="A598" t="str">
            <v>SIELMLOU041</v>
          </cell>
        </row>
        <row r="599">
          <cell r="A599" t="str">
            <v>SIELMLE7021</v>
          </cell>
        </row>
        <row r="600">
          <cell r="A600" t="str">
            <v>SIELPRAL027</v>
          </cell>
        </row>
        <row r="601">
          <cell r="A601" t="str">
            <v>SIELPRAL028</v>
          </cell>
        </row>
        <row r="602">
          <cell r="A602" t="str">
            <v>SIELMLOU042</v>
          </cell>
        </row>
        <row r="603">
          <cell r="A603" t="str">
            <v>SIELMLOU043</v>
          </cell>
        </row>
        <row r="604">
          <cell r="A604" t="str">
            <v>SIELMLOU044</v>
          </cell>
        </row>
        <row r="605">
          <cell r="A605" t="str">
            <v>SIELMLOU045</v>
          </cell>
        </row>
        <row r="606">
          <cell r="A606" t="str">
            <v>SIELMLX6027</v>
          </cell>
        </row>
        <row r="607">
          <cell r="A607" t="str">
            <v>SIELCTAL069</v>
          </cell>
        </row>
        <row r="608">
          <cell r="A608" t="str">
            <v>SIELMLOU046</v>
          </cell>
        </row>
        <row r="609">
          <cell r="A609" t="str">
            <v>SIELMLX6028</v>
          </cell>
        </row>
        <row r="610">
          <cell r="A610" t="str">
            <v>SIELMLX6029</v>
          </cell>
        </row>
        <row r="611">
          <cell r="A611" t="str">
            <v>SIELMLAL073</v>
          </cell>
        </row>
        <row r="612">
          <cell r="A612">
            <v>0</v>
          </cell>
        </row>
        <row r="613">
          <cell r="A613">
            <v>0</v>
          </cell>
        </row>
        <row r="614">
          <cell r="A614" t="str">
            <v>SIELMLAL074</v>
          </cell>
        </row>
        <row r="615">
          <cell r="A615" t="str">
            <v>SIELMLAL075</v>
          </cell>
        </row>
        <row r="616">
          <cell r="A616" t="str">
            <v>SIELMLC1065</v>
          </cell>
        </row>
        <row r="617">
          <cell r="A617" t="str">
            <v>SIELMLOU047</v>
          </cell>
        </row>
        <row r="618">
          <cell r="A618" t="str">
            <v>SIELMLOU048</v>
          </cell>
        </row>
        <row r="619">
          <cell r="A619" t="str">
            <v>SIELMLOU049</v>
          </cell>
        </row>
        <row r="620">
          <cell r="A620" t="str">
            <v>SIELMLOU050</v>
          </cell>
        </row>
        <row r="621">
          <cell r="A621" t="str">
            <v>SIELMLOU051</v>
          </cell>
        </row>
        <row r="622">
          <cell r="A622" t="str">
            <v>SIELMLX6030</v>
          </cell>
        </row>
        <row r="623">
          <cell r="A623" t="str">
            <v>SIELMLAL076</v>
          </cell>
        </row>
        <row r="624">
          <cell r="A624" t="str">
            <v>SIELMLOU052</v>
          </cell>
        </row>
        <row r="625">
          <cell r="A625" t="str">
            <v>SIELCDRW023</v>
          </cell>
        </row>
        <row r="626">
          <cell r="A626" t="str">
            <v>SIELMLAL077</v>
          </cell>
        </row>
        <row r="627">
          <cell r="A627" t="str">
            <v>SIELMLAL078</v>
          </cell>
        </row>
        <row r="628">
          <cell r="A628" t="str">
            <v>SIELMLX6031</v>
          </cell>
        </row>
        <row r="629">
          <cell r="A629" t="str">
            <v>SIELCTAL070</v>
          </cell>
        </row>
        <row r="630">
          <cell r="A630" t="str">
            <v>SIELCTAL071</v>
          </cell>
        </row>
        <row r="631">
          <cell r="A631" t="str">
            <v>SIELCTAL072</v>
          </cell>
        </row>
        <row r="632">
          <cell r="A632" t="str">
            <v>SIELPRAL029</v>
          </cell>
        </row>
        <row r="633">
          <cell r="A633" t="str">
            <v>SIELMLX6032</v>
          </cell>
        </row>
        <row r="634">
          <cell r="A634" t="str">
            <v>SIELMLAL079</v>
          </cell>
        </row>
        <row r="635">
          <cell r="A635" t="str">
            <v>SIELMLAL080</v>
          </cell>
        </row>
        <row r="636">
          <cell r="A636" t="str">
            <v>SIELACAL028</v>
          </cell>
        </row>
        <row r="637">
          <cell r="A637" t="str">
            <v>SIELACAL029</v>
          </cell>
        </row>
        <row r="638">
          <cell r="A638" t="str">
            <v>SIELMLAL081</v>
          </cell>
        </row>
        <row r="639">
          <cell r="A639" t="str">
            <v>SIELMLAL082</v>
          </cell>
        </row>
        <row r="640">
          <cell r="A640" t="str">
            <v>SIELMLAL083</v>
          </cell>
        </row>
        <row r="641">
          <cell r="A641" t="str">
            <v>SIELMLAL084</v>
          </cell>
        </row>
        <row r="642">
          <cell r="A642" t="str">
            <v>SIELMLAL085</v>
          </cell>
        </row>
        <row r="643">
          <cell r="A643" t="str">
            <v>SIELMLAL086</v>
          </cell>
        </row>
        <row r="644">
          <cell r="A644" t="str">
            <v>SIELMLX6033</v>
          </cell>
        </row>
        <row r="645">
          <cell r="A645" t="str">
            <v>SIELMLX6034</v>
          </cell>
        </row>
        <row r="646">
          <cell r="A646" t="str">
            <v>SIELMLX6035</v>
          </cell>
        </row>
        <row r="647">
          <cell r="A647" t="str">
            <v>SIELLPAL032</v>
          </cell>
        </row>
        <row r="648">
          <cell r="A648">
            <v>0</v>
          </cell>
        </row>
        <row r="649">
          <cell r="A649" t="str">
            <v>SIELMLAL087</v>
          </cell>
        </row>
        <row r="650">
          <cell r="A650" t="str">
            <v>SIELCTAL073</v>
          </cell>
        </row>
        <row r="651">
          <cell r="A651" t="str">
            <v>SIELMOMB023</v>
          </cell>
        </row>
        <row r="652">
          <cell r="A652" t="str">
            <v>SIELCTAL074</v>
          </cell>
        </row>
        <row r="653">
          <cell r="A653" t="str">
            <v>SIELCTAL075</v>
          </cell>
        </row>
        <row r="654">
          <cell r="A654" t="str">
            <v>SIELMLAL088</v>
          </cell>
        </row>
        <row r="655">
          <cell r="A655" t="str">
            <v>SIELMLAL089</v>
          </cell>
        </row>
        <row r="656">
          <cell r="A656" t="str">
            <v>SIELMLAL090</v>
          </cell>
        </row>
        <row r="657">
          <cell r="A657" t="str">
            <v>SIELMLX6036</v>
          </cell>
        </row>
        <row r="658">
          <cell r="A658" t="str">
            <v>SIELPRAL030</v>
          </cell>
        </row>
        <row r="659">
          <cell r="A659" t="str">
            <v>SIELACAL030</v>
          </cell>
        </row>
        <row r="660">
          <cell r="A660" t="str">
            <v>SIELCTAL076</v>
          </cell>
        </row>
        <row r="661">
          <cell r="A661" t="str">
            <v>SIELPRAL031</v>
          </cell>
        </row>
        <row r="662">
          <cell r="A662" t="str">
            <v>SIELPRAL032</v>
          </cell>
        </row>
        <row r="663">
          <cell r="A663" t="str">
            <v>SIELMLX6037</v>
          </cell>
        </row>
        <row r="664">
          <cell r="A664" t="str">
            <v>SIELCRAL013</v>
          </cell>
        </row>
        <row r="665">
          <cell r="A665" t="str">
            <v>SIELCTAL077</v>
          </cell>
        </row>
        <row r="666">
          <cell r="A666" t="str">
            <v>SIELCRAL014</v>
          </cell>
        </row>
        <row r="667">
          <cell r="A667" t="str">
            <v>SIELMLX6038</v>
          </cell>
        </row>
        <row r="668">
          <cell r="A668" t="str">
            <v>SIELMLAL091</v>
          </cell>
        </row>
        <row r="669">
          <cell r="A669" t="str">
            <v>SIELCTAL078</v>
          </cell>
        </row>
        <row r="670">
          <cell r="A670" t="str">
            <v>SIELCTAL079</v>
          </cell>
        </row>
        <row r="671">
          <cell r="A671" t="str">
            <v>SIELMLX1013</v>
          </cell>
        </row>
        <row r="672">
          <cell r="A672" t="str">
            <v>SIELMLX1014</v>
          </cell>
        </row>
        <row r="673">
          <cell r="A673" t="str">
            <v>SIELMLX6039</v>
          </cell>
        </row>
        <row r="674">
          <cell r="A674" t="str">
            <v>SIELMLX6040</v>
          </cell>
        </row>
        <row r="675">
          <cell r="A675" t="str">
            <v>SIELPRAL033</v>
          </cell>
        </row>
        <row r="676">
          <cell r="A676" t="str">
            <v>SIELPRAL034</v>
          </cell>
        </row>
        <row r="677">
          <cell r="A677" t="str">
            <v>SIELPRAL035</v>
          </cell>
        </row>
        <row r="678">
          <cell r="A678" t="str">
            <v>SIELCTAL080</v>
          </cell>
        </row>
        <row r="679">
          <cell r="A679" t="str">
            <v>SIELCTAL081</v>
          </cell>
        </row>
        <row r="680">
          <cell r="A680" t="str">
            <v>SIELPRAL036</v>
          </cell>
        </row>
        <row r="681">
          <cell r="A681" t="str">
            <v>SIELCRAL015</v>
          </cell>
        </row>
        <row r="682">
          <cell r="A682" t="str">
            <v>SIELCRAL016</v>
          </cell>
        </row>
        <row r="683">
          <cell r="A683" t="str">
            <v>SIELMLAL092</v>
          </cell>
        </row>
        <row r="684">
          <cell r="A684" t="str">
            <v>SIELMLAL093</v>
          </cell>
        </row>
        <row r="685">
          <cell r="A685" t="str">
            <v>SIELMLAL094</v>
          </cell>
        </row>
        <row r="686">
          <cell r="A686" t="str">
            <v>SIELMLAL095</v>
          </cell>
        </row>
        <row r="687">
          <cell r="A687" t="str">
            <v>SIELMLAL096</v>
          </cell>
        </row>
        <row r="688">
          <cell r="A688" t="str">
            <v>SIELMLAL097</v>
          </cell>
        </row>
        <row r="689">
          <cell r="A689" t="str">
            <v>SIELMLAL098</v>
          </cell>
        </row>
        <row r="690">
          <cell r="A690" t="str">
            <v>SIELMLAL099</v>
          </cell>
        </row>
        <row r="691">
          <cell r="A691" t="str">
            <v>SIELMLAL100</v>
          </cell>
        </row>
        <row r="692">
          <cell r="A692" t="str">
            <v>SIELMLAL101</v>
          </cell>
        </row>
        <row r="693">
          <cell r="A693" t="str">
            <v>SIELMLAL102</v>
          </cell>
        </row>
        <row r="694">
          <cell r="A694" t="str">
            <v>SIELMLAL103</v>
          </cell>
        </row>
        <row r="695">
          <cell r="A695" t="str">
            <v>SIELMLAL104</v>
          </cell>
        </row>
        <row r="696">
          <cell r="A696" t="str">
            <v>SIELMLAL105</v>
          </cell>
        </row>
        <row r="697">
          <cell r="A697" t="str">
            <v>SIELMLAL106</v>
          </cell>
        </row>
        <row r="698">
          <cell r="A698" t="str">
            <v>SIELMLAL107</v>
          </cell>
        </row>
        <row r="699">
          <cell r="A699" t="str">
            <v>SIELMLAL108</v>
          </cell>
        </row>
        <row r="700">
          <cell r="A700" t="str">
            <v>SIELMLAL109</v>
          </cell>
        </row>
        <row r="701">
          <cell r="A701" t="str">
            <v>SIELMLAL110</v>
          </cell>
        </row>
        <row r="702">
          <cell r="A702" t="str">
            <v>SIELMLAL111</v>
          </cell>
        </row>
        <row r="703">
          <cell r="A703" t="str">
            <v>SIELMLAL112</v>
          </cell>
        </row>
        <row r="704">
          <cell r="A704" t="str">
            <v>SIELMLAL113</v>
          </cell>
        </row>
        <row r="705">
          <cell r="A705" t="str">
            <v>SIELMLAL114</v>
          </cell>
        </row>
        <row r="706">
          <cell r="A706" t="str">
            <v>SIELMLAL115</v>
          </cell>
        </row>
        <row r="707">
          <cell r="A707" t="str">
            <v>SIELMLAL116</v>
          </cell>
        </row>
        <row r="708">
          <cell r="A708" t="str">
            <v>SIELCRAL017</v>
          </cell>
        </row>
        <row r="709">
          <cell r="A709" t="str">
            <v>SIELMLAL117</v>
          </cell>
        </row>
        <row r="710">
          <cell r="A710" t="str">
            <v>SIELCRAL018</v>
          </cell>
        </row>
        <row r="711">
          <cell r="A711" t="str">
            <v>SIELMLX6041</v>
          </cell>
        </row>
        <row r="712">
          <cell r="A712" t="str">
            <v>SIELMLAL118</v>
          </cell>
        </row>
        <row r="713">
          <cell r="A713" t="str">
            <v>SIELMLAL119</v>
          </cell>
        </row>
        <row r="714">
          <cell r="A714" t="str">
            <v>SIELMLX6042</v>
          </cell>
        </row>
        <row r="715">
          <cell r="A715" t="str">
            <v>SIELMLAL120</v>
          </cell>
        </row>
        <row r="716">
          <cell r="A716" t="str">
            <v>SIELMLAL121</v>
          </cell>
        </row>
        <row r="717">
          <cell r="A717" t="str">
            <v>SIELCTAL082</v>
          </cell>
        </row>
        <row r="718">
          <cell r="A718" t="str">
            <v>SIELCTAL083</v>
          </cell>
        </row>
        <row r="719">
          <cell r="A719" t="str">
            <v>SIELMLCDMA001</v>
          </cell>
        </row>
        <row r="720">
          <cell r="A720" t="str">
            <v>SIELPRAL037</v>
          </cell>
        </row>
        <row r="721">
          <cell r="A721" t="str">
            <v>SIELPRAL038</v>
          </cell>
        </row>
        <row r="722">
          <cell r="A722" t="str">
            <v>SIELMLAL122</v>
          </cell>
        </row>
        <row r="723">
          <cell r="A723" t="str">
            <v>SIELMLAL123</v>
          </cell>
        </row>
        <row r="724">
          <cell r="A724" t="str">
            <v>SIELMLAL124</v>
          </cell>
        </row>
        <row r="725">
          <cell r="A725" t="str">
            <v>SIELMLAL125</v>
          </cell>
        </row>
        <row r="726">
          <cell r="A726" t="str">
            <v>SIELMLAL126</v>
          </cell>
        </row>
        <row r="727">
          <cell r="A727" t="str">
            <v>SIELMLAL127</v>
          </cell>
        </row>
        <row r="728">
          <cell r="A728" t="str">
            <v>SIELMLAL128</v>
          </cell>
        </row>
        <row r="729">
          <cell r="A729" t="str">
            <v>SIELMLAL129</v>
          </cell>
        </row>
        <row r="730">
          <cell r="A730" t="str">
            <v>SIELMLAL130</v>
          </cell>
        </row>
        <row r="731">
          <cell r="A731" t="str">
            <v>SIELMLAL131</v>
          </cell>
        </row>
        <row r="732">
          <cell r="A732" t="str">
            <v>SIELMLAL132</v>
          </cell>
        </row>
        <row r="733">
          <cell r="A733" t="str">
            <v>SIELMLAL133</v>
          </cell>
        </row>
        <row r="734">
          <cell r="A734" t="str">
            <v>SIELMLCDMA002</v>
          </cell>
        </row>
        <row r="735">
          <cell r="A735" t="str">
            <v>SIELMLAL134</v>
          </cell>
        </row>
        <row r="736">
          <cell r="A736" t="str">
            <v>SIELMLAL135</v>
          </cell>
        </row>
        <row r="737">
          <cell r="A737" t="str">
            <v>SIELMLAL136</v>
          </cell>
        </row>
        <row r="738">
          <cell r="A738" t="str">
            <v>SIELMLAL137</v>
          </cell>
        </row>
        <row r="739">
          <cell r="A739" t="str">
            <v>SIELCRAL019</v>
          </cell>
        </row>
        <row r="740">
          <cell r="A740" t="str">
            <v>SIELMLAL138</v>
          </cell>
        </row>
        <row r="741">
          <cell r="A741" t="str">
            <v>SIELMLAL139</v>
          </cell>
        </row>
        <row r="742">
          <cell r="A742" t="str">
            <v>SIELMLAL140</v>
          </cell>
        </row>
        <row r="743">
          <cell r="A743" t="str">
            <v>SIELMLAL141</v>
          </cell>
        </row>
        <row r="744">
          <cell r="A744" t="str">
            <v>SIELMLAL142</v>
          </cell>
        </row>
        <row r="745">
          <cell r="A745" t="str">
            <v>SIELMLAL143</v>
          </cell>
        </row>
        <row r="746">
          <cell r="A746" t="str">
            <v>SIELMLAL144</v>
          </cell>
        </row>
        <row r="747">
          <cell r="A747" t="str">
            <v>SIELMLAL145</v>
          </cell>
        </row>
        <row r="748">
          <cell r="A748" t="str">
            <v>SIELMLAL146</v>
          </cell>
        </row>
        <row r="749">
          <cell r="A749" t="str">
            <v>SIELMLAL147</v>
          </cell>
        </row>
        <row r="750">
          <cell r="A750" t="str">
            <v>SIELMLAL148</v>
          </cell>
        </row>
        <row r="751">
          <cell r="A751" t="str">
            <v>SIELMLAL149</v>
          </cell>
        </row>
        <row r="752">
          <cell r="A752" t="str">
            <v>SIELMLAL150</v>
          </cell>
        </row>
        <row r="753">
          <cell r="A753" t="str">
            <v>SIELMLX1015</v>
          </cell>
        </row>
        <row r="754">
          <cell r="A754" t="str">
            <v>SIELMLX1016</v>
          </cell>
        </row>
        <row r="755">
          <cell r="A755" t="str">
            <v>SIELCRAL020</v>
          </cell>
        </row>
        <row r="756">
          <cell r="A756" t="str">
            <v>SIELCRAL021</v>
          </cell>
        </row>
        <row r="757">
          <cell r="A757" t="str">
            <v>SIELMLAL151</v>
          </cell>
        </row>
        <row r="758">
          <cell r="A758" t="str">
            <v>SIELMLAL152</v>
          </cell>
        </row>
        <row r="759">
          <cell r="A759" t="str">
            <v>SIELMLAL153</v>
          </cell>
        </row>
        <row r="760">
          <cell r="A760" t="str">
            <v>SIELMLAL154</v>
          </cell>
        </row>
        <row r="761">
          <cell r="A761" t="str">
            <v>SIELMLAL155</v>
          </cell>
        </row>
        <row r="762">
          <cell r="A762" t="str">
            <v>SIELMLAL156</v>
          </cell>
        </row>
        <row r="763">
          <cell r="A763" t="str">
            <v>SIELMLAL157</v>
          </cell>
        </row>
        <row r="764">
          <cell r="A764" t="str">
            <v>SIELMLAL158</v>
          </cell>
        </row>
        <row r="765">
          <cell r="A765" t="str">
            <v>SIELMLAL159</v>
          </cell>
        </row>
        <row r="766">
          <cell r="A766" t="str">
            <v>SIELMLAL160</v>
          </cell>
        </row>
        <row r="767">
          <cell r="A767" t="str">
            <v>CHHQMLAN001</v>
          </cell>
        </row>
        <row r="768">
          <cell r="A768" t="str">
            <v>SIELMLAL161</v>
          </cell>
        </row>
        <row r="769">
          <cell r="A769" t="str">
            <v>SIELMLAL162</v>
          </cell>
        </row>
        <row r="770">
          <cell r="A770" t="str">
            <v>SIELMLAL163</v>
          </cell>
        </row>
        <row r="771">
          <cell r="A771" t="str">
            <v>SIELMLAL164</v>
          </cell>
        </row>
        <row r="772">
          <cell r="A772" t="str">
            <v>SIELMLAL165</v>
          </cell>
        </row>
        <row r="773">
          <cell r="A773" t="str">
            <v>SIELMLAL166</v>
          </cell>
        </row>
        <row r="774">
          <cell r="A774" t="str">
            <v>SIELMLAL167</v>
          </cell>
        </row>
        <row r="775">
          <cell r="A775" t="str">
            <v>SIELMLAL168</v>
          </cell>
        </row>
        <row r="776">
          <cell r="A776" t="str">
            <v>SIELMLAL169</v>
          </cell>
        </row>
        <row r="777">
          <cell r="A777" t="str">
            <v>SIELMLAL170</v>
          </cell>
        </row>
        <row r="778">
          <cell r="A778" t="str">
            <v>SIELMLAL171</v>
          </cell>
        </row>
        <row r="779">
          <cell r="A779" t="str">
            <v>SIELAUAL033</v>
          </cell>
        </row>
        <row r="780">
          <cell r="A780" t="str">
            <v>SIELAUAL034</v>
          </cell>
        </row>
        <row r="781">
          <cell r="A781">
            <v>0</v>
          </cell>
        </row>
        <row r="782">
          <cell r="A782" t="str">
            <v>SIELMLAL172</v>
          </cell>
        </row>
        <row r="783">
          <cell r="A783" t="str">
            <v>SIELMLAL173</v>
          </cell>
        </row>
        <row r="784">
          <cell r="A784" t="str">
            <v>SIELMLAL174</v>
          </cell>
        </row>
        <row r="785">
          <cell r="A785" t="str">
            <v>SIELMLAL175</v>
          </cell>
        </row>
        <row r="786">
          <cell r="A786" t="str">
            <v>SIELMLAL176</v>
          </cell>
        </row>
        <row r="787">
          <cell r="A787" t="str">
            <v>SIELMLAL177</v>
          </cell>
        </row>
        <row r="788">
          <cell r="A788" t="str">
            <v>SIELMLAL178</v>
          </cell>
        </row>
        <row r="789">
          <cell r="A789" t="str">
            <v>SIELPRAL039</v>
          </cell>
        </row>
        <row r="790">
          <cell r="A790" t="str">
            <v>SIELPRAL040</v>
          </cell>
        </row>
        <row r="791">
          <cell r="A791" t="str">
            <v>SIELMLAL179</v>
          </cell>
        </row>
        <row r="792">
          <cell r="A792" t="str">
            <v>SIELMLAL180</v>
          </cell>
        </row>
        <row r="793">
          <cell r="A793" t="str">
            <v>SIELMLAL181</v>
          </cell>
        </row>
        <row r="794">
          <cell r="A794" t="str">
            <v>SIELMLX1017</v>
          </cell>
        </row>
        <row r="795">
          <cell r="A795" t="str">
            <v>SIELMLX1018</v>
          </cell>
        </row>
        <row r="796">
          <cell r="A796" t="str">
            <v>SIELCTAL084</v>
          </cell>
        </row>
        <row r="797">
          <cell r="A797" t="str">
            <v>SIELCTAL085</v>
          </cell>
        </row>
        <row r="798">
          <cell r="A798" t="str">
            <v>SIELMLAL182</v>
          </cell>
        </row>
        <row r="799">
          <cell r="A799" t="str">
            <v>SIELPRAL041</v>
          </cell>
        </row>
        <row r="800">
          <cell r="A800" t="str">
            <v>SIELMLX6043</v>
          </cell>
        </row>
        <row r="801">
          <cell r="A801" t="str">
            <v>SIELCRAL022</v>
          </cell>
        </row>
        <row r="802">
          <cell r="A802" t="str">
            <v>SIELMLX6044</v>
          </cell>
        </row>
        <row r="803">
          <cell r="A803" t="str">
            <v>SIELMLX6045</v>
          </cell>
        </row>
        <row r="804">
          <cell r="A804" t="str">
            <v>SIELCRAL023</v>
          </cell>
        </row>
        <row r="805">
          <cell r="A805" t="str">
            <v>SIELMLC1066</v>
          </cell>
        </row>
        <row r="806">
          <cell r="A806" t="str">
            <v>SIELMLAL183</v>
          </cell>
        </row>
        <row r="807">
          <cell r="A807" t="str">
            <v>SIELPRAL042</v>
          </cell>
        </row>
        <row r="808">
          <cell r="A808">
            <v>0</v>
          </cell>
        </row>
        <row r="809">
          <cell r="A809" t="str">
            <v>SIELLPAL033</v>
          </cell>
        </row>
        <row r="810">
          <cell r="A810" t="str">
            <v>SIELMLCDMA003</v>
          </cell>
        </row>
        <row r="811">
          <cell r="A811" t="str">
            <v>SIELMLAL184</v>
          </cell>
        </row>
        <row r="812">
          <cell r="A812" t="str">
            <v>SIELMLAL185</v>
          </cell>
        </row>
        <row r="813">
          <cell r="A813" t="str">
            <v>SIELMLAL186</v>
          </cell>
        </row>
        <row r="814">
          <cell r="A814" t="str">
            <v>SIELMLAL187</v>
          </cell>
        </row>
        <row r="815">
          <cell r="A815" t="str">
            <v>SIELMLAL188</v>
          </cell>
        </row>
        <row r="816">
          <cell r="A816" t="str">
            <v>SIELMLAL189</v>
          </cell>
        </row>
        <row r="817">
          <cell r="A817" t="str">
            <v>SIELMLAL190</v>
          </cell>
        </row>
        <row r="818">
          <cell r="A818" t="str">
            <v>SIELMLAL191</v>
          </cell>
        </row>
        <row r="819">
          <cell r="A819" t="str">
            <v>SIELMLAL192</v>
          </cell>
        </row>
        <row r="820">
          <cell r="A820" t="str">
            <v>SIELMLAL193</v>
          </cell>
        </row>
        <row r="821">
          <cell r="A821" t="str">
            <v>SIELMLAL194</v>
          </cell>
        </row>
        <row r="822">
          <cell r="A822" t="str">
            <v>SIELMLAL195</v>
          </cell>
        </row>
        <row r="823">
          <cell r="A823" t="str">
            <v>SIELMLC1067</v>
          </cell>
        </row>
        <row r="824">
          <cell r="A824" t="str">
            <v>SIELCRAL024</v>
          </cell>
        </row>
        <row r="825">
          <cell r="A825" t="str">
            <v>SIELCTAL086</v>
          </cell>
        </row>
        <row r="826">
          <cell r="A826" t="str">
            <v>SIELITAL011</v>
          </cell>
        </row>
        <row r="827">
          <cell r="A827" t="str">
            <v>SIELMLAL196</v>
          </cell>
        </row>
        <row r="828">
          <cell r="A828" t="str">
            <v>SIELMLAL197</v>
          </cell>
        </row>
        <row r="829">
          <cell r="A829" t="str">
            <v>SIELCTAL087</v>
          </cell>
        </row>
        <row r="830">
          <cell r="A830" t="str">
            <v>SIELCTAL088</v>
          </cell>
        </row>
        <row r="831">
          <cell r="A831" t="str">
            <v>SIELMLX6046</v>
          </cell>
        </row>
        <row r="832">
          <cell r="A832" t="str">
            <v>SIELPRAL043</v>
          </cell>
        </row>
        <row r="833">
          <cell r="A833" t="str">
            <v>SIELCTAL089</v>
          </cell>
        </row>
        <row r="834">
          <cell r="A834" t="str">
            <v>SIELCRAL025</v>
          </cell>
        </row>
        <row r="835">
          <cell r="A835" t="str">
            <v>SIELMLAL198</v>
          </cell>
        </row>
        <row r="836">
          <cell r="A836" t="str">
            <v>SIELMLAL199</v>
          </cell>
        </row>
        <row r="837">
          <cell r="A837" t="str">
            <v>SIELMLAL200</v>
          </cell>
        </row>
        <row r="838">
          <cell r="A838" t="str">
            <v>SIELMLAL201</v>
          </cell>
        </row>
        <row r="839">
          <cell r="A839" t="str">
            <v>SIELCAMAL001</v>
          </cell>
        </row>
        <row r="840">
          <cell r="A840" t="str">
            <v>SIELCAMAL002</v>
          </cell>
        </row>
        <row r="841">
          <cell r="A841" t="str">
            <v>SIELMLAL202</v>
          </cell>
        </row>
        <row r="842">
          <cell r="A842" t="str">
            <v>SIELCRAL026</v>
          </cell>
        </row>
        <row r="843">
          <cell r="A843" t="str">
            <v>SIELCTAL090</v>
          </cell>
        </row>
        <row r="844">
          <cell r="A844" t="str">
            <v>SIELCTAL091</v>
          </cell>
        </row>
        <row r="845">
          <cell r="A845" t="str">
            <v>SIELCRAL027</v>
          </cell>
        </row>
        <row r="846">
          <cell r="A846" t="str">
            <v>SIELCRAL028</v>
          </cell>
        </row>
        <row r="847">
          <cell r="A847" t="str">
            <v>SIELCRAL029</v>
          </cell>
        </row>
        <row r="848">
          <cell r="A848" t="str">
            <v>SIELMLAL203</v>
          </cell>
        </row>
        <row r="849">
          <cell r="A849">
            <v>0</v>
          </cell>
        </row>
        <row r="850">
          <cell r="A850" t="str">
            <v>SIELSSAL004</v>
          </cell>
        </row>
        <row r="851">
          <cell r="A851" t="str">
            <v>SIELSSAL005</v>
          </cell>
        </row>
        <row r="852">
          <cell r="A852" t="str">
            <v>SIELMLX6047</v>
          </cell>
        </row>
        <row r="853">
          <cell r="A853" t="str">
            <v>SIELCRAL030</v>
          </cell>
        </row>
        <row r="854">
          <cell r="A854" t="str">
            <v>SIELMLAL204</v>
          </cell>
        </row>
        <row r="855">
          <cell r="A855" t="str">
            <v>SIELMLAL205</v>
          </cell>
        </row>
        <row r="856">
          <cell r="A856" t="str">
            <v>SIELMLAL206</v>
          </cell>
        </row>
        <row r="857">
          <cell r="A857" t="str">
            <v>SIELMLAL207</v>
          </cell>
        </row>
        <row r="858">
          <cell r="A858" t="str">
            <v>SIELMLAL208</v>
          </cell>
        </row>
        <row r="859">
          <cell r="A859" t="str">
            <v>SIELPRAL044</v>
          </cell>
        </row>
        <row r="860">
          <cell r="A860" t="str">
            <v>SIELMLX6048</v>
          </cell>
        </row>
        <row r="861">
          <cell r="A861" t="str">
            <v>SIELCRAL031</v>
          </cell>
        </row>
        <row r="862">
          <cell r="A862" t="str">
            <v>SIELCRAL032</v>
          </cell>
        </row>
        <row r="863">
          <cell r="A863" t="str">
            <v>SIELACAL031</v>
          </cell>
        </row>
        <row r="864">
          <cell r="A864" t="str">
            <v>SIELPRAL045</v>
          </cell>
        </row>
        <row r="865">
          <cell r="A865" t="str">
            <v>SIELPRAL046</v>
          </cell>
        </row>
        <row r="866">
          <cell r="A866" t="str">
            <v>SIELMLAL209</v>
          </cell>
        </row>
        <row r="867">
          <cell r="A867" t="str">
            <v>SIELAUAL035</v>
          </cell>
        </row>
        <row r="868">
          <cell r="A868" t="str">
            <v>SIELLPAL034</v>
          </cell>
        </row>
        <row r="869">
          <cell r="A869" t="str">
            <v>SIELCRAL033</v>
          </cell>
        </row>
        <row r="870">
          <cell r="A870" t="str">
            <v>SIELCRAL034</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sheetData>
      <sheetData sheetId="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IL"/>
      <sheetName val="BALANCE SHEET"/>
      <sheetName val="310300 on 310307 (040607)"/>
      <sheetName val="ASSUMPTIONS (GRS)"/>
      <sheetName val="CTC-Jun"/>
      <sheetName val="Data"/>
      <sheetName val="schedules"/>
      <sheetName val="Equipment"/>
      <sheetName val="P&amp;LG"/>
      <sheetName val="SIL"/>
      <sheetName val="Accts 00"/>
      <sheetName val="GLPT 0&amp;M  DEPT-PROJET-COMPTE"/>
      <sheetName val="GLPT ADMIN  DEPT-PROJET-COMPT"/>
      <sheetName val="GLHIF DEPT-PROJET-COMPTE"/>
      <sheetName val="GLPT REV  DEPT-PROJET-COMPT"/>
      <sheetName val="schedule"/>
      <sheetName val="Intaccrual"/>
      <sheetName val="SBU"/>
      <sheetName val="Financials"/>
      <sheetName val="BS Sch III"/>
      <sheetName val="I"/>
      <sheetName val="P&amp;L notes"/>
      <sheetName val="Asset notes-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stimate"/>
      <sheetName val="Financials -Jan 03-Mar04"/>
    </sheetNames>
    <sheetDataSet>
      <sheetData sheetId="0" refreshError="1">
        <row r="2">
          <cell r="A2" t="str">
            <v>CHHQOUGM001</v>
          </cell>
        </row>
        <row r="3">
          <cell r="A3" t="str">
            <v>SIELMLE7004</v>
          </cell>
        </row>
        <row r="4">
          <cell r="A4" t="str">
            <v>CHHQOUGM002</v>
          </cell>
        </row>
        <row r="5">
          <cell r="A5" t="str">
            <v>CHHQMSMS001</v>
          </cell>
        </row>
        <row r="6">
          <cell r="A6" t="str">
            <v>SIELAUAL001</v>
          </cell>
        </row>
        <row r="7">
          <cell r="A7" t="str">
            <v>SIELAUAL002</v>
          </cell>
        </row>
        <row r="8">
          <cell r="A8" t="str">
            <v>SIELAUAL003</v>
          </cell>
        </row>
        <row r="9">
          <cell r="A9" t="str">
            <v>SIELAUAL004</v>
          </cell>
        </row>
        <row r="10">
          <cell r="A10" t="str">
            <v>SIELAUAL005</v>
          </cell>
        </row>
        <row r="11">
          <cell r="A11" t="str">
            <v>SIELAUAL006</v>
          </cell>
        </row>
        <row r="12">
          <cell r="A12" t="str">
            <v>SIELAUAL007</v>
          </cell>
        </row>
        <row r="13">
          <cell r="A13" t="str">
            <v>SIELAUAL008</v>
          </cell>
        </row>
        <row r="14">
          <cell r="A14" t="str">
            <v>SIELAUAL009</v>
          </cell>
        </row>
        <row r="15">
          <cell r="A15" t="str">
            <v>SIELAUAL010</v>
          </cell>
        </row>
        <row r="16">
          <cell r="A16" t="str">
            <v>SIELAUAL011</v>
          </cell>
        </row>
        <row r="17">
          <cell r="A17" t="str">
            <v>SIELAUAL012</v>
          </cell>
        </row>
        <row r="18">
          <cell r="A18" t="str">
            <v>SIELAUAL013</v>
          </cell>
        </row>
        <row r="19">
          <cell r="A19" t="str">
            <v>SIELNOFT001</v>
          </cell>
        </row>
        <row r="20">
          <cell r="A20" t="str">
            <v>SIELITAL001</v>
          </cell>
        </row>
        <row r="21">
          <cell r="A21" t="str">
            <v>SIELMLC1001</v>
          </cell>
        </row>
        <row r="22">
          <cell r="A22" t="str">
            <v>SIELMLC1002</v>
          </cell>
        </row>
        <row r="23">
          <cell r="A23" t="str">
            <v>SIELMLC1003</v>
          </cell>
        </row>
        <row r="24">
          <cell r="A24" t="str">
            <v>SIELMLC1004</v>
          </cell>
        </row>
        <row r="25">
          <cell r="A25" t="str">
            <v>SIELMLC1005</v>
          </cell>
        </row>
        <row r="26">
          <cell r="A26" t="str">
            <v>SIELMLC1006</v>
          </cell>
        </row>
        <row r="27">
          <cell r="A27" t="str">
            <v>SIELMLC1007</v>
          </cell>
        </row>
        <row r="28">
          <cell r="A28" t="str">
            <v>SIELMLOU001</v>
          </cell>
        </row>
        <row r="29">
          <cell r="A29" t="str">
            <v>SIELMLOU002</v>
          </cell>
        </row>
        <row r="30">
          <cell r="A30" t="str">
            <v>SIELMLOU003</v>
          </cell>
        </row>
        <row r="31">
          <cell r="A31" t="str">
            <v>SIELMLOU004</v>
          </cell>
        </row>
        <row r="32">
          <cell r="A32" t="str">
            <v>SIELMLOU005</v>
          </cell>
        </row>
        <row r="33">
          <cell r="A33" t="str">
            <v>SIELMLOU006</v>
          </cell>
        </row>
        <row r="34">
          <cell r="A34" t="str">
            <v>SIELMLOU007</v>
          </cell>
        </row>
        <row r="35">
          <cell r="A35" t="str">
            <v>SIELMLOU008</v>
          </cell>
        </row>
        <row r="36">
          <cell r="A36" t="str">
            <v>SIELMOAL001</v>
          </cell>
        </row>
        <row r="37">
          <cell r="A37" t="str">
            <v>SIELMOAL002</v>
          </cell>
        </row>
        <row r="38">
          <cell r="A38" t="str">
            <v>SIELMOAL003</v>
          </cell>
        </row>
        <row r="39">
          <cell r="A39" t="str">
            <v>SIELMOAL004</v>
          </cell>
        </row>
        <row r="40">
          <cell r="A40" t="str">
            <v>SIELMOAL005</v>
          </cell>
        </row>
        <row r="41">
          <cell r="A41" t="str">
            <v>SIELMOAL006</v>
          </cell>
        </row>
        <row r="42">
          <cell r="A42" t="str">
            <v>SIELMOAL007</v>
          </cell>
        </row>
        <row r="43">
          <cell r="A43" t="str">
            <v>SIELMOAL008</v>
          </cell>
        </row>
        <row r="44">
          <cell r="A44" t="str">
            <v>SIELMOMB001</v>
          </cell>
        </row>
        <row r="45">
          <cell r="A45" t="str">
            <v>SIELMOMB002</v>
          </cell>
        </row>
        <row r="46">
          <cell r="A46" t="str">
            <v>SIELMOMB003</v>
          </cell>
        </row>
        <row r="47">
          <cell r="A47" t="str">
            <v>SIELMOMB004</v>
          </cell>
        </row>
        <row r="48">
          <cell r="A48" t="str">
            <v>SIELMOMB006</v>
          </cell>
        </row>
        <row r="49">
          <cell r="A49" t="str">
            <v>SIELMOMB007</v>
          </cell>
        </row>
        <row r="50">
          <cell r="A50" t="str">
            <v>SIELMOMB008</v>
          </cell>
        </row>
        <row r="51">
          <cell r="A51" t="str">
            <v>SIELMOMB009</v>
          </cell>
        </row>
        <row r="52">
          <cell r="A52" t="str">
            <v>SIELMOMB010</v>
          </cell>
        </row>
        <row r="53">
          <cell r="A53" t="str">
            <v>SIELMOMB011</v>
          </cell>
        </row>
        <row r="54">
          <cell r="A54" t="str">
            <v>SIELMOMB012</v>
          </cell>
        </row>
        <row r="55">
          <cell r="A55" t="str">
            <v>SIELMOMB013</v>
          </cell>
        </row>
        <row r="56">
          <cell r="A56" t="str">
            <v>SIELMOMB014</v>
          </cell>
        </row>
        <row r="57">
          <cell r="A57" t="str">
            <v>SIELMOMB015</v>
          </cell>
        </row>
        <row r="58">
          <cell r="A58" t="str">
            <v>SIELMOOU001</v>
          </cell>
        </row>
        <row r="59">
          <cell r="A59" t="str">
            <v>SIELSSKJ001</v>
          </cell>
        </row>
        <row r="60">
          <cell r="A60" t="str">
            <v>SIELSSKJ002</v>
          </cell>
        </row>
        <row r="61">
          <cell r="A61" t="str">
            <v>TRITALCO001</v>
          </cell>
        </row>
        <row r="62">
          <cell r="A62" t="str">
            <v>SIELMLC1008</v>
          </cell>
        </row>
        <row r="63">
          <cell r="A63" t="str">
            <v>SIELMLC1009</v>
          </cell>
        </row>
        <row r="64">
          <cell r="A64" t="str">
            <v>SIELMLC1010</v>
          </cell>
        </row>
        <row r="65">
          <cell r="A65" t="str">
            <v>SIELMLC1011</v>
          </cell>
        </row>
        <row r="66">
          <cell r="A66" t="str">
            <v>SIELMLC1012</v>
          </cell>
        </row>
        <row r="67">
          <cell r="A67" t="str">
            <v>SIELMLC1013</v>
          </cell>
        </row>
        <row r="68">
          <cell r="A68" t="str">
            <v>TRITALCO002</v>
          </cell>
        </row>
        <row r="69">
          <cell r="A69" t="str">
            <v>SIELAUAL014</v>
          </cell>
        </row>
        <row r="70">
          <cell r="A70" t="str">
            <v>SIELAUAL015</v>
          </cell>
        </row>
        <row r="71">
          <cell r="A71" t="str">
            <v>SIELMLC1014</v>
          </cell>
        </row>
        <row r="72">
          <cell r="A72" t="str">
            <v>SIELMLC1015</v>
          </cell>
        </row>
        <row r="73">
          <cell r="A73" t="str">
            <v>SIELMOMB016</v>
          </cell>
        </row>
        <row r="74">
          <cell r="A74" t="str">
            <v>SIELMLOU009</v>
          </cell>
        </row>
        <row r="75">
          <cell r="A75" t="str">
            <v>SIELMLOU010</v>
          </cell>
        </row>
        <row r="76">
          <cell r="A76" t="str">
            <v>SIELMLOU011</v>
          </cell>
        </row>
        <row r="77">
          <cell r="A77" t="str">
            <v>SIELMLOU012</v>
          </cell>
        </row>
        <row r="78">
          <cell r="A78" t="str">
            <v>SIELMLOU013</v>
          </cell>
        </row>
        <row r="79">
          <cell r="A79" t="str">
            <v>SIELMLOU014</v>
          </cell>
        </row>
        <row r="80">
          <cell r="A80" t="str">
            <v>SIELMLOU015</v>
          </cell>
        </row>
        <row r="81">
          <cell r="A81" t="str">
            <v>SIELMOMB017</v>
          </cell>
        </row>
        <row r="82">
          <cell r="A82" t="str">
            <v>SIELRFCO001</v>
          </cell>
        </row>
        <row r="83">
          <cell r="A83" t="str">
            <v>SIELRFCO002</v>
          </cell>
        </row>
        <row r="84">
          <cell r="A84" t="str">
            <v>SIELAUAL016</v>
          </cell>
        </row>
        <row r="85">
          <cell r="A85" t="str">
            <v>SIELALEX001</v>
          </cell>
        </row>
        <row r="86">
          <cell r="A86" t="str">
            <v>PORTMLAL001</v>
          </cell>
        </row>
        <row r="87">
          <cell r="A87" t="str">
            <v>OGMAMLAL001</v>
          </cell>
        </row>
        <row r="88">
          <cell r="A88" t="str">
            <v>MUDRCOAL001</v>
          </cell>
        </row>
        <row r="89">
          <cell r="A89" t="str">
            <v>MUDRCOAL002</v>
          </cell>
        </row>
        <row r="90">
          <cell r="A90" t="str">
            <v>MUDRCOAL003</v>
          </cell>
        </row>
        <row r="91">
          <cell r="A91" t="str">
            <v>TRITALCO003</v>
          </cell>
        </row>
        <row r="92">
          <cell r="A92" t="str">
            <v>SIELMLC1016</v>
          </cell>
        </row>
        <row r="93">
          <cell r="A93" t="str">
            <v>SIELAUAL017</v>
          </cell>
        </row>
        <row r="94">
          <cell r="A94" t="str">
            <v>SIELCRAL001</v>
          </cell>
        </row>
        <row r="95">
          <cell r="A95" t="str">
            <v>SIELMLC1017</v>
          </cell>
        </row>
        <row r="96">
          <cell r="A96" t="str">
            <v>SIELMLC1018</v>
          </cell>
        </row>
        <row r="97">
          <cell r="A97" t="str">
            <v>SIELMOMB018</v>
          </cell>
        </row>
        <row r="98">
          <cell r="A98" t="str">
            <v>SIELMOMB019</v>
          </cell>
        </row>
        <row r="99">
          <cell r="A99" t="str">
            <v>SIELMLOU016</v>
          </cell>
        </row>
        <row r="100">
          <cell r="A100" t="str">
            <v>SIELCDAL001</v>
          </cell>
        </row>
        <row r="101">
          <cell r="A101" t="str">
            <v>SIELCDAL002</v>
          </cell>
        </row>
        <row r="102">
          <cell r="A102" t="str">
            <v>SIELMLAL001</v>
          </cell>
        </row>
        <row r="103">
          <cell r="A103" t="str">
            <v>SIELMOMB020</v>
          </cell>
        </row>
        <row r="104">
          <cell r="A104" t="str">
            <v>SIELMLC1019</v>
          </cell>
        </row>
        <row r="105">
          <cell r="A105" t="str">
            <v>SIELMLC1020</v>
          </cell>
        </row>
        <row r="106">
          <cell r="A106" t="str">
            <v>SIELMLC1021</v>
          </cell>
        </row>
        <row r="107">
          <cell r="A107" t="str">
            <v>CHHQCDML001</v>
          </cell>
        </row>
        <row r="108">
          <cell r="A108" t="str">
            <v>CHHQCDML002</v>
          </cell>
        </row>
        <row r="109">
          <cell r="A109" t="str">
            <v>CHHQCDML003</v>
          </cell>
        </row>
        <row r="110">
          <cell r="A110" t="str">
            <v>CHHQCDML004</v>
          </cell>
        </row>
        <row r="111">
          <cell r="A111" t="str">
            <v>SIELMOMB021</v>
          </cell>
        </row>
        <row r="112">
          <cell r="A112" t="str">
            <v>SIELCDAL003</v>
          </cell>
        </row>
        <row r="113">
          <cell r="A113" t="str">
            <v>SIELMLOU017</v>
          </cell>
        </row>
        <row r="114">
          <cell r="A114" t="str">
            <v>SIELMLC1022</v>
          </cell>
        </row>
        <row r="115">
          <cell r="A115" t="str">
            <v>SIELMOOU002</v>
          </cell>
        </row>
        <row r="116">
          <cell r="A116" t="str">
            <v>SIELMOMB022</v>
          </cell>
        </row>
        <row r="117">
          <cell r="A117" t="str">
            <v>SIELMLC1023</v>
          </cell>
        </row>
        <row r="118">
          <cell r="A118" t="str">
            <v>SIELMLC1024</v>
          </cell>
        </row>
        <row r="119">
          <cell r="A119" t="str">
            <v>CHHQINCN001</v>
          </cell>
        </row>
        <row r="120">
          <cell r="A120" t="str">
            <v>SIELCDAL004</v>
          </cell>
        </row>
        <row r="121">
          <cell r="A121" t="str">
            <v>SIELCDAL005</v>
          </cell>
        </row>
        <row r="122">
          <cell r="A122" t="str">
            <v>SIELRFCO003</v>
          </cell>
        </row>
        <row r="123">
          <cell r="A123" t="str">
            <v>SIELMLC1025</v>
          </cell>
        </row>
        <row r="124">
          <cell r="A124" t="str">
            <v>SIELMLE7001</v>
          </cell>
        </row>
        <row r="125">
          <cell r="A125" t="str">
            <v>SIELMOAL009</v>
          </cell>
        </row>
        <row r="126">
          <cell r="A126" t="str">
            <v>SIELCDAL006</v>
          </cell>
        </row>
        <row r="127">
          <cell r="A127" t="str">
            <v>SIELCDAL007</v>
          </cell>
        </row>
        <row r="128">
          <cell r="A128" t="str">
            <v>SIELMLOU018</v>
          </cell>
        </row>
        <row r="129">
          <cell r="A129" t="str">
            <v>SIELMLOU019</v>
          </cell>
        </row>
        <row r="130">
          <cell r="A130" t="str">
            <v>SIELMLAL002</v>
          </cell>
        </row>
        <row r="131">
          <cell r="A131" t="str">
            <v>SIELMLAL003</v>
          </cell>
        </row>
        <row r="132">
          <cell r="A132" t="str">
            <v>SIELCRAL002</v>
          </cell>
        </row>
        <row r="133">
          <cell r="A133" t="str">
            <v>SIELMLGS001</v>
          </cell>
        </row>
        <row r="134">
          <cell r="A134" t="str">
            <v>SIELMLGS002</v>
          </cell>
        </row>
        <row r="135">
          <cell r="A135" t="str">
            <v>SIELMLGS003</v>
          </cell>
        </row>
        <row r="136">
          <cell r="A136" t="str">
            <v>SIELMLGS004</v>
          </cell>
        </row>
        <row r="137">
          <cell r="A137" t="str">
            <v>SIELMLGS005</v>
          </cell>
        </row>
        <row r="138">
          <cell r="A138" t="str">
            <v>SIELMLGS006</v>
          </cell>
        </row>
        <row r="139">
          <cell r="A139" t="str">
            <v>SIELMLGS007</v>
          </cell>
        </row>
        <row r="140">
          <cell r="A140" t="str">
            <v>SAPLMLGS001</v>
          </cell>
        </row>
        <row r="141">
          <cell r="A141" t="str">
            <v>SIELGRWM001</v>
          </cell>
        </row>
        <row r="142">
          <cell r="A142" t="str">
            <v>SIELMLC1026</v>
          </cell>
        </row>
        <row r="143">
          <cell r="A143" t="str">
            <v>SIELLPAL001</v>
          </cell>
        </row>
        <row r="144">
          <cell r="A144" t="str">
            <v>SECLMLAL001</v>
          </cell>
        </row>
        <row r="145">
          <cell r="A145" t="str">
            <v>SECLMLAL002</v>
          </cell>
        </row>
        <row r="146">
          <cell r="A146" t="str">
            <v>SECLMLAL003</v>
          </cell>
        </row>
        <row r="147">
          <cell r="A147" t="str">
            <v>SECLMLAL004</v>
          </cell>
        </row>
        <row r="148">
          <cell r="A148" t="str">
            <v>CHHQCDML005</v>
          </cell>
        </row>
        <row r="149">
          <cell r="A149" t="str">
            <v>SIELAUAL018</v>
          </cell>
        </row>
        <row r="150">
          <cell r="A150" t="str">
            <v>MUDRCOAL004</v>
          </cell>
        </row>
        <row r="151">
          <cell r="A151" t="str">
            <v>MUDRCOAL005</v>
          </cell>
        </row>
        <row r="152">
          <cell r="A152" t="str">
            <v>SIELLPAL002</v>
          </cell>
        </row>
        <row r="153">
          <cell r="A153" t="str">
            <v>SIELMLAL004</v>
          </cell>
        </row>
        <row r="154">
          <cell r="A154" t="str">
            <v>SIELLPAL003</v>
          </cell>
        </row>
        <row r="155">
          <cell r="A155" t="str">
            <v>SIELLPAL004</v>
          </cell>
        </row>
        <row r="156">
          <cell r="A156" t="str">
            <v>SIELLPAL005</v>
          </cell>
        </row>
        <row r="157">
          <cell r="A157" t="str">
            <v>SIELLPAL006</v>
          </cell>
        </row>
        <row r="158">
          <cell r="A158" t="str">
            <v>SIELMLAL005</v>
          </cell>
        </row>
        <row r="159">
          <cell r="A159" t="str">
            <v>SIELLPAL007</v>
          </cell>
        </row>
        <row r="160">
          <cell r="A160" t="str">
            <v>SIELITAL002</v>
          </cell>
        </row>
        <row r="161">
          <cell r="A161" t="str">
            <v>SIELITAL003</v>
          </cell>
        </row>
        <row r="162">
          <cell r="A162" t="str">
            <v>SIELMLOU020</v>
          </cell>
        </row>
        <row r="163">
          <cell r="A163" t="str">
            <v>SIELMLOU021</v>
          </cell>
        </row>
        <row r="164">
          <cell r="A164" t="str">
            <v>SIELMLOU022</v>
          </cell>
        </row>
        <row r="165">
          <cell r="A165" t="str">
            <v>SIELLPAL009</v>
          </cell>
        </row>
        <row r="166">
          <cell r="A166" t="str">
            <v>SIELMLAL006</v>
          </cell>
        </row>
        <row r="167">
          <cell r="A167" t="str">
            <v>SIELMLC1027</v>
          </cell>
        </row>
        <row r="168">
          <cell r="A168" t="str">
            <v>SIELAUAL019</v>
          </cell>
        </row>
        <row r="169">
          <cell r="A169" t="str">
            <v>SIELITAL004</v>
          </cell>
        </row>
        <row r="170">
          <cell r="A170" t="str">
            <v>SIELITAL005</v>
          </cell>
        </row>
        <row r="171">
          <cell r="A171" t="str">
            <v>SIELITAL006</v>
          </cell>
        </row>
        <row r="172">
          <cell r="A172" t="str">
            <v>SIELITAL007</v>
          </cell>
        </row>
        <row r="173">
          <cell r="A173" t="str">
            <v>SIELCDAL008</v>
          </cell>
        </row>
        <row r="174">
          <cell r="A174" t="str">
            <v>SIELACAL001</v>
          </cell>
        </row>
        <row r="175">
          <cell r="A175" t="str">
            <v>SIELACAL002</v>
          </cell>
        </row>
        <row r="176">
          <cell r="A176" t="str">
            <v>SIELAUAL020</v>
          </cell>
        </row>
        <row r="177">
          <cell r="A177" t="str">
            <v>SIELMLC1028</v>
          </cell>
        </row>
        <row r="178">
          <cell r="A178" t="str">
            <v>SIELMLC1029</v>
          </cell>
        </row>
        <row r="179">
          <cell r="A179" t="str">
            <v>SIELMLC1030</v>
          </cell>
        </row>
        <row r="180">
          <cell r="A180" t="str">
            <v>SIELMLC1031</v>
          </cell>
        </row>
        <row r="181">
          <cell r="A181" t="str">
            <v>SIELMLC1031</v>
          </cell>
        </row>
        <row r="182">
          <cell r="A182" t="str">
            <v>SIELMLC1032</v>
          </cell>
        </row>
        <row r="183">
          <cell r="A183" t="str">
            <v>SIELLPAL010</v>
          </cell>
        </row>
        <row r="184">
          <cell r="A184" t="str">
            <v>SIELITAL008</v>
          </cell>
        </row>
        <row r="185">
          <cell r="A185" t="str">
            <v>SIELMLC1033</v>
          </cell>
        </row>
        <row r="186">
          <cell r="A186" t="str">
            <v>SIELLPAL011</v>
          </cell>
        </row>
        <row r="187">
          <cell r="A187" t="str">
            <v>SIELMOAL010</v>
          </cell>
        </row>
        <row r="188">
          <cell r="A188" t="str">
            <v>SIELMLAL007</v>
          </cell>
        </row>
        <row r="189">
          <cell r="A189" t="str">
            <v>SIELMLE7002</v>
          </cell>
        </row>
        <row r="190">
          <cell r="A190" t="str">
            <v>SIELMLOU023</v>
          </cell>
        </row>
        <row r="191">
          <cell r="A191" t="str">
            <v>SIELMLOU024</v>
          </cell>
        </row>
        <row r="192">
          <cell r="A192" t="str">
            <v>SIELLPOU012</v>
          </cell>
        </row>
        <row r="193">
          <cell r="A193" t="str">
            <v>SIELCDAL009</v>
          </cell>
        </row>
        <row r="194">
          <cell r="A194" t="str">
            <v>SIELCDAL010</v>
          </cell>
        </row>
        <row r="195">
          <cell r="A195" t="str">
            <v>SIELCDAL011</v>
          </cell>
        </row>
        <row r="196">
          <cell r="A196" t="str">
            <v>SIELITAL009</v>
          </cell>
        </row>
        <row r="197">
          <cell r="A197" t="str">
            <v>SIELMLE7003</v>
          </cell>
        </row>
        <row r="198">
          <cell r="A198" t="str">
            <v>SIELAUAL021</v>
          </cell>
        </row>
        <row r="199">
          <cell r="A199" t="str">
            <v>SIELITAL010</v>
          </cell>
        </row>
        <row r="200">
          <cell r="A200" t="str">
            <v>SIELMLOU025</v>
          </cell>
        </row>
        <row r="201">
          <cell r="A201" t="str">
            <v>SIELMLOU026</v>
          </cell>
        </row>
        <row r="202">
          <cell r="A202" t="str">
            <v>SIELMLOU027</v>
          </cell>
        </row>
        <row r="203">
          <cell r="A203" t="str">
            <v>SIELMLOU028</v>
          </cell>
        </row>
        <row r="204">
          <cell r="A204" t="str">
            <v>SIELMLOU029</v>
          </cell>
        </row>
        <row r="205">
          <cell r="A205" t="str">
            <v>TRITALCO004</v>
          </cell>
        </row>
        <row r="206">
          <cell r="A206" t="str">
            <v>SIELMLC1034</v>
          </cell>
        </row>
        <row r="207">
          <cell r="A207" t="str">
            <v>SIELMLC1035</v>
          </cell>
        </row>
        <row r="208">
          <cell r="A208" t="str">
            <v>SIELMLC1036</v>
          </cell>
        </row>
        <row r="209">
          <cell r="A209" t="str">
            <v>SIELMLE7005</v>
          </cell>
        </row>
        <row r="210">
          <cell r="A210" t="str">
            <v>SIELCDAL012</v>
          </cell>
        </row>
        <row r="211">
          <cell r="A211" t="str">
            <v>SIELMLAL008</v>
          </cell>
        </row>
        <row r="212">
          <cell r="A212" t="str">
            <v>SIELAUAL022</v>
          </cell>
        </row>
        <row r="213">
          <cell r="A213" t="str">
            <v>SIELAUAL023</v>
          </cell>
        </row>
        <row r="214">
          <cell r="A214" t="str">
            <v>SIELLPOU013</v>
          </cell>
        </row>
        <row r="215">
          <cell r="A215" t="str">
            <v>SIELMLAL009</v>
          </cell>
        </row>
        <row r="216">
          <cell r="A216">
            <v>0</v>
          </cell>
        </row>
        <row r="217">
          <cell r="A217">
            <v>0</v>
          </cell>
        </row>
        <row r="218">
          <cell r="A218" t="str">
            <v>SIELSSAL001</v>
          </cell>
        </row>
        <row r="219">
          <cell r="A219" t="str">
            <v>SIELMLC1037</v>
          </cell>
        </row>
        <row r="220">
          <cell r="A220" t="str">
            <v>SIELCDAL013</v>
          </cell>
        </row>
        <row r="221">
          <cell r="A221" t="str">
            <v>SIELCTAL014</v>
          </cell>
        </row>
        <row r="222">
          <cell r="A222" t="str">
            <v>SIELCTAL015</v>
          </cell>
        </row>
        <row r="223">
          <cell r="A223" t="str">
            <v>SIELMLE7006</v>
          </cell>
        </row>
        <row r="224">
          <cell r="A224" t="str">
            <v>SIELCDAL014</v>
          </cell>
        </row>
        <row r="225">
          <cell r="A225" t="str">
            <v>SIELMLAL010</v>
          </cell>
        </row>
        <row r="226">
          <cell r="A226">
            <v>0</v>
          </cell>
        </row>
        <row r="227">
          <cell r="A227" t="str">
            <v>SIELMLAL011</v>
          </cell>
        </row>
        <row r="228">
          <cell r="A228" t="str">
            <v>SIELMLAL012</v>
          </cell>
        </row>
        <row r="229">
          <cell r="A229" t="str">
            <v>SIELMLE7007</v>
          </cell>
        </row>
        <row r="230">
          <cell r="A230" t="str">
            <v>SIELMLAL013</v>
          </cell>
        </row>
        <row r="231">
          <cell r="A231" t="str">
            <v>MUDRCOAL006</v>
          </cell>
        </row>
        <row r="232">
          <cell r="A232">
            <v>0</v>
          </cell>
        </row>
        <row r="233">
          <cell r="A233">
            <v>0</v>
          </cell>
        </row>
        <row r="234">
          <cell r="A234">
            <v>0</v>
          </cell>
        </row>
        <row r="235">
          <cell r="A235">
            <v>0</v>
          </cell>
        </row>
        <row r="236">
          <cell r="A236">
            <v>0</v>
          </cell>
        </row>
        <row r="237">
          <cell r="A237" t="str">
            <v>SIELMLOU030</v>
          </cell>
        </row>
        <row r="238">
          <cell r="A238" t="str">
            <v>SIELMLOU031</v>
          </cell>
        </row>
        <row r="239">
          <cell r="A239" t="str">
            <v>SIELMLOU032</v>
          </cell>
        </row>
        <row r="240">
          <cell r="A240" t="str">
            <v>SIELLPAL014</v>
          </cell>
        </row>
        <row r="241">
          <cell r="A241" t="str">
            <v>SIELLPAL015</v>
          </cell>
        </row>
        <row r="242">
          <cell r="A242" t="str">
            <v>SIELLPAL016</v>
          </cell>
        </row>
        <row r="243">
          <cell r="A243" t="str">
            <v>SIELLPAL017</v>
          </cell>
        </row>
        <row r="244">
          <cell r="A244" t="str">
            <v>SIELLPAL018</v>
          </cell>
        </row>
        <row r="245">
          <cell r="A245" t="str">
            <v>SIELMLS5001</v>
          </cell>
        </row>
        <row r="246">
          <cell r="A246" t="str">
            <v>SIELMLGS008</v>
          </cell>
        </row>
        <row r="247">
          <cell r="A247" t="str">
            <v>CHHQMLAL001</v>
          </cell>
        </row>
        <row r="248">
          <cell r="A248" t="str">
            <v>CHHQMLAL002</v>
          </cell>
        </row>
        <row r="249">
          <cell r="A249" t="str">
            <v>CHHQMLAL003</v>
          </cell>
        </row>
        <row r="250">
          <cell r="A250" t="str">
            <v>SIELAUAL024</v>
          </cell>
        </row>
        <row r="251">
          <cell r="A251" t="str">
            <v>SIELAUAL025</v>
          </cell>
        </row>
        <row r="252">
          <cell r="A252" t="str">
            <v>SIELLPAL019</v>
          </cell>
        </row>
        <row r="253">
          <cell r="A253" t="str">
            <v>SIELMLC1038</v>
          </cell>
        </row>
        <row r="254">
          <cell r="A254" t="str">
            <v>SIELMLC1039</v>
          </cell>
        </row>
        <row r="255">
          <cell r="A255" t="str">
            <v>SIELAUAL026</v>
          </cell>
        </row>
        <row r="256">
          <cell r="A256" t="str">
            <v>SIELAUAL027</v>
          </cell>
        </row>
        <row r="257">
          <cell r="A257" t="str">
            <v>SIELMLAL014</v>
          </cell>
        </row>
        <row r="258">
          <cell r="A258" t="str">
            <v>SIELLPAL020</v>
          </cell>
        </row>
        <row r="259">
          <cell r="A259" t="str">
            <v>SIELLPAL021</v>
          </cell>
        </row>
        <row r="260">
          <cell r="A260" t="str">
            <v>SIELCTAL016</v>
          </cell>
        </row>
        <row r="261">
          <cell r="A261" t="str">
            <v>SIELMLAL015</v>
          </cell>
        </row>
        <row r="262">
          <cell r="A262" t="str">
            <v>SIELLPAL022</v>
          </cell>
        </row>
        <row r="263">
          <cell r="A263" t="str">
            <v>SIELLPAL023</v>
          </cell>
        </row>
        <row r="264">
          <cell r="A264" t="str">
            <v>SIELMLE7008</v>
          </cell>
        </row>
        <row r="265">
          <cell r="A265" t="str">
            <v>SIELMLR2016</v>
          </cell>
        </row>
        <row r="266">
          <cell r="A266" t="str">
            <v>SIELMLR2017</v>
          </cell>
        </row>
        <row r="267">
          <cell r="A267">
            <v>0</v>
          </cell>
        </row>
        <row r="268">
          <cell r="A268" t="str">
            <v>SIELPRAL001</v>
          </cell>
        </row>
        <row r="269">
          <cell r="A269" t="str">
            <v>SIELMLE7009</v>
          </cell>
        </row>
        <row r="270">
          <cell r="A270" t="str">
            <v>SIELLPAL024</v>
          </cell>
        </row>
        <row r="271">
          <cell r="A271" t="str">
            <v>SIELACAL003</v>
          </cell>
        </row>
        <row r="272">
          <cell r="A272" t="str">
            <v>SIELCTAL017</v>
          </cell>
        </row>
        <row r="273">
          <cell r="A273" t="str">
            <v>MUDRCOAL007</v>
          </cell>
        </row>
        <row r="274">
          <cell r="A274" t="str">
            <v>SIELACAL004</v>
          </cell>
        </row>
        <row r="275">
          <cell r="A275" t="str">
            <v>SIELMLS5002</v>
          </cell>
        </row>
        <row r="276">
          <cell r="A276" t="str">
            <v>SIELMLS5002</v>
          </cell>
        </row>
        <row r="277">
          <cell r="A277" t="str">
            <v>SIELMLAL016</v>
          </cell>
        </row>
        <row r="278">
          <cell r="A278" t="str">
            <v>SIELACAL005</v>
          </cell>
        </row>
        <row r="279">
          <cell r="A279" t="str">
            <v>MUDRCOAL008</v>
          </cell>
        </row>
        <row r="280">
          <cell r="A280" t="str">
            <v>SIELACAL006</v>
          </cell>
        </row>
        <row r="281">
          <cell r="A281" t="str">
            <v>SIELMLS5003</v>
          </cell>
        </row>
        <row r="282">
          <cell r="A282" t="str">
            <v>SIELMLS5004</v>
          </cell>
        </row>
        <row r="283">
          <cell r="A283" t="str">
            <v>SIELMLOU033</v>
          </cell>
        </row>
        <row r="284">
          <cell r="A284" t="str">
            <v>SIELMLC1040</v>
          </cell>
        </row>
        <row r="285">
          <cell r="A285" t="str">
            <v>SIELCTAL018</v>
          </cell>
        </row>
        <row r="286">
          <cell r="A286" t="str">
            <v>SIELMLC1041</v>
          </cell>
        </row>
        <row r="287">
          <cell r="A287" t="str">
            <v>SIELMLC1042</v>
          </cell>
        </row>
        <row r="288">
          <cell r="A288" t="str">
            <v>SIELPRAL002</v>
          </cell>
        </row>
        <row r="289">
          <cell r="A289" t="str">
            <v>SIELCTAL019</v>
          </cell>
        </row>
        <row r="290">
          <cell r="A290" t="str">
            <v>SIELPRAL003</v>
          </cell>
        </row>
        <row r="291">
          <cell r="A291" t="str">
            <v>SIELMLAL017</v>
          </cell>
        </row>
        <row r="292">
          <cell r="A292" t="str">
            <v>SIELLPAL025</v>
          </cell>
        </row>
        <row r="293">
          <cell r="A293" t="str">
            <v>SIELDVDAL001</v>
          </cell>
        </row>
        <row r="294">
          <cell r="A294" t="str">
            <v>SIELMLC1043</v>
          </cell>
        </row>
        <row r="295">
          <cell r="A295" t="str">
            <v>SIELMLE7010</v>
          </cell>
        </row>
        <row r="296">
          <cell r="A296" t="str">
            <v>SIELMLE7011</v>
          </cell>
        </row>
        <row r="297">
          <cell r="A297" t="str">
            <v>SIEL MOAL001</v>
          </cell>
        </row>
        <row r="298">
          <cell r="A298" t="str">
            <v>SIELMLS5005</v>
          </cell>
        </row>
        <row r="299">
          <cell r="A299" t="str">
            <v>SIELMLS5006</v>
          </cell>
        </row>
        <row r="300">
          <cell r="A300" t="str">
            <v>SIELLPAL026</v>
          </cell>
        </row>
        <row r="301">
          <cell r="A301" t="str">
            <v>SIELCTAL020</v>
          </cell>
        </row>
        <row r="302">
          <cell r="A302" t="str">
            <v>SIELACAL007</v>
          </cell>
        </row>
        <row r="303">
          <cell r="A303" t="str">
            <v>SIELMLE7012</v>
          </cell>
        </row>
        <row r="304">
          <cell r="A304" t="str">
            <v>SIELMLE7013</v>
          </cell>
        </row>
        <row r="305">
          <cell r="A305" t="str">
            <v>SIELACAL008</v>
          </cell>
        </row>
        <row r="306">
          <cell r="A306" t="str">
            <v>SIELACAL009</v>
          </cell>
        </row>
        <row r="307">
          <cell r="A307" t="str">
            <v>SIELMLC1044</v>
          </cell>
        </row>
        <row r="308">
          <cell r="A308" t="str">
            <v>SIELMLC1045</v>
          </cell>
        </row>
        <row r="309">
          <cell r="A309" t="str">
            <v>SIELMLC1046</v>
          </cell>
        </row>
        <row r="310">
          <cell r="A310" t="str">
            <v>SIELMLC1047</v>
          </cell>
        </row>
        <row r="311">
          <cell r="A311" t="str">
            <v>SIELLPAL027</v>
          </cell>
        </row>
        <row r="312">
          <cell r="A312" t="str">
            <v>SIELACAL010</v>
          </cell>
        </row>
        <row r="313">
          <cell r="A313" t="str">
            <v>SIELMLC1048</v>
          </cell>
        </row>
        <row r="314">
          <cell r="A314" t="str">
            <v>SIELMLC1049</v>
          </cell>
        </row>
        <row r="315">
          <cell r="A315" t="str">
            <v>SIELMLOU034</v>
          </cell>
        </row>
        <row r="316">
          <cell r="A316" t="str">
            <v>SIELMLOU035</v>
          </cell>
        </row>
        <row r="317">
          <cell r="A317" t="str">
            <v>SIELMLAL018</v>
          </cell>
        </row>
        <row r="318">
          <cell r="A318" t="str">
            <v>SIELMLAL019</v>
          </cell>
        </row>
        <row r="319">
          <cell r="A319" t="str">
            <v>SIELMLAL020</v>
          </cell>
        </row>
        <row r="320">
          <cell r="A320">
            <v>0</v>
          </cell>
        </row>
        <row r="321">
          <cell r="A321" t="str">
            <v>SAPLCTAL001</v>
          </cell>
        </row>
        <row r="322">
          <cell r="A322" t="str">
            <v>SAPLCTAL002</v>
          </cell>
        </row>
        <row r="323">
          <cell r="A323" t="str">
            <v>SIELMLC1050</v>
          </cell>
        </row>
        <row r="324">
          <cell r="A324" t="str">
            <v>SIELMLC1051</v>
          </cell>
        </row>
        <row r="325">
          <cell r="A325" t="str">
            <v>SIELMLAL021</v>
          </cell>
        </row>
        <row r="326">
          <cell r="A326" t="str">
            <v>SIELMLAL022</v>
          </cell>
        </row>
        <row r="327">
          <cell r="A327" t="str">
            <v>SIELACAL011</v>
          </cell>
        </row>
        <row r="328">
          <cell r="A328" t="str">
            <v>SIELCTAL021</v>
          </cell>
        </row>
        <row r="329">
          <cell r="A329" t="str">
            <v>SIELCTAL022</v>
          </cell>
        </row>
        <row r="330">
          <cell r="A330" t="str">
            <v>SIELMLAL023</v>
          </cell>
        </row>
        <row r="331">
          <cell r="A331" t="str">
            <v>SIELCTAL023</v>
          </cell>
        </row>
        <row r="332">
          <cell r="A332" t="str">
            <v>SIELPRAL004</v>
          </cell>
        </row>
        <row r="333">
          <cell r="A333" t="str">
            <v>SIELPRAL005</v>
          </cell>
        </row>
        <row r="334">
          <cell r="A334" t="str">
            <v>SIELCDRW015</v>
          </cell>
        </row>
        <row r="335">
          <cell r="A335">
            <v>0</v>
          </cell>
        </row>
        <row r="336">
          <cell r="A336" t="str">
            <v>SIELMLE7014</v>
          </cell>
        </row>
        <row r="337">
          <cell r="A337">
            <v>0</v>
          </cell>
        </row>
        <row r="338">
          <cell r="A338" t="str">
            <v>SIELPRAL006</v>
          </cell>
        </row>
        <row r="339">
          <cell r="A339" t="str">
            <v>SIELCTAL024</v>
          </cell>
        </row>
        <row r="340">
          <cell r="A340" t="str">
            <v>SIELMLC1052</v>
          </cell>
        </row>
        <row r="341">
          <cell r="A341" t="str">
            <v>SIELMLC1053</v>
          </cell>
        </row>
        <row r="342">
          <cell r="A342" t="str">
            <v>SIELMLS5007</v>
          </cell>
        </row>
        <row r="343">
          <cell r="A343" t="str">
            <v>SIELMLS5008</v>
          </cell>
        </row>
        <row r="344">
          <cell r="A344" t="str">
            <v>SIELMLAL024</v>
          </cell>
        </row>
        <row r="345">
          <cell r="A345" t="str">
            <v>SIELMLAL025</v>
          </cell>
        </row>
        <row r="346">
          <cell r="A346" t="str">
            <v>SIELMLC1054</v>
          </cell>
        </row>
        <row r="347">
          <cell r="A347" t="str">
            <v>SIELMLC1055</v>
          </cell>
        </row>
        <row r="348">
          <cell r="A348" t="str">
            <v>SIELMLC1056</v>
          </cell>
        </row>
        <row r="349">
          <cell r="A349" t="str">
            <v>SIELCDRW016</v>
          </cell>
        </row>
        <row r="350">
          <cell r="A350" t="str">
            <v>SIELCTAL025</v>
          </cell>
        </row>
        <row r="351">
          <cell r="A351" t="str">
            <v>SIELLPAL028</v>
          </cell>
        </row>
        <row r="352">
          <cell r="A352" t="str">
            <v>MUDRCOAL009</v>
          </cell>
        </row>
        <row r="353">
          <cell r="A353" t="str">
            <v>SIELACAL012</v>
          </cell>
        </row>
        <row r="354">
          <cell r="A354" t="str">
            <v>SIELCTAL026</v>
          </cell>
        </row>
        <row r="355">
          <cell r="A355" t="str">
            <v>SIELCTAL027</v>
          </cell>
        </row>
        <row r="356">
          <cell r="A356" t="str">
            <v>SIELMLS5009</v>
          </cell>
        </row>
        <row r="357">
          <cell r="A357" t="str">
            <v>SIELMLS5010</v>
          </cell>
        </row>
        <row r="358">
          <cell r="A358">
            <v>0</v>
          </cell>
        </row>
        <row r="359">
          <cell r="A359" t="str">
            <v>SIELCDRW017</v>
          </cell>
        </row>
        <row r="360">
          <cell r="A360" t="str">
            <v>SIELMLX4001</v>
          </cell>
        </row>
        <row r="361">
          <cell r="A361" t="str">
            <v>SIELMLX4002</v>
          </cell>
        </row>
        <row r="362">
          <cell r="A362" t="str">
            <v>SIELMLX1001</v>
          </cell>
        </row>
        <row r="363">
          <cell r="A363" t="str">
            <v>SIELMLX1002</v>
          </cell>
        </row>
        <row r="364">
          <cell r="A364" t="str">
            <v>SIELMLC1057</v>
          </cell>
        </row>
        <row r="365">
          <cell r="A365" t="str">
            <v>SIELMLC1058</v>
          </cell>
        </row>
        <row r="366">
          <cell r="A366" t="str">
            <v>SIELMLC1059</v>
          </cell>
        </row>
        <row r="367">
          <cell r="A367" t="str">
            <v>SIELMLC1060</v>
          </cell>
        </row>
        <row r="368">
          <cell r="A368" t="str">
            <v>SIELMLCD001</v>
          </cell>
        </row>
        <row r="369">
          <cell r="A369" t="str">
            <v>SIELPRAL007</v>
          </cell>
        </row>
        <row r="370">
          <cell r="A370" t="str">
            <v>SIELPRAL008</v>
          </cell>
        </row>
        <row r="371">
          <cell r="A371" t="str">
            <v>SIELPRAL009</v>
          </cell>
        </row>
        <row r="372">
          <cell r="A372">
            <v>0</v>
          </cell>
        </row>
        <row r="373">
          <cell r="A373" t="str">
            <v>SIELPRAL010</v>
          </cell>
        </row>
        <row r="374">
          <cell r="A374" t="str">
            <v>SIELMLS5011</v>
          </cell>
        </row>
        <row r="375">
          <cell r="A375" t="str">
            <v>SIELMLAL026</v>
          </cell>
        </row>
        <row r="376">
          <cell r="A376" t="str">
            <v>SIELCRAL003</v>
          </cell>
        </row>
        <row r="377">
          <cell r="A377" t="str">
            <v>SIELMLC1061</v>
          </cell>
        </row>
        <row r="378">
          <cell r="A378" t="str">
            <v>SIELPRAL011</v>
          </cell>
        </row>
        <row r="379">
          <cell r="A379" t="str">
            <v>SIELPRAL012</v>
          </cell>
        </row>
        <row r="380">
          <cell r="A380" t="str">
            <v>SIELPRAL013</v>
          </cell>
        </row>
        <row r="381">
          <cell r="A381" t="str">
            <v>SIELMLAL027</v>
          </cell>
        </row>
        <row r="382">
          <cell r="A382" t="str">
            <v>SIELMLAL028</v>
          </cell>
        </row>
        <row r="383">
          <cell r="A383" t="str">
            <v>SIELMLCD002</v>
          </cell>
        </row>
        <row r="384">
          <cell r="A384" t="str">
            <v>MUDRCOAL010</v>
          </cell>
        </row>
        <row r="385">
          <cell r="A385" t="str">
            <v>SIELMLC1062</v>
          </cell>
        </row>
        <row r="386">
          <cell r="A386" t="str">
            <v>SIELMLC1063</v>
          </cell>
        </row>
        <row r="387">
          <cell r="A387" t="str">
            <v>CHHQMLOT001</v>
          </cell>
        </row>
        <row r="388">
          <cell r="A388" t="str">
            <v>SIELMLOU036</v>
          </cell>
        </row>
        <row r="389">
          <cell r="A389" t="str">
            <v>SIELMLOU037</v>
          </cell>
        </row>
        <row r="390">
          <cell r="A390" t="str">
            <v>SIELSSAL002</v>
          </cell>
        </row>
        <row r="391">
          <cell r="A391" t="str">
            <v>SIELACAL013</v>
          </cell>
        </row>
        <row r="392">
          <cell r="A392" t="str">
            <v>SIELCTAL028</v>
          </cell>
        </row>
        <row r="393">
          <cell r="A393" t="str">
            <v>SIELMLX1003</v>
          </cell>
        </row>
        <row r="394">
          <cell r="A394" t="str">
            <v>SIELMLE7015</v>
          </cell>
        </row>
        <row r="395">
          <cell r="A395" t="str">
            <v>SIELCTAL029</v>
          </cell>
        </row>
        <row r="396">
          <cell r="A396" t="str">
            <v>SIELCTAL030</v>
          </cell>
        </row>
        <row r="397">
          <cell r="A397" t="str">
            <v>SIELACAL014</v>
          </cell>
        </row>
        <row r="398">
          <cell r="A398" t="str">
            <v>SIELCRAL004</v>
          </cell>
        </row>
        <row r="399">
          <cell r="A399" t="str">
            <v>SIELMLAL029</v>
          </cell>
        </row>
        <row r="400">
          <cell r="A400" t="str">
            <v>SIELMLAL030</v>
          </cell>
        </row>
        <row r="401">
          <cell r="A401" t="str">
            <v>SIELMLAL031</v>
          </cell>
        </row>
        <row r="402">
          <cell r="A402" t="str">
            <v>SIELMLAL032</v>
          </cell>
        </row>
        <row r="403">
          <cell r="A403" t="str">
            <v>SIELMLS5012</v>
          </cell>
        </row>
        <row r="404">
          <cell r="A404" t="str">
            <v>SIELMLS5013</v>
          </cell>
        </row>
        <row r="405">
          <cell r="A405" t="str">
            <v>SIELLPAL029</v>
          </cell>
        </row>
        <row r="406">
          <cell r="A406" t="str">
            <v>SIELLPAL030</v>
          </cell>
        </row>
        <row r="407">
          <cell r="A407" t="str">
            <v>SIELACAL015</v>
          </cell>
        </row>
        <row r="408">
          <cell r="A408" t="str">
            <v>SIELMLS5014</v>
          </cell>
        </row>
        <row r="409">
          <cell r="A409" t="str">
            <v>SIELMLE7016</v>
          </cell>
        </row>
        <row r="410">
          <cell r="A410" t="str">
            <v>SIELMLC1064</v>
          </cell>
        </row>
        <row r="411">
          <cell r="A411">
            <v>0</v>
          </cell>
        </row>
        <row r="412">
          <cell r="A412" t="str">
            <v>SIELMLX6001</v>
          </cell>
        </row>
        <row r="413">
          <cell r="A413" t="str">
            <v>SIELCTAL031</v>
          </cell>
        </row>
        <row r="414">
          <cell r="A414" t="str">
            <v>SIELMLX1004</v>
          </cell>
        </row>
        <row r="415">
          <cell r="A415" t="str">
            <v>SIELMLX1005</v>
          </cell>
        </row>
        <row r="416">
          <cell r="A416" t="str">
            <v>SIELACAL016</v>
          </cell>
        </row>
        <row r="417">
          <cell r="A417" t="str">
            <v>SIELCTAL032</v>
          </cell>
        </row>
        <row r="418">
          <cell r="A418" t="str">
            <v>SIELACAL017</v>
          </cell>
        </row>
        <row r="419">
          <cell r="A419" t="str">
            <v>SIELMLX6002</v>
          </cell>
        </row>
        <row r="420">
          <cell r="A420" t="str">
            <v>SIELMLAL033</v>
          </cell>
        </row>
        <row r="421">
          <cell r="A421" t="str">
            <v>SIELMLX1006</v>
          </cell>
        </row>
        <row r="422">
          <cell r="A422" t="str">
            <v>SIELMLX1007</v>
          </cell>
        </row>
        <row r="423">
          <cell r="A423" t="str">
            <v>SIELCRAL005</v>
          </cell>
        </row>
        <row r="424">
          <cell r="A424" t="str">
            <v>SIELACAL018</v>
          </cell>
        </row>
        <row r="425">
          <cell r="A425" t="str">
            <v>SIELCDRW018</v>
          </cell>
        </row>
        <row r="426">
          <cell r="A426" t="str">
            <v>SIELCDRW019</v>
          </cell>
        </row>
        <row r="427">
          <cell r="A427" t="str">
            <v>SIELACAL019</v>
          </cell>
        </row>
        <row r="428">
          <cell r="A428" t="str">
            <v>SIELACAL020</v>
          </cell>
        </row>
        <row r="429">
          <cell r="A429" t="str">
            <v>SIELCTAL033</v>
          </cell>
        </row>
        <row r="430">
          <cell r="A430" t="str">
            <v>SIELCTAL034</v>
          </cell>
        </row>
        <row r="431">
          <cell r="A431" t="str">
            <v>SIELCTAL035</v>
          </cell>
        </row>
        <row r="432">
          <cell r="A432">
            <v>0</v>
          </cell>
        </row>
        <row r="433">
          <cell r="A433">
            <v>0</v>
          </cell>
        </row>
        <row r="434">
          <cell r="A434" t="str">
            <v>SIELMLAL034</v>
          </cell>
        </row>
        <row r="435">
          <cell r="A435" t="str">
            <v>SIELMLAL035</v>
          </cell>
        </row>
        <row r="436">
          <cell r="A436" t="str">
            <v>SIELCTAL036</v>
          </cell>
        </row>
        <row r="437">
          <cell r="A437" t="str">
            <v>SIELCTAL037</v>
          </cell>
        </row>
        <row r="438">
          <cell r="A438" t="str">
            <v>SIELCTAL038</v>
          </cell>
        </row>
        <row r="439">
          <cell r="A439" t="str">
            <v>SIELCTAL039</v>
          </cell>
        </row>
        <row r="440">
          <cell r="A440" t="str">
            <v>SIELMLAL036</v>
          </cell>
        </row>
        <row r="441">
          <cell r="A441" t="str">
            <v>SIELMLX6003</v>
          </cell>
        </row>
        <row r="442">
          <cell r="A442" t="str">
            <v>SIELMLX6004</v>
          </cell>
        </row>
        <row r="443">
          <cell r="A443" t="str">
            <v>SIELMLX6005</v>
          </cell>
        </row>
        <row r="444">
          <cell r="A444" t="str">
            <v>SIELAUAL028</v>
          </cell>
        </row>
        <row r="445">
          <cell r="A445" t="str">
            <v>SIELAUAL029</v>
          </cell>
        </row>
        <row r="446">
          <cell r="A446" t="str">
            <v>SIELAUAL030</v>
          </cell>
        </row>
        <row r="447">
          <cell r="A447" t="str">
            <v>SIELAUAL031</v>
          </cell>
        </row>
        <row r="448">
          <cell r="A448" t="str">
            <v>SIELMLX6006</v>
          </cell>
        </row>
        <row r="449">
          <cell r="A449" t="str">
            <v>SIELMLX6007</v>
          </cell>
        </row>
        <row r="450">
          <cell r="A450" t="str">
            <v>SIELMLX6008</v>
          </cell>
        </row>
        <row r="451">
          <cell r="A451" t="str">
            <v>CHHQMLOT002</v>
          </cell>
        </row>
        <row r="452">
          <cell r="A452" t="str">
            <v>CHHQMLOT003</v>
          </cell>
        </row>
        <row r="453">
          <cell r="A453" t="str">
            <v>CHHQMLOT004</v>
          </cell>
        </row>
        <row r="454">
          <cell r="A454" t="str">
            <v>SIELLPAL031</v>
          </cell>
        </row>
        <row r="455">
          <cell r="A455" t="str">
            <v>SIELCTAL040</v>
          </cell>
        </row>
        <row r="456">
          <cell r="A456" t="str">
            <v>SIELCTAL041</v>
          </cell>
        </row>
        <row r="457">
          <cell r="A457" t="str">
            <v>SIELMLAL037</v>
          </cell>
        </row>
        <row r="458">
          <cell r="A458" t="str">
            <v>SIELMLAL038</v>
          </cell>
        </row>
        <row r="459">
          <cell r="A459" t="str">
            <v>SIELCTAL042</v>
          </cell>
        </row>
        <row r="460">
          <cell r="A460" t="str">
            <v>SIELCTAL043</v>
          </cell>
        </row>
        <row r="461">
          <cell r="A461" t="str">
            <v>SIELCTAL044</v>
          </cell>
        </row>
        <row r="462">
          <cell r="A462" t="str">
            <v>SIELCTAL045</v>
          </cell>
        </row>
        <row r="463">
          <cell r="A463" t="str">
            <v>SIELMLAL039</v>
          </cell>
        </row>
        <row r="464">
          <cell r="A464" t="str">
            <v>SIELAUAL032</v>
          </cell>
        </row>
        <row r="465">
          <cell r="A465" t="str">
            <v>SIELACAL021</v>
          </cell>
        </row>
        <row r="466">
          <cell r="A466" t="str">
            <v>SIELCTAL046</v>
          </cell>
        </row>
        <row r="467">
          <cell r="A467" t="str">
            <v>SIELCTAL047</v>
          </cell>
        </row>
        <row r="468">
          <cell r="A468" t="str">
            <v>SIELMLX6009</v>
          </cell>
        </row>
        <row r="469">
          <cell r="A469" t="str">
            <v>SIELMLAL040</v>
          </cell>
        </row>
        <row r="470">
          <cell r="A470" t="str">
            <v>SIELCTAL048</v>
          </cell>
        </row>
        <row r="471">
          <cell r="A471" t="str">
            <v>SIELACAL022</v>
          </cell>
        </row>
        <row r="472">
          <cell r="A472" t="str">
            <v>SIELMLAL041</v>
          </cell>
        </row>
        <row r="473">
          <cell r="A473" t="str">
            <v>SIELMLX6010</v>
          </cell>
        </row>
        <row r="474">
          <cell r="A474" t="str">
            <v>SIELMLAL042</v>
          </cell>
        </row>
        <row r="475">
          <cell r="A475" t="str">
            <v>SIELMLAL043</v>
          </cell>
        </row>
        <row r="476">
          <cell r="A476" t="str">
            <v>SIELMLAL044</v>
          </cell>
        </row>
        <row r="477">
          <cell r="A477" t="str">
            <v>SIELMLAL045</v>
          </cell>
        </row>
        <row r="478">
          <cell r="A478" t="str">
            <v>SIELMLAL046</v>
          </cell>
        </row>
        <row r="479">
          <cell r="A479" t="str">
            <v>SIELCTAL049</v>
          </cell>
        </row>
        <row r="480">
          <cell r="A480" t="str">
            <v>SIELPRAL014</v>
          </cell>
        </row>
        <row r="481">
          <cell r="A481" t="str">
            <v>SIELCRAL006</v>
          </cell>
        </row>
        <row r="482">
          <cell r="A482" t="str">
            <v>SIELMLAL047</v>
          </cell>
        </row>
        <row r="483">
          <cell r="A483" t="str">
            <v>SIELMLAL048</v>
          </cell>
        </row>
        <row r="484">
          <cell r="A484" t="str">
            <v>SIELMLAL049</v>
          </cell>
        </row>
        <row r="485">
          <cell r="A485" t="str">
            <v>SIELMLAL050</v>
          </cell>
        </row>
        <row r="486">
          <cell r="A486" t="str">
            <v>SIELCDRW020</v>
          </cell>
        </row>
        <row r="487">
          <cell r="A487" t="str">
            <v>SIEL MOAL012</v>
          </cell>
        </row>
        <row r="488">
          <cell r="A488" t="str">
            <v>SIEL MOAL013</v>
          </cell>
        </row>
        <row r="489">
          <cell r="A489" t="str">
            <v>SIELPRAL015</v>
          </cell>
        </row>
        <row r="490">
          <cell r="A490" t="str">
            <v>SIELACAL023</v>
          </cell>
        </row>
        <row r="491">
          <cell r="A491" t="str">
            <v>SIELACAL024</v>
          </cell>
        </row>
        <row r="492">
          <cell r="A492" t="str">
            <v>SIELPRAL016</v>
          </cell>
        </row>
        <row r="493">
          <cell r="A493" t="str">
            <v>SIELPRAL017</v>
          </cell>
        </row>
        <row r="494">
          <cell r="A494" t="str">
            <v>SIELMLAL051</v>
          </cell>
        </row>
        <row r="495">
          <cell r="A495" t="str">
            <v>SIELPRAL018</v>
          </cell>
        </row>
        <row r="496">
          <cell r="A496" t="str">
            <v>SIELPRAL019</v>
          </cell>
        </row>
        <row r="497">
          <cell r="A497" t="str">
            <v>SIELCTAL050</v>
          </cell>
        </row>
        <row r="498">
          <cell r="A498" t="str">
            <v>SIELACAL025</v>
          </cell>
        </row>
        <row r="499">
          <cell r="A499" t="str">
            <v>TWIIMLAL001</v>
          </cell>
        </row>
        <row r="500">
          <cell r="A500" t="str">
            <v>SIELPRAL20</v>
          </cell>
        </row>
        <row r="501">
          <cell r="A501" t="str">
            <v>SIELPRAL021</v>
          </cell>
        </row>
        <row r="502">
          <cell r="A502" t="str">
            <v>SIELMLX6011</v>
          </cell>
        </row>
        <row r="503">
          <cell r="A503" t="str">
            <v>SIELMLX6012</v>
          </cell>
        </row>
        <row r="504">
          <cell r="A504">
            <v>0</v>
          </cell>
        </row>
        <row r="505">
          <cell r="A505" t="str">
            <v>CHHQTRAL004</v>
          </cell>
        </row>
        <row r="506">
          <cell r="A506" t="str">
            <v>SIELCTAL051</v>
          </cell>
        </row>
        <row r="507">
          <cell r="A507" t="str">
            <v>SIELCTAL052</v>
          </cell>
        </row>
        <row r="508">
          <cell r="A508" t="str">
            <v>SIELCTAL053</v>
          </cell>
        </row>
        <row r="509">
          <cell r="A509" t="str">
            <v>SIELCRAL007</v>
          </cell>
        </row>
        <row r="510">
          <cell r="A510" t="str">
            <v>SIELCTAL054</v>
          </cell>
        </row>
        <row r="511">
          <cell r="A511" t="str">
            <v>SIELCTAL055</v>
          </cell>
        </row>
        <row r="512">
          <cell r="A512" t="str">
            <v>SIELSSAL003</v>
          </cell>
        </row>
        <row r="513">
          <cell r="A513" t="str">
            <v>SIELCTAL056</v>
          </cell>
        </row>
        <row r="514">
          <cell r="A514" t="str">
            <v>SIELMLAL052</v>
          </cell>
        </row>
        <row r="515">
          <cell r="A515" t="str">
            <v>SIELMLAL053</v>
          </cell>
        </row>
        <row r="516">
          <cell r="A516" t="str">
            <v>SIELMLX6013</v>
          </cell>
        </row>
        <row r="517">
          <cell r="A517" t="str">
            <v>SIELMLE7017</v>
          </cell>
        </row>
        <row r="518">
          <cell r="A518" t="str">
            <v>SIELMLX6014</v>
          </cell>
        </row>
        <row r="519">
          <cell r="A519" t="str">
            <v>SIELMLX6015</v>
          </cell>
        </row>
        <row r="520">
          <cell r="A520">
            <v>0</v>
          </cell>
        </row>
        <row r="521">
          <cell r="A521" t="str">
            <v>SIELCTAL057</v>
          </cell>
        </row>
        <row r="522">
          <cell r="A522" t="str">
            <v>SIELCDRW021</v>
          </cell>
        </row>
        <row r="523">
          <cell r="A523" t="str">
            <v>SIELCDRW022</v>
          </cell>
        </row>
        <row r="524">
          <cell r="A524" t="str">
            <v>SIELMLAL054</v>
          </cell>
        </row>
        <row r="525">
          <cell r="A525" t="str">
            <v>SIELMLAL055</v>
          </cell>
        </row>
        <row r="526">
          <cell r="A526">
            <v>0</v>
          </cell>
        </row>
        <row r="527">
          <cell r="A527" t="str">
            <v>SIELCTAL058</v>
          </cell>
        </row>
        <row r="528">
          <cell r="A528" t="str">
            <v>SIELMLX6016</v>
          </cell>
        </row>
        <row r="529">
          <cell r="A529" t="str">
            <v>SIELMLX6017</v>
          </cell>
        </row>
        <row r="530">
          <cell r="A530" t="str">
            <v>SIELCTAL059</v>
          </cell>
        </row>
        <row r="531">
          <cell r="A531" t="str">
            <v>SIELCTAL060</v>
          </cell>
        </row>
        <row r="532">
          <cell r="A532" t="str">
            <v>SIELCRAL008</v>
          </cell>
        </row>
        <row r="533">
          <cell r="A533" t="str">
            <v>SIELPRAL022</v>
          </cell>
        </row>
        <row r="534">
          <cell r="A534" t="str">
            <v>SIELMLX6018</v>
          </cell>
        </row>
        <row r="535">
          <cell r="A535" t="str">
            <v>SIELCTAL061</v>
          </cell>
        </row>
        <row r="536">
          <cell r="A536" t="str">
            <v>SIELPRAL023</v>
          </cell>
        </row>
        <row r="537">
          <cell r="A537" t="str">
            <v>SIELMLAL056</v>
          </cell>
        </row>
        <row r="538">
          <cell r="A538" t="str">
            <v>SIELCRAL009</v>
          </cell>
        </row>
        <row r="539">
          <cell r="A539" t="str">
            <v>SIELMLAL057</v>
          </cell>
        </row>
        <row r="540">
          <cell r="A540">
            <v>0</v>
          </cell>
        </row>
        <row r="541">
          <cell r="A541" t="str">
            <v>CHHQMLOT005</v>
          </cell>
        </row>
        <row r="542">
          <cell r="A542" t="str">
            <v>SIELOTAL001</v>
          </cell>
        </row>
        <row r="543">
          <cell r="A543" t="str">
            <v>SIELCTAL062</v>
          </cell>
        </row>
        <row r="544">
          <cell r="A544" t="str">
            <v>SIELMLAL058</v>
          </cell>
        </row>
        <row r="545">
          <cell r="A545" t="str">
            <v>SIELMLAL059</v>
          </cell>
        </row>
        <row r="546">
          <cell r="A546" t="str">
            <v>SIELMLAL060</v>
          </cell>
        </row>
        <row r="547">
          <cell r="A547" t="str">
            <v>SIELMLX6019</v>
          </cell>
        </row>
        <row r="548">
          <cell r="A548" t="str">
            <v>SIELCRAL010</v>
          </cell>
        </row>
        <row r="549">
          <cell r="A549" t="str">
            <v>SIELCRAL011</v>
          </cell>
        </row>
        <row r="550">
          <cell r="A550" t="str">
            <v>MUDRCOAL011</v>
          </cell>
        </row>
        <row r="551">
          <cell r="A551" t="str">
            <v>SIELACAL026</v>
          </cell>
        </row>
        <row r="552">
          <cell r="A552" t="str">
            <v>SIELMLX6020</v>
          </cell>
        </row>
        <row r="553">
          <cell r="A553" t="str">
            <v>SIELMLAL061</v>
          </cell>
        </row>
        <row r="554">
          <cell r="A554" t="str">
            <v>SIELCTAL063</v>
          </cell>
        </row>
        <row r="555">
          <cell r="A555" t="str">
            <v>SIELCTAL064</v>
          </cell>
        </row>
        <row r="556">
          <cell r="A556" t="str">
            <v>SIELMLAL062</v>
          </cell>
        </row>
        <row r="557">
          <cell r="A557" t="str">
            <v>SIELMLAL063</v>
          </cell>
        </row>
        <row r="558">
          <cell r="A558">
            <v>0</v>
          </cell>
        </row>
        <row r="559">
          <cell r="A559" t="str">
            <v>SIELMLOU038</v>
          </cell>
        </row>
        <row r="560">
          <cell r="A560" t="str">
            <v>SIELCTAL065</v>
          </cell>
        </row>
        <row r="561">
          <cell r="A561" t="str">
            <v>SIELMLE7018</v>
          </cell>
        </row>
        <row r="562">
          <cell r="A562" t="str">
            <v>SIELMLX6021</v>
          </cell>
        </row>
        <row r="563">
          <cell r="A563" t="str">
            <v>SIELACAL027</v>
          </cell>
        </row>
        <row r="564">
          <cell r="A564" t="str">
            <v>SIELMLX6022</v>
          </cell>
        </row>
        <row r="565">
          <cell r="A565" t="str">
            <v>SIELCTAL066</v>
          </cell>
        </row>
        <row r="566">
          <cell r="A566" t="str">
            <v>SIELPRAL024</v>
          </cell>
        </row>
        <row r="567">
          <cell r="A567" t="str">
            <v>SIELPRAL025</v>
          </cell>
        </row>
        <row r="568">
          <cell r="A568" t="str">
            <v>SIELMLX1008</v>
          </cell>
        </row>
        <row r="569">
          <cell r="A569" t="str">
            <v>SIELMLX1009</v>
          </cell>
        </row>
        <row r="570">
          <cell r="A570" t="str">
            <v>SIELCRAL012</v>
          </cell>
        </row>
        <row r="571">
          <cell r="A571" t="str">
            <v>SIELPRAL026</v>
          </cell>
        </row>
        <row r="572">
          <cell r="A572" t="str">
            <v>SIELMLX1010</v>
          </cell>
        </row>
        <row r="573">
          <cell r="A573" t="str">
            <v>SIELMLX1011</v>
          </cell>
        </row>
        <row r="574">
          <cell r="A574" t="str">
            <v>SIELOTRAL001</v>
          </cell>
        </row>
        <row r="575">
          <cell r="A575" t="str">
            <v>SIELCTAL067</v>
          </cell>
        </row>
        <row r="576">
          <cell r="A576" t="str">
            <v>SIELCTAL068</v>
          </cell>
        </row>
        <row r="577">
          <cell r="A577" t="str">
            <v>SIELMLE7019</v>
          </cell>
        </row>
        <row r="578">
          <cell r="A578" t="str">
            <v>SIELMLE7020</v>
          </cell>
        </row>
        <row r="579">
          <cell r="A579" t="str">
            <v>SIELMLAL064</v>
          </cell>
        </row>
        <row r="580">
          <cell r="A580" t="str">
            <v>SIELMLAL065</v>
          </cell>
        </row>
        <row r="581">
          <cell r="A581" t="str">
            <v>SIELMLAL066</v>
          </cell>
        </row>
        <row r="582">
          <cell r="A582" t="str">
            <v>SIELMLAL067</v>
          </cell>
        </row>
        <row r="583">
          <cell r="A583" t="str">
            <v>SIELMLAL068</v>
          </cell>
        </row>
        <row r="584">
          <cell r="A584" t="str">
            <v>SIELMLAL069</v>
          </cell>
        </row>
        <row r="585">
          <cell r="A585" t="str">
            <v>SIELMLAL070</v>
          </cell>
        </row>
        <row r="586">
          <cell r="A586" t="str">
            <v>SIELMLAL071</v>
          </cell>
        </row>
        <row r="587">
          <cell r="A587" t="str">
            <v>SIELOTRAL002</v>
          </cell>
        </row>
        <row r="588">
          <cell r="A588" t="str">
            <v>SIELMLX4003</v>
          </cell>
        </row>
        <row r="589">
          <cell r="A589" t="str">
            <v>SIELMLX6023</v>
          </cell>
        </row>
        <row r="590">
          <cell r="A590" t="str">
            <v>SIELMLX6024</v>
          </cell>
        </row>
        <row r="591">
          <cell r="A591" t="str">
            <v>SIELCTAL068</v>
          </cell>
        </row>
        <row r="592">
          <cell r="A592" t="str">
            <v>SIELMLX6025</v>
          </cell>
        </row>
        <row r="593">
          <cell r="A593" t="str">
            <v>SIELMLX6026</v>
          </cell>
        </row>
        <row r="594">
          <cell r="A594" t="str">
            <v>SIELMLX1012</v>
          </cell>
        </row>
        <row r="595">
          <cell r="A595" t="str">
            <v>SIELMLOU039</v>
          </cell>
        </row>
        <row r="596">
          <cell r="A596" t="str">
            <v>SIELMLAL072</v>
          </cell>
        </row>
        <row r="597">
          <cell r="A597" t="str">
            <v>SIELMLOU040</v>
          </cell>
        </row>
        <row r="598">
          <cell r="A598" t="str">
            <v>SIELMLOU041</v>
          </cell>
        </row>
        <row r="599">
          <cell r="A599" t="str">
            <v>SIELMLE7021</v>
          </cell>
        </row>
        <row r="600">
          <cell r="A600" t="str">
            <v>SIELPRAL027</v>
          </cell>
        </row>
        <row r="601">
          <cell r="A601" t="str">
            <v>SIELPRAL028</v>
          </cell>
        </row>
        <row r="602">
          <cell r="A602" t="str">
            <v>SIELMLOU042</v>
          </cell>
        </row>
        <row r="603">
          <cell r="A603" t="str">
            <v>SIELMLOU043</v>
          </cell>
        </row>
        <row r="604">
          <cell r="A604" t="str">
            <v>SIELMLOU044</v>
          </cell>
        </row>
        <row r="605">
          <cell r="A605" t="str">
            <v>SIELMLOU045</v>
          </cell>
        </row>
        <row r="606">
          <cell r="A606" t="str">
            <v>SIELMLX6027</v>
          </cell>
        </row>
        <row r="607">
          <cell r="A607" t="str">
            <v>SIELCTAL069</v>
          </cell>
        </row>
        <row r="608">
          <cell r="A608" t="str">
            <v>SIELMLOU046</v>
          </cell>
        </row>
        <row r="609">
          <cell r="A609" t="str">
            <v>SIELMLX6028</v>
          </cell>
        </row>
        <row r="610">
          <cell r="A610" t="str">
            <v>SIELMLX6029</v>
          </cell>
        </row>
        <row r="611">
          <cell r="A611" t="str">
            <v>SIELMLAL073</v>
          </cell>
        </row>
        <row r="612">
          <cell r="A612">
            <v>0</v>
          </cell>
        </row>
        <row r="613">
          <cell r="A613">
            <v>0</v>
          </cell>
        </row>
        <row r="614">
          <cell r="A614" t="str">
            <v>SIELMLAL074</v>
          </cell>
        </row>
        <row r="615">
          <cell r="A615" t="str">
            <v>SIELMLAL075</v>
          </cell>
        </row>
        <row r="616">
          <cell r="A616" t="str">
            <v>SIELMLC1065</v>
          </cell>
        </row>
        <row r="617">
          <cell r="A617" t="str">
            <v>SIELMLOU047</v>
          </cell>
        </row>
        <row r="618">
          <cell r="A618" t="str">
            <v>SIELMLOU048</v>
          </cell>
        </row>
        <row r="619">
          <cell r="A619" t="str">
            <v>SIELMLOU049</v>
          </cell>
        </row>
        <row r="620">
          <cell r="A620" t="str">
            <v>SIELMLOU050</v>
          </cell>
        </row>
        <row r="621">
          <cell r="A621" t="str">
            <v>SIELMLOU051</v>
          </cell>
        </row>
        <row r="622">
          <cell r="A622" t="str">
            <v>SIELMLX6030</v>
          </cell>
        </row>
        <row r="623">
          <cell r="A623" t="str">
            <v>SIELMLAL076</v>
          </cell>
        </row>
        <row r="624">
          <cell r="A624" t="str">
            <v>SIELMLOU052</v>
          </cell>
        </row>
        <row r="625">
          <cell r="A625" t="str">
            <v>SIELCDRW023</v>
          </cell>
        </row>
        <row r="626">
          <cell r="A626" t="str">
            <v>SIELMLAL077</v>
          </cell>
        </row>
        <row r="627">
          <cell r="A627" t="str">
            <v>SIELMLAL078</v>
          </cell>
        </row>
        <row r="628">
          <cell r="A628" t="str">
            <v>SIELMLX6031</v>
          </cell>
        </row>
        <row r="629">
          <cell r="A629" t="str">
            <v>SIELCTAL070</v>
          </cell>
        </row>
        <row r="630">
          <cell r="A630" t="str">
            <v>SIELCTAL071</v>
          </cell>
        </row>
        <row r="631">
          <cell r="A631" t="str">
            <v>SIELCTAL072</v>
          </cell>
        </row>
        <row r="632">
          <cell r="A632" t="str">
            <v>SIELPRAL029</v>
          </cell>
        </row>
        <row r="633">
          <cell r="A633" t="str">
            <v>SIELMLX6032</v>
          </cell>
        </row>
        <row r="634">
          <cell r="A634" t="str">
            <v>SIELMLAL079</v>
          </cell>
        </row>
        <row r="635">
          <cell r="A635" t="str">
            <v>SIELMLAL080</v>
          </cell>
        </row>
        <row r="636">
          <cell r="A636" t="str">
            <v>SIELACAL028</v>
          </cell>
        </row>
        <row r="637">
          <cell r="A637" t="str">
            <v>SIELACAL029</v>
          </cell>
        </row>
        <row r="638">
          <cell r="A638" t="str">
            <v>SIELMLAL081</v>
          </cell>
        </row>
        <row r="639">
          <cell r="A639" t="str">
            <v>SIELMLAL082</v>
          </cell>
        </row>
        <row r="640">
          <cell r="A640" t="str">
            <v>SIELMLAL083</v>
          </cell>
        </row>
        <row r="641">
          <cell r="A641" t="str">
            <v>SIELMLAL084</v>
          </cell>
        </row>
        <row r="642">
          <cell r="A642" t="str">
            <v>SIELMLAL085</v>
          </cell>
        </row>
        <row r="643">
          <cell r="A643" t="str">
            <v>SIELMLAL086</v>
          </cell>
        </row>
        <row r="644">
          <cell r="A644" t="str">
            <v>SIELMLX6033</v>
          </cell>
        </row>
        <row r="645">
          <cell r="A645" t="str">
            <v>SIELMLX6034</v>
          </cell>
        </row>
        <row r="646">
          <cell r="A646" t="str">
            <v>SIELMLX6035</v>
          </cell>
        </row>
        <row r="647">
          <cell r="A647" t="str">
            <v>SIELLPAL032</v>
          </cell>
        </row>
        <row r="648">
          <cell r="A648">
            <v>0</v>
          </cell>
        </row>
        <row r="649">
          <cell r="A649" t="str">
            <v>SIELMLAL087</v>
          </cell>
        </row>
        <row r="650">
          <cell r="A650" t="str">
            <v>SIELCTAL073</v>
          </cell>
        </row>
        <row r="651">
          <cell r="A651" t="str">
            <v>SIELMOMB023</v>
          </cell>
        </row>
        <row r="652">
          <cell r="A652" t="str">
            <v>SIELCTAL074</v>
          </cell>
        </row>
        <row r="653">
          <cell r="A653" t="str">
            <v>SIELCTAL075</v>
          </cell>
        </row>
        <row r="654">
          <cell r="A654" t="str">
            <v>SIELMLAL088</v>
          </cell>
        </row>
        <row r="655">
          <cell r="A655" t="str">
            <v>SIELMLAL089</v>
          </cell>
        </row>
        <row r="656">
          <cell r="A656" t="str">
            <v>SIELMLAL090</v>
          </cell>
        </row>
        <row r="657">
          <cell r="A657" t="str">
            <v>SIELMLX6036</v>
          </cell>
        </row>
        <row r="658">
          <cell r="A658" t="str">
            <v>SIELPRAL030</v>
          </cell>
        </row>
        <row r="659">
          <cell r="A659" t="str">
            <v>SIELACAL030</v>
          </cell>
        </row>
        <row r="660">
          <cell r="A660" t="str">
            <v>SIELCTAL076</v>
          </cell>
        </row>
        <row r="661">
          <cell r="A661" t="str">
            <v>SIELPRAL031</v>
          </cell>
        </row>
        <row r="662">
          <cell r="A662" t="str">
            <v>SIELPRAL032</v>
          </cell>
        </row>
        <row r="663">
          <cell r="A663" t="str">
            <v>SIELMLX6037</v>
          </cell>
        </row>
        <row r="664">
          <cell r="A664" t="str">
            <v>SIELCRAL013</v>
          </cell>
        </row>
        <row r="665">
          <cell r="A665" t="str">
            <v>SIELCTAL077</v>
          </cell>
        </row>
        <row r="666">
          <cell r="A666" t="str">
            <v>SIELCRAL014</v>
          </cell>
        </row>
        <row r="667">
          <cell r="A667" t="str">
            <v>SIELMLX6038</v>
          </cell>
        </row>
        <row r="668">
          <cell r="A668" t="str">
            <v>SIELMLAL091</v>
          </cell>
        </row>
        <row r="669">
          <cell r="A669" t="str">
            <v>SIELCTAL078</v>
          </cell>
        </row>
        <row r="670">
          <cell r="A670" t="str">
            <v>SIELCTAL079</v>
          </cell>
        </row>
        <row r="671">
          <cell r="A671" t="str">
            <v>SIELMLX1013</v>
          </cell>
        </row>
        <row r="672">
          <cell r="A672" t="str">
            <v>SIELMLX1014</v>
          </cell>
        </row>
        <row r="673">
          <cell r="A673" t="str">
            <v>SIELMLX6039</v>
          </cell>
        </row>
        <row r="674">
          <cell r="A674" t="str">
            <v>SIELMLX6040</v>
          </cell>
        </row>
        <row r="675">
          <cell r="A675" t="str">
            <v>SIELPRAL033</v>
          </cell>
        </row>
        <row r="676">
          <cell r="A676" t="str">
            <v>SIELPRAL034</v>
          </cell>
        </row>
        <row r="677">
          <cell r="A677" t="str">
            <v>SIELPRAL035</v>
          </cell>
        </row>
        <row r="678">
          <cell r="A678" t="str">
            <v>SIELCTAL080</v>
          </cell>
        </row>
        <row r="679">
          <cell r="A679" t="str">
            <v>SIELCTAL081</v>
          </cell>
        </row>
        <row r="680">
          <cell r="A680" t="str">
            <v>SIELPRAL036</v>
          </cell>
        </row>
        <row r="681">
          <cell r="A681" t="str">
            <v>SIELCRAL015</v>
          </cell>
        </row>
        <row r="682">
          <cell r="A682" t="str">
            <v>SIELCRAL016</v>
          </cell>
        </row>
        <row r="683">
          <cell r="A683" t="str">
            <v>SIELMLAL092</v>
          </cell>
        </row>
        <row r="684">
          <cell r="A684" t="str">
            <v>SIELMLAL093</v>
          </cell>
        </row>
        <row r="685">
          <cell r="A685" t="str">
            <v>SIELMLAL094</v>
          </cell>
        </row>
        <row r="686">
          <cell r="A686" t="str">
            <v>SIELMLAL095</v>
          </cell>
        </row>
        <row r="687">
          <cell r="A687" t="str">
            <v>SIELMLAL096</v>
          </cell>
        </row>
        <row r="688">
          <cell r="A688" t="str">
            <v>SIELMLAL097</v>
          </cell>
        </row>
        <row r="689">
          <cell r="A689" t="str">
            <v>SIELMLAL098</v>
          </cell>
        </row>
        <row r="690">
          <cell r="A690" t="str">
            <v>SIELMLAL099</v>
          </cell>
        </row>
        <row r="691">
          <cell r="A691" t="str">
            <v>SIELMLAL100</v>
          </cell>
        </row>
        <row r="692">
          <cell r="A692" t="str">
            <v>SIELMLAL101</v>
          </cell>
        </row>
        <row r="693">
          <cell r="A693" t="str">
            <v>SIELMLAL102</v>
          </cell>
        </row>
        <row r="694">
          <cell r="A694" t="str">
            <v>SIELMLAL103</v>
          </cell>
        </row>
        <row r="695">
          <cell r="A695" t="str">
            <v>SIELMLAL104</v>
          </cell>
        </row>
        <row r="696">
          <cell r="A696" t="str">
            <v>SIELMLAL105</v>
          </cell>
        </row>
        <row r="697">
          <cell r="A697" t="str">
            <v>SIELMLAL106</v>
          </cell>
        </row>
        <row r="698">
          <cell r="A698" t="str">
            <v>SIELMLAL107</v>
          </cell>
        </row>
        <row r="699">
          <cell r="A699" t="str">
            <v>SIELMLAL108</v>
          </cell>
        </row>
        <row r="700">
          <cell r="A700" t="str">
            <v>SIELMLAL109</v>
          </cell>
        </row>
        <row r="701">
          <cell r="A701" t="str">
            <v>SIELMLAL110</v>
          </cell>
        </row>
        <row r="702">
          <cell r="A702" t="str">
            <v>SIELMLAL111</v>
          </cell>
        </row>
        <row r="703">
          <cell r="A703" t="str">
            <v>SIELMLAL112</v>
          </cell>
        </row>
        <row r="704">
          <cell r="A704" t="str">
            <v>SIELMLAL113</v>
          </cell>
        </row>
        <row r="705">
          <cell r="A705" t="str">
            <v>SIELMLAL114</v>
          </cell>
        </row>
        <row r="706">
          <cell r="A706" t="str">
            <v>SIELMLAL115</v>
          </cell>
        </row>
        <row r="707">
          <cell r="A707" t="str">
            <v>SIELMLAL116</v>
          </cell>
        </row>
        <row r="708">
          <cell r="A708" t="str">
            <v>SIELCRAL017</v>
          </cell>
        </row>
        <row r="709">
          <cell r="A709" t="str">
            <v>SIELMLAL117</v>
          </cell>
        </row>
        <row r="710">
          <cell r="A710" t="str">
            <v>SIELCRAL018</v>
          </cell>
        </row>
        <row r="711">
          <cell r="A711" t="str">
            <v>SIELMLX6041</v>
          </cell>
        </row>
        <row r="712">
          <cell r="A712" t="str">
            <v>SIELMLAL118</v>
          </cell>
        </row>
        <row r="713">
          <cell r="A713" t="str">
            <v>SIELMLAL119</v>
          </cell>
        </row>
        <row r="714">
          <cell r="A714" t="str">
            <v>SIELMLX6042</v>
          </cell>
        </row>
        <row r="715">
          <cell r="A715" t="str">
            <v>SIELMLAL120</v>
          </cell>
        </row>
        <row r="716">
          <cell r="A716" t="str">
            <v>SIELMLAL121</v>
          </cell>
        </row>
        <row r="717">
          <cell r="A717" t="str">
            <v>SIELCTAL082</v>
          </cell>
        </row>
        <row r="718">
          <cell r="A718" t="str">
            <v>SIELCTAL083</v>
          </cell>
        </row>
        <row r="719">
          <cell r="A719" t="str">
            <v>SIELMLCDMA001</v>
          </cell>
        </row>
        <row r="720">
          <cell r="A720" t="str">
            <v>SIELPRAL037</v>
          </cell>
        </row>
        <row r="721">
          <cell r="A721" t="str">
            <v>SIELPRAL038</v>
          </cell>
        </row>
        <row r="722">
          <cell r="A722" t="str">
            <v>SIELMLAL122</v>
          </cell>
        </row>
        <row r="723">
          <cell r="A723" t="str">
            <v>SIELMLAL123</v>
          </cell>
        </row>
        <row r="724">
          <cell r="A724" t="str">
            <v>SIELMLAL124</v>
          </cell>
        </row>
        <row r="725">
          <cell r="A725" t="str">
            <v>SIELMLAL125</v>
          </cell>
        </row>
        <row r="726">
          <cell r="A726" t="str">
            <v>SIELMLAL126</v>
          </cell>
        </row>
        <row r="727">
          <cell r="A727" t="str">
            <v>SIELMLAL127</v>
          </cell>
        </row>
        <row r="728">
          <cell r="A728" t="str">
            <v>SIELMLAL128</v>
          </cell>
        </row>
        <row r="729">
          <cell r="A729" t="str">
            <v>SIELMLAL129</v>
          </cell>
        </row>
        <row r="730">
          <cell r="A730" t="str">
            <v>SIELMLAL130</v>
          </cell>
        </row>
        <row r="731">
          <cell r="A731" t="str">
            <v>SIELMLAL131</v>
          </cell>
        </row>
        <row r="732">
          <cell r="A732" t="str">
            <v>SIELMLAL132</v>
          </cell>
        </row>
        <row r="733">
          <cell r="A733" t="str">
            <v>SIELMLAL133</v>
          </cell>
        </row>
        <row r="734">
          <cell r="A734" t="str">
            <v>SIELMLCDMA002</v>
          </cell>
        </row>
        <row r="735">
          <cell r="A735" t="str">
            <v>SIELMLAL134</v>
          </cell>
        </row>
        <row r="736">
          <cell r="A736" t="str">
            <v>SIELMLAL135</v>
          </cell>
        </row>
        <row r="737">
          <cell r="A737" t="str">
            <v>SIELMLAL136</v>
          </cell>
        </row>
        <row r="738">
          <cell r="A738" t="str">
            <v>SIELMLAL137</v>
          </cell>
        </row>
        <row r="739">
          <cell r="A739" t="str">
            <v>SIELCRAL019</v>
          </cell>
        </row>
        <row r="740">
          <cell r="A740" t="str">
            <v>SIELMLAL138</v>
          </cell>
        </row>
        <row r="741">
          <cell r="A741" t="str">
            <v>SIELMLAL139</v>
          </cell>
        </row>
        <row r="742">
          <cell r="A742" t="str">
            <v>SIELMLAL140</v>
          </cell>
        </row>
        <row r="743">
          <cell r="A743" t="str">
            <v>SIELMLAL141</v>
          </cell>
        </row>
        <row r="744">
          <cell r="A744" t="str">
            <v>SIELMLAL142</v>
          </cell>
        </row>
        <row r="745">
          <cell r="A745" t="str">
            <v>SIELMLAL143</v>
          </cell>
        </row>
        <row r="746">
          <cell r="A746" t="str">
            <v>SIELMLAL144</v>
          </cell>
        </row>
        <row r="747">
          <cell r="A747" t="str">
            <v>SIELMLAL145</v>
          </cell>
        </row>
        <row r="748">
          <cell r="A748" t="str">
            <v>SIELMLAL146</v>
          </cell>
        </row>
        <row r="749">
          <cell r="A749" t="str">
            <v>SIELMLAL147</v>
          </cell>
        </row>
        <row r="750">
          <cell r="A750" t="str">
            <v>SIELMLAL148</v>
          </cell>
        </row>
        <row r="751">
          <cell r="A751" t="str">
            <v>SIELMLAL149</v>
          </cell>
        </row>
        <row r="752">
          <cell r="A752" t="str">
            <v>SIELMLAL150</v>
          </cell>
        </row>
        <row r="753">
          <cell r="A753" t="str">
            <v>SIELMLX1015</v>
          </cell>
        </row>
        <row r="754">
          <cell r="A754" t="str">
            <v>SIELMLX1016</v>
          </cell>
        </row>
        <row r="755">
          <cell r="A755" t="str">
            <v>SIELCRAL020</v>
          </cell>
        </row>
        <row r="756">
          <cell r="A756" t="str">
            <v>SIELCRAL021</v>
          </cell>
        </row>
        <row r="757">
          <cell r="A757" t="str">
            <v>SIELMLAL151</v>
          </cell>
        </row>
        <row r="758">
          <cell r="A758" t="str">
            <v>SIELMLAL152</v>
          </cell>
        </row>
        <row r="759">
          <cell r="A759" t="str">
            <v>SIELMLAL153</v>
          </cell>
        </row>
        <row r="760">
          <cell r="A760" t="str">
            <v>SIELMLAL154</v>
          </cell>
        </row>
        <row r="761">
          <cell r="A761" t="str">
            <v>SIELMLAL155</v>
          </cell>
        </row>
        <row r="762">
          <cell r="A762" t="str">
            <v>SIELMLAL156</v>
          </cell>
        </row>
        <row r="763">
          <cell r="A763" t="str">
            <v>SIELMLAL157</v>
          </cell>
        </row>
        <row r="764">
          <cell r="A764" t="str">
            <v>SIELMLAL158</v>
          </cell>
        </row>
        <row r="765">
          <cell r="A765" t="str">
            <v>SIELMLAL159</v>
          </cell>
        </row>
        <row r="766">
          <cell r="A766" t="str">
            <v>SIELMLAL160</v>
          </cell>
        </row>
        <row r="767">
          <cell r="A767" t="str">
            <v>CHHQMLAN001</v>
          </cell>
        </row>
        <row r="768">
          <cell r="A768" t="str">
            <v>SIELMLAL161</v>
          </cell>
        </row>
        <row r="769">
          <cell r="A769" t="str">
            <v>SIELMLAL162</v>
          </cell>
        </row>
        <row r="770">
          <cell r="A770" t="str">
            <v>SIELMLAL163</v>
          </cell>
        </row>
        <row r="771">
          <cell r="A771" t="str">
            <v>SIELMLAL164</v>
          </cell>
        </row>
        <row r="772">
          <cell r="A772" t="str">
            <v>SIELMLAL165</v>
          </cell>
        </row>
        <row r="773">
          <cell r="A773" t="str">
            <v>SIELMLAL166</v>
          </cell>
        </row>
        <row r="774">
          <cell r="A774" t="str">
            <v>SIELMLAL167</v>
          </cell>
        </row>
        <row r="775">
          <cell r="A775" t="str">
            <v>SIELMLAL168</v>
          </cell>
        </row>
        <row r="776">
          <cell r="A776" t="str">
            <v>SIELMLAL169</v>
          </cell>
        </row>
        <row r="777">
          <cell r="A777" t="str">
            <v>SIELMLAL170</v>
          </cell>
        </row>
        <row r="778">
          <cell r="A778" t="str">
            <v>SIELMLAL171</v>
          </cell>
        </row>
        <row r="779">
          <cell r="A779" t="str">
            <v>SIELAUAL033</v>
          </cell>
        </row>
        <row r="780">
          <cell r="A780" t="str">
            <v>SIELAUAL034</v>
          </cell>
        </row>
        <row r="781">
          <cell r="A781">
            <v>0</v>
          </cell>
        </row>
        <row r="782">
          <cell r="A782" t="str">
            <v>SIELMLAL172</v>
          </cell>
        </row>
        <row r="783">
          <cell r="A783" t="str">
            <v>SIELMLAL173</v>
          </cell>
        </row>
        <row r="784">
          <cell r="A784" t="str">
            <v>SIELMLAL174</v>
          </cell>
        </row>
        <row r="785">
          <cell r="A785" t="str">
            <v>SIELMLAL175</v>
          </cell>
        </row>
        <row r="786">
          <cell r="A786" t="str">
            <v>SIELMLAL176</v>
          </cell>
        </row>
        <row r="787">
          <cell r="A787" t="str">
            <v>SIELMLAL177</v>
          </cell>
        </row>
        <row r="788">
          <cell r="A788" t="str">
            <v>SIELMLAL178</v>
          </cell>
        </row>
        <row r="789">
          <cell r="A789" t="str">
            <v>SIELPRAL039</v>
          </cell>
        </row>
        <row r="790">
          <cell r="A790" t="str">
            <v>SIELPRAL040</v>
          </cell>
        </row>
        <row r="791">
          <cell r="A791" t="str">
            <v>SIELMLAL179</v>
          </cell>
        </row>
        <row r="792">
          <cell r="A792" t="str">
            <v>SIELMLAL180</v>
          </cell>
        </row>
        <row r="793">
          <cell r="A793" t="str">
            <v>SIELMLAL181</v>
          </cell>
        </row>
        <row r="794">
          <cell r="A794" t="str">
            <v>SIELMLX1017</v>
          </cell>
        </row>
        <row r="795">
          <cell r="A795" t="str">
            <v>SIELMLX1018</v>
          </cell>
        </row>
        <row r="796">
          <cell r="A796" t="str">
            <v>SIELCTAL084</v>
          </cell>
        </row>
        <row r="797">
          <cell r="A797" t="str">
            <v>SIELCTAL085</v>
          </cell>
        </row>
        <row r="798">
          <cell r="A798" t="str">
            <v>SIELMLAL182</v>
          </cell>
        </row>
        <row r="799">
          <cell r="A799" t="str">
            <v>SIELPRAL041</v>
          </cell>
        </row>
        <row r="800">
          <cell r="A800" t="str">
            <v>SIELMLX6043</v>
          </cell>
        </row>
        <row r="801">
          <cell r="A801" t="str">
            <v>SIELCRAL022</v>
          </cell>
        </row>
        <row r="802">
          <cell r="A802" t="str">
            <v>SIELMLX6044</v>
          </cell>
        </row>
        <row r="803">
          <cell r="A803" t="str">
            <v>SIELMLX6045</v>
          </cell>
        </row>
        <row r="804">
          <cell r="A804" t="str">
            <v>SIELCRAL023</v>
          </cell>
        </row>
        <row r="805">
          <cell r="A805" t="str">
            <v>SIELMLC1066</v>
          </cell>
        </row>
        <row r="806">
          <cell r="A806" t="str">
            <v>SIELMLAL183</v>
          </cell>
        </row>
        <row r="807">
          <cell r="A807" t="str">
            <v>SIELPRAL042</v>
          </cell>
        </row>
        <row r="808">
          <cell r="A808">
            <v>0</v>
          </cell>
        </row>
        <row r="809">
          <cell r="A809" t="str">
            <v>SIELLPAL033</v>
          </cell>
        </row>
        <row r="810">
          <cell r="A810" t="str">
            <v>SIELMLCDMA003</v>
          </cell>
        </row>
        <row r="811">
          <cell r="A811" t="str">
            <v>SIELMLAL184</v>
          </cell>
        </row>
        <row r="812">
          <cell r="A812" t="str">
            <v>SIELMLAL185</v>
          </cell>
        </row>
        <row r="813">
          <cell r="A813" t="str">
            <v>SIELMLAL186</v>
          </cell>
        </row>
        <row r="814">
          <cell r="A814" t="str">
            <v>SIELMLAL187</v>
          </cell>
        </row>
        <row r="815">
          <cell r="A815" t="str">
            <v>SIELMLAL188</v>
          </cell>
        </row>
        <row r="816">
          <cell r="A816" t="str">
            <v>SIELMLAL189</v>
          </cell>
        </row>
        <row r="817">
          <cell r="A817" t="str">
            <v>SIELMLAL190</v>
          </cell>
        </row>
        <row r="818">
          <cell r="A818" t="str">
            <v>SIELMLAL191</v>
          </cell>
        </row>
        <row r="819">
          <cell r="A819" t="str">
            <v>SIELMLAL192</v>
          </cell>
        </row>
        <row r="820">
          <cell r="A820" t="str">
            <v>SIELMLAL193</v>
          </cell>
        </row>
        <row r="821">
          <cell r="A821" t="str">
            <v>SIELMLAL194</v>
          </cell>
        </row>
        <row r="822">
          <cell r="A822" t="str">
            <v>SIELMLAL195</v>
          </cell>
        </row>
        <row r="823">
          <cell r="A823" t="str">
            <v>SIELMLC1067</v>
          </cell>
        </row>
        <row r="824">
          <cell r="A824" t="str">
            <v>SIELCRAL024</v>
          </cell>
        </row>
        <row r="825">
          <cell r="A825" t="str">
            <v>SIELCTAL086</v>
          </cell>
        </row>
        <row r="826">
          <cell r="A826" t="str">
            <v>SIELITAL011</v>
          </cell>
        </row>
        <row r="827">
          <cell r="A827" t="str">
            <v>SIELMLAL196</v>
          </cell>
        </row>
        <row r="828">
          <cell r="A828" t="str">
            <v>SIELMLAL197</v>
          </cell>
        </row>
        <row r="829">
          <cell r="A829" t="str">
            <v>SIELCTAL087</v>
          </cell>
        </row>
        <row r="830">
          <cell r="A830" t="str">
            <v>SIELCTAL088</v>
          </cell>
        </row>
        <row r="831">
          <cell r="A831" t="str">
            <v>SIELMLX6046</v>
          </cell>
        </row>
        <row r="832">
          <cell r="A832" t="str">
            <v>SIELPRAL043</v>
          </cell>
        </row>
        <row r="833">
          <cell r="A833" t="str">
            <v>SIELCTAL089</v>
          </cell>
        </row>
        <row r="834">
          <cell r="A834" t="str">
            <v>SIELCRAL025</v>
          </cell>
        </row>
        <row r="835">
          <cell r="A835" t="str">
            <v>SIELMLAL198</v>
          </cell>
        </row>
        <row r="836">
          <cell r="A836" t="str">
            <v>SIELMLAL199</v>
          </cell>
        </row>
        <row r="837">
          <cell r="A837" t="str">
            <v>SIELMLAL200</v>
          </cell>
        </row>
        <row r="838">
          <cell r="A838" t="str">
            <v>SIELMLAL201</v>
          </cell>
        </row>
        <row r="839">
          <cell r="A839" t="str">
            <v>SIELCAMAL001</v>
          </cell>
        </row>
        <row r="840">
          <cell r="A840" t="str">
            <v>SIELCAMAL002</v>
          </cell>
        </row>
        <row r="841">
          <cell r="A841" t="str">
            <v>SIELMLAL202</v>
          </cell>
        </row>
        <row r="842">
          <cell r="A842" t="str">
            <v>SIELCRAL026</v>
          </cell>
        </row>
        <row r="843">
          <cell r="A843" t="str">
            <v>SIELCTAL090</v>
          </cell>
        </row>
        <row r="844">
          <cell r="A844" t="str">
            <v>SIELCTAL091</v>
          </cell>
        </row>
        <row r="845">
          <cell r="A845" t="str">
            <v>SIELCRAL027</v>
          </cell>
        </row>
        <row r="846">
          <cell r="A846" t="str">
            <v>SIELCRAL028</v>
          </cell>
        </row>
        <row r="847">
          <cell r="A847" t="str">
            <v>SIELCRAL029</v>
          </cell>
        </row>
        <row r="848">
          <cell r="A848" t="str">
            <v>SIELMLAL203</v>
          </cell>
        </row>
        <row r="849">
          <cell r="A849">
            <v>0</v>
          </cell>
        </row>
        <row r="850">
          <cell r="A850" t="str">
            <v>SIELSSAL004</v>
          </cell>
        </row>
        <row r="851">
          <cell r="A851" t="str">
            <v>SIELSSAL005</v>
          </cell>
        </row>
        <row r="852">
          <cell r="A852" t="str">
            <v>SIELMLX6047</v>
          </cell>
        </row>
        <row r="853">
          <cell r="A853" t="str">
            <v>SIELCRAL030</v>
          </cell>
        </row>
        <row r="854">
          <cell r="A854" t="str">
            <v>SIELMLAL204</v>
          </cell>
        </row>
        <row r="855">
          <cell r="A855" t="str">
            <v>SIELMLAL205</v>
          </cell>
        </row>
        <row r="856">
          <cell r="A856" t="str">
            <v>SIELMLAL206</v>
          </cell>
        </row>
        <row r="857">
          <cell r="A857" t="str">
            <v>SIELMLAL207</v>
          </cell>
        </row>
        <row r="858">
          <cell r="A858" t="str">
            <v>SIELMLAL208</v>
          </cell>
        </row>
        <row r="859">
          <cell r="A859" t="str">
            <v>SIELPRAL044</v>
          </cell>
        </row>
        <row r="860">
          <cell r="A860" t="str">
            <v>SIELMLX6048</v>
          </cell>
        </row>
        <row r="861">
          <cell r="A861" t="str">
            <v>SIELCRAL031</v>
          </cell>
        </row>
        <row r="862">
          <cell r="A862" t="str">
            <v>SIELCRAL032</v>
          </cell>
        </row>
        <row r="863">
          <cell r="A863" t="str">
            <v>SIELACAL031</v>
          </cell>
        </row>
        <row r="864">
          <cell r="A864" t="str">
            <v>SIELPRAL045</v>
          </cell>
        </row>
        <row r="865">
          <cell r="A865" t="str">
            <v>SIELPRAL046</v>
          </cell>
        </row>
        <row r="866">
          <cell r="A866" t="str">
            <v>SIELMLAL209</v>
          </cell>
        </row>
        <row r="867">
          <cell r="A867" t="str">
            <v>SIELAUAL035</v>
          </cell>
        </row>
        <row r="868">
          <cell r="A868" t="str">
            <v>SIELLPAL034</v>
          </cell>
        </row>
        <row r="869">
          <cell r="A869" t="str">
            <v>SIELCRAL033</v>
          </cell>
        </row>
        <row r="870">
          <cell r="A870" t="str">
            <v>SIELCRAL034</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sheetData>
      <sheetData sheetId="1"/>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ales"/>
      <sheetName val="Samples"/>
      <sheetName val="fg"/>
      <sheetName val="Pres"/>
      <sheetName val="Lit"/>
      <sheetName val="common_exp_Ex"/>
      <sheetName val="SPOthers_EX"/>
      <sheetName val="common_exp_New"/>
      <sheetName val="SPOthers_NEW"/>
      <sheetName val="common_exp_Total"/>
      <sheetName val="Prod_P&amp;L"/>
      <sheetName val="P&amp;L_Ex"/>
      <sheetName val="P&amp;L_New"/>
      <sheetName val="P&amp;L_Total"/>
      <sheetName val="P&amp;lsummary (2)"/>
      <sheetName val="P&amp;lsummary"/>
      <sheetName val="Notes"/>
      <sheetName val="Expense Heads"/>
      <sheetName val="PnL"/>
      <sheetName val="Brand GC"/>
      <sheetName val="SalesBase0607"/>
      <sheetName val="Samples0607"/>
      <sheetName val="FreeGoods0607"/>
      <sheetName val="Division_Exp"/>
      <sheetName val="Brand_Exp"/>
      <sheetName val="FMHQ"/>
      <sheetName val="RMHQ"/>
      <sheetName val="ZMHQ"/>
      <sheetName val="Sales Summary_0506"/>
      <sheetName val="Sales Summary_0607"/>
      <sheetName val="Brand Sales Summary_0607"/>
      <sheetName val="MAT+MFG_COST"/>
      <sheetName val="SAMPLE_COST"/>
      <sheetName val="Outstanding"/>
      <sheetName val="budget"/>
      <sheetName val="COST_SCHE"/>
    </sheetNames>
    <sheetDataSet>
      <sheetData sheetId="0" refreshError="1"/>
      <sheetData sheetId="1" refreshError="1">
        <row r="5">
          <cell r="A5" t="str">
            <v>Prod</v>
          </cell>
        </row>
        <row r="6">
          <cell r="A6" t="str">
            <v>Code</v>
          </cell>
        </row>
        <row r="11">
          <cell r="A11" t="str">
            <v>CEFD02</v>
          </cell>
        </row>
        <row r="12">
          <cell r="A12" t="str">
            <v>CEFD01</v>
          </cell>
        </row>
        <row r="13">
          <cell r="A13" t="str">
            <v>zzzz99</v>
          </cell>
        </row>
        <row r="14">
          <cell r="A14" t="str">
            <v>CEFD</v>
          </cell>
        </row>
        <row r="17">
          <cell r="A17" t="str">
            <v>ALPR02</v>
          </cell>
        </row>
        <row r="18">
          <cell r="A18" t="str">
            <v>ALPR01</v>
          </cell>
        </row>
        <row r="19">
          <cell r="A19" t="str">
            <v>ALPX06</v>
          </cell>
        </row>
        <row r="20">
          <cell r="A20" t="str">
            <v>ALPX05</v>
          </cell>
        </row>
        <row r="21">
          <cell r="A21" t="str">
            <v>ALPX03</v>
          </cell>
        </row>
        <row r="22">
          <cell r="A22" t="str">
            <v>ALPX09</v>
          </cell>
        </row>
        <row r="23">
          <cell r="A23" t="str">
            <v>ALPX10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MIS"/>
      <sheetName val="Feuil3"/>
      <sheetName val="Feuil2"/>
      <sheetName val="CF"/>
    </sheetNames>
    <sheetDataSet>
      <sheetData sheetId="0" refreshError="1">
        <row r="2">
          <cell r="A2">
            <v>9999</v>
          </cell>
          <cell r="B2">
            <v>35876.000000000247</v>
          </cell>
          <cell r="C2">
            <v>0</v>
          </cell>
          <cell r="D2">
            <v>35876.000000000247</v>
          </cell>
        </row>
        <row r="3">
          <cell r="A3">
            <v>9999</v>
          </cell>
          <cell r="B3">
            <v>0</v>
          </cell>
          <cell r="C3" t="str">
            <v>9999</v>
          </cell>
          <cell r="D3">
            <v>0</v>
          </cell>
        </row>
        <row r="4">
          <cell r="A4">
            <v>1000</v>
          </cell>
          <cell r="B4">
            <v>0</v>
          </cell>
          <cell r="C4" t="str">
            <v>1000</v>
          </cell>
          <cell r="D4">
            <v>0</v>
          </cell>
        </row>
        <row r="5">
          <cell r="A5">
            <v>1010</v>
          </cell>
          <cell r="B5">
            <v>70740.86</v>
          </cell>
          <cell r="C5" t="str">
            <v>1010</v>
          </cell>
          <cell r="D5">
            <v>70740.86</v>
          </cell>
        </row>
        <row r="6">
          <cell r="A6">
            <v>1020</v>
          </cell>
          <cell r="B6">
            <v>0</v>
          </cell>
          <cell r="C6" t="str">
            <v>1020</v>
          </cell>
          <cell r="D6">
            <v>0</v>
          </cell>
        </row>
        <row r="7">
          <cell r="A7">
            <v>1300</v>
          </cell>
          <cell r="B7">
            <v>0</v>
          </cell>
          <cell r="C7" t="str">
            <v>1300</v>
          </cell>
          <cell r="D7">
            <v>0</v>
          </cell>
        </row>
        <row r="8">
          <cell r="A8" t="str">
            <v>1301S</v>
          </cell>
          <cell r="B8">
            <v>1063810.8299999998</v>
          </cell>
          <cell r="C8" t="str">
            <v>1301</v>
          </cell>
          <cell r="D8">
            <v>1063810.8299999998</v>
          </cell>
        </row>
        <row r="9">
          <cell r="A9" t="str">
            <v>1302S</v>
          </cell>
          <cell r="B9">
            <v>261173.42</v>
          </cell>
          <cell r="C9" t="str">
            <v>1302</v>
          </cell>
          <cell r="D9">
            <v>261173.42</v>
          </cell>
        </row>
        <row r="10">
          <cell r="A10" t="str">
            <v>1303S</v>
          </cell>
          <cell r="B10">
            <v>7471</v>
          </cell>
          <cell r="C10" t="str">
            <v>1303</v>
          </cell>
          <cell r="D10">
            <v>7471</v>
          </cell>
        </row>
        <row r="11">
          <cell r="A11" t="str">
            <v>1305IC</v>
          </cell>
          <cell r="B11">
            <v>12316.61</v>
          </cell>
          <cell r="C11" t="str">
            <v>1305</v>
          </cell>
          <cell r="D11">
            <v>12316.61</v>
          </cell>
        </row>
        <row r="12">
          <cell r="A12">
            <v>1309</v>
          </cell>
          <cell r="B12">
            <v>-6246.68</v>
          </cell>
          <cell r="C12" t="str">
            <v>1309</v>
          </cell>
          <cell r="D12">
            <v>-6246.68</v>
          </cell>
        </row>
        <row r="13">
          <cell r="A13">
            <v>1350</v>
          </cell>
          <cell r="B13">
            <v>0</v>
          </cell>
          <cell r="C13" t="str">
            <v>1350</v>
          </cell>
          <cell r="D13">
            <v>0</v>
          </cell>
        </row>
        <row r="14">
          <cell r="A14" t="str">
            <v>1355IC</v>
          </cell>
          <cell r="B14">
            <v>0</v>
          </cell>
          <cell r="C14" t="str">
            <v>1355</v>
          </cell>
          <cell r="D14">
            <v>0</v>
          </cell>
        </row>
        <row r="15">
          <cell r="A15" t="str">
            <v>1385IC</v>
          </cell>
          <cell r="B15">
            <v>0</v>
          </cell>
          <cell r="C15" t="str">
            <v>1385</v>
          </cell>
          <cell r="D15">
            <v>0</v>
          </cell>
        </row>
        <row r="16">
          <cell r="A16" t="str">
            <v>1405IC</v>
          </cell>
          <cell r="B16">
            <v>0</v>
          </cell>
          <cell r="C16" t="str">
            <v>1405</v>
          </cell>
          <cell r="D16">
            <v>0</v>
          </cell>
        </row>
        <row r="17">
          <cell r="A17">
            <v>1500</v>
          </cell>
          <cell r="B17">
            <v>0</v>
          </cell>
          <cell r="C17" t="str">
            <v>1500</v>
          </cell>
          <cell r="D17">
            <v>0</v>
          </cell>
        </row>
        <row r="18">
          <cell r="A18">
            <v>15011</v>
          </cell>
          <cell r="B18">
            <v>0</v>
          </cell>
          <cell r="C18" t="str">
            <v>1501</v>
          </cell>
          <cell r="D18">
            <v>290279</v>
          </cell>
        </row>
        <row r="19">
          <cell r="A19">
            <v>15012</v>
          </cell>
          <cell r="B19">
            <v>0</v>
          </cell>
          <cell r="C19" t="str">
            <v>1501</v>
          </cell>
          <cell r="D19">
            <v>290279</v>
          </cell>
        </row>
        <row r="20">
          <cell r="A20">
            <v>15013</v>
          </cell>
          <cell r="B20">
            <v>0</v>
          </cell>
          <cell r="C20" t="str">
            <v>1501</v>
          </cell>
          <cell r="D20">
            <v>290279</v>
          </cell>
        </row>
        <row r="21">
          <cell r="A21">
            <v>15014</v>
          </cell>
          <cell r="B21">
            <v>0</v>
          </cell>
          <cell r="C21" t="str">
            <v>1501</v>
          </cell>
          <cell r="D21">
            <v>290279</v>
          </cell>
        </row>
        <row r="22">
          <cell r="A22">
            <v>15015</v>
          </cell>
          <cell r="B22">
            <v>290279</v>
          </cell>
          <cell r="C22" t="str">
            <v>1501</v>
          </cell>
          <cell r="D22">
            <v>290279</v>
          </cell>
        </row>
        <row r="23">
          <cell r="A23">
            <v>15016</v>
          </cell>
          <cell r="B23">
            <v>0</v>
          </cell>
          <cell r="C23" t="str">
            <v>1501</v>
          </cell>
          <cell r="D23">
            <v>290279</v>
          </cell>
        </row>
        <row r="24">
          <cell r="A24">
            <v>15017</v>
          </cell>
          <cell r="B24">
            <v>0</v>
          </cell>
          <cell r="C24" t="str">
            <v>1501</v>
          </cell>
          <cell r="D24">
            <v>290279</v>
          </cell>
        </row>
        <row r="25">
          <cell r="A25" t="str">
            <v>1501S</v>
          </cell>
          <cell r="B25">
            <v>0</v>
          </cell>
          <cell r="C25" t="str">
            <v>1501</v>
          </cell>
          <cell r="D25">
            <v>290279</v>
          </cell>
        </row>
        <row r="26">
          <cell r="A26">
            <v>15021</v>
          </cell>
          <cell r="B26">
            <v>0</v>
          </cell>
          <cell r="C26" t="str">
            <v>1502</v>
          </cell>
          <cell r="D26">
            <v>0</v>
          </cell>
        </row>
        <row r="27">
          <cell r="A27">
            <v>15022</v>
          </cell>
          <cell r="B27">
            <v>0</v>
          </cell>
          <cell r="C27" t="str">
            <v>1502</v>
          </cell>
          <cell r="D27">
            <v>0</v>
          </cell>
        </row>
        <row r="28">
          <cell r="A28">
            <v>15023</v>
          </cell>
          <cell r="B28">
            <v>0</v>
          </cell>
          <cell r="C28" t="str">
            <v>1502</v>
          </cell>
          <cell r="D28">
            <v>0</v>
          </cell>
        </row>
        <row r="29">
          <cell r="A29">
            <v>15024</v>
          </cell>
          <cell r="B29">
            <v>0</v>
          </cell>
          <cell r="C29" t="str">
            <v>1502</v>
          </cell>
          <cell r="D29">
            <v>0</v>
          </cell>
        </row>
        <row r="30">
          <cell r="A30">
            <v>15025</v>
          </cell>
          <cell r="B30">
            <v>0</v>
          </cell>
          <cell r="C30" t="str">
            <v>1502</v>
          </cell>
          <cell r="D30">
            <v>0</v>
          </cell>
        </row>
        <row r="31">
          <cell r="A31">
            <v>15026</v>
          </cell>
          <cell r="B31">
            <v>0</v>
          </cell>
          <cell r="C31" t="str">
            <v>1502</v>
          </cell>
          <cell r="D31">
            <v>0</v>
          </cell>
        </row>
        <row r="32">
          <cell r="A32">
            <v>15027</v>
          </cell>
          <cell r="B32">
            <v>0</v>
          </cell>
          <cell r="C32" t="str">
            <v>1502</v>
          </cell>
          <cell r="D32">
            <v>0</v>
          </cell>
        </row>
        <row r="33">
          <cell r="A33" t="str">
            <v>1502S</v>
          </cell>
          <cell r="B33">
            <v>0</v>
          </cell>
          <cell r="C33" t="str">
            <v>1502</v>
          </cell>
          <cell r="D33">
            <v>0</v>
          </cell>
        </row>
        <row r="34">
          <cell r="A34">
            <v>15031</v>
          </cell>
          <cell r="B34">
            <v>70632</v>
          </cell>
          <cell r="C34" t="str">
            <v>1503</v>
          </cell>
          <cell r="D34">
            <v>232243</v>
          </cell>
        </row>
        <row r="35">
          <cell r="A35">
            <v>15032</v>
          </cell>
          <cell r="B35">
            <v>6010</v>
          </cell>
          <cell r="C35" t="str">
            <v>1503</v>
          </cell>
          <cell r="D35">
            <v>232243</v>
          </cell>
        </row>
        <row r="36">
          <cell r="A36">
            <v>15033</v>
          </cell>
          <cell r="B36">
            <v>0</v>
          </cell>
          <cell r="C36" t="str">
            <v>1503</v>
          </cell>
          <cell r="D36">
            <v>232243</v>
          </cell>
        </row>
        <row r="37">
          <cell r="A37">
            <v>15034</v>
          </cell>
          <cell r="B37">
            <v>155601</v>
          </cell>
          <cell r="C37" t="str">
            <v>1503</v>
          </cell>
          <cell r="D37">
            <v>232243</v>
          </cell>
        </row>
        <row r="38">
          <cell r="A38">
            <v>15035</v>
          </cell>
          <cell r="B38">
            <v>0</v>
          </cell>
          <cell r="C38" t="str">
            <v>1503</v>
          </cell>
          <cell r="D38">
            <v>232243</v>
          </cell>
        </row>
        <row r="39">
          <cell r="A39">
            <v>15036</v>
          </cell>
          <cell r="B39">
            <v>0</v>
          </cell>
          <cell r="C39" t="str">
            <v>1503</v>
          </cell>
          <cell r="D39">
            <v>232243</v>
          </cell>
        </row>
        <row r="40">
          <cell r="A40">
            <v>15037</v>
          </cell>
          <cell r="B40">
            <v>0</v>
          </cell>
          <cell r="C40" t="str">
            <v>1503</v>
          </cell>
          <cell r="D40">
            <v>232243</v>
          </cell>
        </row>
        <row r="41">
          <cell r="A41" t="str">
            <v>1503S</v>
          </cell>
          <cell r="B41">
            <v>0</v>
          </cell>
          <cell r="C41" t="str">
            <v>1503</v>
          </cell>
          <cell r="D41">
            <v>232243</v>
          </cell>
        </row>
        <row r="42">
          <cell r="A42">
            <v>15041</v>
          </cell>
          <cell r="B42">
            <v>0</v>
          </cell>
          <cell r="C42" t="str">
            <v>1504</v>
          </cell>
          <cell r="D42">
            <v>0</v>
          </cell>
        </row>
        <row r="43">
          <cell r="A43">
            <v>15042</v>
          </cell>
          <cell r="B43">
            <v>0</v>
          </cell>
          <cell r="C43" t="str">
            <v>1504</v>
          </cell>
          <cell r="D43">
            <v>0</v>
          </cell>
        </row>
        <row r="44">
          <cell r="A44">
            <v>15043</v>
          </cell>
          <cell r="B44">
            <v>0</v>
          </cell>
          <cell r="C44" t="str">
            <v>1504</v>
          </cell>
          <cell r="D44">
            <v>0</v>
          </cell>
        </row>
        <row r="45">
          <cell r="A45">
            <v>15044</v>
          </cell>
          <cell r="B45">
            <v>0</v>
          </cell>
          <cell r="C45" t="str">
            <v>1504</v>
          </cell>
          <cell r="D45">
            <v>0</v>
          </cell>
        </row>
        <row r="46">
          <cell r="A46">
            <v>15045</v>
          </cell>
          <cell r="B46">
            <v>0</v>
          </cell>
          <cell r="C46" t="str">
            <v>1504</v>
          </cell>
          <cell r="D46">
            <v>0</v>
          </cell>
        </row>
        <row r="47">
          <cell r="A47">
            <v>15046</v>
          </cell>
          <cell r="B47">
            <v>0</v>
          </cell>
          <cell r="C47" t="str">
            <v>1504</v>
          </cell>
          <cell r="D47">
            <v>0</v>
          </cell>
        </row>
        <row r="48">
          <cell r="A48">
            <v>15047</v>
          </cell>
          <cell r="B48">
            <v>0</v>
          </cell>
          <cell r="C48" t="str">
            <v>1504</v>
          </cell>
          <cell r="D48">
            <v>0</v>
          </cell>
        </row>
        <row r="49">
          <cell r="A49" t="str">
            <v>1504S</v>
          </cell>
          <cell r="B49">
            <v>0</v>
          </cell>
          <cell r="C49" t="str">
            <v>1504</v>
          </cell>
          <cell r="D49">
            <v>0</v>
          </cell>
        </row>
        <row r="50">
          <cell r="A50">
            <v>15051</v>
          </cell>
          <cell r="B50">
            <v>0</v>
          </cell>
          <cell r="C50" t="str">
            <v>1505</v>
          </cell>
          <cell r="D50">
            <v>0</v>
          </cell>
        </row>
        <row r="51">
          <cell r="A51">
            <v>1509</v>
          </cell>
          <cell r="B51">
            <v>-9474.5300000000007</v>
          </cell>
          <cell r="C51" t="str">
            <v>1509</v>
          </cell>
          <cell r="D51">
            <v>-9474.5300000000007</v>
          </cell>
        </row>
        <row r="52">
          <cell r="A52">
            <v>1540</v>
          </cell>
          <cell r="B52">
            <v>0</v>
          </cell>
          <cell r="C52" t="str">
            <v>1540</v>
          </cell>
          <cell r="D52">
            <v>0</v>
          </cell>
        </row>
        <row r="53">
          <cell r="A53" t="str">
            <v>1555IC</v>
          </cell>
          <cell r="B53">
            <v>0</v>
          </cell>
          <cell r="C53" t="str">
            <v>1555</v>
          </cell>
          <cell r="D53">
            <v>0</v>
          </cell>
        </row>
        <row r="54">
          <cell r="A54">
            <v>1650</v>
          </cell>
          <cell r="B54">
            <v>12144.75</v>
          </cell>
          <cell r="C54" t="str">
            <v>1650</v>
          </cell>
          <cell r="D54">
            <v>12144.75</v>
          </cell>
        </row>
        <row r="55">
          <cell r="A55" t="str">
            <v>1655IC</v>
          </cell>
          <cell r="B55">
            <v>-59441.440000000002</v>
          </cell>
          <cell r="C55" t="str">
            <v>1655</v>
          </cell>
          <cell r="D55">
            <v>-59441.440000000002</v>
          </cell>
        </row>
        <row r="56">
          <cell r="A56" t="str">
            <v>1665IC</v>
          </cell>
          <cell r="B56">
            <v>0</v>
          </cell>
          <cell r="C56" t="str">
            <v>1665</v>
          </cell>
          <cell r="D56">
            <v>0</v>
          </cell>
        </row>
        <row r="57">
          <cell r="A57">
            <v>1680</v>
          </cell>
          <cell r="B57">
            <v>0</v>
          </cell>
          <cell r="C57" t="str">
            <v>1680</v>
          </cell>
          <cell r="D57">
            <v>0</v>
          </cell>
        </row>
        <row r="58">
          <cell r="A58" t="str">
            <v>1705IC</v>
          </cell>
          <cell r="B58">
            <v>99.09</v>
          </cell>
          <cell r="C58" t="str">
            <v>1705</v>
          </cell>
          <cell r="D58">
            <v>99.09</v>
          </cell>
        </row>
        <row r="59">
          <cell r="A59">
            <v>1800</v>
          </cell>
          <cell r="B59">
            <v>-141032.5</v>
          </cell>
          <cell r="C59" t="str">
            <v>1800</v>
          </cell>
          <cell r="D59">
            <v>-141032.5</v>
          </cell>
        </row>
        <row r="60">
          <cell r="A60" t="str">
            <v>1805S</v>
          </cell>
          <cell r="B60">
            <v>0</v>
          </cell>
          <cell r="C60" t="str">
            <v>1805</v>
          </cell>
          <cell r="D60">
            <v>0</v>
          </cell>
        </row>
        <row r="61">
          <cell r="A61" t="str">
            <v>1810S</v>
          </cell>
          <cell r="B61">
            <v>35078.32</v>
          </cell>
          <cell r="C61" t="str">
            <v>1810</v>
          </cell>
          <cell r="D61">
            <v>35078.32</v>
          </cell>
        </row>
        <row r="62">
          <cell r="A62" t="str">
            <v>1815S</v>
          </cell>
          <cell r="B62">
            <v>0</v>
          </cell>
          <cell r="C62" t="str">
            <v>1815</v>
          </cell>
          <cell r="D62">
            <v>0</v>
          </cell>
        </row>
        <row r="63">
          <cell r="A63" t="str">
            <v>1820S</v>
          </cell>
          <cell r="B63">
            <v>0</v>
          </cell>
          <cell r="C63" t="str">
            <v>1820</v>
          </cell>
          <cell r="D63">
            <v>0</v>
          </cell>
        </row>
        <row r="64">
          <cell r="A64" t="str">
            <v>1822S</v>
          </cell>
          <cell r="B64">
            <v>0</v>
          </cell>
          <cell r="C64" t="str">
            <v>1822</v>
          </cell>
          <cell r="D64">
            <v>0</v>
          </cell>
        </row>
        <row r="65">
          <cell r="A65" t="str">
            <v>1825S</v>
          </cell>
          <cell r="B65">
            <v>52349.5</v>
          </cell>
          <cell r="C65" t="str">
            <v>1825</v>
          </cell>
          <cell r="D65">
            <v>52349.5</v>
          </cell>
        </row>
        <row r="66">
          <cell r="A66" t="str">
            <v>1826S</v>
          </cell>
          <cell r="B66">
            <v>0</v>
          </cell>
          <cell r="C66" t="str">
            <v>1826</v>
          </cell>
          <cell r="D66">
            <v>0</v>
          </cell>
        </row>
        <row r="67">
          <cell r="A67" t="str">
            <v>1830S</v>
          </cell>
          <cell r="B67">
            <v>24841.78</v>
          </cell>
          <cell r="C67" t="str">
            <v>1830</v>
          </cell>
          <cell r="D67">
            <v>24841.78</v>
          </cell>
        </row>
        <row r="68">
          <cell r="A68" t="str">
            <v>1831S</v>
          </cell>
          <cell r="B68">
            <v>36236.959999999999</v>
          </cell>
          <cell r="C68" t="str">
            <v>1831</v>
          </cell>
          <cell r="D68">
            <v>36236.959999999999</v>
          </cell>
        </row>
        <row r="69">
          <cell r="A69" t="str">
            <v>1835S</v>
          </cell>
          <cell r="B69">
            <v>53529.68</v>
          </cell>
          <cell r="C69" t="str">
            <v>1835</v>
          </cell>
          <cell r="D69">
            <v>53529.68</v>
          </cell>
        </row>
        <row r="70">
          <cell r="A70" t="str">
            <v>1860S</v>
          </cell>
          <cell r="B70">
            <v>0</v>
          </cell>
          <cell r="C70" t="str">
            <v>1860</v>
          </cell>
          <cell r="D70">
            <v>0</v>
          </cell>
        </row>
        <row r="71">
          <cell r="A71">
            <v>1900</v>
          </cell>
          <cell r="B71">
            <v>-26733</v>
          </cell>
          <cell r="C71" t="str">
            <v>1900</v>
          </cell>
          <cell r="D71">
            <v>-26733</v>
          </cell>
        </row>
        <row r="72">
          <cell r="A72" t="str">
            <v>1910S</v>
          </cell>
          <cell r="B72">
            <v>26733</v>
          </cell>
          <cell r="C72" t="str">
            <v>1910</v>
          </cell>
          <cell r="D72">
            <v>26733</v>
          </cell>
        </row>
        <row r="73">
          <cell r="A73" t="str">
            <v>1920S</v>
          </cell>
          <cell r="B73">
            <v>152449.01999999999</v>
          </cell>
          <cell r="C73" t="str">
            <v>1920</v>
          </cell>
          <cell r="D73">
            <v>152449.01999999999</v>
          </cell>
        </row>
        <row r="74">
          <cell r="A74" t="str">
            <v>1930S</v>
          </cell>
          <cell r="B74">
            <v>0</v>
          </cell>
          <cell r="C74" t="str">
            <v>1930</v>
          </cell>
          <cell r="D74">
            <v>0</v>
          </cell>
        </row>
        <row r="75">
          <cell r="A75">
            <v>1950</v>
          </cell>
          <cell r="B75">
            <v>12000</v>
          </cell>
          <cell r="C75" t="str">
            <v>1950</v>
          </cell>
          <cell r="D75">
            <v>12000</v>
          </cell>
        </row>
        <row r="76">
          <cell r="A76">
            <v>2100</v>
          </cell>
          <cell r="B76">
            <v>-119984.50000000001</v>
          </cell>
          <cell r="C76" t="str">
            <v>2100</v>
          </cell>
          <cell r="D76">
            <v>-119984.50000000001</v>
          </cell>
        </row>
        <row r="77">
          <cell r="A77" t="str">
            <v>2105IC</v>
          </cell>
          <cell r="B77">
            <v>-544920.97</v>
          </cell>
          <cell r="C77" t="str">
            <v>2105</v>
          </cell>
          <cell r="D77">
            <v>-544920.97</v>
          </cell>
        </row>
        <row r="78">
          <cell r="A78">
            <v>2150</v>
          </cell>
          <cell r="B78">
            <v>-15841.24</v>
          </cell>
          <cell r="C78" t="str">
            <v>2150</v>
          </cell>
          <cell r="D78">
            <v>-15841.24</v>
          </cell>
        </row>
        <row r="79">
          <cell r="A79" t="str">
            <v>2155IC</v>
          </cell>
          <cell r="B79">
            <v>0</v>
          </cell>
          <cell r="C79" t="str">
            <v>2155</v>
          </cell>
          <cell r="D79">
            <v>0</v>
          </cell>
        </row>
        <row r="80">
          <cell r="A80">
            <v>2160</v>
          </cell>
          <cell r="B80">
            <v>0</v>
          </cell>
          <cell r="C80" t="str">
            <v>2160</v>
          </cell>
          <cell r="D80">
            <v>0</v>
          </cell>
        </row>
        <row r="81">
          <cell r="A81" t="str">
            <v>2165IC</v>
          </cell>
          <cell r="B81">
            <v>-37800</v>
          </cell>
          <cell r="C81" t="str">
            <v>2165</v>
          </cell>
          <cell r="D81">
            <v>-37800</v>
          </cell>
        </row>
        <row r="82">
          <cell r="A82">
            <v>2170</v>
          </cell>
          <cell r="B82">
            <v>-62319.43</v>
          </cell>
          <cell r="C82" t="str">
            <v>2170</v>
          </cell>
          <cell r="D82">
            <v>-62319.43</v>
          </cell>
        </row>
        <row r="83">
          <cell r="A83">
            <v>2180</v>
          </cell>
          <cell r="B83">
            <v>0</v>
          </cell>
          <cell r="C83" t="str">
            <v>2180</v>
          </cell>
          <cell r="D83">
            <v>0</v>
          </cell>
        </row>
        <row r="84">
          <cell r="A84" t="str">
            <v>2195IC</v>
          </cell>
          <cell r="B84">
            <v>0</v>
          </cell>
          <cell r="C84" t="str">
            <v>2195</v>
          </cell>
          <cell r="D84">
            <v>0</v>
          </cell>
        </row>
        <row r="85">
          <cell r="A85" t="str">
            <v>2211S</v>
          </cell>
          <cell r="B85">
            <v>-8880</v>
          </cell>
          <cell r="C85" t="str">
            <v>2211</v>
          </cell>
          <cell r="D85">
            <v>-8880</v>
          </cell>
        </row>
        <row r="86">
          <cell r="A86" t="str">
            <v>2212S</v>
          </cell>
          <cell r="B86">
            <v>-88904</v>
          </cell>
          <cell r="C86" t="str">
            <v>2212</v>
          </cell>
          <cell r="D86">
            <v>-88904</v>
          </cell>
        </row>
        <row r="87">
          <cell r="A87" t="str">
            <v>2213S</v>
          </cell>
          <cell r="B87">
            <v>-4305.6000000000004</v>
          </cell>
          <cell r="C87" t="str">
            <v>2213</v>
          </cell>
          <cell r="D87">
            <v>-4305.6000000000004</v>
          </cell>
        </row>
        <row r="88">
          <cell r="A88" t="str">
            <v>2214S</v>
          </cell>
          <cell r="B88">
            <v>0</v>
          </cell>
          <cell r="C88" t="str">
            <v>2214</v>
          </cell>
          <cell r="D88">
            <v>0</v>
          </cell>
        </row>
        <row r="89">
          <cell r="A89" t="str">
            <v>2215S</v>
          </cell>
          <cell r="B89">
            <v>0</v>
          </cell>
          <cell r="C89" t="str">
            <v>2215</v>
          </cell>
          <cell r="D89">
            <v>0</v>
          </cell>
        </row>
        <row r="90">
          <cell r="A90" t="str">
            <v>2216S</v>
          </cell>
          <cell r="B90">
            <v>0</v>
          </cell>
          <cell r="C90" t="str">
            <v>2216</v>
          </cell>
          <cell r="D90">
            <v>0</v>
          </cell>
        </row>
        <row r="91">
          <cell r="A91" t="str">
            <v>2217L</v>
          </cell>
          <cell r="B91">
            <v>0</v>
          </cell>
          <cell r="C91" t="str">
            <v>2217</v>
          </cell>
          <cell r="D91">
            <v>0</v>
          </cell>
        </row>
        <row r="92">
          <cell r="A92" t="str">
            <v>2217S</v>
          </cell>
          <cell r="B92">
            <v>0</v>
          </cell>
          <cell r="C92" t="str">
            <v>2217</v>
          </cell>
          <cell r="D92">
            <v>0</v>
          </cell>
        </row>
        <row r="93">
          <cell r="A93" t="str">
            <v>2218L</v>
          </cell>
          <cell r="B93">
            <v>0</v>
          </cell>
          <cell r="C93" t="str">
            <v>2218</v>
          </cell>
          <cell r="D93">
            <v>0</v>
          </cell>
        </row>
        <row r="94">
          <cell r="A94" t="str">
            <v>2218S</v>
          </cell>
          <cell r="B94">
            <v>0</v>
          </cell>
          <cell r="C94" t="str">
            <v>2218</v>
          </cell>
          <cell r="D94">
            <v>0</v>
          </cell>
        </row>
        <row r="95">
          <cell r="A95" t="str">
            <v>2220L</v>
          </cell>
          <cell r="B95">
            <v>0</v>
          </cell>
          <cell r="C95" t="str">
            <v>2220</v>
          </cell>
          <cell r="D95">
            <v>0</v>
          </cell>
        </row>
        <row r="96">
          <cell r="A96" t="str">
            <v>2220S</v>
          </cell>
          <cell r="B96">
            <v>0</v>
          </cell>
          <cell r="C96" t="str">
            <v>2220</v>
          </cell>
          <cell r="D96">
            <v>0</v>
          </cell>
        </row>
        <row r="97">
          <cell r="A97" t="str">
            <v>2305IC</v>
          </cell>
          <cell r="B97">
            <v>0</v>
          </cell>
          <cell r="C97" t="str">
            <v>2305</v>
          </cell>
          <cell r="D97">
            <v>0</v>
          </cell>
        </row>
        <row r="98">
          <cell r="A98">
            <v>2450</v>
          </cell>
          <cell r="B98">
            <v>-6063.92</v>
          </cell>
          <cell r="C98" t="str">
            <v>2450</v>
          </cell>
          <cell r="D98">
            <v>-6063.92</v>
          </cell>
        </row>
        <row r="99">
          <cell r="A99" t="str">
            <v>2455IC</v>
          </cell>
          <cell r="B99">
            <v>0</v>
          </cell>
          <cell r="C99" t="str">
            <v>2455</v>
          </cell>
          <cell r="D99">
            <v>0</v>
          </cell>
        </row>
        <row r="100">
          <cell r="A100">
            <v>2460</v>
          </cell>
          <cell r="B100">
            <v>0</v>
          </cell>
          <cell r="C100" t="str">
            <v>2460</v>
          </cell>
          <cell r="D100">
            <v>0</v>
          </cell>
        </row>
        <row r="101">
          <cell r="A101" t="str">
            <v>2505IC</v>
          </cell>
          <cell r="B101">
            <v>0</v>
          </cell>
          <cell r="C101" t="str">
            <v>2505</v>
          </cell>
          <cell r="D101">
            <v>0</v>
          </cell>
        </row>
        <row r="102">
          <cell r="A102">
            <v>2620</v>
          </cell>
          <cell r="B102">
            <v>-5400</v>
          </cell>
          <cell r="C102" t="str">
            <v>2620</v>
          </cell>
          <cell r="D102">
            <v>-5400</v>
          </cell>
        </row>
        <row r="103">
          <cell r="A103">
            <v>2650</v>
          </cell>
          <cell r="B103">
            <v>0</v>
          </cell>
          <cell r="C103" t="str">
            <v>2650</v>
          </cell>
          <cell r="D103">
            <v>0</v>
          </cell>
        </row>
        <row r="104">
          <cell r="A104">
            <v>2800</v>
          </cell>
          <cell r="B104">
            <v>-1500000</v>
          </cell>
          <cell r="C104" t="str">
            <v>2800</v>
          </cell>
          <cell r="D104">
            <v>-1500000</v>
          </cell>
        </row>
        <row r="105">
          <cell r="A105">
            <v>2810</v>
          </cell>
          <cell r="B105">
            <v>-13846.76</v>
          </cell>
          <cell r="C105" t="str">
            <v>2810</v>
          </cell>
          <cell r="D105">
            <v>-13846.76</v>
          </cell>
        </row>
        <row r="106">
          <cell r="A106">
            <v>2820</v>
          </cell>
          <cell r="B106">
            <v>-262894.84000000003</v>
          </cell>
          <cell r="C106" t="str">
            <v>2820</v>
          </cell>
          <cell r="D106">
            <v>-262894.84000000003</v>
          </cell>
        </row>
        <row r="107">
          <cell r="A107">
            <v>2880</v>
          </cell>
          <cell r="B107">
            <v>534716.59</v>
          </cell>
          <cell r="C107" t="str">
            <v>2880</v>
          </cell>
          <cell r="D107">
            <v>534716.59</v>
          </cell>
        </row>
        <row r="108">
          <cell r="A108">
            <v>2890</v>
          </cell>
          <cell r="B108">
            <v>0</v>
          </cell>
          <cell r="C108" t="str">
            <v>2890</v>
          </cell>
          <cell r="D108">
            <v>0</v>
          </cell>
        </row>
        <row r="109">
          <cell r="A109">
            <v>2897</v>
          </cell>
          <cell r="B109">
            <v>0</v>
          </cell>
          <cell r="C109" t="str">
            <v>2897</v>
          </cell>
          <cell r="D109">
            <v>0</v>
          </cell>
        </row>
        <row r="110">
          <cell r="A110">
            <v>3000</v>
          </cell>
          <cell r="B110">
            <v>256906.65</v>
          </cell>
          <cell r="C110" t="str">
            <v>3000</v>
          </cell>
          <cell r="D110">
            <v>1463079.9199999997</v>
          </cell>
        </row>
        <row r="111">
          <cell r="A111" t="str">
            <v>3000IC</v>
          </cell>
          <cell r="B111">
            <v>1206173.2699999998</v>
          </cell>
          <cell r="C111" t="str">
            <v>3000</v>
          </cell>
          <cell r="D111">
            <v>1463079.9199999997</v>
          </cell>
        </row>
        <row r="112">
          <cell r="A112">
            <v>3021</v>
          </cell>
          <cell r="B112">
            <v>-16980.47</v>
          </cell>
          <cell r="C112" t="str">
            <v>3021</v>
          </cell>
          <cell r="D112">
            <v>-16980.47</v>
          </cell>
        </row>
        <row r="113">
          <cell r="A113">
            <v>3800</v>
          </cell>
          <cell r="B113">
            <v>635.5</v>
          </cell>
          <cell r="C113" t="str">
            <v>3800</v>
          </cell>
          <cell r="D113">
            <v>3411.05</v>
          </cell>
        </row>
        <row r="114">
          <cell r="A114" t="str">
            <v>3800IC</v>
          </cell>
          <cell r="B114">
            <v>2775.55</v>
          </cell>
          <cell r="C114" t="str">
            <v>3800</v>
          </cell>
          <cell r="D114">
            <v>3411.05</v>
          </cell>
        </row>
        <row r="115">
          <cell r="A115">
            <v>4000</v>
          </cell>
          <cell r="B115">
            <v>188662.19</v>
          </cell>
          <cell r="C115" t="str">
            <v>4000</v>
          </cell>
          <cell r="D115">
            <v>188662.19</v>
          </cell>
        </row>
        <row r="116">
          <cell r="A116">
            <v>4020</v>
          </cell>
          <cell r="B116">
            <v>91815.039999999994</v>
          </cell>
          <cell r="C116" t="str">
            <v>4020</v>
          </cell>
          <cell r="D116">
            <v>91815.039999999994</v>
          </cell>
        </row>
        <row r="117">
          <cell r="A117">
            <v>4050</v>
          </cell>
          <cell r="B117">
            <v>1422.09</v>
          </cell>
          <cell r="C117" t="str">
            <v>4050</v>
          </cell>
          <cell r="D117">
            <v>1422.09</v>
          </cell>
        </row>
        <row r="118">
          <cell r="A118">
            <v>4060</v>
          </cell>
          <cell r="B118">
            <v>0</v>
          </cell>
          <cell r="C118" t="str">
            <v>4060</v>
          </cell>
          <cell r="D118">
            <v>0</v>
          </cell>
        </row>
        <row r="119">
          <cell r="A119">
            <v>4100</v>
          </cell>
          <cell r="B119">
            <v>4296.3900000000003</v>
          </cell>
          <cell r="C119" t="str">
            <v>4100</v>
          </cell>
          <cell r="D119">
            <v>4392.7700000000004</v>
          </cell>
        </row>
        <row r="120">
          <cell r="A120" t="str">
            <v>4100IC</v>
          </cell>
          <cell r="B120">
            <v>96.38</v>
          </cell>
          <cell r="C120" t="str">
            <v>4100</v>
          </cell>
          <cell r="D120">
            <v>4392.7700000000004</v>
          </cell>
        </row>
        <row r="121">
          <cell r="A121">
            <v>4200</v>
          </cell>
          <cell r="B121">
            <v>48597.479999999996</v>
          </cell>
          <cell r="C121" t="str">
            <v>4200</v>
          </cell>
          <cell r="D121">
            <v>48597.479999999996</v>
          </cell>
        </row>
        <row r="122">
          <cell r="A122">
            <v>4300</v>
          </cell>
          <cell r="B122">
            <v>11409.33</v>
          </cell>
          <cell r="C122" t="str">
            <v>4300</v>
          </cell>
          <cell r="D122">
            <v>13654.08</v>
          </cell>
        </row>
        <row r="123">
          <cell r="A123" t="str">
            <v>4300IC</v>
          </cell>
          <cell r="B123">
            <v>2244.75</v>
          </cell>
          <cell r="C123" t="str">
            <v>4300</v>
          </cell>
          <cell r="D123">
            <v>13654.08</v>
          </cell>
        </row>
        <row r="124">
          <cell r="A124">
            <v>4500</v>
          </cell>
          <cell r="B124">
            <v>9078.68</v>
          </cell>
          <cell r="C124" t="str">
            <v>4500</v>
          </cell>
          <cell r="D124">
            <v>9078.68</v>
          </cell>
        </row>
        <row r="125">
          <cell r="A125" t="str">
            <v>4500IC</v>
          </cell>
          <cell r="B125">
            <v>0</v>
          </cell>
          <cell r="C125" t="str">
            <v>4500</v>
          </cell>
          <cell r="D125">
            <v>9078.68</v>
          </cell>
        </row>
        <row r="126">
          <cell r="A126">
            <v>4520</v>
          </cell>
          <cell r="B126">
            <v>47259.83</v>
          </cell>
          <cell r="C126" t="str">
            <v>4520</v>
          </cell>
          <cell r="D126">
            <v>47259.83</v>
          </cell>
        </row>
        <row r="127">
          <cell r="A127">
            <v>4540</v>
          </cell>
          <cell r="B127">
            <v>0</v>
          </cell>
          <cell r="C127" t="str">
            <v>4540</v>
          </cell>
          <cell r="D127">
            <v>0</v>
          </cell>
        </row>
        <row r="128">
          <cell r="A128" t="str">
            <v>4540IC</v>
          </cell>
          <cell r="B128">
            <v>0</v>
          </cell>
          <cell r="C128" t="str">
            <v>4540</v>
          </cell>
          <cell r="D128">
            <v>0</v>
          </cell>
        </row>
        <row r="129">
          <cell r="A129">
            <v>4600</v>
          </cell>
          <cell r="B129">
            <v>4471.12</v>
          </cell>
          <cell r="C129" t="str">
            <v>4600</v>
          </cell>
          <cell r="D129">
            <v>4471.12</v>
          </cell>
        </row>
        <row r="130">
          <cell r="A130">
            <v>4650</v>
          </cell>
          <cell r="B130">
            <v>6746.41</v>
          </cell>
          <cell r="C130" t="str">
            <v>4650</v>
          </cell>
          <cell r="D130">
            <v>6746.41</v>
          </cell>
        </row>
        <row r="131">
          <cell r="A131">
            <v>4700</v>
          </cell>
          <cell r="B131">
            <v>9012.27</v>
          </cell>
          <cell r="C131" t="str">
            <v>4700</v>
          </cell>
          <cell r="D131">
            <v>9012.27</v>
          </cell>
        </row>
        <row r="132">
          <cell r="A132">
            <v>47001</v>
          </cell>
          <cell r="B132">
            <v>0</v>
          </cell>
          <cell r="C132" t="str">
            <v>4700</v>
          </cell>
          <cell r="D132">
            <v>9012.27</v>
          </cell>
        </row>
        <row r="133">
          <cell r="A133">
            <v>47002</v>
          </cell>
          <cell r="B133">
            <v>0</v>
          </cell>
          <cell r="C133" t="str">
            <v>4700</v>
          </cell>
          <cell r="D133">
            <v>9012.27</v>
          </cell>
        </row>
        <row r="134">
          <cell r="A134">
            <v>4720</v>
          </cell>
          <cell r="B134">
            <v>0</v>
          </cell>
          <cell r="C134" t="str">
            <v>4720</v>
          </cell>
          <cell r="D134">
            <v>0</v>
          </cell>
        </row>
        <row r="135">
          <cell r="A135">
            <v>4750</v>
          </cell>
          <cell r="B135">
            <v>14555</v>
          </cell>
          <cell r="C135" t="str">
            <v>4750</v>
          </cell>
          <cell r="D135">
            <v>14555</v>
          </cell>
        </row>
        <row r="136">
          <cell r="A136">
            <v>4795</v>
          </cell>
          <cell r="B136">
            <v>0</v>
          </cell>
          <cell r="C136" t="str">
            <v>4795</v>
          </cell>
          <cell r="D136">
            <v>0</v>
          </cell>
        </row>
        <row r="137">
          <cell r="A137">
            <v>4800</v>
          </cell>
          <cell r="B137">
            <v>13676.68</v>
          </cell>
          <cell r="C137" t="str">
            <v>4800</v>
          </cell>
          <cell r="D137">
            <v>13676.68</v>
          </cell>
        </row>
        <row r="138">
          <cell r="A138">
            <v>4810</v>
          </cell>
          <cell r="B138">
            <v>23259.360000000001</v>
          </cell>
          <cell r="C138" t="str">
            <v>4810</v>
          </cell>
          <cell r="D138">
            <v>23259.360000000001</v>
          </cell>
        </row>
        <row r="139">
          <cell r="A139">
            <v>4813</v>
          </cell>
          <cell r="B139">
            <v>0</v>
          </cell>
          <cell r="C139" t="str">
            <v>4813</v>
          </cell>
          <cell r="D139">
            <v>0</v>
          </cell>
        </row>
        <row r="140">
          <cell r="A140">
            <v>4821</v>
          </cell>
          <cell r="B140">
            <v>0</v>
          </cell>
          <cell r="C140" t="str">
            <v>4821</v>
          </cell>
          <cell r="D140">
            <v>0</v>
          </cell>
        </row>
        <row r="141">
          <cell r="A141">
            <v>4900</v>
          </cell>
          <cell r="B141">
            <v>324</v>
          </cell>
          <cell r="C141" t="str">
            <v>4900</v>
          </cell>
          <cell r="D141">
            <v>324</v>
          </cell>
        </row>
        <row r="142">
          <cell r="A142">
            <v>6000</v>
          </cell>
          <cell r="B142">
            <v>0</v>
          </cell>
          <cell r="C142" t="str">
            <v>6000</v>
          </cell>
          <cell r="D142">
            <v>0</v>
          </cell>
        </row>
        <row r="143">
          <cell r="A143" t="str">
            <v>6000IC</v>
          </cell>
          <cell r="B143">
            <v>0</v>
          </cell>
          <cell r="C143" t="str">
            <v>6000</v>
          </cell>
          <cell r="D143">
            <v>0</v>
          </cell>
        </row>
        <row r="144">
          <cell r="A144">
            <v>6010</v>
          </cell>
          <cell r="B144">
            <v>-36477.699999999997</v>
          </cell>
          <cell r="C144" t="str">
            <v>6010</v>
          </cell>
          <cell r="D144">
            <v>-36477.699999999997</v>
          </cell>
        </row>
        <row r="145">
          <cell r="A145" t="str">
            <v>6010IC</v>
          </cell>
          <cell r="B145">
            <v>0</v>
          </cell>
          <cell r="C145" t="str">
            <v>6010</v>
          </cell>
          <cell r="D145">
            <v>-36477.699999999997</v>
          </cell>
        </row>
        <row r="146">
          <cell r="A146">
            <v>6020</v>
          </cell>
          <cell r="B146">
            <v>-579515.67999999993</v>
          </cell>
          <cell r="C146" t="str">
            <v>6020</v>
          </cell>
          <cell r="D146">
            <v>-579515.67999999993</v>
          </cell>
        </row>
        <row r="147">
          <cell r="A147" t="str">
            <v>6020IC</v>
          </cell>
          <cell r="B147">
            <v>0</v>
          </cell>
          <cell r="C147" t="str">
            <v>6020</v>
          </cell>
          <cell r="D147">
            <v>-579515.67999999993</v>
          </cell>
        </row>
        <row r="148">
          <cell r="A148">
            <v>6030</v>
          </cell>
          <cell r="B148">
            <v>0</v>
          </cell>
          <cell r="C148" t="str">
            <v>6030</v>
          </cell>
          <cell r="D148">
            <v>0</v>
          </cell>
        </row>
        <row r="149">
          <cell r="A149" t="str">
            <v>6030IC</v>
          </cell>
          <cell r="B149">
            <v>0</v>
          </cell>
          <cell r="C149" t="str">
            <v>6030</v>
          </cell>
          <cell r="D149">
            <v>0</v>
          </cell>
        </row>
        <row r="150">
          <cell r="A150">
            <v>6040</v>
          </cell>
          <cell r="B150">
            <v>-818347.75</v>
          </cell>
          <cell r="C150" t="str">
            <v>6040</v>
          </cell>
          <cell r="D150">
            <v>-819870.25</v>
          </cell>
        </row>
        <row r="151">
          <cell r="A151" t="str">
            <v>6040IC</v>
          </cell>
          <cell r="B151">
            <v>-1522.5</v>
          </cell>
          <cell r="C151" t="str">
            <v>6040</v>
          </cell>
          <cell r="D151">
            <v>-819870.25</v>
          </cell>
        </row>
        <row r="152">
          <cell r="A152">
            <v>6050</v>
          </cell>
          <cell r="B152">
            <v>-441650.66</v>
          </cell>
          <cell r="C152" t="str">
            <v>6050</v>
          </cell>
          <cell r="D152">
            <v>-441650.66</v>
          </cell>
        </row>
        <row r="153">
          <cell r="A153" t="str">
            <v>6050IC</v>
          </cell>
          <cell r="B153">
            <v>0</v>
          </cell>
          <cell r="C153" t="str">
            <v>6050</v>
          </cell>
          <cell r="D153">
            <v>-441650.66</v>
          </cell>
        </row>
        <row r="154">
          <cell r="A154">
            <v>6060</v>
          </cell>
          <cell r="B154">
            <v>-47359.07</v>
          </cell>
          <cell r="C154" t="str">
            <v>6060</v>
          </cell>
          <cell r="D154">
            <v>-47359.07</v>
          </cell>
        </row>
        <row r="155">
          <cell r="A155" t="str">
            <v>6060IC</v>
          </cell>
          <cell r="B155">
            <v>0</v>
          </cell>
          <cell r="C155" t="str">
            <v>6060</v>
          </cell>
          <cell r="D155">
            <v>-47359.07</v>
          </cell>
        </row>
        <row r="156">
          <cell r="A156">
            <v>6070</v>
          </cell>
          <cell r="B156">
            <v>0</v>
          </cell>
          <cell r="C156" t="str">
            <v>6070</v>
          </cell>
          <cell r="D156">
            <v>0</v>
          </cell>
        </row>
        <row r="157">
          <cell r="A157" t="str">
            <v>6070IC</v>
          </cell>
          <cell r="B157">
            <v>0</v>
          </cell>
          <cell r="C157" t="str">
            <v>6070</v>
          </cell>
          <cell r="D157">
            <v>0</v>
          </cell>
        </row>
        <row r="158">
          <cell r="A158">
            <v>6080</v>
          </cell>
          <cell r="B158">
            <v>0</v>
          </cell>
          <cell r="C158" t="str">
            <v>6080</v>
          </cell>
          <cell r="D158">
            <v>0</v>
          </cell>
        </row>
        <row r="159">
          <cell r="A159" t="str">
            <v>6080IC</v>
          </cell>
          <cell r="B159">
            <v>0</v>
          </cell>
          <cell r="C159" t="str">
            <v>6080</v>
          </cell>
          <cell r="D159">
            <v>0</v>
          </cell>
        </row>
        <row r="160">
          <cell r="A160">
            <v>6090</v>
          </cell>
          <cell r="B160">
            <v>0</v>
          </cell>
          <cell r="C160" t="str">
            <v>6090</v>
          </cell>
          <cell r="D160">
            <v>0</v>
          </cell>
        </row>
        <row r="161">
          <cell r="A161" t="str">
            <v>6090IC</v>
          </cell>
          <cell r="B161">
            <v>0</v>
          </cell>
          <cell r="C161" t="str">
            <v>6090</v>
          </cell>
          <cell r="D161">
            <v>0</v>
          </cell>
        </row>
        <row r="162">
          <cell r="A162">
            <v>6109</v>
          </cell>
          <cell r="B162">
            <v>4582.49</v>
          </cell>
          <cell r="C162" t="str">
            <v>6109</v>
          </cell>
          <cell r="D162">
            <v>4582.49</v>
          </cell>
        </row>
        <row r="163">
          <cell r="A163" t="str">
            <v>6110IC</v>
          </cell>
          <cell r="B163">
            <v>24233.679999999997</v>
          </cell>
          <cell r="C163" t="str">
            <v>6110</v>
          </cell>
          <cell r="D163">
            <v>24233.679999999997</v>
          </cell>
        </row>
        <row r="164">
          <cell r="A164">
            <v>6119</v>
          </cell>
          <cell r="B164">
            <v>0</v>
          </cell>
          <cell r="C164" t="str">
            <v>6119</v>
          </cell>
          <cell r="D164">
            <v>0</v>
          </cell>
        </row>
        <row r="165">
          <cell r="A165" t="str">
            <v>6119IC</v>
          </cell>
          <cell r="B165">
            <v>0</v>
          </cell>
          <cell r="C165" t="str">
            <v>6119</v>
          </cell>
          <cell r="D165">
            <v>0</v>
          </cell>
        </row>
        <row r="166">
          <cell r="A166">
            <v>6129</v>
          </cell>
          <cell r="B166">
            <v>0</v>
          </cell>
          <cell r="C166" t="str">
            <v>6129</v>
          </cell>
          <cell r="D166">
            <v>0</v>
          </cell>
        </row>
        <row r="167">
          <cell r="A167" t="str">
            <v>6129IC</v>
          </cell>
          <cell r="B167">
            <v>0</v>
          </cell>
          <cell r="C167" t="str">
            <v>6129</v>
          </cell>
          <cell r="D167">
            <v>0</v>
          </cell>
        </row>
        <row r="168">
          <cell r="A168">
            <v>6139</v>
          </cell>
          <cell r="B168">
            <v>0</v>
          </cell>
          <cell r="C168" t="str">
            <v>6139</v>
          </cell>
          <cell r="D168">
            <v>0</v>
          </cell>
        </row>
        <row r="169">
          <cell r="A169" t="str">
            <v>6139IC</v>
          </cell>
          <cell r="B169">
            <v>0</v>
          </cell>
          <cell r="C169" t="str">
            <v>6139</v>
          </cell>
          <cell r="D169">
            <v>0</v>
          </cell>
        </row>
        <row r="170">
          <cell r="A170">
            <v>6149</v>
          </cell>
          <cell r="B170">
            <v>0</v>
          </cell>
          <cell r="C170" t="str">
            <v>6149</v>
          </cell>
          <cell r="D170">
            <v>0</v>
          </cell>
        </row>
        <row r="171">
          <cell r="A171" t="str">
            <v>6149IC</v>
          </cell>
          <cell r="B171">
            <v>0</v>
          </cell>
          <cell r="C171" t="str">
            <v>6149</v>
          </cell>
          <cell r="D171">
            <v>0</v>
          </cell>
        </row>
        <row r="172">
          <cell r="A172">
            <v>6159</v>
          </cell>
          <cell r="B172">
            <v>0</v>
          </cell>
          <cell r="C172" t="str">
            <v>6159</v>
          </cell>
          <cell r="D172">
            <v>0</v>
          </cell>
        </row>
        <row r="173">
          <cell r="A173" t="str">
            <v>6159IC</v>
          </cell>
          <cell r="B173">
            <v>0</v>
          </cell>
          <cell r="C173" t="str">
            <v>6159</v>
          </cell>
          <cell r="D173">
            <v>0</v>
          </cell>
        </row>
        <row r="174">
          <cell r="A174">
            <v>6169</v>
          </cell>
          <cell r="B174">
            <v>0</v>
          </cell>
          <cell r="C174" t="str">
            <v>6169</v>
          </cell>
          <cell r="D174">
            <v>0</v>
          </cell>
        </row>
        <row r="175">
          <cell r="A175" t="str">
            <v>6169IC</v>
          </cell>
          <cell r="B175">
            <v>0</v>
          </cell>
          <cell r="C175" t="str">
            <v>6169</v>
          </cell>
          <cell r="D175">
            <v>0</v>
          </cell>
        </row>
        <row r="176">
          <cell r="A176">
            <v>6179</v>
          </cell>
          <cell r="B176">
            <v>0</v>
          </cell>
          <cell r="C176" t="str">
            <v>6179</v>
          </cell>
          <cell r="D176">
            <v>0</v>
          </cell>
        </row>
        <row r="177">
          <cell r="A177" t="str">
            <v>6179IC</v>
          </cell>
          <cell r="B177">
            <v>0</v>
          </cell>
          <cell r="C177" t="str">
            <v>6179</v>
          </cell>
          <cell r="D177">
            <v>0</v>
          </cell>
        </row>
        <row r="178">
          <cell r="A178">
            <v>6189</v>
          </cell>
          <cell r="B178">
            <v>0</v>
          </cell>
          <cell r="C178" t="str">
            <v>6189</v>
          </cell>
          <cell r="D178">
            <v>0</v>
          </cell>
        </row>
        <row r="179">
          <cell r="A179" t="str">
            <v>6189IC</v>
          </cell>
          <cell r="B179">
            <v>0</v>
          </cell>
          <cell r="C179" t="str">
            <v>6189</v>
          </cell>
          <cell r="D179">
            <v>0</v>
          </cell>
        </row>
        <row r="180">
          <cell r="A180">
            <v>6199</v>
          </cell>
          <cell r="B180">
            <v>0</v>
          </cell>
          <cell r="C180" t="str">
            <v>6199</v>
          </cell>
          <cell r="D180">
            <v>0</v>
          </cell>
        </row>
        <row r="181">
          <cell r="A181" t="str">
            <v>6199IC</v>
          </cell>
          <cell r="B181">
            <v>0</v>
          </cell>
          <cell r="C181" t="str">
            <v>6199</v>
          </cell>
          <cell r="D181">
            <v>0</v>
          </cell>
        </row>
        <row r="182">
          <cell r="A182">
            <v>6220</v>
          </cell>
          <cell r="B182">
            <v>-37990.61</v>
          </cell>
          <cell r="C182" t="str">
            <v>6220</v>
          </cell>
          <cell r="D182">
            <v>-37990.61</v>
          </cell>
        </row>
        <row r="183">
          <cell r="A183" t="str">
            <v>6220IC</v>
          </cell>
          <cell r="B183">
            <v>0</v>
          </cell>
          <cell r="C183" t="str">
            <v>6220</v>
          </cell>
          <cell r="D183">
            <v>-37990.61</v>
          </cell>
        </row>
        <row r="184">
          <cell r="A184">
            <v>6260</v>
          </cell>
          <cell r="B184">
            <v>0</v>
          </cell>
          <cell r="C184" t="str">
            <v>6260</v>
          </cell>
          <cell r="D184">
            <v>0</v>
          </cell>
        </row>
        <row r="185">
          <cell r="A185">
            <v>6270</v>
          </cell>
          <cell r="B185">
            <v>0</v>
          </cell>
          <cell r="C185" t="str">
            <v>6270</v>
          </cell>
          <cell r="D185">
            <v>0</v>
          </cell>
        </row>
        <row r="186">
          <cell r="A186">
            <v>6290</v>
          </cell>
          <cell r="B186">
            <v>0</v>
          </cell>
          <cell r="C186" t="str">
            <v>6290</v>
          </cell>
          <cell r="D186">
            <v>0</v>
          </cell>
        </row>
        <row r="187">
          <cell r="A187">
            <v>6295</v>
          </cell>
          <cell r="B187">
            <v>-167</v>
          </cell>
          <cell r="C187" t="str">
            <v>6295</v>
          </cell>
          <cell r="D187">
            <v>-167</v>
          </cell>
        </row>
        <row r="188">
          <cell r="A188">
            <v>6810</v>
          </cell>
          <cell r="B188">
            <v>660.64</v>
          </cell>
          <cell r="C188" t="str">
            <v>6810</v>
          </cell>
          <cell r="D188">
            <v>660.64</v>
          </cell>
        </row>
        <row r="189">
          <cell r="A189">
            <v>6820</v>
          </cell>
          <cell r="B189">
            <v>0</v>
          </cell>
          <cell r="C189" t="str">
            <v>6820</v>
          </cell>
          <cell r="D189">
            <v>0</v>
          </cell>
        </row>
        <row r="190">
          <cell r="A190">
            <v>6821</v>
          </cell>
          <cell r="B190">
            <v>239.75</v>
          </cell>
          <cell r="C190" t="str">
            <v>6821</v>
          </cell>
          <cell r="D190">
            <v>239.75</v>
          </cell>
        </row>
        <row r="191">
          <cell r="A191">
            <v>6830</v>
          </cell>
          <cell r="B191">
            <v>0</v>
          </cell>
          <cell r="C191" t="str">
            <v>6830</v>
          </cell>
          <cell r="D191">
            <v>0</v>
          </cell>
        </row>
        <row r="192">
          <cell r="A192">
            <v>6890</v>
          </cell>
          <cell r="B192">
            <v>0</v>
          </cell>
          <cell r="C192" t="str">
            <v>6890</v>
          </cell>
          <cell r="D192">
            <v>0</v>
          </cell>
        </row>
        <row r="193">
          <cell r="A193" t="str">
            <v>6890IC</v>
          </cell>
          <cell r="B193">
            <v>0</v>
          </cell>
          <cell r="C193" t="str">
            <v>6890</v>
          </cell>
          <cell r="D193">
            <v>0</v>
          </cell>
        </row>
        <row r="194">
          <cell r="A194">
            <v>6900</v>
          </cell>
          <cell r="B194">
            <v>0</v>
          </cell>
          <cell r="C194" t="str">
            <v>6900</v>
          </cell>
          <cell r="D194">
            <v>0</v>
          </cell>
        </row>
        <row r="195">
          <cell r="A195">
            <v>7000</v>
          </cell>
          <cell r="B195">
            <v>-1547.2800000000002</v>
          </cell>
          <cell r="C195" t="str">
            <v>7000</v>
          </cell>
          <cell r="D195">
            <v>-1547.2800000000002</v>
          </cell>
        </row>
        <row r="196">
          <cell r="A196">
            <v>7001</v>
          </cell>
          <cell r="B196">
            <v>0</v>
          </cell>
          <cell r="C196" t="str">
            <v>7001</v>
          </cell>
          <cell r="D196">
            <v>0</v>
          </cell>
        </row>
        <row r="197">
          <cell r="A197">
            <v>7100</v>
          </cell>
          <cell r="B197">
            <v>0.19</v>
          </cell>
          <cell r="C197" t="str">
            <v>7100</v>
          </cell>
          <cell r="D197">
            <v>0.19</v>
          </cell>
        </row>
        <row r="198">
          <cell r="A198" t="str">
            <v>7100IC</v>
          </cell>
          <cell r="B198">
            <v>0</v>
          </cell>
          <cell r="C198" t="str">
            <v>7100</v>
          </cell>
          <cell r="D198">
            <v>0.19</v>
          </cell>
        </row>
        <row r="199">
          <cell r="A199">
            <v>7200</v>
          </cell>
          <cell r="B199">
            <v>0</v>
          </cell>
          <cell r="C199" t="str">
            <v>7200</v>
          </cell>
          <cell r="D199">
            <v>0</v>
          </cell>
        </row>
        <row r="200">
          <cell r="A200">
            <v>7700</v>
          </cell>
          <cell r="B200">
            <v>0</v>
          </cell>
          <cell r="C200" t="str">
            <v>7700</v>
          </cell>
          <cell r="D200">
            <v>0</v>
          </cell>
        </row>
        <row r="201">
          <cell r="A201" t="str">
            <v>7800IC</v>
          </cell>
          <cell r="B201">
            <v>37800</v>
          </cell>
          <cell r="C201" t="str">
            <v>7800</v>
          </cell>
          <cell r="D201">
            <v>37800</v>
          </cell>
        </row>
        <row r="202">
          <cell r="A202">
            <v>7850</v>
          </cell>
          <cell r="B202">
            <v>0</v>
          </cell>
          <cell r="C202" t="str">
            <v>7850</v>
          </cell>
          <cell r="D202">
            <v>0</v>
          </cell>
        </row>
        <row r="203">
          <cell r="A203" t="str">
            <v>7850IC</v>
          </cell>
          <cell r="B203">
            <v>0</v>
          </cell>
          <cell r="C203" t="str">
            <v>7850</v>
          </cell>
          <cell r="D203">
            <v>0</v>
          </cell>
        </row>
        <row r="204">
          <cell r="A204">
            <v>7910</v>
          </cell>
          <cell r="B204">
            <v>6500</v>
          </cell>
          <cell r="C204" t="str">
            <v>7910</v>
          </cell>
          <cell r="D204">
            <v>6500</v>
          </cell>
        </row>
        <row r="205">
          <cell r="A205">
            <v>7920</v>
          </cell>
          <cell r="B205">
            <v>0</v>
          </cell>
          <cell r="C205" t="str">
            <v>7920</v>
          </cell>
          <cell r="D205">
            <v>0</v>
          </cell>
        </row>
        <row r="206">
          <cell r="A206">
            <v>7990</v>
          </cell>
          <cell r="B206">
            <v>0</v>
          </cell>
          <cell r="C206" t="str">
            <v>7990</v>
          </cell>
          <cell r="D206">
            <v>0</v>
          </cell>
        </row>
      </sheetData>
      <sheetData sheetId="1"/>
      <sheetData sheetId="2"/>
      <sheetData sheetId="3"/>
      <sheetData sheetId="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al"/>
      <sheetName val="Accounts"/>
      <sheetName val="Depreciation"/>
      <sheetName val="notes"/>
      <sheetName val="notes2"/>
      <sheetName val="note3"/>
      <sheetName val="notes4"/>
      <sheetName val="Note 5"/>
      <sheetName val="Note 6"/>
      <sheetName val="note 7"/>
      <sheetName val="CASHFLOW "/>
      <sheetName val="Abstrac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to Joe"/>
      <sheetName val="Cover Page"/>
      <sheetName val="Key Indicators"/>
      <sheetName val="AR Bal"/>
      <sheetName val="AR Graphs"/>
      <sheetName val="ESBU Prod'y"/>
      <sheetName val="ESBU Mo Fcst"/>
      <sheetName val="ESBU YTD Fcst"/>
      <sheetName val="GRF Prod'y"/>
      <sheetName val="GRF Mo Fcst"/>
      <sheetName val="GRF YTD Fcst"/>
      <sheetName val="PUB Prod'y"/>
      <sheetName val="PUB Mo Fcst"/>
      <sheetName val="PUB YTD Fcst"/>
      <sheetName val="YRK Prod'y"/>
      <sheetName val="YRK Mo Fcst"/>
      <sheetName val="YRK YTD Fcst"/>
      <sheetName val="DEL Prod'y"/>
      <sheetName val="DEL Mo Fcst"/>
      <sheetName val="DEL YTD Fcst"/>
      <sheetName val="ELIM Mo Fcst"/>
      <sheetName val="ELIM YTD Fcst"/>
      <sheetName val="ESBU Dtl 1"/>
      <sheetName val="ESBU Dtl 2"/>
      <sheetName val="GRF Dtl 1"/>
      <sheetName val="GRF Dtl 2"/>
      <sheetName val="PUB Dtl 1"/>
      <sheetName val="PUB Dtl 2"/>
      <sheetName val="YRK Dtl 1"/>
      <sheetName val="YRK Dtl 2"/>
      <sheetName val="DEL Dtl 1"/>
      <sheetName val="DEL Dtl 2"/>
      <sheetName val="ELIM Dtl 1"/>
      <sheetName val="ELIM Dtl 2"/>
      <sheetName val="DSO"/>
      <sheetName val="Glossary"/>
    </sheetNames>
    <sheetDataSet>
      <sheetData sheetId="0"/>
      <sheetData sheetId="1"/>
      <sheetData sheetId="2"/>
      <sheetData sheetId="3"/>
      <sheetData sheetId="4" refreshError="1">
        <row r="2">
          <cell r="A2" t="str">
            <v>Accounts Receivables - By Age</v>
          </cell>
        </row>
        <row r="3">
          <cell r="A3" t="str">
            <v>For the 54 Months Ended 12/31/02</v>
          </cell>
        </row>
        <row r="5">
          <cell r="A5" t="str">
            <v>Total A/R Balances</v>
          </cell>
        </row>
        <row r="33">
          <cell r="A33" t="str">
            <v>Percentage of A/R Balances in Each Aging Category</v>
          </cell>
        </row>
        <row r="65">
          <cell r="A65" t="str">
            <v>The GTS Companies</v>
          </cell>
        </row>
        <row r="66">
          <cell r="A66" t="str">
            <v>Accounts Receivables - By Age</v>
          </cell>
        </row>
        <row r="67">
          <cell r="A67" t="str">
            <v>For the 54 Months Ended 12/31/02</v>
          </cell>
        </row>
        <row r="69">
          <cell r="A69" t="str">
            <v>A/R Balances &gt; 90 Days</v>
          </cell>
        </row>
        <row r="97">
          <cell r="A97" t="str">
            <v>&gt; 90 Day Balance as a Percentage of Total A/R Balance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cd"/>
      <sheetName val="C-9"/>
      <sheetName val="C-16(b) PF "/>
      <sheetName val="C-16(b) ESIC"/>
      <sheetName val="C-17(a)"/>
      <sheetName val="C-17(e)"/>
      <sheetName val="C-17(f)"/>
      <sheetName val="C-17(h)"/>
      <sheetName val="REIMB. ANNEXURE"/>
      <sheetName val="C-18"/>
      <sheetName val="C-18 others"/>
      <sheetName val="C-20 (new)"/>
      <sheetName val="C-20"/>
      <sheetName val="C-21(a)"/>
      <sheetName val="C-21(b)"/>
      <sheetName val="C-22(b)"/>
      <sheetName val="C-24(a)"/>
      <sheetName val="C-24(b)"/>
      <sheetName val="C-26"/>
      <sheetName val="C-32 "/>
      <sheetName val="MODVAT"/>
      <sheetName val="C-28"/>
      <sheetName val="C-28X"/>
      <sheetName val="40A 2(b)"/>
      <sheetName val="Depriciation Annexure"/>
      <sheetName val="FBT"/>
      <sheetName val="FA Additions"/>
      <sheetName val="FA Deletions"/>
      <sheetName val="C-27(b)i"/>
      <sheetName val="C-27(b)ii"/>
      <sheetName val="C-27(b)iii"/>
      <sheetName val="C-27(b)iv"/>
      <sheetName val="C-27(b)iv JW"/>
      <sheetName val="27(b)iv Delay"/>
      <sheetName val="FBT Qtr wise"/>
      <sheetName val="FA Top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ORDER-BILLING"/>
    </sheetNames>
    <sheetDataSet>
      <sheetData sheetId="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3)"/>
      <sheetName val="Sheet1 (2)"/>
      <sheetName val="Sheet1"/>
      <sheetName val="Bond Stock Sep-08 sikkim-recd f"/>
      <sheetName val="P&amp;L_MARCH09"/>
    </sheetNames>
    <sheetDataSet>
      <sheetData sheetId="0" refreshError="1"/>
      <sheetData sheetId="1" refreshError="1"/>
      <sheetData sheetId="2">
        <row r="7">
          <cell r="A7" t="str">
            <v>5000047            NEOLORIDIN  D TABLETS</v>
          </cell>
        </row>
        <row r="8">
          <cell r="A8" t="str">
            <v>5000061            NUCOXIA 90 TABLETS</v>
          </cell>
        </row>
        <row r="9">
          <cell r="A9" t="str">
            <v>5000077            OCID QRS TABLETS</v>
          </cell>
        </row>
        <row r="10">
          <cell r="A10" t="str">
            <v>5000079            OFLIN 100MG TABLET</v>
          </cell>
        </row>
        <row r="11">
          <cell r="A11" t="str">
            <v>5000082            OFLIN 400 TABLETS</v>
          </cell>
        </row>
        <row r="12">
          <cell r="A12" t="str">
            <v>5000086            OFLIN TZ  TABLETS</v>
          </cell>
        </row>
        <row r="13">
          <cell r="A13" t="str">
            <v>5000111            ZYCEL 200MG  CAPSULE</v>
          </cell>
        </row>
        <row r="14">
          <cell r="A14" t="str">
            <v>5000112            ZYCOLCHIN  TABLET</v>
          </cell>
        </row>
        <row r="15">
          <cell r="A15" t="str">
            <v>5000147            EPSOLIN  300 TABLET</v>
          </cell>
        </row>
        <row r="16">
          <cell r="A16" t="str">
            <v>5000152            EPSOLIN TAB</v>
          </cell>
        </row>
        <row r="17">
          <cell r="A17" t="str">
            <v>5000172            OLANDUS  10 TABLET</v>
          </cell>
        </row>
        <row r="18">
          <cell r="A18" t="str">
            <v>5000173            OLANDUS  5 TABLET</v>
          </cell>
        </row>
        <row r="19">
          <cell r="A19" t="str">
            <v>5000200            XET 10 TABLETS</v>
          </cell>
        </row>
        <row r="20">
          <cell r="A20" t="str">
            <v>5000205            XET 30 TABLETS</v>
          </cell>
        </row>
        <row r="21">
          <cell r="A21" t="str">
            <v>5000207            XET 40 TABLETS</v>
          </cell>
        </row>
        <row r="22">
          <cell r="A22" t="str">
            <v>5000217            ZOLDAC 0.25 TABLET</v>
          </cell>
        </row>
        <row r="23">
          <cell r="A23" t="str">
            <v>5000967            CARVIL 12.50MG TABLET</v>
          </cell>
        </row>
        <row r="24">
          <cell r="A24" t="str">
            <v>5000968            CARVIL 3.125MG TABLET</v>
          </cell>
        </row>
        <row r="25">
          <cell r="A25" t="str">
            <v>5000969            CARVIL 6.250MG TABLET</v>
          </cell>
        </row>
        <row r="26">
          <cell r="A26" t="str">
            <v>5000978            GLIZONE 30 TABLETS</v>
          </cell>
        </row>
        <row r="27">
          <cell r="A27" t="str">
            <v>5000980            GLIZONE-M 30  TABLETS</v>
          </cell>
        </row>
        <row r="28">
          <cell r="A28" t="str">
            <v>5000982            ILDAMEN 8MG TABS</v>
          </cell>
        </row>
        <row r="29">
          <cell r="A29" t="str">
            <v>5001001            TRICHECK CAPSULES</v>
          </cell>
        </row>
        <row r="30">
          <cell r="A30" t="str">
            <v>5001005            ZYNICOR 5 TABLET</v>
          </cell>
        </row>
        <row r="31">
          <cell r="A31" t="str">
            <v>5001009            ZYTANIX 2.5 TABLETS</v>
          </cell>
        </row>
        <row r="32">
          <cell r="A32" t="str">
            <v>5001010            ZYTANIX 5 TABLETS</v>
          </cell>
        </row>
        <row r="33">
          <cell r="A33" t="str">
            <v>5001018            CIPROBID 500 TABLETS</v>
          </cell>
        </row>
        <row r="34">
          <cell r="A34" t="str">
            <v>5001030            CYTOLOG  TABLET</v>
          </cell>
        </row>
        <row r="35">
          <cell r="A35" t="str">
            <v>5001033            CYTOLOG 100 TABLETS</v>
          </cell>
        </row>
        <row r="36">
          <cell r="A36" t="str">
            <v>5001071            NEUROTRAT CAPSULES</v>
          </cell>
        </row>
        <row r="37">
          <cell r="A37" t="str">
            <v>5001073            ORIPRIM DS TABLETS</v>
          </cell>
        </row>
        <row r="38">
          <cell r="A38" t="str">
            <v>5001080            PENEGRA 100MG TABLETS</v>
          </cell>
        </row>
        <row r="39">
          <cell r="A39" t="str">
            <v>5001082            PENEGRA 25  TABLETS</v>
          </cell>
        </row>
        <row r="40">
          <cell r="A40" t="str">
            <v>5001083            PENEGRA 50MG TABLETS</v>
          </cell>
        </row>
        <row r="41">
          <cell r="A41" t="str">
            <v>5001093            R-LOC 150 TABLETS</v>
          </cell>
        </row>
        <row r="42">
          <cell r="A42" t="str">
            <v>5001093            R-LOC 150 TABLETS</v>
          </cell>
        </row>
        <row r="43">
          <cell r="A43" t="str">
            <v>5001107            TINIBA - N TABLET</v>
          </cell>
        </row>
        <row r="44">
          <cell r="A44" t="str">
            <v>5001108            TINIBA 300MG TABLET</v>
          </cell>
        </row>
        <row r="45">
          <cell r="A45" t="str">
            <v>5001110            TINIBA 500MG TABLET</v>
          </cell>
        </row>
        <row r="46">
          <cell r="A46" t="str">
            <v>5001113            TRAMAZAC  CAPSULES</v>
          </cell>
        </row>
        <row r="47">
          <cell r="A47" t="str">
            <v>5001223            PHOSTAT TABLETS</v>
          </cell>
        </row>
        <row r="48">
          <cell r="A48" t="str">
            <v>5001255            BIGSENS XR  500 TABLETS</v>
          </cell>
        </row>
        <row r="49">
          <cell r="A49" t="str">
            <v>5001256            BIGSENS XR 1000 TABLETS</v>
          </cell>
        </row>
        <row r="50">
          <cell r="A50" t="str">
            <v>5001272            EUGLIM 1 TABLET</v>
          </cell>
        </row>
        <row r="51">
          <cell r="A51" t="str">
            <v>5001273            EUGLIM 2 TABLET</v>
          </cell>
        </row>
        <row r="52">
          <cell r="A52" t="str">
            <v>5001274            EUGLIM 4 TABLETS</v>
          </cell>
        </row>
        <row r="53">
          <cell r="A53" t="str">
            <v>5001275            EUGLIM MP 2  TABLETS</v>
          </cell>
        </row>
        <row r="54">
          <cell r="A54" t="str">
            <v>5001276            EUGLIM MP1  TABLETS</v>
          </cell>
        </row>
        <row r="55">
          <cell r="A55" t="str">
            <v>5001277            EUGLIM P1 TABLETS</v>
          </cell>
        </row>
        <row r="56">
          <cell r="A56" t="str">
            <v>5001278            EUGLIM P2 TABLETS</v>
          </cell>
        </row>
        <row r="57">
          <cell r="A57" t="str">
            <v>5001279            EUGLIM-M 1 TABLETS</v>
          </cell>
        </row>
        <row r="58">
          <cell r="A58" t="str">
            <v>5001280            EUGLIM-M 2 TABLETS</v>
          </cell>
        </row>
        <row r="59">
          <cell r="A59" t="str">
            <v>5001297            SOLOTRATE 30 SR TABLET</v>
          </cell>
        </row>
        <row r="60">
          <cell r="A60" t="str">
            <v>5001304            TORGET 20 TABLET</v>
          </cell>
        </row>
        <row r="61">
          <cell r="A61" t="str">
            <v>5001308            SIROMUS  TABLETS</v>
          </cell>
        </row>
        <row r="62">
          <cell r="A62" t="str">
            <v>5001324            TOLTER OD 2 TABLETS</v>
          </cell>
        </row>
        <row r="63">
          <cell r="A63" t="str">
            <v>5001325            TOLTER OD 4 TABLETS</v>
          </cell>
        </row>
        <row r="64">
          <cell r="A64" t="str">
            <v>5001355            COMBIMIST RESPICAPS</v>
          </cell>
        </row>
        <row r="65">
          <cell r="A65" t="str">
            <v>5001386            DERISONE RESPICAPS 30S</v>
          </cell>
        </row>
        <row r="66">
          <cell r="A66" t="str">
            <v>5002077            DERIPHYLLIN  RET 150MG TABS. 10 S</v>
          </cell>
        </row>
        <row r="67">
          <cell r="A67" t="str">
            <v>5002079            DERIPHYLLIN  TABLETS  250 S</v>
          </cell>
        </row>
        <row r="68">
          <cell r="A68" t="str">
            <v>5002085            DERIPHYLLIN RET 300MG  TABS. 10 S</v>
          </cell>
        </row>
        <row r="69">
          <cell r="A69" t="str">
            <v>5002095            DERIPHYLLIN TABLETS 10 S</v>
          </cell>
        </row>
        <row r="70">
          <cell r="A70" t="str">
            <v>5002126            JONAC PLUS TABLETS</v>
          </cell>
        </row>
        <row r="71">
          <cell r="A71" t="str">
            <v>5002152            ORNI 500MG TABLETS</v>
          </cell>
        </row>
        <row r="72">
          <cell r="A72" t="str">
            <v>5002266            FORAIR 250 RESPICAPS</v>
          </cell>
        </row>
        <row r="73">
          <cell r="A73" t="str">
            <v>5002454            NUCOXIA 90  TABLETS</v>
          </cell>
        </row>
        <row r="74">
          <cell r="A74" t="str">
            <v>5002461            OCID QRS TABLETS</v>
          </cell>
        </row>
        <row r="75">
          <cell r="A75" t="str">
            <v>5002489            ZY-Q 200 TABLETS (SAMPLE)</v>
          </cell>
        </row>
        <row r="76">
          <cell r="A76" t="str">
            <v>5002543            CYTOLOG  TABLETS</v>
          </cell>
        </row>
        <row r="77">
          <cell r="A77" t="str">
            <v>5002654            BIGSENS XR 500 TABLETS(SAMPLE)</v>
          </cell>
        </row>
        <row r="78">
          <cell r="A78" t="str">
            <v>5004391            PROVIDAC CAPSULES</v>
          </cell>
        </row>
        <row r="79">
          <cell r="A79" t="str">
            <v>5004770            EPSOLIN ER CAPSULES</v>
          </cell>
        </row>
        <row r="80">
          <cell r="A80" t="str">
            <v>5005065            JONAC PLUS  TABLETS (PS)</v>
          </cell>
        </row>
        <row r="81">
          <cell r="A81" t="str">
            <v>5005163            NUCOXIA 90 TABLETS (PS)</v>
          </cell>
        </row>
        <row r="82">
          <cell r="A82" t="str">
            <v>5005197            CYTOLOG 25 TABLETS</v>
          </cell>
        </row>
        <row r="83">
          <cell r="A83" t="str">
            <v>5005284            NUCOXIA 120 TABLETS</v>
          </cell>
        </row>
        <row r="84">
          <cell r="A84" t="str">
            <v>5005324            ZY-Q 200 TABLETS</v>
          </cell>
        </row>
        <row r="85">
          <cell r="A85" t="str">
            <v>5005363            FALCIGO PLUS COMBIKIT TABLETS</v>
          </cell>
        </row>
        <row r="86">
          <cell r="A86" t="str">
            <v>5005617            URSODIL 250 MG TABLETS(SALE)</v>
          </cell>
        </row>
        <row r="87">
          <cell r="A87" t="str">
            <v>5005662            DERIPHYLLIN  RET 150MG TABS.</v>
          </cell>
        </row>
        <row r="88">
          <cell r="A88" t="str">
            <v>5005824            TORGET 40 TABLETS - SALE 3x10T</v>
          </cell>
        </row>
        <row r="89">
          <cell r="A89" t="str">
            <v>5005872            CIPROBID 250 MG TABLET 30X10T</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rs-asset"/>
      <sheetName val="crs-goods"/>
      <sheetName val="cr-employee"/>
      <sheetName val="crs-expenses"/>
      <sheetName val="Group crs"/>
      <sheetName val="Sheet2"/>
      <sheetName val="Sheet3"/>
    </sheetNames>
    <sheetDataSet>
      <sheetData sheetId="0" refreshError="1">
        <row r="6">
          <cell r="A6" t="str">
            <v>S00002 - Panalpina World transport (I) Pvt. Ltd.</v>
          </cell>
          <cell r="B6">
            <v>0</v>
          </cell>
          <cell r="C6">
            <v>5819412.6028000005</v>
          </cell>
          <cell r="D6">
            <v>6795782.4727999996</v>
          </cell>
          <cell r="E6">
            <v>-976369.87</v>
          </cell>
        </row>
        <row r="7">
          <cell r="A7" t="str">
            <v>S00003 - M L Shakdher</v>
          </cell>
          <cell r="B7">
            <v>0</v>
          </cell>
          <cell r="C7">
            <v>1663890</v>
          </cell>
          <cell r="D7">
            <v>1705789</v>
          </cell>
          <cell r="E7">
            <v>-41899</v>
          </cell>
        </row>
        <row r="8">
          <cell r="A8" t="str">
            <v>S00006 - VXL Technologies Ltd.</v>
          </cell>
          <cell r="B8">
            <v>0</v>
          </cell>
          <cell r="C8">
            <v>493578.84</v>
          </cell>
          <cell r="D8">
            <v>455168.84</v>
          </cell>
          <cell r="E8">
            <v>38410</v>
          </cell>
        </row>
        <row r="9">
          <cell r="A9" t="str">
            <v>S00007 - Dua Associates</v>
          </cell>
          <cell r="B9">
            <v>0</v>
          </cell>
          <cell r="C9">
            <v>98970</v>
          </cell>
          <cell r="D9">
            <v>161610</v>
          </cell>
          <cell r="E9">
            <v>-62640</v>
          </cell>
        </row>
        <row r="10">
          <cell r="A10" t="str">
            <v>S00008 - Branching Out</v>
          </cell>
          <cell r="B10">
            <v>0</v>
          </cell>
          <cell r="C10">
            <v>4500</v>
          </cell>
          <cell r="D10">
            <v>5250</v>
          </cell>
          <cell r="E10">
            <v>-750</v>
          </cell>
        </row>
        <row r="11">
          <cell r="A11" t="str">
            <v>S00012 - Deep Enterprises</v>
          </cell>
          <cell r="B11">
            <v>0</v>
          </cell>
          <cell r="C11">
            <v>55539</v>
          </cell>
          <cell r="D11">
            <v>96558.31</v>
          </cell>
          <cell r="E11">
            <v>-41019.31</v>
          </cell>
        </row>
        <row r="12">
          <cell r="A12" t="str">
            <v>S00014 - Ajay Cold Drinks</v>
          </cell>
          <cell r="B12">
            <v>1400</v>
          </cell>
          <cell r="C12">
            <v>27010</v>
          </cell>
          <cell r="D12">
            <v>30020</v>
          </cell>
          <cell r="E12">
            <v>-1610</v>
          </cell>
        </row>
        <row r="13">
          <cell r="A13" t="str">
            <v>S00016 - Power Gen Corporation</v>
          </cell>
          <cell r="B13">
            <v>0</v>
          </cell>
          <cell r="C13">
            <v>82821</v>
          </cell>
          <cell r="D13">
            <v>100901</v>
          </cell>
          <cell r="E13">
            <v>-18080</v>
          </cell>
        </row>
        <row r="14">
          <cell r="A14" t="str">
            <v>S00017 - Mercury Travels Limited</v>
          </cell>
          <cell r="B14">
            <v>0</v>
          </cell>
          <cell r="C14">
            <v>2818963</v>
          </cell>
          <cell r="D14">
            <v>3230201</v>
          </cell>
          <cell r="E14">
            <v>-411238</v>
          </cell>
        </row>
        <row r="15">
          <cell r="A15" t="str">
            <v>S00018 - Saket Motors</v>
          </cell>
          <cell r="B15">
            <v>-15200</v>
          </cell>
          <cell r="C15">
            <v>0</v>
          </cell>
          <cell r="D15">
            <v>0</v>
          </cell>
          <cell r="E15">
            <v>-15200</v>
          </cell>
        </row>
        <row r="16">
          <cell r="A16" t="str">
            <v>S00019 - Microtech Systems</v>
          </cell>
          <cell r="B16">
            <v>0</v>
          </cell>
          <cell r="C16">
            <v>144672</v>
          </cell>
          <cell r="D16">
            <v>329501</v>
          </cell>
          <cell r="E16">
            <v>-184829</v>
          </cell>
        </row>
        <row r="17">
          <cell r="A17" t="str">
            <v>S00024 - Avtaar Singh and Indrajeet Singh</v>
          </cell>
          <cell r="B17">
            <v>0</v>
          </cell>
          <cell r="C17">
            <v>499020</v>
          </cell>
          <cell r="D17">
            <v>498030</v>
          </cell>
          <cell r="E17">
            <v>990</v>
          </cell>
        </row>
        <row r="18">
          <cell r="A18" t="str">
            <v>S00025 - Mohinder Puri &amp; Co</v>
          </cell>
          <cell r="B18">
            <v>0</v>
          </cell>
          <cell r="C18">
            <v>139163</v>
          </cell>
          <cell r="D18">
            <v>259353</v>
          </cell>
          <cell r="E18">
            <v>-120190</v>
          </cell>
        </row>
        <row r="19">
          <cell r="A19" t="str">
            <v>S00026 - Shebha Controls</v>
          </cell>
          <cell r="B19">
            <v>-1213</v>
          </cell>
          <cell r="C19">
            <v>0</v>
          </cell>
          <cell r="D19">
            <v>0</v>
          </cell>
          <cell r="E19">
            <v>-1213</v>
          </cell>
        </row>
        <row r="20">
          <cell r="A20" t="str">
            <v>S00031 - HSBC A/C 214-089781-621</v>
          </cell>
          <cell r="B20">
            <v>0</v>
          </cell>
          <cell r="C20">
            <v>1304744.75</v>
          </cell>
          <cell r="D20">
            <v>1185950.3899999999</v>
          </cell>
          <cell r="E20">
            <v>118794.36</v>
          </cell>
        </row>
        <row r="21">
          <cell r="A21" t="str">
            <v>S00032 - Bharti Tele- Ventures  Ltd.</v>
          </cell>
          <cell r="B21">
            <v>1733.67</v>
          </cell>
          <cell r="C21">
            <v>691144.66090000002</v>
          </cell>
          <cell r="D21">
            <v>702446.66090000002</v>
          </cell>
          <cell r="E21">
            <v>-9568.33</v>
          </cell>
        </row>
        <row r="22">
          <cell r="A22" t="str">
            <v>S00035 - UPS Jetair Express Pvt. Ltd.</v>
          </cell>
          <cell r="B22">
            <v>0</v>
          </cell>
          <cell r="C22">
            <v>110378</v>
          </cell>
          <cell r="D22">
            <v>101060</v>
          </cell>
          <cell r="E22">
            <v>9318</v>
          </cell>
        </row>
        <row r="23">
          <cell r="A23" t="str">
            <v>S00036 - G4S  Security Services Pvt. Ltd.</v>
          </cell>
          <cell r="B23">
            <v>0</v>
          </cell>
          <cell r="C23">
            <v>114376</v>
          </cell>
          <cell r="D23">
            <v>117016</v>
          </cell>
          <cell r="E23">
            <v>-2640</v>
          </cell>
        </row>
        <row r="24">
          <cell r="A24" t="str">
            <v>S00042 - Status Graphics</v>
          </cell>
          <cell r="B24">
            <v>0</v>
          </cell>
          <cell r="C24">
            <v>2970</v>
          </cell>
          <cell r="D24">
            <v>6090</v>
          </cell>
          <cell r="E24">
            <v>-3120</v>
          </cell>
        </row>
        <row r="25">
          <cell r="A25" t="str">
            <v>S00043 - Tatva India Tours</v>
          </cell>
          <cell r="B25">
            <v>0</v>
          </cell>
          <cell r="C25">
            <v>100933</v>
          </cell>
          <cell r="D25">
            <v>106866</v>
          </cell>
          <cell r="E25">
            <v>-5933</v>
          </cell>
        </row>
        <row r="26">
          <cell r="A26" t="str">
            <v>S00044 - Mohit Malik</v>
          </cell>
          <cell r="B26">
            <v>0</v>
          </cell>
          <cell r="C26">
            <v>44952</v>
          </cell>
          <cell r="D26">
            <v>58596</v>
          </cell>
          <cell r="E26">
            <v>-13644</v>
          </cell>
        </row>
        <row r="27">
          <cell r="A27" t="str">
            <v>S00046 - Executive Tracks Associates Pvt. Ltd.</v>
          </cell>
          <cell r="B27">
            <v>0</v>
          </cell>
          <cell r="C27">
            <v>275348</v>
          </cell>
          <cell r="D27">
            <v>262453</v>
          </cell>
          <cell r="E27">
            <v>12895</v>
          </cell>
        </row>
        <row r="28">
          <cell r="A28" t="str">
            <v>S00048 - Zion Express cargo Pvt. Ltd</v>
          </cell>
          <cell r="B28">
            <v>0</v>
          </cell>
          <cell r="C28">
            <v>10932</v>
          </cell>
          <cell r="D28">
            <v>15815</v>
          </cell>
          <cell r="E28">
            <v>-4883</v>
          </cell>
        </row>
        <row r="29">
          <cell r="A29" t="str">
            <v>S00050 - Grandeur Marketing Pvt. Ltd.</v>
          </cell>
          <cell r="B29">
            <v>0</v>
          </cell>
          <cell r="C29">
            <v>342031.4</v>
          </cell>
          <cell r="D29">
            <v>391838.4</v>
          </cell>
          <cell r="E29">
            <v>-49807</v>
          </cell>
        </row>
        <row r="30">
          <cell r="A30" t="str">
            <v>S00051 - Nouvel Works &amp; Repairs</v>
          </cell>
          <cell r="B30">
            <v>480.43970000000002</v>
          </cell>
          <cell r="C30">
            <v>7350</v>
          </cell>
          <cell r="D30">
            <v>7830.44</v>
          </cell>
          <cell r="E30">
            <v>-2.9999999999999997E-4</v>
          </cell>
        </row>
        <row r="31">
          <cell r="A31" t="str">
            <v>S00054 - HANSEN CABLES</v>
          </cell>
          <cell r="B31">
            <v>0</v>
          </cell>
          <cell r="C31">
            <v>15772534.6128</v>
          </cell>
          <cell r="D31">
            <v>15772534.623299999</v>
          </cell>
          <cell r="E31">
            <v>-1.0500000000000001E-2</v>
          </cell>
        </row>
        <row r="32">
          <cell r="A32" t="str">
            <v>s00056 - Mamta Tour &amp; Travels</v>
          </cell>
          <cell r="B32">
            <v>0</v>
          </cell>
          <cell r="C32">
            <v>1096897</v>
          </cell>
          <cell r="D32">
            <v>1279284</v>
          </cell>
          <cell r="E32">
            <v>-182387</v>
          </cell>
        </row>
        <row r="33">
          <cell r="A33" t="str">
            <v>S00057 - Royal Sundram Alliance Insurance Co. Ltd.</v>
          </cell>
          <cell r="B33">
            <v>0</v>
          </cell>
          <cell r="C33">
            <v>940880</v>
          </cell>
          <cell r="D33">
            <v>706953</v>
          </cell>
          <cell r="E33">
            <v>233927</v>
          </cell>
        </row>
        <row r="34">
          <cell r="A34" t="str">
            <v>S00060 - Evolution Future Solutions</v>
          </cell>
          <cell r="B34">
            <v>0</v>
          </cell>
          <cell r="C34">
            <v>4616105.5727000004</v>
          </cell>
          <cell r="D34">
            <v>4588833.5060999999</v>
          </cell>
          <cell r="E34">
            <v>27272.066599999998</v>
          </cell>
        </row>
        <row r="35">
          <cell r="A35" t="str">
            <v>S00061 - Speedage Express Cargo Service</v>
          </cell>
          <cell r="B35">
            <v>-3331</v>
          </cell>
          <cell r="C35">
            <v>149619</v>
          </cell>
          <cell r="D35">
            <v>149619</v>
          </cell>
          <cell r="E35">
            <v>-3331</v>
          </cell>
        </row>
        <row r="36">
          <cell r="A36" t="str">
            <v>S00064 - Benedikt  Banz</v>
          </cell>
          <cell r="B36">
            <v>0</v>
          </cell>
          <cell r="C36">
            <v>768453.25</v>
          </cell>
          <cell r="D36">
            <v>543006.25</v>
          </cell>
          <cell r="E36">
            <v>225447</v>
          </cell>
        </row>
        <row r="37">
          <cell r="A37" t="str">
            <v>S00066 - Ranjan Datta</v>
          </cell>
          <cell r="B37">
            <v>0</v>
          </cell>
          <cell r="C37">
            <v>116299</v>
          </cell>
          <cell r="D37">
            <v>113834</v>
          </cell>
          <cell r="E37">
            <v>2465</v>
          </cell>
        </row>
        <row r="38">
          <cell r="A38" t="str">
            <v>S00069 - Mayuri Diwan</v>
          </cell>
          <cell r="B38">
            <v>0</v>
          </cell>
          <cell r="C38">
            <v>132960</v>
          </cell>
          <cell r="D38">
            <v>132948</v>
          </cell>
          <cell r="E38">
            <v>12</v>
          </cell>
        </row>
        <row r="39">
          <cell r="A39" t="str">
            <v>S00073 - Surendra Kumar  T A</v>
          </cell>
          <cell r="B39">
            <v>0</v>
          </cell>
          <cell r="C39">
            <v>145313</v>
          </cell>
          <cell r="D39">
            <v>140861</v>
          </cell>
          <cell r="E39">
            <v>4452</v>
          </cell>
        </row>
        <row r="40">
          <cell r="A40" t="str">
            <v>S00076 - Mathukutty T. K.</v>
          </cell>
          <cell r="B40">
            <v>0</v>
          </cell>
          <cell r="C40">
            <v>13296</v>
          </cell>
          <cell r="D40">
            <v>13922</v>
          </cell>
          <cell r="E40">
            <v>-626</v>
          </cell>
        </row>
        <row r="41">
          <cell r="A41" t="str">
            <v>S00077 - Swiss Association For Qulatiy and Management system</v>
          </cell>
          <cell r="B41">
            <v>0</v>
          </cell>
          <cell r="C41">
            <v>948124.66680000001</v>
          </cell>
          <cell r="D41">
            <v>950624.66520000005</v>
          </cell>
          <cell r="E41">
            <v>-2499.9983999999999</v>
          </cell>
        </row>
        <row r="42">
          <cell r="A42" t="str">
            <v>S00082 - HUBER+SUHNER GmbH</v>
          </cell>
          <cell r="B42">
            <v>0</v>
          </cell>
          <cell r="C42">
            <v>3569.4854</v>
          </cell>
          <cell r="D42">
            <v>62342.6607</v>
          </cell>
          <cell r="E42">
            <v>-58773.175300000003</v>
          </cell>
        </row>
        <row r="43">
          <cell r="A43" t="str">
            <v>S00083 - blu*</v>
          </cell>
          <cell r="B43">
            <v>0</v>
          </cell>
          <cell r="C43">
            <v>136695</v>
          </cell>
          <cell r="D43">
            <v>163673</v>
          </cell>
          <cell r="E43">
            <v>-26978</v>
          </cell>
        </row>
        <row r="44">
          <cell r="A44" t="str">
            <v>S00084 - Adish Goods TPt. Co.</v>
          </cell>
          <cell r="B44">
            <v>0</v>
          </cell>
          <cell r="C44">
            <v>180337</v>
          </cell>
          <cell r="D44">
            <v>185321</v>
          </cell>
          <cell r="E44">
            <v>-4984</v>
          </cell>
        </row>
        <row r="45">
          <cell r="A45" t="str">
            <v>S00088 - Godrej &amp; Boyce Mfg. Co. Ltd.</v>
          </cell>
          <cell r="B45">
            <v>0</v>
          </cell>
          <cell r="C45">
            <v>1002322</v>
          </cell>
          <cell r="D45">
            <v>608322</v>
          </cell>
          <cell r="E45">
            <v>394000</v>
          </cell>
        </row>
        <row r="46">
          <cell r="A46" t="str">
            <v>S00092 - Kamlesh Mathur</v>
          </cell>
          <cell r="B46">
            <v>0</v>
          </cell>
          <cell r="C46">
            <v>115380</v>
          </cell>
          <cell r="D46">
            <v>65479.5</v>
          </cell>
          <cell r="E46">
            <v>49900.5</v>
          </cell>
        </row>
        <row r="47">
          <cell r="A47" t="str">
            <v>S00096 - Ashok Badoni</v>
          </cell>
          <cell r="B47">
            <v>0</v>
          </cell>
          <cell r="C47">
            <v>117931</v>
          </cell>
          <cell r="D47">
            <v>118020.1</v>
          </cell>
          <cell r="E47">
            <v>-89.1</v>
          </cell>
        </row>
        <row r="48">
          <cell r="A48" t="str">
            <v>S00097 - Sanjay Tripathi</v>
          </cell>
          <cell r="B48">
            <v>0</v>
          </cell>
          <cell r="C48">
            <v>181526</v>
          </cell>
          <cell r="D48">
            <v>178669.56</v>
          </cell>
          <cell r="E48">
            <v>2856.44</v>
          </cell>
        </row>
        <row r="49">
          <cell r="A49" t="str">
            <v>S00099 - B. D. DODA</v>
          </cell>
          <cell r="B49">
            <v>0</v>
          </cell>
          <cell r="C49">
            <v>14249</v>
          </cell>
          <cell r="D49">
            <v>16043</v>
          </cell>
          <cell r="E49">
            <v>-1794</v>
          </cell>
        </row>
        <row r="50">
          <cell r="A50" t="str">
            <v>S00106 - Prakash Air Freight Pvt. Ltd.</v>
          </cell>
          <cell r="B50">
            <v>3378</v>
          </cell>
          <cell r="C50">
            <v>17638</v>
          </cell>
          <cell r="D50">
            <v>28391</v>
          </cell>
          <cell r="E50">
            <v>-7375</v>
          </cell>
        </row>
        <row r="51">
          <cell r="A51" t="str">
            <v>S00109 - UBI A/c - Custom duty</v>
          </cell>
          <cell r="B51">
            <v>0</v>
          </cell>
          <cell r="C51">
            <v>3041720</v>
          </cell>
          <cell r="D51">
            <v>1120835</v>
          </cell>
          <cell r="E51">
            <v>1920885</v>
          </cell>
        </row>
        <row r="52">
          <cell r="A52" t="str">
            <v>S00117 - Sitaram N Funde</v>
          </cell>
          <cell r="B52">
            <v>-7000</v>
          </cell>
          <cell r="C52">
            <v>124506</v>
          </cell>
          <cell r="D52">
            <v>124506</v>
          </cell>
          <cell r="E52">
            <v>-7000</v>
          </cell>
        </row>
        <row r="53">
          <cell r="A53" t="str">
            <v>S00118 - Executive Access (India) Pvt Ltd</v>
          </cell>
          <cell r="B53">
            <v>0</v>
          </cell>
          <cell r="C53">
            <v>418874</v>
          </cell>
          <cell r="D53">
            <v>401346</v>
          </cell>
          <cell r="E53">
            <v>17528</v>
          </cell>
        </row>
        <row r="54">
          <cell r="A54" t="str">
            <v>S00123 - CS Menon</v>
          </cell>
          <cell r="B54">
            <v>0</v>
          </cell>
          <cell r="C54">
            <v>50045</v>
          </cell>
          <cell r="D54">
            <v>46306</v>
          </cell>
          <cell r="E54">
            <v>3739</v>
          </cell>
        </row>
        <row r="55">
          <cell r="A55" t="str">
            <v>S00124 - Caliber Human Resources Pvt Ltd</v>
          </cell>
          <cell r="B55">
            <v>0</v>
          </cell>
          <cell r="C55">
            <v>45691</v>
          </cell>
          <cell r="D55">
            <v>43695</v>
          </cell>
          <cell r="E55">
            <v>1996</v>
          </cell>
        </row>
        <row r="56">
          <cell r="A56" t="str">
            <v>S00125 - HSBC Grauity Trust A/c</v>
          </cell>
          <cell r="B56">
            <v>680</v>
          </cell>
          <cell r="C56">
            <v>0</v>
          </cell>
          <cell r="D56">
            <v>0</v>
          </cell>
          <cell r="E56">
            <v>680</v>
          </cell>
        </row>
        <row r="57">
          <cell r="A57" t="str">
            <v>S00132 - Nitin Anand</v>
          </cell>
          <cell r="B57">
            <v>0</v>
          </cell>
          <cell r="C57">
            <v>283234</v>
          </cell>
          <cell r="D57">
            <v>288545</v>
          </cell>
          <cell r="E57">
            <v>-5311</v>
          </cell>
        </row>
        <row r="58">
          <cell r="A58" t="str">
            <v>S00133 - Mumbai Office</v>
          </cell>
          <cell r="B58">
            <v>12922</v>
          </cell>
          <cell r="C58">
            <v>357812</v>
          </cell>
          <cell r="D58">
            <v>363426</v>
          </cell>
          <cell r="E58">
            <v>7308</v>
          </cell>
        </row>
        <row r="59">
          <cell r="A59" t="str">
            <v>S00134 - Nouvel Maintenance</v>
          </cell>
          <cell r="B59">
            <v>0</v>
          </cell>
          <cell r="C59">
            <v>155286.6</v>
          </cell>
          <cell r="D59">
            <v>230728.92</v>
          </cell>
          <cell r="E59">
            <v>-75442.320000000007</v>
          </cell>
        </row>
        <row r="60">
          <cell r="A60" t="str">
            <v>S00135 - Corporate Solutions</v>
          </cell>
          <cell r="B60">
            <v>0</v>
          </cell>
          <cell r="C60">
            <v>37742</v>
          </cell>
          <cell r="D60">
            <v>43233</v>
          </cell>
          <cell r="E60">
            <v>-5491</v>
          </cell>
        </row>
        <row r="61">
          <cell r="A61" t="str">
            <v>S00139 - M D Belsare</v>
          </cell>
          <cell r="B61">
            <v>0</v>
          </cell>
          <cell r="C61">
            <v>124935</v>
          </cell>
          <cell r="D61">
            <v>135446.95000000001</v>
          </cell>
          <cell r="E61">
            <v>-10511.95</v>
          </cell>
        </row>
        <row r="62">
          <cell r="A62" t="str">
            <v>S00140 - Swati Srivastava</v>
          </cell>
          <cell r="B62">
            <v>0</v>
          </cell>
          <cell r="C62">
            <v>109686</v>
          </cell>
          <cell r="D62">
            <v>99686.22</v>
          </cell>
          <cell r="E62">
            <v>9999.7800000000007</v>
          </cell>
        </row>
        <row r="63">
          <cell r="A63" t="str">
            <v>S00141 - Comtech Systems</v>
          </cell>
          <cell r="B63">
            <v>0</v>
          </cell>
          <cell r="C63">
            <v>5500</v>
          </cell>
          <cell r="D63">
            <v>7000</v>
          </cell>
          <cell r="E63">
            <v>-1500</v>
          </cell>
        </row>
        <row r="64">
          <cell r="A64" t="str">
            <v>S00143 - Ajay S Penkar</v>
          </cell>
          <cell r="B64">
            <v>0</v>
          </cell>
          <cell r="C64">
            <v>56918</v>
          </cell>
          <cell r="D64">
            <v>51918</v>
          </cell>
          <cell r="E64">
            <v>5000</v>
          </cell>
        </row>
        <row r="65">
          <cell r="A65" t="str">
            <v>S00145 - K L Export Private Limited</v>
          </cell>
          <cell r="B65">
            <v>0</v>
          </cell>
          <cell r="C65">
            <v>17492633.227600001</v>
          </cell>
          <cell r="D65">
            <v>23238561.994600002</v>
          </cell>
          <cell r="E65">
            <v>-5745928.767</v>
          </cell>
        </row>
        <row r="66">
          <cell r="A66" t="str">
            <v>S00146 - Amit Mittal</v>
          </cell>
          <cell r="B66">
            <v>0</v>
          </cell>
          <cell r="C66">
            <v>170353</v>
          </cell>
          <cell r="D66">
            <v>62861</v>
          </cell>
          <cell r="E66">
            <v>107492</v>
          </cell>
        </row>
        <row r="67">
          <cell r="A67" t="str">
            <v>S00149 - Garhwal Aircon Services</v>
          </cell>
          <cell r="B67">
            <v>0</v>
          </cell>
          <cell r="C67">
            <v>0</v>
          </cell>
          <cell r="D67">
            <v>4892</v>
          </cell>
          <cell r="E67">
            <v>-4892</v>
          </cell>
        </row>
        <row r="68">
          <cell r="A68" t="str">
            <v>S00155 - Satish Acharya Tempo Service</v>
          </cell>
          <cell r="B68">
            <v>0</v>
          </cell>
          <cell r="C68">
            <v>11400</v>
          </cell>
          <cell r="D68">
            <v>9690</v>
          </cell>
          <cell r="E68">
            <v>1710</v>
          </cell>
        </row>
        <row r="69">
          <cell r="A69" t="str">
            <v>S00156 - Sagar &amp; Associates</v>
          </cell>
          <cell r="B69">
            <v>0</v>
          </cell>
          <cell r="C69">
            <v>638413</v>
          </cell>
          <cell r="D69">
            <v>188413</v>
          </cell>
          <cell r="E69">
            <v>450000</v>
          </cell>
        </row>
        <row r="70">
          <cell r="A70" t="str">
            <v>S00164 - Elkay Telelinks Limited</v>
          </cell>
          <cell r="B70">
            <v>0</v>
          </cell>
          <cell r="C70">
            <v>8414329.1600000001</v>
          </cell>
          <cell r="D70">
            <v>13084647.9253</v>
          </cell>
          <cell r="E70">
            <v>-4670318.7653000001</v>
          </cell>
        </row>
        <row r="71">
          <cell r="A71" t="str">
            <v>S00166 - Shankar Varadarajan</v>
          </cell>
          <cell r="B71">
            <v>0</v>
          </cell>
          <cell r="C71">
            <v>78687</v>
          </cell>
          <cell r="D71">
            <v>39291</v>
          </cell>
          <cell r="E71">
            <v>39396</v>
          </cell>
        </row>
        <row r="72">
          <cell r="A72" t="str">
            <v>S00168 - Mathuram Marketing Agency</v>
          </cell>
          <cell r="B72">
            <v>0</v>
          </cell>
          <cell r="C72">
            <v>9750</v>
          </cell>
          <cell r="D72">
            <v>0</v>
          </cell>
          <cell r="E72">
            <v>9750</v>
          </cell>
        </row>
        <row r="73">
          <cell r="A73" t="str">
            <v>S00169 - Lokesh Bhan</v>
          </cell>
          <cell r="B73">
            <v>0</v>
          </cell>
          <cell r="C73">
            <v>180942</v>
          </cell>
          <cell r="D73">
            <v>233784</v>
          </cell>
          <cell r="E73">
            <v>-52842</v>
          </cell>
        </row>
        <row r="74">
          <cell r="A74" t="str">
            <v>S00171 - Master Consultants</v>
          </cell>
          <cell r="B74">
            <v>0</v>
          </cell>
          <cell r="C74">
            <v>150490</v>
          </cell>
          <cell r="D74">
            <v>146985</v>
          </cell>
          <cell r="E74">
            <v>3505</v>
          </cell>
        </row>
        <row r="75">
          <cell r="A75" t="str">
            <v>S00180 - Mahesh Shrivastava</v>
          </cell>
          <cell r="B75">
            <v>0</v>
          </cell>
          <cell r="C75">
            <v>443</v>
          </cell>
          <cell r="D75">
            <v>0</v>
          </cell>
          <cell r="E75">
            <v>443</v>
          </cell>
        </row>
        <row r="76">
          <cell r="A76" t="str">
            <v>S00192 - Mukesh Kr.Thakur</v>
          </cell>
          <cell r="B76">
            <v>0</v>
          </cell>
          <cell r="C76">
            <v>900</v>
          </cell>
          <cell r="D76">
            <v>800</v>
          </cell>
          <cell r="E76">
            <v>100</v>
          </cell>
        </row>
        <row r="77">
          <cell r="A77" t="str">
            <v>S00198 - Power Equipments</v>
          </cell>
          <cell r="B77">
            <v>0</v>
          </cell>
          <cell r="C77">
            <v>45000</v>
          </cell>
          <cell r="D77">
            <v>0</v>
          </cell>
          <cell r="E77">
            <v>45000</v>
          </cell>
        </row>
        <row r="78">
          <cell r="A78" t="str">
            <v>S00203 - Mahindra Stiller Auto Trucks Ltd.</v>
          </cell>
          <cell r="B78">
            <v>0</v>
          </cell>
          <cell r="C78">
            <v>63600</v>
          </cell>
          <cell r="D78">
            <v>0</v>
          </cell>
          <cell r="E78">
            <v>63600</v>
          </cell>
        </row>
        <row r="79">
          <cell r="A79" t="str">
            <v>S00204 - Rishi Laser Cutting Ltd.</v>
          </cell>
          <cell r="B79">
            <v>0</v>
          </cell>
          <cell r="C79">
            <v>96000</v>
          </cell>
          <cell r="D79">
            <v>0</v>
          </cell>
          <cell r="E79">
            <v>96000</v>
          </cell>
        </row>
        <row r="80">
          <cell r="A80" t="str">
            <v>S00208 - Sahai Exclusive Contracts (P) Ltd.</v>
          </cell>
          <cell r="B80">
            <v>0</v>
          </cell>
          <cell r="C80">
            <v>2471675</v>
          </cell>
          <cell r="D80">
            <v>1250000</v>
          </cell>
          <cell r="E80">
            <v>1221675</v>
          </cell>
        </row>
        <row r="81">
          <cell r="A81" t="str">
            <v>S00214 - Euro Aircon International</v>
          </cell>
          <cell r="B81">
            <v>0</v>
          </cell>
          <cell r="C81">
            <v>321600</v>
          </cell>
          <cell r="D81">
            <v>0</v>
          </cell>
          <cell r="E81">
            <v>321600</v>
          </cell>
        </row>
        <row r="82">
          <cell r="A82" t="str">
            <v>S00220 - Rajeev Tandon &amp; Co.</v>
          </cell>
          <cell r="B82">
            <v>0</v>
          </cell>
          <cell r="C82">
            <v>35000</v>
          </cell>
          <cell r="D82">
            <v>10000</v>
          </cell>
          <cell r="E82">
            <v>25000</v>
          </cell>
        </row>
        <row r="83">
          <cell r="A83" t="str">
            <v>S00222 - Radha Park Inn</v>
          </cell>
          <cell r="B83">
            <v>0</v>
          </cell>
          <cell r="C83">
            <v>0</v>
          </cell>
          <cell r="D83">
            <v>25720</v>
          </cell>
          <cell r="E83">
            <v>-25720</v>
          </cell>
        </row>
        <row r="84">
          <cell r="A84" t="str">
            <v>S00224 - N.K.Enterprises</v>
          </cell>
          <cell r="B84">
            <v>0</v>
          </cell>
          <cell r="C84">
            <v>27500</v>
          </cell>
          <cell r="D84">
            <v>0</v>
          </cell>
          <cell r="E84">
            <v>27500</v>
          </cell>
        </row>
        <row r="85">
          <cell r="A85" t="str">
            <v>S00226 - Transcon Service Equipments</v>
          </cell>
          <cell r="B85">
            <v>0</v>
          </cell>
          <cell r="C85">
            <v>242696</v>
          </cell>
          <cell r="D85">
            <v>267224.00559999997</v>
          </cell>
          <cell r="E85">
            <v>-24528.0056</v>
          </cell>
        </row>
        <row r="86">
          <cell r="A86" t="str">
            <v>S00228 - Unique Industrial Solutions</v>
          </cell>
          <cell r="B86">
            <v>0</v>
          </cell>
          <cell r="C86">
            <v>100000</v>
          </cell>
          <cell r="D86">
            <v>0</v>
          </cell>
          <cell r="E86">
            <v>100000</v>
          </cell>
        </row>
        <row r="87">
          <cell r="A87" t="str">
            <v>S00230 - Roop Polymers Limited</v>
          </cell>
          <cell r="B87">
            <v>0</v>
          </cell>
          <cell r="C87">
            <v>25000</v>
          </cell>
          <cell r="D87">
            <v>0</v>
          </cell>
          <cell r="E87">
            <v>25000</v>
          </cell>
        </row>
        <row r="88">
          <cell r="A88" t="str">
            <v>S00233 - Hewlett Packard India Sales Pvt.Ltd.</v>
          </cell>
          <cell r="B88">
            <v>0</v>
          </cell>
          <cell r="C88">
            <v>172180</v>
          </cell>
          <cell r="D88">
            <v>340458</v>
          </cell>
          <cell r="E88">
            <v>-168278</v>
          </cell>
        </row>
        <row r="89">
          <cell r="A89" t="str">
            <v>S00235 - Shri Balaji Book Depot</v>
          </cell>
          <cell r="B89">
            <v>0</v>
          </cell>
          <cell r="C89">
            <v>0</v>
          </cell>
          <cell r="D89">
            <v>5880</v>
          </cell>
          <cell r="E89">
            <v>-5880</v>
          </cell>
        </row>
        <row r="90">
          <cell r="A90" t="str">
            <v>S00237 - Labour Law Reporter</v>
          </cell>
          <cell r="B90">
            <v>0</v>
          </cell>
          <cell r="C90">
            <v>0</v>
          </cell>
          <cell r="D90">
            <v>2350</v>
          </cell>
          <cell r="E90">
            <v>-2350</v>
          </cell>
        </row>
        <row r="91">
          <cell r="A91" t="str">
            <v>S00238 - Jaspreet Johar</v>
          </cell>
          <cell r="B91">
            <v>0</v>
          </cell>
          <cell r="C91">
            <v>0</v>
          </cell>
          <cell r="D91">
            <v>3740</v>
          </cell>
          <cell r="E91">
            <v>-3740</v>
          </cell>
        </row>
        <row r="92">
          <cell r="A92" t="str">
            <v>S00240 - Flower Shoppe</v>
          </cell>
          <cell r="B92">
            <v>0</v>
          </cell>
          <cell r="C92">
            <v>0</v>
          </cell>
          <cell r="D92">
            <v>2800</v>
          </cell>
          <cell r="E92">
            <v>-2800</v>
          </cell>
        </row>
        <row r="93">
          <cell r="A93" t="str">
            <v>S00242 - Sentinels Security Pvt.Ltd.</v>
          </cell>
          <cell r="B93">
            <v>0</v>
          </cell>
          <cell r="C93">
            <v>0</v>
          </cell>
          <cell r="D93">
            <v>30473</v>
          </cell>
          <cell r="E93">
            <v>-30473</v>
          </cell>
        </row>
        <row r="94">
          <cell r="A94">
            <v>0</v>
          </cell>
          <cell r="B94" t="str">
            <v>__________________</v>
          </cell>
          <cell r="C94" t="str">
            <v>__________________</v>
          </cell>
          <cell r="D94" t="str">
            <v>__________________</v>
          </cell>
          <cell r="E94" t="str">
            <v>__________________</v>
          </cell>
        </row>
        <row r="95">
          <cell r="A95" t="str">
            <v>Total 3rd party</v>
          </cell>
          <cell r="B95">
            <v>-6149.8903</v>
          </cell>
          <cell r="C95">
            <v>76883369.828999996</v>
          </cell>
          <cell r="D95">
            <v>84348051.394500002</v>
          </cell>
          <cell r="E95">
            <v>-7470831.4557999996</v>
          </cell>
        </row>
        <row r="96">
          <cell r="A96">
            <v>0</v>
          </cell>
          <cell r="B96">
            <v>0</v>
          </cell>
          <cell r="C96">
            <v>0</v>
          </cell>
          <cell r="D96">
            <v>0</v>
          </cell>
          <cell r="E96">
            <v>0</v>
          </cell>
        </row>
        <row r="97">
          <cell r="A97" t="str">
            <v>Intercompany</v>
          </cell>
          <cell r="B97">
            <v>0</v>
          </cell>
          <cell r="C97">
            <v>0</v>
          </cell>
          <cell r="D97">
            <v>0</v>
          </cell>
          <cell r="E97">
            <v>0</v>
          </cell>
        </row>
        <row r="98">
          <cell r="A98">
            <v>0</v>
          </cell>
          <cell r="B98">
            <v>0</v>
          </cell>
          <cell r="C98">
            <v>0</v>
          </cell>
          <cell r="D98">
            <v>0</v>
          </cell>
          <cell r="E98">
            <v>0</v>
          </cell>
        </row>
        <row r="99">
          <cell r="A99" t="str">
            <v>S00001 - Huber+Suhner AG</v>
          </cell>
          <cell r="B99">
            <v>-99650617.898100004</v>
          </cell>
          <cell r="C99">
            <v>53001919.181299999</v>
          </cell>
          <cell r="D99">
            <v>106188473.7506</v>
          </cell>
          <cell r="E99">
            <v>-152837172.46740001</v>
          </cell>
        </row>
        <row r="100">
          <cell r="A100" t="str">
            <v>S00021 - Huber+Suhner (Australia) Pty Ltd</v>
          </cell>
          <cell r="B100">
            <v>-3.2000000000000002E-3</v>
          </cell>
          <cell r="C100">
            <v>13841.015299999999</v>
          </cell>
          <cell r="D100">
            <v>13841.015299999999</v>
          </cell>
          <cell r="E100">
            <v>-3.2000000000000002E-3</v>
          </cell>
        </row>
        <row r="101">
          <cell r="A101" t="str">
            <v>S00079 - Huber + Suhner T &amp; C Mfg.  Co. Ltd.</v>
          </cell>
          <cell r="B101">
            <v>-412136.93</v>
          </cell>
          <cell r="C101">
            <v>34529001.194300003</v>
          </cell>
          <cell r="D101">
            <v>34172584.276000001</v>
          </cell>
          <cell r="E101">
            <v>-55720.011700000003</v>
          </cell>
        </row>
        <row r="102">
          <cell r="A102" t="str">
            <v>S00154 - HUBER + SUHNER INC</v>
          </cell>
          <cell r="B102">
            <v>0</v>
          </cell>
          <cell r="C102">
            <v>2881.0866000000001</v>
          </cell>
          <cell r="D102">
            <v>2881.0864999999999</v>
          </cell>
          <cell r="E102">
            <v>1E-4</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chedules BS"/>
      <sheetName val="Sch-6"/>
      <sheetName val="Schedules PL"/>
      <sheetName val="TB04"/>
      <sheetName val="TB03"/>
      <sheetName val="PartIV"/>
      <sheetName val="Sec 212"/>
      <sheetName val="TaxComputn"/>
      <sheetName val="ITDprn"/>
      <sheetName val="AR"/>
      <sheetName val="CRITERIA1"/>
      <sheetName val="TRIAL BALANCE"/>
      <sheetName val="Non-Recurring Items Detail"/>
      <sheetName val="Gross Margin by Practice"/>
      <sheetName val="OpServicesDetail"/>
      <sheetName val="Lookups"/>
      <sheetName val="Mode d emploie et exemple"/>
      <sheetName val="Masters"/>
      <sheetName val="gen ledger data"/>
      <sheetName val="Dep"/>
      <sheetName val="fixasset99"/>
      <sheetName val="HBI NCD"/>
      <sheetName val="310280 on 310307 (070607)"/>
      <sheetName val="vgr"/>
      <sheetName val="Schedules_BS"/>
      <sheetName val="Schedules_PL"/>
      <sheetName val="Sec_212"/>
      <sheetName val="HBI_NCD"/>
      <sheetName val="310280_on_310307_(070607)"/>
      <sheetName val="Schedules_BS1"/>
      <sheetName val="Schedules_PL1"/>
      <sheetName val="Sec_2121"/>
      <sheetName val="HBI_NCD1"/>
      <sheetName val="310280_on_310307_(070607)1"/>
      <sheetName val=""/>
      <sheetName val="UBRD"/>
      <sheetName val="UPCA"/>
      <sheetName val="UBRS"/>
      <sheetName val="KPM Data Tables"/>
      <sheetName val="SNAP SHOT"/>
      <sheetName val="DLC sites"/>
      <sheetName val="SDH COST"/>
      <sheetName val="Other assumptions"/>
      <sheetName val="RSU lookups"/>
      <sheetName val="RSU sites"/>
      <sheetName val="Balance sheet"/>
      <sheetName val="profit &amp; loss account"/>
      <sheetName val="TTDZ22"/>
      <sheetName val="INT-234"/>
      <sheetName val="TRIAL_BALANCE"/>
      <sheetName val="Non-Recurring_Items_Detail"/>
      <sheetName val="Gross_Margin_by_Practice"/>
      <sheetName val="Mode_d_emploie_et_exemple"/>
      <sheetName val="gen_ledger_data"/>
      <sheetName val="Schedule VI 2004"/>
      <sheetName val="Working"/>
      <sheetName val="ANNX - I ( a )"/>
      <sheetName val="14040"/>
      <sheetName val="CY-OS-90-1"/>
      <sheetName val="TRIAL_BALANCE1"/>
      <sheetName val="Non-Recurring_Items_Detail1"/>
      <sheetName val="Gross_Margin_by_Practice1"/>
      <sheetName val="Mode_d_emploie_et_exemple1"/>
      <sheetName val="gen_ledger_data1"/>
      <sheetName val="PL Grouping"/>
      <sheetName val="TB_FY13"/>
      <sheetName val="FINALTB FY11"/>
      <sheetName val="Inv Wkg"/>
      <sheetName val="威娜"/>
      <sheetName val="WGE P&amp;E"/>
      <sheetName val="SPT vs PHI"/>
      <sheetName val="5"/>
      <sheetName val="Account"/>
      <sheetName val="Sheet1"/>
      <sheetName val="PointNo.5"/>
      <sheetName val="ISBS12M"/>
      <sheetName val="DRE_POV"/>
      <sheetName val="Codes"/>
      <sheetName val="H"/>
      <sheetName val="Assumptions"/>
      <sheetName val="LEGAL GUJ"/>
      <sheetName val="Reg for Existing Assets"/>
      <sheetName val="Accounts"/>
      <sheetName val="5 Star Hotel"/>
      <sheetName val="NPV"/>
      <sheetName val="tbc"/>
      <sheetName val="CF"/>
      <sheetName val="Note 3 to 4"/>
      <sheetName val="Ls_XLB_WorkbookFile"/>
      <sheetName val="Note 5 to 10"/>
      <sheetName val="Note 12 to 15"/>
      <sheetName val="Note 11"/>
      <sheetName val="Sheet4"/>
      <sheetName val="Sheet7"/>
      <sheetName val="AP Revaluation"/>
      <sheetName val="Note 16-20"/>
      <sheetName val="GL Trial"/>
      <sheetName val="Grouping"/>
      <sheetName val="Adjustment Entries"/>
      <sheetName val="Tax computation"/>
      <sheetName val="Audit Entries15-16"/>
      <sheetName val="Tax Com 15-16"/>
      <sheetName val="IT Dep"/>
      <sheetName val="Tax Walk"/>
      <sheetName val="Deferred Tax"/>
      <sheetName val="Disallowance"/>
      <sheetName val="TB14-15"/>
      <sheetName val="Audit Entries14-15"/>
      <sheetName val="Sheet2"/>
      <sheetName val="Summary_Local"/>
      <sheetName val="Sheet BAL'N SHEET"/>
      <sheetName val="o’£Òˆê——i–ˆ“úŠm”F‚Ì‚±‚Æj"/>
      <sheetName val="Schedules_BS2"/>
      <sheetName val="Schedules_PL2"/>
      <sheetName val="Sec_2122"/>
      <sheetName val="TRIAL_BALANCE2"/>
      <sheetName val="Non-Recurring_Items_Detail2"/>
      <sheetName val="Gross_Margin_by_Practice2"/>
      <sheetName val="Mode_d_emploie_et_exemple2"/>
      <sheetName val="gen_ledger_data2"/>
      <sheetName val="SNAP_SHOT"/>
      <sheetName val="Schedule_VI_2004"/>
      <sheetName val="ANNX_-_I_(_a_)"/>
      <sheetName val="PL_Grouping"/>
      <sheetName val="FINALTB_FY11"/>
      <sheetName val="Inv_Wkg"/>
      <sheetName val="Internet"/>
      <sheetName val="B"/>
      <sheetName val="EXPENSES"/>
      <sheetName val="0005"/>
      <sheetName val="workfeb"/>
      <sheetName val="Power&amp;Fuel"/>
      <sheetName val="2.Fixed Assets Schedule"/>
      <sheetName val="Profile"/>
      <sheetName val="Input"/>
      <sheetName val="Formats"/>
      <sheetName val="CapEx"/>
      <sheetName val="Capital"/>
      <sheetName val="Debt"/>
      <sheetName val="Citrix"/>
      <sheetName val="fcl"/>
      <sheetName val="PROV."/>
      <sheetName val="TB"/>
      <sheetName val="1-2-1"/>
      <sheetName val="HBI_NCD2"/>
      <sheetName val="310280_on_310307_(070607)2"/>
      <sheetName val="WGE_P&amp;E"/>
      <sheetName val="KPM_Data_Tables"/>
      <sheetName val="FINAL"/>
      <sheetName val="MIS premises"/>
      <sheetName val="Vendors"/>
      <sheetName val="2.1. Claimed Not Ack as debts"/>
      <sheetName val="2.2. Unitech Contingent"/>
      <sheetName val="2.4. Service Tax Contingent"/>
      <sheetName val="6. Auditor Payment"/>
      <sheetName val="7. Pauling Joint Venture"/>
      <sheetName val="8. Non Provision"/>
      <sheetName val="5. MR"/>
      <sheetName val="31. EPS"/>
      <sheetName val="13. Finance Lease"/>
      <sheetName val="18. Earnings"/>
      <sheetName val="FA TB 28-2-2006"/>
    </sheetNames>
    <sheetDataSet>
      <sheetData sheetId="0" refreshError="1">
        <row r="1">
          <cell r="A1" t="str">
            <v>Aurigene Discovery Technologies Limited</v>
          </cell>
          <cell r="C1">
            <v>38077</v>
          </cell>
        </row>
      </sheetData>
      <sheetData sheetId="1">
        <row r="1">
          <cell r="A1" t="str">
            <v>Aurigene Discovery Technologies Limited</v>
          </cell>
        </row>
      </sheetData>
      <sheetData sheetId="2">
        <row r="1">
          <cell r="A1" t="str">
            <v>Aurigene Discovery Technologies Limited</v>
          </cell>
        </row>
      </sheetData>
      <sheetData sheetId="3">
        <row r="1">
          <cell r="A1" t="str">
            <v>Aurigene Discovery Technologies Limited</v>
          </cell>
        </row>
      </sheetData>
      <sheetData sheetId="4">
        <row r="1">
          <cell r="A1" t="str">
            <v>Aurigene Discovery Technologies Limited</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heet"/>
      <sheetName val="P&amp;L"/>
      <sheetName val="Schedule"/>
      <sheetName val="Schedule (2)"/>
      <sheetName val="fza 12M"/>
      <sheetName val="svi2"/>
      <sheetName val="svi1"/>
      <sheetName val="Part_IV"/>
      <sheetName val="cashflow"/>
      <sheetName val="DETAILS"/>
      <sheetName val="CRITERIA1"/>
      <sheetName val="Data"/>
      <sheetName val="Setup Variables"/>
      <sheetName val="P&amp;L Summary"/>
      <sheetName val="Control Panel"/>
    </sheetNames>
    <sheetDataSet>
      <sheetData sheetId="0" refreshError="1"/>
      <sheetData sheetId="1" refreshError="1"/>
      <sheetData sheetId="2" refreshError="1">
        <row r="2">
          <cell r="B2" t="str">
            <v>Schedules forming part of Accounts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MIS"/>
      <sheetName val="Feuil3"/>
      <sheetName val="Feuil2"/>
      <sheetName val="CF"/>
    </sheetNames>
    <sheetDataSet>
      <sheetData sheetId="0"/>
      <sheetData sheetId="1" refreshError="1">
        <row r="3">
          <cell r="A3">
            <v>99</v>
          </cell>
          <cell r="B3">
            <v>0</v>
          </cell>
        </row>
        <row r="4">
          <cell r="A4" t="str">
            <v>A11</v>
          </cell>
          <cell r="B4">
            <v>254085.06000000003</v>
          </cell>
        </row>
        <row r="5">
          <cell r="A5" t="str">
            <v>A112</v>
          </cell>
          <cell r="B5">
            <v>0</v>
          </cell>
        </row>
        <row r="6">
          <cell r="A6" t="str">
            <v>A113</v>
          </cell>
          <cell r="B6">
            <v>-498358.53000000009</v>
          </cell>
        </row>
        <row r="7">
          <cell r="A7" t="str">
            <v>A114</v>
          </cell>
          <cell r="B7">
            <v>-257261.27000000002</v>
          </cell>
        </row>
        <row r="8">
          <cell r="A8" t="str">
            <v>A116</v>
          </cell>
          <cell r="B8">
            <v>-680000</v>
          </cell>
        </row>
        <row r="9">
          <cell r="A9" t="str">
            <v>A117</v>
          </cell>
          <cell r="B9">
            <v>-12400</v>
          </cell>
        </row>
        <row r="10">
          <cell r="A10" t="str">
            <v>A119</v>
          </cell>
          <cell r="B10">
            <v>-1500000</v>
          </cell>
        </row>
        <row r="11">
          <cell r="A11" t="str">
            <v>A120</v>
          </cell>
          <cell r="B11">
            <v>779057.62999999989</v>
          </cell>
        </row>
        <row r="12">
          <cell r="A12" t="str">
            <v>A121</v>
          </cell>
          <cell r="B12">
            <v>0</v>
          </cell>
        </row>
        <row r="13">
          <cell r="A13" t="str">
            <v>A12</v>
          </cell>
          <cell r="B13">
            <v>634002.01</v>
          </cell>
        </row>
        <row r="14">
          <cell r="A14" t="str">
            <v>A13</v>
          </cell>
          <cell r="B14">
            <v>213912.09000000003</v>
          </cell>
        </row>
        <row r="15">
          <cell r="A15" t="str">
            <v>A14</v>
          </cell>
          <cell r="B15">
            <v>743960.9</v>
          </cell>
        </row>
        <row r="16">
          <cell r="A16" t="str">
            <v>A15</v>
          </cell>
          <cell r="B16">
            <v>0</v>
          </cell>
        </row>
        <row r="17">
          <cell r="A17" t="str">
            <v>A17</v>
          </cell>
          <cell r="B17">
            <v>41483.870000000024</v>
          </cell>
        </row>
        <row r="18">
          <cell r="A18" t="str">
            <v>A18</v>
          </cell>
          <cell r="B18">
            <v>152798.15</v>
          </cell>
        </row>
        <row r="19">
          <cell r="A19" t="str">
            <v>A19</v>
          </cell>
          <cell r="B19">
            <v>20809.259999999998</v>
          </cell>
        </row>
        <row r="20">
          <cell r="A20" t="str">
            <v>B11</v>
          </cell>
          <cell r="B20">
            <v>-2952246.63</v>
          </cell>
        </row>
        <row r="21">
          <cell r="A21" t="str">
            <v>B111</v>
          </cell>
          <cell r="B21">
            <v>15657.95</v>
          </cell>
        </row>
        <row r="22">
          <cell r="A22" t="str">
            <v>B112</v>
          </cell>
          <cell r="B22">
            <v>234904.13999999998</v>
          </cell>
        </row>
        <row r="23">
          <cell r="A23" t="str">
            <v>B114</v>
          </cell>
          <cell r="B23">
            <v>12618.940000000002</v>
          </cell>
        </row>
        <row r="24">
          <cell r="A24" t="str">
            <v>B115</v>
          </cell>
          <cell r="B24">
            <v>59000</v>
          </cell>
        </row>
        <row r="25">
          <cell r="A25" t="str">
            <v>B117</v>
          </cell>
          <cell r="B25">
            <v>1875</v>
          </cell>
        </row>
        <row r="26">
          <cell r="A26" t="str">
            <v>B12</v>
          </cell>
          <cell r="B26">
            <v>-81349.459999999992</v>
          </cell>
        </row>
        <row r="27">
          <cell r="A27" t="str">
            <v>B13</v>
          </cell>
          <cell r="B27">
            <v>617.11</v>
          </cell>
        </row>
        <row r="28">
          <cell r="A28" t="str">
            <v>B16</v>
          </cell>
          <cell r="B28">
            <v>2204225.17</v>
          </cell>
        </row>
        <row r="29">
          <cell r="A29" t="str">
            <v>B18</v>
          </cell>
          <cell r="B29">
            <v>528615.27999999991</v>
          </cell>
        </row>
        <row r="30">
          <cell r="A30" t="str">
            <v>B19</v>
          </cell>
          <cell r="B30">
            <v>83993.33</v>
          </cell>
        </row>
      </sheetData>
      <sheetData sheetId="2" refreshError="1">
        <row r="3">
          <cell r="C3" t="str">
            <v>TVTS</v>
          </cell>
          <cell r="D3">
            <v>5220</v>
          </cell>
        </row>
        <row r="4">
          <cell r="C4" t="str">
            <v>Orga</v>
          </cell>
          <cell r="D4">
            <v>3965</v>
          </cell>
        </row>
        <row r="5">
          <cell r="C5" t="str">
            <v>Cons</v>
          </cell>
          <cell r="D5">
            <v>3906.04</v>
          </cell>
        </row>
        <row r="6">
          <cell r="C6" t="str">
            <v>Prud</v>
          </cell>
          <cell r="D6">
            <v>0</v>
          </cell>
        </row>
        <row r="7">
          <cell r="C7" t="str">
            <v>Fisc</v>
          </cell>
          <cell r="D7">
            <v>0</v>
          </cell>
        </row>
        <row r="8">
          <cell r="C8" t="str">
            <v xml:space="preserve">IFA </v>
          </cell>
          <cell r="D8" t="e">
            <v>#N/A</v>
          </cell>
        </row>
        <row r="10">
          <cell r="C10" t="str">
            <v>ADIV</v>
          </cell>
          <cell r="D10">
            <v>0</v>
          </cell>
        </row>
        <row r="11">
          <cell r="C11" t="str">
            <v>ADIV</v>
          </cell>
          <cell r="D11">
            <v>6019</v>
          </cell>
        </row>
        <row r="12">
          <cell r="C12" t="str">
            <v>ADIV</v>
          </cell>
          <cell r="D12">
            <v>-10195</v>
          </cell>
        </row>
        <row r="13">
          <cell r="C13" t="str">
            <v>ADIV</v>
          </cell>
          <cell r="D13">
            <v>-40342</v>
          </cell>
        </row>
        <row r="14">
          <cell r="C14" t="str">
            <v>ADIV</v>
          </cell>
          <cell r="D14">
            <v>14078</v>
          </cell>
        </row>
        <row r="15">
          <cell r="C15" t="str">
            <v>ADIV</v>
          </cell>
          <cell r="D15">
            <v>-19431</v>
          </cell>
        </row>
        <row r="16">
          <cell r="C16" t="str">
            <v>ADIV</v>
          </cell>
          <cell r="D16">
            <v>-23010.95</v>
          </cell>
        </row>
        <row r="17">
          <cell r="C17" t="str">
            <v>ADIV</v>
          </cell>
          <cell r="D17">
            <v>0</v>
          </cell>
        </row>
        <row r="18">
          <cell r="C18" t="str">
            <v>ATVAFR</v>
          </cell>
          <cell r="D18">
            <v>-1669.52</v>
          </cell>
        </row>
        <row r="19">
          <cell r="C19" t="str">
            <v>ATVAFR</v>
          </cell>
          <cell r="D19">
            <v>-206</v>
          </cell>
        </row>
        <row r="20">
          <cell r="C20" t="str">
            <v>ATVAFR</v>
          </cell>
          <cell r="D20">
            <v>0</v>
          </cell>
        </row>
        <row r="21">
          <cell r="C21" t="str">
            <v>ATVAFR</v>
          </cell>
          <cell r="D21">
            <v>-84247.25</v>
          </cell>
        </row>
        <row r="22">
          <cell r="C22" t="str">
            <v>ATVACE</v>
          </cell>
          <cell r="D22">
            <v>0</v>
          </cell>
        </row>
        <row r="23">
          <cell r="C23" t="str">
            <v>ATVAEX</v>
          </cell>
          <cell r="D23">
            <v>0</v>
          </cell>
        </row>
        <row r="24">
          <cell r="C24" t="str">
            <v>ATVAEX</v>
          </cell>
          <cell r="D24">
            <v>2057.4499999999998</v>
          </cell>
        </row>
      </sheetData>
      <sheetData sheetId="3"/>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ED TAX"/>
      <sheetName val="Tax Provision"/>
      <sheetName val="BS"/>
      <sheetName val="P&amp;L"/>
      <sheetName val="Cash Flow"/>
      <sheetName val="BS Schedule"/>
      <sheetName val="Fixed Assets Schedule"/>
      <sheetName val="PL Schedule"/>
      <sheetName val="Abstract"/>
      <sheetName val="BS Jan to March"/>
      <sheetName val="P&amp;L Jan to March"/>
      <sheetName val="BS Schedule Jan to Mar"/>
      <sheetName val="LIABILITIES&amp;EQUITY Groupings"/>
      <sheetName val="PL Schedule Jan to Mar"/>
      <sheetName val="Fixed Assets Jan to March"/>
      <sheetName val="Groupings Jan to Mar"/>
      <sheetName val="abstract09"/>
      <sheetName val="Groupings 12 months"/>
      <sheetName val="TrialBal"/>
      <sheetName val="Trial Bal Jan to March"/>
      <sheetName val="ASSETS Groupings Package"/>
      <sheetName val="PL Groupings Package"/>
      <sheetName val="Worksheet"/>
      <sheetName val="Deff-Local"/>
      <sheetName val="Tax Workings"/>
      <sheetName val="Part_IV"/>
      <sheetName val="comp. of tax Jan to mar"/>
      <sheetName val="comp. of tax april to mar"/>
      <sheetName val="Deffered tax jan to march"/>
      <sheetName val="Deffered tax april to march "/>
      <sheetName val="EPS"/>
      <sheetName val="entries to be paased"/>
      <sheetName val="Feuil1"/>
      <sheetName val="MIS"/>
      <sheetName val="Feuil3"/>
      <sheetName val="Feuil2"/>
      <sheetName val="CF"/>
      <sheetName val="Related party AS18 (2)"/>
      <sheetName val="Notes "/>
      <sheetName val="Quantative Details (2)"/>
      <sheetName val="AS-15 "/>
      <sheetName val="Sheet1"/>
      <sheetName val="WIP"/>
      <sheetName val="Vistar"/>
      <sheetName val="Bobby"/>
      <sheetName val="Imp"/>
      <sheetName val="FMC"/>
      <sheetName val="S~K~Int + Rat"/>
      <sheetName val="Imp (2)"/>
      <sheetName val="ETA"/>
      <sheetName val="Canter &amp; Bell Control"/>
      <sheetName val="Mark"/>
      <sheetName val="Mirrors"/>
      <sheetName val="Nagarwalla"/>
      <sheetName val="Reunion"/>
      <sheetName val="Aluplex"/>
      <sheetName val="Patel"/>
      <sheetName val="Nitco"/>
      <sheetName val="Channa"/>
      <sheetName val="Shiv"/>
      <sheetName val="Jay-Art"/>
      <sheetName val="Divecha"/>
      <sheetName val="BE~GRoom"/>
      <sheetName val="BE"/>
      <sheetName val="Anko"/>
      <sheetName val="Aquatech"/>
      <sheetName val="Bharat"/>
      <sheetName val="Arun"/>
      <sheetName val="Reunion - Elec"/>
      <sheetName val="Net assets"/>
      <sheetName val="GT_Custom"/>
      <sheetName val="BELDEN06"/>
      <sheetName val="DSP-06"/>
      <sheetName val="DOD-06"/>
      <sheetName val="EDWARD"/>
      <sheetName val="CONSOL 2006"/>
      <sheetName val="New Gen06"/>
      <sheetName val="DUL06"/>
      <sheetName val="Beverly06"/>
      <sheetName val="Akruti06"/>
      <sheetName val="DHDL06"/>
      <sheetName val="BHORUKA6"/>
      <sheetName val="DSL06"/>
      <sheetName val="DRDL06"/>
      <sheetName val="Kolkata"/>
      <sheetName val="DEDL"/>
      <sheetName val="FALGUNI"/>
      <sheetName val="AYUSHI"/>
      <sheetName val="SOLID"/>
      <sheetName val="SUMEDHA"/>
      <sheetName val="GULIKA"/>
      <sheetName val="GANIKA"/>
      <sheetName val="Ananti"/>
      <sheetName val="Monishka"/>
      <sheetName val="Dhyan"/>
      <sheetName val="Abhiraj"/>
      <sheetName val="Breeze"/>
      <sheetName val="ANJULI"/>
      <sheetName val="Natwar"/>
      <sheetName val="Gyan"/>
      <sheetName val="KAMINI"/>
      <sheetName val="DHOOMKETU"/>
      <sheetName val="CARLTON"/>
      <sheetName val="AMISHI"/>
      <sheetName val="ALOKI"/>
      <sheetName val="aadarshini"/>
      <sheetName val="KAIRAV"/>
      <sheetName val="PALIWAL"/>
      <sheetName val="JWALA"/>
      <sheetName val="Passion builders"/>
      <sheetName val="VSK"/>
      <sheetName val="UMED"/>
      <sheetName val="VALINI"/>
      <sheetName val="Talika"/>
      <sheetName val="Trisha"/>
      <sheetName val="Tuhina"/>
      <sheetName val="SIMBALA"/>
      <sheetName val="DIWAKAR"/>
      <sheetName val="Shrila"/>
      <sheetName val="Sanchalli"/>
      <sheetName val="EILA"/>
      <sheetName val="Rajika"/>
      <sheetName val="ROADTECH"/>
      <sheetName val="GOLF"/>
      <sheetName val="PHASE IV"/>
      <sheetName val="real est limited"/>
      <sheetName val="GKS"/>
      <sheetName val="Chennai"/>
      <sheetName val="Bangalore"/>
      <sheetName val="Hyderabad"/>
      <sheetName val="Chandigarh"/>
      <sheetName val="DRP"/>
      <sheetName val="Avinashi"/>
      <sheetName val="DRB"/>
      <sheetName val="WELLINGTON"/>
      <sheetName val="DPD"/>
      <sheetName val="RBD"/>
      <sheetName val="Kavicon-06"/>
      <sheetName val="NILAYAM"/>
      <sheetName val="SHIVAJI"/>
      <sheetName val="NOIDA"/>
      <sheetName val="NILIMA"/>
      <sheetName val="DHCL"/>
      <sheetName val="Nilgiri"/>
      <sheetName val="DALMIA"/>
      <sheetName val="DCDL"/>
      <sheetName val="rec foun"/>
      <sheetName val="DFSL"/>
      <sheetName val="CPC"/>
      <sheetName val="Tracker"/>
      <sheetName val="Entries"/>
      <sheetName val="Provisional entries"/>
      <sheetName val="DCDL Consol June 06"/>
      <sheetName val="Infocity-Chandigarh"/>
      <sheetName val="Infocity-Kolkata"/>
      <sheetName val="DCDL-final"/>
      <sheetName val="Info city-Bangalore"/>
      <sheetName val="Info city-Hyderabad"/>
      <sheetName val="Udipti"/>
      <sheetName val="Bhoruka"/>
      <sheetName val="Real Estate"/>
      <sheetName val="Info city- Chennai"/>
      <sheetName val="Passion"/>
      <sheetName val="W block"/>
      <sheetName val="Table 41"/>
      <sheetName val="Table 9"/>
      <sheetName val="Table11"/>
      <sheetName val="K-1"/>
      <sheetName val="K-2"/>
      <sheetName val="K-3"/>
      <sheetName val="Table 1"/>
      <sheetName val="Table 2"/>
      <sheetName val="Table 3"/>
      <sheetName val="Table 4"/>
      <sheetName val="Table 5"/>
      <sheetName val="Table 6"/>
      <sheetName val="Pivot"/>
      <sheetName val="Pivot 2"/>
      <sheetName val="DOT-Customer-data"/>
      <sheetName val="Fund Utilisation"/>
      <sheetName val="Consol"/>
      <sheetName val="Hyderabad_NLA"/>
      <sheetName val="Silokhera_NLA"/>
      <sheetName val="Cyber City_NLA"/>
      <sheetName val="Chennai_NLA"/>
      <sheetName val="Summary"/>
      <sheetName val="Chennai "/>
      <sheetName val="Tenant-Chennai"/>
      <sheetName val="Tanent-W Block"/>
      <sheetName val="W block (2)"/>
      <sheetName val="Silokhera"/>
      <sheetName val="Table 7"/>
      <sheetName val="Project Data"/>
      <sheetName val="Unleased area"/>
      <sheetName val="Assumption"/>
      <sheetName val="Pivot (2)"/>
      <sheetName val="Building Matrix"/>
      <sheetName val="ridgewood"/>
      <sheetName val="Related - Construction"/>
      <sheetName val="TB31.12.2008"/>
      <sheetName val="BS &amp; PL"/>
      <sheetName val="Sch 4 FA Sch"/>
      <sheetName val="Sch 5- Investment"/>
      <sheetName val="P&amp;L Schedule"/>
      <sheetName val="Inventory"/>
      <sheetName val="POCM - 31.12.08"/>
      <sheetName val="Final - Plots  "/>
      <sheetName val="Final - Town Houses"/>
      <sheetName val="Deferred  Tax"/>
      <sheetName val="Dep As per IT act "/>
      <sheetName val="FBT-Working "/>
      <sheetName val="Details "/>
      <sheetName val="Fixed Assets Register"/>
      <sheetName val="AR TB"/>
      <sheetName val="ICD- interest Income  "/>
      <sheetName val="Interest CCD- Expenses"/>
      <sheetName val="Group -31.12.2008"/>
      <sheetName val="Related Party"/>
      <sheetName val="Balance Sheet"/>
      <sheetName val="Interest Allocation "/>
      <sheetName val="DTA &amp; C TAX"/>
      <sheetName val="One Pager"/>
      <sheetName val="P &amp; L Schedule"/>
      <sheetName val="Grouping Sheet"/>
      <sheetName val="Revised TB Ramco"/>
      <sheetName val="TB 31.03.10"/>
      <sheetName val="Ramco TB"/>
      <sheetName val="Pocm Sheet"/>
      <sheetName val="Q-1 Sale"/>
      <sheetName val="Project Summary"/>
      <sheetName val="Fixed Assets "/>
      <sheetName val="IT -Assets"/>
      <sheetName val="Furniture &amp; Fixture"/>
      <sheetName val="office equipment"/>
      <sheetName val="Leasehold"/>
      <sheetName val="Development Rights"/>
      <sheetName val="PF Details"/>
      <sheetName val="DRDL Int ICD"/>
      <sheetName val="DCDL Int ICD"/>
      <sheetName val="DHDL Int. CCD"/>
      <sheetName val="Clogs Int.CCD"/>
      <sheetName val="Epop Working"/>
      <sheetName val="Rent Equalization"/>
      <sheetName val="GAM Text"/>
      <sheetName val="BS SAC YS Ver 2.0"/>
      <sheetName val="P&amp;L SAC YS Ver 2.0"/>
      <sheetName val="BS SAC Ver 1.0"/>
      <sheetName val="P&amp;L SAC Ver 1.0"/>
      <sheetName val="YS SAC"/>
      <sheetName val="Schedule VI"/>
      <sheetName val="POCM Working"/>
      <sheetName val="Q-2 Revised Sale Report"/>
      <sheetName val="Q2 Sale Report"/>
      <sheetName val="Q1 Sale Report "/>
      <sheetName val="Q3 Sale report"/>
      <sheetName val="Development Right"/>
      <sheetName val="Personnel expenses"/>
      <sheetName val="Kakanad"/>
      <sheetName val="Sriperamathur"/>
      <sheetName val="OMR - II"/>
      <sheetName val="Constructions Expenses"/>
      <sheetName val="Management expenses"/>
      <sheetName val="Project Management Expenses"/>
      <sheetName val="Financial expenses"/>
      <sheetName val="Interest allocation June 10"/>
      <sheetName val="Interest allocation Mar 2010"/>
      <sheetName val="._ls___ls___ls_Site Detail"/>
      <sheetName val="._ls_._ls_._ls_Site Detail"/>
      <sheetName val="po"/>
      <sheetName val="landed cost tower cranes"/>
      <sheetName val="Sheet2"/>
      <sheetName val="Sheet3"/>
      <sheetName val="Tender Summary"/>
      <sheetName val="Markup"/>
      <sheetName val="CCS"/>
      <sheetName val="Non-Rec"/>
      <sheetName val="Data"/>
      <sheetName val="Prelims"/>
      <sheetName val="Bill1"/>
      <sheetName val="1.1 Staff"/>
      <sheetName val="3.1 Labour"/>
      <sheetName val="4.1 Site_Offices"/>
      <sheetName val="6.1 Plant"/>
      <sheetName val="6.5.1 Ext Scaffold"/>
      <sheetName val="6.5.2 Int Scaffold"/>
      <sheetName val="POCM"/>
      <sheetName val="POCM - Entries"/>
      <sheetName val="POCM - working"/>
      <sheetName val="Inventory Main sheet"/>
      <sheetName val="Construction"/>
      <sheetName val="Approval Cost"/>
      <sheetName val="EDC IDC"/>
      <sheetName val="EDC &amp; IDC 118.562"/>
      <sheetName val="EDC &amp; IDC 34.01"/>
      <sheetName val="analysis"/>
      <sheetName val="summarywith exindia comparison"/>
      <sheetName val="datalcmar"/>
      <sheetName val="ex-india"/>
      <sheetName val="ebtreco"/>
      <sheetName val="DATA_INR"/>
      <sheetName val="Corp_EBTytd"/>
      <sheetName val="Global ytd"/>
      <sheetName val="Corp_Salesytd"/>
      <sheetName val="interco"/>
      <sheetName val="Backup of global consolidation "/>
      <sheetName val="#REF"/>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Balance sheet DCCDL Nov 06"/>
      <sheetName val="GL_SL-ACC CODE MATRIX"/>
      <sheetName val="GL-ACCOUNT CODE MAPPING"/>
      <sheetName val="coa_ramco_168"/>
      <sheetName val="Lying Stock 1.4.99"/>
      <sheetName val="Issues-RTS 0499 to 0999"/>
      <sheetName val="Phy Stock 30.9.99"/>
      <sheetName val="Lying Stock 30.9.99"/>
      <sheetName val="MAT0499"/>
      <sheetName val="Final Sheet"/>
      <sheetName val="MAT Summary"/>
      <sheetName val="MAT Consolidated"/>
      <sheetName val="Debit MAT 499 to 999"/>
      <sheetName val="Overheads"/>
      <sheetName val="Income"/>
      <sheetName val="Contractor wise work done (2)"/>
      <sheetName val="Contractor wise work done"/>
      <sheetName val="VCH-SLC"/>
      <sheetName val="Item Master"/>
      <sheetName val="Supplier"/>
      <sheetName val="gateway tower 0999 ctc"/>
      <sheetName val="CONTR+MATERIAL CTC"/>
      <sheetName val="Gateway Contractor 1099 - FINAL"/>
      <sheetName val="Balance Order 0110"/>
      <sheetName val="mat"/>
      <sheetName val="mat summ"/>
      <sheetName val="STR. BASEMENT WITH FDN"/>
      <sheetName val="F.ISSUE  (BASEMENT WITH FDN)"/>
      <sheetName val="STR. BASEMENT WITHOUT FDN"/>
      <sheetName val="F.ISSUE  (BASEMENT WITHOUT FDN)"/>
      <sheetName val="FINISHING (BASEMENT)"/>
      <sheetName val="Conference"/>
      <sheetName val="guidance"/>
      <sheetName val="Detailed-DCF"/>
      <sheetName val="Main Sheet"/>
      <sheetName val="Daily"/>
      <sheetName val="Rupee-P&amp;L"/>
      <sheetName val="Bill-rates"/>
      <sheetName val="Billrt-margin"/>
      <sheetName val="DCF (2)"/>
      <sheetName val="Assumptions"/>
      <sheetName val="Results"/>
      <sheetName val="Sales(%)"/>
      <sheetName val="Sales(Rsm)"/>
      <sheetName val="SalesIncr(%)"/>
      <sheetName val="Profitability"/>
      <sheetName val="Dummy"/>
      <sheetName val="EVA"/>
      <sheetName val="Qtrly"/>
      <sheetName val="HY-Analysis"/>
      <sheetName val="Questions"/>
      <sheetName val="TMT"/>
      <sheetName val="S-w exports"/>
      <sheetName val="Employees"/>
      <sheetName val="Customers"/>
      <sheetName val="Profits"/>
      <sheetName val="HRM Data"/>
      <sheetName val="cflwmpbswc"/>
      <sheetName val="Working Sheet"/>
      <sheetName val="Sales &amp; Profit"/>
      <sheetName val="Perf-summary"/>
      <sheetName val="profit"/>
      <sheetName val="Explanation "/>
      <sheetName val="QMM-Graph"/>
      <sheetName val="CONSOLIDATED"/>
      <sheetName val="MHO"/>
      <sheetName val="sbu1"/>
      <sheetName val="F A Sch sbu-2"/>
      <sheetName val="sbu-3"/>
      <sheetName val="sbu-4"/>
      <sheetName val="F A SBU-5"/>
      <sheetName val="F A Sch SBU-6"/>
      <sheetName val="sbu-7"/>
      <sheetName val="sbu-9"/>
      <sheetName val="F A Sch sbu-11"/>
      <sheetName val="eob"/>
      <sheetName val="ped"/>
      <sheetName val="F A Sch NBDD"/>
      <sheetName val="F A Sch HTC"/>
      <sheetName val="F A Sch EOU"/>
      <sheetName val="eou polymer"/>
      <sheetName val="F A Sch SPBU-1"/>
      <sheetName val="Old"/>
      <sheetName val="Operating Statistics"/>
      <sheetName val="Introduction"/>
      <sheetName val="Financials"/>
      <sheetName val="Financials(O)"/>
      <sheetName val="Cover"/>
      <sheetName val="PL"/>
      <sheetName val="70% stake"/>
      <sheetName val="BS'03"/>
      <sheetName val="Cap. Exp."/>
      <sheetName val="Three Aces"/>
      <sheetName val="Bill"/>
      <sheetName val="Tax Calculation"/>
      <sheetName val="Labour_Cess_Bill"/>
      <sheetName val="Work done Value"/>
      <sheetName val="QUANTITY CALCULATION FULLY UNIT"/>
      <sheetName val="ACP CLADDING"/>
      <sheetName val="spider glazing"/>
      <sheetName val="challan summary"/>
      <sheetName val="page 1 of 2"/>
      <sheetName val="page 2 of 2"/>
      <sheetName val="Explanation"/>
      <sheetName val="More Exp."/>
      <sheetName val="Database"/>
      <sheetName val="E-Core version"/>
      <sheetName val="list"/>
      <sheetName val="Laptop Loan Req Form"/>
      <sheetName val="Laptop Release Form"/>
      <sheetName val="FT-06-02"/>
      <sheetName val="Content"/>
      <sheetName val="Executive Summary"/>
      <sheetName val="Basis of the Cost Plan"/>
      <sheetName val="Inclusions Exclusions"/>
      <sheetName val="Appendix A"/>
      <sheetName val="Build-up"/>
      <sheetName val="Appendix B"/>
      <sheetName val="Staff Distrubution"/>
      <sheetName val="Histogram"/>
      <sheetName val="Appendix C"/>
      <sheetName val="Org Cost Summary"/>
      <sheetName val="Organisation Costs"/>
      <sheetName val="Appendix D"/>
      <sheetName val="Key"/>
      <sheetName val="Time Line"/>
      <sheetName val="Int Walls"/>
      <sheetName val="Buildups"/>
      <sheetName val="Euros"/>
      <sheetName val="GBP"/>
      <sheetName val="Sign Off"/>
      <sheetName val="key dates"/>
      <sheetName val="Actual"/>
      <sheetName val="Actual projected"/>
      <sheetName val="CFForecast detail"/>
      <sheetName val="CFTable2"/>
      <sheetName val="CFGraphs"/>
      <sheetName val="CSIRO"/>
      <sheetName val="CF%Print"/>
      <sheetName val="Interest-others"/>
      <sheetName val="Covera 2011-12"/>
      <sheetName val="Other"/>
      <sheetName val="FIRE SI 2009-10"/>
      <sheetName val="DT CINEMAS &amp; FC"/>
      <sheetName val="DUL"/>
      <sheetName val="GOLF CLUB"/>
      <sheetName val="SHOPPING COMPLEX"/>
      <sheetName val="SHOPPING MALL"/>
      <sheetName val="HOME"/>
      <sheetName val="WATER TANKS"/>
      <sheetName val="FLOP+ Other Add On"/>
      <sheetName val="Missl"/>
      <sheetName val="Summary (2)"/>
      <sheetName val="Fire SI 2011-12"/>
      <sheetName val="DT Cinemas &amp; Food Court"/>
      <sheetName val="sold malls stock"/>
      <sheetName val="dsl emporio"/>
      <sheetName val="dsl courtyard"/>
      <sheetName val="dsl promenade"/>
      <sheetName val="dsl chandigarh mall"/>
      <sheetName val="leased mall asset(mall own co)"/>
      <sheetName val="FAR Malls DSL"/>
      <sheetName val="BKS"/>
      <sheetName val="SN"/>
      <sheetName val="city court sikander pur"/>
      <sheetName val="p&amp;M"/>
      <sheetName val="Misc"/>
      <sheetName val="Gateway Tower"/>
      <sheetName val="Infinity"/>
      <sheetName val="B-8"/>
      <sheetName val="B-5"/>
      <sheetName val="B-10"/>
      <sheetName val="F-Block"/>
      <sheetName val="Saket Mall"/>
      <sheetName val="V.K.Mall"/>
      <sheetName val="Chennai-Final"/>
      <sheetName val="Schedule"/>
      <sheetName val="Annexure"/>
      <sheetName val="Trial Balance"/>
      <sheetName val="Capital work in Progress"/>
      <sheetName val="CAPTLISATION OF INTEREST"/>
      <sheetName val="Depreciation"/>
      <sheetName val="Capital Commitment"/>
      <sheetName val="Consolidation Cash Flow"/>
      <sheetName val="Profit n loss varience"/>
      <sheetName val="Revenue "/>
      <sheetName val="Personnel cost"/>
      <sheetName val="Salary"/>
      <sheetName val="Expenditure-1"/>
      <sheetName val="Income- (2)"/>
      <sheetName val="Pl items"/>
      <sheetName val="Group Summary"/>
      <sheetName val="Comm Final"/>
      <sheetName val="Maint final"/>
      <sheetName val="Maint"/>
      <sheetName val="Trial_SEZ FB_31.03.10"/>
      <sheetName val="Cyber SEZ Profit (80IAB)"/>
      <sheetName val="Sheet1 (2)"/>
      <sheetName val="A302101-000-017"/>
      <sheetName val=""/>
      <sheetName val="P&amp;L variance"/>
      <sheetName val="Galaxy"/>
      <sheetName val="Sheet8"/>
      <sheetName val="rent prov"/>
      <sheetName val="comm prov"/>
      <sheetName val="TDS recoverable"/>
      <sheetName val="Current Liab"/>
      <sheetName val="Debtors"/>
      <sheetName val="Loan &amp; Advances"/>
      <sheetName val="stock reco"/>
      <sheetName val="Advance Tax"/>
      <sheetName val="Income Tax"/>
      <sheetName val="maintenance income"/>
      <sheetName val="misc income"/>
      <sheetName val="Sheet5"/>
      <sheetName val="Advance Ageing"/>
      <sheetName val="Sheet4"/>
      <sheetName val="Sheet7"/>
      <sheetName val="Sheet6"/>
      <sheetName val="adjust"/>
      <sheetName val="Creditor Ageing"/>
      <sheetName val="reqt"/>
      <sheetName val="unsec Loan"/>
      <sheetName val="Advances"/>
      <sheetName val="FDR"/>
      <sheetName val="corp bank"/>
      <sheetName val="Bank book"/>
      <sheetName val="SDR"/>
      <sheetName val="Security Deposit"/>
      <sheetName val="stock"/>
      <sheetName val="maint deb"/>
      <sheetName val="rent deb"/>
      <sheetName val="FINAL"/>
      <sheetName val="COMPARISON"/>
      <sheetName val="STANDALONE"/>
      <sheetName val="CF (08)"/>
      <sheetName val="addl info"/>
      <sheetName val="SH1-2"/>
      <sheetName val="SH3-4"/>
      <sheetName val="SH5-6"/>
      <sheetName val="SH7"/>
      <sheetName val="SH8-11"/>
      <sheetName val="SH12-14"/>
      <sheetName val="SH15"/>
      <sheetName val="SH16-17"/>
      <sheetName val="SH18-22"/>
      <sheetName val="SH-23"/>
      <sheetName val="cons"/>
      <sheetName val="adjustment"/>
      <sheetName val="3"/>
      <sheetName val="Back up working"/>
      <sheetName val="SH18-21"/>
      <sheetName val="SH-22"/>
      <sheetName val="ENTERIES"/>
      <sheetName val="STANDALONE (2)"/>
      <sheetName val="review2audit"/>
      <sheetName val="Backup"/>
      <sheetName val="SH-7"/>
      <sheetName val="SH-22-23"/>
      <sheetName val="STANDALONE (3)"/>
      <sheetName val="Standalone_BS"/>
      <sheetName val="STANDALONE (4)"/>
      <sheetName val="Lead_sheet"/>
      <sheetName val="PL_Group"/>
      <sheetName val="P&amp;L_31"/>
      <sheetName val="L&amp;A (2)"/>
      <sheetName val="BS_31"/>
      <sheetName val="Deffered_Tax"/>
      <sheetName val="Const-ggn"/>
      <sheetName val="Non-Const-GGN"/>
      <sheetName val="Saket"/>
      <sheetName val="Club-V"/>
      <sheetName val="Dwarka"/>
      <sheetName val="Mumbai_Branch"/>
      <sheetName val="Marine_drive"/>
      <sheetName val="Bangalore_Branch"/>
      <sheetName val="L&amp;a"/>
      <sheetName val="CL"/>
      <sheetName val="INTERUNIT"/>
      <sheetName val="Lucknow_Branch"/>
      <sheetName val="Interest_reco"/>
      <sheetName val="LY REGROUP"/>
      <sheetName val="bs_Group"/>
      <sheetName val="Lead Schedule"/>
      <sheetName val="N1.1"/>
      <sheetName val="N1.3"/>
      <sheetName val="N1.6"/>
      <sheetName val="N.2.13"/>
      <sheetName val="N1.8"/>
      <sheetName val="E.1"/>
      <sheetName val="E.2"/>
      <sheetName val="E.3"/>
      <sheetName val="Prov Dec'09 (1)"/>
      <sheetName val="Prov Dec'09 (2)"/>
      <sheetName val="MLCP"/>
      <sheetName val="BALSHEET"/>
      <sheetName val="PROFIT&amp;LOSS"/>
      <sheetName val="Sech 01,02,03"/>
      <sheetName val="Sech 04"/>
      <sheetName val="Sch 05,06,07,08"/>
      <sheetName val="Sech 09,10"/>
      <sheetName val="Sech 11,12"/>
      <sheetName val="Sech 13,14,15,16"/>
      <sheetName val="6310"/>
      <sheetName val="6300"/>
      <sheetName val="7100"/>
      <sheetName val="5400"/>
      <sheetName val="5300"/>
      <sheetName val="5100"/>
      <sheetName val="5500"/>
      <sheetName val="8100"/>
      <sheetName val="8400"/>
      <sheetName val="Misc Expe"/>
      <sheetName val="S DR"/>
      <sheetName val="S CR"/>
      <sheetName val="8300 (3)"/>
      <sheetName val="Interest-8600"/>
      <sheetName val="6100"/>
      <sheetName val="8500"/>
      <sheetName val="Trial 31Dec07"/>
      <sheetName val="Amortization Table"/>
      <sheetName val="JV"/>
      <sheetName val="Ramco Data TB dump"/>
      <sheetName val="Ramco TB dump"/>
      <sheetName val="Trial-Balance"/>
      <sheetName val="B S "/>
      <sheetName val="Sch 1-3"/>
      <sheetName val="Sch-4-15"/>
      <sheetName val="Detail"/>
      <sheetName val="Commercial TB"/>
      <sheetName val="CWIP"/>
      <sheetName val="Schedule of Balance Sheet"/>
      <sheetName val="Annexure of balance sheet"/>
      <sheetName val="Working Cap Commit."/>
      <sheetName val="BS- TRIAL BALANCE"/>
      <sheetName val="Reconciliation_Consol"/>
      <sheetName val="Reco  Books vs ITR vs 26 as"/>
      <sheetName val="LEDGER"/>
      <sheetName val="Report (2)"/>
      <sheetName val="contrcters"/>
      <sheetName val="BvAAI"/>
      <sheetName val="INDEX"/>
      <sheetName val="P1"/>
      <sheetName val="P2"/>
      <sheetName val="P3"/>
      <sheetName val="P4"/>
      <sheetName val="P5"/>
      <sheetName val="P6"/>
      <sheetName val="P7"/>
      <sheetName val="P8"/>
      <sheetName val="P9"/>
      <sheetName val="For Blue Book"/>
      <sheetName val="Avg Cost"/>
      <sheetName val="YTD Revenue"/>
      <sheetName val="Charts"/>
      <sheetName val="Inputs AIR"/>
      <sheetName val="CApex"/>
      <sheetName val="ML DRS"/>
      <sheetName val="Actuals"/>
      <sheetName val="Budget"/>
      <sheetName val="QTD Budget"/>
      <sheetName val="Monthly Budget"/>
      <sheetName val="S.4.1_Auditors Remuneration"/>
      <sheetName val="S.4.2_Billing details"/>
      <sheetName val="S.4.3_SAP Dump"/>
      <sheetName val="S.3.1_Managerial Remuneration"/>
      <sheetName val="S.3.2_Ravi Uppal Compensation"/>
      <sheetName val="S.3.3_SRU Working"/>
      <sheetName val="S.3.4_Directors Fees"/>
      <sheetName val="S.3.5_Commission - Non Exec Dir"/>
      <sheetName val="S.3.6_GL Dump"/>
      <sheetName val="costlogic"/>
      <sheetName val="OPERATION"/>
      <sheetName val="Molyimpact"/>
      <sheetName val="Rawmatimpact"/>
      <sheetName val="27SETS"/>
      <sheetName val="FM Cost"/>
      <sheetName val="COST"/>
      <sheetName val="costmoly"/>
      <sheetName val="FIX_VARI"/>
      <sheetName val="FIX_V_MOLY"/>
      <sheetName val="SETNO"/>
      <sheetName val="DRGNO"/>
      <sheetName val="avg cost ring"/>
      <sheetName val="02A"/>
      <sheetName val="PRO"/>
      <sheetName val="alloy rate"/>
      <sheetName val="ALLOY"/>
      <sheetName val="ALLOYMOLY"/>
      <sheetName val="OPTSTD"/>
      <sheetName val="OPTKV1"/>
      <sheetName val="OPTIKA"/>
      <sheetName val="OPTSTEL"/>
      <sheetName val="SAPhalb"/>
      <sheetName val="ratebreakup"/>
      <sheetName val="TATA GK176MOBP"/>
      <sheetName val="TATA GK153P"/>
      <sheetName val="TATA GO582CPG"/>
      <sheetName val="LETTER"/>
      <sheetName val="LEAD"/>
      <sheetName val="COST "/>
      <sheetName val="COST  (2)"/>
      <sheetName val="LVD_2007-10 (Arthur)"/>
      <sheetName val="Pistons EU"/>
      <sheetName val="LVD_2007-10 (Sales)"/>
      <sheetName val="PRO Vs CAP (2)"/>
      <sheetName val="NGPIS (2)"/>
      <sheetName val="GIL-FORMAT SUMM (2)"/>
      <sheetName val="GIL-FORMAT SUMM"/>
      <sheetName val="sum pis&amp;pin"/>
      <sheetName val="piston-plant"/>
      <sheetName val="pin-plant"/>
      <sheetName val="BOUGHTOUT"/>
      <sheetName val="RING-MODVAT"/>
      <sheetName val="CIRCLIP"/>
      <sheetName val="LINERS"/>
      <sheetName val="Depot"/>
      <sheetName val="G I T"/>
      <sheetName val="depot no reco"/>
      <sheetName val="NGPINWW3"/>
      <sheetName val="PACKING COST"/>
      <sheetName val="NGPISWW3"/>
      <sheetName val="Alloy and OH rate"/>
      <sheetName val="Top"/>
      <sheetName val="RING"/>
      <sheetName val="plannsv"/>
      <sheetName val="indm"/>
      <sheetName val="POWER06-07"/>
      <sheetName val="LINER"/>
      <sheetName val="LAP"/>
      <sheetName val="OE"/>
      <sheetName val="POWER05-06 (2)"/>
      <sheetName val="HCCE01"/>
      <sheetName val="PRICE (2)"/>
      <sheetName val="COST9899"/>
      <sheetName val="fdy-capnos"/>
      <sheetName val="PISCOST"/>
      <sheetName val="MC-TIME"/>
      <sheetName val="allocost"/>
      <sheetName val="RECO"/>
      <sheetName val="PACKING"/>
      <sheetName val="QTY."/>
      <sheetName val="FDY"/>
      <sheetName val="MAT-COST"/>
      <sheetName val="SCRAP-CAL"/>
      <sheetName val="NEWMASTER"/>
      <sheetName val="BUDMASTER"/>
      <sheetName val="PRICE"/>
      <sheetName val="MC-TIMECAP"/>
      <sheetName val="CAPACITY"/>
      <sheetName val="CAP KEY"/>
      <sheetName val="FDY-BASIS"/>
      <sheetName val="RECO-COST"/>
      <sheetName val="piston-cost"/>
      <sheetName val="STORE-CONSUMED-FDY"/>
      <sheetName val="fdy-consumble"/>
      <sheetName val="FDY-COST"/>
      <sheetName val="power "/>
      <sheetName val="Split-chart"/>
      <sheetName val="MASTER-KEY"/>
      <sheetName val="Hero majestic 46 "/>
      <sheetName val="m-74"/>
      <sheetName val="rm pin saving (2)"/>
      <sheetName val="Piston 77Ø"/>
      <sheetName val="Dov 77"/>
      <sheetName val="Piston 78Ø"/>
      <sheetName val="dov 78 Ø"/>
      <sheetName val="Summary Published"/>
      <sheetName val="Detail Published"/>
      <sheetName val="Borrowing"/>
      <sheetName val="HO Analysis"/>
      <sheetName val="PAT Analysis"/>
      <sheetName val="Bng Analysis"/>
      <sheetName val="Bhd Analysis"/>
      <sheetName val="Detail Published Actual"/>
      <sheetName val="SummaryActual"/>
      <sheetName val="MAIN"/>
      <sheetName val="Admin"/>
      <sheetName val="Final Projections"/>
      <sheetName val="Net Sales"/>
      <sheetName val="Transactions"/>
      <sheetName val="Units"/>
      <sheetName val="Hours"/>
      <sheetName val="Net Sales Per Hour"/>
      <sheetName val="AVG Price per Unit"/>
      <sheetName val="AVG Transaction AMT"/>
      <sheetName val="Store Number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2009"/>
      <sheetName val="Source"/>
      <sheetName val="AllYrsNOInco"/>
      <sheetName val="FY02NoInco"/>
      <sheetName val="All Yrs"/>
      <sheetName val="FY02"/>
      <sheetName val="FY03"/>
      <sheetName val="FY04"/>
      <sheetName val="FY05"/>
      <sheetName val="FY06"/>
      <sheetName val="FY07"/>
      <sheetName val="FY08"/>
      <sheetName val="FY09"/>
      <sheetName val="FY10"/>
      <sheetName val="FY11"/>
      <sheetName val="Revenue"/>
      <sheetName val="RevConst$"/>
      <sheetName val="COGSbyReg 02"/>
      <sheetName val="GP"/>
      <sheetName val="GP%"/>
      <sheetName val="SeedPurch$"/>
      <sheetName val="Inv$"/>
      <sheetName val="InvKg"/>
      <sheetName val="Inv$kg01"/>
      <sheetName val="Inv$02-03"/>
      <sheetName val="InvRoll"/>
      <sheetName val="InvRollByMonth02_03"/>
      <sheetName val="CR"/>
      <sheetName val="DEBT "/>
      <sheetName val="AR"/>
      <sheetName val="capx"/>
      <sheetName val="FY02-11 Est v10 UBS"/>
      <sheetName val="xchg"/>
      <sheetName val="Local"/>
      <sheetName val="Hoja3"/>
      <sheetName val="Spis treści"/>
      <sheetName val="strony podziału"/>
      <sheetName val="3_1"/>
      <sheetName val="3_2"/>
      <sheetName val="3_3 "/>
      <sheetName val="3_4 "/>
      <sheetName val="3_5"/>
      <sheetName val="3_6"/>
      <sheetName val="3_7"/>
      <sheetName val="Główne Podsumowanie"/>
      <sheetName val="NMDC Porf"/>
      <sheetName val="report"/>
      <sheetName val="XXXXXXXX"/>
      <sheetName val="bsvertical"/>
      <sheetName val="sch1"/>
      <sheetName val="sch2"/>
      <sheetName val="sch3"/>
      <sheetName val="sch4"/>
      <sheetName val="sch5"/>
      <sheetName val="sch6-btd"/>
      <sheetName val="sch8,9,10,11"/>
      <sheetName val="sch12,13,14"/>
      <sheetName val="B Sheet"/>
      <sheetName val="PreOp"/>
      <sheetName val="DET0900"/>
      <sheetName val="Loan"/>
      <sheetName val="414000 UPDATED INSURANCE"/>
      <sheetName val="fixed"/>
      <sheetName val="16862"/>
      <sheetName val="DIRECTORS DETAILS"/>
      <sheetName val="UPDATED ON 23 07 01"/>
      <sheetName val="Detail Sheet"/>
      <sheetName val="laroux"/>
      <sheetName val="BAL S"/>
      <sheetName val="BAL SHEET 12 april 02"/>
      <sheetName val="TALLY "/>
      <sheetName val="429400"/>
      <sheetName val="SHEET"/>
      <sheetName val="429400 june"/>
      <sheetName val="A"/>
      <sheetName val="B"/>
      <sheetName val="C"/>
      <sheetName val="PROF"/>
      <sheetName val="D"/>
      <sheetName val="JUNE   "/>
      <sheetName val="E"/>
      <sheetName val="425230 june"/>
      <sheetName val="F"/>
      <sheetName val="G"/>
      <sheetName val="Bal Sheet Aug 01 (15.9.01)  (2)"/>
      <sheetName val="GIST"/>
      <sheetName val="A.1"/>
      <sheetName val="A.2"/>
      <sheetName val="D 1"/>
      <sheetName val="D 3"/>
      <sheetName val="D 4"/>
      <sheetName val="D 5"/>
      <sheetName val="D 6"/>
      <sheetName val="Balance Sheet upto Sept., 2001"/>
      <sheetName val="D 7"/>
      <sheetName val="D 7.1"/>
      <sheetName val="D 2"/>
      <sheetName val="D 8"/>
      <sheetName val="425230 apr may 01"/>
      <sheetName val="D 9"/>
      <sheetName val="D 10"/>
      <sheetName val="D 10.1"/>
      <sheetName val="D 10.2"/>
      <sheetName val="D 10.3"/>
      <sheetName val="D 11"/>
      <sheetName val="D 12"/>
      <sheetName val="D 13"/>
      <sheetName val="E.3.1"/>
      <sheetName val="E.3.2"/>
      <sheetName val="E.3.3"/>
      <sheetName val="E.4"/>
      <sheetName val="E.5"/>
      <sheetName val="E.6"/>
      <sheetName val="E.7"/>
      <sheetName val="E.8"/>
      <sheetName val="F.1"/>
      <sheetName val="F.2"/>
      <sheetName val="H"/>
      <sheetName val="425229 apr may 01"/>
      <sheetName val="415030(APR01)"/>
      <sheetName val="410010"/>
      <sheetName val="COVERPAGE"/>
      <sheetName val="review"/>
      <sheetName val="HIGHLIGHTS"/>
      <sheetName val="mis - reports"/>
      <sheetName val="p&amp;l  "/>
      <sheetName val="PBIDT-GROUP"/>
      <sheetName val="CONTRACT"/>
      <sheetName val="Trend"/>
      <sheetName val="EMP-LOAN"/>
      <sheetName val="INCENTIVE-1"/>
      <sheetName val="INITIATIVE-SUMM"/>
      <sheetName val="CANTEEN-SUM"/>
      <sheetName val="HIRD_VEH"/>
      <sheetName val="PROFF"/>
      <sheetName val="HRD&amp;GS"/>
      <sheetName val="REBATE"/>
      <sheetName val="W.CAP"/>
      <sheetName val="STK OP.SUPPLIES"/>
      <sheetName val="STK.SPARES"/>
      <sheetName val="STK.SIP"/>
      <sheetName val="DISC.ROLL"/>
      <sheetName val="DR.BAL-HSM"/>
      <sheetName val="DR.BAL-SIP"/>
      <sheetName val="LEFT-EMP "/>
      <sheetName val="FREE ISSUE"/>
      <sheetName val="DRS"/>
      <sheetName val="DRS COM"/>
      <sheetName val="SCHE-12-SIP"/>
      <sheetName val="SCH_12-HSM"/>
      <sheetName val="SCH13HSM"/>
      <sheetName val="SCH13SIP"/>
      <sheetName val="FUND REP"/>
      <sheetName val="IIL-IMIL"/>
      <sheetName val="Emp loan"/>
      <sheetName val="RECOVERY LIST"/>
      <sheetName val="INITIATIVES"/>
      <sheetName val="ElectInst"/>
      <sheetName val="Plan&amp;Mach"/>
      <sheetName val="Railway"/>
      <sheetName val="Buildings"/>
      <sheetName val="Dep-Tally"/>
      <sheetName val="Final-Asset-Depre-SKG"/>
      <sheetName val="AssetMaster-Final"/>
      <sheetName val="Sch-3-fixedAssets"/>
      <sheetName val="Final-Allocation-SKG"/>
      <sheetName val="fluct-2yrs"/>
      <sheetName val="Frgn-Exch-Diff"/>
      <sheetName val="CWIP-Tally"/>
      <sheetName val="cwip-proj"/>
      <sheetName val="CWIP-remain"/>
      <sheetName val="CWIP-detl-AUC"/>
      <sheetName val="details for cwip remain"/>
      <sheetName val="Final data for DEP."/>
      <sheetName val="Main data for Dep"/>
      <sheetName val="Final Allocation Summary"/>
      <sheetName val="SINTER+CHFES+COAL INJ."/>
      <sheetName val="Tally with SAP"/>
      <sheetName val="ORIGINAL Sint+CHFES+Coal Inj"/>
      <sheetName val="Control Chart"/>
      <sheetName val="U_Instructions CFIAT"/>
      <sheetName val="U-1_SGA BLock Reconciliation"/>
      <sheetName val="U-2_SGA Inventory Tally"/>
      <sheetName val="U-3_Depreciation Reasonability"/>
      <sheetName val="U-4_Investments &amp; FD"/>
      <sheetName val="U-5_Raw Materials Tally"/>
      <sheetName val="U-6_Yield Analysis-RMPM"/>
      <sheetName val="U-7_Finished Goods Tally"/>
      <sheetName val="U-8_Schedule VI-FG Tally &amp; RM"/>
      <sheetName val="U-9_NRV Testing-FG"/>
      <sheetName val="U-10_Container Reconciliation"/>
      <sheetName val="U-11_Finished Goods Excise Duty"/>
      <sheetName val="U-12_Accrued Expenses Turnover"/>
      <sheetName val="U-13_Excise Duty Reasonability"/>
      <sheetName val="U-14_Sales Tax Reconciliation"/>
      <sheetName val="Sales Tax Reco-Working"/>
      <sheetName val="U-15_Sales Tax Incentive"/>
      <sheetName val="U-16_OAR-Balance Sheet"/>
      <sheetName val="U-17_GP Reconciliation"/>
      <sheetName val="U-18_Qty &amp; Rate Variance_GP, NP"/>
      <sheetName val="U-19_NP Reconciliation"/>
      <sheetName val="U-20_Payroll Expense"/>
      <sheetName val="U-21_Power &amp; Fuel Expense"/>
      <sheetName val="U-22_OAR-P&amp;L Account"/>
      <sheetName val="U-23_Contingent Liabilities"/>
      <sheetName val="U-24_Ratios Chart"/>
      <sheetName val="U-25_Balance Sheet_2004"/>
      <sheetName val="U-26_P&amp;L Account_2004"/>
      <sheetName val="U-27_Schedules_2004"/>
      <sheetName val="U-28_Ross TB_2004"/>
      <sheetName val="U-29_FA Schedule_2004"/>
      <sheetName val="U-30_Additional Info_2004"/>
      <sheetName val="U-31_Miscellaneous Info_2004"/>
      <sheetName val="U-32_Inter Unit Sales-FG_2004"/>
      <sheetName val="U-33_Balance Sheet_2003"/>
      <sheetName val="U-34_P&amp;L Account_2003"/>
      <sheetName val="U-35_Schedules_2003"/>
      <sheetName val="U-36_Ross TB_2003"/>
      <sheetName val="U-37_FA Schedule_2003"/>
      <sheetName val="U-38_Additional Info_2003"/>
      <sheetName val="U-39_Miscellaneous Info_2003"/>
      <sheetName val="INDORAMA Group June 02"/>
      <sheetName val="LKPDATA"/>
      <sheetName val="Hines France - Accrual"/>
      <sheetName val="Hines France - Cash"/>
      <sheetName val="Parameters"/>
      <sheetName val="Profit Center -- Cash"/>
      <sheetName val="Danton C2 - Deal Summary"/>
      <sheetName val="HEVAF Neuilly JATTE- BS "/>
      <sheetName val="Ls_Alert"/>
      <sheetName val="Cover Sheet"/>
      <sheetName val="Ls_XLB_WorkbookFile"/>
      <sheetName val="Profit Center -- Accrual"/>
      <sheetName val="PC -- Accural (by Project)"/>
      <sheetName val="Accrual to Cash Reconciliation"/>
      <sheetName val="Predevelopment and Land Carry"/>
      <sheetName val="BSPJ"/>
      <sheetName val="PC -- Cash (by Project)"/>
      <sheetName val="Proj Balance Sheet(HF)"/>
      <sheetName val="Trial Balance(HF)"/>
      <sheetName val="PC -- Accrual (by Project)"/>
      <sheetName val="Hines France Variances"/>
      <sheetName val="Accrual to Cash Variances"/>
      <sheetName val="Hines France Break - Cash "/>
      <sheetName val="Hines France - Balance Sheet"/>
      <sheetName val="Hines France - Trial Balance"/>
      <sheetName val="Hines France - BS Notes"/>
      <sheetName val="HLD - Balance Sheet"/>
      <sheetName val="HLD - Balance Sheet Notes"/>
      <sheetName val="2005 Liquidity Forecast"/>
      <sheetName val="2006 Liquidity Forecast"/>
      <sheetName val="Business Commentary"/>
      <sheetName val="PB6 - Project Cash Flow"/>
      <sheetName val="PB6 - Project Notes"/>
      <sheetName val="PB6 - Balance Sheet "/>
      <sheetName val="PB6 - Balance Sheet Notes"/>
      <sheetName val="CB16 - Project Cash Flow"/>
      <sheetName val="CB16 - Project Notes"/>
      <sheetName val="CB16 - Balance Sheet"/>
      <sheetName val="CB16 - Balance Sheet Notes"/>
      <sheetName val="Suresnes - Project Cash Flow"/>
      <sheetName val="Suresnes - Project Notes"/>
      <sheetName val="Le Gauguin Balance Sheet "/>
      <sheetName val="Le Gauguin Balance Sheet Notes"/>
      <sheetName val="Danton C2 - Project Cash Flow"/>
      <sheetName val="Danton C2 - Project Notes"/>
      <sheetName val="Hines Danton LLC - BS"/>
      <sheetName val="Hines Danton LLC - BS Notes"/>
      <sheetName val="Danton Devt - Balance Sheet"/>
      <sheetName val="Danton Devt - BS Notes"/>
      <sheetName val="Danton C2 - Balance Sheet"/>
      <sheetName val="Hines Danton C2-Balance Sheet "/>
      <sheetName val="Hines Danton C2 - BS Notes"/>
      <sheetName val="Hines Danton B - Balance Sheet"/>
      <sheetName val="Hines Danton B - BS Notes"/>
      <sheetName val="Danton C1 - Project Cash Flow"/>
      <sheetName val="Danton C1 - Deal Summary"/>
      <sheetName val="Renault - Project Cash Flow"/>
      <sheetName val="Renault - Project Notes"/>
      <sheetName val="Block A1 - Project Cash Flow"/>
      <sheetName val="Block D2 - Project Cash Flow"/>
      <sheetName val="Block B3 - Project Cash Flow"/>
      <sheetName val="Block C1 - Project Cash Flow"/>
      <sheetName val="HEDF Office D2 - Balance Sheet"/>
      <sheetName val="HEDF Office A1 - Balance Sheet"/>
      <sheetName val="HEDF Resid.I - Balance Sheet"/>
      <sheetName val="HEDF Resid. II - Balance Sheet "/>
      <sheetName val="HEDF Soc.Housing -Balance Sheet"/>
      <sheetName val="HEDF Office B3 - Balance Sheet"/>
      <sheetName val="HEDF Global - Balance Sheet"/>
      <sheetName val="HEDF SPVs - BS Notes"/>
      <sheetName val="Hines Boulogne - Balance Sheet "/>
      <sheetName val="Hines DMA - Balance Sheet"/>
      <sheetName val="Hines DMA &amp; Boulogne - BS Notes"/>
      <sheetName val="Renault - Deal Summary"/>
      <sheetName val="Block EE - Project Cash Flow"/>
      <sheetName val="Block EE - Project Notes"/>
      <sheetName val="Hines Prelude - Balance Sheet"/>
      <sheetName val="Hines Prelude - BS Notes"/>
      <sheetName val="Block EE - Deal Summary "/>
      <sheetName val="Meudon - Project Cash Flow"/>
      <sheetName val="Meudon - Project Notes"/>
      <sheetName val="Hines Meudon - Balance sheet"/>
      <sheetName val="Hines Meudon - BS Notes"/>
      <sheetName val="Deal Summary - Meudon"/>
      <sheetName val="Neuilly - Project Cash Flow"/>
      <sheetName val="HEVAF Neuilly Sablons - BS"/>
      <sheetName val="HEVAF Neuilly Sablons-BS Notes"/>
      <sheetName val="HEVAF Sablons - Balance sheet"/>
      <sheetName val="HEVAF Sablons - BS Notes"/>
      <sheetName val="Deal Summary - Neuilly"/>
      <sheetName val="Project to Profit Ctr Rec"/>
      <sheetName val="PB6 - Guarantees"/>
      <sheetName val="CB16 - Guarantees"/>
      <sheetName val="Suresnes - Guarantees"/>
      <sheetName val="Danton - Guarantees"/>
      <sheetName val="Renault - Guarantees"/>
      <sheetName val="Renault Block EE - Guarantees"/>
      <sheetName val="Meudon - Guarantees"/>
      <sheetName val="Debt Maturities"/>
      <sheetName val="Tier Entities"/>
      <sheetName val="HEVAF Neuilly Sablon - BS Notes"/>
      <sheetName val="Tax worksheet"/>
      <sheetName val="Preference"/>
      <sheetName val="SUMMARY Euro"/>
      <sheetName val="Summary table (S1)"/>
      <sheetName val="Summary table (S2)"/>
      <sheetName val="CF LAND euro"/>
      <sheetName val="CF VEFA C2 euro"/>
      <sheetName val="CF SHARES C2 euro"/>
      <sheetName val="CF VEFA B euro"/>
      <sheetName val="Budget Terrain"/>
      <sheetName val="CF Terrain"/>
      <sheetName val="BILAN VEFA C2"/>
      <sheetName val="TRESO VEFA C2"/>
      <sheetName val="BILAN VEFA B"/>
      <sheetName val="TRESO VEFA B"/>
      <sheetName val="INFOS VEFA B"/>
      <sheetName val="BILAN SHARES C2"/>
      <sheetName val="TRESO SHARES C2"/>
      <sheetName val="Receivables Detail"/>
      <sheetName val="Deal Prices"/>
      <sheetName val="Cash &amp; Loan"/>
      <sheetName val=" INFO VEFA C2"/>
      <sheetName val="Hyp"/>
      <sheetName val="Graph Data"/>
      <sheetName val="Graph1"/>
      <sheetName val="Hines Cash S1"/>
      <sheetName val="Hines Cash S2"/>
      <sheetName val="Guarantees S1"/>
      <sheetName val="Guarantees S2"/>
      <sheetName val="Guarantee S2 BIS"/>
      <sheetName val="Risk-Reward Analysis"/>
      <sheetName val="Rents"/>
      <sheetName val="Average Occupancy"/>
      <sheetName val="Parking"/>
      <sheetName val="Misc. Income"/>
      <sheetName val="Tenancy Schedule"/>
      <sheetName val="Rent Roll"/>
      <sheetName val="Stacking Plan"/>
      <sheetName val="Chart"/>
      <sheetName val="Recoveries"/>
      <sheetName val="Resumen - do not print"/>
      <sheetName val="Initial Fund"/>
      <sheetName val="Recoverable Expenses 2007-2008"/>
      <sheetName val="61-Por"/>
      <sheetName val="61"/>
      <sheetName val="62-Por"/>
      <sheetName val="62 "/>
      <sheetName val="63-Por"/>
      <sheetName val="63"/>
      <sheetName val="64-Por"/>
      <sheetName val="64"/>
      <sheetName val="65-Por"/>
      <sheetName val="65"/>
      <sheetName val="66-Por"/>
      <sheetName val="66"/>
      <sheetName val="72-Por"/>
      <sheetName val="72"/>
      <sheetName val="Cap-Por"/>
      <sheetName val="Capital Expenditures"/>
      <sheetName val="Instructions"/>
      <sheetName val="Input"/>
      <sheetName val="Argus 2009 Annual"/>
      <sheetName val="2009 value"/>
      <sheetName val="Debt - Consolidated"/>
      <sheetName val="Debt"/>
      <sheetName val="Debt2"/>
      <sheetName val="Cash Flow Input"/>
      <sheetName val="Step-out analysis"/>
      <sheetName val="Going Forward Leveraged IRR"/>
      <sheetName val="IRR Since Inception - Qtr"/>
      <sheetName val="HoldSell-Leveraged-Unleveraged"/>
      <sheetName val="Promote - 08 - old"/>
      <sheetName val="Promote - 08"/>
      <sheetName val="Promote -9"/>
      <sheetName val="Promote -10"/>
      <sheetName val="Promote -11"/>
      <sheetName val="Promote -12"/>
      <sheetName val="Promote -13 old"/>
      <sheetName val="Promote -13"/>
      <sheetName val="2008 Mo Cap Ex"/>
      <sheetName val="2009 Business Plan"/>
      <sheetName val="2009 BPlan Monthly"/>
      <sheetName val="5 yr plan"/>
      <sheetName val="Cash Flow 11.13"/>
      <sheetName val="TIRefor"/>
      <sheetName val="TI -19 _20_ACR"/>
      <sheetName val="TI-1505_ACR"/>
      <sheetName val="Zelman"/>
      <sheetName val="C&amp;W"/>
      <sheetName val="61.50 5 yr"/>
      <sheetName val="56.50 5 yr"/>
      <sheetName val="retail commis"/>
      <sheetName val="Zaros"/>
      <sheetName val="08 reforecast"/>
      <sheetName val="Sap Trl as at 300606 (2)"/>
      <sheetName val="C2 - CAJEs"/>
      <sheetName val=" WIP AS ON March '12"/>
      <sheetName val="Cost for Allocation of DO"/>
      <sheetName val="TB &amp; Detail of Provision"/>
      <sheetName val="Lead Sheet"/>
      <sheetName val="Control Sheet"/>
      <sheetName val="Gross Summary"/>
      <sheetName val="Rotation"/>
      <sheetName val="adeli"/>
      <sheetName val="DHRL_OLD"/>
      <sheetName val="DHRL"/>
      <sheetName val="DHHL"/>
      <sheetName val="anabel"/>
      <sheetName val="Group Com"/>
      <sheetName val="Other Com"/>
      <sheetName val="Paean"/>
      <sheetName val="Domus RE"/>
      <sheetName val="Good"/>
      <sheetName val="HAMILTON"/>
      <sheetName val="Seemless"/>
      <sheetName val="Top-sheet "/>
      <sheetName val="con-99"/>
      <sheetName val="P&amp;L-6"/>
      <sheetName val="Sheet9"/>
      <sheetName val="Sheet10"/>
      <sheetName val="pldt"/>
      <sheetName val="consolidations AFTER FINAL TRIA"/>
      <sheetName val="CON2001"/>
      <sheetName val="BS ( Revised)"/>
      <sheetName val="PL ( revised)"/>
      <sheetName val="Note 2"/>
      <sheetName val="Note 3"/>
      <sheetName val="Note 4"/>
      <sheetName val="Note 8-11"/>
      <sheetName val="Note 5"/>
      <sheetName val="Note 12-13"/>
      <sheetName val="Note 14"/>
      <sheetName val="Note 17"/>
      <sheetName val="Note 18"/>
      <sheetName val="Note 19"/>
      <sheetName val="Note 20"/>
      <sheetName val="Note 21-22"/>
      <sheetName val="Note 15-16"/>
      <sheetName val="Note 23-24"/>
      <sheetName val="Note 25-26"/>
      <sheetName val="NOTE 27-29"/>
      <sheetName val="P&amp;L_29"/>
      <sheetName val="P&amp;L_17"/>
      <sheetName val="P&amp;L_30"/>
      <sheetName val="BS_29"/>
      <sheetName val="BS_17"/>
      <sheetName val="Sch_MiscIncome_MiscExpenses"/>
      <sheetName val="BS_30"/>
      <sheetName val="Tax_computation"/>
      <sheetName val="Y.G.Realty CCD II"/>
      <sheetName val="Akriti"/>
      <sheetName val="Laverene"/>
      <sheetName val="Flora"/>
      <sheetName val="Mufallah"/>
      <sheetName val="Sangam"/>
      <sheetName val="City Gold Investment"/>
      <sheetName val="Isabel"/>
      <sheetName val="Marala"/>
      <sheetName val="marala_OLD"/>
      <sheetName val="muafa"/>
      <sheetName val="DLF Infra Hol"/>
      <sheetName val="delanco home &amp; resort"/>
      <sheetName val="DLF Southern"/>
      <sheetName val="bhamini"/>
      <sheetName val="BABETTE"/>
      <sheetName val="aINSTEY"/>
      <sheetName val="Cayenne"/>
      <sheetName val="Calista"/>
      <sheetName val="Cachet"/>
      <sheetName val="Dabria"/>
      <sheetName val="Delta"/>
      <sheetName val="Candace"/>
      <sheetName val="Calvine"/>
      <sheetName val="Galvin"/>
      <sheetName val="Melosa"/>
      <sheetName val="Mariposa"/>
      <sheetName val="Lenore"/>
      <sheetName val="Nerina"/>
      <sheetName val="First"/>
      <sheetName val="Shinanee"/>
      <sheetName val="Royalton"/>
      <sheetName val="Rochelle"/>
      <sheetName val="Vilina"/>
      <sheetName val="Vinanti"/>
      <sheetName val="padvamasa"/>
      <sheetName val="Naja"/>
      <sheetName val="Tusti"/>
      <sheetName val="Rosalind"/>
      <sheetName val="Ernesta"/>
      <sheetName val="Adeline"/>
      <sheetName val="Belden"/>
      <sheetName val="Domus"/>
      <sheetName val="Akiva"/>
      <sheetName val="Best"/>
      <sheetName val="Betha"/>
      <sheetName val="Beyonce"/>
      <sheetName val="Cadence"/>
      <sheetName val="Devdutta"/>
      <sheetName val="Devak"/>
      <sheetName val="Karida"/>
      <sheetName val="Lgnacio"/>
      <sheetName val="Subodhini"/>
      <sheetName val="Tamonash"/>
      <sheetName val="Tamish"/>
      <sheetName val="Vamil"/>
      <sheetName val="Zareb"/>
      <sheetName val="Eskana"/>
      <sheetName val="Elvira"/>
      <sheetName val="Delanco Real Estate"/>
      <sheetName val="Samali"/>
      <sheetName val="DLF Infra"/>
      <sheetName val="AKRUTI"/>
      <sheetName val="Bes Buildcon"/>
      <sheetName val="Catriona"/>
      <sheetName val="DLF Homes"/>
      <sheetName val="Durgapur"/>
      <sheetName val="Del Realtors"/>
      <sheetName val="Delta Buildcon"/>
      <sheetName val="Var Infratech"/>
      <sheetName val="DLF Homes Pune"/>
      <sheetName val="Rajapura"/>
      <sheetName val="DLF Southern Town-CCD"/>
      <sheetName val="Homes Rajapura -interest accrue"/>
      <sheetName val="Rajapur_CCD"/>
      <sheetName val="Rajapura ICD"/>
      <sheetName val="southern town"/>
      <sheetName val=" southern townCCD"/>
      <sheetName val="DLF Garden"/>
      <sheetName val="Indiabulls"/>
      <sheetName val="Kanan"/>
      <sheetName val="Mariana"/>
      <sheetName val="Saravati"/>
      <sheetName val="Nellis"/>
      <sheetName val="DLF Homes Panch"/>
      <sheetName val="DLF Homes Panch_CCD"/>
      <sheetName val="DLF Garden_CCD"/>
      <sheetName val="DLF Homes Ambala"/>
      <sheetName val="DLF Sez"/>
      <sheetName val="DLF Homes Services"/>
      <sheetName val="Mens"/>
      <sheetName val="Mhaya"/>
      <sheetName val="Nambi"/>
      <sheetName val="Rati"/>
      <sheetName val="Premium home"/>
      <sheetName val="Arash"/>
      <sheetName val="Janya"/>
      <sheetName val="G.K.Resi"/>
      <sheetName val="Chaitra"/>
      <sheetName val="Pune"/>
      <sheetName val="Zoria Infratech "/>
      <sheetName val="DLF Commercial Complexes"/>
      <sheetName val="Alvita"/>
      <sheetName val="Star alubuild"/>
      <sheetName val="DLF SEZ Holdings Ltd"/>
      <sheetName val="Urvashi Infratech Pvt Ltd"/>
      <sheetName val="DHRL_OLD Working"/>
      <sheetName val="Marala_OLD Working"/>
      <sheetName val="muafa (2)"/>
      <sheetName val="muafa (3)"/>
      <sheetName val="tb dec"/>
      <sheetName val="system Tb"/>
      <sheetName val="TRL"/>
      <sheetName val="CFS"/>
      <sheetName val="RP"/>
      <sheetName val="taxpaid"/>
      <sheetName val="int loan"/>
      <sheetName val="int fdd"/>
      <sheetName val="PART-IV"/>
      <sheetName val="0000"/>
      <sheetName val="xxxx"/>
      <sheetName val="P&amp;L  sep 09"/>
      <sheetName val="BS schedules"/>
      <sheetName val="Sch 4 Fixed Assets"/>
      <sheetName val="PL schedules"/>
      <sheetName val="Grouping"/>
      <sheetName val="Trial"/>
      <sheetName val="Depriciation"/>
      <sheetName val="CCD Interest"/>
      <sheetName val="ICD Interest"/>
      <sheetName val="Lead Inventory"/>
      <sheetName val="Prov Apr-Jun"/>
      <sheetName val="TB 06-07"/>
      <sheetName val="TB05-06"/>
      <sheetName val="Star Tower-Silokhera"/>
      <sheetName val="Galleria-mayur vihar"/>
      <sheetName val="5(a)"/>
      <sheetName val="PARTY DETAILS"/>
      <sheetName val="corporate green"/>
      <sheetName val="Interest 30.11.06"/>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Sale data"/>
      <sheetName val="Construction data"/>
      <sheetName val="Con schedule"/>
      <sheetName val="Sales value"/>
      <sheetName val="Master"/>
      <sheetName val="Phasedates"/>
      <sheetName val="Existing buildings"/>
      <sheetName val="Other incomes"/>
      <sheetName val="Other incomes12onwards"/>
      <sheetName val="GL-ACCOUNT CODE MAPPING - 8FEB"/>
      <sheetName val="RAMCO COA 8-FEB-2008"/>
      <sheetName val="GL-SL-ACC CODE MAPPING 8FEB"/>
      <sheetName val="07-08"/>
      <sheetName val="Q1 08-09"/>
      <sheetName val="blank ..."/>
      <sheetName val="worksheet for reference"/>
      <sheetName val="Review Form A"/>
      <sheetName val="Labour"/>
      <sheetName val="Labour Chart"/>
      <sheetName val="Subcon - JAN 05"/>
      <sheetName val="Subcon"/>
      <sheetName val="Plant"/>
      <sheetName val="Notes - Plant"/>
      <sheetName val="Payment Summary"/>
      <sheetName val="RVs"/>
      <sheetName val="Notes - Accruals"/>
      <sheetName val="Notes - Formwork"/>
      <sheetName val="Notes - Concrete"/>
      <sheetName val="Notes - Reinforcement"/>
      <sheetName val="Notes - Building Fabric"/>
      <sheetName val="Notes - Sundries"/>
      <sheetName val="Notes"/>
      <sheetName val="P &amp; L"/>
      <sheetName val="SCH 1-5"/>
      <sheetName val="SCH  6-7"/>
      <sheetName val="Details"/>
      <sheetName val="Trial 31.03.10"/>
      <sheetName val="Interest"/>
      <sheetName val="Lease rent details "/>
      <sheetName val="Related Party New Format"/>
      <sheetName val="Bank Reco"/>
      <sheetName val="Investment"/>
      <sheetName val="I.TAX"/>
      <sheetName val="invest"/>
      <sheetName val="PARTIV"/>
      <sheetName val="PROJECT-EXP"/>
      <sheetName val="Intt &amp; TDS"/>
      <sheetName val="PIE-DETAILS"/>
      <sheetName val="CONTINGENT LIAB"/>
      <sheetName val="Notes to Accounts"/>
      <sheetName val="ANNEXURE TO NOTES TO ACCOUNTS"/>
      <sheetName val="CASH FLOW 2006"/>
      <sheetName val="delanco"/>
      <sheetName val="carmen"/>
      <sheetName val="Cachet "/>
      <sheetName val="DLF  Hotels and resorts"/>
      <sheetName val="Dabaria"/>
      <sheetName val="Deltaland real "/>
      <sheetName val="Marala "/>
      <sheetName val="Lenore "/>
      <sheetName val="First City"/>
      <sheetName val="Paen  Estate"/>
      <sheetName val="Delanco Home"/>
      <sheetName val="Vilina Estate Developers"/>
      <sheetName val="Tusti "/>
      <sheetName val="SKN "/>
      <sheetName val="Loans under the same management"/>
      <sheetName val="Loans to Subsidairy Companies "/>
      <sheetName val="Sch"/>
      <sheetName val="Sale"/>
      <sheetName val="Comp"/>
      <sheetName val="PACS"/>
      <sheetName val="Fur_Fixt"/>
      <sheetName val="Off_Eqp"/>
      <sheetName val="Vehicles"/>
      <sheetName val="Lease B9_dep"/>
      <sheetName val="&lt;5000"/>
      <sheetName val="TB-PL"/>
      <sheetName val="PL Gropuings"/>
      <sheetName val="P&amp;L &amp; Sch. 9-13"/>
      <sheetName val="TB-BS"/>
      <sheetName val="BS Groupings"/>
      <sheetName val="BS Schedule 1-4"/>
      <sheetName val="BS Sch. 5"/>
      <sheetName val="BS Schedule 6-8"/>
      <sheetName val="Gen. Business Profile"/>
      <sheetName val="AG00059"/>
      <sheetName val="AG00060"/>
      <sheetName val="AG00061"/>
      <sheetName val="AG00062"/>
      <sheetName val="AG00063"/>
      <sheetName val="AG00064"/>
      <sheetName val="AG00065"/>
      <sheetName val="Cover Letter"/>
      <sheetName val="General Information"/>
      <sheetName val="Index (CFC)"/>
      <sheetName val="Index (NC)"/>
      <sheetName val="Index (USEC)"/>
      <sheetName val="Ownership Changes"/>
      <sheetName val="Disclosure Data"/>
      <sheetName val="Boycott Questionaire"/>
      <sheetName val="Income Statemen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Service tax"/>
      <sheetName val="comparision with sec 90-ANEX1"/>
      <sheetName val="BOQ SBM"/>
      <sheetName val="SA"/>
      <sheetName val="Stru. Backup sheet"/>
      <sheetName val="BUA A-Y"/>
      <sheetName val="CONSU qty 26-05-2009"/>
      <sheetName val="Stru. Coeff  CONSU "/>
      <sheetName val="Tower A (Rev 11_06)"/>
      <sheetName val="DSR DELHI MAR,08"/>
      <sheetName val="SHORT ANALYSIS"/>
      <sheetName val="PRW-DEC,08 "/>
      <sheetName val="BASIS -DEC 08"/>
      <sheetName val="SHUTTERING"/>
      <sheetName val="Wastage"/>
      <sheetName val="FINISHING BOQ"/>
      <sheetName val="Tower _ A"/>
      <sheetName val="Tower _ B"/>
      <sheetName val="Tower _ C"/>
      <sheetName val="Tower _ D"/>
      <sheetName val="Tower _ E"/>
      <sheetName val="FinDSR JAN'09"/>
      <sheetName val="FinRate Analysis"/>
      <sheetName val="FinMaterial analysis"/>
      <sheetName val="FinPRW analysis"/>
      <sheetName val="plumbing &amp; fire"/>
      <sheetName val="Unit wise"/>
      <sheetName val="CHINAWARE &amp; CP"/>
      <sheetName val="FLUSHING"/>
      <sheetName val="Water Supply"/>
      <sheetName val="Pumping Equipment"/>
      <sheetName val="Soil Waste Rain"/>
      <sheetName val="Balcony Drain"/>
      <sheetName val="FIRE Basement "/>
      <sheetName val="Fire Tower"/>
      <sheetName val="Hot water Supply"/>
      <sheetName val="EXT Water Supply &amp; Yard Hydrant"/>
      <sheetName val="Deluge Sys"/>
      <sheetName val="Disposal of storm &amp; Sewer"/>
      <sheetName val="EXT Storm, Sewer, RWH"/>
      <sheetName val="execa. diff."/>
      <sheetName val="Fire Pump"/>
      <sheetName val="SERVICES"/>
      <sheetName val="BOQ SBM (2)"/>
      <sheetName val="CVF SHEET"/>
      <sheetName val="Test"/>
      <sheetName val="Electricity- Begur"/>
      <sheetName val="A302003R"/>
      <sheetName val="A302001revised"/>
      <sheetName val="POCM entries -Begur"/>
      <sheetName val="Customer- Begur Sep 2010"/>
      <sheetName val="POCM- Begur"/>
      <sheetName val="Summary-  Begur"/>
      <sheetName val="Bngl -Const"/>
      <sheetName val="Begur -others"/>
      <sheetName val="POCM-WorkingJune10"/>
      <sheetName val="POCM-Working- March 2010"/>
      <sheetName val="Sales return - Dec2010"/>
      <sheetName val="MSData-march "/>
      <sheetName val="A302001-worked"/>
      <sheetName val="A302001-OMR"/>
      <sheetName val="A302001-Begur"/>
      <sheetName val="A302001-Base"/>
      <sheetName val="A302003"/>
      <sheetName val="A302003-Begur"/>
      <sheetName val="A302312"/>
      <sheetName val="APT - POCM- DEC10"/>
      <sheetName val="SHOP POCM AFTER FORMAT 31.12.10"/>
      <sheetName val="Entry OMR"/>
      <sheetName val="OMR-SHOP Customer-Working"/>
      <sheetName val="APT POCM after ch in area_31.3."/>
      <sheetName val="POCM - OMR"/>
      <sheetName val="OMR-inv"/>
      <sheetName val="Chennai- details"/>
      <sheetName val="Begur -details"/>
      <sheetName val="Begur- Inv"/>
      <sheetName val="begur Customer-working"/>
      <sheetName val="WIP - Cons Div"/>
      <sheetName val="Entry"/>
      <sheetName val="BEGUR"/>
      <sheetName val="OMR- Sample Flat"/>
      <sheetName val="Customer"/>
      <sheetName val="0000000"/>
      <sheetName val="تدفقات و مدفوعات"/>
      <sheetName val="WORK COV"/>
      <sheetName val="اجور .ف1"/>
      <sheetName val="سلعيه"/>
      <sheetName val="خدمى"/>
      <sheetName val="مقاولين"/>
      <sheetName val="تحو"/>
      <sheetName val="تخصيصيه"/>
      <sheetName val="اهلاك"/>
      <sheetName val="معد .خ"/>
      <sheetName val="معد .ث"/>
      <sheetName val="B2826"/>
      <sheetName val="Form 1"/>
      <sheetName val="Form 2"/>
      <sheetName val="Form 3"/>
      <sheetName val="Form 4"/>
      <sheetName val="Form 5"/>
      <sheetName val="Form 7"/>
      <sheetName val="Form 6"/>
      <sheetName val="Form 8"/>
      <sheetName val="Form 9"/>
      <sheetName val="Form 10"/>
      <sheetName val="Form 11"/>
      <sheetName val="S1BOQ"/>
      <sheetName val="S2groupcode"/>
      <sheetName val="S3workplanqty"/>
      <sheetName val="S3workplanamt"/>
      <sheetName val="Shadow BOQ"/>
      <sheetName val="S4timecycle"/>
      <sheetName val="S5escalation"/>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Season Dircost"/>
      <sheetName val="Chart1"/>
      <sheetName val="Chart-2"/>
      <sheetName val="Chart3"/>
      <sheetName val="Expenses"/>
      <sheetName val="turnover"/>
      <sheetName val="Chart4"/>
      <sheetName val="Chart5"/>
      <sheetName val="??? .?"/>
      <sheetName val="Total Collection"/>
      <sheetName val="est"/>
      <sheetName val="02.06.07 (2)"/>
      <sheetName val="B2753"/>
      <sheetName val="Page-1"/>
      <sheetName val="page-2"/>
      <sheetName val="Page-3"/>
      <sheetName val="Page-4"/>
      <sheetName val="Page-5"/>
      <sheetName val="Page-6"/>
      <sheetName val="30-7"/>
      <sheetName val="DMRC3"/>
      <sheetName val="Proj Details"/>
      <sheetName val="."/>
      <sheetName val="Final Tender"/>
      <sheetName val="Sch A-Viaduct"/>
      <sheetName val="Sch A - Typ Station "/>
      <sheetName val="Q-Abstract"/>
      <sheetName val="FOB"/>
      <sheetName val=","/>
      <sheetName val=";"/>
      <sheetName val="Sch B"/>
      <sheetName val="Strip Plan"/>
      <sheetName val="Major Items"/>
      <sheetName val="Cost of equip,fabrication"/>
      <sheetName val="Late start"/>
      <sheetName val="early start"/>
      <sheetName val="Q-INP"/>
      <sheetName val="Q Baricade"/>
      <sheetName val="Q-Pil"/>
      <sheetName val="Q-PC"/>
      <sheetName val="Q-Pier"/>
      <sheetName val="Q-Seg"/>
      <sheetName val="Q-Para"/>
      <sheetName val="Q-CB"/>
      <sheetName val="Q-Be"/>
      <sheetName val="Q-HTS"/>
      <sheetName val="Q-CT"/>
      <sheetName val="Q-OS"/>
      <sheetName val="Q HR"/>
      <sheetName val="R-Mat"/>
      <sheetName val="R-Subcon"/>
      <sheetName val="R-Hire"/>
      <sheetName val="Equip Depl"/>
      <sheetName val="R-Con"/>
      <sheetName val="R-Stations"/>
      <sheetName val="R-Pil"/>
      <sheetName val="R-PC"/>
      <sheetName val="R-Pier"/>
      <sheetName val="R-Void Slab"/>
      <sheetName val="R-Seg"/>
      <sheetName val="R-Prest"/>
      <sheetName val="R-Laun"/>
      <sheetName val="R-OS"/>
      <sheetName val="R-SKB"/>
      <sheetName val="R-Bear"/>
      <sheetName val="R-CB"/>
      <sheetName val="R-Para"/>
      <sheetName val="R - portal"/>
      <sheetName val="R CLC"/>
      <sheetName val="R-CT"/>
      <sheetName val="P-Summary"/>
      <sheetName val="P-Ins &amp; Bonds"/>
      <sheetName val="P-Finance"/>
      <sheetName val="P-Salary"/>
      <sheetName val="P Staff fac"/>
      <sheetName val="P-Site fac"/>
      <sheetName val="P-Clients fac"/>
      <sheetName val="P-others"/>
      <sheetName val="P-Travel"/>
      <sheetName val="P-Admn"/>
      <sheetName val="P-Lab"/>
      <sheetName val="P Cash Flow"/>
      <sheetName val="BORING "/>
      <sheetName val="EXPANSION JOINT"/>
      <sheetName val="CIS MAIN BERTH-1"/>
      <sheetName val="BOQ 725-769"/>
      <sheetName val="EVM-INDEX"/>
      <sheetName val="Flow Chart"/>
      <sheetName val="EVM1-Proj1"/>
      <sheetName val="EVM2-Proj1"/>
      <sheetName val="EVM2-Proj2"/>
      <sheetName val="EVM2-Proj3"/>
      <sheetName val="EVM3"/>
      <sheetName val="EVM4"/>
      <sheetName val="Performance Graph"/>
      <sheetName val="Format"/>
      <sheetName val="cost Format"/>
      <sheetName val="CJPC   "/>
      <sheetName val="Abstract "/>
      <sheetName val="Piling MB"/>
      <sheetName val="Abs of Pile Rein"/>
      <sheetName val="Reinforcement "/>
      <sheetName val="Pre cast Beam M.B"/>
      <sheetName val="Abs of Beam"/>
      <sheetName val="Pre cast Beam BBS"/>
      <sheetName val="C.In Situ Muff M.B."/>
      <sheetName val="P.C.Muff M.B"/>
      <sheetName val="Abs.of Muff"/>
      <sheetName val="Pre &amp; cast  Muff  BBS"/>
      <sheetName val="Abs. Cross Beam "/>
      <sheetName val="BBS CROSS Beam"/>
      <sheetName val="Cross Beam M.B. "/>
      <sheetName val="Con.Pedstal M.B."/>
      <sheetName val="BBS C.B.P."/>
      <sheetName val="Total Abstract"/>
      <sheetName val="Reco_1"/>
      <sheetName val="Reco_2"/>
      <sheetName val="Walk-way M.B."/>
      <sheetName val="concrete"/>
      <sheetName val="Con Rate"/>
      <sheetName val="concrete detail"/>
      <sheetName val="CJPC"/>
      <sheetName val="Table of Contents"/>
      <sheetName val="Table of Contents (2)"/>
      <sheetName val="Abstract-Cert"/>
      <sheetName val="Index Sheet"/>
      <sheetName val="Meas-1"/>
      <sheetName val="Meas-2"/>
      <sheetName val="Meas-3"/>
      <sheetName val="Meas-4"/>
      <sheetName val="Meas-5"/>
      <sheetName val="Meas-6"/>
      <sheetName val="Extra Item"/>
      <sheetName val="1.04-1"/>
      <sheetName val="2.01(a)-1"/>
      <sheetName val="G-13 2.01-2"/>
      <sheetName val="G-13 2.01-3"/>
      <sheetName val="G-13 2.01-4"/>
      <sheetName val="R-2 2.01-5"/>
      <sheetName val="MRR-1 2.01-6"/>
      <sheetName val="G-13 2.01-7"/>
      <sheetName val="2.01-b-II-1"/>
      <sheetName val="2.01-b-II-2"/>
      <sheetName val="2.01-b-II-3"/>
      <sheetName val="2.07-1"/>
      <sheetName val="2.07-2"/>
      <sheetName val="2.07-3"/>
      <sheetName val="2.07-4"/>
      <sheetName val="2.07-5"/>
      <sheetName val="2.07-6"/>
      <sheetName val="3.01-1"/>
      <sheetName val="3.01-2"/>
      <sheetName val="3.01-3"/>
      <sheetName val="3.01-4"/>
      <sheetName val="3.01-5"/>
      <sheetName val="3.02-1"/>
      <sheetName val="3.02-2"/>
      <sheetName val="3.02-3"/>
      <sheetName val="3.02-4"/>
      <sheetName val="3.02-5"/>
      <sheetName val="3.02-6"/>
      <sheetName val="3.02-7"/>
      <sheetName val="3.02-8"/>
      <sheetName val="3.02-9"/>
      <sheetName val="3.02-10"/>
      <sheetName val="3.02-11"/>
      <sheetName val="3.02-13"/>
      <sheetName val="4.01-1"/>
      <sheetName val="4.02-1"/>
      <sheetName val="4.04-1"/>
      <sheetName val="4.04-2"/>
      <sheetName val="E03-1"/>
      <sheetName val="E03-2"/>
      <sheetName val="E12-1"/>
      <sheetName val="Rock Filling"/>
      <sheetName val="Cement Reconciliation"/>
      <sheetName val="Bitumen Reconciliation"/>
      <sheetName val="Steel"/>
      <sheetName val="Bitumen"/>
      <sheetName val="Bitumen-Consumption"/>
      <sheetName val="Prime Coat"/>
      <sheetName val="Tack Coat"/>
      <sheetName val="BM"/>
      <sheetName val="DBM"/>
      <sheetName val="Gate Pass"/>
      <sheetName val="Additions"/>
      <sheetName val="Check"/>
      <sheetName val="Permanent Materials"/>
      <sheetName val="Dom SCs"/>
      <sheetName val="Temporary Materials"/>
      <sheetName val="nv besix sa"/>
      <sheetName val="Prov Sums"/>
      <sheetName val="Revised Contract Sum"/>
      <sheetName val="Revised Contract Sum (2)"/>
      <sheetName val="Local Accruals"/>
      <sheetName val="JIL Accruals"/>
      <sheetName val="deep"/>
      <sheetName val="Shivaji-Marg"/>
      <sheetName val="Star Tower-Silokhera (2)"/>
      <sheetName val="Crosspoint(galleria2)-Gurgaon"/>
      <sheetName val="Corporate park block 1"/>
      <sheetName val="Corporate Park -4B"/>
      <sheetName val="Corporate Park-4A"/>
      <sheetName val="CITY COURT-Sikanderpur"/>
      <sheetName val="Inner Parts stock"/>
      <sheetName val="Okh"/>
      <sheetName val="CLIENT WISE AS PER BOOKS"/>
      <sheetName val="Download_TDS_Ledgers"/>
      <sheetName val="Working"/>
      <sheetName val="PIVOT 26AS "/>
      <sheetName val="PIVOT 26AS WORKING"/>
      <sheetName val="26AS"/>
      <sheetName val="MPHASIS"/>
      <sheetName val="31.03.08 (2)"/>
      <sheetName val="Provision Tab_2"/>
      <sheetName val="A105001"/>
      <sheetName val="A105602"/>
      <sheetName val="31.03.07"/>
      <sheetName val="31.03.08"/>
      <sheetName val="31.03.08 (4)"/>
      <sheetName val="31.03.08 (3)"/>
      <sheetName val="A904001"/>
      <sheetName val="A302404-31.3.8"/>
      <sheetName val="A302404-000-000"/>
      <sheetName val="A105101"/>
      <sheetName val="POCM 08-09-Q4 Actual"/>
      <sheetName val="Actual Spent"/>
      <sheetName val="POCM 08-09-Q4"/>
      <sheetName val="POCM 08-09-Q2"/>
      <sheetName val="TURN OVER"/>
      <sheetName val="POCM W Block"/>
      <sheetName val="POCM Chennai"/>
      <sheetName val="POCM Hyderabad"/>
      <sheetName val="status (3)"/>
      <sheetName val="Deduction Summary F"/>
      <sheetName val="Deduction Summary "/>
      <sheetName val="P.O.Annex Deduction"/>
      <sheetName val="Misc Cash Exp Deduction "/>
      <sheetName val="Salary Deduction "/>
      <sheetName val="W.O. Annex Deduction "/>
      <sheetName val="Plant Hire Deduction"/>
      <sheetName val="Welfare"/>
      <sheetName val="Index 1"/>
      <sheetName val="Trial May 2010"/>
      <sheetName val="Trial May 2010 1"/>
      <sheetName val="Recon for DLF"/>
      <sheetName val="Recon for DLF 1"/>
      <sheetName val="Summary 1"/>
      <sheetName val="DLF Top Sheet"/>
      <sheetName val="DLF Top Sheet 1"/>
      <sheetName val="Abstract_IT  DLF"/>
      <sheetName val="Abstract_IT  DLF 1"/>
      <sheetName val="Revised service Tax-7"/>
      <sheetName val="Revised service Tax-7 1"/>
      <sheetName val="Purchase Order Annexure 1"/>
      <sheetName val="Purchase Order Annexure 2 1"/>
      <sheetName val="StockStatusAsOnDate.rpt 1"/>
      <sheetName val="Vat Output-10  (2)"/>
      <sheetName val="Vat Output-10  (2) 1"/>
      <sheetName val="Work Order Annexure 2"/>
      <sheetName val=" Staff Cost-3"/>
      <sheetName val="Misc Cash Exp. Ann-4"/>
      <sheetName val="Welfare Fac ANN-5"/>
      <sheetName val="Free Issue Mat Annexure-6"/>
      <sheetName val="Markup sheet Annexure(8)"/>
      <sheetName val="Plant Hire-Annex-11"/>
      <sheetName val="Shuttering-Annex-12(WDV)"/>
      <sheetName val="star"/>
      <sheetName val="Cost Head"/>
      <sheetName val="RMC Annexure 9"/>
      <sheetName val="SBM BOQ "/>
      <sheetName val="SBM BOQ  (2)"/>
      <sheetName val="INDEX "/>
      <sheetName val="TOP SHEET"/>
      <sheetName val="MOEF Deviation"/>
      <sheetName val="Top-sheet 09.09.09"/>
      <sheetName val="Service tax (red)"/>
      <sheetName val="Reasons wrt SECTOR 90 STR."/>
      <sheetName val="structure boq "/>
      <sheetName val="DSR Chennai Dec 08"/>
      <sheetName val="WORKDONE TILL 06-07-2009"/>
      <sheetName val="PRW-DEC 08 "/>
      <sheetName val="Total Recd qty &amp; Value 31072009"/>
      <sheetName val="finishing"/>
      <sheetName val="Meas Tower A"/>
      <sheetName val="Meas Tower&quot;B&quot;"/>
      <sheetName val="Meas Tower &quot;C&quot;"/>
      <sheetName val="Misc."/>
      <sheetName val="Meas tower D"/>
      <sheetName val="finishing SUMMARY red"/>
      <sheetName val="plumbing &amp; fire (red)"/>
      <sheetName val="SERVICES "/>
      <sheetName val="SERVICES  (RED)"/>
      <sheetName val="builtup area"/>
      <sheetName val="OMR consultanCy"/>
      <sheetName val="Staff"/>
      <sheetName val="budget analysis_tender "/>
      <sheetName val="budget analysis"/>
      <sheetName val="Refs"/>
      <sheetName val="boq_b2b_tender"/>
      <sheetName val="boq_b2b"/>
      <sheetName val="indirect cost"/>
      <sheetName val="equipment"/>
      <sheetName val="labour camp"/>
      <sheetName val="structure_split"/>
      <sheetName val="Staff Forecast spread"/>
      <sheetName val="Labour Rates Used"/>
      <sheetName val="Subcontractors"/>
      <sheetName val="Sub Contract Liab Form"/>
      <sheetName val="Calc_ISC"/>
      <sheetName val="Interface_ISC"/>
      <sheetName val="Risk Analysis ISC"/>
      <sheetName val="Cash Flow Input Data_ISC"/>
      <sheetName val="Cash Flow Chart_ISC"/>
      <sheetName val="Calc_SC"/>
      <sheetName val="Interface_SC"/>
      <sheetName val="Risk Analysis SC"/>
      <sheetName val="Cash Flow Input Data_SC"/>
      <sheetName val="Cash Flow Chart_SC"/>
      <sheetName val="GD"/>
      <sheetName val="OS_PG"/>
      <sheetName val="Top-sheet vytilla"/>
      <sheetName val="STR-TYPE-1-2"/>
      <sheetName val="DATA SHEET"/>
      <sheetName val="M+L"/>
      <sheetName val="Structure BOQ VYTILLA 090709 r3"/>
      <sheetName val="PRW-JAN,09 "/>
      <sheetName val="BASIS -Jan, 09"/>
      <sheetName val="DSR 09 "/>
      <sheetName val="Structure BOQ VYTILLA (2)"/>
      <sheetName val="Structure BOQ VYTILLA"/>
      <sheetName val="SHUTTERING matt wthout taxes"/>
      <sheetName val="BOQ pro consul"/>
      <sheetName val="Material reconc"/>
      <sheetName val="Piling cumu bill"/>
      <sheetName val="PILING (rev) (2)"/>
      <sheetName val="PILING (rev)"/>
      <sheetName val="PILING"/>
      <sheetName val="Finishing Dec'08"/>
      <sheetName val="Block  &quot;A&quot;"/>
      <sheetName val="Block  &quot;B&quot;"/>
      <sheetName val="Block  &quot;C&quot;"/>
      <sheetName val="Block  &quot;D&quot;"/>
      <sheetName val="Block  &quot;E&quot;"/>
      <sheetName val="Vytilla FIN BOQ"/>
      <sheetName val="Vityla P&amp; ff "/>
      <sheetName val="Day Shift"/>
      <sheetName val="Night Shift"/>
      <sheetName val="Contract Day Staff"/>
      <sheetName val="Contract Night Staff"/>
      <sheetName val="Rates"/>
      <sheetName val="XXXXX"/>
      <sheetName val="XXXX0"/>
      <sheetName val="BoQ_DLF (2)"/>
      <sheetName val="BoQ_DLF"/>
      <sheetName val="DESIGN MIX"/>
      <sheetName val="Cost-Sqft"/>
      <sheetName val="BASIC"/>
      <sheetName val="Bill of Quantities"/>
      <sheetName val="BOQ"/>
      <sheetName val="P&amp;E Dep"/>
      <sheetName val="Staff Schedule"/>
      <sheetName val="Insurance"/>
      <sheetName val="HSE"/>
      <sheetName val="Lab Equp"/>
      <sheetName val="Travel"/>
      <sheetName val="Site facilities"/>
      <sheetName val="Site office &amp; Infra"/>
      <sheetName val="Preisblatt Lot B"/>
      <sheetName val="Name List"/>
      <sheetName val="Elemental Summary"/>
      <sheetName val="Detail Sheet - below Ground"/>
      <sheetName val="Detail Sheet - Above Ground"/>
      <sheetName val="Detail Sheet - Tower 1"/>
      <sheetName val="Detail Sheet - Tower 2"/>
      <sheetName val="Detail Sheet - Link Bride"/>
      <sheetName val="Detail Sheet - MP hall"/>
      <sheetName val="Detail Sheet - External"/>
      <sheetName val="2. Estimate Summary"/>
      <sheetName val="3. Elemental Summary"/>
      <sheetName val="Base"/>
      <sheetName val="Stilt"/>
      <sheetName val="Club house"/>
      <sheetName val="Tower 1"/>
      <sheetName val="Tower 2"/>
      <sheetName val="Tower 3"/>
      <sheetName val="Ext Works"/>
      <sheetName val="10. &amp; 11. Rate Code &amp; BQ"/>
      <sheetName val="4a. Trade"/>
      <sheetName val="5. Area &amp; Perimeter Statement"/>
      <sheetName val="12a. CFTable"/>
      <sheetName val="Assumption "/>
      <sheetName val="Civil"/>
      <sheetName val="Civil Chart"/>
      <sheetName val="Overall - Chart"/>
      <sheetName val="Aseet1998"/>
      <sheetName val="Main-Material"/>
      <sheetName val="경비공통"/>
      <sheetName val="BOQ Str"/>
      <sheetName val="Summary-Hardscape"/>
      <sheetName val="summary Septic Tank"/>
      <sheetName val="UPVC Windows"/>
      <sheetName val="Structural Steel"/>
      <sheetName val="Reinforcement Steel"/>
      <sheetName val="Ornamental Plaster"/>
      <sheetName val="BOQ Hardscape"/>
      <sheetName val="Qty"/>
      <sheetName val="BOQ Septic Tank"/>
      <sheetName val="QTY Septic tank"/>
      <sheetName val="Precalculation"/>
      <sheetName val="IDC"/>
      <sheetName val="Misc. points"/>
      <sheetName val="qty abst"/>
      <sheetName val="Programe"/>
      <sheetName val="basic "/>
      <sheetName val="bua"/>
      <sheetName val="topsheet"/>
      <sheetName val="Rate Analysis"/>
      <sheetName val="Iron Steel &amp; handrails"/>
      <sheetName val="Publicbuilding"/>
      <sheetName val="SITE OVERHEADS"/>
      <sheetName val="Scheme wise (2)"/>
      <sheetName val="Projectwise P&amp;L"/>
      <sheetName val="Zonewise P&amp;L"/>
      <sheetName val="P&amp;LSum"/>
      <sheetName val="Land  bkp old pro new cost"/>
      <sheetName val="ass suu old pro new cos"/>
      <sheetName val="Final Sum old pro new cost"/>
      <sheetName val="City Pivold pro new cost"/>
      <sheetName val="GSG"/>
      <sheetName val="Led"/>
      <sheetName val="Cons-RPD"/>
      <sheetName val="RPD"/>
      <sheetName val="BFSL"/>
      <sheetName val="BFSL-11"/>
      <sheetName val="Tax"/>
      <sheetName val="TB-Main"/>
      <sheetName val="TB"/>
      <sheetName val="FC"/>
      <sheetName val="DIL-BS"/>
      <sheetName val="DIL-PL"/>
      <sheetName val="CG"/>
      <sheetName val="Small cos"/>
      <sheetName val="Okhla"/>
      <sheetName val="POCM Cal"/>
      <sheetName val="S-FA"/>
      <sheetName val="FA"/>
      <sheetName val="Const"/>
      <sheetName val="Cons POCM"/>
      <sheetName val="TB-Cons"/>
      <sheetName val="Cons-Jindal"/>
      <sheetName val="Banjara"/>
      <sheetName val="Intt Inco_exp"/>
      <sheetName val="Jal"/>
      <sheetName val="AR-GL"/>
      <sheetName val="Variance"/>
      <sheetName val="Dep Sch"/>
      <sheetName val="Dep IT"/>
      <sheetName val="DEP"/>
      <sheetName val="Mumbai"/>
      <sheetName val="POCM "/>
      <sheetName val="Vari. Analy"/>
      <sheetName val="Dep. wo"/>
      <sheetName val="POCM-LCK"/>
      <sheetName val="CWIP-R"/>
      <sheetName val="CFS "/>
      <sheetName val="CF Adj"/>
      <sheetName val="BS(Revised)"/>
      <sheetName val="PL(revised)"/>
      <sheetName val="Note 2."/>
      <sheetName val="Note 4-5-6-7"/>
      <sheetName val="Note 8-9-10-11"/>
      <sheetName val="Note 12-13 FA console "/>
      <sheetName val="FA rental"/>
      <sheetName val="Note 15-16-17-18"/>
      <sheetName val="Note 19-20-21"/>
      <sheetName val="Note 22- 23"/>
      <sheetName val="Note 24 -28"/>
      <sheetName val="Note 25.3"/>
      <sheetName val="Others notes "/>
      <sheetName val="Related party note"/>
      <sheetName val="Related party working "/>
      <sheetName val="Loan summary"/>
      <sheetName val="comparative M-11"/>
      <sheetName val="March  2012 TB "/>
      <sheetName val="March 2011TB "/>
      <sheetName val="FA Register "/>
      <sheetName val="int in IHP"/>
      <sheetName val="Loans details &amp; intt"/>
      <sheetName val="Others details"/>
      <sheetName val="Tax status"/>
      <sheetName val="Deferred Tax New"/>
      <sheetName val="Tax Comp (IHP)"/>
      <sheetName val="Bifurcation of P&amp;L heads"/>
      <sheetName val="computation of deduction"/>
      <sheetName val="Normal provisons "/>
      <sheetName val="Revenue 801A"/>
      <sheetName val="MAT compuation "/>
      <sheetName val="payroll walk"/>
      <sheetName val="14A"/>
      <sheetName val="SEZ PB "/>
      <sheetName val="EPS "/>
      <sheetName val="Others details "/>
      <sheetName val="MD salary "/>
      <sheetName val="LRD loans &amp; Intt rate"/>
      <sheetName val="Intt Rate working - "/>
      <sheetName val="18_4_10 pm"/>
      <sheetName val="ADJ_TB"/>
      <sheetName val="Map"/>
      <sheetName val="Manual"/>
      <sheetName val="Pub-res"/>
      <sheetName val="VAR"/>
      <sheetName val="AR-BS"/>
      <sheetName val="AR-P&amp;L"/>
      <sheetName val="related"/>
      <sheetName val="Segment"/>
      <sheetName val="BSHEET"/>
      <sheetName val="SCH 1_2"/>
      <sheetName val="SCH _3"/>
      <sheetName val="SCH_4"/>
      <sheetName val="SCH 5"/>
      <sheetName val="SCH 5 (N)"/>
      <sheetName val=" SCH 6_7 "/>
      <sheetName val=" SCH 8 9 10 11"/>
      <sheetName val="SCH121314"/>
      <sheetName val="SCH 1516"/>
      <sheetName val="SCH1718"/>
      <sheetName val="SCH19"/>
      <sheetName val="CFLOW"/>
      <sheetName val="wkg cflo"/>
      <sheetName val="BS Abstract"/>
      <sheetName val="8PSCH66A-NA"/>
      <sheetName val="TRDG PROFIT"/>
      <sheetName val="ratios"/>
      <sheetName val="sub"/>
      <sheetName val="PointNo.5"/>
      <sheetName val="Entity List"/>
      <sheetName val="Agra"/>
      <sheetName val="Udaipur"/>
      <sheetName val="Projections"/>
      <sheetName val="Recon"/>
      <sheetName val="Sales to schenider"/>
      <sheetName val="Sales Regr 2011-12"/>
      <sheetName val="SALES"/>
      <sheetName val="YS"/>
      <sheetName val="GW"/>
      <sheetName val="Head office"/>
      <sheetName val="Consolidated excl pz&amp;gw"/>
      <sheetName val="1.1 Cashflow analysis"/>
      <sheetName val="1.2 Secured loans"/>
      <sheetName val="1.3 Fixed Assets"/>
      <sheetName val="1.4 Debtors"/>
      <sheetName val="1.5 Loans and advances"/>
      <sheetName val="Shareholders fund"/>
      <sheetName val="Margin analysis"/>
      <sheetName val="Sales mfg"/>
      <sheetName val="Sales Trd"/>
      <sheetName val="3.3 Employee costs"/>
      <sheetName val="1.2 Inventory"/>
      <sheetName val="3.1 Sales mfg"/>
      <sheetName val="3.1 Sales Trd"/>
      <sheetName val="3.1 Other Income"/>
      <sheetName val="3.2 CoM"/>
      <sheetName val="3.4 Other operating expenses"/>
      <sheetName val="Payables"/>
      <sheetName val="Seg P&amp;L"/>
      <sheetName val="Seg BS"/>
      <sheetName val="XCWIP_segment"/>
      <sheetName val="Assets_segmantal"/>
      <sheetName val="PROFIT &amp; LOSS ACCOUNT"/>
      <sheetName val="COMM"/>
      <sheetName val="FAR"/>
      <sheetName val="SCHEDULES"/>
      <sheetName val="R&amp;d"/>
      <sheetName val="Cash Flow Workings"/>
      <sheetName val="Module1"/>
      <sheetName val="GR SERVICES"/>
      <sheetName val="GR CAP"/>
      <sheetName val="GR MAT"/>
      <sheetName val="Prov. Others"/>
      <sheetName val="FORM-16"/>
      <sheetName val="MD Office"/>
      <sheetName val="Quality"/>
      <sheetName val="Proface"/>
      <sheetName val="EE"/>
      <sheetName val="MKt"/>
      <sheetName val="HR"/>
      <sheetName val="Finance"/>
      <sheetName val="Industry"/>
      <sheetName val="Logistics"/>
      <sheetName val="CCC"/>
      <sheetName val="BLD"/>
      <sheetName val="ISC"/>
      <sheetName val="BMS"/>
      <sheetName val="Distri"/>
      <sheetName val="PEC"/>
      <sheetName val="SISC"/>
      <sheetName val="SGBD"/>
      <sheetName val="E&amp;I"/>
      <sheetName val="IT &amp; Bridge"/>
      <sheetName val="Approval Matrix"/>
      <sheetName val="01 T"/>
      <sheetName val="03 "/>
      <sheetName val="WELCOME"/>
      <sheetName val="Q2 YTD OG Sales Analysis"/>
      <sheetName val="ER3"/>
      <sheetName val="ER11_Old"/>
      <sheetName val="ER10_Old"/>
      <sheetName val="Total Expenses"/>
      <sheetName val="GP Analysis"/>
      <sheetName val="LS"/>
      <sheetName val="Obsv"/>
      <sheetName val="control"/>
      <sheetName val="codes"/>
      <sheetName val="Analytical"/>
      <sheetName val="Avg Rate"/>
      <sheetName val="CN  Cut-off"/>
      <sheetName val="Cut off"/>
      <sheetName val="Sample-Monthwise"/>
      <sheetName val="Sample-Productwise"/>
      <sheetName val="Excess Calc"/>
      <sheetName val="XREF"/>
      <sheetName val="Tickmarks"/>
      <sheetName val="Threshold Calc"/>
      <sheetName val="INDEX  (2)"/>
      <sheetName val="+ for Belaire"/>
      <sheetName val="variation (2)"/>
      <sheetName val="variation"/>
      <sheetName val="Struc. cheek sheet"/>
      <sheetName val="Structure BOQ (SBM)"/>
      <sheetName val="STRUCTURE MATERIAL SUMMARY"/>
      <sheetName val="STRUCTURE MATERIAL ANALYSIS"/>
      <sheetName val="RMC Analysis Rename"/>
      <sheetName val="Mix Design"/>
      <sheetName val="DSR SBM New delhi"/>
      <sheetName val="BASIS -RATE"/>
      <sheetName val="SBM Variation Fin PH- I &amp; I (2)"/>
      <sheetName val="VARIATION ( Str ) (Final)"/>
      <sheetName val="VARIATION ( Str ) (without fat)"/>
      <sheetName val="VARIATION ( Str )"/>
      <sheetName val="Variation_1 with OH"/>
      <sheetName val="Variation_1"/>
      <sheetName val="Consultant BOQ"/>
      <sheetName val="Comparision working"/>
      <sheetName val="Retaining wall"/>
      <sheetName val="Builtup phase I"/>
      <sheetName val="Stru. Backup Phase III"/>
      <sheetName val="Phase-III"/>
      <sheetName val="PRW-RATE"/>
      <sheetName val="SBM Variation Fin PH- I &amp; II"/>
      <sheetName val="SBM FINISHING BOQ - I &amp; II"/>
      <sheetName val="FinDSR JAN'09 SBM (M+L)"/>
      <sheetName val="FinDSR JAN'09 SBM"/>
      <sheetName val="Finishing Analysis"/>
      <sheetName val="FinRate Analysis SBM"/>
      <sheetName val="FinMaterial analysis SBM"/>
      <sheetName val="FinPRW analysis SBM"/>
      <sheetName val="Plum FF SUMMARY"/>
      <sheetName val="**_x0000__x0000_"/>
      <sheetName val="DBG SCHEDULE"/>
      <sheetName val="Lease"/>
      <sheetName val="Computer"/>
      <sheetName val="Office Equip"/>
      <sheetName val="F&amp;F"/>
      <sheetName val="Vehicle"/>
      <sheetName val="Sale of Assets"/>
      <sheetName val="FinSchedule"/>
      <sheetName val="13"/>
      <sheetName val="14"/>
      <sheetName val="10"/>
      <sheetName val="9 (2)"/>
      <sheetName val="7"/>
      <sheetName val="1"/>
      <sheetName val="2"/>
      <sheetName val="2A"/>
      <sheetName val="3.1 &amp; 3.11"/>
      <sheetName val="detail3.1&amp;3.11"/>
      <sheetName val="3.2"/>
      <sheetName val="3.3 onwards-"/>
      <sheetName val="3.5"/>
      <sheetName val="3.6"/>
      <sheetName val="3.10"/>
      <sheetName val="3.12"/>
      <sheetName val="3.13"/>
      <sheetName val="3.14"/>
      <sheetName val="3.15"/>
      <sheetName val="3.16"/>
      <sheetName val="3.17"/>
      <sheetName val="3.20"/>
      <sheetName val="3.22"/>
      <sheetName val="3.23"/>
      <sheetName val="3.24"/>
      <sheetName val="3.26"/>
      <sheetName val="3.28"/>
      <sheetName val="3.33"/>
      <sheetName val="3.34"/>
      <sheetName val="3.35"/>
      <sheetName val="3.37"/>
      <sheetName val="3.38"/>
      <sheetName val="3.40"/>
      <sheetName val="3.42"/>
      <sheetName val="3B"/>
      <sheetName val="Clause 15(a)"/>
      <sheetName val="Clause 17(i)"/>
      <sheetName val="4"/>
      <sheetName val="5"/>
      <sheetName val="6"/>
      <sheetName val="8"/>
      <sheetName val="9"/>
      <sheetName val="Creditors"/>
      <sheetName val="11"/>
      <sheetName val="12"/>
      <sheetName val="Sheet3 (2)"/>
      <sheetName val="bonus"/>
      <sheetName val="Clause 40(a)"/>
      <sheetName val="Annex. 1"/>
      <sheetName val="loan-FFSL"/>
      <sheetName val="caln of ratio"/>
      <sheetName val="calnofEMI"/>
      <sheetName val="loan-AEBL&amp;KMPL"/>
      <sheetName val="detail of credit to Preop."/>
      <sheetName val="bonuspayable"/>
      <sheetName val="9-Trash"/>
      <sheetName val="10-trash"/>
      <sheetName val="Results Consolidated"/>
      <sheetName val="Ratio computation"/>
      <sheetName val="PROFITABILITY Final"/>
      <sheetName val="Profitability-revised"/>
      <sheetName val="Sch 1 to 3"/>
      <sheetName val="sch-4"/>
      <sheetName val="Sch 5 to 11"/>
      <sheetName val="Sch 12 to 17"/>
      <sheetName val="SCH#2-3 &amp; 4"/>
      <sheetName val="SCH#6"/>
      <sheetName val="sch#7-9"/>
      <sheetName val="SCH#15-16"/>
      <sheetName val="associates bs"/>
      <sheetName val="associates pl "/>
      <sheetName val="SCH#19 "/>
      <sheetName val="SCH#20"/>
      <sheetName val="WO"/>
      <sheetName val="FA Schedule 02-03"/>
      <sheetName val="FA Schedule"/>
      <sheetName val="O_E"/>
      <sheetName val="Imports-useless sheet"/>
      <sheetName val="hard Furn final"/>
      <sheetName val="hard Furn- useless sheet"/>
      <sheetName val="Fur_Fix"/>
      <sheetName val="Leasehold imp A30"/>
      <sheetName val="LHI A_31"/>
      <sheetName val="LHI A_31 (2)"/>
      <sheetName val="LHI A_31 (3)"/>
      <sheetName val="Software"/>
      <sheetName val="PF Payable"/>
      <sheetName val="PF Exp."/>
      <sheetName val="PF Admn. charges"/>
      <sheetName val=" CL 21(ii)(B)  (2)- Employe (2)"/>
      <sheetName val="Interest on Loan from Director"/>
      <sheetName val="Unsecured  Loan"/>
      <sheetName val="5A Director_s Remuneration"/>
      <sheetName val="5B Director Exp_summ"/>
      <sheetName val="Mobile CMSG"/>
      <sheetName val="Mob LG"/>
      <sheetName val="mobile Product"/>
      <sheetName val="10 Unearned Revenue"/>
      <sheetName val="TDS LG"/>
      <sheetName val="TDS CMSG"/>
      <sheetName val="TDS Product"/>
      <sheetName val="(Foreign Travelling) (2)"/>
      <sheetName val="(Foreign Travelling)"/>
      <sheetName val="OD Account"/>
      <sheetName val="Prepaid "/>
      <sheetName val="Internet"/>
      <sheetName val="Landline"/>
      <sheetName val="Generator Expenses"/>
      <sheetName val="(Legal and Proff)"/>
      <sheetName val="(Travelling)"/>
      <sheetName val="Travelling CMSG LG"/>
      <sheetName val="Fixed Assets Addition"/>
      <sheetName val="FDRs"/>
      <sheetName val="SALE TAX"/>
      <sheetName val="hwf"/>
      <sheetName val="ESI"/>
      <sheetName val="Provident Fund"/>
      <sheetName val="pf-pii"/>
      <sheetName val="Sales Tax"/>
      <sheetName val="Comm Link (2)"/>
      <sheetName val=".training"/>
      <sheetName val="Training-"/>
      <sheetName val="training srb"/>
      <sheetName val="Office Repairs"/>
      <sheetName val="Comp Leased Acco. SORTED"/>
      <sheetName val="AMC"/>
      <sheetName val="Training "/>
      <sheetName val="Staff Welfare"/>
      <sheetName val="CAR_Maint"/>
      <sheetName val="Legal &amp; Professional"/>
      <sheetName val="Sec format 2"/>
      <sheetName val="Security "/>
      <sheetName val="security SRB"/>
      <sheetName val="Brokerage &amp; Comm"/>
      <sheetName val="Office Repairs1"/>
      <sheetName val="Other repairs"/>
      <sheetName val="Comm Link"/>
      <sheetName val="Comm Link Before prepaird break"/>
      <sheetName val="Business Promotion"/>
      <sheetName val="Staff Rec_Add"/>
      <sheetName val="Recruitment all Location."/>
      <sheetName val="Staff Recruitment ."/>
      <sheetName val="Membership &amp; Subscription "/>
      <sheetName val="Hardware Maintenance "/>
      <sheetName val="Corporate_Advt"/>
      <sheetName val="Conference &amp; Seminar"/>
      <sheetName val="Donation"/>
      <sheetName val="Power Supply"/>
      <sheetName val="Telphone Repaire"/>
      <sheetName val="Software License"/>
      <sheetName val="Property Insurance"/>
      <sheetName val="Insurance others"/>
      <sheetName val="Caters"/>
      <sheetName val="Postage"/>
      <sheetName val="Client Entertain"/>
      <sheetName val="Entertaining Emp."/>
      <sheetName val="AC Repairs"/>
      <sheetName val="Furniture"/>
      <sheetName val="Vehicle Hire "/>
      <sheetName val="Rental Equipment"/>
      <sheetName val="Hosue Keeping Material"/>
      <sheetName val="Relocation"/>
      <sheetName val="rent"/>
      <sheetName val="GH Cost"/>
      <sheetName val="Landscaping"/>
      <sheetName val="IT Consumbales"/>
      <sheetName val="long Service Retirement"/>
      <sheetName val="Emp Reward"/>
      <sheetName val="Comp Leased Acco."/>
      <sheetName val="Notice pay paid"/>
      <sheetName val="Notice pay paid (Cr.)"/>
      <sheetName val="SCHOLARSHIP"/>
      <sheetName val="Office Mobile"/>
      <sheetName val="office tele."/>
      <sheetName val="Rent of Prop."/>
      <sheetName val="Service Chargs"/>
      <sheetName val="Car Insurance"/>
      <sheetName val="Eqipment Repair"/>
      <sheetName val="Imp Goods Clearing &amp; duty "/>
      <sheetName val="Travel Domestic"/>
      <sheetName val="Vehicle Hire1"/>
      <sheetName val="Staff Welfare (2)"/>
      <sheetName val="House Keeping"/>
      <sheetName val="House Keeping (2)"/>
      <sheetName val="Utility"/>
      <sheetName val="VB_Payroll Lead"/>
      <sheetName val="VB1_Salaries, wages and bonus"/>
      <sheetName val="VB1.1_Monthwise Salary"/>
      <sheetName val="VB1.2_Employeewise Salary"/>
      <sheetName val="VB2_Cont. to PF"/>
      <sheetName val="VB2.1_PF"/>
      <sheetName val="VB2.2_ESI"/>
      <sheetName val="VB 3_Staff Welfare"/>
      <sheetName val="Original Profit"/>
      <sheetName val="TB Chennai Plant"/>
      <sheetName val="TB Bawal11"/>
      <sheetName val="TB Chennai Warehouse"/>
      <sheetName val="Inventory adjustment"/>
      <sheetName val="Combined TB (2)"/>
      <sheetName val="PL1"/>
      <sheetName val="Exchange Rate"/>
      <sheetName val="Issues"/>
      <sheetName val="Ad. Entries"/>
      <sheetName val="TBW09"/>
      <sheetName val="TB CP09"/>
      <sheetName val="Schedules1"/>
      <sheetName val="Schedule 4 F.Assets"/>
      <sheetName val="Pviot TB CP 09"/>
      <sheetName val="TBCW09"/>
      <sheetName val="Combined TB"/>
      <sheetName val="BS (2)"/>
      <sheetName val="1-2"/>
      <sheetName val="3-4"/>
      <sheetName val="5-8"/>
      <sheetName val="10-13"/>
      <sheetName val="14-17"/>
      <sheetName val="18-22"/>
      <sheetName val="23-24"/>
      <sheetName val="25-26"/>
      <sheetName val="26_"/>
      <sheetName val="27"/>
      <sheetName val="27-31"/>
      <sheetName val="32"/>
      <sheetName val="33-38"/>
      <sheetName val="Detail of Current Assets-CL"/>
      <sheetName val="Old_Detail of Exp. &amp; Oth. Incom"/>
      <sheetName val="Royalty rectification"/>
      <sheetName val="PM TE SAD"/>
      <sheetName val="Annexuer-1"/>
      <sheetName val="AP-2.1"/>
      <sheetName val="AP -3"/>
      <sheetName val="AP-2.2"/>
      <sheetName val="Annexure 2"/>
      <sheetName val="Annexure2.1"/>
      <sheetName val="Annexure2.2"/>
      <sheetName val="Annexure3"/>
      <sheetName val="Annexure3.1"/>
      <sheetName val="annexure-3.2"/>
      <sheetName val="AP-06"/>
      <sheetName val="Annexure-4"/>
      <sheetName val="Annexure-5"/>
      <sheetName val="Annexure-6"/>
      <sheetName val="Annexure7"/>
      <sheetName val="Annexure-8"/>
      <sheetName val="AP-7.1"/>
      <sheetName val="AP-8A"/>
      <sheetName val="AP-8"/>
      <sheetName val="Annexure-"/>
      <sheetName val="Ack"/>
      <sheetName val="Ack (2)"/>
      <sheetName val="Page1"/>
      <sheetName val="Page2"/>
      <sheetName val="Page3"/>
      <sheetName val="Page4"/>
      <sheetName val="Page5"/>
      <sheetName val="Page6"/>
      <sheetName val="Page7"/>
      <sheetName val="Page8"/>
      <sheetName val="Page9"/>
      <sheetName val="Page10"/>
      <sheetName val="Direc"/>
      <sheetName val="Part A General"/>
      <sheetName val="Subsidiary Co Details"/>
      <sheetName val="MD, Dir, Co. secy"/>
      <sheetName val="Beneficial_owners"/>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Apr-03"/>
      <sheetName val="Apr-03 "/>
      <sheetName val="May-03"/>
      <sheetName val="June-03"/>
      <sheetName val="July-03"/>
      <sheetName val="Aug-03"/>
      <sheetName val="Sept-03"/>
      <sheetName val="Conversion"/>
      <sheetName val="INV verification"/>
      <sheetName val="Oct-04 To Sept-05"/>
      <sheetName val="For STN Pending"/>
      <sheetName val="For E Mail"/>
      <sheetName val="For Detention Chgs"/>
      <sheetName val="Ack 1"/>
      <sheetName val="Sec 349"/>
      <sheetName val="Managerial Remuneration 3 month"/>
      <sheetName val="INVOICE Sep-09  "/>
      <sheetName val="Local Benefit"/>
      <sheetName val="PF calcu"/>
      <sheetName val="rustin"/>
      <sheetName val="Packing c"/>
      <sheetName val="Directors"/>
      <sheetName val="recos"/>
      <sheetName val="cap gains"/>
      <sheetName val="CARRY-FORWARD"/>
      <sheetName val="general info"/>
      <sheetName val="ifhp"/>
      <sheetName val="pgbp"/>
      <sheetName val="ifos"/>
      <sheetName val="brought forward"/>
      <sheetName val="MAT INCOME"/>
      <sheetName val="ST.TAXES"/>
      <sheetName val="b&amp;p info"/>
      <sheetName val="exempt."/>
      <sheetName val="Ack1"/>
      <sheetName val="Ack2"/>
      <sheetName val="1997"/>
      <sheetName val="FCAST96"/>
      <sheetName val="party"/>
      <sheetName val="bank"/>
      <sheetName val="bnc"/>
      <sheetName val="Legal"/>
      <sheetName val="CURING DEATAILS "/>
      <sheetName val="CURING AMR CR. TO PARTY AC"/>
      <sheetName val="other credits"/>
      <sheetName val="bnc-OTHER"/>
      <sheetName val="Missing PDC"/>
      <sheetName val="DEUCH BANK -coll"/>
      <sheetName val="DB-BNC"/>
      <sheetName val="Missign PDC- details to WGE"/>
      <sheetName val="Details for WGE"/>
      <sheetName val="DAT DETAILS"/>
      <sheetName val="Other BNC"/>
      <sheetName val="DEUCH BANK "/>
      <sheetName val="FA reco"/>
      <sheetName val="FA REcon-Details"/>
      <sheetName val="DTA new method "/>
      <sheetName val="Computation"/>
      <sheetName val="it-dep"/>
      <sheetName val="asst-deletion"/>
      <sheetName val="FA_SchV-31122003"/>
      <sheetName val="asst-deletion sep"/>
      <sheetName val="Leased Assets"/>
      <sheetName val="Owned-Add"/>
      <sheetName val="Owned-Retire."/>
      <sheetName val="New Lease-Dec-03"/>
      <sheetName val="Taken on Lease"/>
      <sheetName val="Dec-03 TB..ver1"/>
      <sheetName val="2003 Dec. Working"/>
      <sheetName val="23450new"/>
      <sheetName val="EAST"/>
      <sheetName val="SOUTH"/>
      <sheetName val="west"/>
      <sheetName val="north"/>
      <sheetName val="MAR-03-MM"/>
      <sheetName val="24037-mar03"/>
      <sheetName val="24037-apr03"/>
      <sheetName val="apr03"/>
      <sheetName val="mar03"/>
      <sheetName val="feb-03"/>
      <sheetName val="southgl-8thmar"/>
      <sheetName val="westgl-8thmar"/>
      <sheetName val="northgl-8th mar"/>
      <sheetName val="New Lease-mar04"/>
      <sheetName val="Unexpired income"/>
      <sheetName val="dma"/>
      <sheetName val="Provision details"/>
      <sheetName val="Deliquent income"/>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Accounts Payable"/>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PF"/>
      <sheetName val=" PF"/>
      <sheetName val="SAF-320005001.0002"/>
      <sheetName val="SAF"/>
      <sheetName val="HLWF-320005001.0003"/>
      <sheetName val="307099001.0249"/>
      <sheetName val="307099001.0250"/>
      <sheetName val="P.Tax-309007001.0054"/>
      <sheetName val="P.Tax"/>
      <sheetName val="452530001"/>
      <sheetName val="999999004&amp;999999034"/>
      <sheetName val="999999018"/>
      <sheetName val="999999032"/>
      <sheetName val="999999033"/>
      <sheetName val="Invesment-019500001 &amp; 01950004"/>
      <sheetName val="317200004.0202-FMO"/>
      <sheetName val="OFA"/>
      <sheetName val="FX"/>
      <sheetName val="CDR"/>
      <sheetName val="STAT"/>
      <sheetName val="Write Offs"/>
      <sheetName val="Expense Summary"/>
      <sheetName val="PRM"/>
      <sheetName val="NI 02SI vs 01ACT"/>
      <sheetName val="NI 02SI vs 02OP"/>
      <sheetName val="NI LRF"/>
      <sheetName val="NI_NEA Walk"/>
      <sheetName val="Cost Walk ACT01 v SI05"/>
      <sheetName val="HCWalk ACT01 v SI05"/>
      <sheetName val="Acquisition"/>
      <sheetName val="ERROR"/>
      <sheetName val="Exp Variance"/>
      <sheetName val="Misc Exp"/>
      <sheetName val="Meeting"/>
      <sheetName val="Advtg, SP &amp; Comm"/>
      <sheetName val="Collection Charges"/>
      <sheetName val="BPOC"/>
      <sheetName val="Portfolio"/>
      <sheetName val="Volumes"/>
      <sheetName val="Tax Computation"/>
      <sheetName val="Notes-COI"/>
      <sheetName val="234C"/>
      <sheetName val="115JB"/>
      <sheetName val="Revised Tax Dep Schedule"/>
      <sheetName val="Workings of Provisions"/>
      <sheetName val="STP P&amp;L"/>
      <sheetName val="FA Final Schedule"/>
      <sheetName val="FA register-copy"/>
      <sheetName val="Retirals"/>
      <sheetName val="Reco-updated"/>
      <sheetName val="Fixed asset register"/>
      <sheetName val="Add. vehicle"/>
      <sheetName val="Add-Pl. &amp; Mach"/>
      <sheetName val="Add-Off Eqp"/>
      <sheetName val="ADD-Comp"/>
      <sheetName val="ADD-Furn."/>
      <sheetName val="FNDWRR (2)"/>
      <sheetName val="changes"/>
      <sheetName val="Payment"/>
      <sheetName val="RT-12(QTY)"/>
      <sheetName val="RT-12(FIRST)"/>
      <sheetName val="RT-12(SECOND)"/>
      <sheetName val="8 (Exportrs)"/>
      <sheetName val="9 &amp;10"/>
      <sheetName val="DSA-SEP"/>
      <sheetName val="list (2)"/>
      <sheetName val="IDTO"/>
      <sheetName val="pay"/>
      <sheetName val="Summary_HYP"/>
      <sheetName val="Plant Stock"/>
      <sheetName val="Depot Stock"/>
      <sheetName val="GIT Stock"/>
      <sheetName val="Transporter Stock"/>
      <sheetName val="STU Stock"/>
      <sheetName val="J Stock"/>
      <sheetName val="Blank store Stock"/>
      <sheetName val="Machine ShopStock"/>
      <sheetName val="Return Material Stock"/>
      <sheetName val="G.Insert Stock"/>
      <sheetName val="G.I Sleevs"/>
      <sheetName val="MRP"/>
      <sheetName val="BOM"/>
      <sheetName val="Standard Cost Zcostsplit"/>
      <sheetName val="Ring Sale Prices"/>
      <sheetName val="engline"/>
      <sheetName val="Consolidated "/>
      <sheetName val="B_SHEET consol"/>
      <sheetName val="P&amp;L consol"/>
      <sheetName val="Cash Flow-Consol"/>
      <sheetName val="SCH 1 -20 consol"/>
      <sheetName val="Fixed assets consol"/>
      <sheetName val="B_SHEET"/>
      <sheetName val="Cash Flow-Stand alone"/>
      <sheetName val="SCH 1 -20"/>
      <sheetName val="Fixed assets"/>
      <sheetName val="Fixed Assets (3)"/>
      <sheetName val="Consol B &amp; Sheet"/>
      <sheetName val="Consol P &amp; L"/>
      <sheetName val="Consol Sch1-20"/>
      <sheetName val="SCH 6,7"/>
      <sheetName val="Grouping_120506"/>
      <sheetName val="Sch 15 Provisions"/>
      <sheetName val="Summary_Dec.09"/>
      <sheetName val="SUMMARY Inv"/>
      <sheetName val="EL Leave Enca_Mgr &amp; Exec"/>
      <sheetName val="PPV Nov09"/>
      <sheetName val="Rs 6000"/>
      <sheetName val="Domestic Enq."/>
      <sheetName val="EHS"/>
      <sheetName val="NSF"/>
      <sheetName val="Royalty Calculation (2)"/>
      <sheetName val="Retainer Ship"/>
      <sheetName val="ESI Cases"/>
      <sheetName val="Land Tax"/>
      <sheetName val="Rates &amp; Tax Labour"/>
      <sheetName val="Legal &amp; Local Freight"/>
      <sheetName val="LTA PROV Aug.09_FMGIL"/>
      <sheetName val="Leave En Contr"/>
      <sheetName val="Bonus Contr"/>
      <sheetName val="MBO 2009 True Up"/>
      <sheetName val="MBO Dec08"/>
      <sheetName val="S.Tax Non Eligible Input"/>
      <sheetName val="Exgratia"/>
      <sheetName val="JM MEDICAL REIMB09-10"/>
      <sheetName val="Medical "/>
      <sheetName val="Med Reim Prov"/>
      <sheetName val="Petrol Reim. Exp."/>
      <sheetName val="Bonus_Emp. Prov."/>
      <sheetName val="Professional Fees"/>
      <sheetName val="GIL WORKMEN &amp; STAFF Sep'09"/>
      <sheetName val="old GIL WORKMEN &amp; STAFF Aug.09"/>
      <sheetName val="old Aug.09 Pending Serv. Bills"/>
      <sheetName val="Sr Bils_Oct.09"/>
      <sheetName val="Aug.09 Pending Serv. Bills"/>
      <sheetName val="Incentive Sep.09"/>
      <sheetName val="Power"/>
      <sheetName val="Hotel Air Ticket Drivers"/>
      <sheetName val="Freight Prov"/>
      <sheetName val="현대 해외진출업체"/>
      <sheetName val="해외 진출업체 업무FLOW "/>
      <sheetName val="TA JV"/>
      <sheetName val="major"/>
      <sheetName val="S5"/>
      <sheetName val="S7"/>
      <sheetName val="S8"/>
      <sheetName val="S9"/>
      <sheetName val="S10"/>
      <sheetName val="S11"/>
      <sheetName val="S12"/>
      <sheetName val="S13"/>
      <sheetName val="S14"/>
      <sheetName val="INVENT"/>
      <sheetName val="depot stk"/>
      <sheetName val="Charts "/>
      <sheetName val="Summary (US)"/>
      <sheetName val="Summary (Foreign) (2)"/>
      <sheetName val="Summary (Foreign)"/>
      <sheetName val="Pivot Summ"/>
      <sheetName val="Pivot Check"/>
      <sheetName val="CrossRef"/>
      <sheetName val="IMF"/>
      <sheetName val="Trends"/>
      <sheetName val="%Good"/>
      <sheetName val="GTP ASSETS"/>
      <sheetName val="Comp Depr"/>
      <sheetName val="Piston Status"/>
      <sheetName val="ZMIS2"/>
      <sheetName val="Piston"/>
      <sheetName val="Pin"/>
      <sheetName val="circlips"/>
      <sheetName val="Rings"/>
      <sheetName val="Shims"/>
      <sheetName val="SLPins"/>
      <sheetName val="Blanks"/>
      <sheetName val="S023"/>
      <sheetName val="S015"/>
      <sheetName val="SM02"/>
      <sheetName val="S005"/>
      <sheetName val="S029"/>
      <sheetName val="Rec.Pin"/>
      <sheetName val="Rec.Piston"/>
      <sheetName val="KIT J STOCK"/>
      <sheetName val="Kit MODVAT Stock"/>
      <sheetName val="Piston Modvat Stock"/>
      <sheetName val="Piston J-Stock"/>
      <sheetName val="Pin Modvat"/>
      <sheetName val="Pin J-Stock"/>
      <sheetName val="Circlips (2)"/>
      <sheetName val="USD"/>
      <sheetName val="INR"/>
      <sheetName val="INCOME -DET"/>
      <sheetName val="LEAD04 (2)"/>
      <sheetName val="LEAD04"/>
      <sheetName val="NAR-PIN"/>
      <sheetName val="NAR-PISTON"/>
      <sheetName val="SCRAP-PIN"/>
      <sheetName val="KEYPIN"/>
      <sheetName val="NSV-PPCR"/>
      <sheetName val="compenents"/>
      <sheetName val="CHIPS SUMM."/>
      <sheetName val="SCRAP-PISTON"/>
      <sheetName val="KEY-(PIS)2003"/>
      <sheetName val="목차"/>
      <sheetName val="formula sheet"/>
      <sheetName val="scrap rate calclation (fdy) (2)"/>
      <sheetName val="scrap rate calclation (fdy)"/>
      <sheetName val="scrap rate calclation(Mshop)_"/>
      <sheetName val="2004-05 TARGET"/>
      <sheetName val="NAR-PIN (3)"/>
      <sheetName val="NAR-Pistons (2)"/>
      <sheetName val="CHIPS MELTING .04"/>
      <sheetName val="BUD SCRAP PISTON FDY"/>
      <sheetName val="NSV-Roylty (2)"/>
      <sheetName val="Rc Tractor pip"/>
      <sheetName val="FINISH WT"/>
      <sheetName val="MSHOP-SCARP"/>
      <sheetName val="budget 2006-07"/>
      <sheetName val="wip-blank "/>
      <sheetName val="newstoresum (2)"/>
      <sheetName val="newstoresum-TEMP"/>
      <sheetName val="Weighted  Avg Cost-fm %"/>
      <sheetName val="liners PRICE (2)-13.07."/>
      <sheetName val="Apr 07"/>
      <sheetName val="May07"/>
      <sheetName val="dept-Power (2)"/>
      <sheetName val="dept-Power"/>
      <sheetName val="Power-jan  (3)"/>
      <sheetName val="26.02.2007"/>
      <sheetName val="2005-06 power "/>
      <sheetName val="Power-jan "/>
      <sheetName val="summ"/>
      <sheetName val="EB"/>
      <sheetName val="malden"/>
      <sheetName val="Strat Plan"/>
      <sheetName val="GRING"/>
      <sheetName val="RM"/>
      <sheetName val="ZBILL12 (1)"/>
      <sheetName val="GTP"/>
      <sheetName val="O.INCOME"/>
      <sheetName val="NAR-Pistons"/>
      <sheetName val="Compenent"/>
      <sheetName val="HO-RM FORMAT"/>
      <sheetName val="CAP (2)"/>
      <sheetName val="454-272 Cost Summ"/>
      <sheetName val="newstoresum"/>
      <sheetName val="ploss-03-04"/>
      <sheetName val="bonding ALLOY CAL"/>
      <sheetName val=" scrp-pip"/>
      <sheetName val="BUD2004-05"/>
      <sheetName val="repiars"/>
      <sheetName val="common"/>
      <sheetName val="PIP"/>
      <sheetName val="2006-07 power-RATE"/>
      <sheetName val="Roylty"/>
      <sheetName val="Power -Sarbjeet"/>
      <sheetName val="BS-S"/>
      <sheetName val="P&amp;L-S"/>
      <sheetName val="FA_DEC'07"/>
      <sheetName val="Conv"/>
      <sheetName val="ExactBS08"/>
      <sheetName val="ExactPL08"/>
      <sheetName val="ExactBS07"/>
      <sheetName val="ExactPL07"/>
      <sheetName val="ExactBS06"/>
      <sheetName val="ExactPL06"/>
      <sheetName val="Schedule-E06-07A"/>
      <sheetName val="Taxable Income2007"/>
      <sheetName val="Defferred Tax2007"/>
      <sheetName val="IT provn &amp; DTA"/>
      <sheetName val="Entries08"/>
      <sheetName val="RM &amp; Components"/>
      <sheetName val="RMMS"/>
      <sheetName val="RM Summary"/>
      <sheetName val="S.I.T."/>
      <sheetName val="SIT_mARCH"/>
      <sheetName val="1401S"/>
      <sheetName val="1401"/>
      <sheetName val="1401M"/>
      <sheetName val="1402S"/>
      <sheetName val="1402"/>
      <sheetName val="1402M"/>
      <sheetName val="1403S"/>
      <sheetName val="1403"/>
      <sheetName val="1403M"/>
      <sheetName val="1404S"/>
      <sheetName val="1404"/>
      <sheetName val="1404M"/>
      <sheetName val="1405S"/>
      <sheetName val="1405"/>
      <sheetName val="1405M"/>
      <sheetName val="1406M"/>
      <sheetName val="1407S"/>
      <sheetName val="1407"/>
      <sheetName val="1407M"/>
      <sheetName val="1408S"/>
      <sheetName val="1408"/>
      <sheetName val="1408M"/>
      <sheetName val="1409S"/>
      <sheetName val="1409"/>
      <sheetName val="1409M"/>
      <sheetName val="1410S"/>
      <sheetName val="1410"/>
      <sheetName val="1410M"/>
      <sheetName val="1411M"/>
      <sheetName val="1412S"/>
      <sheetName val="1412"/>
      <sheetName val="1412M"/>
      <sheetName val="1413S"/>
      <sheetName val="1413"/>
      <sheetName val="1413M"/>
      <sheetName val="1414S"/>
      <sheetName val="1414r"/>
      <sheetName val="1414M"/>
      <sheetName val="1415S"/>
      <sheetName val="1415"/>
      <sheetName val="1415M"/>
      <sheetName val="1417S"/>
      <sheetName val="1417"/>
      <sheetName val="1417M"/>
      <sheetName val="1418S"/>
      <sheetName val="1418"/>
      <sheetName val="1418M"/>
      <sheetName val="1419S"/>
      <sheetName val="1419"/>
      <sheetName val="1419M"/>
      <sheetName val="1420S"/>
      <sheetName val="1420"/>
      <sheetName val="1420M"/>
      <sheetName val="1421S"/>
      <sheetName val="1421"/>
      <sheetName val="1421M"/>
      <sheetName val="1422S"/>
      <sheetName val="1422"/>
      <sheetName val="1422M"/>
      <sheetName val="1423S"/>
      <sheetName val="1423"/>
      <sheetName val="1423M"/>
      <sheetName val="1425S"/>
      <sheetName val="1425"/>
      <sheetName val="1425M"/>
      <sheetName val="1427S"/>
      <sheetName val="1427"/>
      <sheetName val="1427M"/>
      <sheetName val="1428S"/>
      <sheetName val="1428"/>
      <sheetName val="1428M"/>
      <sheetName val="1449S"/>
      <sheetName val="1449"/>
      <sheetName val="1449M"/>
      <sheetName val="1450S"/>
      <sheetName val="1450"/>
      <sheetName val="1450M"/>
      <sheetName val="1451S"/>
      <sheetName val="1451"/>
      <sheetName val="1451M"/>
      <sheetName val="1452S"/>
      <sheetName val="1452"/>
      <sheetName val="1452M"/>
      <sheetName val="1601S"/>
      <sheetName val="1601"/>
      <sheetName val="1601M"/>
      <sheetName val="1602S"/>
      <sheetName val="1602"/>
      <sheetName val="1602M"/>
      <sheetName val="1801S"/>
      <sheetName val="1801r"/>
      <sheetName val="1801M"/>
      <sheetName val="Drawing"/>
      <sheetName val="Specs"/>
      <sheetName val="Rate"/>
      <sheetName val="ABC-Det"/>
      <sheetName val="ABC-Sum"/>
      <sheetName val="Recovered_Sheet1"/>
      <sheetName val="Recovered_Sheet2"/>
      <sheetName val="Comparing Summary "/>
      <sheetName val="new Data-Labor &amp; OH -Joan"/>
      <sheetName val="Process-Gary"/>
      <sheetName val="Quote - Labor &amp; OH &amp; MU"/>
      <sheetName val="Dept Alloc pivot"/>
      <sheetName val="Costing&amp;Quoting Capacity"/>
      <sheetName val="Direct Labor  "/>
      <sheetName val="Support Allocations"/>
      <sheetName val="Support Pivot"/>
      <sheetName val="Drivers"/>
      <sheetName val="Dept Alloc"/>
      <sheetName val="Budgeted Cycle Time"/>
      <sheetName val="FA Kunshan 200911"/>
      <sheetName val="Var and Fixed cost"/>
      <sheetName val="Labor Utilization"/>
      <sheetName val="Labor Rates"/>
      <sheetName val="Data - Materials"/>
      <sheetName val="Dept Alloc pivot (2)"/>
      <sheetName val="Inventory Balance"/>
      <sheetName val="Inventory Balance (2)"/>
      <sheetName val="NVH 存货收发存汇总表"/>
      <sheetName val="Moen 存货收发存汇总表"/>
      <sheetName val="MOen FLoor value for Kingdee"/>
      <sheetName val="NVH Floor Value for Kingdee"/>
      <sheetName val="checklist"/>
      <sheetName val="Saiyang LOC"/>
      <sheetName val="PettyCash"/>
      <sheetName val="CashBanks"/>
      <sheetName val="TradeAR"/>
      <sheetName val="AllowDbtflAcc.Domest"/>
      <sheetName val="OthAcctRec.Tooling"/>
      <sheetName val="OthAcctRec.VATRec"/>
      <sheetName val="OthAcctRec.EmployRec"/>
      <sheetName val="STRec.STNotes"/>
      <sheetName val="NETINV"/>
      <sheetName val="PpdExp.PpdInsurance&amp;Rent&amp;Other"/>
      <sheetName val="PpdExp.OtHPpdExp.Deposits"/>
      <sheetName val="AdvPayVendor"/>
      <sheetName val="PPE"/>
      <sheetName val="FA Depreciation List"/>
      <sheetName val="CIP.Equipment"/>
      <sheetName val="NetCompSoftware.CompSoftware"/>
      <sheetName val="OtherIntang.OtherAssets"/>
      <sheetName val="ToolDies.InProcess"/>
      <sheetName val="ToolDies.NonRecov"/>
      <sheetName val="TradeAP.Domestic"/>
      <sheetName val="TradeAP.RecptNotVouch"/>
      <sheetName val="OtherAP.Other"/>
      <sheetName val="STNotePay.NotePayCur"/>
      <sheetName val="ICPAYABLE"/>
      <sheetName val="AccOthTax.VAT"/>
      <sheetName val="AccOthTax.Duties"/>
      <sheetName val="AccPropTaxReal Property Tax"/>
      <sheetName val="Accrued LiabilitiesInsurance"/>
      <sheetName val="Accrued LiabilitiesRent"/>
      <sheetName val="AccLiabOthInterest"/>
      <sheetName val="AccLiabOthWarranty &amp; Quality"/>
      <sheetName val="AccLiabOthAudit Fees"/>
      <sheetName val="OthCurLiabDeferredToolingProfit"/>
      <sheetName val="AccLiabOth.Other"/>
      <sheetName val="Emp"/>
      <sheetName val="ICNotes"/>
      <sheetName val="STOCKEQUITY"/>
      <sheetName val="Saiyang GAPLC"/>
      <sheetName val="Saiyang BS LC"/>
      <sheetName val="Saiyang IS LC"/>
      <sheetName val="Summary-Horizontal"/>
      <sheetName val="Summary-Vertical"/>
      <sheetName val="Material"/>
      <sheetName val="Package-Horizontal"/>
      <sheetName val="Package-Vertical"/>
      <sheetName val="Outbound Cost"/>
      <sheetName val="Process-Full process"/>
      <sheetName val="Process Cost"/>
      <sheetName val="Costed BOM (2)"/>
      <sheetName val="Product Cost Summary"/>
      <sheetName val="Business Case"/>
      <sheetName val="IRR"/>
      <sheetName val="Business Plan"/>
      <sheetName val="BizPlan-1"/>
      <sheetName val="BizPlan-2"/>
      <sheetName val="JIT"/>
      <sheetName val="Removal Capital"/>
      <sheetName val="Labor"/>
      <sheetName val="Roadmap"/>
      <sheetName val="人员配置表"/>
      <sheetName val="PCS-JIT Yantai"/>
      <sheetName val="审计费"/>
      <sheetName val="I_S IC Accounts"/>
      <sheetName val="ADMINISTRATION"/>
      <sheetName val="ENTITY_QUERY"/>
      <sheetName val="Instruction"/>
      <sheetName val="formula"/>
      <sheetName val="Income Stmt"/>
      <sheetName val="Cost&amp;saving"/>
      <sheetName val="Freight"/>
      <sheetName val="Plant efficiency"/>
      <sheetName val="MVP vs prior"/>
      <sheetName val="MVP_Monthly"/>
      <sheetName val="Variable Margin"/>
      <sheetName val="Balance Sht"/>
      <sheetName val="Budget_IS"/>
      <sheetName val="Budget_expenses"/>
      <sheetName val="Unit Cost"/>
      <sheetName val="4Q02 Walk - 1f"/>
      <sheetName val="2002 Walk - 1"/>
      <sheetName val="1Q03 Walk - 2f"/>
      <sheetName val="2003 Walk - 2"/>
      <sheetName val="Fin. Summary - 3"/>
      <sheetName val="Highlights - 5f"/>
      <sheetName val="Highlights - 5"/>
      <sheetName val="Sales - 10f"/>
      <sheetName val="OpMarg - 10"/>
      <sheetName val="?????"/>
      <sheetName val="Interst 30.09.09"/>
      <sheetName val="Cap Ex"/>
      <sheetName val="IO List"/>
      <sheetName val="BMS BOQ"/>
      <sheetName val="Lead splm"/>
      <sheetName val="SLP Data"/>
      <sheetName val="Lead SLPM."/>
      <sheetName val="SLPM Data"/>
      <sheetName val="FORM7"/>
      <sheetName val="Extract"/>
      <sheetName val="12111001"/>
      <sheetName val="13870000"/>
      <sheetName val="15111501"/>
      <sheetName val="15312001"/>
      <sheetName val="15312002"/>
      <sheetName val="15353000"/>
      <sheetName val="15378000"/>
      <sheetName val="15417000"/>
      <sheetName val="15433508 "/>
      <sheetName val="15513000"/>
      <sheetName val="15570000"/>
      <sheetName val="15570502"/>
      <sheetName val="15570503"/>
      <sheetName val="15570506"/>
      <sheetName val="15618000"/>
      <sheetName val="15722701"/>
      <sheetName val="15892505"/>
      <sheetName val="15892508"/>
      <sheetName val="15892509"/>
      <sheetName val="15892757"/>
      <sheetName val="15923000"/>
      <sheetName val="16155502"/>
      <sheetName val="28483501"/>
      <sheetName val="CH1031"/>
      <sheetName val="PB1035"/>
      <sheetName val="HP1033"/>
      <sheetName val="UT1034"/>
      <sheetName val="DL1041"/>
      <sheetName val="SWLDL4041"/>
      <sheetName val="SWLCH4031"/>
      <sheetName val="SWLUT4034"/>
      <sheetName val="SWLHP4033"/>
      <sheetName val="HLDL2013"/>
      <sheetName val="HLUT2034"/>
      <sheetName val="Sales return after Mar-07"/>
      <sheetName val="Opening Balance"/>
      <sheetName val="FIXASET"/>
      <sheetName val="Note"/>
      <sheetName val="Details 2"/>
      <sheetName val="PL Depn"/>
      <sheetName val="INTERNAL REPORT"/>
      <sheetName val="DUE DELIGENCE"/>
      <sheetName val="IPO"/>
      <sheetName val="Wdv"/>
      <sheetName val="RFDETAIL"/>
      <sheetName val="C.O."/>
      <sheetName val="pack pnl-99"/>
      <sheetName val="old_serial no."/>
      <sheetName val="tot_ass_9697"/>
      <sheetName val="MSSL-Presentation, Action,  (2)"/>
      <sheetName val="Indo-Tech "/>
      <sheetName val="Intangibles Amort Sched"/>
      <sheetName val="MOR-GAP"/>
      <sheetName val="BCOST"/>
      <sheetName val="B COST DETAIL"/>
      <sheetName val="C&amp;B DETAIL"/>
      <sheetName val="ORDERS REPORT"/>
      <sheetName val="EMPLOYMENT"/>
      <sheetName val="AGENDA"/>
      <sheetName val="Task Breakdown"/>
      <sheetName val="Cash-Flow"/>
      <sheetName val="Detailed Costs"/>
      <sheetName val="2 - RTU_HMI Eng"/>
      <sheetName val="3 - Instalation"/>
      <sheetName val="4 - Panels"/>
      <sheetName val="5 - RTU Parts"/>
      <sheetName val="6 - HMI"/>
      <sheetName val="7 - T&amp;L"/>
      <sheetName val="8 - Training"/>
      <sheetName val="9 - Transport"/>
      <sheetName val="10 - Import Taxes and Hedge"/>
      <sheetName val="11 - Spare Parts &amp; Tools"/>
      <sheetName val="12 - Special Development"/>
      <sheetName val="13 - Maintenance Agreement"/>
      <sheetName val="Price - Sheet"/>
      <sheetName val="A - Proposta"/>
      <sheetName val="B - Proposta"/>
      <sheetName val="C - Proposta"/>
      <sheetName val="Tabela de Preços"/>
      <sheetName val="Reduções de preço"/>
      <sheetName val="Cronograma de desembolso"/>
      <sheetName val="Cronograma de desembolso B"/>
      <sheetName val="5.1 - D20 Pricing - nao usar"/>
      <sheetName val="5.2 - D200 Pricing - nao usar"/>
      <sheetName val="5.3 - Redundant D200 nao usar"/>
      <sheetName val="QE31-Mar-10"/>
      <sheetName val="Bal Sheet"/>
      <sheetName val="Sch 1to4"/>
      <sheetName val="FA Sch 5"/>
      <sheetName val="Sch 6 Inv"/>
      <sheetName val="Inv Details"/>
      <sheetName val="Sch 7 CA"/>
      <sheetName val="Sch 7 LA, 8"/>
      <sheetName val="Sch 9,10,11"/>
      <sheetName val="Sch 12,13,14,15"/>
      <sheetName val="Sch 16,17"/>
      <sheetName val="Grp Sch"/>
      <sheetName val="Tax, Def Tax"/>
      <sheetName val="IT Depn"/>
      <sheetName val="Wealth Tax"/>
      <sheetName val="Wealth Tax workings"/>
      <sheetName val="Ratio Analysis"/>
      <sheetName val="Debtors Analysis"/>
      <sheetName val="Provision for bad debts"/>
      <sheetName val="BG Status"/>
      <sheetName val="C-Form status"/>
      <sheetName val="Additions to FA"/>
      <sheetName val="Saidapet asset sale"/>
      <sheetName val="Marco template"/>
      <sheetName val="Walk"/>
      <sheetName val="TY est as of Jan"/>
      <sheetName val="PROFIT AND LOSS (2)"/>
      <sheetName val="Summary Presentation"/>
      <sheetName val="Shari's Estimates"/>
      <sheetName val="Top 25 - External"/>
      <sheetName val="FW 15 External"/>
      <sheetName val="FW15 Internal"/>
      <sheetName val="FW 15 External Workings"/>
      <sheetName val="Top 25 Orders"/>
      <sheetName val="GECARS Open Items Report - Dec"/>
      <sheetName val="Debit bal transfer - BRIO - Dec"/>
      <sheetName val="Brio - not due - Dec"/>
      <sheetName val="CRMPS raw"/>
      <sheetName val="CRMPS Summary"/>
      <sheetName val="December OFA raw"/>
      <sheetName val="December OFA summary"/>
      <sheetName val="All Data"/>
      <sheetName val=" Summary"/>
      <sheetName val="Receivable overview"/>
      <sheetName val="BHA Receivables Overview"/>
      <sheetName val="GEIS Receivables Overview"/>
      <sheetName val="xtab"/>
      <sheetName val="Salient features"/>
      <sheetName val="Cashflow "/>
      <sheetName val="Cashflow Workings"/>
      <sheetName val="Journals"/>
      <sheetName val="COA"/>
      <sheetName val="ConsSched"/>
      <sheetName val="OP TB April 10"/>
      <sheetName val="OCTOBER PROVISION"/>
      <sheetName val="Expense details"/>
      <sheetName val="contract Labour"/>
      <sheetName val="PF&amp;ESI CONT"/>
      <sheetName val="ROYALTY"/>
      <sheetName val="PR"/>
      <sheetName val="S2G"/>
      <sheetName val="Reconciliation"/>
      <sheetName val="Press release"/>
      <sheetName val="Sch 7 8 9"/>
      <sheetName val="Sch 10 11 12"/>
      <sheetName val="Sch 13"/>
      <sheetName val="Sch 14,15.16"/>
      <sheetName val="Sch 17"/>
      <sheetName val="TB "/>
      <sheetName val="Accruals"/>
      <sheetName val="IT Depn "/>
      <sheetName val="IT Prov"/>
      <sheetName val="AS 11 "/>
      <sheetName val="Sales Register"/>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Def Tax"/>
      <sheetName val="LOSS"/>
      <sheetName val="TDS-List"/>
      <sheetName val="IIC Deletion (3)"/>
      <sheetName val="MainPage"/>
      <sheetName val="DR"/>
      <sheetName val="DR-Anx"/>
      <sheetName val="CARO"/>
      <sheetName val="CAROApp"/>
      <sheetName val="FundFlow"/>
      <sheetName val="BSSch"/>
      <sheetName val="FASch"/>
      <sheetName val="PLSch"/>
      <sheetName val="GR-BS"/>
      <sheetName val="GR-PL"/>
      <sheetName val="AS22"/>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 val="Balance Sheet "/>
      <sheetName val="P&amp;L "/>
      <sheetName val="BS - Schedules"/>
      <sheetName val="P&amp;L Schedules"/>
      <sheetName val="sub-sch"/>
      <sheetName val="Groupings"/>
      <sheetName val="Part IV"/>
      <sheetName val="TRIAL-GROUPING"/>
      <sheetName val="FIXED ASSETS FINAL (Rs. lacs)"/>
      <sheetName val="FIXEDASSET-MINERALS-FINAL"/>
      <sheetName val="PRVOSNL FA 0102"/>
      <sheetName val="FA - DEP SCH - ACCTS - 0102 "/>
      <sheetName val="Related Party Disclosure"/>
      <sheetName val="Cash Flow Statement"/>
      <sheetName val="Messages"/>
      <sheetName val="REFERENCES"/>
      <sheetName val="OPERATING ST"/>
      <sheetName val="CASH FLOW ST"/>
      <sheetName val="FINANCIAL SIT"/>
      <sheetName val="1. MACRO AND OS"/>
      <sheetName val="1.1. MACROECONOMIC INFO"/>
      <sheetName val="1.2. OPERATING STATEMENT"/>
      <sheetName val="1.3.A OS BUSINESS BGT"/>
      <sheetName val="1.4 SALES VARIATION BREAKDOWN"/>
      <sheetName val="1.5. MARGIN VARIATION"/>
      <sheetName val="2. VOLUMES &amp; PRICES"/>
      <sheetName val="2.1 SALES &amp; PRODUCTION VOLU"/>
      <sheetName val="2.2 CHANGES SALES PRICE"/>
      <sheetName val="3. COSTS &amp; EXPENSES"/>
      <sheetName val="2.1 SALES &amp; PRODUCTION VOLU (2)"/>
      <sheetName val="2.1 SALES &amp; PRODUCTION VOLU (3)"/>
      <sheetName val="3.1.A PERSONNEL "/>
      <sheetName val="3.1.B Org.chart "/>
      <sheetName val="3.2. PRODUCTION COSTS ALWAR"/>
      <sheetName val="Cost Kg Analisys Alwar Plant"/>
      <sheetName val="3.2. PROD. COSTS DEWAS"/>
      <sheetName val="Cost Kg Analysis Dewas Plant"/>
      <sheetName val="3.2. PROD. COSTS PERUNDURAI"/>
      <sheetName val="Cost Kg Analy Perundurai Plant"/>
      <sheetName val="3.2. PROD. COSTS RANIPET"/>
      <sheetName val="Cost Kg Analysis Ranipet"/>
      <sheetName val="3.2. PROD. COSTS ALL PLANTS"/>
      <sheetName val="3.3. OTHER COSTS"/>
      <sheetName val="3.4. GNRL.PRODUCTION alwar "/>
      <sheetName val="3.4. GNRL.PRODUCTION Dewas"/>
      <sheetName val="3.4. GNRL.PRODUCTION Ranipet "/>
      <sheetName val="3.4. GNRL.PRODUCTION Perund"/>
      <sheetName val="3.4. GNRL.PRODUCTION HO"/>
      <sheetName val="3.5 MArketing &amp; Sales"/>
      <sheetName val="3.5.B. PROM &amp; ADV"/>
      <sheetName val="3.6 Managem &amp; Admin"/>
      <sheetName val="3.7. FINANCIAL EXPENSES"/>
      <sheetName val="3.8 A.R. VALUE ADJUSTMENT "/>
      <sheetName val="3.9 ATYPICAL"/>
      <sheetName val="3.10 TAX"/>
      <sheetName val="4. CASHFLOW "/>
      <sheetName val="4.1 CASHFLOW STATEM. &amp; FIN."/>
      <sheetName val="4.2 Investment Budget"/>
      <sheetName val="4.2.A INVEST BUDGET Alwar"/>
      <sheetName val="4.2.B INVEST BUDGET DEWAS"/>
      <sheetName val="4.2.C INVEST BUDGET Ranipet"/>
      <sheetName val="4.2.D INVEST BUDGET PERUNDURAI"/>
      <sheetName val="4.2.E INVEST BUDGET ALLIED PROD"/>
      <sheetName val="4.2.E INVEST BUDGET HO"/>
      <sheetName val="4.4. Working capital details"/>
      <sheetName val="4.5 WORKING CAPITAL RATIO"/>
      <sheetName val="4.6. ASSETS"/>
      <sheetName val="4.7. EQUITY &amp; LIABILITIES"/>
      <sheetName val="5. ANNEX"/>
      <sheetName val="5. 1 DETAIL INVESTMENTS"/>
      <sheetName val="5. 2 HEADCOUNT DETAIL"/>
      <sheetName val="5.2A YE HEADCOUNT DETAIL"/>
      <sheetName val="ALESSI"/>
      <sheetName val="LIVING"/>
      <sheetName val="PALOMBA"/>
      <sheetName val="FORM"/>
      <sheetName val="CHULETA"/>
      <sheetName val="OPST"/>
      <sheetName val="Capital Expenditure"/>
      <sheetName val="WUPDATA"/>
      <sheetName val="Challan"/>
      <sheetName val="ACTIVO"/>
      <sheetName val="Cash payments _Rs_20_000"/>
      <sheetName val="Franchise Input"/>
      <sheetName val="OC5_Push Diag"/>
      <sheetName val="Settings"/>
      <sheetName val="한계원가"/>
      <sheetName val="유통망계획"/>
      <sheetName val="RELACION REFERENCIAS"/>
      <sheetName val="_____"/>
      <sheetName val="IT_FBT_DDTP"/>
      <sheetName val="Gap Analysis "/>
      <sheetName val="wHist_Data"/>
      <sheetName val="wInit_Frct_Data"/>
      <sheetName val="wFinal_Frct_Data"/>
      <sheetName val="oracleTB"/>
      <sheetName val="Reasons"/>
      <sheetName val="Flash "/>
      <sheetName val="high"/>
      <sheetName val="PL "/>
      <sheetName val="FP"/>
      <sheetName val="VARIANCE ANALYSIS"/>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int"/>
      <sheetName val="wc"/>
      <sheetName val="grist comp"/>
      <sheetName val="production"/>
      <sheetName val="RM CONS"/>
      <sheetName val="RM CONS YTD"/>
      <sheetName val="CHEM CONS"/>
      <sheetName val="CHEM CONS YTD"/>
      <sheetName val="PM CONS"/>
      <sheetName val="PM CONS YTD"/>
      <sheetName val="consumption 1 2003"/>
      <sheetName val="CONSUMPTIONYTD"/>
      <sheetName val="WIP workings"/>
      <sheetName val="WORKINGS"/>
      <sheetName val="Royalty-cal"/>
      <sheetName val="SALES -monthly"/>
      <sheetName val="Depreication"/>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DEC WAGES "/>
      <sheetName val="DEC  EXP "/>
      <sheetName val="Creditors "/>
      <sheetName val="Stock Statement"/>
      <sheetName val="ytd adj"/>
      <sheetName val="Reco YTD SEPT 02"/>
      <sheetName val="Exp-YTD SEPT  02"/>
      <sheetName val="Int,Salary YTD SEPT  02"/>
      <sheetName val="SHARE CAPITAL"/>
      <sheetName val="R &amp; s"/>
      <sheetName val="Res &amp; surplus"/>
      <sheetName val="SEC LOAN "/>
      <sheetName val="UN-SEC.LOAN"/>
      <sheetName val="CASHBANK"/>
      <sheetName val="LOANS-ADV"/>
      <sheetName val="LIABILITIES"/>
      <sheetName val="PROVISION"/>
      <sheetName val="OTHER INC."/>
      <sheetName val="FinishedTraded Goods"/>
      <sheetName val="Int &amp; Fin chgs"/>
      <sheetName val="Extord-schedule"/>
      <sheetName val="Purchases"/>
      <sheetName val="Trial Bal 280203"/>
      <sheetName val="Monthly exp"/>
      <sheetName val="Billing Data"/>
      <sheetName val="WIP 280203"/>
      <sheetName val="Schedules BS"/>
      <sheetName val="Sch-7"/>
      <sheetName val="Schedules PL"/>
      <sheetName val="TB07"/>
      <sheetName val="TB06"/>
      <sheetName val="TB05"/>
      <sheetName val="TB04"/>
      <sheetName val="TB03"/>
      <sheetName val="Sec 212"/>
      <sheetName val="depre logic"/>
      <sheetName val="far pivot"/>
      <sheetName val="Fareg"/>
      <sheetName val="cap commitment"/>
      <sheetName val="DF"/>
      <sheetName val="DT"/>
      <sheetName val="AP"/>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AppA1-1"/>
      <sheetName val="AppA1-2"/>
      <sheetName val="AppA2-1"/>
      <sheetName val="AppA2-2"/>
      <sheetName val="AppA3"/>
      <sheetName val="AppA4"/>
      <sheetName val="July"/>
      <sheetName val="Contents"/>
      <sheetName val="ES1"/>
      <sheetName val="ES2"/>
      <sheetName val="ES3"/>
      <sheetName val="ES4"/>
      <sheetName val="Contents (2)"/>
      <sheetName val="ES1 (2)"/>
      <sheetName val="ES3 (2)"/>
      <sheetName val="ES5"/>
      <sheetName val="ES6"/>
      <sheetName val="ES7"/>
      <sheetName val="F-1"/>
      <sheetName val="L"/>
      <sheetName val="M"/>
      <sheetName val="CC"/>
      <sheetName val="PB"/>
      <sheetName val="BP"/>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20"/>
      <sheetName val="21"/>
      <sheetName val="30"/>
      <sheetName val="40"/>
      <sheetName val="50"/>
      <sheetName val="DD-10"/>
      <sheetName val="FF-21(a)"/>
      <sheetName val="BPR"/>
      <sheetName val="Materiality"/>
      <sheetName val="F-6"/>
      <sheetName val="F-7"/>
      <sheetName val="F7wkg"/>
      <sheetName val="F-9"/>
      <sheetName val="BPR balance sheet"/>
      <sheetName val="BPR profit &amp; loss"/>
      <sheetName val="BPR BS analysis"/>
      <sheetName val="BPR PL analysis"/>
      <sheetName val="A-22"/>
      <sheetName val="B-1"/>
      <sheetName val="C-1"/>
      <sheetName val="N"/>
      <sheetName val="U"/>
      <sheetName val="U-100"/>
      <sheetName val="FF"/>
      <sheetName val="FF-10"/>
      <sheetName val="FF-20"/>
      <sheetName val="CA"/>
      <sheetName val="FF-22(hp)"/>
      <sheetName val="FF-23(d)"/>
      <sheetName val="FF-30"/>
      <sheetName val="FF-31"/>
      <sheetName val="FF-40"/>
      <sheetName val="PP"/>
      <sheetName val="PP(spare)"/>
      <sheetName val="PP-20"/>
      <sheetName val="31"/>
      <sheetName val="AA"/>
      <sheetName val="BB"/>
      <sheetName val="BB-1"/>
      <sheetName val="MM"/>
      <sheetName val="NN-12"/>
      <sheetName val="PP-30"/>
      <sheetName val="PP-31"/>
      <sheetName val="PP-40"/>
      <sheetName val="BPR-1"/>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Module2"/>
      <sheetName val="Module3"/>
      <sheetName val="Future"/>
      <sheetName val="Attachment"/>
      <sheetName val="30 "/>
      <sheetName val="Consol adjustments"/>
      <sheetName val="Goodwill"/>
      <sheetName val="Financial stats"/>
      <sheetName val="Segment - 2002 (new)"/>
      <sheetName val="Segment - 2002"/>
      <sheetName val="Changes in equity"/>
      <sheetName val="Inter-co"/>
      <sheetName val="Inter-co(subsidiary)"/>
      <sheetName val="MI"/>
      <sheetName val="FA-detailed"/>
      <sheetName val="P&amp;L-disclosure(2002)"/>
      <sheetName val="P&amp;L disclosure(2001)"/>
      <sheetName val="Cash flow -2001"/>
      <sheetName val="Consol cashflow"/>
      <sheetName val="URP"/>
      <sheetName val="Dev Expenditure"/>
      <sheetName val="CF-1 2-unused"/>
      <sheetName val="Disposal"/>
      <sheetName val="Associate"/>
      <sheetName val="FA movement "/>
      <sheetName val="FA-summary"/>
      <sheetName val="CF-13"/>
      <sheetName val="CF-10-unused"/>
      <sheetName val="CF-11- unused"/>
      <sheetName val="FACON- unused"/>
      <sheetName val="CF-3 1999 - unused"/>
      <sheetName val="CF-22- unused"/>
      <sheetName val="Sheet1- unused"/>
      <sheetName val="000000"/>
      <sheetName val="bhb0603"/>
      <sheetName val="OS"/>
      <sheetName val="BPR-PL "/>
      <sheetName val="BPR-BS"/>
      <sheetName val="F-1,2"/>
      <sheetName val="F-99"/>
      <sheetName val="A-1"/>
      <sheetName val="A-10"/>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Bank Rec review"/>
      <sheetName val="A-2"/>
      <sheetName val="C-10"/>
      <sheetName val="NRV-1"/>
      <sheetName val="NRV-2"/>
      <sheetName val="N-10"/>
      <sheetName val="N-11"/>
      <sheetName val="N-12"/>
      <sheetName val="N-20"/>
      <sheetName val="AA-3"/>
      <sheetName val="CC-24"/>
      <sheetName val="CC-50"/>
      <sheetName val="25"/>
      <sheetName val="Statement"/>
      <sheetName val="auditor"/>
      <sheetName val="acs"/>
      <sheetName val="xxx"/>
      <sheetName val="accumdeprn"/>
      <sheetName val="addl cost"/>
      <sheetName val="dev_exp (2)"/>
      <sheetName val="dev_exp"/>
      <sheetName val="Addl Dev Exp"/>
      <sheetName val="F-2 (2)"/>
      <sheetName val="CF-IS"/>
      <sheetName val="CF-SCE"/>
      <sheetName val="DIVIDENDS"/>
      <sheetName val="Cash Flows"/>
      <sheetName val="Profit anal"/>
      <sheetName val="F-1l F-2"/>
      <sheetName val="Statement of Equity"/>
      <sheetName val="5 Analysis"/>
      <sheetName val="   Contents"/>
      <sheetName val="1 LeadSchedule"/>
      <sheetName val="2 Sec108"/>
      <sheetName val="3 P&amp;L - 4 Op.Exp"/>
      <sheetName val="3A Turnover 3B COS"/>
      <sheetName val="   Directors"/>
      <sheetName val="Shareholders"/>
      <sheetName val="Dividend"/>
      <sheetName val="ITA-RA"/>
      <sheetName val="Int-rest"/>
      <sheetName val="OTHER (2)"/>
      <sheetName val="Company Info"/>
      <sheetName val="Summary of Fixed Assets"/>
      <sheetName val="Disposals"/>
      <sheetName val="Hire Purch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gl"/>
      <sheetName val="OSM"/>
      <sheetName val="AWPs Template"/>
      <sheetName val="A2-1 CLA"/>
      <sheetName val="A2-2 RJE"/>
      <sheetName val="A2-3 SAD"/>
      <sheetName val="A3"/>
      <sheetName val="A8"/>
      <sheetName val="Review Recon"/>
      <sheetName val="Review Cash book"/>
      <sheetName val="E1"/>
      <sheetName val="E3 Recoverability"/>
      <sheetName val="E-1_Recoverability"/>
      <sheetName val="E-2"/>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
      <sheetName val="Unrecorded"/>
      <sheetName val="O"/>
      <sheetName val="O-1_Prov.Tax-2004"/>
      <sheetName val="Capital allowance"/>
      <sheetName val="P"/>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Cover "/>
      <sheetName val="Direct Report"/>
      <sheetName val="Dtr Rpt - 1 - 3"/>
      <sheetName val="Dtrs stmt - 4"/>
      <sheetName val="Aud Rpt - 5"/>
      <sheetName val="P&amp;L - 6"/>
      <sheetName val="BS - 7"/>
      <sheetName val="Equity - 8"/>
      <sheetName val="CF - 9"/>
      <sheetName val="Notes - 10 - 12"/>
      <sheetName val="Sch A"/>
      <sheetName val="Notes 2"/>
      <sheetName val="cashflowcomp"/>
      <sheetName val="cashflowcomp (2)"/>
      <sheetName val="A2l2"/>
      <sheetName val="Q"/>
      <sheetName val="OS list"/>
      <sheetName val="A3l1"/>
      <sheetName val="A3l1-1"/>
      <sheetName val="A2l1-RJE"/>
      <sheetName val="A2l2-CLA"/>
      <sheetName val="A2l3-SAD"/>
      <sheetName val="C8"/>
      <sheetName val="EA"/>
      <sheetName val="EC"/>
      <sheetName val="E1l1"/>
      <sheetName val="E7"/>
      <sheetName val="F1"/>
      <sheetName val="F2"/>
      <sheetName val="F3"/>
      <sheetName val="F4"/>
      <sheetName val="F5"/>
      <sheetName val="F6"/>
      <sheetName val="GA"/>
      <sheetName val="G1"/>
      <sheetName val="G2"/>
      <sheetName val="G4"/>
      <sheetName val="H1"/>
      <sheetName val="IA"/>
      <sheetName val="K1"/>
      <sheetName val="K2"/>
      <sheetName val="K3"/>
      <sheetName val="K3l1"/>
      <sheetName val="K4"/>
      <sheetName val="K5"/>
      <sheetName val="K6"/>
      <sheetName val="K7"/>
      <sheetName val="N1"/>
      <sheetName val="N2"/>
      <sheetName val="N8"/>
      <sheetName val="N9"/>
      <sheetName val="OA"/>
      <sheetName val="O1"/>
      <sheetName val="O2-CA"/>
      <sheetName val="O3-Disposal"/>
      <sheetName val="O4"/>
      <sheetName val="P1l2"/>
      <sheetName val="R"/>
      <sheetName val="R1-Sch I"/>
      <sheetName val="R2-Sch IIa"/>
      <sheetName val="R3-Sch IIb"/>
      <sheetName val="R4-Sch III"/>
      <sheetName val="R5-NQA04"/>
      <sheetName val="R6-NQA03"/>
      <sheetName val="R1"/>
      <sheetName val="R1l1"/>
      <sheetName val="R1l2"/>
      <sheetName val="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1"/>
      <sheetName val="C2 FD"/>
      <sheetName val="G2-1 "/>
      <sheetName val="K1-2 Policy"/>
      <sheetName val="N7Accrual"/>
      <sheetName val="Q1"/>
      <sheetName val="Q1-1"/>
      <sheetName val="U1income statm"/>
      <sheetName val="u1ar"/>
      <sheetName val="U2direct cost"/>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UA"/>
      <sheetName val="accounts"/>
      <sheetName val="stmt of equity"/>
      <sheetName val="auditors' report"/>
      <sheetName val="Attach"/>
      <sheetName val="Hypo"/>
      <sheetName val="AP110 sup"/>
      <sheetName val="AP110sup"/>
      <sheetName val="FF "/>
      <sheetName val="FF-2 (1)"/>
      <sheetName val="FF-2 (2)"/>
      <sheetName val="FF-2 (3)"/>
      <sheetName val="KK-1"/>
      <sheetName val="MM-1"/>
      <sheetName val="MM-10"/>
      <sheetName val="NN-1"/>
      <sheetName val="Payroll"/>
      <sheetName val="U dis (3)"/>
      <sheetName val="U dis (2)"/>
      <sheetName val="F-1,2 (2)"/>
      <sheetName val="F-3 (2)"/>
      <sheetName val="F-22 (2)"/>
      <sheetName val="F-1,2 (3)"/>
      <sheetName val="F-3 (3)"/>
      <sheetName val="F-22 (3)"/>
      <sheetName val="CF-4 "/>
      <sheetName val="CF-1,2"/>
      <sheetName val="CF-3"/>
      <sheetName val="CF-4"/>
      <sheetName val="ccf"/>
      <sheetName val="A5"/>
      <sheetName val="A5l1"/>
      <sheetName val="(U3-2) Realised forex loss"/>
      <sheetName val="(U3) Unrealised forex gain-loss"/>
      <sheetName val="(U3-1) Realised forex gain"/>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CF workings"/>
      <sheetName val="Pg7"/>
      <sheetName val="SumV2"/>
      <sheetName val="WRAP"/>
      <sheetName val="Pg8"/>
      <sheetName val="Actvs Bud"/>
      <sheetName val="Pg15"/>
      <sheetName val="Current Year"/>
      <sheetName val="Pg11"/>
      <sheetName val="OHDcom"/>
      <sheetName val="SRM"/>
      <sheetName val="A6-1l1"/>
      <sheetName val="A6-1l2"/>
      <sheetName val="A3-1"/>
      <sheetName val="A3-3"/>
      <sheetName val="A4"/>
      <sheetName val="A3-7"/>
      <sheetName val="E "/>
      <sheetName val="F "/>
      <sheetName val="G "/>
      <sheetName val="K-1 "/>
      <sheetName val="N-1"/>
      <sheetName val="O-1"/>
      <sheetName val="U1"/>
      <sheetName val="U1-1"/>
      <sheetName val="U2"/>
      <sheetName val="U2-1"/>
      <sheetName val="U3-1"/>
      <sheetName val="Waterfall"/>
      <sheetName val="Sources&amp;Apps"/>
      <sheetName val="Holdco"/>
      <sheetName val="SPV"/>
      <sheetName val="EMIR"/>
      <sheetName val="Output"/>
      <sheetName val="Consol FY08"/>
      <sheetName val="Consol FY09"/>
      <sheetName val="Prop.Summ"/>
      <sheetName val="Val.Sum"/>
      <sheetName val="Prop.Schedule"/>
      <sheetName val="Adjustments"/>
      <sheetName val="Depn"/>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Sensitivity"/>
      <sheetName val="Revenue by tenants"/>
      <sheetName val="Depri Rates"/>
      <sheetName val="FA on 31.12.01"/>
      <sheetName val="FA on 31.3.02-Final"/>
      <sheetName val="FA on 31.12.02-Final"/>
      <sheetName val="FA Add 1.4.02 to 31.12.02"/>
      <sheetName val="FA on 31.12.02"/>
      <sheetName val="FA on 31.12.02 v 1.0"/>
      <sheetName val="Status"/>
      <sheetName val="Controls"/>
      <sheetName val="Sal Break up"/>
      <sheetName val="Segment Workings"/>
      <sheetName val="sal cost"/>
      <sheetName val="Deferred Tax "/>
      <sheetName val="Int on TDS Disallowance"/>
      <sheetName val="IT 09-10"/>
      <sheetName val="Debtors Ageing"/>
      <sheetName val="Cash Flow working "/>
      <sheetName val="CFS Final"/>
      <sheetName val="CF workings - BSR"/>
      <sheetName val="ExistingRangeDetails"/>
      <sheetName val="IEDC"/>
      <sheetName val="FA- Sch"/>
      <sheetName val="Groupings BSR revised"/>
      <sheetName val="FA 2009 - 10"/>
      <sheetName val="IT_DEP "/>
      <sheetName val="Groupings IGAAP"/>
      <sheetName val="Depreciation  fINAL (2)"/>
      <sheetName val="Investments - 2009"/>
      <sheetName val="TB 2010"/>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Audit entries"/>
      <sheetName val="symphony-08-09"/>
      <sheetName val="IT computaion 03"/>
      <sheetName val="FBT"/>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Contribution"/>
      <sheetName val="AcqShares"/>
      <sheetName val="TgtShares"/>
      <sheetName val="Acq IS"/>
      <sheetName val="Tgt IS"/>
      <sheetName val="PFIS"/>
      <sheetName val="SumStat"/>
      <sheetName val="BlankPage"/>
      <sheetName val="Counters"/>
      <sheetName val="Alw"/>
      <sheetName val="Dew"/>
      <sheetName val="Rpt"/>
      <sheetName val="Prd"/>
      <sheetName val="Otros Costes"/>
      <sheetName val=" GGP Alw"/>
      <sheetName val=" GGP Dew"/>
      <sheetName val=" GGP Prd"/>
      <sheetName val=" GGP Rpt"/>
      <sheetName val="Gastos Comerciales"/>
      <sheetName val="Gastos Generales"/>
      <sheetName val="INDICE "/>
      <sheetName val="OPERATING SIT."/>
      <sheetName val="CASHFLOW SIT."/>
      <sheetName val="FINANCIAL SIT."/>
      <sheetName val="1. MACROECONOMIC &amp; OPERATING ST"/>
      <sheetName val="1.1. MACROEC. INDICATORS"/>
      <sheetName val="MB"/>
      <sheetName val="A.1.3.A RESULTS BY BUS. (BGT)"/>
      <sheetName val="A.1.3.B RESULTS BY BUS.(F'CAST)"/>
      <sheetName val="KALE RESULTS BY BUS.(F'CAST)"/>
      <sheetName val="1.4. COMPAR. SALES ANALYSIS"/>
      <sheetName val="1.5. GROSS MARGIN VARIATION AN."/>
      <sheetName val="2.1. SALES &amp; PRODUCT. UTS"/>
      <sheetName val="3.1.B PERSONNEL - ORG. CHART"/>
      <sheetName val="3.2.A PRODUCTION COSTS RANIPET"/>
      <sheetName val="3.2.B PRODUCTION COSTS ALWAR"/>
      <sheetName val="3.2.C PRODUCTION COSTS DEWAS"/>
      <sheetName val="3.2.D PRODUCTION COSTS PERUND"/>
      <sheetName val="3.2.B. PURCHASED COSTS"/>
      <sheetName val="3.4.A GRAL PROD COSTS RANIPET "/>
      <sheetName val="3.4.B GRAL PROD COSTS ALWAR"/>
      <sheetName val="3.4.C GRAL PROD COSTS DEWAS"/>
      <sheetName val="3.4.D GRAL PROD COSTS PERUND"/>
      <sheetName val="3.5.A MARKETING &amp; SALES"/>
      <sheetName val="3.5.B PROMOTION &amp; ADVERTISING"/>
      <sheetName val="3.6. GNRL &amp; ADMIN."/>
      <sheetName val="3.8 A.R. VALUE ADJUSTMENT"/>
      <sheetName val="3.9 NON OPERAT. INCOME &amp; EXPS"/>
      <sheetName val="3.10 TAXES"/>
      <sheetName val="4. CASHFLOW"/>
      <sheetName val="4.1 CASHFL. STATEM &amp; FIN. SIT."/>
      <sheetName val="4.2.INVESTMENT BUDGET"/>
      <sheetName val="4.3. INVESTMENT F'CAST"/>
      <sheetName val="4.4. WORKING CAPITAL DETAIL"/>
      <sheetName val="4.5.A WORKING CAPITAL RATIOS"/>
      <sheetName val="4.5.2 WORKING CAPITAL BGT"/>
      <sheetName val="4.6 ASSETS"/>
      <sheetName val="4.7.EQUITY &amp; LIABILITIES"/>
      <sheetName val="GM COMMENTS"/>
      <sheetName val="322540-StaffWelfare"/>
      <sheetName val="ARD _ BS"/>
      <sheetName val="RPT 71-VOLUME DATA-PCI "/>
      <sheetName val="BSH"/>
      <sheetName val="sch 1,2,3"/>
      <sheetName val="Interest on i-Tax"/>
      <sheetName val="Delloite"/>
      <sheetName val="BS P&amp;L"/>
      <sheetName val="Schedule 4"/>
      <sheetName val="Schedule5"/>
      <sheetName val="STATEMENT OF INCOME"/>
      <sheetName val="DEPIT31032001"/>
      <sheetName val="80HHC DEDUCTION"/>
      <sheetName val="WORKING FOR EXPORT TRADING"/>
      <sheetName val="INT.BANK"/>
      <sheetName val="PREV YR EXP ACTD IN AY 01-02"/>
      <sheetName val="DIVIDEND RECEIVED"/>
      <sheetName val="INT ON TAX FREE BONDS"/>
      <sheetName val="INT. ON INST. BONDS"/>
      <sheetName val="DR BAL WOFF"/>
      <sheetName val="TDS CLAIM"/>
      <sheetName val="CAP.GAINS"/>
      <sheetName val="CAP.GAINS (2)"/>
      <sheetName val="Pioneer Conversions"/>
      <sheetName val="Aditya Packaging"/>
      <sheetName val="Dee Aar Packaging"/>
      <sheetName val="Baweja Traders"/>
      <sheetName val="Amar Udyog"/>
      <sheetName val="Brisk"/>
      <sheetName val="All Accounts Summary"/>
      <sheetName val="Major Account Summ"/>
      <sheetName val="Non-Major Account Summary"/>
      <sheetName val="Major Accounts"/>
      <sheetName val="All Accounts Detail"/>
      <sheetName val="ByProduct Summary"/>
      <sheetName val="FG Summary"/>
      <sheetName val="Allocation of MP"/>
      <sheetName val="Trail Run"/>
      <sheetName val="Pub"/>
      <sheetName val="PL-Print"/>
      <sheetName val="Fund Flow"/>
      <sheetName val="Sch - BS"/>
      <sheetName val="Sch - PL"/>
      <sheetName val="Sch - 8"/>
      <sheetName val="Sch 6&amp;7"/>
      <sheetName val="Reclassification"/>
      <sheetName val="Tax Cal."/>
      <sheetName val="PL-CPP"/>
      <sheetName val="DTA"/>
      <sheetName val="PL Approach"/>
      <sheetName val="Cash Flow Working"/>
      <sheetName val="A03.2 SI Cash Flow"/>
      <sheetName val="JVs"/>
      <sheetName val="A03.2b"/>
      <sheetName val="A03.2c"/>
      <sheetName val="REI"/>
      <sheetName val="Short term loan"/>
      <sheetName val="Trade Payables"/>
      <sheetName val="Pre paid"/>
      <sheetName val="Contractors for work"/>
      <sheetName val="BRS"/>
      <sheetName val="Unbilled Revenue"/>
      <sheetName val="Cost Cutting Opportunities"/>
      <sheetName val="PRECAST lightconc-II"/>
      <sheetName val="PRW"/>
      <sheetName val="PC Master List"/>
      <sheetName val="付属明細書"/>
      <sheetName val="情報通信設備"/>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FINAL REPORT_AGL"/>
      <sheetName val="LEGACY TB"/>
      <sheetName val="ORACLE TB"/>
      <sheetName val="33&amp;89_17最終"/>
      <sheetName val="33&amp;89_18最終"/>
      <sheetName val="33&amp;89_17"/>
      <sheetName val="33&amp;89_18"/>
      <sheetName val="加工"/>
      <sheetName val="ADDRESS"/>
      <sheetName val="FY00 AGILENT OFFICE"/>
      <sheetName val="貸出先3位ﾘｽﾄ"/>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EIFFEL"/>
      <sheetName val="204eiffel"/>
      <sheetName val="04YACCS"/>
      <sheetName val="04 INTRA CLEAR"/>
      <sheetName val="04 INTRA "/>
      <sheetName val="CREDIT INV2 TO BZ"/>
      <sheetName val="YACCS"/>
      <sheetName val="INTRA CLEAR"/>
      <sheetName val="EIFFEL903"/>
      <sheetName val="YACCS903"/>
      <sheetName val="05 EIFEL"/>
      <sheetName val="05YACCS"/>
      <sheetName val="05 INTRA "/>
      <sheetName val="04  INTRA clear "/>
      <sheetName val="04CREDIT INV"/>
      <sheetName val="CREDIT INV2 TO BZ (2)"/>
      <sheetName val="10eiffel"/>
      <sheetName val="10YACCS"/>
      <sheetName val="10 INTRA "/>
      <sheetName val="09  INTRA CLEAR"/>
      <sheetName val="CREDIT INV1"/>
      <sheetName val="Temp1"/>
      <sheetName val="CREDIT INV TO BZ"/>
      <sheetName val="10 INTRA  期末処理"/>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9911"/>
      <sheetName val="0001"/>
      <sheetName val="0002"/>
      <sheetName val="0003"/>
      <sheetName val="0004"/>
      <sheetName val="0006"/>
      <sheetName val="ICMARS vs GL"/>
      <sheetName val="MARS"/>
      <sheetName val="TBAL"/>
      <sheetName val="TBvsMARS  (3)"/>
      <sheetName val="AC DETAIL"/>
      <sheetName val="AC DETAIL-HP"/>
      <sheetName val="AC DETAIL-AGI"/>
      <sheetName val="DTL"/>
      <sheetName val="T_B"/>
      <sheetName val="商法決済仕訳"/>
      <sheetName val="未着品BALANCE"/>
      <sheetName val="建仮１"/>
      <sheetName val="建仮2"/>
      <sheetName val="A (2)"/>
      <sheetName val="Insructions"/>
      <sheetName val="Adj"/>
      <sheetName val="Coding"/>
      <sheetName val="D22TRIALCY"/>
      <sheetName val="D22TRIALPY"/>
      <sheetName val="TRIALPYE"/>
      <sheetName val="Group Code"/>
      <sheetName val="15"/>
      <sheetName val="16"/>
      <sheetName val="17"/>
      <sheetName val="18"/>
      <sheetName val="19"/>
      <sheetName val="22"/>
      <sheetName val="23"/>
      <sheetName val="24"/>
      <sheetName val="2627"/>
      <sheetName val="28"/>
      <sheetName val="29"/>
      <sheetName val="33"/>
      <sheetName val="contgn"/>
      <sheetName val="Note output"/>
      <sheetName val="Vs."/>
      <sheetName val="Others discl"/>
      <sheetName val="SCH D 0413"/>
      <sheetName val="SCH D 0412"/>
      <sheetName val="MOP P5"/>
      <sheetName val="ABS P5"/>
      <sheetName val="Measurement Sheet-P1"/>
      <sheetName val="5M. Sheet"/>
      <sheetName val="7MS_Office"/>
      <sheetName val="Design &amp; Drwng"/>
      <sheetName val="Shaft"/>
      <sheetName val="MTBM"/>
      <sheetName val="PIPE SUPPLY"/>
      <sheetName val="JACKING"/>
      <sheetName val="TESTING"/>
      <sheetName val="commissioning"/>
      <sheetName val="Measurement Sheet-P6"/>
      <sheetName val="8MS_Drg appd. status"/>
      <sheetName val="shaft construction"/>
      <sheetName val="Detail of Alignment"/>
      <sheetName val="9MS_Shaft Const"/>
      <sheetName val="RecoveredExternalLink1"/>
      <sheetName val="BS-ARP"/>
      <sheetName val=" -P&amp;L -ARP"/>
      <sheetName val="P&amp;L-ARP"/>
      <sheetName val="Deprn -reasonability"/>
      <sheetName val="Sub-Schedules"/>
      <sheetName val="TB Dec 2003"/>
      <sheetName val="TB Dec 2002"/>
      <sheetName val="IS-BS-FF-FY09"/>
      <sheetName val="IS-BS-FF -FY10"/>
      <sheetName val="IS-DIvwise"/>
      <sheetName val="Cash flow for Apr to Jul"/>
      <sheetName val="FY12"/>
      <sheetName val="Sch_FA"/>
      <sheetName val="Bal_Gr"/>
      <sheetName val="P&amp;L_Gr"/>
      <sheetName val="CON_TB"/>
      <sheetName val="Mod_RSATB"/>
      <sheetName val="FAC_TB"/>
      <sheetName val="Mod_CorTB"/>
      <sheetName val="Cor_TB"/>
      <sheetName val="RSA_TB"/>
      <sheetName val="MODCSATB"/>
      <sheetName val="CSATB"/>
      <sheetName val="fgval"/>
      <sheetName val="Price Summary"/>
      <sheetName val="Equipment list of CNC SD"/>
      <sheetName val="SDH155M"/>
      <sheetName val="Equip.of155M"/>
      <sheetName val="Sparparts"/>
      <sheetName val="InstallationTools"/>
      <sheetName val="NMS"/>
      <sheetName val="Data Entry"/>
      <sheetName val="Data Lists"/>
      <sheetName val="Monthly Return"/>
      <sheetName val="Age Analysis"/>
      <sheetName val="Bad Debts"/>
      <sheetName val="run"/>
      <sheetName val="Generate Mail-file"/>
      <sheetName val="Header"/>
      <sheetName val="Snapshot"/>
      <sheetName val="Rings Inventory"/>
      <sheetName val="Rings Working Capital"/>
      <sheetName val="Rings Headcount"/>
      <sheetName val="Rings CAPEX"/>
      <sheetName val="Rings Cash Flow"/>
      <sheetName val="Parameter"/>
      <sheetName val="StratPlan 2004_mathematics"/>
      <sheetName val="StratPlan 2004_variances"/>
      <sheetName val="StratPlan 2004_variances_€"/>
      <sheetName val="Comp to prior Strat"/>
      <sheetName val="StratPlan 2003"/>
      <sheetName val="Strat Plan "/>
      <sheetName val="StratPlan 2003_€"/>
      <sheetName val="Overview_SF"/>
      <sheetName val="prod-rest"/>
      <sheetName val="Productivity Graph"/>
      <sheetName val="Sales_HypStruktur_adj for IC"/>
      <sheetName val="Country Information"/>
      <sheetName val="Variance Analysis_2005_€"/>
      <sheetName val="Variance Analysis_extrapol_€"/>
      <sheetName val="Variance Analysis_2005_$"/>
      <sheetName val="ROHA"/>
      <sheetName val="Fixed Assets Check"/>
      <sheetName val="HC- Sal_Hour"/>
      <sheetName val="RING_EUR $"/>
      <sheetName val="RING_EUR €"/>
      <sheetName val="GEAUTOR_2005 by country"/>
      <sheetName val="Earnings Reconc LC"/>
      <sheetName val="FMTPEUR"/>
      <sheetName val="GEAUTRA"/>
      <sheetName val="FMTPTRA"/>
      <sheetName val="GEMACH"/>
      <sheetName val="GEGZIND"/>
      <sheetName val="GEGTRAD"/>
      <sheetName val="GARENOM"/>
      <sheetName val="GARENTR"/>
      <sheetName val="DESENZR"/>
      <sheetName val="SAPANRL"/>
      <sheetName val="SAPAEG"/>
      <sheetName val="FTLE"/>
      <sheetName val="RINSALE"/>
      <sheetName val="RINEUADJ"/>
      <sheetName val="ATCRING"/>
      <sheetName val="GARETS"/>
      <sheetName val="xxx4"/>
      <sheetName val="Capital Summary by Category"/>
      <sheetName val="xxx5"/>
      <sheetName val="GEAUTOR"/>
      <sheetName val="Overall Parameters"/>
      <sheetName val="inputs"/>
      <sheetName val="Roll to 2001"/>
      <sheetName val="Roll to 2002"/>
      <sheetName val="Beyond 2002"/>
      <sheetName val="FAS Asset Roll"/>
      <sheetName val="sec 1"/>
      <sheetName val="sec 2"/>
      <sheetName val="sec 3"/>
      <sheetName val="sec 4"/>
      <sheetName val="sec 5"/>
      <sheetName val="Title"/>
      <sheetName val="Schedule 1"/>
      <sheetName val="Schedule 2"/>
      <sheetName val="Schedule 3"/>
      <sheetName val="Schedule 5"/>
      <sheetName val="Balance Confirmation"/>
      <sheetName val="Direction"/>
      <sheetName val="Vol-MfgRate"/>
      <sheetName val="Overhead"/>
      <sheetName val="DirLabor"/>
      <sheetName val="mcv recon"/>
      <sheetName val="mcv"/>
      <sheetName val="subctor"/>
      <sheetName val="Performance I"/>
      <sheetName val="Performance II"/>
      <sheetName val="brand cost"/>
      <sheetName val="Effy Restate"/>
      <sheetName val="mod3_a"/>
      <sheetName val="mod3"/>
      <sheetName val="mod2"/>
      <sheetName val="modified"/>
      <sheetName val="INS"/>
      <sheetName val="COST CTRS"/>
      <sheetName val="INP"/>
      <sheetName val="MSUM"/>
      <sheetName val="SAL_CHC"/>
      <sheetName val="T&amp;T"/>
      <sheetName val="SW"/>
      <sheetName val="HW"/>
      <sheetName val="PUR_SVC"/>
      <sheetName val="PRF_SVC"/>
      <sheetName val="TEL_COM"/>
      <sheetName val="SUM"/>
      <sheetName val="OTH"/>
      <sheetName val="DA&amp;IC"/>
      <sheetName val="Additional"/>
      <sheetName val="Sept Exit"/>
      <sheetName val="Sept Fresh"/>
      <sheetName val="Operations"/>
      <sheetName val="A1- EBITDA Roll"/>
      <sheetName val="A2 - Pension"/>
      <sheetName val="A3 - NNB"/>
      <sheetName val="A4 - NonSourcing"/>
      <sheetName val="A5-Sourcing"/>
      <sheetName val="B1-Cash Flow"/>
      <sheetName val="B2 - Debt"/>
      <sheetName val="B3 -  Debt Detail"/>
      <sheetName val="Term 1"/>
      <sheetName val="Term 2"/>
      <sheetName val="Term 3"/>
      <sheetName val="Term 4"/>
      <sheetName val="B4 - Ratios"/>
      <sheetName val="C1-OP Cash"/>
      <sheetName val="C2-Working Capital"/>
      <sheetName val="C3 - Cap Ex"/>
      <sheetName val="BU Scenarios"/>
      <sheetName val="Bolt-on"/>
      <sheetName val="Exit Dates"/>
      <sheetName val="C4-Taxes"/>
      <sheetName val="Bill #1"/>
      <sheetName val="Bill #2"/>
      <sheetName val="C5 -Changes"/>
      <sheetName val="Corp Tracking Schedules"/>
      <sheetName val="HYP Export"/>
      <sheetName val="HYP Summary"/>
      <sheetName val="TB Financials"/>
      <sheetName val="MFG Cost Analysis"/>
      <sheetName val="Pushdown"/>
      <sheetName val="# Summary"/>
      <sheetName val="# Run Rate"/>
      <sheetName val="# Sale Plan Summary"/>
      <sheetName val="# FMG GA Sale"/>
      <sheetName val="# Sale Plan Details"/>
      <sheetName val="# Sale value"/>
      <sheetName val="# Production Plan Summary"/>
      <sheetName val="# Raw Material Cost (SAP)"/>
      <sheetName val="# Material Comparision"/>
      <sheetName val="# Jobbing"/>
      <sheetName val="# Steel Rings"/>
      <sheetName val="# Hump Exp &amp; Coil Spr"/>
      <sheetName val="# Power Cost"/>
      <sheetName val="# Production Plan Details"/>
      <sheetName val="# Inter_Activity Trfr."/>
      <sheetName val="# Capacity"/>
      <sheetName val="# Raw Material _ Local Supply"/>
      <sheetName val="# Raw Material Rate_Domestic"/>
      <sheetName val="# Raw Material Rate_Imported"/>
      <sheetName val="# Primary Packing"/>
      <sheetName val="# Secondary Packing"/>
      <sheetName val="# Consumable-Foundry"/>
      <sheetName val="# Consumable-M-Shop"/>
      <sheetName val="# Consumable -Common"/>
      <sheetName val="# Inter-plant Receipt"/>
      <sheetName val="# Inter-plant Transfer"/>
      <sheetName val="# Inventory"/>
      <sheetName val="US Engg"/>
      <sheetName val="US"/>
      <sheetName val="Total"/>
      <sheetName val="CT"/>
      <sheetName val="Merlin"/>
      <sheetName val="nMR"/>
      <sheetName val="Horizon"/>
      <sheetName val="C&amp;B"/>
      <sheetName val="T&amp;L"/>
      <sheetName val="Exchange"/>
      <sheetName val="Julie's Request Form"/>
      <sheetName val="SCR L_E 2002"/>
      <sheetName val="BIMP 13th August"/>
      <sheetName val="LOCAL XRAY (2)"/>
      <sheetName val="CARM"/>
      <sheetName val="LOCAL XRAY"/>
      <sheetName val="c0-1"/>
      <sheetName val="8-9"/>
      <sheetName val="9-0"/>
      <sheetName val="0-1"/>
      <sheetName val="301-2"/>
      <sheetName val="c1-2"/>
      <sheetName val="c2-3"/>
      <sheetName val="2-3"/>
      <sheetName val="NBJ"/>
      <sheetName val="s9-0"/>
      <sheetName val="s0-1"/>
      <sheetName val="s1-2"/>
      <sheetName val="s2-3"/>
      <sheetName val="medical"/>
      <sheetName val="FORM10BA"/>
      <sheetName val="P-1 "/>
      <sheetName val="Sheet Index"/>
      <sheetName val="ENGG"/>
      <sheetName val="420604"/>
      <sheetName val="410112"/>
      <sheetName val="420305"/>
      <sheetName val="420306"/>
      <sheetName val="420322"/>
      <sheetName val="410329"/>
      <sheetName val="410311"/>
      <sheetName val="410302"/>
      <sheetName val="410320"/>
      <sheetName val="410319"/>
      <sheetName val="G.P. Provision - Jan05"/>
      <sheetName val="Summary -Jan05"/>
      <sheetName val="Provision - Dec04"/>
      <sheetName val="Parked Actual"/>
      <sheetName val="Parked Bhawna"/>
      <sheetName val="summary "/>
      <sheetName val="9中ｖｓ基本予算委託研・経費（業務管理BL）"/>
      <sheetName val="Code表"/>
      <sheetName val="☆81連結☆"/>
      <sheetName val="☆82連結☆"/>
      <sheetName val="HM_81ki"/>
      <sheetName val="HM_82ki"/>
      <sheetName val="ASH_82ki"/>
      <sheetName val="TH_82ki"/>
      <sheetName val="ASH_81ki"/>
      <sheetName val="TH_81ki"/>
      <sheetName val="タイ単独元ネタ"/>
      <sheetName val="HVN 04 BrD"/>
      <sheetName val="HVN_2005"/>
      <sheetName val="HVN_2006"/>
      <sheetName val="HVN_2007"/>
      <sheetName val="9MT_ASH_model"/>
      <sheetName val="9MT_ash_PL"/>
      <sheetName val="81Asean配賦"/>
      <sheetName val="81HMまとめ"/>
      <sheetName val="81HM"/>
      <sheetName val="船積台数"/>
      <sheetName val="コスト"/>
      <sheetName val="ﾓﾃﾞﾙ別収益"/>
      <sheetName val="まとめ表"/>
      <sheetName val="枠外・設備・技指料・CBU"/>
      <sheetName val="差異分析"/>
      <sheetName val="差異分析 (3)"/>
      <sheetName val="JM MORGAN -JAN"/>
      <sheetName val="Kotak Liquid-JANM"/>
      <sheetName val="PRUDENTIAL LIQUID-JAN"/>
      <sheetName val="DSP ML LIQUID-JAN"/>
      <sheetName val="Birla Liquid-jan"/>
      <sheetName val="Prudential Floater"/>
      <sheetName val="PP_TOTAL _ ALLIED % increase"/>
      <sheetName val="MANPOWER"/>
      <sheetName val="ALLIED_cash flow"/>
      <sheetName val="ALLIED_WC"/>
      <sheetName val="PP_TOTAL _ ALLIED"/>
      <sheetName val="AHC_PP_FINAL (HO)"/>
      <sheetName val="DGN _ P P"/>
      <sheetName val="RFCL _ PP"/>
      <sheetName val="Barr Laboratories"/>
      <sheetName val="King"/>
      <sheetName val="Pliva USD"/>
      <sheetName val="Pliva - HRK"/>
      <sheetName val="Mylan Labs"/>
      <sheetName val="Watson Pharma"/>
      <sheetName val="Consolidated Sheet"/>
      <sheetName val="Teva"/>
      <sheetName val="Flash_"/>
      <sheetName val="P_&amp;_L"/>
      <sheetName val="PL_"/>
      <sheetName val="VARIANCE_ANALYSIS"/>
      <sheetName val="VAR_-_ACT_VS_BUD"/>
      <sheetName val="_ACT_VS_BUD_WORKINGS(YTD)_"/>
      <sheetName val="_ACT_VS_PR_YEA_WORKINGS(MONTH)_"/>
      <sheetName val="_ACT_VS_BUD_WORKINGS(MONTH)_"/>
      <sheetName val="VAR_-_ACT_VS_BUD_WORKINGS"/>
      <sheetName val="VAR_-_PREV_YR_VS_ACT"/>
      <sheetName val="VAR_-_WORKINGS_PREV_YR_VS_ACT"/>
      <sheetName val="exp_"/>
      <sheetName val="grist_comp"/>
      <sheetName val="RM_CONS"/>
      <sheetName val="RM_CONS_YTD"/>
      <sheetName val="CHEM_CONS"/>
      <sheetName val="CHEM_CONS_YTD"/>
      <sheetName val="PM_CONS"/>
      <sheetName val="PM_CONS_YTD"/>
      <sheetName val="consumption_1_2003"/>
      <sheetName val="WIP_workings"/>
      <sheetName val="SALES_-monthly"/>
      <sheetName val="OTHER_INCOME"/>
      <sheetName val="Creditor_s"/>
      <sheetName val="Debtors_(2)"/>
      <sheetName val="_Creditors"/>
      <sheetName val="cost_sheet_based_on_brew"/>
      <sheetName val="COST_SHEET"/>
      <sheetName val="Cost_sheet_based_on_brews_YTD"/>
      <sheetName val="CL_STOCK"/>
      <sheetName val="COST_SHEET_YTD"/>
      <sheetName val="monthly_exp_"/>
      <sheetName val="monthly__pl_01-02"/>
      <sheetName val="Monthly_pl"/>
      <sheetName val="DEC_WAGES_"/>
      <sheetName val="DEC__EXP_"/>
      <sheetName val="Cash_Flow"/>
      <sheetName val="Creditors_"/>
      <sheetName val="Stock_Statement"/>
      <sheetName val="ytd_adj"/>
      <sheetName val="Reco_YTD_SEPT_02"/>
      <sheetName val="Exp-YTD_SEPT__02"/>
      <sheetName val="Int,Salary_YTD_SEPT__02"/>
      <sheetName val="TRIAL_BALANCE"/>
      <sheetName val="Flash_1"/>
      <sheetName val="P_&amp;_L1"/>
      <sheetName val="PL_1"/>
      <sheetName val="VARIANCE_ANALYSIS1"/>
      <sheetName val="VAR_-_ACT_VS_BUD1"/>
      <sheetName val="_ACT_VS_BUD_WORKINGS(YTD)_1"/>
      <sheetName val="_ACT_VS_PR_YEA_WORKINGS(MONTH)1"/>
      <sheetName val="_ACT_VS_BUD_WORKINGS(MONTH)_1"/>
      <sheetName val="VAR_-_ACT_VS_BUD_WORKINGS1"/>
      <sheetName val="VAR_-_PREV_YR_VS_ACT1"/>
      <sheetName val="VAR_-_WORKINGS_PREV_YR_VS_ACT1"/>
      <sheetName val="exp_1"/>
      <sheetName val="grist_comp1"/>
      <sheetName val="RM_CONS1"/>
      <sheetName val="RM_CONS_YTD1"/>
      <sheetName val="CHEM_CONS1"/>
      <sheetName val="CHEM_CONS_YTD1"/>
      <sheetName val="PM_CONS1"/>
      <sheetName val="PM_CONS_YTD1"/>
      <sheetName val="consumption_1_20031"/>
      <sheetName val="WIP_workings1"/>
      <sheetName val="SALES_-monthly1"/>
      <sheetName val="OTHER_INCOME1"/>
      <sheetName val="Creditor_s1"/>
      <sheetName val="Debtors_(2)1"/>
      <sheetName val="_Creditors1"/>
      <sheetName val="cost_sheet_based_on_brew1"/>
      <sheetName val="COST_SHEET1"/>
      <sheetName val="Cost_sheet_based_on_brews_YTD1"/>
      <sheetName val="CL_STOCK1"/>
      <sheetName val="COST_SHEET_YTD1"/>
      <sheetName val="monthly_exp_1"/>
      <sheetName val="monthly__pl_01-021"/>
      <sheetName val="Monthly_pl1"/>
      <sheetName val="DEC_WAGES_1"/>
      <sheetName val="DEC__EXP_1"/>
      <sheetName val="Cash_Flow1"/>
      <sheetName val="Creditors_1"/>
      <sheetName val="Stock_Statement1"/>
      <sheetName val="ytd_adj1"/>
      <sheetName val="Reco_YTD_SEPT_021"/>
      <sheetName val="Exp-YTD_SEPT__021"/>
      <sheetName val="Int,Salary_YTD_SEPT__021"/>
      <sheetName val="TRIAL_BALANCE1"/>
      <sheetName val="Ack "/>
      <sheetName val="Page8 "/>
      <sheetName val="Page10 "/>
      <sheetName val="Re_grouped"/>
      <sheetName val="Original_format"/>
      <sheetName val="Re_grouped_(2)"/>
      <sheetName val="Re_grouped1"/>
      <sheetName val="Original_format1"/>
      <sheetName val="Re_grouped_(2)1"/>
      <sheetName val="Re grouped"/>
      <sheetName val="Original format"/>
      <sheetName val="Re grouped (2)"/>
      <sheetName val="Page1-New"/>
      <sheetName val="SubSchedules"/>
      <sheetName val="Cons&amp;_Cl_Stk"/>
      <sheetName val="Drs_&amp;_Crs"/>
      <sheetName val="DepotTB"/>
      <sheetName val="Cons&amp;_Cl_Stk1"/>
      <sheetName val="Drs_&amp;_Crs1"/>
      <sheetName val="Cons&amp; Cl Stk"/>
      <sheetName val="Drs &amp; Crs"/>
      <sheetName val="FA Register"/>
      <sheetName val="depreciation Summary"/>
      <sheetName val="FA Register (2)"/>
      <sheetName val="indus"/>
      <sheetName val="Veh (Alto)"/>
      <sheetName val="Motor Cycle"/>
      <sheetName val="Veh (WR)"/>
      <sheetName val="Veh (Zen)"/>
      <sheetName val="Veh (Esteem)"/>
      <sheetName val="Veh (M 800) 1"/>
      <sheetName val="Veh (M 800) 2"/>
      <sheetName val="Veh (SX4)"/>
      <sheetName val="Veh (DZire)"/>
      <sheetName val="Veh (AStar)"/>
      <sheetName val="EECO"/>
      <sheetName val="RITZ"/>
      <sheetName val="VERSA (MSV)"/>
      <sheetName val="Swift"/>
      <sheetName val="Veh (MOS)"/>
      <sheetName val="UPS"/>
      <sheetName val="Tools"/>
      <sheetName val="Sign Board"/>
      <sheetName val="Elec Equip"/>
      <sheetName val="Generator"/>
      <sheetName val="Bldgs"/>
      <sheetName val="Digi Cam"/>
      <sheetName val="Low Temp Drier"/>
      <sheetName val="Auto Lift"/>
      <sheetName val="Display Board"/>
      <sheetName val="Paint Booth"/>
      <sheetName val="Water Cooler"/>
      <sheetName val="Remarks"/>
      <sheetName val="Offer"/>
      <sheetName val="OVER HEADS"/>
      <sheetName val="Product Costing Format"/>
      <sheetName val="931Mh based"/>
      <sheetName val="CS14"/>
      <sheetName val="933Mh based"/>
      <sheetName val="936Mh based"/>
      <sheetName val="BS Schdl-3-Fixed Assets"/>
      <sheetName val="MAINT,QP,COMM"/>
      <sheetName val="SUPPORTING"/>
      <sheetName val="PLGroupings"/>
      <sheetName val="PLAN 01-02"/>
      <sheetName val="Price updates"/>
      <sheetName val="LANGUAGE"/>
      <sheetName val="PART_DISCOUNT"/>
      <sheetName val="7470 MSP (1)"/>
      <sheetName val="7470 MSP (2)"/>
      <sheetName val="7470 MSP (3)"/>
      <sheetName val="7470 MSP (4)"/>
      <sheetName val="7470 MSP (5)"/>
      <sheetName val="7470 MSP (6)"/>
      <sheetName val="7470 MSP (7)"/>
      <sheetName val="7470 MSP (8)"/>
      <sheetName val="7470 MSP (9)"/>
      <sheetName val="7470 MSP (10)"/>
      <sheetName val="7470 MSP (11)"/>
      <sheetName val="7470 MSP (12)"/>
      <sheetName val="7470 MSP (13)"/>
      <sheetName val="7470 MSP (14)"/>
      <sheetName val="7470 MSP (15)"/>
      <sheetName val="7470 MSP (16)"/>
      <sheetName val="7470 MSP (17)"/>
      <sheetName val="7470 MSP (18)"/>
      <sheetName val="7470 MSP (19)"/>
      <sheetName val="7470 MSP (20)"/>
      <sheetName val="7470 MSP Matrix"/>
      <sheetName val="CATEGORY_DISCOUNT"/>
      <sheetName val="Volume"/>
      <sheetName val="Graphs"/>
      <sheetName val="Data Graph"/>
      <sheetName val="MIS-PL"/>
      <sheetName val="gn-div"/>
      <sheetName val="UB-p&amp;L"/>
      <sheetName val="ub"/>
      <sheetName val="group"/>
      <sheetName val="cogs"/>
      <sheetName val="prestn"/>
      <sheetName val="Data File"/>
      <sheetName val="publi"/>
      <sheetName val="Inc Dec - Stock"/>
      <sheetName val="MIS-OH"/>
      <sheetName val="C-COHs"/>
      <sheetName val="INV"/>
      <sheetName val="ub-BS"/>
      <sheetName val="C-Misc Income"/>
      <sheetName val="Presnt-2"/>
      <sheetName val="Raw TB"/>
      <sheetName val="consTB"/>
      <sheetName val="TBrow"/>
      <sheetName val="PC "/>
      <sheetName val="Ratio"/>
      <sheetName val="progrs"/>
      <sheetName val="LLCMIS"/>
      <sheetName val="Q03-04"/>
      <sheetName val="c f Final"/>
      <sheetName val="Q04-05"/>
      <sheetName val="mainBS"/>
      <sheetName val="sc3,4,5 (New)"/>
      <sheetName val="sch-21-mbi1"/>
      <sheetName val="sch-21-mbi2"/>
      <sheetName val="SC-21(1)"/>
      <sheetName val="SC21(2)"/>
      <sheetName val="sc1,2"/>
      <sheetName val="sc3,4"/>
      <sheetName val="sc5"/>
      <sheetName val="sc6,7,8,9"/>
      <sheetName val="sc10,11,12"/>
      <sheetName val="sc13,14,15"/>
      <sheetName val="sc16,17,18,19"/>
      <sheetName val="pwc-cash flow"/>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03-04"/>
      <sheetName val="Optical PL-04-05"/>
      <sheetName val="Eurooptic05-06 PL"/>
      <sheetName val="Eurooptic05-06BS"/>
      <sheetName val="Eurooptic OpticalBS-04-05"/>
      <sheetName val="GDM 0506"/>
      <sheetName val="GDM 0405"/>
      <sheetName val="MBPVL-BS"/>
      <sheetName val="P&amp;L (2)"/>
      <sheetName val="GDM Reco AM"/>
      <sheetName val="ConsBS"/>
      <sheetName val="ConsP&amp;L"/>
      <sheetName val="Conssc1,2"/>
      <sheetName val="Conssc3,4"/>
      <sheetName val="Conssc5"/>
      <sheetName val="Conssc6,7,8,9"/>
      <sheetName val="Conssc10,11,12"/>
      <sheetName val="Conssc13,14,15"/>
      <sheetName val="Conssc16,17,18"/>
      <sheetName val="Cons-pwc-cash flow"/>
      <sheetName val="Cons-Working"/>
      <sheetName val="GDM0405"/>
      <sheetName val="trial balance 30092003"/>
      <sheetName val="Old Sep-03TB"/>
      <sheetName val="Yen Loan-Original"/>
      <sheetName val="_REF"/>
      <sheetName val="Monthwise sale"/>
      <sheetName val="LTA PROVISON AUGUST'10"/>
      <sheetName val="Med. AUGUST'10"/>
      <sheetName val="Transmittal Front Page"/>
      <sheetName val="valn"/>
      <sheetName val="#"/>
      <sheetName val="new summary"/>
      <sheetName val="Pilotage"/>
      <sheetName val="Agency BS"/>
      <sheetName val="MENO"/>
      <sheetName val="Dep 01-02 (2)"/>
      <sheetName val="DEP AS PER I.TAX"/>
      <sheetName val="DEP-BUILD-ADMN"/>
      <sheetName val="Dep 02-03"/>
      <sheetName val="Dep 03-04"/>
      <sheetName val="Add  03-04"/>
      <sheetName val="deletion 03-04"/>
      <sheetName val="deletion"/>
      <sheetName val="Add  02-03"/>
      <sheetName val="Linked.BS"/>
      <sheetName val="Linked.P&amp;L"/>
      <sheetName val="Linked.Schedules"/>
      <sheetName val="sub schedules"/>
      <sheetName val="def tax (2)"/>
      <sheetName val="PFT"/>
      <sheetName val="234 B C INT 06"/>
      <sheetName val="234 B C INT 06 _Final"/>
      <sheetName val="TB oct"/>
      <sheetName val="COMMONSIZE BS"/>
      <sheetName val="Summary TB (2)"/>
      <sheetName val="COMMONSIZE P&amp;L"/>
      <sheetName val="SSB BS"/>
      <sheetName val="Summary TB"/>
      <sheetName val="cash Flow BS"/>
      <sheetName val="CASH FLOW DIRECT"/>
      <sheetName val="CASH FLOW INDIRECT"/>
      <sheetName val="DTA 08"/>
      <sheetName val="Trial updated"/>
      <sheetName val="Dept WISE Exp"/>
      <sheetName val="IT Depr"/>
      <sheetName val="40 a"/>
      <sheetName val="Revenue &amp; Backlog "/>
      <sheetName val="Sc 3 2008"/>
      <sheetName val="Allocation S&amp;M"/>
      <sheetName val="Def tax in tax jurisdiction 1"/>
      <sheetName val="Def tax in tax juris. 2 (rare) "/>
      <sheetName val="Summary &amp; Additional Disclosure"/>
      <sheetName val="MainModule"/>
      <sheetName val="Internal Data"/>
      <sheetName val="D1"/>
      <sheetName val="Indian Depreciation NOV"/>
      <sheetName val="Ind. Dep Saj"/>
      <sheetName val="Master List"/>
      <sheetName val="old compare"/>
      <sheetName val="Sc 3 new"/>
      <sheetName val="FOR OPENING"/>
      <sheetName val="RECAP."/>
      <sheetName val="Category wise Summary"/>
      <sheetName val="Year Wise Reconciliation"/>
      <sheetName val="TAX AUDIT "/>
      <sheetName val="ESI - ws and sr"/>
      <sheetName val="Observations"/>
      <sheetName val="Salary Summary-sr"/>
      <sheetName val="books vs computation-sr"/>
      <sheetName val="Salary Summary-ws"/>
      <sheetName val="books vs computation-ws"/>
      <sheetName val="CY"/>
      <sheetName val="PY FA"/>
      <sheetName val="Employee List"/>
      <sheetName val="GROSS PAY"/>
      <sheetName val="L - Insurance"/>
      <sheetName val="M - HR"/>
      <sheetName val="O - Employee Projection"/>
      <sheetName val="Account info"/>
      <sheetName val="Testing traits"/>
      <sheetName val="All"/>
      <sheetName val="Consultants"/>
      <sheetName val="Promotions"/>
      <sheetName val="Revisions"/>
      <sheetName val="Ref. Sheet"/>
      <sheetName val="P&amp;L Account"/>
      <sheetName val="Sch 1 to 2"/>
      <sheetName val="Sch 3"/>
      <sheetName val="Sch 4 to 11 "/>
      <sheetName val="Sch 12 to 16"/>
      <sheetName val="Admin. Exp"/>
      <sheetName val="TRIAL with adjustment"/>
      <sheetName val="adjustment entries"/>
      <sheetName val="Investments"/>
      <sheetName val="SDebtors"/>
      <sheetName val="Cash"/>
      <sheetName val="Loans&amp;Adv"/>
      <sheetName val="O4 Accrued expenses"/>
      <sheetName val="O4.1 PROV"/>
      <sheetName val="O4.1.1 SALE_APR-DEC'04"/>
      <sheetName val="O4.2 travel"/>
      <sheetName val="O4.3 MED FINAL"/>
      <sheetName val="O4.4 LTA FINAL"/>
      <sheetName val="O4.5 Bonus"/>
      <sheetName val="O4.5.1 Resigned emp"/>
      <sheetName val="O4.6 BONUS-MARSHAL"/>
      <sheetName val="O4.6.1 BONUS-SINGH"/>
      <sheetName val="Excise Payable"/>
      <sheetName val="MED FINAL"/>
      <sheetName val="LTA FINAL"/>
      <sheetName val=" Employee Bonus"/>
      <sheetName val="FSE &amp; ASM Travelling"/>
      <sheetName val="Provision FSE &amp; ASM"/>
      <sheetName val="Actual Expense FSE I"/>
      <sheetName val="Actual Expense FSE II"/>
      <sheetName val="Sundry Debtorwith -Mar'10"/>
      <sheetName val="3. Unbilled Debtors"/>
      <sheetName val="2. Sundry Debtorwith -Mar'10"/>
      <sheetName val="Sch3 "/>
      <sheetName val="Sch4 &amp; 5"/>
      <sheetName val="Sch6 &amp; 7"/>
      <sheetName val="Sch8"/>
      <sheetName val="Sch9 &amp; 10"/>
      <sheetName val="Sch11&amp;12"/>
      <sheetName val="TB-15042010"/>
      <sheetName val="Consolidated Lead"/>
      <sheetName val="summary Trial"/>
      <sheetName val="Computation Final"/>
      <sheetName val="10A"/>
      <sheetName val="Reconciliation of Profit"/>
      <sheetName val="Day Book Audit Enteries"/>
      <sheetName val="Audit Enteries"/>
      <sheetName val="Enteries Passed After BS"/>
      <sheetName val="Enteries to be passed"/>
      <sheetName val="Monthly Variance Sheet"/>
      <sheetName val="HRA Analytical"/>
      <sheetName val="staff-welfare"/>
      <sheetName val="Profile"/>
      <sheetName val="Directexp"/>
      <sheetName val="Monthly Reim Var."/>
      <sheetName val="Reason"/>
      <sheetName val="Summ Reim"/>
      <sheetName val="Reim-Dec'08"/>
      <sheetName val="Reim-Jan'09"/>
      <sheetName val="Reim-Feb'09"/>
      <sheetName val="Reimb-Mar'09"/>
      <sheetName val="Smaples for Reimb check"/>
      <sheetName val="Details for making Memo"/>
      <sheetName val="ProfitandLoss"/>
      <sheetName val="1-8"/>
      <sheetName val="9-10"/>
      <sheetName val="for challans"/>
      <sheetName val="Summary Trial Final (2)"/>
      <sheetName val="Pnl"/>
      <sheetName val="Sc 1&amp;2"/>
      <sheetName val="Sc 3"/>
      <sheetName val="SC 4 &amp; 5"/>
      <sheetName val="SC 6,7 , 8 &amp; 9 "/>
      <sheetName val="Debtors 08"/>
      <sheetName val="Computation (2)"/>
      <sheetName val="Sale &amp; Purchase"/>
      <sheetName val="Summary Trial Final"/>
      <sheetName val="FBT 08"/>
      <sheetName val="Cash  WCR"/>
      <sheetName val="Breakeven Data"/>
      <sheetName val="OPPORTUNITIES"/>
      <sheetName val="Order Intake"/>
      <sheetName val="Order Intake Update"/>
      <sheetName val="Orders Graph"/>
      <sheetName val="Key Figures (2)"/>
      <sheetName val="Orders GM"/>
      <sheetName val="OI MATRIX"/>
      <sheetName val="Proposal Register"/>
      <sheetName val="REVENUE CURVE"/>
      <sheetName val="Sales GM"/>
      <sheetName val="Sales Graph"/>
      <sheetName val="Sales GM Graph"/>
      <sheetName val="Sales Breakup"/>
      <sheetName val="Sales GM Breakup"/>
      <sheetName val="Expense Graph"/>
      <sheetName val="Expenses Brealup"/>
      <sheetName val="Graph Detail"/>
      <sheetName val="Sales GM Summary"/>
      <sheetName val="HOSTING CHARGES"/>
      <sheetName val="Key Figures"/>
      <sheetName val="EL- 31-Mar-06"/>
      <sheetName val="PF Admin exp reconciliation"/>
      <sheetName val="PF reconciliation"/>
      <sheetName val="Input Form"/>
      <sheetName val="Memo"/>
      <sheetName val="Cont"/>
      <sheetName val="Jan'08"/>
      <sheetName val="Feb'08"/>
      <sheetName val="Mar'08"/>
      <sheetName val="Apr'08"/>
      <sheetName val="May'08"/>
      <sheetName val="June-final"/>
      <sheetName val="Aug"/>
      <sheetName val="Sep"/>
      <sheetName val="Oct"/>
      <sheetName val="Nov"/>
      <sheetName val="Dec"/>
      <sheetName val="Salary Advance"/>
      <sheetName val="Staff Lunch"/>
      <sheetName val="Referral Bonus"/>
      <sheetName val="Special Allowance"/>
      <sheetName val="Educ. Allow."/>
      <sheetName val="Transport Allow."/>
      <sheetName val="Ex-Gratia"/>
      <sheetName val="EPF"/>
      <sheetName val="Car Maint.Reim."/>
      <sheetName val="GYM Expenses"/>
      <sheetName val="Advance given"/>
      <sheetName val="Amount recoverable"/>
      <sheetName val="Segment Reporting"/>
      <sheetName val="TCF"/>
      <sheetName val="TAAPL"/>
      <sheetName val="service - import"/>
      <sheetName val="Sheet1 (3)"/>
      <sheetName val="KMP remuneration"/>
      <sheetName val="Creditors balances"/>
      <sheetName val="2008-Dec"/>
      <sheetName val="2008-Dec (2)"/>
      <sheetName val="Rendering of Services 07"/>
      <sheetName val="rendering of services"/>
      <sheetName val="DVAT-30"/>
      <sheetName val="Reimburse jan-mar 08"/>
      <sheetName val="Reimburse apr-dec"/>
      <sheetName val="Sheet12"/>
      <sheetName val="Balance payable 2007"/>
      <sheetName val="CAPEX &amp; amort"/>
      <sheetName val="result FINANCIER &amp; NET"/>
      <sheetName val="DB - Actuals"/>
      <sheetName val="DB - Budget"/>
      <sheetName val="Variables"/>
      <sheetName val="DB - F'cast 06"/>
      <sheetName val="DB - F'cast 12"/>
      <sheetName val="Formating"/>
      <sheetName val="Prevcom"/>
      <sheetName val="OI_Partner"/>
      <sheetName val="OI_Country"/>
      <sheetName val="OI_Family"/>
      <sheetName val="Comments"/>
      <sheetName val="Lookups"/>
      <sheetName val="AS"/>
      <sheetName val="1. Work done &amp; Observations"/>
      <sheetName val="2. FBT Summary"/>
      <sheetName val="2. FBT audited"/>
      <sheetName val="3. Master rates for FBT 2008-09"/>
      <sheetName val="5. Not used"/>
      <sheetName val="6. FBT client computation"/>
      <sheetName val="4. Interest calculation"/>
      <sheetName val="previous year"/>
      <sheetName val="IT  DEPRICIATION 08"/>
      <sheetName val="Income Tax Act showroom"/>
      <sheetName val="Income tax Act workshop"/>
      <sheetName val="Tax audit schedule"/>
      <sheetName val="Admin work"/>
      <sheetName val="Admin show"/>
      <sheetName val="EMPLOYER CONT TO PF work"/>
      <sheetName val="Employer Contribution EPF Show"/>
      <sheetName val="LA Inter Branch"/>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 val="P&amp;L INR (alt)"/>
      <sheetName val="P&amp;L Crores (alt)"/>
      <sheetName val="Vgl 0706 with 1107"/>
      <sheetName val="Vgl Claims Ratio"/>
      <sheetName val="Summary(in crores.)"/>
      <sheetName val="BC Nov_2007"/>
      <sheetName val="Overview products"/>
      <sheetName val="Sensitivities"/>
      <sheetName val="p&amp;l EUR"/>
      <sheetName val="p&amp;l INR"/>
      <sheetName val="Solvency"/>
      <sheetName val="Sales planing "/>
      <sheetName val="assumption sales plan "/>
      <sheetName val="sales plan"/>
      <sheetName val="Technical Result Products "/>
      <sheetName val="G&amp;A costs A-DKV"/>
      <sheetName val="fixed assets A-DKV Comp."/>
      <sheetName val="Security Deposits,Rentals &amp; Tax"/>
      <sheetName val="RO,BO&amp;SO"/>
      <sheetName val="Asset valuation for solvency"/>
      <sheetName val="fixed assets A-DKV Tax"/>
      <sheetName val="salaries+fringe A-DKV "/>
      <sheetName val="salaries+fringe A-DKV HO"/>
      <sheetName val="Salary comparison"/>
      <sheetName val="salaries list A-DKV HO"/>
      <sheetName val="productivity operations"/>
      <sheetName val="Salary structure HO"/>
      <sheetName val="salaries+fringe RO_BO"/>
      <sheetName val="salaries list A-DKV RO_BO"/>
      <sheetName val=" paym. structure sales"/>
      <sheetName val="DCF_standalone"/>
      <sheetName val="DCF_Group"/>
      <sheetName val="IRRalt"/>
      <sheetName val="2. TDS"/>
      <sheetName val="1. Summary"/>
      <sheetName val="TBAL Dahej"/>
      <sheetName val="TBAL DAP"/>
      <sheetName val="Net Trial"/>
      <sheetName val="comp."/>
      <sheetName val="guest-house-expenses (2)"/>
      <sheetName val="TB-DOWNLOAD-OCT-DEC05"/>
      <sheetName val="SALARIES"/>
      <sheetName val="SUPERANNUATION"/>
      <sheetName val="guest-house-expenses"/>
      <sheetName val="expat-inpat-benefits"/>
      <sheetName val="recruitment"/>
      <sheetName val="STAFF-FUNCTIONS"/>
      <sheetName val="telecommunication"/>
      <sheetName val="tax depr vehicle"/>
      <sheetName val="Ann B1"/>
      <sheetName val="Form 16"/>
      <sheetName val="Form12BA"/>
      <sheetName val="INT "/>
      <sheetName val="Ann A"/>
      <sheetName val="Ann B2"/>
      <sheetName val="Ann C"/>
      <sheetName val="overseas wkg"/>
      <sheetName val="Co 04"/>
      <sheetName val="Co 01"/>
      <sheetName val="standard"/>
      <sheetName val="INDEPENDENT"/>
      <sheetName val="Transaction_Tables"/>
      <sheetName val="Report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Planner 2006_DBFormat"/>
      <sheetName val="Summary Sheet T"/>
      <sheetName val="Summary Sheet"/>
      <sheetName val="Order 2006"/>
      <sheetName val="Planner 2006"/>
      <sheetName val="Employee_Project_Table"/>
      <sheetName val="Headcount"/>
      <sheetName val="Msg"/>
      <sheetName val="Korrelationsmatrix"/>
      <sheetName val="Konvarianzmatrix"/>
      <sheetName val="HM"/>
      <sheetName val="Vic_L"/>
      <sheetName val="DKV"/>
      <sheetName val="Vic_Kr"/>
      <sheetName val="Konsolidierung_ERGO"/>
      <sheetName val="GVV"/>
      <sheetName val="Kapitalanlagen"/>
      <sheetName val="NW110"/>
      <sheetName val="NW213"/>
      <sheetName val="Aktiva"/>
      <sheetName val="Passiva"/>
      <sheetName val="GVR"/>
      <sheetName val="RV"/>
      <sheetName val="Prüfung"/>
      <sheetName val="Res_Area"/>
      <sheetName val="entitlements"/>
      <sheetName val="Pre and Post"/>
      <sheetName val="On Assignment"/>
      <sheetName val="New format Comparison"/>
      <sheetName val="2. Monthly Variance Sheet"/>
      <sheetName val="1. Inhaltsverzeichnis"/>
      <sheetName val="2. Informationen zum Teilnehmer"/>
      <sheetName val="3. Zinsstruktur"/>
      <sheetName val="4.1 Leben Risikoklasse 1"/>
      <sheetName val="4.2 Leben Risikoklasse 2"/>
      <sheetName val="4.3 Leben Risikoklasse 3"/>
      <sheetName val="4.4 Leben Risikoklasse 4"/>
      <sheetName val="4.5 Leben Risikoklasse 5"/>
      <sheetName val="4.6 Leben Risikoklasse 6"/>
      <sheetName val="4.7 Leben Risikoklasse 7"/>
      <sheetName val="4.8 Leben Risikoklasse 8"/>
      <sheetName val="4.9 Leben Risikoklasse 9"/>
      <sheetName val="5. Leben Zusammenfassung"/>
      <sheetName val="April-00"/>
      <sheetName val="Sc 3 (2)"/>
      <sheetName val="6. Leben optionale Fragen"/>
      <sheetName val="7.1 Nichtleben Risikoklasse 1"/>
      <sheetName val="7.2 Nichtleben Risikoklasse 2"/>
      <sheetName val="7.3 Nichtleben Risikoklasse 3"/>
      <sheetName val="7.4 Nichtleben Risikoklasse 4"/>
      <sheetName val="7.5 Nichtleben Risikoklasse 5"/>
      <sheetName val="7.6 Nichtleben Risikoklasse 6"/>
      <sheetName val="7.7 Nichtleben Risikoklasse 7"/>
      <sheetName val="7.8 Nichtleben Risikoklasse 8"/>
      <sheetName val="7.9 Nichtleben Risikoklasse 9"/>
      <sheetName val="7.10 Nichtleben Risikoklasse 10"/>
      <sheetName val="7.11 Nichtleben Risikoklasse 11"/>
      <sheetName val="8. Nichtleben Zusammenfassung"/>
      <sheetName val="9. Nichtleben optionale Fragen"/>
      <sheetName val="0. Internal data"/>
      <sheetName val="MSO"/>
      <sheetName val="SIJV"/>
      <sheetName val="Teranga"/>
      <sheetName val="Fixed Assets Details June  10"/>
      <sheetName val="Acc Dep Details Apr 10 (ZPBC)"/>
      <sheetName val="Acc Dep Details Apr 10 "/>
      <sheetName val="Cap.Advan details"/>
      <sheetName val="Capital WIP June 10 "/>
      <sheetName val="TB Asset June 10"/>
      <sheetName val="TB June  10"/>
      <sheetName val="S-report"/>
      <sheetName val="BayInfo"/>
      <sheetName val="234C Automatic"/>
      <sheetName val="Interst 234C"/>
      <sheetName val="234 Memorandum"/>
      <sheetName val="Memo 2"/>
      <sheetName val="234Ctesting"/>
      <sheetName val="BS for cash flow"/>
      <sheetName val="Below the line"/>
      <sheetName val="Cash Flow 2"/>
      <sheetName val="sch3grp"/>
      <sheetName val="Sch-3"/>
      <sheetName val="Sch4&amp;5grp"/>
      <sheetName val="Sch6grp"/>
      <sheetName val="Sch7&amp;8grp"/>
      <sheetName val="Sch7"/>
      <sheetName val="Sch9grp"/>
      <sheetName val="Sch10grp1"/>
      <sheetName val="Sch10grp2"/>
      <sheetName val="Sch10"/>
      <sheetName val="Sch11grp"/>
      <sheetName val="Sch12grp"/>
      <sheetName val="Sch13grp"/>
      <sheetName val="classification"/>
      <sheetName val="Final TB Coded"/>
      <sheetName val="Deduction 10A (2)"/>
      <sheetName val="Wealth Tax computation"/>
      <sheetName val="Computation backup"/>
      <sheetName val="Leave Encashment"/>
      <sheetName val="Deduction 10A"/>
      <sheetName val="Sundry Debtorwith invoice d (2)"/>
      <sheetName val="summary Trial(OLD)"/>
      <sheetName val="Sundry Debtorwith invoice date"/>
      <sheetName val="210809"/>
      <sheetName val="TB firstcut"/>
      <sheetName val="Trial Balance "/>
      <sheetName val="Trial Balance (3)"/>
      <sheetName val="packagetbason15.4"/>
      <sheetName val="Consolidatedmovemnt"/>
      <sheetName val="P. TAX"/>
      <sheetName val="Apr.99"/>
      <sheetName val="C.Pdn"/>
      <sheetName val="C. Mill R.HRS"/>
      <sheetName val="CLINKER PRODN"/>
      <sheetName val="RAW MEAL PRODN "/>
      <sheetName val="R. MTRLS. RECPT &amp; CONSN."/>
      <sheetName val="Comp. R.Hrs"/>
      <sheetName val="Ele. &amp; Fuel"/>
      <sheetName val="Sen.analysis"/>
      <sheetName val="Helping Hand"/>
      <sheetName val="03.01.2002"/>
      <sheetName val="Limestone"/>
      <sheetName val="Earth moving eq."/>
      <sheetName val="Other raw materials"/>
      <sheetName val="F.usage"/>
      <sheetName val="F.Rec&amp;Cons"/>
      <sheetName val="F.Cost"/>
      <sheetName val="F.Value"/>
      <sheetName val="LS wrkg"/>
      <sheetName val="EM Depn"/>
      <sheetName val="Electricity-consn.workings"/>
      <sheetName val="Per unit cost"/>
      <sheetName val="Total Elec.chrgs.-Fy,Clny&amp;Ntm."/>
      <sheetName val="Monthwise power cost"/>
      <sheetName val="G.Media"/>
      <sheetName val="Other var exp"/>
      <sheetName val="Factor"/>
      <sheetName val="Ele.per MT"/>
      <sheetName val="Ele.per MT-Actual"/>
      <sheetName val="VCost-Pr.file"/>
      <sheetName val="Sheet2 (2)"/>
      <sheetName val="G media"/>
      <sheetName val="G-Aid"/>
      <sheetName val="Fuel mix economics"/>
      <sheetName val="Others"/>
      <sheetName val="Wind power gen."/>
      <sheetName val="VCost-Pr.file (2)"/>
      <sheetName val="Basic Assumptions"/>
      <sheetName val="Incentives"/>
      <sheetName val="Jawahar Sugar P&amp;L"/>
      <sheetName val="nig_sugar_ P&amp;L"/>
      <sheetName val="Jawahar Cogen P&amp;L"/>
      <sheetName val="nigohi cogen P&amp;L"/>
      <sheetName val="nigohi cogen base P&amp;L"/>
      <sheetName val="Consolidated Profitability "/>
      <sheetName val="Projected Balance Sheet"/>
      <sheetName val="Projected Cash Flow"/>
      <sheetName val="Project Cost"/>
      <sheetName val="XIRR"/>
      <sheetName val="Depreciation "/>
      <sheetName val="IT Computations"/>
      <sheetName val="Basic Assumptions - Year-wise"/>
      <sheetName val="Loan Schedule-FI-Sugar"/>
      <sheetName val="Loan Schedule-SDF-Sugar"/>
      <sheetName val="Loan Schedule-FI-Power"/>
      <sheetName val="Loan Schedule-SDF-Power"/>
      <sheetName val="Interest Schedule"/>
      <sheetName val="Cane Allocation"/>
      <sheetName val="Ramnagar Sugar P&amp;L"/>
      <sheetName val="Ramnagar Cogen P&amp;L"/>
      <sheetName val="distillery"/>
      <sheetName val="incin cogen"/>
      <sheetName val="rcm cogen p&amp;l"/>
      <sheetName val="scenario"/>
      <sheetName val="rcm expansion"/>
      <sheetName val="ramnagar"/>
      <sheetName val="khalilabad"/>
      <sheetName val="cogen new "/>
      <sheetName val="cogen khalilabad"/>
      <sheetName val="Depreciation - Sugar"/>
      <sheetName val="DSCR"/>
      <sheetName val="Scenarios"/>
      <sheetName val="Profitability Statement - Sugar"/>
      <sheetName val="Production &amp; Revenue - Power"/>
      <sheetName val="Profitability Statement - Power"/>
      <sheetName val="Working Capital"/>
      <sheetName val="Depreciation - Power"/>
      <sheetName val="Tube Details"/>
      <sheetName val="Comparative"/>
      <sheetName val="Revised Estimates"/>
      <sheetName val="XIRR (100% Own Funding)"/>
      <sheetName val="Production &amp; Revenue - Sugar"/>
      <sheetName val="Cane Cost"/>
      <sheetName val="EBITDA"/>
      <sheetName val="Loan Schedule-FI"/>
      <sheetName val="Loan Schedule-SDF"/>
      <sheetName val="Exportable Power"/>
      <sheetName val="Steam Requirement"/>
      <sheetName val="Allocated Cost "/>
      <sheetName val="Repayment Interest Schedule-FI "/>
      <sheetName val="Repayment Interest Schedule-SDF"/>
      <sheetName val="Production &amp; Sales"/>
      <sheetName val="Profitability Statement"/>
      <sheetName val="XIRR1"/>
      <sheetName val="XIRR2 "/>
      <sheetName val="Fibrizor Drive"/>
      <sheetName val="Bought-out Bagasse"/>
      <sheetName val="13.02.13"/>
      <sheetName val="12.02.13"/>
      <sheetName val="11.02.13"/>
      <sheetName val="10.02.13"/>
      <sheetName val="09.02.13"/>
      <sheetName val="08.02.13"/>
      <sheetName val="07.02.13"/>
      <sheetName val="06.02.13"/>
      <sheetName val="05.02.13"/>
      <sheetName val="04.02.13"/>
      <sheetName val="02.02.13"/>
      <sheetName val="01.02.13"/>
      <sheetName val="31.01.13"/>
      <sheetName val="30.01.13"/>
      <sheetName val="29.01.13"/>
      <sheetName val="28.01.13"/>
      <sheetName val="25.01.13"/>
      <sheetName val="24.01.13"/>
      <sheetName val="23.01.13 "/>
      <sheetName val="22.01.13"/>
      <sheetName val="21.01.13"/>
      <sheetName val="20.01.13"/>
      <sheetName val="concast-castable salary"/>
      <sheetName val="miscellaneous parameters"/>
      <sheetName val="qry exps"/>
      <sheetName val="vrs-03-04"/>
      <sheetName val="Working 2"/>
      <sheetName val="Working 1 (Pr)"/>
      <sheetName val="Working 1"/>
      <sheetName val="Page 4"/>
      <sheetName val="Page 3 (Pr)"/>
      <sheetName val="Page 3"/>
      <sheetName val="Page 2"/>
      <sheetName val="Page 1"/>
      <sheetName val="Page 1 (Pr)"/>
      <sheetName val="rev contrib"/>
      <sheetName val="bep_conc_castb"/>
      <sheetName val="DPR 30.11.11"/>
      <sheetName val="30.11.11"/>
      <sheetName val="DPR 29.11.11"/>
      <sheetName val="29.11.11"/>
      <sheetName val="DPR 28.11.11"/>
      <sheetName val="28.11.11"/>
      <sheetName val="DPR 27.11.11"/>
      <sheetName val="27.11.11"/>
      <sheetName val="DPR 26.11.11"/>
      <sheetName val="26.11.11"/>
      <sheetName val="DPR 25.11.11"/>
      <sheetName val="25.11.11"/>
      <sheetName val="DPR 24.11.11"/>
      <sheetName val="24.11.11"/>
      <sheetName val="DPR 23.11.11"/>
      <sheetName val="23.11.11"/>
      <sheetName val="DPR 22.11.11"/>
      <sheetName val="22.11.11"/>
      <sheetName val="DPR 21.11.11"/>
      <sheetName val="21.11.11"/>
      <sheetName val="DPR 20.11.11"/>
      <sheetName val="20.11.11"/>
      <sheetName val="DPR19.11.11"/>
      <sheetName val="19.11.11"/>
      <sheetName val="DPR 18.11.11"/>
      <sheetName val="18.11.11"/>
      <sheetName val="DPR 17.11.11"/>
      <sheetName val="17.11.11"/>
      <sheetName val="16.11.11"/>
      <sheetName val="15.11.11"/>
      <sheetName val="02.11.11"/>
      <sheetName val="01.11.11"/>
      <sheetName val="Nov.11"/>
      <sheetName val="Energy 16.05.11"/>
      <sheetName val="DPR 16.05.11"/>
      <sheetName val="16.05.11"/>
      <sheetName val="Energy 15.05.11"/>
      <sheetName val="DPR 15.05.11"/>
      <sheetName val="15.05.11"/>
      <sheetName val="Energy 14.05.11"/>
      <sheetName val="DPR 14.05.11"/>
      <sheetName val="14.05.11"/>
      <sheetName val="Energy 13.05.11"/>
      <sheetName val="DPR 13.05.11"/>
      <sheetName val="13.05.11"/>
      <sheetName val="Energy 12.05.11"/>
      <sheetName val="DPR 12.05.11"/>
      <sheetName val="12.05.11"/>
      <sheetName val="Energy 11.05.11"/>
      <sheetName val="DPR 11.05.11"/>
      <sheetName val="11.05.11"/>
      <sheetName val="Energy 10.05.11"/>
      <sheetName val="DPR 10.05.11"/>
      <sheetName val="10.05.11"/>
      <sheetName val="Energy 09.05.11"/>
      <sheetName val="DPR 09.05.11"/>
      <sheetName val="09.05.11"/>
      <sheetName val="Energy 08.05.11"/>
      <sheetName val="DPR 08.05.11"/>
      <sheetName val="08.05.11"/>
      <sheetName val="Energy 07.05.11"/>
      <sheetName val="DPR 07.05.11"/>
      <sheetName val="07.05.11"/>
      <sheetName val="Energy 06.05.11"/>
      <sheetName val="DPR 06.05.11"/>
      <sheetName val="06.05.11"/>
      <sheetName val="Energy 05.05.11"/>
      <sheetName val="DPR 05.05.11"/>
      <sheetName val="05.05.11"/>
      <sheetName val="Energy 04.05.11"/>
      <sheetName val="DPR 04.05.11"/>
      <sheetName val="04.05.11"/>
      <sheetName val="Energy 03.05.11"/>
      <sheetName val="DPR 03.05.11"/>
      <sheetName val="03.05.11"/>
      <sheetName val="Energy 02.05.11"/>
      <sheetName val="DPR 02.05.11"/>
      <sheetName val="02.05.11"/>
      <sheetName val="Energy 01.05.11"/>
      <sheetName val="DPR 01.05.11"/>
      <sheetName val="01.05.11"/>
      <sheetName val="May 11"/>
      <sheetName val="Energy 30.04.11"/>
      <sheetName val="DPR 30.04.11"/>
      <sheetName val="30.04.11"/>
      <sheetName val="Energy 29.04.11"/>
      <sheetName val="DPR 29.04.11"/>
      <sheetName val="29.04.11"/>
      <sheetName val="Energy 28.04.11"/>
      <sheetName val="DPR 28.04.11"/>
      <sheetName val="28.04.11"/>
      <sheetName val="Energy 27.04.11"/>
      <sheetName val="DPR 27.04.11"/>
      <sheetName val="27.04.11"/>
      <sheetName val="Energy 26.04.11"/>
      <sheetName val="DPR 26.04.11"/>
      <sheetName val="26.04.11"/>
      <sheetName val="Energy 25.04.11"/>
      <sheetName val="DPR 25.04.11"/>
      <sheetName val="25.04.11"/>
      <sheetName val="Energy 24.04.11"/>
      <sheetName val="DPR 24.04.11"/>
      <sheetName val="24.04.11"/>
      <sheetName val="Energy 23.04.11"/>
      <sheetName val="DPR 23.04.11"/>
      <sheetName val="23.04.11"/>
      <sheetName val="Energy 22.04.11"/>
      <sheetName val="DPR 22.04.11"/>
      <sheetName val="22.04.11"/>
      <sheetName val="Energy 21.04.11"/>
      <sheetName val="DPR 21.04.11"/>
      <sheetName val="21.04.11"/>
      <sheetName val="Energy 20.04.11"/>
      <sheetName val="DPR 20.04.11"/>
      <sheetName val="20.04.11"/>
      <sheetName val="Energy 19.04.11"/>
      <sheetName val="DPR19.04.11"/>
      <sheetName val="19.04.11"/>
      <sheetName val="Energy 18.04.11"/>
      <sheetName val="DPR 18.0411"/>
      <sheetName val="18.04.11"/>
      <sheetName val="Energy 17.04.11"/>
      <sheetName val="DPR 17.04.11"/>
      <sheetName val="17.04.11"/>
      <sheetName val="Energy 16.04.11"/>
      <sheetName val="DPR 16.04.11"/>
      <sheetName val="16.04.11"/>
      <sheetName val="Energy 15.04.11"/>
      <sheetName val="DPR 15.04.11"/>
      <sheetName val="15.04.11"/>
      <sheetName val="Energy 14.04.11"/>
      <sheetName val="DPR 14.04.11"/>
      <sheetName val="14.04.11"/>
      <sheetName val="Energy 13.04.11"/>
      <sheetName val="DPR 13.04.11"/>
      <sheetName val="13.04.11"/>
      <sheetName val="Energy 12.04.11"/>
      <sheetName val="DPR 12.04.11"/>
      <sheetName val="12.04.11"/>
      <sheetName val="Energy 11.04.11 "/>
      <sheetName val="DPR 11.04.11"/>
      <sheetName val="11.04.11"/>
      <sheetName val="Energy 10.04.11"/>
      <sheetName val="DPR 10.04.11"/>
      <sheetName val="10.04.11"/>
      <sheetName val="Energy 09.04.11"/>
      <sheetName val="DPR 09.04.11"/>
      <sheetName val="09.04.11"/>
      <sheetName val="Energy 08.04.11"/>
      <sheetName val="DPR 08.04.11"/>
      <sheetName val="08.04.11"/>
      <sheetName val="Energy 07.04.11"/>
      <sheetName val="DPR 07.04.11"/>
      <sheetName val="07.04.11"/>
      <sheetName val="Energy 06.04.11"/>
      <sheetName val="DPR 06.04.11"/>
      <sheetName val="06.04.11"/>
      <sheetName val="Energy 05.04.11"/>
      <sheetName val="DPR 05.04.11"/>
      <sheetName val="05.04.11"/>
      <sheetName val="Energy 04.04.11"/>
      <sheetName val="DPR 04.04.11"/>
      <sheetName val="04.04.11"/>
      <sheetName val="Energy 03.04.11"/>
      <sheetName val="DPR 03.04.11"/>
      <sheetName val="03.04.11"/>
      <sheetName val="Energy 02.04.11"/>
      <sheetName val="DPR 02.04.11"/>
      <sheetName val="02.04.11"/>
      <sheetName val="Energy 01.04.11"/>
      <sheetName val="DPR 01.04.11"/>
      <sheetName val="01.04.11"/>
      <sheetName val="Apr 11"/>
      <sheetName val="DPR 10.12.11"/>
      <sheetName val="10.12.11"/>
      <sheetName val="DPR 09.12.11"/>
      <sheetName val="09.12.11"/>
      <sheetName val="DPR 08.12.11"/>
      <sheetName val="08.12.11"/>
      <sheetName val="DPR 07.12.11"/>
      <sheetName val="07.12.11"/>
      <sheetName val="DPR 06.12.11"/>
      <sheetName val="06.12.11"/>
      <sheetName val="DPR 05.12.11"/>
      <sheetName val="05.12.11"/>
      <sheetName val="DPR 04.12.11"/>
      <sheetName val="04.12.11"/>
      <sheetName val="DPR 03.12.11"/>
      <sheetName val="03.12.11"/>
      <sheetName val="DPR 02.12.11"/>
      <sheetName val="02.12.11"/>
      <sheetName val="DPR 01.12.11"/>
      <sheetName val="01.12.11"/>
      <sheetName val="December-11"/>
      <sheetName val="17.12.11"/>
      <sheetName val="DPR 16.12.11"/>
      <sheetName val="16.12.11"/>
      <sheetName val="DPR 15.12.11"/>
      <sheetName val="15.12.11"/>
      <sheetName val="DPR 14.12.11"/>
      <sheetName val="14.12.11"/>
      <sheetName val="DPR 13.12.11"/>
      <sheetName val="13.12.11"/>
      <sheetName val="DPR 12.12.11"/>
      <sheetName val="12.12.11"/>
      <sheetName val="DPR 11.12.11"/>
      <sheetName val="11.12.11"/>
      <sheetName val="DPR 20.12.11"/>
      <sheetName val="20.12.11"/>
      <sheetName val="DPR19.12.11"/>
      <sheetName val="19.12.11"/>
      <sheetName val="DPR 18.12.11"/>
      <sheetName val="18.12.11"/>
      <sheetName val="DPR 17.12.11"/>
      <sheetName val="inputondt"/>
      <sheetName val="MTD-DEC 11"/>
      <sheetName val="MTD-NOV 11"/>
      <sheetName val="YTD 2011 "/>
      <sheetName val="STD"/>
      <sheetName val="DPR"/>
      <sheetName val="Nov-11"/>
      <sheetName val="Dec-11"/>
      <sheetName val="Jan-10"/>
      <sheetName val="Feb-10"/>
      <sheetName val="Mar10"/>
      <sheetName val="Power Export -Cons."/>
      <sheetName val="Bagasse Saved"/>
      <sheetName val="Poss pow "/>
      <sheetName val="CERs"/>
      <sheetName val="Steam Power &amp; Crush"/>
      <sheetName val="Stoppages"/>
      <sheetName val="Av Gen 20 MW"/>
      <sheetName val="Banking"/>
      <sheetName val="YEAR"/>
      <sheetName val="SAPBEXqueries"/>
      <sheetName val="SAPBEXfilters"/>
      <sheetName val="BS PL"/>
      <sheetName val="dEPR"/>
      <sheetName val="Vendor Branches"/>
      <sheetName val="stock valuation"/>
      <sheetName val="Current ac"/>
      <sheetName val="operation BC"/>
      <sheetName val="Advance"/>
      <sheetName val="TB Dec-09-10"/>
      <sheetName val="ADVANCES CASH IN KIND (3)"/>
      <sheetName val="ADVANCES CASH IN KIND (2)"/>
      <sheetName val="ADVANCES CASH IN KIND"/>
      <sheetName val="memo WROK summary  (2)"/>
      <sheetName val="81"/>
      <sheetName val="Correction Require "/>
      <sheetName val="Debtor summary"/>
      <sheetName val="BS Detail Sheet"/>
      <sheetName val="INT SEC 18 "/>
      <sheetName val="BS PL "/>
      <sheetName val="memo  summary OTHER THAN IOT"/>
      <sheetName val="CWIP SECHUDELE"/>
      <sheetName val="cAPITAL adv &amp; cRS"/>
      <sheetName val="SUMMARY MEMO IOT"/>
      <sheetName val="PL Detail Sheet JSLO"/>
      <sheetName val="47"/>
      <sheetName val="Debit  1 loans"/>
      <sheetName val="DEP Sec 5 BS "/>
      <sheetName val="PL FOR HO "/>
      <sheetName val="PL Interest Paid"/>
      <sheetName val="PL SAP TB "/>
      <sheetName val="BS SAP TB "/>
      <sheetName val="P-Admin"/>
      <sheetName val="Final MEMO"/>
      <sheetName val="PL.Schedules"/>
      <sheetName val="Power Plant"/>
      <sheetName val="Exch Fluct"/>
      <sheetName val="other expens"/>
      <sheetName val="P-Sales"/>
      <sheetName val="Selling Exp "/>
      <sheetName val="Project power"/>
      <sheetName val="Contractor"/>
      <sheetName val="Raw mat cons"/>
      <sheetName val="buyers credit"/>
      <sheetName val="FREIGHT INWARD INDIGENOUS"/>
      <sheetName val="P List 870"/>
      <sheetName val="Final BS PL March 11 "/>
      <sheetName val="dEPR 10-11"/>
      <sheetName val="Fin BS Detail Sheet MARCH 11"/>
      <sheetName val="Capital  Vendor  Final"/>
      <sheetName val="Acceptance"/>
      <sheetName val="Exch Flucat"/>
      <sheetName val="IUT"/>
      <sheetName val="Trail  Pr 11.05.11 "/>
      <sheetName val="Capital Advance "/>
      <sheetName val="Stock 31.03.11"/>
      <sheetName val="Opeartion BC"/>
      <sheetName val="Trail 11.05.11"/>
      <sheetName val="Final BS PL Dec  qUATERWISD"/>
      <sheetName val="Reconciliation 4th Quarter"/>
      <sheetName val="Nov FITL Intt"/>
      <sheetName val="ECB Interest"/>
      <sheetName val="FCCB Interest Calculation "/>
      <sheetName val="P&amp;L up to Nov 10"/>
      <sheetName val="DEP "/>
      <sheetName val="Ph I Int Term Loan &amp; ECB"/>
      <sheetName val="DPS Power"/>
      <sheetName val="Selling Exp"/>
      <sheetName val="Sales Reco with TB"/>
      <sheetName val="other manufct exp"/>
      <sheetName val="Transport"/>
      <sheetName val="wroking capital "/>
      <sheetName val="Exch Fluct "/>
      <sheetName val="Jan 08.Trial"/>
      <sheetName val="TB 30.11.10"/>
      <sheetName val="Consum Chrome Friable"/>
      <sheetName val="Memo Entry"/>
      <sheetName val="wrok rough "/>
      <sheetName val="Nov Consu"/>
      <sheetName val="Raw mat cons Nov"/>
      <sheetName val="Dep. &amp; Intt."/>
      <sheetName val="Prov Dec-09"/>
      <sheetName val="Tally"/>
      <sheetName val="Trial. Dec 07"/>
      <sheetName val="Ope_Trial"/>
      <sheetName val="FG Val"/>
      <sheetName val="SFG val"/>
      <sheetName val="Rm-TISCo"/>
      <sheetName val="material detail Indonesia"/>
      <sheetName val="PIVOT-MATERIAL INDIA"/>
      <sheetName val="Material Detail- india"/>
      <sheetName val="Material Summary"/>
      <sheetName val="Money Summary"/>
      <sheetName val="QUALITY COM"/>
      <sheetName val="Monthly P&amp;L"/>
      <sheetName val="July 03"/>
      <sheetName val="Aug 03"/>
      <sheetName val="Sep 03"/>
      <sheetName val="Oct 03"/>
      <sheetName val="Nov 03"/>
      <sheetName val="CDR Ratios "/>
      <sheetName val="Other Ratios"/>
      <sheetName val="Net Worth"/>
      <sheetName val="TOL CDR"/>
      <sheetName val="Secured Borrowings"/>
      <sheetName val="Current Ratio"/>
      <sheetName val="Interface"/>
      <sheetName val="IRR 1 year"/>
      <sheetName val="IRR with 2 years"/>
      <sheetName val="R&amp;C"/>
      <sheetName val="2008-09"/>
      <sheetName val="Qtr debt profile"/>
      <sheetName val="CONS(F)-Final"/>
      <sheetName val="Overall Summary"/>
      <sheetName val="Debt profile"/>
      <sheetName val="Debt 31.03.10"/>
      <sheetName val="Monthly repayments"/>
      <sheetName val="Sacrifice"/>
      <sheetName val="Existing loan sch"/>
      <sheetName val="Lender wise 2"/>
      <sheetName val="Lender-wise"/>
      <sheetName val="Sacrifice backup"/>
      <sheetName val="Rs Crore-JSL Ratios"/>
      <sheetName val="Presentation slides"/>
      <sheetName val="try"/>
      <sheetName val="sbicap"/>
      <sheetName val="JSL - Financials"/>
      <sheetName val="phase II"/>
      <sheetName val="PPT"/>
      <sheetName val="Consolidated (Try)"/>
      <sheetName val="OSL - Financials"/>
      <sheetName val="Inv. Sch."/>
      <sheetName val="CONS(F)"/>
      <sheetName val="Capacity &amp; Cost"/>
      <sheetName val="consolidated IT Cal"/>
      <sheetName val="CMA (rough)"/>
      <sheetName val="Old DP"/>
      <sheetName val="Selling Prices"/>
      <sheetName val="Sales Mix"/>
      <sheetName val="Raw Material Costs"/>
      <sheetName val="Consolidated Qtr"/>
      <sheetName val="Valuation"/>
      <sheetName val="Spec. Consumptions"/>
      <sheetName val="ProcessYields"/>
      <sheetName val="Chemistry"/>
      <sheetName val="Utilization"/>
      <sheetName val="R&amp;C Impact"/>
      <sheetName val="Capital Cost"/>
      <sheetName val="addon4"/>
      <sheetName val="addon3"/>
      <sheetName val="addon2"/>
      <sheetName val="addon1"/>
      <sheetName val="Ration"/>
      <sheetName val="JSS-STOCK TALLY"/>
      <sheetName val="JSW-STOCK TALLY"/>
      <sheetName val="B. Sheet Abstract "/>
      <sheetName val="JSN-STOCK TALLY"/>
      <sheetName val="B. S. 2009-2010 "/>
      <sheetName val="JSN-Ageing"/>
      <sheetName val="JSW-Ageing"/>
      <sheetName val="JSS-Cust-Ageing"/>
      <sheetName val="JSS-FG Valuation"/>
      <sheetName val="JSS-Scrap"/>
      <sheetName val="(JSS) Inc-Dec. "/>
      <sheetName val="JSN-WIP Valuation"/>
      <sheetName val="JSN-Scrap Valuation"/>
      <sheetName val="JSN INC-DEC WORKING"/>
      <sheetName val="Notes to ac part B"/>
      <sheetName val="Gratuity P.no 12"/>
      <sheetName val="B. S. 09-10"/>
      <sheetName val="Ann B"/>
      <sheetName val="F.Assets Consolidated"/>
      <sheetName val="Working Cash flow"/>
      <sheetName val="Cap. Commitment"/>
      <sheetName val="CIF VALUE DETAIL"/>
      <sheetName val="JSN- Vendor"/>
      <sheetName val="JSW-Vendor"/>
      <sheetName val="JSS-VENDOR"/>
      <sheetName val="Schedule-5(Consolidated)"/>
      <sheetName val="JSN-DEP"/>
      <sheetName val="JSW-DEP"/>
      <sheetName val="JSS-DEP"/>
      <sheetName val="JSSS_Dep"/>
      <sheetName val="TB Chennai"/>
      <sheetName val="TB Mumbai"/>
      <sheetName val="TB Gurgaon"/>
      <sheetName val="D. Tax Liability Cal. 09-10"/>
      <sheetName val="I. Tax Prov. 09-10"/>
      <sheetName val="JSN-Cons. Sheet"/>
      <sheetName val="JSW-Cons. Sheet"/>
      <sheetName val="JSS-Cons. Sheet"/>
      <sheetName val="JSN-FG Valuation"/>
      <sheetName val="JSN-Sales Return"/>
      <sheetName val="JSW-FG (31.03.10)"/>
      <sheetName val="JSW-Scrap(31.03.10)"/>
      <sheetName val="JSW-Sales Return"/>
      <sheetName val="JSS-Sales Return"/>
      <sheetName val="INT RECD. JSW"/>
      <sheetName val="JSW-Inc-Dec. Working"/>
      <sheetName val="JSN-Interest Received Detail"/>
      <sheetName val="I T Provision 08"/>
      <sheetName val="UNAUDITED RESULTS MONTHWISE"/>
      <sheetName val="UNAUDITED RESULTS QTR. WISE"/>
      <sheetName val="CONSOLIDATED 300908"/>
      <sheetName val="Fin. Result upto July"/>
      <sheetName val="UNAUDITED RESULT 300908"/>
      <sheetName val="Bird View"/>
      <sheetName val="Figure in Lacs"/>
      <sheetName val="Figure in Millions"/>
      <sheetName val="Unaudited Result 2008-09"/>
      <sheetName val="JULY JSN 2008 (2)"/>
      <sheetName val="FG 301108"/>
      <sheetName val="SCRAP 301108"/>
      <sheetName val="FG 311008"/>
      <sheetName val="SCRAP 311008"/>
      <sheetName val="FG 300908"/>
      <sheetName val="SCRAP 300908"/>
      <sheetName val="SCRAP 310808"/>
      <sheetName val="SCRAP 310708"/>
      <sheetName val="SCRAP 300608"/>
      <sheetName val="FG 310808"/>
      <sheetName val="FG 310708"/>
      <sheetName val="FG 30.06.08"/>
      <sheetName val="TRIAL BALANCE 31.03.2008 "/>
      <sheetName val="TRIAL BALANCE 31.12.2007"/>
      <sheetName val="STOCK VALUATION SHEET"/>
      <sheetName val="Unaudited 30.09.07"/>
      <sheetName val="Unaudited 31.08.07JSL"/>
      <sheetName val="Unaudited 31.03.08(New Format)"/>
      <sheetName val="F.Statement31.03.2008"/>
      <sheetName val="GRADE WISE"/>
      <sheetName val="Monthly WC Requirement"/>
      <sheetName val="Sales vs Purchase MIS"/>
      <sheetName val="JSSL RESULT UPTO JAN-09"/>
      <sheetName val="UNAUDITED RESULT JAN.09 (2)"/>
      <sheetName val="REVENUE EXP. ANALYSIS %"/>
      <sheetName val="Break even"/>
      <sheetName val="Financial Summay (Qtr. Wise)"/>
      <sheetName val="JSSL Result (Sept.-2009)"/>
      <sheetName val="Unaudited Result (30.09.09)"/>
      <sheetName val="FG (31.08.09)&amp;(30.09.09)"/>
      <sheetName val="SCRAP(31.08.2009)&amp;(30.09.09)"/>
      <sheetName val="(Increase-Decrease Stock)"/>
      <sheetName val="FG Valuation(31.07.09)"/>
      <sheetName val="FG Valuation(310709"/>
      <sheetName val="Scrap Valuation (31.07.2009)"/>
      <sheetName val="ADDITIONAL  WIP VALUATION "/>
      <sheetName val="Grade Wise(WIP)"/>
      <sheetName val="FG Valuation (June)"/>
      <sheetName val="FG Valuation (April)"/>
      <sheetName val="Scrap Valuation (april)"/>
      <sheetName val="Qtr. Wise Highlights"/>
      <sheetName val="Qtr. Result 2008-09 (3)"/>
      <sheetName val="Qtr. Result 2008-09"/>
      <sheetName val="UNAUDITED RESULT MARCH 09"/>
      <sheetName val="Service Centre Wise Sales Repor"/>
      <sheetName val="Revenue Figure 2009-10"/>
      <sheetName val="Distribution Activicty"/>
      <sheetName val="Job Work 4(6) Activicty"/>
      <sheetName val="Job Work 4(5) Activcty"/>
      <sheetName val="Miscellanous Sales"/>
      <sheetName val="Balance Sheet Mar 09"/>
      <sheetName val="Associate JSS Steel italia"/>
      <sheetName val="Balance Sheet Abstract"/>
      <sheetName val="Consolidated Balance Sheet08-09"/>
      <sheetName val="Unit Wise Balance Sheet"/>
      <sheetName val="Consolidated Schecule V"/>
      <sheetName val="Deferred Tax Liability Cal.  09"/>
      <sheetName val="Income Tax Provision 09"/>
      <sheetName val="Details of Schedules Gurgaon"/>
      <sheetName val="Details of Schedules Mumbai"/>
      <sheetName val="CUST JSN 31.03.09"/>
      <sheetName val="CUST JSW 31.03.09"/>
      <sheetName val="Vendor Gurgaon"/>
      <sheetName val="Vendor Detail JSW"/>
      <sheetName val="chennai unit"/>
      <sheetName val="VADODARA UNIT"/>
      <sheetName val="trail 9 june JSN"/>
      <sheetName val="trail 9 june JSW"/>
      <sheetName val="tb jss 6 june"/>
      <sheetName val="FG VALUATION (31.03.09)-JSN (2)"/>
      <sheetName val="FG VALUATION (31.03.09)-JSW"/>
      <sheetName val="WIP VALUATION (2008-09)"/>
      <sheetName val="SCRAP VALUATION JSW"/>
      <sheetName val="SCRAP VALUATION JSN"/>
      <sheetName val="WIP VALUATION (2008-09) JSN"/>
      <sheetName val="STOCK TALLY (GURGAON)"/>
      <sheetName val="STOCK TALLY (MUMBAI)"/>
      <sheetName val="MOVING PRICE (CR DIV.)"/>
      <sheetName val="MOVING PRICE (HR DIV.)"/>
      <sheetName val="Summary stock tally"/>
      <sheetName val="Trial Balance vadodra"/>
      <sheetName val="SCHEDULE FIVE Vadodara"/>
      <sheetName val="SCHEDULE FIVE GURGAON"/>
      <sheetName val="SCHEDULE FIVE MUMBAI"/>
      <sheetName val="SCHEDULE FIVE CHENNAI"/>
      <sheetName val="CONSOLIDATE DEP. IT(31.03.09)"/>
      <sheetName val="Sheet17"/>
      <sheetName val="TB JSSL"/>
      <sheetName val="Sheet25"/>
      <sheetName val="FG VALUATION"/>
      <sheetName val="SCRAP"/>
      <sheetName val="Unaudited 31.12.07(New Format)"/>
      <sheetName val="JSSL Result (Qtr.-1)Exe."/>
      <sheetName val="JSSL Result (Qtr.-1)"/>
      <sheetName val="F.Statement31.06.2008"/>
      <sheetName val="SCRAP VALUATION"/>
      <sheetName val="FG VALUATION GURGAON"/>
      <sheetName val="SALES RETURN"/>
      <sheetName val="FG"/>
      <sheetName val="RG-1 Register"/>
      <sheetName val="CLOSING FG OWN "/>
      <sheetName val="WIP Valuation"/>
      <sheetName val="4(6) "/>
      <sheetName val="STOCK TALLY (FORMAT)"/>
      <sheetName val="4(5)a Desp"/>
      <sheetName val="4(5)a Party wise clos"/>
      <sheetName val="4(5)a receipt"/>
      <sheetName val="COSTING FOR CR"/>
      <sheetName val="FG SHEET"/>
      <sheetName val="RM SHEET"/>
      <sheetName val="Closing Stock Scrap Mumbai"/>
      <sheetName val="Scrap Valuation JSSL Chennai"/>
      <sheetName val="stock tally"/>
      <sheetName val="closing stock "/>
      <sheetName val="ram material"/>
      <sheetName val="Finish Goods"/>
      <sheetName val="sales  return"/>
      <sheetName val="consumptionvs production"/>
      <sheetName val="closing stock"/>
      <sheetName val="rm "/>
      <sheetName val="STOCK TALLY  consol"/>
      <sheetName val="STOCK TALLY  Gurgaon "/>
      <sheetName val="STOCK TALLY Chennai"/>
      <sheetName val="POP Sch."/>
      <sheetName val="HSBC"/>
      <sheetName val="DHS"/>
      <sheetName val="DB"/>
      <sheetName val="DBD"/>
      <sheetName val="STC"/>
      <sheetName val="DSTC"/>
      <sheetName val="AWB"/>
      <sheetName val="TAB"/>
      <sheetName val="KEN"/>
      <sheetName val="DDNM"/>
      <sheetName val="DNM"/>
      <sheetName val="MG"/>
      <sheetName val="FMG"/>
      <sheetName val="Scenario-Summary"/>
      <sheetName val="Global Steel prod"/>
      <sheetName val="Presentation"/>
      <sheetName val="Operational cost"/>
      <sheetName val="Scenarios buildup"/>
      <sheetName val="Capital cost sch"/>
      <sheetName val="Yearly sum"/>
      <sheetName val="Assumption1"/>
      <sheetName val="Assumption2"/>
      <sheetName val="power utility Co."/>
      <sheetName val="Water Utility Co."/>
      <sheetName val="Govt Revenue"/>
      <sheetName val="operation -PP"/>
      <sheetName val="Financials - PP"/>
      <sheetName val="Project Cost-old"/>
      <sheetName val="Key Assumptions"/>
      <sheetName val="Orissa PhII revised"/>
      <sheetName val="Capex flexibility"/>
      <sheetName val="Mecon"/>
      <sheetName val="2008 BS"/>
      <sheetName val="EBIDAT reco"/>
      <sheetName val="SBI-1"/>
      <sheetName val="SBI-2"/>
      <sheetName val="SBI-3"/>
      <sheetName val="Capital Cost - PP"/>
      <sheetName val="D-E Yearly"/>
      <sheetName val="D-E Summary"/>
      <sheetName val="D-E Required"/>
      <sheetName val="Esic Reconicaltions"/>
      <sheetName val="ESIC GOA"/>
      <sheetName val="Dewas"/>
      <sheetName val="352403_ESIC PAYBALE"/>
      <sheetName val="K SWARUP"/>
      <sheetName val="Raw Sheet"/>
      <sheetName val="PHYSICAL"/>
      <sheetName val="Consol FA sch"/>
      <sheetName val="SYS &amp; LAPTOP SALE"/>
      <sheetName val="Con-Dep"/>
      <sheetName val="Sale P&amp;LQ1-Q2-Q3-Q4 "/>
      <sheetName val="Veh"/>
      <sheetName val="S-w"/>
      <sheetName val="Helicopter"/>
      <sheetName val="Com"/>
      <sheetName val="Fur"/>
      <sheetName val="Con-Cost"/>
      <sheetName val="AC"/>
      <sheetName val="Off"/>
      <sheetName val="LAND"/>
      <sheetName val="FA SH5-6 "/>
      <sheetName val="EXTRA"/>
      <sheetName val="Trans to"/>
      <sheetName val="detail "/>
      <sheetName val="Con-Dep without wm"/>
      <sheetName val="Con-Cost without wm"/>
      <sheetName val="FORM3-FF"/>
      <sheetName val="FORM3 - MAIN-OLD"/>
      <sheetName val="FROM2"/>
      <sheetName val="Form2 - letter"/>
      <sheetName val="Form3 - letter"/>
      <sheetName val="CMA-REGISTER"/>
      <sheetName val="FORM-I"/>
      <sheetName val="jan'04"/>
      <sheetName val="Preops."/>
      <sheetName val="Machine Rate"/>
      <sheetName val="Plan"/>
      <sheetName val="Pers."/>
      <sheetName val="Cost Allocation"/>
      <sheetName val="-"/>
      <sheetName val="Equip."/>
      <sheetName val="Purch."/>
      <sheetName val="Mixing Plant"/>
      <sheetName val="zus. Artikel"/>
      <sheetName val="Sheet14"/>
      <sheetName val="Sheet15"/>
      <sheetName val="Sheet16"/>
      <sheetName val="Prices"/>
      <sheetName val="Manpower Cost"/>
      <sheetName val="COP"/>
      <sheetName val="Quant Raw M"/>
      <sheetName val="Market Data"/>
      <sheetName val="Detailed COP"/>
      <sheetName val="Raw Material"/>
      <sheetName val="Installed capacity"/>
      <sheetName val="Capacity Utilization"/>
      <sheetName val="Consumables"/>
      <sheetName val="CMA"/>
      <sheetName val="R&amp;M"/>
      <sheetName val="Funds Flow"/>
      <sheetName val="Depreciation-IT"/>
      <sheetName val="TermLoan"/>
      <sheetName val="Hire-purchase"/>
      <sheetName val="(1)B1PH"/>
      <sheetName val="(1)B2PH"/>
      <sheetName val="(1)B2-1PH"/>
      <sheetName val="(1)B3"/>
      <sheetName val="(1)B5-1PH"/>
      <sheetName val="(1)C7PH"/>
      <sheetName val="(1)C7-1PH"/>
      <sheetName val="A3PH"/>
      <sheetName val="C1PH"/>
      <sheetName val="C1-1PH"/>
      <sheetName val="C3PH"/>
      <sheetName val="E1PH"/>
      <sheetName val="E3PH"/>
      <sheetName val="E3-1PH"/>
      <sheetName val="EA1"/>
      <sheetName val="EA1-1"/>
      <sheetName val="F1PH"/>
      <sheetName val="F3PH"/>
      <sheetName val="F3-1PH"/>
      <sheetName val="F3-2PH"/>
      <sheetName val="F6PH"/>
      <sheetName val="G1PH"/>
      <sheetName val="G2PH"/>
      <sheetName val="G3PH"/>
      <sheetName val="H1PH"/>
      <sheetName val="H6PH"/>
      <sheetName val="H6-1PH"/>
      <sheetName val="I1PH"/>
      <sheetName val="I5PH"/>
      <sheetName val="J1PH"/>
      <sheetName val="J2PH"/>
      <sheetName val="J2.1PH"/>
      <sheetName val="J3PH"/>
      <sheetName val="J3-1PH"/>
      <sheetName val="J3-2PH"/>
      <sheetName val="J6PH"/>
      <sheetName val="J7PH"/>
      <sheetName val="J8PH"/>
      <sheetName val="J8-1PH"/>
      <sheetName val="J8-2PH"/>
      <sheetName val="K101PH"/>
      <sheetName val="M1PH"/>
      <sheetName val="N1PH"/>
      <sheetName val="N2PH"/>
      <sheetName val="N3PH"/>
      <sheetName val="N4PH"/>
      <sheetName val="P1PH"/>
      <sheetName val="P2PH"/>
      <sheetName val="P3PH"/>
      <sheetName val="P3.1PH"/>
      <sheetName val="R1PH"/>
      <sheetName val="R2"/>
      <sheetName val="R3PH"/>
      <sheetName val="R3.1PH"/>
      <sheetName val="R3.1.1PH"/>
      <sheetName val="R3.1.2PH"/>
      <sheetName val="R3.1.3PH"/>
      <sheetName val="R3.1.4PH"/>
      <sheetName val="R3.2"/>
      <sheetName val="R3.3"/>
      <sheetName val="R4PH"/>
      <sheetName val="R4.1PH"/>
      <sheetName val="R4.1-1PH"/>
      <sheetName val="R4.1.2PH"/>
      <sheetName val="R4.1-3PH"/>
      <sheetName val="R4.2"/>
      <sheetName val="R5PH"/>
      <sheetName val="R5-1PH"/>
      <sheetName val="R5-2PH"/>
      <sheetName val="R5.3PH"/>
      <sheetName val="R5.4PH"/>
      <sheetName val="R6PH"/>
      <sheetName val="R7PH"/>
      <sheetName val="R8PH"/>
      <sheetName val="R9PH"/>
      <sheetName val="R10PH"/>
      <sheetName val="R10.1PH"/>
      <sheetName val="V1"/>
      <sheetName val="(1)B1"/>
      <sheetName val="(1)B2"/>
      <sheetName val="(1)B2-1"/>
      <sheetName val="(1)B5-1"/>
      <sheetName val="(1)C7"/>
      <sheetName val="(1)C7-1"/>
      <sheetName val="C1-1"/>
      <sheetName val="C3"/>
      <sheetName val="E3"/>
      <sheetName val="E3-1"/>
      <sheetName val="F3-1"/>
      <sheetName val="F3-2"/>
      <sheetName val="G3"/>
      <sheetName val="H6"/>
      <sheetName val="H6-1"/>
      <sheetName val="J1"/>
      <sheetName val="J2"/>
      <sheetName val="J2.1"/>
      <sheetName val="J3"/>
      <sheetName val="J3-1"/>
      <sheetName val="J3-2"/>
      <sheetName val="J6"/>
      <sheetName val="J7"/>
      <sheetName val="J8"/>
      <sheetName val="J8-1"/>
      <sheetName val="J8-2"/>
      <sheetName val="K101"/>
      <sheetName val="M1"/>
      <sheetName val="N3"/>
      <sheetName val="P3.1"/>
      <sheetName val="R3"/>
      <sheetName val="R3.1"/>
      <sheetName val="R3.1.1"/>
      <sheetName val="R3.1.2"/>
      <sheetName val="R3.1.3"/>
      <sheetName val="R3.1.4"/>
      <sheetName val="R4"/>
      <sheetName val="R4.1"/>
      <sheetName val="R4.1-1"/>
      <sheetName val="R4.1.2"/>
      <sheetName val="R4.1-3"/>
      <sheetName val="R5"/>
      <sheetName val="R5-1"/>
      <sheetName val="R5-2"/>
      <sheetName val="R5.3"/>
      <sheetName val="R5.4"/>
      <sheetName val="R6"/>
      <sheetName val="R7"/>
      <sheetName val="R8"/>
      <sheetName val="R9"/>
      <sheetName val="R10"/>
      <sheetName val="R10.1"/>
      <sheetName val="Freezers"/>
      <sheetName val="Mach &amp; equip"/>
      <sheetName val="Building"/>
      <sheetName val="Comp equip"/>
      <sheetName val="MV"/>
      <sheetName val="FFE"/>
      <sheetName val="DEPN 2002"/>
      <sheetName val="DEPN 2001"/>
      <sheetName val="Imemo"/>
      <sheetName val="I1"/>
      <sheetName val="I1-1"/>
      <sheetName val="I1-2 ARPS"/>
      <sheetName val="I2 Interco review"/>
      <sheetName val="I1 (2)"/>
      <sheetName val="S19A(1)(HP)"/>
      <sheetName val="SCH (2)"/>
      <sheetName val="Int working"/>
      <sheetName val="R24"/>
      <sheetName val="(1)B2-2"/>
      <sheetName val="(1)B5"/>
      <sheetName val="C2"/>
      <sheetName val="C4"/>
      <sheetName val="C5"/>
      <sheetName val="D2"/>
      <sheetName val="D2-1"/>
      <sheetName val="E4"/>
      <sheetName val="E5"/>
      <sheetName val="E5-1"/>
      <sheetName val="F2-13"/>
      <sheetName val="F2-14"/>
      <sheetName val="H1-1"/>
      <sheetName val="I2"/>
      <sheetName val="I5"/>
      <sheetName val="J2-4"/>
      <sheetName val="L1"/>
      <sheetName val="M2"/>
      <sheetName val="R5-3"/>
      <sheetName val="R12"/>
      <sheetName val="R13"/>
      <sheetName val="R15"/>
      <sheetName val="R16"/>
      <sheetName val="R19"/>
      <sheetName val="R20"/>
      <sheetName val="R22"/>
      <sheetName val="R23"/>
      <sheetName val="LSPL08"/>
      <sheetName val="LSPL07"/>
      <sheetName val="LSIP08"/>
      <sheetName val="LSIP07"/>
      <sheetName val="LSPL07BS"/>
      <sheetName val="LSIP07BS"/>
      <sheetName val="LSPL06BS"/>
      <sheetName val="LSIP06BS"/>
      <sheetName val="96SGD"/>
      <sheetName val="96PCSGD"/>
      <sheetName val="96AUD"/>
      <sheetName val="96USD"/>
      <sheetName val="Bank Guarantee"/>
      <sheetName val="Deposit"/>
      <sheetName val="Asset"/>
      <sheetName val="A P"/>
      <sheetName val="Leave Prov"/>
      <sheetName val="GST"/>
      <sheetName val="R (2)"/>
      <sheetName val="AJE"/>
      <sheetName val="RJE"/>
      <sheetName val="TOD"/>
      <sheetName val="Proof Def Tax"/>
      <sheetName val="TWDV over NBV"/>
      <sheetName val="Tax Movement"/>
      <sheetName val="Z1-BS"/>
      <sheetName val="Z1-IS"/>
      <sheetName val="Z2-DPL"/>
      <sheetName val="Z3-CJE"/>
      <sheetName val="Z5-MI"/>
      <sheetName val="Z7-FA"/>
      <sheetName val="Z8-NTA"/>
      <sheetName val="Z10-IntercoTscn"/>
      <sheetName val="Z8-NTARisk"/>
      <sheetName val="Z9-Tax"/>
      <sheetName val="Z10-India"/>
      <sheetName val="Z10-CashFlow"/>
      <sheetName val="F15"/>
      <sheetName val="F17"/>
      <sheetName val="F18"/>
      <sheetName val="Ostd"/>
      <sheetName val="WJE"/>
      <sheetName val="(1)B5.1"/>
      <sheetName val="WBS"/>
      <sheetName val="C1.1"/>
      <sheetName val="C1.2"/>
      <sheetName val="F3.1"/>
      <sheetName val="F3.2"/>
      <sheetName val="F7"/>
      <sheetName val="H1.1"/>
      <sheetName val="H2"/>
      <sheetName val="J3.1"/>
      <sheetName val="J3.2"/>
      <sheetName val="J4"/>
      <sheetName val="M2.1"/>
      <sheetName val="RSampling"/>
      <sheetName val="R5.1"/>
      <sheetName val="R5.2"/>
      <sheetName val="Payable"/>
      <sheetName val="Receivable"/>
      <sheetName val="AJE (2)"/>
      <sheetName val="CJE"/>
      <sheetName val="C6"/>
      <sheetName val="D1.2"/>
      <sheetName val="D3"/>
      <sheetName val="D5"/>
      <sheetName val="E3S"/>
      <sheetName val="E3.1"/>
      <sheetName val="EA1-HQ"/>
      <sheetName val="EA1-TG"/>
      <sheetName val="EA3-HQ"/>
      <sheetName val="EA3-TohGuan"/>
      <sheetName val="F2.1"/>
      <sheetName val="F2.2"/>
      <sheetName val="F2.3"/>
      <sheetName val="F3.3"/>
      <sheetName val="F6.1"/>
      <sheetName val="F6.2"/>
      <sheetName val="H2.1"/>
      <sheetName val="H5"/>
      <sheetName val="I2.1"/>
      <sheetName val="I2.2"/>
      <sheetName val="J2A"/>
      <sheetName val="J6.1"/>
      <sheetName val="K102.1"/>
      <sheetName val="K102.2"/>
      <sheetName val="K102.3"/>
      <sheetName val="K102.4"/>
      <sheetName val="K102.5"/>
      <sheetName val="K102.6"/>
      <sheetName val="M2.2"/>
      <sheetName val="P4.1"/>
      <sheetName val="J5"/>
      <sheetName val="Sal"/>
      <sheetName val="TOD-P"/>
      <sheetName val="Difference"/>
      <sheetName val="Dilution of interest"/>
      <sheetName val="Conso BS2002"/>
      <sheetName val="UW - Group CF (2005)"/>
      <sheetName val="AGT"/>
      <sheetName val="Consol BS - UW"/>
      <sheetName val="NTA -PPE"/>
      <sheetName val="TB Links"/>
      <sheetName val="Section 1"/>
      <sheetName val="(2)EA1-1"/>
      <sheetName val="B5"/>
      <sheetName val="Links"/>
      <sheetName val="NTA"/>
      <sheetName val="Conso BS Main"/>
      <sheetName val="PriceList"/>
      <sheetName val="Addresses"/>
      <sheetName val="Conso PL Main"/>
      <sheetName val="Proof of goodwill"/>
      <sheetName val="Cashflow computation"/>
      <sheetName val="Cost of Sales "/>
      <sheetName val="Section 2"/>
      <sheetName val="PPE summary"/>
      <sheetName val="(2)C1"/>
      <sheetName val="Consol PL - UW"/>
      <sheetName val="Consulting"/>
      <sheetName val="(2)R3.2 (2)"/>
      <sheetName val="Advance to GZ"/>
      <sheetName val="(2)R1"/>
      <sheetName val="E101"/>
      <sheetName val="WIP Summary"/>
      <sheetName val="Summary - System"/>
      <sheetName val="A4-1"/>
      <sheetName val="LJE"/>
      <sheetName val="SAD"/>
      <sheetName val="Blank"/>
      <sheetName val="sum-JantoJun'03"/>
      <sheetName val="BS-FOREX"/>
      <sheetName val="PL-FOREX"/>
      <sheetName val="SR"/>
      <sheetName val="SR-FOREX"/>
      <sheetName val="FA-FOREX"/>
      <sheetName val="WCJ"/>
      <sheetName val="JCJ"/>
      <sheetName val="RIES"/>
      <sheetName val="FRS39"/>
      <sheetName val="Key mgmt"/>
      <sheetName val="Cost of Investment"/>
      <sheetName val="Div"/>
      <sheetName val="SR Analysis"/>
      <sheetName val="CAL"/>
      <sheetName val="SUB(01)"/>
      <sheetName val="SUB(02)"/>
      <sheetName val="ExchangeRates"/>
      <sheetName val="A5.101 BS"/>
      <sheetName val="A5.102 PL"/>
      <sheetName val="A5.103 SR"/>
      <sheetName val="A5.104FA"/>
      <sheetName val="A5.105 CAL"/>
      <sheetName val="A5.106 WCJ"/>
      <sheetName val="A5.107 JCJ"/>
      <sheetName val="A5.108 BS-FOREX"/>
      <sheetName val="A5.109 PL-FOREX"/>
      <sheetName val="A5.110 SR-FOREX"/>
      <sheetName val="A5.111 FA-FOREX"/>
      <sheetName val="A5.112 SUB"/>
      <sheetName val="A5.113 Cost of Investment"/>
      <sheetName val="F301-1 FX"/>
      <sheetName val="F301-2 FX"/>
      <sheetName val="F301-3 FX"/>
      <sheetName val="F302-1 FX"/>
      <sheetName val="F302-2 FX"/>
      <sheetName val="F302-3 FX"/>
      <sheetName val="F301-1 ZF"/>
      <sheetName val="F301 - 02 ZF"/>
      <sheetName val="F301-03 ZF"/>
      <sheetName val="F302 -01 ZF"/>
      <sheetName val="F302-02 ZF"/>
      <sheetName val="F302-03 ZF"/>
      <sheetName val="F OSM"/>
      <sheetName val="F101 FC"/>
      <sheetName val="F200 FX (RM)"/>
      <sheetName val="F200 ZF (RM)"/>
      <sheetName val="F201 ZF"/>
      <sheetName val="F204 ZF"/>
      <sheetName val="F704-RM"/>
      <sheetName val="F704-RM(2)"/>
      <sheetName val="F705-RM"/>
      <sheetName val="F705-RM(2)"/>
      <sheetName val="F706-RM"/>
      <sheetName val="F706-RM(2)"/>
      <sheetName val="F606 (01)"/>
      <sheetName val="Business Unit"/>
      <sheetName val="BS-new"/>
      <sheetName val="PL-new"/>
      <sheetName val="S&amp;R"/>
      <sheetName val="S&amp;R-forex"/>
      <sheetName val="CAL-forex"/>
      <sheetName val="A2 Cash flow"/>
      <sheetName val="***00"/>
      <sheetName val="Disclosure"/>
      <sheetName val="TAworkings"/>
      <sheetName val="TA"/>
      <sheetName val="CF-7"/>
      <sheetName val="interbal"/>
      <sheetName val="segmental"/>
      <sheetName val="seg-turnover"/>
      <sheetName val="dato-turnover"/>
      <sheetName val="dato-pbt"/>
      <sheetName val="Assoc_byco"/>
      <sheetName val="consolpl"/>
      <sheetName val="GKTJV"/>
      <sheetName val="protover"/>
      <sheetName val="GESB"/>
      <sheetName val="GMMJV"/>
      <sheetName val="protoMP"/>
      <sheetName val="presegmental"/>
      <sheetName val="kpi"/>
      <sheetName val="Project"/>
      <sheetName val="J-1"/>
      <sheetName val="O_Taxmovement "/>
      <sheetName val="OSM  client"/>
      <sheetName val="Required from the client"/>
      <sheetName val="A2"/>
      <sheetName val="A2 (old)"/>
      <sheetName val="A2-1"/>
      <sheetName val="A2-1l1"/>
      <sheetName val="A2-3"/>
      <sheetName val="A2-4"/>
      <sheetName val="A2-4 (old)"/>
      <sheetName val="A7-40"/>
      <sheetName val="A-4"/>
      <sheetName val="L-1"/>
      <sheetName val="Policy"/>
      <sheetName val="Rationalisation"/>
      <sheetName val="U (2)"/>
      <sheetName val="Sheet11"/>
      <sheetName val="Sheet13"/>
      <sheetName val="aje98"/>
      <sheetName val="rje98"/>
      <sheetName val="exch rates"/>
      <sheetName val="purch testing"/>
      <sheetName val="sales testing"/>
      <sheetName val="rcpt testing"/>
      <sheetName val="pymt testing"/>
      <sheetName val="roundsums"/>
      <sheetName val="PBD98"/>
      <sheetName val="PBD981"/>
      <sheetName val="Tax97"/>
      <sheetName val="Draft taxcomp 97"/>
      <sheetName val="Draft taxcomp 98"/>
      <sheetName val="Capital Allowances97"/>
      <sheetName val="CA98"/>
      <sheetName val="Deferred tax97"/>
      <sheetName val="Deferredtax98"/>
      <sheetName val="Handuk Korea"/>
      <sheetName val="Korea acc97"/>
      <sheetName val="Korea Acc98"/>
      <sheetName val="epf97"/>
      <sheetName val="epf98"/>
      <sheetName val="Sales97"/>
      <sheetName val="Sales98"/>
      <sheetName val="Stock-purch97"/>
      <sheetName val="Stock-purch98"/>
      <sheetName val="nrv98"/>
      <sheetName val="nrv97"/>
      <sheetName val="E1 "/>
      <sheetName val="N-final"/>
      <sheetName val="N1-f"/>
      <sheetName val="N1l1-f"/>
      <sheetName val="N2-1-f"/>
      <sheetName val="N-F"/>
      <sheetName val="N1-1"/>
      <sheetName val="N2-F"/>
      <sheetName val="N2-1F"/>
      <sheetName val="Issue"/>
      <sheetName val="WCGW_not used"/>
      <sheetName val="Rev"/>
      <sheetName val="Opex"/>
      <sheetName val="Funding"/>
      <sheetName val="Taxation"/>
      <sheetName val="Depn1"/>
      <sheetName val="DSS1&amp;2"/>
      <sheetName val="JSN (with coupon) 15 yrs"/>
      <sheetName val="JSN (with coupon) 10 yrs"/>
      <sheetName val="New bonds"/>
      <sheetName val="BOND (with coupon)"/>
      <sheetName val="2-6"/>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Michell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F-8"/>
      <sheetName val="AP-110SUP(June)"/>
      <sheetName val="G-4-3."/>
      <sheetName val="G-4-4"/>
      <sheetName val="G-4-5."/>
      <sheetName val="G-4-6"/>
      <sheetName val="FF-2-not used"/>
      <sheetName val="SRM 1"/>
      <sheetName val="SRM 2"/>
      <sheetName val="A3-2"/>
      <sheetName val="E-1"/>
      <sheetName val="FAD"/>
      <sheetName val="M-1"/>
      <sheetName val="N-2"/>
      <sheetName val="Q-1"/>
      <sheetName val="Q-2"/>
      <sheetName val="Q-2-2"/>
      <sheetName val="O-2"/>
      <sheetName val="O-3"/>
      <sheetName val="O-4"/>
      <sheetName val="U-2-1"/>
      <sheetName val="FSA (Attach)"/>
      <sheetName val="BPR."/>
      <sheetName val="P&amp;L1 "/>
      <sheetName val="P&amp;L GHD"/>
      <sheetName val="OPEX1"/>
      <sheetName val="Cashflow1"/>
      <sheetName val="BSheet1"/>
      <sheetName val="p&amp;l 0304"/>
      <sheetName val="p&amp;l 0405"/>
      <sheetName val="p&amp;l 0506"/>
      <sheetName val="Proof of Associate"/>
      <sheetName val="BPR1"/>
      <sheetName val="BPR2"/>
      <sheetName val="OS 1(FOR CLIENT DISTRIBUTION)"/>
      <sheetName val="A3-1-1"/>
      <sheetName val="A3-1-2"/>
      <sheetName val="A3-1-3"/>
      <sheetName val="A2 - 5"/>
      <sheetName val="A2 - 6"/>
      <sheetName val="I-2"/>
      <sheetName val="Inter- Company Reconciliation"/>
      <sheetName val="Outstanding Matters (2)"/>
      <sheetName val="A2 - 5 (2)"/>
      <sheetName val="A8-6 (1)"/>
      <sheetName val="A8-2(1)"/>
      <sheetName val="A3-1-4"/>
      <sheetName val="A3 - 3"/>
      <sheetName val="A3 - 4"/>
      <sheetName val="C "/>
      <sheetName val="10-3"/>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U-20"/>
      <sheetName val="BB-3"/>
      <sheetName val="BB - 7"/>
      <sheetName val="FF - 6"/>
      <sheetName val="AF-Notes"/>
      <sheetName val="Adm97"/>
      <sheetName val="Key Ratios"/>
      <sheetName val="BPR (2)"/>
      <sheetName val="F-1 (2)"/>
      <sheetName val="payroll - to insert 20.11.01"/>
      <sheetName val="00000"/>
      <sheetName val="OS "/>
      <sheetName val="Sales analysis"/>
      <sheetName val="G-4-2"/>
      <sheetName val="J-71"/>
      <sheetName val="J-72"/>
      <sheetName val="J-73"/>
      <sheetName val="AP110(SUP)"/>
      <sheetName val="F-8 (FSL)"/>
      <sheetName val="F-8 (MASB)-Recon"/>
      <sheetName val="C-2"/>
      <sheetName val="M-MM"/>
      <sheetName val="G-35"/>
      <sheetName val="G-35-1"/>
      <sheetName val="G-35-2"/>
      <sheetName val="G-35-3"/>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5"/>
      <sheetName val="E-6"/>
      <sheetName val="E-6|1"/>
      <sheetName val="E - APS Debt"/>
      <sheetName val="I-1"/>
      <sheetName val="Inter Co"/>
      <sheetName val="I-1|1"/>
      <sheetName val="M-2"/>
      <sheetName val="N (IR)"/>
      <sheetName val="N-Note"/>
      <sheetName val="O-5"/>
      <sheetName val="Sum-Proll"/>
      <sheetName val="1000"/>
      <sheetName val="2000"/>
      <sheetName val="3000"/>
      <sheetName val="4000"/>
      <sheetName val="P&amp;L-Co"/>
      <sheetName val="P&amp;L-Gr"/>
      <sheetName val="PRJE"/>
      <sheetName val="PAJE"/>
      <sheetName val="ConF-1"/>
      <sheetName val="ConF-2"/>
      <sheetName val="ConF-3"/>
      <sheetName val="CPAJE"/>
      <sheetName val="WRK"/>
      <sheetName val="A-MEMO"/>
      <sheetName val="C-3"/>
      <sheetName val="N-3"/>
      <sheetName val="N-4"/>
      <sheetName val="N-5"/>
      <sheetName val="U-Gr"/>
      <sheetName val="U-Sh"/>
      <sheetName val="U-ShG"/>
      <sheetName val="U-Aril"/>
      <sheetName val="U-Gen"/>
      <sheetName val="U-Fam"/>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Jadual 3"/>
      <sheetName val="Jadual 3A"/>
      <sheetName val="Jadual 3B"/>
      <sheetName val="Jadual 3C"/>
      <sheetName val="A2|1"/>
      <sheetName val="A3|1"/>
      <sheetName val="x"/>
      <sheetName val="F3|1"/>
      <sheetName val="FF1"/>
      <sheetName val="FF2"/>
      <sheetName val="K1-K9"/>
      <sheetName val="M4"/>
      <sheetName val="A3-1&amp;2"/>
      <sheetName val="A3-5"/>
      <sheetName val="A3-71"/>
      <sheetName val="A20"/>
      <sheetName val="K Disclosure"/>
      <sheetName val="K-10"/>
      <sheetName val="U10&amp;20"/>
      <sheetName val="U10-1"/>
      <sheetName val="U30"/>
      <sheetName val="U30-1"/>
      <sheetName val="RE"/>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B-11"/>
      <sheetName val="4th cos"/>
      <sheetName val="For 02 tax recon purposes only"/>
      <sheetName val="Schedule I"/>
      <sheetName val="Schedule IIa"/>
      <sheetName val="Schedule IIb"/>
      <sheetName val="Schedule III"/>
      <sheetName val="indx"/>
      <sheetName val="A6-2"/>
      <sheetName val="O|1"/>
      <sheetName val="R1 (2)"/>
      <sheetName val="R1_DT Movement"/>
      <sheetName val="R2_DT Proof"/>
      <sheetName val="R|1"/>
      <sheetName val="R2|1"/>
      <sheetName val="R2|2"/>
      <sheetName val="R2|3"/>
      <sheetName val="A2_1_AJE"/>
      <sheetName val="A2_2_RJE"/>
      <sheetName val="G1|1"/>
      <sheetName val="I1|1 "/>
      <sheetName val="N|1"/>
      <sheetName val="O2"/>
      <sheetName val="P1-1"/>
      <sheetName val="U2|1"/>
      <sheetName val="U3"/>
      <sheetName val="R2R2"/>
      <sheetName val="RR2"/>
      <sheetName val="y"/>
      <sheetName val="graphs (2)"/>
      <sheetName val="graphs (3)"/>
      <sheetName val="graphs (6)"/>
      <sheetName val="graphs (4)"/>
      <sheetName val="graphs (5)"/>
      <sheetName val="Intermix"/>
      <sheetName val="Blender"/>
      <sheetName val="TST"/>
      <sheetName val="CV"/>
      <sheetName val="AA2"/>
      <sheetName val="newexpected"/>
      <sheetName val="Summary-mixing"/>
      <sheetName val="SUMMARYline"/>
      <sheetName val="COMPOUNDING"/>
      <sheetName val="prod3(val)"/>
      <sheetName val="Renault"/>
      <sheetName val="CVtrend"/>
      <sheetName val="OCT06"/>
      <sheetName val="SALE7C"/>
      <sheetName val="Coversheet"/>
      <sheetName val="Sales Customer (CCI)"/>
      <sheetName val="Gap Analysis (CCI)"/>
      <sheetName val="P&amp;L Sub"/>
      <sheetName val="DCF(CCI)"/>
      <sheetName val="WACC (CCI)"/>
      <sheetName val="BETA(CCI)"/>
      <sheetName val="CFS (CCI)"/>
      <sheetName val="IL&amp;FS"/>
      <sheetName val="P&amp;L (CCI)"/>
      <sheetName val="BS (CCI)"/>
      <sheetName val="Revised Logistics (2)"/>
      <sheetName val="Revised Logistics"/>
      <sheetName val="Logistics (CCI)"/>
      <sheetName val="Assumption (CCI)"/>
      <sheetName val="FF Business (CCI)"/>
      <sheetName val="Deprn FF (CCI)"/>
      <sheetName val="Loan Schedule (CCI)"/>
      <sheetName val="Deprn Logistics (CCI)"/>
      <sheetName val="Future Income (2)"/>
      <sheetName val="UILP Sales FY11"/>
      <sheetName val="UILP Expense FY11"/>
      <sheetName val="Warehouse (CCI)"/>
      <sheetName val="Oper Exps"/>
      <sheetName val="GP from Audited Nos"/>
      <sheetName val="Oper Income"/>
      <sheetName val="Fin Yr 10-11"/>
      <sheetName val="Final GP &amp; Projections (CCI)"/>
      <sheetName val="Fin Yr 09 - 10"/>
      <sheetName val="OT FY10"/>
      <sheetName val="OT R FY10"/>
      <sheetName val="OT FY11"/>
      <sheetName val="OT R FY11"/>
      <sheetName val="Employee Cost"/>
      <sheetName val="S&amp;A Expenses"/>
      <sheetName val="Interest &amp; Finance Charges"/>
      <sheetName val="Taxes (CCI)"/>
      <sheetName val="Investments (CCI)"/>
      <sheetName val="Loans &amp; Advances (CCI)"/>
      <sheetName val="Current Liabilities (CCI)"/>
      <sheetName val="Provision (CCI)"/>
      <sheetName val="Reserve &amp; Surplus (CCI)"/>
      <sheetName val="Secured Loan (CCI)"/>
      <sheetName val="Unsecured Loan (CCI)"/>
      <sheetName val="Proj Freight"/>
      <sheetName val="Depreciation (CCI)"/>
      <sheetName val="Annexure G"/>
      <sheetName val="Sched"/>
      <sheetName val="FA_Final"/>
      <sheetName val="Groupings-final"/>
      <sheetName val="prov"/>
      <sheetName val="gain.loss"/>
      <sheetName val="sap trial"/>
      <sheetName val="Scheme Area Details_Block__ C2"/>
      <sheetName val="New33KVSS_E3"/>
      <sheetName val="Prop aug of Ex 33KVSS_E3a"/>
      <sheetName val="SIN"/>
      <sheetName val="CREV"/>
      <sheetName val="DREV"/>
      <sheetName val="IDCCALHYD_GOO"/>
      <sheetName val="Degreasing"/>
      <sheetName val="wip-Dec."/>
      <sheetName val="Primer"/>
      <sheetName val="Sandblasting"/>
      <sheetName val="TB Jan-Dec96"/>
      <sheetName val="Managerial Remuneration-Dec96"/>
      <sheetName val="BS&amp;PL_DEC96"/>
      <sheetName val="Diagramm1"/>
      <sheetName val="Daten für Diagramm"/>
      <sheetName val="SAP 01_02 bis 30.04.03"/>
      <sheetName val="Eingabe"/>
      <sheetName val="Print out"/>
      <sheetName val="HGB Bilanz Eingabe"/>
      <sheetName val="Balance Sheet Permira"/>
      <sheetName val="Cash Flow "/>
      <sheetName val="Investitionen"/>
      <sheetName val="Invest DPC"/>
      <sheetName val="Deckblatt"/>
      <sheetName val="Steuerung"/>
      <sheetName val="Gesamt 2000-03"/>
      <sheetName val="Planung-Ö 2000-03"/>
      <sheetName val="Planung-D 2000-03"/>
      <sheetName val="Zugänge 2000-03"/>
      <sheetName val="Zugänge 2000-2003 Handel"/>
      <sheetName val="list of changes"/>
      <sheetName val="segment split"/>
      <sheetName val="Group NTA 25 Jun 04"/>
      <sheetName val="NTA &amp; NAV &amp; revaluation"/>
      <sheetName val="PPE 25 Jun 04"/>
      <sheetName val="2004 P&amp;L projections"/>
      <sheetName val="IS"/>
      <sheetName val=" CF"/>
      <sheetName val="DepreciationAmor"/>
      <sheetName val="DCF Group"/>
      <sheetName val="DCF Liner"/>
      <sheetName val="DCF Others"/>
      <sheetName val="Firm Value"/>
      <sheetName val="Premium (2)"/>
      <sheetName val="Premium"/>
      <sheetName val="Comps - Gp"/>
      <sheetName val="Comps - SOTP"/>
      <sheetName val="Share price in SGD and USD"/>
      <sheetName val="share px &amp; vol 1993-YTD weekly"/>
      <sheetName val="share px &amp; vol 2003-YTD"/>
      <sheetName val="freight rates - from Nikhil"/>
      <sheetName val="football field - Eqty value"/>
      <sheetName val="freight rates"/>
      <sheetName val="P&amp;L Detail"/>
      <sheetName val="Profit &amp; Loss Statement"/>
      <sheetName val="Income Statements"/>
      <sheetName val="Output Debt"/>
      <sheetName val="Calculation Debt"/>
      <sheetName val="Input Financing Assumptions"/>
      <sheetName val="INPUT Investments-Deprec."/>
      <sheetName val="INPUT KEY PARAMETER SUBSCRIBER"/>
      <sheetName val="SUBSCRIBER TOTAL"/>
      <sheetName val="SUBSCRIBER-DTH"/>
      <sheetName val="SUBSCRIBER-CABLE"/>
      <sheetName val="INPUT PACKAGE PARAMETER"/>
      <sheetName val="OUTPUT PACKAGES "/>
      <sheetName val="PACKAGES FOR PAYMENTS"/>
      <sheetName val="Revenues_Subscription PPC"/>
      <sheetName val="REVENUES PREMIERE PLUS"/>
      <sheetName val="Revenues_Subscription PPV"/>
      <sheetName val="Revenues Sublicencing"/>
      <sheetName val="Revenues_Decoder and others"/>
      <sheetName val=" Revenues Others"/>
      <sheetName val="OVERVIEW PROGRAMM"/>
      <sheetName val="MOVIE CALCULATION"/>
      <sheetName val="INPUT MOVIE SUBS "/>
      <sheetName val="INPUT MINIMUMGARANTEE "/>
      <sheetName val="INPUT ESCALATOR"/>
      <sheetName val="INPUT CPS "/>
      <sheetName val="INPUT MOVIE TITLES"/>
      <sheetName val="INPUT PPV MOVIE"/>
      <sheetName val="OUTPUT SPORT"/>
      <sheetName val="INPUT SPORT LICENCES"/>
      <sheetName val="INPUT SPORT PROD."/>
      <sheetName val="EVENTCALENDER"/>
      <sheetName val="BACKUP BUNDESLIGA"/>
      <sheetName val="INPUT PPV BL"/>
      <sheetName val="INPUT LIBRARY"/>
      <sheetName val="INPUT THIRD PARTY"/>
      <sheetName val="INPUT OTHER PROGRAMME"/>
      <sheetName val="Programming costs royalties"/>
      <sheetName val="Decoder Costs"/>
      <sheetName val="Transmission DTH"/>
      <sheetName val="Transmission Cable"/>
      <sheetName val="PLAY OUT-TRANSPONDER"/>
      <sheetName val="Subscriber Marketing Costs"/>
      <sheetName val="Selling-Costs"/>
      <sheetName val="G&amp;A"/>
      <sheetName val="ÜA"/>
      <sheetName val="Kursübersicht"/>
      <sheetName val="Übersicht(SV)"/>
      <sheetName val="Lizenzen Fiction rollierend"/>
      <sheetName val="Lizenzen Indies rollierend"/>
      <sheetName val="Kabel_Sat rollierend (SV)"/>
      <sheetName val="Kabel_Sat Berech. (SV)"/>
      <sheetName val="Sum. lease commitments 311203"/>
      <sheetName val="Receiver rollierend"/>
      <sheetName val="Berechnung Receiver"/>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Buchungen"/>
      <sheetName val="Zuordnung Goodwill u Zinssätze"/>
      <sheetName val="Verprobung Goodwill"/>
      <sheetName val="Tax Amortization Benefit"/>
      <sheetName val="Assembled Workforce"/>
      <sheetName val="UB und Lat. Steuern"/>
      <sheetName val="Markenzeichen"/>
      <sheetName val="Planzahlen"/>
      <sheetName val="Planung PBC"/>
      <sheetName val="Contributory Asset Charges"/>
      <sheetName val="Kundenliste"/>
      <sheetName val="Order Backlog"/>
      <sheetName val="Daily graph"/>
      <sheetName val="Comb daily"/>
      <sheetName val="NOL Chart- weekly"/>
      <sheetName val="Comb weekly"/>
      <sheetName val="PE EV charts"/>
      <sheetName val="intrinsic value field"/>
      <sheetName val="market football field"/>
      <sheetName val="Revalued Fleet"/>
      <sheetName val="Shipping key historic metrics"/>
      <sheetName val="Margin charts"/>
      <sheetName val="football field"/>
      <sheetName val="2003 Margin charts"/>
      <sheetName val="liquidity analysis"/>
      <sheetName val="Comp descriptions"/>
      <sheetName val="Asset Revaluation"/>
      <sheetName val="2004 Margin charts"/>
      <sheetName val="Historical"/>
      <sheetName val="Linked"/>
      <sheetName val="Conservative"/>
      <sheetName val="Aggressive"/>
      <sheetName val="Brand Allocation Template"/>
      <sheetName val="Consolidated Old"/>
      <sheetName val="Allocations"/>
      <sheetName val="HGTV"/>
      <sheetName val="FOOD"/>
      <sheetName val="DIY"/>
      <sheetName val="FL"/>
      <sheetName val="ONLINE"/>
      <sheetName val="VOD"/>
      <sheetName val="HISPANIC"/>
      <sheetName val="BROADBAND"/>
      <sheetName val="SAH"/>
      <sheetName val="HDTV"/>
      <sheetName val="SNU"/>
      <sheetName val="Telval"/>
      <sheetName val="PanEuro"/>
      <sheetName val="New structure"/>
      <sheetName val="SoP"/>
      <sheetName val="Revenue drivers"/>
      <sheetName val="Cost drivers"/>
      <sheetName val="DeleteMe"/>
      <sheetName val="Backsheet"/>
      <sheetName val="Net debt"/>
      <sheetName val="1H"/>
      <sheetName val="EV"/>
      <sheetName val="Turkcell"/>
      <sheetName val="B.S."/>
      <sheetName val="Debt payments"/>
      <sheetName val="interconnection charges"/>
      <sheetName val="legal disputes"/>
      <sheetName val="Qtrly cashflow"/>
      <sheetName val="Result table"/>
      <sheetName val="scenario Mrket share ARPU"/>
      <sheetName val="WACC"/>
      <sheetName val="Valuation comparable"/>
      <sheetName val="Fair values_Scenarios"/>
      <sheetName val="Valuation Custom. Rel. Service"/>
      <sheetName val="Client Customer Rel. Service"/>
      <sheetName val="Bearbeitet_25"/>
      <sheetName val="Pivot25"/>
      <sheetName val="assembled workforce IST"/>
      <sheetName val="Universe"/>
      <sheetName val="HGTV Affil"/>
      <sheetName val="Food Affil"/>
      <sheetName val="DIY Affil"/>
      <sheetName val="FL Affil"/>
      <sheetName val="GAC Affil"/>
      <sheetName val="HGTV Linked"/>
      <sheetName val="Food Linked"/>
      <sheetName val="DIY Linked"/>
      <sheetName val="FL Linked"/>
      <sheetName val="GAC Linked"/>
      <sheetName val="Überleitung Konzern"/>
      <sheetName val="Kabel_Sat rollierend (SV)."/>
      <sheetName val="Kabel_Sat Berech. (SV)."/>
      <sheetName val="Sum. lease commitments 300604"/>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sonstige rollierend"/>
      <sheetName val="Berechnung sonstige"/>
      <sheetName val="Capital Purchase Guidelines"/>
      <sheetName val="Menus"/>
      <sheetName val="Capital Worksheet"/>
      <sheetName val="Capital Spending Summary"/>
      <sheetName val="Depreciation Expense - Total"/>
      <sheetName val="Depreciation Expense - All"/>
      <sheetName val="Depreciation Expense - HGTV"/>
      <sheetName val="Depreciation Expense - FOOD"/>
      <sheetName val="Depreciation Expense - DIY"/>
      <sheetName val="Depreciation Expense - FL"/>
      <sheetName val="Depreciation Expense - GAC"/>
      <sheetName val="Depreciation Expense - SP"/>
      <sheetName val="Depreciation Expense - BB"/>
      <sheetName val="Depreciation Expense - VOD"/>
      <sheetName val="Depreciation Expense - HD HGTV"/>
      <sheetName val="Depreciation Expense - HD FOOD"/>
      <sheetName val="Depreciation Expense - SNA"/>
      <sheetName val="R. Johnson_5130"/>
      <sheetName val="T. Killoy"/>
      <sheetName val="D. Metz"/>
      <sheetName val="J. Ajamie"/>
      <sheetName val="R. Johnson_5132"/>
      <sheetName val="R. Feinbaum"/>
      <sheetName val="M. Donovan"/>
      <sheetName val="P. Crowley"/>
      <sheetName val="B. Fails"/>
      <sheetName val="2004 Strat Plan Capital "/>
      <sheetName val="Expense Items"/>
      <sheetName val="Depreciation Expense - HDTV"/>
      <sheetName val="Depreciation Expense - HDTV HG"/>
      <sheetName val="Depreciation Expense - HDTV FD"/>
      <sheetName val="DCF"/>
      <sheetName val="DCFHEMA"/>
      <sheetName val="DCFVD"/>
      <sheetName val="DCFBijenkorf"/>
      <sheetName val="DCFDIY"/>
      <sheetName val="DCFFashion"/>
      <sheetName val="DCFCE"/>
      <sheetName val="DCFSC"/>
      <sheetName val="DCFITS"/>
      <sheetName val="DCFTHoll"/>
      <sheetName val="DCFCFS"/>
      <sheetName val="DCFProperty"/>
      <sheetName val="DCFHolding"/>
      <sheetName val="DCFContingency"/>
      <sheetName val="Hema"/>
      <sheetName val="VD"/>
      <sheetName val="Bijenkorf"/>
      <sheetName val="Praxis"/>
      <sheetName val="Brico"/>
      <sheetName val="Formido"/>
      <sheetName val="Keur"/>
      <sheetName val="LeroyM"/>
      <sheetName val="Fashion"/>
      <sheetName val="ClStr"/>
      <sheetName val="Hunk"/>
      <sheetName val="M&amp;S"/>
      <sheetName val="CE"/>
      <sheetName val="Dixons"/>
      <sheetName val="Impact"/>
      <sheetName val="SchaapCitroen"/>
      <sheetName val="ITServices"/>
      <sheetName val="TechoHolland"/>
      <sheetName val="Property"/>
      <sheetName val="FAInvestments"/>
      <sheetName val="SPD"/>
      <sheetName val="Neptune Assumptions"/>
      <sheetName val="Neptune IS"/>
      <sheetName val="Neptune BS"/>
      <sheetName val="Neptune CF"/>
      <sheetName val="Neptune Debt"/>
      <sheetName val="LBO - Neptune"/>
      <sheetName val="Buyback Analysis"/>
      <sheetName val="Virgo Assumptions"/>
      <sheetName val="Virgo IS"/>
      <sheetName val="Virgo BS"/>
      <sheetName val="Aquarius BS"/>
      <sheetName val="Virgo CF"/>
      <sheetName val="Virgo Debt"/>
      <sheetName val="Merged Assumptions"/>
      <sheetName val="Transaction Terms"/>
      <sheetName val="Merged Debt"/>
      <sheetName val="Merged IS"/>
      <sheetName val="Merged BS"/>
      <sheetName val="Merged CF"/>
      <sheetName val="CSFB - Sensitivity"/>
      <sheetName val="CSFB - EPS Impact"/>
      <sheetName val="CSFB - Transaction"/>
      <sheetName val="CSFB - Financials"/>
      <sheetName val="CSFB - Credit Analysis"/>
      <sheetName val="CSFB - Merger Savings"/>
      <sheetName val="Neptune - UFCF"/>
      <sheetName val="Neptune - PVM(EBITDA) 10Y"/>
      <sheetName val="Neptune - PVM(Growth) 10Y"/>
      <sheetName val="Neptune - Valuation Summary"/>
      <sheetName val="Virgo - UFCF"/>
      <sheetName val="Virgo - PVM(EBITDA) 10Y"/>
      <sheetName val="Virgo - PVM(Growth) 10Y"/>
      <sheetName val="Virgo_valuation"/>
      <sheetName val="Neptune_valuation"/>
      <sheetName val="Merged_valuation"/>
      <sheetName val="WACC (CSFB)"/>
      <sheetName val="WACC (OLD)"/>
      <sheetName val="Comps"/>
      <sheetName val="ReturnMeasures"/>
      <sheetName val="RV2"/>
      <sheetName val="CreditSummary"/>
      <sheetName val="CreditPresentation"/>
      <sheetName val="Neptune_2003Fleet"/>
      <sheetName val="Virgo Fleet"/>
      <sheetName val="Virgo EPS Impact"/>
      <sheetName val="Godzilla_Fleet - OLD"/>
      <sheetName val="Graph"/>
      <sheetName val="EquityGraphs"/>
      <sheetName val="Acquisition assumptions"/>
      <sheetName val="Acquirer financing"/>
      <sheetName val="Acquirer Input"/>
      <sheetName val="Target Input"/>
      <sheetName val="Target (Acquiror FYE)"/>
      <sheetName val="Target proforma"/>
      <sheetName val="Acquirer proforma"/>
      <sheetName val="Ratings"/>
      <sheetName val="Debt finance schedule"/>
      <sheetName val="Opl adjustment"/>
      <sheetName val="Anleitung"/>
      <sheetName val="wp_HGB"/>
      <sheetName val="wp_IAS"/>
      <sheetName val="F-6-1"/>
      <sheetName val="Steuersatz_Berechnung QRC"/>
      <sheetName val="F-15_IAS"/>
      <sheetName val="F-15_1_IAS"/>
      <sheetName val="F-15_2_IAS"/>
      <sheetName val="F-15_3_IAS"/>
      <sheetName val="F-12_IAS"/>
      <sheetName val="FF-51_IAS"/>
      <sheetName val="L-40_IAS"/>
      <sheetName val="L-41_IAS"/>
      <sheetName val="F-32-1_IAS"/>
      <sheetName val="F-32-4_IAS"/>
      <sheetName val="F-121"/>
      <sheetName val="J-4"/>
      <sheetName val="J-5"/>
      <sheetName val="A-15"/>
      <sheetName val="A-16"/>
      <sheetName val="B-20"/>
      <sheetName val="B-21"/>
      <sheetName val="B-22"/>
      <sheetName val="L-10-1-1"/>
      <sheetName val="L-10-1-2"/>
      <sheetName val="L-10-2"/>
      <sheetName val="L-11"/>
      <sheetName val="L-11-1-1"/>
      <sheetName val="L-11-1-2"/>
      <sheetName val="L-11-1-3"/>
      <sheetName val="L-11-1-4"/>
      <sheetName val="L-11-2-1"/>
      <sheetName val="L-11-2-2"/>
      <sheetName val="L-11-2-3"/>
      <sheetName val="L-11-2-4"/>
      <sheetName val="L-13"/>
      <sheetName val="L-20"/>
      <sheetName val="L-30"/>
      <sheetName val="M-28"/>
      <sheetName val="M-29"/>
      <sheetName val="M-31-1"/>
      <sheetName val="N-30"/>
      <sheetName val="N-50"/>
      <sheetName val="N-110_IAS"/>
      <sheetName val="U-80_IAS"/>
      <sheetName val="U-81_IAS"/>
      <sheetName val="U-82_IAS"/>
      <sheetName val="BB-22"/>
      <sheetName val="CC-5_1_IAS"/>
      <sheetName val="CC-5"/>
      <sheetName val="DD-10-1"/>
      <sheetName val="DD-10-2"/>
      <sheetName val="DD-30_IAS"/>
      <sheetName val="FF-50_IAS"/>
      <sheetName val="SS-10"/>
      <sheetName val="SS-10_IAS"/>
      <sheetName val="40-1"/>
      <sheetName val="80"/>
      <sheetName val="90"/>
      <sheetName val="90-1_IAS"/>
      <sheetName val="100"/>
      <sheetName val="100-1"/>
      <sheetName val="110"/>
      <sheetName val="130"/>
      <sheetName val="Eingabe_IAS"/>
      <sheetName val="F-1-FINAL-2001"/>
      <sheetName val="F-2-FINAL-2001"/>
      <sheetName val="F-3-CF-2001"/>
      <sheetName val="F-1-FINAL-2002"/>
      <sheetName val="F-2-FINAL-2002"/>
      <sheetName val="F-3-CF-2002"/>
      <sheetName val="F-1-FINAL-2001-OLD"/>
      <sheetName val="F-2-FINAL-2001-OLD"/>
      <sheetName val="F-1-FINAL-2002-OLD"/>
      <sheetName val="F-2-FINAL-2002-OLD"/>
      <sheetName val="Tabelle5"/>
      <sheetName val="BILANZ-NOTES"/>
      <sheetName val="CHECKSUM"/>
      <sheetName val="NOTES-GuV"/>
      <sheetName val="NOTES-BILANZ"/>
      <sheetName val="NOTES-CF-I"/>
      <sheetName val="NOTES-CF-II"/>
      <sheetName val="NOTES-EK"/>
      <sheetName val="NOTES-EA-Tools"/>
      <sheetName val="wp-EPS"/>
      <sheetName val="KONSO"/>
      <sheetName val="KAPKO"/>
      <sheetName val="AKQUISITION-AEM"/>
      <sheetName val="AKQUISITION"/>
      <sheetName val="AUEKO"/>
      <sheetName val="SCHUKO"/>
      <sheetName val="ZWERG"/>
      <sheetName val="UMGLIEDERUNG"/>
      <sheetName val="wp_CF-I"/>
      <sheetName val="wp_CF"/>
      <sheetName val="BET.ERTRÄGE"/>
      <sheetName val="CASH FLOW 03-08"/>
      <sheetName val="Summary SAP vs Legacy"/>
      <sheetName val="SAP vs Legacy Deails"/>
      <sheetName val="SAP Data 291204"/>
      <sheetName val="As per Legacy"/>
      <sheetName val="Scenrerion Testing Revaluation"/>
      <sheetName val="S C H E M A"/>
      <sheetName val="1 Sites and Lines"/>
      <sheetName val="2 Revenue"/>
      <sheetName val="3 Minutes"/>
      <sheetName val="4 Summary"/>
      <sheetName val="Inputs from PSTN Model"/>
      <sheetName val="All Codes"/>
      <sheetName val=".BS"/>
      <sheetName val="BA_1"/>
      <sheetName val="BA_2"/>
      <sheetName val="BA_3"/>
      <sheetName val="LineMacros"/>
      <sheetName val="Summary Macros"/>
      <sheetName val="General"/>
      <sheetName val="BuildGroup"/>
      <sheetName val="BuildBook"/>
      <sheetName val="GroupMod"/>
      <sheetName val="GBDialog"/>
      <sheetName val="PrintDialog"/>
      <sheetName val="LineDialog"/>
      <sheetName val="PCodeDialog"/>
      <sheetName val="Splash"/>
      <sheetName val="PCs"/>
      <sheetName val="MCL"/>
      <sheetName val="PrintCommands"/>
      <sheetName val="Model"/>
      <sheetName val="Revenue Breakout"/>
      <sheetName val="valn2"/>
      <sheetName val="capex-BWA"/>
      <sheetName val="capex-NWA"/>
      <sheetName val="capex-ISP+CLEC"/>
      <sheetName val="capex-other"/>
      <sheetName val="Inter_Menu"/>
      <sheetName val="interconnect"/>
      <sheetName val="cos"/>
      <sheetName val="opex-it"/>
      <sheetName val="opex-custSvc"/>
      <sheetName val="opex-G&amp;A"/>
      <sheetName val="opex-S&amp;Mktg"/>
      <sheetName val="cos-Urguay"/>
      <sheetName val="deprec"/>
      <sheetName val="by_city"/>
      <sheetName val="rev-BWA"/>
      <sheetName val="rev-BWA (Uruguay)"/>
      <sheetName val="Uruguay"/>
      <sheetName val="rev-NWA"/>
      <sheetName val="rev-ISP+CLEC"/>
      <sheetName val="DSL"/>
      <sheetName val="Int2_2001"/>
      <sheetName val="Int2_traf_2001"/>
      <sheetName val="Int2_tra_2001_2"/>
      <sheetName val="Prices_Interurban"/>
      <sheetName val="C-TM1"/>
      <sheetName val="SendToTM1"/>
      <sheetName val="PeriodFunction"/>
      <sheetName val="auto"/>
      <sheetName val="sOFTWARE 1"/>
      <sheetName val="SOFTWARE 2"/>
      <sheetName val="0405 vs 0506"/>
      <sheetName val="MSSL India"/>
      <sheetName val="MSSL Japan"/>
      <sheetName val="MSSL Thailand"/>
      <sheetName val="MSSL GB"/>
      <sheetName val="MSSL ME"/>
      <sheetName val="MSSL M1A"/>
      <sheetName val="Harness Wise Breakup- India"/>
      <sheetName val="Harness Wise Breakup- Thailand"/>
      <sheetName val="Reduzierter CBD"/>
      <sheetName val="Empfohlener CBD"/>
      <sheetName val="XLS Avg Rev"/>
      <sheetName val="価格一覧表"/>
      <sheetName val="TJC - Total"/>
      <sheetName val="CBD Kolben"/>
      <sheetName val="Brush Assembly"/>
      <sheetName val="LOAD"/>
      <sheetName val="HKKalk280100 modifiziert"/>
      <sheetName val="Definitions"/>
      <sheetName val="Opdata (2)"/>
      <sheetName val="207 "/>
      <sheetName val="SAFARI"/>
      <sheetName val="LCV MCV HCV"/>
      <sheetName val="HRD"/>
      <sheetName val="ENGG."/>
      <sheetName val="MARKETING+bonded"/>
      <sheetName val="COMMERCIAL+stores"/>
      <sheetName val="QP&amp;S "/>
      <sheetName val="SUMMARY REPORT"/>
      <sheetName val="Obser. W.C"/>
      <sheetName val="Entries (2)"/>
      <sheetName val="PATNA"/>
      <sheetName val="Start"/>
      <sheetName val="Prospect Database"/>
      <sheetName val="Portfolio Goals &amp; Selection"/>
      <sheetName val="Prospect CrossPlots"/>
      <sheetName val="Prospect Rankings"/>
      <sheetName val="Portfolio Resources"/>
      <sheetName val="Portfolio Resource Histograms"/>
      <sheetName val="Portfolio Discoveries"/>
      <sheetName val="Portfolio Economics"/>
      <sheetName val="Summary Charts"/>
      <sheetName val="Sequential Accumulation"/>
      <sheetName val="Sorting"/>
      <sheetName val="Computations"/>
      <sheetName val="Computations 2"/>
      <sheetName val="Computations 3"/>
      <sheetName val="Computations 4"/>
      <sheetName val="Computations 5"/>
      <sheetName val="Main Page"/>
      <sheetName val="Study Package Planner"/>
      <sheetName val="Stock Register"/>
      <sheetName val="Requisition Master"/>
      <sheetName val="Ranges"/>
      <sheetName val="Annexure (A)"/>
      <sheetName val="Annexure (B)"/>
      <sheetName val="Annexure (C)"/>
      <sheetName val="Annexure (D)"/>
      <sheetName val="Annexure (E)"/>
      <sheetName val="Annexure (F)"/>
      <sheetName val="Annexure (G)"/>
      <sheetName val="Annexure (G) (2)"/>
      <sheetName val="FIFO RATE"/>
      <sheetName val="NSEZ STOCK"/>
      <sheetName val="Karigars"/>
      <sheetName val="Export Sales"/>
      <sheetName val="Loading Value"/>
      <sheetName val="FG RW WIP"/>
      <sheetName val="PROFIT &amp; LOSS ACC"/>
      <sheetName val="Details of Closing Stock"/>
      <sheetName val="Comput"/>
      <sheetName val="Deffered tax"/>
      <sheetName val="Companies Act"/>
      <sheetName val="I.T. Act"/>
      <sheetName val="Depn _ net off subsidy"/>
      <sheetName val="Sponge Iron"/>
      <sheetName val="Cost of FG"/>
      <sheetName val="Coal"/>
      <sheetName val="Coal (Weighted Av)"/>
      <sheetName val="Iron Ore"/>
      <sheetName val="Iron Ore (Weighted Av)"/>
      <sheetName val="Dolomite"/>
      <sheetName val="Dolomite (Weighted Av)"/>
      <sheetName val="Rent - Guest House"/>
      <sheetName val="Unsecured Loan"/>
      <sheetName val="TDS (Dr.)"/>
      <sheetName val="Prepaid Expenses"/>
      <sheetName val="Sundry  Balance Written Off"/>
      <sheetName val="IRPY"/>
      <sheetName val="Outstanding Liabilities"/>
      <sheetName val="Retention Money"/>
      <sheetName val="Sundry Debtors"/>
      <sheetName val="Advance from Customer"/>
      <sheetName val="Subsidies"/>
      <sheetName val="Detail of Cr"/>
      <sheetName val="Notes1"/>
      <sheetName val="Notes2"/>
      <sheetName val="80IB (2)"/>
      <sheetName val="80IB"/>
      <sheetName val="Annexure 1"/>
      <sheetName val="Unsold Construction"/>
      <sheetName val="Finished Goods"/>
      <sheetName val="NOA 1"/>
      <sheetName val="NOA 2"/>
      <sheetName val="NOA 3"/>
      <sheetName val="NOA 4"/>
      <sheetName val="NOA 5"/>
      <sheetName val="NOA 6"/>
      <sheetName val="NOA 7"/>
      <sheetName val="NOA 8"/>
      <sheetName val="NOA 9"/>
      <sheetName val="I.T. Act (2)"/>
      <sheetName val="Companies Act (2)"/>
      <sheetName val="Salary &amp; Wages"/>
      <sheetName val="Creditors (Cr.)"/>
      <sheetName val="Creditors (Dr.)"/>
      <sheetName val="Gratuity"/>
      <sheetName val="___ ._"/>
      <sheetName val="Schedule (2)"/>
      <sheetName val="fza 12M"/>
      <sheetName val="svi2"/>
      <sheetName val="svi1"/>
      <sheetName val="ASSUM"/>
      <sheetName val="InputsT"/>
      <sheetName val="PasteRs"/>
      <sheetName val="OGD"/>
      <sheetName val="Crosschecks"/>
      <sheetName val="Indices"/>
      <sheetName val="Revenues"/>
      <sheetName val="RIL"/>
      <sheetName val="Partner"/>
      <sheetName val="R-Factor"/>
      <sheetName val="TODO"/>
      <sheetName val="To Do"/>
      <sheetName val="Techno-20 yrs-1"/>
      <sheetName val="D&amp;C Sch"/>
      <sheetName val="Calculation for Eco"/>
      <sheetName val="LAQ &amp; Civil"/>
      <sheetName val="O&amp;M Wells &amp; GGS"/>
      <sheetName val="Logistic &amp; WH &amp; off"/>
      <sheetName val="G&amp;A "/>
      <sheetName val="IT 2016-17 (5)"/>
      <sheetName val="IT 2016-17 (4)"/>
      <sheetName val="IT 2016-17"/>
      <sheetName val="Perquisites"/>
      <sheetName val="NSC Accrued Interest"/>
      <sheetName val="Capital Gains - Equity"/>
      <sheetName val="Cap Gains - Property&amp;Debt MF"/>
      <sheetName val="IT 2016-17 (2)"/>
      <sheetName val="IT 2016-17 (3)"/>
      <sheetName val="IT 2016-17 (6)"/>
      <sheetName val="Cost Inflation Index"/>
      <sheetName val="CONNECT"/>
      <sheetName val="JACKWELL"/>
      <sheetName val="C5prog"/>
      <sheetName val="C5-1RMCosting"/>
      <sheetName val="WAJE_A231"/>
      <sheetName val="A501_AJE"/>
      <sheetName val="A511_RJE"/>
      <sheetName val="A521_PTB"/>
      <sheetName val="A801"/>
      <sheetName val="B101"/>
      <sheetName val="1-Lead"/>
      <sheetName val="100-loans rec'b (2)"/>
      <sheetName val="100-loans rec'b"/>
      <sheetName val="L101"/>
      <sheetName val="200-interest rec'b (2)"/>
      <sheetName val="200-interest rec'b"/>
      <sheetName val="1000-Doc review"/>
      <sheetName val="2000-Test on loans &amp; int rec'b"/>
      <sheetName val="3000-Review on SP"/>
      <sheetName val="L3100-Loan OS"/>
      <sheetName val="L4000"/>
      <sheetName val="L110"/>
      <sheetName val="L120"/>
      <sheetName val="L130"/>
      <sheetName val="L140"/>
      <sheetName val="L150"/>
      <sheetName val="L160"/>
      <sheetName val="F410"/>
      <sheetName val="F420"/>
      <sheetName val="F430"/>
      <sheetName val="F440"/>
      <sheetName val="F450"/>
      <sheetName val="F460"/>
      <sheetName val="Loan analysis(X)"/>
      <sheetName val="Review on new customers(X)"/>
      <sheetName val="5000-Flow of loan(x)"/>
      <sheetName val="Valuation test- Neck 250ml"/>
      <sheetName val="Valuation test- Neck 100ml"/>
      <sheetName val="Stock variance-Neck"/>
      <sheetName val="Valuation test- Neck 15ml"/>
      <sheetName val="Valuation test- 協達利 100T"/>
      <sheetName val="Valuation test-協達利 50T"/>
      <sheetName val="Valuation test- 5% glucose 100m"/>
      <sheetName val="Valuation test-5% glucose 250ml"/>
      <sheetName val="Valuation test-5% glucose 500ml"/>
      <sheetName val="Valuation test-10% glucose 100"/>
      <sheetName val="Valuation test-10% glucose 250"/>
      <sheetName val="Valuation test-10% glucose  500"/>
      <sheetName val="Valuation test- 鹽水100ml"/>
      <sheetName val="Valuation test-鹽水250ml"/>
      <sheetName val="Valuation test-鹽水500ml"/>
      <sheetName val="99 FG breakdown"/>
      <sheetName val="00 FG breakdown"/>
      <sheetName val="01 FG breakdown"/>
      <sheetName val="Valuation test-复皆舒 new"/>
      <sheetName val="Valuation test-感冒通24s"/>
      <sheetName val="stock variance - 复皆舒"/>
      <sheetName val="Stock variance-天地春"/>
      <sheetName val="Stock variance- 雙氯滅痛"/>
      <sheetName val="Stock variance - 感冒通萬片"/>
      <sheetName val="Valuation test-复皆舒"/>
      <sheetName val="2001 NRV&amp;Val test"/>
      <sheetName val="C100 amend again on Dec 2"/>
      <sheetName val="C1300"/>
      <sheetName val="Program-qty test"/>
      <sheetName val="Program-qty test (2)"/>
      <sheetName val="Rollback for 3 years"/>
      <sheetName val="Rollback for 3 years (amended)"/>
      <sheetName val="Remarks on rollback"/>
      <sheetName val="Comparison "/>
      <sheetName val="Comparison amend"/>
      <sheetName val="Comparison amend again"/>
      <sheetName val="Notes on qty test"/>
      <sheetName val="Program on correct of stock-in"/>
      <sheetName val="Test on correctness of stock-in"/>
      <sheetName val="Program-valuation test"/>
      <sheetName val="Program-valuation test (2)"/>
      <sheetName val="1999 NRV&amp;Val test"/>
      <sheetName val="2000 NRV&amp;Val test"/>
      <sheetName val="Stock list for WIP"/>
      <sheetName val="Adjustment for WIP -98"/>
      <sheetName val="Adjustment for WIP - 99"/>
      <sheetName val="Adjustment for WIP - 00"/>
      <sheetName val="Adjustment for WIP - 01"/>
      <sheetName val="Major RM-C4800"/>
      <sheetName val="Stock take list"/>
      <sheetName val="Location of stock"/>
      <sheetName val="Review of obsolete stock"/>
      <sheetName val="C9000"/>
      <sheetName val="Rollback for stock take"/>
      <sheetName val="Stock list for 輸液"/>
      <sheetName val="C100"/>
      <sheetName val="C100 amend"/>
      <sheetName val="1999 Qty test"/>
      <sheetName val="2000 Qty test"/>
      <sheetName val="2001 Qty test"/>
      <sheetName val="Adj of 01 RM"/>
      <sheetName val="Revised adj on-after Dec 1 (2)"/>
      <sheetName val="Revised adj on-after Dec 1"/>
      <sheetName val="98 FG breakdown"/>
      <sheetName val="01 FG breakdown (2)"/>
      <sheetName val="98 RM, PM and LC"/>
      <sheetName val="99 RM, PM and LC"/>
      <sheetName val="00 RM, PM and LC"/>
      <sheetName val="01 RM and PM (2)"/>
      <sheetName val="Qty to find in 01"/>
      <sheetName val="Cr side adj"/>
      <sheetName val="Cr. side analysis"/>
      <sheetName val="Adj to FG"/>
      <sheetName val="Adj to FG (2)"/>
      <sheetName val="01 RM and PM"/>
      <sheetName val="Analysis of Neck 15ml"/>
      <sheetName val="C200 - lead"/>
      <sheetName val="C200Finished goods (final)"/>
      <sheetName val="C230"/>
      <sheetName val="NRV TEST LIST"/>
      <sheetName val="STOCKTAKE AMOUNT"/>
      <sheetName val="C250_87 汇总表vs Ledger"/>
      <sheetName val="品质部板卡盘点表 VS Stock count list "/>
      <sheetName val="C290_Fin goods"/>
      <sheetName val="Finished goods(b4 adjXXXX)"/>
      <sheetName val="TB-03"/>
      <sheetName val="AR breakdown(amended)"/>
      <sheetName val="#1 #33"/>
      <sheetName val="#33无发票计费用"/>
      <sheetName val="#34"/>
      <sheetName val="#24 #40"/>
      <sheetName val="Incomplete con(2003)"/>
      <sheetName val="2002 Incomplete of contract"/>
      <sheetName val="2001 incomplete"/>
      <sheetName val="#2"/>
      <sheetName val="未開發票而確認收入(2002)"/>
      <sheetName val="Intercompany"/>
      <sheetName val="Bk rec"/>
      <sheetName val="Shanghai office expense"/>
      <sheetName val="Exp - breakdown"/>
      <sheetName val="qryEXXLOIAgeing"/>
      <sheetName val="BR outstanding (modified)"/>
      <sheetName val="balance"/>
      <sheetName val="1101-1111"/>
      <sheetName val="1171"/>
      <sheetName val="1191"/>
      <sheetName val="1191-1"/>
      <sheetName val="Dr.yin"/>
      <sheetName val="1501"/>
      <sheetName val="Z"/>
      <sheetName val="JOURNAL"/>
      <sheetName val="INT RECEIVABLE"/>
      <sheetName val="HK-HKD"/>
      <sheetName val="HK-EURO"/>
      <sheetName val="HK-GBP"/>
      <sheetName val="HK-USD"/>
      <sheetName val="HK-SGD"/>
      <sheetName val="EX"/>
      <sheetName val="HK_HKD"/>
      <sheetName val="N2 Detailed Listing (Pre-final)"/>
      <sheetName val="CA Sheet"/>
      <sheetName val="A5-1"/>
      <sheetName val="A5-2"/>
      <sheetName val="A5-3"/>
      <sheetName val="A5-4"/>
      <sheetName val="A5-4-1"/>
      <sheetName val="A5-5"/>
      <sheetName val="A5-6"/>
      <sheetName val="A5-7"/>
      <sheetName val="A5-8"/>
      <sheetName val="#REF!"/>
      <sheetName val="UB-61"/>
      <sheetName val="UB-62"/>
      <sheetName val="UB-63"/>
      <sheetName val="UB-64"/>
      <sheetName val="UB-65"/>
      <sheetName val="UB-66"/>
      <sheetName val="AA-10"/>
      <sheetName val="U4"/>
      <sheetName val="U4a"/>
      <sheetName val="U4.1"/>
      <sheetName val="U4.1.1"/>
      <sheetName val="U4.1.2"/>
      <sheetName val="U4.1.3"/>
      <sheetName val="U4.2"/>
      <sheetName val="U4.3"/>
      <sheetName val="U4.4"/>
      <sheetName val="E110"/>
      <sheetName val="E221"/>
      <sheetName val="F810"/>
      <sheetName val="R110"/>
      <sheetName val="R120"/>
      <sheetName val="R130"/>
      <sheetName val="R210"/>
      <sheetName val="ZW HW-stock"/>
      <sheetName val="ZY Marketing-stock"/>
      <sheetName val="C200"/>
      <sheetName val="C210"/>
      <sheetName val="C220"/>
      <sheetName val="aging analysis"/>
      <sheetName val="ZQHW-FA"/>
      <sheetName val="ZQ Marketing-FA"/>
      <sheetName val="E1100"/>
      <sheetName val="E1110"/>
      <sheetName val="E1200"/>
      <sheetName val="E1210"/>
      <sheetName val="Audited PL"/>
      <sheetName val="Audited BS"/>
      <sheetName val="Final AJE"/>
      <sheetName val="附注"/>
      <sheetName val="现金流量"/>
      <sheetName val="Not in use"/>
      <sheetName val="BS&amp;PL 07"/>
      <sheetName val="0.8 Journals 2007"/>
      <sheetName val="General Ledger"/>
      <sheetName val="pz"/>
      <sheetName val="blc0103"/>
      <sheetName val="Mode"/>
      <sheetName val="收入变动"/>
      <sheetName val="成本变动"/>
      <sheetName val="税金变动"/>
      <sheetName val="营费变动"/>
      <sheetName val="他入变动"/>
      <sheetName val="他支变动"/>
      <sheetName val="管理变动"/>
      <sheetName val="财务变动"/>
      <sheetName val="税金明细"/>
      <sheetName val="营费明细"/>
      <sheetName val="他入明细"/>
      <sheetName val="外收"/>
      <sheetName val="他出明细"/>
      <sheetName val="外支"/>
      <sheetName val="管理明细"/>
      <sheetName val="财务明细"/>
      <sheetName val="投资明细"/>
      <sheetName val="主营收入明细"/>
      <sheetName val="主营成本明细"/>
      <sheetName val="主营业务成本审定"/>
      <sheetName val="主营业务收入审定"/>
      <sheetName val="营费审定"/>
      <sheetName val="管费审定"/>
      <sheetName val="营业外收入审定"/>
      <sheetName val="营业外支出审定"/>
      <sheetName val="业务及附加审定"/>
      <sheetName val="其他业务审定"/>
      <sheetName val="期初余额审定"/>
      <sheetName val="销售截止"/>
      <sheetName val="主品率"/>
      <sheetName val="抽查表"/>
      <sheetName val="成本结转"/>
      <sheetName val="倒轧"/>
      <sheetName val="制汇"/>
      <sheetName val="控制"/>
      <sheetName val="信息"/>
      <sheetName val="报表说明"/>
      <sheetName val="主要指标趋势图"/>
      <sheetName val="主要指标表"/>
      <sheetName val="数据"/>
      <sheetName val="资产负债表"/>
      <sheetName val="利润表"/>
      <sheetName val="现金流量表"/>
      <sheetName val="冰空销售利润明细表"/>
      <sheetName val="电视销售利润明细表"/>
      <sheetName val="经营费用表"/>
      <sheetName val="欠付费用表"/>
      <sheetName val="预提费用"/>
      <sheetName val="账款帐龄表"/>
      <sheetName val="其他业务收支明细表"/>
      <sheetName val="营销合并报表资料"/>
      <sheetName val="股份合并报表资料"/>
      <sheetName val="资产打印"/>
      <sheetName val="利润打印"/>
      <sheetName val="现金打印"/>
      <sheetName val="冰空打印"/>
      <sheetName val="电视打印"/>
      <sheetName val="经营打印"/>
      <sheetName val="欠付打印"/>
      <sheetName val="预提打印"/>
      <sheetName val="帐龄打印"/>
      <sheetName val="其他业务打印"/>
      <sheetName val="营销合并打印"/>
      <sheetName val="股份合并打印"/>
      <sheetName val="填表说明（报表前请仔细阅读）"/>
      <sheetName val="商家往来情况分析表"/>
      <sheetName val="自定义（勿删）"/>
      <sheetName val="填表说明"/>
      <sheetName val="股份分公司清理表格"/>
      <sheetName val="营销分公司清理表格 "/>
      <sheetName val="报表说明（请分公司务必仔细阅读）-200508"/>
      <sheetName val="分公司铺借分析表200508"/>
      <sheetName val="自定义"/>
      <sheetName val="模版"/>
      <sheetName val="0.5"/>
      <sheetName val="0.6"/>
      <sheetName val="T1-A"/>
      <sheetName val="&lt;-&gt;"/>
      <sheetName val="F19"/>
      <sheetName val="F20"/>
      <sheetName val="F21"/>
      <sheetName val="F22"/>
      <sheetName val="F23"/>
      <sheetName val="F24"/>
      <sheetName val="F25"/>
      <sheetName val="F25A"/>
      <sheetName val="F26"/>
      <sheetName val="F27"/>
      <sheetName val="F28"/>
      <sheetName val="F29"/>
      <sheetName val="F30"/>
      <sheetName val="F31"/>
      <sheetName val="F32"/>
      <sheetName val="F33"/>
      <sheetName val="F34"/>
      <sheetName val="S11 (2)"/>
      <sheetName val="0060"/>
      <sheetName val="Price List"/>
      <sheetName val="Aug &amp; Sep &amp; Oct Sales"/>
      <sheetName val="Sales in advance"/>
      <sheetName val="Containers"/>
      <sheetName val="Chassis"/>
      <sheetName val="Motor Vehicle"/>
      <sheetName val="VESSEL"/>
      <sheetName val="Furniture &amp; Fix"/>
      <sheetName val="Office Improve"/>
      <sheetName val="附件7"/>
      <sheetName val="附件8"/>
      <sheetName val="附件9"/>
      <sheetName val="附件10"/>
      <sheetName val="T1"/>
      <sheetName val="T100"/>
      <sheetName val="T101"/>
      <sheetName val="T102"/>
      <sheetName val="T200"/>
      <sheetName val="T201"/>
      <sheetName val="Tax change and PBT 2003 (sps)"/>
      <sheetName val="T4(sps)"/>
      <sheetName val="A0"/>
      <sheetName val="A1"/>
      <sheetName val="sample-dep R test (2)"/>
      <sheetName val="28 Feb - 4 Mar"/>
      <sheetName val="5 Mar"/>
      <sheetName val="27 Feb (sps)"/>
      <sheetName val="Global"/>
      <sheetName val="21710101"/>
      <sheetName val="21710103"/>
      <sheetName val="21710105"/>
      <sheetName val="217103"/>
      <sheetName val="217112"/>
      <sheetName val="N201"/>
      <sheetName val="Y110"/>
      <sheetName val="Y210"/>
      <sheetName val="R100"/>
      <sheetName val="R100 (2)"/>
      <sheetName val="R101"/>
      <sheetName val="R102"/>
      <sheetName val="R103"/>
      <sheetName val="ss-AR"/>
      <sheetName val="R110A"/>
      <sheetName val="R200"/>
      <sheetName val="R201"/>
      <sheetName val="R202"/>
      <sheetName val="R203"/>
      <sheetName val="R1000"/>
      <sheetName val="R1100"/>
      <sheetName val="R1110"/>
      <sheetName val="R1120"/>
      <sheetName val="R1130"/>
      <sheetName val="R1200(T)"/>
      <sheetName val="R1201(T)"/>
      <sheetName val="R1300"/>
      <sheetName val="R1400"/>
      <sheetName val="R1500"/>
      <sheetName val="R1501.ref only"/>
      <sheetName val="R1502.ref only"/>
      <sheetName val="R1503.ref only"/>
      <sheetName val="R1504.ref only"/>
      <sheetName val="R1505.ref only"/>
      <sheetName val="R1510"/>
      <sheetName val="R1520 "/>
      <sheetName val="R1530"/>
      <sheetName val="R1540"/>
      <sheetName val="R2000"/>
      <sheetName val="ref of R1510"/>
      <sheetName val="Procedures"/>
      <sheetName val="Count Sheet - RM"/>
      <sheetName val="Count Sheet - Packing"/>
      <sheetName val="Count Sheet - FG"/>
      <sheetName val="Combination_2006"/>
      <sheetName val="Cash flows_2006"/>
      <sheetName val="Ex rate"/>
      <sheetName val="Share of net assets of asso"/>
      <sheetName val="Fin info of associates"/>
      <sheetName val="Interco balances"/>
      <sheetName val="Bank borrowings"/>
      <sheetName val="Provision for return"/>
      <sheetName val="Revised amt of sales return"/>
      <sheetName val="Other revenues"/>
      <sheetName val="Finance costs"/>
      <sheetName val="Property, plant and equipment"/>
      <sheetName val="PPE - GZ Noble"/>
      <sheetName val="Deposits and prepayments"/>
      <sheetName val="Cash at banks and in hand"/>
      <sheetName val="Accurals and other payables"/>
      <sheetName val="E100"/>
      <sheetName val="E110a"/>
      <sheetName val="E200"/>
      <sheetName val="E300"/>
      <sheetName val="E310"/>
      <sheetName val="E400"/>
      <sheetName val="E500"/>
      <sheetName val="E1000"/>
      <sheetName val="E2000"/>
      <sheetName val="E2100"/>
      <sheetName val="E3000"/>
      <sheetName val="E3100"/>
      <sheetName val="E3200"/>
      <sheetName val="E3300"/>
      <sheetName val="E4000"/>
      <sheetName val="E5000"/>
      <sheetName val="&lt;------"/>
      <sheetName val="E110ss"/>
      <sheetName val="E1000ss"/>
      <sheetName val="E300ss"/>
      <sheetName val="E2000ss"/>
      <sheetName val="E3000ss"/>
      <sheetName val="R-1"/>
      <sheetName val="R-3"/>
      <sheetName val="R-4"/>
      <sheetName val="R-5"/>
      <sheetName val="R-6"/>
      <sheetName val="R-7-1"/>
      <sheetName val="R-100"/>
      <sheetName val="R-110"/>
      <sheetName val="R-160"/>
      <sheetName val="R-200"/>
      <sheetName val="R-300"/>
      <sheetName val="R-310"/>
      <sheetName val="R-320"/>
      <sheetName val="R-312"/>
      <sheetName val="L-400"/>
      <sheetName val="Tax-1"/>
      <sheetName val="Tax-2"/>
      <sheetName val="Tax-3"/>
      <sheetName val="Tax-4"/>
      <sheetName val="Tax-5"/>
      <sheetName val="Sep04"/>
      <sheetName val="Sep04 (2)"/>
      <sheetName val="Aug04 Rev (Final)"/>
      <sheetName val="Aug04 Rev (5-Oct)"/>
      <sheetName val="Aug04"/>
      <sheetName val="Jul04"/>
      <sheetName val="Jun04"/>
      <sheetName val="May04"/>
      <sheetName val="Apr04"/>
      <sheetName val="Mar04"/>
      <sheetName val="Feb04"/>
      <sheetName val="Jan04"/>
      <sheetName val="Dec03"/>
      <sheetName val="Nov03"/>
      <sheetName val="BVI"/>
      <sheetName val="Exh"/>
      <sheetName val="Taiwan"/>
      <sheetName val="China"/>
      <sheetName val="beijing"/>
      <sheetName val="最终(公式原) (新) (无公式)"/>
      <sheetName val="预收账款预交税额"/>
      <sheetName val="预交税留抵表"/>
      <sheetName val="房產証(23號)"/>
      <sheetName val="房產証(54號)"/>
      <sheetName val="Outstanding"/>
      <sheetName val="ASM-provided by client"/>
      <sheetName val="AG-3"/>
      <sheetName val="AG4"/>
      <sheetName val="AG17-TB"/>
      <sheetName val="R121"/>
      <sheetName val="R1200"/>
      <sheetName val="E321"/>
      <sheetName val="E1300"/>
      <sheetName val="E1400"/>
      <sheetName val="E1500"/>
      <sheetName val="E1550"/>
      <sheetName val="E1600"/>
      <sheetName val="E1700"/>
      <sheetName val="E1750"/>
      <sheetName val="E1800"/>
      <sheetName val="F100 (2)"/>
      <sheetName val="F110"/>
      <sheetName val="F200"/>
      <sheetName val="F300"/>
      <sheetName val="F400"/>
      <sheetName val="F500"/>
      <sheetName val="I100"/>
      <sheetName val="A100"/>
      <sheetName val="A110"/>
      <sheetName val="Tax Comp"/>
      <sheetName val="KGNa"/>
      <sheetName val="PUR DETAIL"/>
      <sheetName val="OUT Detail"/>
      <sheetName val="SALES Detail"/>
      <sheetName val="Summary(stw)"/>
      <sheetName val="试用盘盈盘亏(STW)"/>
      <sheetName val="合同盘盈盘亏(STW)"/>
      <sheetName val="E1640 产成品报废(stw)"/>
      <sheetName val="E1650 原材料报废(stw)"/>
      <sheetName val="stw(X)"/>
      <sheetName val="试用(X)"/>
      <sheetName val="IT 2021-22"/>
      <sheetName val="TDS"/>
      <sheetName val="DEbt (2)"/>
      <sheetName val="**"/>
      <sheetName val="old working"/>
      <sheetName val="Apr'03 corporate global DRC-mai"/>
      <sheetName val="Collection"/>
      <sheetName val="Glo_Sales"/>
      <sheetName val="mktgwise"/>
      <sheetName val="PBCMemberwise"/>
      <sheetName val="Strt Archi"/>
      <sheetName val="d_mktgwise"/>
      <sheetName val="mktgwise(2)"/>
      <sheetName val="Global mth"/>
      <sheetName val="RD_materilconsumption_jan to Ap"/>
      <sheetName val="Totals"/>
      <sheetName val="Vasudev"/>
      <sheetName val="Jyothi"/>
      <sheetName val="Nirav"/>
      <sheetName val="Rajesh"/>
      <sheetName val="Hours_Spent"/>
      <sheetName val="RPP"/>
      <sheetName val="tables"/>
      <sheetName val="Single"/>
      <sheetName val="Financial accounts"/>
      <sheetName val="Operating costs"/>
      <sheetName val="Investments -2007"/>
      <sheetName val="IAS Accounts"/>
      <sheetName val="forecast chemicals"/>
      <sheetName val="chem sal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Gia_GC_Satthep"/>
      <sheetName val="Tonghop"/>
      <sheetName val="0"/>
      <sheetName val="TT_10KV"/>
      <sheetName val="TT_0,4KV"/>
      <sheetName val="T_TBA"/>
      <sheetName val="10KV"/>
      <sheetName val="T_10KV"/>
      <sheetName val="0,4KV"/>
      <sheetName val="T_0,4KV"/>
      <sheetName val="CP_Xaylap"/>
      <sheetName val="CP_Thietbi"/>
      <sheetName val="CP_Khac"/>
      <sheetName val="Tong_DT"/>
      <sheetName val="TTVanChuyen"/>
      <sheetName val="Phuluc"/>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QT DZ35"/>
      <sheetName val="DT DZ 35 Kv"/>
      <sheetName val="Chiet tinh dz35"/>
      <sheetName val="TN"/>
      <sheetName val="VC"/>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THGDT huu Lung - LS"/>
      <sheetName val="THDT Yen Son"/>
      <sheetName val="D.lg Yen Son"/>
      <sheetName val="THDT Huu Lien"/>
      <sheetName val="D.lg Huu Lien"/>
      <sheetName val="THDT Yen Thinh"/>
      <sheetName val="D.lg Yen Thinh"/>
      <sheetName val="Chi tiet"/>
      <sheetName val="DONVIBAN"/>
      <sheetName val="NGUON"/>
      <sheetName val="UNC_CONGTHUONG"/>
      <sheetName val="UNC2"/>
      <sheetName val="UNC_DAUTU"/>
      <sheetName val="GIAYNHANNO"/>
      <sheetName val="HOPDONGTD"/>
      <sheetName val="OUT 3-05"/>
      <sheetName val="bang tien luong"/>
      <sheetName val="PHAN TICH VAT TU BIET THU H7"/>
      <sheetName val="bang tien luong (2)"/>
      <sheetName val="BTHDT"/>
      <sheetName val="Tong hop"/>
      <sheetName val="truc tiep"/>
      <sheetName val="phu tro"/>
      <sheetName val="THANH PHAM"/>
      <sheetName val="gian tiep"/>
      <sheetName val="Z Graph"/>
      <sheetName val="Seg. Golbal P&amp;L"/>
      <sheetName val="NL Graphs"/>
      <sheetName val="Top Ten Mole"/>
      <sheetName val="Data Template"/>
      <sheetName val="Region"/>
      <sheetName val="Company "/>
      <sheetName val="Countries"/>
      <sheetName val="Strength"/>
      <sheetName val="Dosage Form"/>
      <sheetName val="Base &amp; Sales Pack"/>
      <sheetName val="Currency"/>
      <sheetName val="strtcmb"/>
      <sheetName val="theacmb"/>
      <sheetName val="New Products"/>
      <sheetName val="Therapeutic category"/>
      <sheetName val="API sales"/>
      <sheetName val="Profit Plan"/>
      <sheetName val="WC Analysis"/>
      <sheetName val=" Manpowr "/>
      <sheetName val="regulatory"/>
      <sheetName val="Manufacturing"/>
      <sheetName val="account break up"/>
      <sheetName val="Cluster Mapping"/>
      <sheetName val="Rate sheet"/>
      <sheetName val="Sales Wipro HCIT"/>
      <sheetName val="COS Wipro HCIT"/>
      <sheetName val="Support cost Wipro HCIT"/>
      <sheetName val="Manpower No. Wipro HCIT"/>
      <sheetName val="Support cost BPO-CPO"/>
      <sheetName val="COS  BPO-CPO"/>
      <sheetName val="Sales  BPO-CPO"/>
      <sheetName val="Support cost DD"/>
      <sheetName val="COS  DD"/>
      <sheetName val="Sales  DD"/>
      <sheetName val="Support cost LS"/>
      <sheetName val="COS LS"/>
      <sheetName val="Sales LS"/>
      <sheetName val="Sales HC"/>
      <sheetName val="COS HC"/>
      <sheetName val="Support cost HC"/>
      <sheetName val="Corp Format"/>
      <sheetName val="P&amp;L HC"/>
      <sheetName val="P&amp;L LS"/>
      <sheetName val="P&amp;L DD"/>
      <sheetName val="P&amp;L BPO-CPO"/>
      <sheetName val="P&amp;L Biomed"/>
      <sheetName val="P&amp;L Cen Sup"/>
      <sheetName val="P&amp;L Wipro HCIT"/>
      <sheetName val="Joydeep"/>
      <sheetName val="Cen Supp Costs"/>
      <sheetName val="Manpower Consol"/>
      <sheetName val="Manpower No. HC"/>
      <sheetName val="Manpower No. LS"/>
      <sheetName val="Manpower No. DD"/>
      <sheetName val="Manpower c Support"/>
      <sheetName val="Manpower No. BPO-CPO"/>
      <sheetName val="HRZ"/>
      <sheetName val="Geo-Sal inv"/>
      <sheetName val="Rev,MM&amp;Rat sum"/>
      <sheetName val="Cont analy"/>
      <sheetName val="Ver-Geowise mm"/>
      <sheetName val="Ver-Geowise mm sum"/>
      <sheetName val="Business Visa"/>
      <sheetName val="Work Permit"/>
      <sheetName val="Intl cost"/>
      <sheetName val="Reco-KALM"/>
      <sheetName val="vertical"/>
      <sheetName val="Service Function"/>
      <sheetName val="DC"/>
      <sheetName val="Marketing"/>
      <sheetName val="891&amp;salesadj"/>
      <sheetName val="CONTNREPT"/>
      <sheetName val="Contrib-rawdata"/>
      <sheetName val="sales file"/>
      <sheetName val="Sales file $"/>
      <sheetName val="Sales file Rs."/>
      <sheetName val="loading"/>
      <sheetName val="Loading Details"/>
      <sheetName val="Loading Rawdata"/>
      <sheetName val="PDD Nov'01"/>
      <sheetName val="capital charge"/>
      <sheetName val="ME List"/>
      <sheetName val="PBT Reco"/>
      <sheetName val="workings - Assets"/>
      <sheetName val="Computation "/>
      <sheetName val="workings - liabilites"/>
      <sheetName val=" BS"/>
      <sheetName val=" P&amp;L"/>
      <sheetName val="Trail Balance"/>
      <sheetName val="Workings for P &amp; L"/>
      <sheetName val="Schedules to P&amp;L "/>
      <sheetName val="Schedules to BS "/>
      <sheetName val="Points to be con for final del."/>
      <sheetName val="groups"/>
      <sheetName val="misc.workings"/>
      <sheetName val="Computation  (2)"/>
      <sheetName val="80 IB"/>
      <sheetName val="Working P &amp; L"/>
      <sheetName val="Curr liab Adv from customers"/>
      <sheetName val="Closing stock (2)"/>
      <sheetName val="Workings Cash flows"/>
      <sheetName val="Trail Balance 07-08"/>
      <sheetName val="Trial Balance 08-09"/>
      <sheetName val="Sh cap"/>
      <sheetName val="Sec"/>
      <sheetName val="Unsec"/>
      <sheetName val="Inventory details"/>
      <sheetName val="Cash &amp; bank"/>
      <sheetName val="Loans &amp; Adv"/>
      <sheetName val="Current Liab &amp; prov "/>
      <sheetName val="Other exps"/>
      <sheetName val="tax year on year"/>
      <sheetName val="BSR"/>
      <sheetName val="BSR (2)"/>
      <sheetName val="Note on Revenue Recognition"/>
      <sheetName val="Sumarry"/>
      <sheetName val="Revenue workings"/>
      <sheetName val="POC"/>
      <sheetName val="TB 31.12.10"/>
      <sheetName val="S3A - Office"/>
      <sheetName val="S3A - Retai"/>
      <sheetName val="S3B"/>
      <sheetName val="Total Pmts.(MRHPL)"/>
      <sheetName val="Lists"/>
      <sheetName val="ExportVar"/>
      <sheetName val="Part A"/>
      <sheetName val="Business_Organisation"/>
      <sheetName val="Subsidiary Companies"/>
      <sheetName val="Beneficial Owners"/>
      <sheetName val="Other Information"/>
      <sheetName val="Principal Item -Trading"/>
      <sheetName val="Principal Item - Raw material"/>
      <sheetName val="Principal Item - Products"/>
      <sheetName val="Schedule TI"/>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 val="Debentures"/>
      <sheetName val="P_L"/>
      <sheetName val="cash flow (2)"/>
      <sheetName val="Cash flow workings1"/>
      <sheetName val="Inc Tax"/>
      <sheetName val="FA schedule (08-09)"/>
      <sheetName val="P_L Schedules"/>
      <sheetName val="PL Groupings"/>
      <sheetName val="EPS workings (2)"/>
      <sheetName val="Interest reco"/>
      <sheetName val="outside entries(Mukul)"/>
      <sheetName val="outside entries"/>
      <sheetName val="Regrouping of pr yr"/>
      <sheetName val="uncertified workings - creditor"/>
      <sheetName val="Audit fees"/>
      <sheetName val="Deferred tax (2)"/>
      <sheetName val="Micr small enterprises"/>
      <sheetName val="Enfield"/>
      <sheetName val="Notes changes"/>
      <sheetName val="FA Schedule (09-10)"/>
      <sheetName val="PrintManagerCode"/>
      <sheetName val="ReportManagerCode"/>
      <sheetName val="AdditionalPrintCode"/>
      <sheetName val="MainPrintCode"/>
      <sheetName val="__FDSCACHE__"/>
      <sheetName val="G to N"/>
      <sheetName val="LCIP"/>
      <sheetName val="LCIP Output"/>
      <sheetName val="Aggregate"/>
      <sheetName val="Crossover"/>
      <sheetName val="CJ Analysis"/>
      <sheetName val="IV Sen"/>
      <sheetName val="G to N Sens"/>
      <sheetName val="PWM Case"/>
      <sheetName val="Comp Cases"/>
      <sheetName val="Comp Sens"/>
      <sheetName val="MS Comp"/>
      <sheetName val="German"/>
      <sheetName val="Draper"/>
      <sheetName val="Scenario Analysis"/>
      <sheetName val="Tim's Proposal"/>
      <sheetName val="Hugh's Analysis"/>
      <sheetName val="Gross to Net- Majors"/>
      <sheetName val="Gross to Net-No Majors"/>
      <sheetName val="Comp Sens WSIB"/>
      <sheetName val="Non-Major"/>
      <sheetName val="CalPERS"/>
      <sheetName val="G to N CalPERS"/>
      <sheetName val="GM"/>
      <sheetName val="G to N for GM"/>
      <sheetName val="German Output"/>
      <sheetName val="German Sens"/>
      <sheetName val="CalSTRS"/>
      <sheetName val="US_Analysis Breakout"/>
      <sheetName val="US_Analysis"/>
      <sheetName val="Revised U.S. Fund"/>
      <sheetName val="U.S. Fund"/>
      <sheetName val="Model Guidance"/>
      <sheetName val="PL, BS, Cash Flow"/>
      <sheetName val="consorev"/>
      <sheetName val="delhi"/>
      <sheetName val="Personnel Exps &amp; Debt"/>
      <sheetName val="Detailed Rev Break up"/>
      <sheetName val="Prcost"/>
      <sheetName val="HopVizFin"/>
      <sheetName val="Expenses-personnel"/>
      <sheetName val="Bedcapplan"/>
      <sheetName val="Bang-Rev"/>
      <sheetName val="Mumbai-rev"/>
      <sheetName val="Delhi-rev"/>
      <sheetName val="PROFIT_LOSS"/>
      <sheetName val="GENERAL2"/>
      <sheetName val="BS Print"/>
      <sheetName val="Balancesheet"/>
      <sheetName val="Summary P&amp;L"/>
      <sheetName val="Detailed P&amp;L"/>
      <sheetName val="Export Mixed"/>
      <sheetName val="Export WH"/>
      <sheetName val="Export LWC"/>
      <sheetName val="Export OCC"/>
      <sheetName val="Export PL"/>
      <sheetName val="PMaterial"/>
      <sheetName val="W&amp;S"/>
      <sheetName val="Distribution"/>
      <sheetName val="Presentation sheet"/>
      <sheetName val="Plant Summary "/>
      <sheetName val="YTD Comparison"/>
      <sheetName val="Prior Year PDFs"/>
      <sheetName val="PDF Summary"/>
      <sheetName val="Paul Maint"/>
      <sheetName val="Sales Estimate 03-04"/>
      <sheetName val="Distribution Cost Savings"/>
      <sheetName val="Dist"/>
      <sheetName val="Chemical Cost Savings"/>
      <sheetName val="Sundries Cost Savings"/>
      <sheetName val="Mill Mix"/>
      <sheetName val="Production Estimate 03-04"/>
      <sheetName val="Grade Cost"/>
      <sheetName val="Grade Cost - Monthly"/>
      <sheetName val="Grade Cost - Monthly Detail"/>
      <sheetName val="Sales - Tonnes - VP3"/>
      <sheetName val="Sales - Tonnes - VP6"/>
      <sheetName val="Sales - Prices"/>
      <sheetName val="Sales - Value - VP3"/>
      <sheetName val="Sales - Value - VP6"/>
      <sheetName val="Sales - Revenue"/>
      <sheetName val="Production - VP3"/>
      <sheetName val="Production - VP6"/>
      <sheetName val="Production Assumptions - VP3"/>
      <sheetName val="Production Assumptions - VP6"/>
      <sheetName val="Raw Materials"/>
      <sheetName val="R Mat - BOM"/>
      <sheetName val="Other Materials"/>
      <sheetName val="Other Materials - BOM"/>
      <sheetName val="Other Materials - Consumption"/>
      <sheetName val="Energy"/>
      <sheetName val="Wages"/>
      <sheetName val="Wages Summary"/>
      <sheetName val="R&amp;M Timming"/>
      <sheetName val="R+M Summ - AccNo"/>
      <sheetName val="FTE"/>
      <sheetName val="Grade Cost Monthly - DATA"/>
      <sheetName val="G Cost Mthly - DATA Detail"/>
      <sheetName val="Sales-Prod Mix"/>
      <sheetName val="PDF Summary with Sales detail"/>
      <sheetName val="Grade Cost - Grade"/>
      <sheetName val="Grade Cost - PBL Group"/>
      <sheetName val="Sales - Tonnes"/>
      <sheetName val="Sales - Value"/>
      <sheetName val="PBL Tons &amp; Price"/>
      <sheetName val="Production Assumptions"/>
      <sheetName val="Prod Assumptions - PBL"/>
      <sheetName val="R Mat - Bom Sept - Jun"/>
      <sheetName val="R Mat -S.C. BOM "/>
      <sheetName val="R Mat - PBL BOM Jul - Aug"/>
      <sheetName val="R MAt - PBL bom Sept - Jun"/>
      <sheetName val="Other Mats - BOM Jul-Dec"/>
      <sheetName val="OM - PBL BOM Jul-Dec"/>
      <sheetName val="Other Mats - BOM Jan-Jun"/>
      <sheetName val="OM - PBL BOM Jan-Jun"/>
      <sheetName val="Other Mats - BOM Mar-Jun03"/>
      <sheetName val="OM - PBL BOM Mar-Jun03"/>
      <sheetName val="Dist - PBL Consol"/>
      <sheetName val="Dist - BoralAust"/>
      <sheetName val="Dist - CSR"/>
      <sheetName val="Dist - BGC"/>
      <sheetName val="Dist - LafBoralAsia"/>
      <sheetName val="Dist - ABS Turkey"/>
      <sheetName val="Dist - BPB Asia"/>
      <sheetName val="Dist - Winstone"/>
      <sheetName val="Audit data"/>
      <sheetName val="Power Point Data"/>
      <sheetName val="Data_History"/>
      <sheetName val="YTD PDF Summary"/>
      <sheetName val="Graph - VPC Prod. TPM"/>
      <sheetName val="Rebate Calc"/>
      <sheetName val="Raw Materials - BOM"/>
      <sheetName val="Other Mats - BOM"/>
      <sheetName val="Graph  Other Materials Analysis"/>
      <sheetName val="Other Mat Calcs"/>
      <sheetName val="PC114"/>
      <sheetName val="PPAK219"/>
      <sheetName val="HBAK412"/>
      <sheetName val="UHBAK702"/>
      <sheetName val="WaxAK505"/>
      <sheetName val="TCHG310"/>
      <sheetName val="Capacity VPC"/>
      <sheetName val="Potential VPC"/>
      <sheetName val="USA Chart"/>
      <sheetName val="India_Asia Chart"/>
      <sheetName val="Germany Chart"/>
      <sheetName val="Internal Integration Chart"/>
      <sheetName val="Base Paper PDF Summary"/>
      <sheetName val="Graph - Base Paper Cont. to PDF"/>
      <sheetName val="Reference Data"/>
      <sheetName val="KEMI Analysis Data"/>
      <sheetName val="KEMI Analysis Graphs"/>
      <sheetName val="Alterations"/>
      <sheetName val="B&amp;S"/>
      <sheetName val="GE charges "/>
      <sheetName val="GE charges"/>
      <sheetName val="Income from Subsidiaries-Group "/>
      <sheetName val="Balance Sheet &amp; Cash Flow"/>
      <sheetName val="ROOMS"/>
      <sheetName val="RM-Sales Mix"/>
      <sheetName val="RM-Statistics"/>
      <sheetName val="Rates (RSA)"/>
      <sheetName val="Rates "/>
      <sheetName val="Rates (Others)"/>
      <sheetName val="F&amp;B"/>
      <sheetName val="F&amp;B (Sales)"/>
      <sheetName val="F&amp;B (Statistics)"/>
      <sheetName val="PHONE"/>
      <sheetName val="OTHER DEPT"/>
      <sheetName val="SUNDRY"/>
      <sheetName val="A&amp;G"/>
      <sheetName val="ENERGY &amp; WATER"/>
      <sheetName val="R &amp; M"/>
      <sheetName val="PRB"/>
      <sheetName val="2005"/>
      <sheetName val="Menu"/>
      <sheetName val="AddlInput"/>
      <sheetName val="Hyperion Data"/>
      <sheetName val="Fee Calc Local"/>
      <sheetName val="POM"/>
      <sheetName val="Rent Letter"/>
      <sheetName val="Proforma"/>
      <sheetName val="Standaside"/>
      <sheetName val="Metrics"/>
      <sheetName val="Format 90"/>
      <sheetName val="Balanced Scorecard"/>
      <sheetName val="Room Sales Overview"/>
      <sheetName val="Seasonal Pricing"/>
      <sheetName val="Seasonal Pricing HPI"/>
      <sheetName val="Cost Mgt Overview 1"/>
      <sheetName val="Cost Mgt Overview 2"/>
      <sheetName val="HR Issues"/>
      <sheetName val="Capex Plan"/>
      <sheetName val="GrossUpHotels"/>
      <sheetName val="XXXXXX"/>
      <sheetName val="EQTY"/>
      <sheetName val="CF "/>
      <sheetName val="2-4.1"/>
      <sheetName val="5-6"/>
      <sheetName val="8-13"/>
      <sheetName val="14-14.4 (2)"/>
      <sheetName val="N-19-22.1"/>
      <sheetName val="N-22.2-22.4"/>
      <sheetName val="PL SCH"/>
      <sheetName val="BS SEH"/>
      <sheetName val="TB 2010."/>
      <sheetName val=" PPE Dep  (2)"/>
      <sheetName val=" PPE Dep "/>
      <sheetName val="dep during year"/>
      <sheetName val="Dep  Building"/>
      <sheetName val="Intagible Assets"/>
      <sheetName val="Loan repayment"/>
      <sheetName val="JV2003"/>
      <sheetName val="PL Shc2"/>
      <sheetName val="Dep Shed 2003"/>
      <sheetName val="S-Lease committment Revised"/>
      <sheetName val="Lease Commitments"/>
      <sheetName val="Tax New"/>
      <sheetName val="Issue Summery"/>
      <sheetName val="ATR- Sch"/>
      <sheetName val="C F"/>
      <sheetName val="26"/>
      <sheetName val="P19"/>
      <sheetName val="31 (2)"/>
      <sheetName val="34"/>
      <sheetName val="BS Sche"/>
      <sheetName val="PPE- HB"/>
      <sheetName val="P&amp;L Sche"/>
      <sheetName val="TB 2011"/>
      <sheetName val="loan BML"/>
      <sheetName val="Age"/>
      <sheetName val="Leasse"/>
      <sheetName val="lease payments"/>
      <sheetName val="FA summary"/>
      <sheetName val="4-7 (2)"/>
      <sheetName val="old-TB"/>
      <sheetName val="varience"/>
      <sheetName val="StockRotable"/>
      <sheetName val="CF NEW"/>
      <sheetName val="No-01"/>
      <sheetName val="No-02"/>
      <sheetName val="No-03"/>
      <sheetName val="No-04 (2)"/>
      <sheetName val="No-04"/>
      <sheetName val="No-05"/>
      <sheetName val="No-06"/>
      <sheetName val="No-07"/>
      <sheetName val="N0-08"/>
      <sheetName val="28.3-29"/>
      <sheetName val="N-26..."/>
      <sheetName val="N-26 (2)"/>
      <sheetName val="No-11"/>
      <sheetName val="No-12"/>
      <sheetName val="No-13"/>
      <sheetName val="BS sh"/>
      <sheetName val="INTER"/>
      <sheetName val="loans 2010"/>
      <sheetName val="PL sh"/>
      <sheetName val="Dep 2010"/>
      <sheetName val="Dep addition"/>
      <sheetName val="No-10"/>
      <sheetName val="dispo"/>
      <sheetName val="Credit dep TB"/>
      <sheetName val="personal ex"/>
      <sheetName val="TB 2009 (2)"/>
      <sheetName val="JEs 2007"/>
      <sheetName val="Client TB"/>
      <sheetName val="Other Expenses"/>
      <sheetName val="JE"/>
      <sheetName val="INT ADJU-2007"/>
      <sheetName val="OD"/>
      <sheetName val="Related party Movements"/>
      <sheetName val="audit JE"/>
      <sheetName val="Scedule for FA 2006"/>
      <sheetName val="JE-2004"/>
      <sheetName val="personal expenses"/>
      <sheetName val="other Sch.-2005"/>
      <sheetName val="TB 2009 (3)"/>
      <sheetName val="Shedule PPE 2001"/>
      <sheetName val="Supply 2001 Dep Shedule"/>
      <sheetName val="retaained profit"/>
      <sheetName val="Equity"/>
      <sheetName val="6-9"/>
      <sheetName val="9-11"/>
      <sheetName val="13-14"/>
      <sheetName val="14 cont"/>
      <sheetName val="15-17"/>
      <sheetName val="17-20"/>
      <sheetName val="20-20.3"/>
      <sheetName val="20.4-20.8"/>
      <sheetName val="21-23"/>
      <sheetName val="Inter Co."/>
      <sheetName val="UEL HO TB"/>
      <sheetName val="Recovery TB"/>
      <sheetName val="Things to be done"/>
      <sheetName val="6-7"/>
      <sheetName val="8-10"/>
      <sheetName val="12-15"/>
      <sheetName val="16-18.3"/>
      <sheetName val="18.4-21"/>
      <sheetName val="21.1-24"/>
      <sheetName val="24-26"/>
      <sheetName val="27-28"/>
      <sheetName val="P&amp;L Sch"/>
      <sheetName val="BS Sch"/>
      <sheetName val="ClientTB"/>
      <sheetName val=" old"/>
      <sheetName val="S-Lease com(Straight Line) Old"/>
      <sheetName val="Lease com Old"/>
      <sheetName val="WAS"/>
      <sheetName val="TB 18.07-31.12.11"/>
      <sheetName val="TB FOR AUDIT"/>
      <sheetName val="FAR_VTCR_FY 11-12"/>
      <sheetName val="ADDITIONS_FY 11-12"/>
      <sheetName val="DELETIONS_FY 11-12"/>
      <sheetName val="F &amp; B city1"/>
      <sheetName val="F &amp; B City2"/>
      <sheetName val="F &amp; B City3"/>
      <sheetName val="COMPLIMENTARYreport"/>
      <sheetName val="Non Moving stock"/>
      <sheetName val="Gross Turnover"/>
      <sheetName val="DrsAgeing"/>
      <sheetName val="LIQUOR INVENTORY"/>
      <sheetName val="CIE"/>
      <sheetName val="N01"/>
      <sheetName val="N4 "/>
      <sheetName val="N5"/>
      <sheetName val="N6"/>
      <sheetName val="N7"/>
      <sheetName val="N10"/>
      <sheetName val="N11"/>
      <sheetName val="PL Shedule"/>
      <sheetName val="BS Shedule"/>
      <sheetName val="KPMG TB 10"/>
      <sheetName val="Client New TB Final"/>
      <sheetName val="Note Pol"/>
      <sheetName val="Loan "/>
      <sheetName val="SCB"/>
      <sheetName val="Client TB2"/>
      <sheetName val="MGT FEE"/>
      <sheetName val="Lease rent"/>
      <sheetName val="14-14.9"/>
      <sheetName val="14.10-15"/>
      <sheetName val="16-18"/>
      <sheetName val="19-22"/>
      <sheetName val="22-22.3"/>
      <sheetName val="22.4-22.8"/>
      <sheetName val="22.9-26"/>
      <sheetName val="26(1)"/>
      <sheetName val="26(2)"/>
      <sheetName val="27(1)"/>
      <sheetName val="27(2)"/>
      <sheetName val="27(3)"/>
      <sheetName val="27(4)"/>
      <sheetName val="Debtors detail HO"/>
      <sheetName val="Creditors detail HO"/>
      <sheetName val="Debtors Detail Recovery"/>
      <sheetName val="Debtors detail duty"/>
      <sheetName val="Deb.Cre.Amalgamate"/>
      <sheetName val="Curr. &amp; Cre.risk"/>
      <sheetName val="Currency analysis"/>
      <sheetName val="Credit control TB"/>
      <sheetName val="Duty TB"/>
      <sheetName val="Debtors HO"/>
      <sheetName val="Creditors HO"/>
      <sheetName val="Debtors Duty"/>
      <sheetName val="Compatibility Report"/>
      <sheetName val="(2) PL"/>
      <sheetName val="(3) BS"/>
      <sheetName val="(4) EQUITY"/>
      <sheetName val="(5) CF"/>
      <sheetName val="(17) 6-9"/>
      <sheetName val="(18) 7-11"/>
      <sheetName val="(19) PPE"/>
      <sheetName val="(20) 13-16"/>
      <sheetName val="(21) 17-18"/>
      <sheetName val="(22) 20-22"/>
      <sheetName val="(23) 22 "/>
      <sheetName val="(24) 22 I"/>
      <sheetName val="(25) 22-25"/>
      <sheetName val="(26) 26-31"/>
      <sheetName val="(27) 32"/>
      <sheetName val="(28) 32 I"/>
      <sheetName val="(29) 33-35"/>
      <sheetName val="CON-PL"/>
      <sheetName val="CON- BS"/>
      <sheetName val="AML PPE"/>
      <sheetName val="CIE - CPDK"/>
      <sheetName val="CIE - BYD"/>
      <sheetName val="CIE - CPBH"/>
      <sheetName val=" lease Comit CPBH"/>
      <sheetName val=" Lease Comit BYD "/>
      <sheetName val=" Lease Comit CPDK "/>
      <sheetName val="PPE COCO"/>
      <sheetName val="Biyadhoo PPE"/>
      <sheetName val="Boduhithi PPE"/>
      <sheetName val="Final for individual accounts"/>
      <sheetName val="BLDG"/>
      <sheetName val="Intangible"/>
      <sheetName val="PPE-EXCEPT BLDG"/>
      <sheetName val="Dep for Additons"/>
      <sheetName val="KE"/>
      <sheetName val="Ls_AgXLB_WorkbookFile"/>
      <sheetName val="PM"/>
      <sheetName val="GS"/>
      <sheetName val="RA"/>
      <sheetName val="FE"/>
      <sheetName val="CS"/>
      <sheetName val="COM E"/>
      <sheetName val="OOE"/>
      <sheetName val="OEE"/>
      <sheetName val="SB"/>
      <sheetName val="SD"/>
      <sheetName val="CC INV"/>
      <sheetName val="Linen Inv"/>
      <sheetName val="LINEN fin"/>
      <sheetName val="WS"/>
      <sheetName val="OSE"/>
      <sheetName val="OA fin"/>
      <sheetName val="SM"/>
      <sheetName val="BPT COMP"/>
      <sheetName val="CA - Annual"/>
      <sheetName val="(2 )PL"/>
      <sheetName val="  (14) 6-9"/>
      <sheetName val="(15) 9.1-10.1"/>
      <sheetName val="(16) 10.2-11"/>
      <sheetName val="(17) PPE"/>
      <sheetName val="(18) 13-18"/>
      <sheetName val="(19) 19-23"/>
      <sheetName val="(20) 24"/>
      <sheetName val="(22) 24-27"/>
      <sheetName val="(23) RP"/>
      <sheetName val="(21) 24"/>
      <sheetName val="Issue Log"/>
      <sheetName val=" Lease Commitment "/>
      <sheetName val="Monthly Revenue"/>
      <sheetName val="Remaining Lease perd"/>
      <sheetName val="Dep-Addition"/>
      <sheetName val="System TB-08"/>
      <sheetName val="Sheet 2"/>
      <sheetName val="Sheet 3"/>
      <sheetName val="Sheet 4"/>
      <sheetName val="Sheet 5"/>
      <sheetName val="Sheet 6"/>
      <sheetName val="Sheet 7"/>
      <sheetName val="Sheet 8"/>
      <sheetName val="Sheet 9"/>
      <sheetName val="Sheet 10"/>
      <sheetName val="Sheet 11"/>
      <sheetName val="Sheet 12"/>
      <sheetName val="Sheet 13"/>
      <sheetName val="Sheet 14"/>
      <sheetName val="Issue log Sample"/>
      <sheetName val="Depreciation 08-09"/>
      <sheetName val="Additons"/>
      <sheetName val="Add Buildings"/>
      <sheetName val="FA-FINAL"/>
      <sheetName val="COMPUTER &amp; ACCESSORIES"/>
      <sheetName val="ELECTRICAL EQUIPMENT"/>
      <sheetName val="PLANT &amp; MACHINERY"/>
      <sheetName val="SPEED BATS"/>
      <sheetName val="ADD DEPN"/>
      <sheetName val="CWIP RENO PROJECT"/>
      <sheetName val="P&amp;L Analysis"/>
      <sheetName val="FAR Upload"/>
      <sheetName val="FAR Extract"/>
      <sheetName val="Guest Laundry"/>
      <sheetName val="SUS Upload"/>
      <sheetName val="SUS Extract"/>
      <sheetName val="MC Int"/>
      <sheetName val="Opera Int"/>
      <sheetName val="WH Tax"/>
      <sheetName val="Output Tax"/>
      <sheetName val="Input Tax"/>
      <sheetName val="Register Setup"/>
      <sheetName val="Ledger Setup"/>
      <sheetName val="Depn Table"/>
      <sheetName val="Spread Ratios"/>
      <sheetName val="AST Jrnl"/>
      <sheetName val="BGT Jrnl"/>
      <sheetName val="OBAL Jrnl"/>
      <sheetName val="GNRL Jrnl"/>
      <sheetName val="CN Upload"/>
      <sheetName val="JPS Upload"/>
      <sheetName val="JTS Upload"/>
      <sheetName val="AS Upload"/>
      <sheetName val="AS Extract"/>
      <sheetName val="BDS Upload"/>
      <sheetName val="BDS Extract"/>
      <sheetName val="BDES Upload"/>
      <sheetName val="BDES Extract"/>
      <sheetName val="NC Upload"/>
      <sheetName val="NC Extract"/>
      <sheetName val="COA Template Design"/>
      <sheetName val="NC Template Design"/>
      <sheetName val="COA Upload"/>
      <sheetName val="COA Extract"/>
      <sheetName val="Periodic Exch Rates"/>
      <sheetName val="CUS Upload"/>
      <sheetName val="Daily Exch Rates"/>
      <sheetName val="Journal Upload"/>
      <sheetName val="Journal Extract"/>
      <sheetName val="Tnx Listing"/>
      <sheetName val="Lookup"/>
      <sheetName val="P&amp;L Detailed"/>
      <sheetName val="P&amp;L Sumry"/>
      <sheetName val="Financial KPI's"/>
      <sheetName val="Account Inquiry"/>
      <sheetName val="Aging"/>
      <sheetName val="NS Upload"/>
      <sheetName val="Doc Format"/>
      <sheetName val="TRS Upload"/>
      <sheetName val="NSS Upload"/>
      <sheetName val="BusinessRules"/>
      <sheetName val="ND Upload"/>
      <sheetName val="BUC Upload"/>
      <sheetName val="BUS Upload"/>
      <sheetName val="BUN Upload"/>
      <sheetName val="DAG Upload"/>
      <sheetName val="OPR GRP"/>
      <sheetName val="OPR ID"/>
      <sheetName val="Program"/>
      <sheetName val="2-5"/>
      <sheetName val="06-12"/>
      <sheetName val="13-16"/>
      <sheetName val="Notes-20-i"/>
      <sheetName val="Note-20-ii"/>
      <sheetName val="Note20-iii"/>
      <sheetName val="22-24"/>
      <sheetName val="PL SCHE"/>
      <sheetName val="TB Kpmg"/>
      <sheetName val="client TB 2011"/>
      <sheetName val="client tb 2009"/>
      <sheetName val="18-21"/>
      <sheetName val="note1"/>
      <sheetName val="note2"/>
      <sheetName val="note4"/>
      <sheetName val="note5"/>
      <sheetName val="note6"/>
      <sheetName val="note7"/>
      <sheetName val="note 8"/>
      <sheetName val="Note 9"/>
      <sheetName val="Bs cchedule"/>
      <sheetName val="Division"/>
      <sheetName val="AMCC"/>
      <sheetName val="Dhivehi Ban"/>
      <sheetName val="Foster"/>
      <sheetName val="F &amp; F"/>
      <sheetName val="Office Equip."/>
      <sheetName val="Trial Balance (2)"/>
      <sheetName val="Room Statistic"/>
      <sheetName val="FORE00"/>
      <sheetName val="Budget2000"/>
      <sheetName val="FORE99"/>
      <sheetName val="ICP-Summary"/>
      <sheetName val="ICP-Accounting"/>
      <sheetName val="ICP-Procurement"/>
      <sheetName val="Custom Duty May 05"/>
      <sheetName val="CALCOM"/>
      <sheetName val="BURNER"/>
      <sheetName val="MCC_01"/>
      <sheetName val="MCC_01A"/>
      <sheetName val="MCC_02"/>
      <sheetName val="MCC_02A"/>
      <sheetName val="MCC_03"/>
      <sheetName val="MCC_03A"/>
      <sheetName val="MCC_04"/>
      <sheetName val="MCC_05"/>
      <sheetName val="MCC_05A"/>
      <sheetName val="MCC_06"/>
      <sheetName val="MCC_07"/>
      <sheetName val="MCC_08"/>
      <sheetName val="MCC_08A"/>
      <sheetName val="MCC_09 "/>
      <sheetName val="MCC_10"/>
      <sheetName val="MCC_10A"/>
      <sheetName val="MCC_11"/>
      <sheetName val="MCC_11A"/>
      <sheetName val="MCC_12"/>
      <sheetName val="MCC_13"/>
      <sheetName val="MCC_14"/>
      <sheetName val="Main Input Sheet"/>
      <sheetName val="30Apr03"/>
      <sheetName val="16Jan03"/>
      <sheetName val="24Dec02"/>
      <sheetName val="Flow-03Dec02"/>
      <sheetName val="Flow-27Sep02"/>
      <sheetName val="Flow-08Aug02"/>
      <sheetName val="Flow-01Aug02"/>
      <sheetName val="Flow-29Jul02"/>
      <sheetName val="Flow-22Jul02"/>
      <sheetName val="Flow-09Jul02"/>
      <sheetName val="Flow-30May02"/>
      <sheetName val="Flow-29May02"/>
      <sheetName val="Flow-14May02"/>
      <sheetName val="Flow-17Apr02"/>
      <sheetName val="Flow-03Apr02"/>
      <sheetName val="Tabelle1"/>
      <sheetName val="Tabelle2"/>
      <sheetName val="CS Area"/>
      <sheetName val="Guidelines"/>
      <sheetName val="Check_Up"/>
      <sheetName val="Crusher"/>
      <sheetName val=" Raw Mill"/>
      <sheetName val="Kiln"/>
      <sheetName val="Ramp_Up_Kiln"/>
      <sheetName val="Coal Mill"/>
      <sheetName val="Cement Mill"/>
      <sheetName val="Ramp_Up_Cement Mill"/>
      <sheetName val="Heat Consumption"/>
      <sheetName val="False Air"/>
      <sheetName val="Raw Material Requirement"/>
      <sheetName val="Power_Summary"/>
      <sheetName val="Power_Material"/>
      <sheetName val="Power_Cement"/>
      <sheetName val="power_clinker"/>
      <sheetName val="Power_OPC"/>
      <sheetName val="Power_PPC"/>
      <sheetName val="Norms"/>
      <sheetName val="Kiln Performance"/>
      <sheetName val="Power_Sheet_Presentation"/>
      <sheetName val="Ebidta"/>
      <sheetName val="Energy bill  "/>
      <sheetName val="Power cost"/>
      <sheetName val="Fixed Expenses"/>
      <sheetName val="Norms (GV)"/>
      <sheetName val="VCOP"/>
      <sheetName val="Financial"/>
      <sheetName val="VC-QC"/>
      <sheetName val="Operation-line-1"/>
      <sheetName val="Input cost"/>
      <sheetName val="Input Factor"/>
      <sheetName val="Power-kwh-t"/>
      <sheetName val="Frt cost"/>
      <sheetName val="Approved Capex"/>
      <sheetName val="Proposed Capex"/>
      <sheetName val="Major Litigation"/>
      <sheetName val="FCCmt"/>
      <sheetName val="Com.Allcn"/>
      <sheetName val="Cmt. Wkg"/>
      <sheetName val="Com. wkg"/>
      <sheetName val="DG Cost"/>
      <sheetName val="Caloff"/>
      <sheetName val="RM -LS(V)"/>
      <sheetName val="CCR"/>
      <sheetName val="Fuel "/>
      <sheetName val="pkg.bags"/>
      <sheetName val="RM &amp; Clinker"/>
      <sheetName val="Loose Cmt"/>
      <sheetName val="Branch Acct."/>
      <sheetName val="PL -LS TC"/>
      <sheetName val="Contr."/>
      <sheetName val="QW Sales"/>
      <sheetName val="Lac"/>
      <sheetName val="Var 30-9 B vrs A"/>
      <sheetName val="Var 30-9 A vrs A"/>
      <sheetName val="Var 31-12 B vrs A "/>
      <sheetName val="Var 31-12 A vrs A "/>
      <sheetName val="Var 31-3B vrs A"/>
      <sheetName val="Var 31-3 A vrs A "/>
      <sheetName val="Cal. Br."/>
      <sheetName val="Stores &amp; Spares"/>
      <sheetName val="Infmn.from OD"/>
      <sheetName val="Note on Changes made"/>
      <sheetName val="BASIC ASSU."/>
      <sheetName val="OPR DATA"/>
      <sheetName val="P&amp;L 08.09"/>
      <sheetName val="Cost of Prod."/>
      <sheetName val="EBDITA Estimates"/>
      <sheetName val="STOCK ADJ."/>
      <sheetName val="COST PRD."/>
      <sheetName val="Cane Mkt."/>
      <sheetName val="Cane Price"/>
      <sheetName val="Mfg."/>
      <sheetName val="REPAIR"/>
      <sheetName val="F. EXP."/>
      <sheetName val="Exp annexure"/>
      <sheetName val="Salaries &amp; Wages"/>
      <sheetName val="Dep. Co's Act"/>
      <sheetName val="INTT."/>
      <sheetName val="WC-Summ"/>
      <sheetName val="WC-Value"/>
      <sheetName val="WC-Qty. &amp; Rate"/>
      <sheetName val="Budgeted Balance Sheet"/>
      <sheetName val="Budgeted Cash FlowConsolidated "/>
      <sheetName val="Budgeted Fund Flow Consolidated"/>
      <sheetName val="P &amp; L Account Sugar&amp; Cogen"/>
      <sheetName val="OPB 07.08 - Sugar"/>
      <sheetName val="Cogen Profitability"/>
      <sheetName val="Prod_Consm_stock of Grogs"/>
      <sheetName val="silliminite_clot"/>
      <sheetName val="CLOTS"/>
      <sheetName val="clot_others"/>
      <sheetName val="BASIC_CLOT"/>
      <sheetName val="B_CLOT"/>
      <sheetName val="TB-CIT"/>
      <sheetName val="reconcilation"/>
      <sheetName val="de_reconcilation"/>
      <sheetName val="FB"/>
      <sheetName val="SLC"/>
      <sheetName val="recon_volii"/>
      <sheetName val="RF.Common"/>
      <sheetName val="RF.common.wrkg."/>
      <sheetName val="grn_brnt prod"/>
      <sheetName val="dep."/>
      <sheetName val="VRS"/>
      <sheetName val="calcined clay"/>
      <sheetName val="Apr_aug."/>
      <sheetName val="BP.Allocation"/>
      <sheetName val="GPP.Allocation"/>
      <sheetName val="Recon of PL with TB"/>
      <sheetName val="Group-sch"/>
      <sheetName val="P&amp;L - REF"/>
      <sheetName val="Summary.PL.31.12.03"/>
      <sheetName val="Recon of BS _ACs"/>
      <sheetName val="Break-up"/>
      <sheetName val="BS - RF"/>
      <sheetName val="Recon of BS "/>
      <sheetName val="OB_ BS"/>
      <sheetName val="OB. wrkg. for BS"/>
      <sheetName val="Brk.up.OB."/>
      <sheetName val="OB.Vol _ II"/>
      <sheetName val="OB_Rev SL"/>
      <sheetName val="0B_Qry SL"/>
      <sheetName val="9 mnths.Comparative.prod.sales "/>
      <sheetName val="Prod.sales.9mths."/>
      <sheetName val="SC"/>
      <sheetName val="E D Apl to Dec. 03 "/>
      <sheetName val="Int. Silica.Loan"/>
      <sheetName val="SW.UptoAug"/>
      <sheetName val="s&amp;w_PF&amp;ESI"/>
      <sheetName val="FB_S&amp;W"/>
      <sheetName val="SB_1_S&amp;W "/>
      <sheetName val="SB_3_S&amp;W"/>
      <sheetName val="BB_S&amp;W "/>
      <sheetName val="stkval_for_akd"/>
      <sheetName val="stkval_for_bk "/>
      <sheetName val="stkval"/>
      <sheetName val="LADLEjun"/>
      <sheetName val="qejun'04"/>
      <sheetName val="realis with ladle (2)"/>
      <sheetName val="LADLE-jul"/>
      <sheetName val="realis-July"/>
      <sheetName val="realis excl export jan'04"/>
      <sheetName val="realis excl export upto Dec'03"/>
      <sheetName val="realis per ton in total (2)"/>
      <sheetName val="for factory licence"/>
      <sheetName val="realis excl export (2)"/>
      <sheetName val="realis with ladle"/>
      <sheetName val="realis excl export"/>
      <sheetName val="LADLE"/>
      <sheetName val="Convertor"/>
      <sheetName val="exciseDuty"/>
      <sheetName val="realisation per mt"/>
      <sheetName val="Upto dec"/>
      <sheetName val="Q.E Mar'04"/>
      <sheetName val="Q.E Dec'03"/>
      <sheetName val="Upto Nov"/>
      <sheetName val="Upto Sep"/>
      <sheetName val="Q.E Sep'03"/>
      <sheetName val="upto Aug'04"/>
      <sheetName val="Q.E Jun'03"/>
      <sheetName val="Upto"/>
      <sheetName val="realis per ton in total"/>
      <sheetName val="break up (2)"/>
      <sheetName val="pivot sumary"/>
      <sheetName val="Qtr. 1_DE"/>
      <sheetName val="Pkg"/>
      <sheetName val="power units"/>
      <sheetName val="impact (2)"/>
      <sheetName val="rmf-exprt"/>
      <sheetName val="SLB_PROD"/>
      <sheetName val="Summary_contr."/>
      <sheetName val="var_"/>
      <sheetName val="fuel pmt"/>
      <sheetName val="de_analysis"/>
      <sheetName val="ret_frm_custmr"/>
      <sheetName val="ipt sum"/>
      <sheetName val="IPT"/>
      <sheetName val="fuel pmt-total"/>
      <sheetName val="fuel alloc"/>
      <sheetName val="rej_overs"/>
      <sheetName val="rej_overs_exprt"/>
      <sheetName val="rm_REJ._OVERS (2)"/>
      <sheetName val="rm_REJ._OVER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no.of days holding"/>
      <sheetName val="Plantwise"/>
      <sheetName val="Sales Qty"/>
      <sheetName val="Pkg matr"/>
      <sheetName val="Payment_oa"/>
      <sheetName val="4yrs fixed exps"/>
      <sheetName val="Manpower_impact"/>
      <sheetName val="FC_Gain"/>
      <sheetName val="Working 2 "/>
      <sheetName val="Page 4 "/>
      <sheetName val="Page 3 "/>
      <sheetName val="de_dec._trgt"/>
      <sheetName val="de_wrkg_trgt"/>
      <sheetName val="Q.E Dec Summary"/>
      <sheetName val="cfdatabase"/>
      <sheetName val="KR"/>
      <sheetName val="RF"/>
      <sheetName val="SIW"/>
      <sheetName val="Assumptions 1"/>
      <sheetName val="Assumptions 2"/>
      <sheetName val="Project Cost Incl duties"/>
      <sheetName val="DCL Project Cost"/>
      <sheetName val="Cement"/>
      <sheetName val="Cement - Greenfield"/>
      <sheetName val="Detailed Cement Greenfld EBIDTA"/>
      <sheetName val="Detailed Cement EBIDTA"/>
      <sheetName val="WF &amp; TPPs"/>
      <sheetName val="Sugar"/>
      <sheetName val="Sugar Economics"/>
      <sheetName val="Carbon Credit"/>
      <sheetName val="Total EBIDTA"/>
      <sheetName val="Sales Tax Deferral"/>
      <sheetName val="Allocation"/>
      <sheetName val="Takeouts"/>
      <sheetName val="Impact of Current Tax"/>
      <sheetName val="YHD Summary Consolidated"/>
      <sheetName val="YHD Summary Consolidate (Case)"/>
      <sheetName val="PL CONSOLIDATED"/>
      <sheetName val="BS CONSOLIDATED"/>
      <sheetName val="CF CONSOLIDATED"/>
      <sheetName val="Ratios CONSOLIDATED"/>
      <sheetName val="Summary-Fin Consolidated"/>
      <sheetName val="YHD Summary DCBL"/>
      <sheetName val="YHD Summary DCBL (Case)"/>
      <sheetName val="Book Dep"/>
      <sheetName val="IT Dep"/>
      <sheetName val="TOTAL Sales"/>
      <sheetName val="PL DCBL"/>
      <sheetName val="CF DCBL"/>
      <sheetName val="BS DCBL (Without Full WCL)"/>
      <sheetName val="Monthly CF DCBL"/>
      <sheetName val="CF DCBL - PD"/>
      <sheetName val="Capex Payout"/>
      <sheetName val="Surplus Graph"/>
      <sheetName val="Sugar - Sensivity"/>
      <sheetName val="YHD Summary DCB Subsidiary"/>
      <sheetName val="PL DCB Subsidiary"/>
      <sheetName val="BS DCB Subsidiary"/>
      <sheetName val="CF DCB Subsidiary"/>
      <sheetName val="Ratios DCB Subsidiary"/>
      <sheetName val="Summary - Fin &amp; Ops Subsidiary"/>
      <sheetName val="Cement-Greenfield-Subsidiary"/>
      <sheetName val="Detailed Cement Greenfld Subsi"/>
      <sheetName val="BS DCBL"/>
      <sheetName val="Loans"/>
      <sheetName val="Ratios DCBL "/>
      <sheetName val="Assumptions Summary"/>
      <sheetName val="IT, WC, Loans - DCB Subsidiary"/>
      <sheetName val="PL - OCL "/>
      <sheetName val="BS - OCL"/>
      <sheetName val="CF - OCL"/>
      <sheetName val="cement greenfieldtax"/>
      <sheetName val="ProjectIRR"/>
      <sheetName val="pl (2)"/>
      <sheetName val="ids_mar"/>
      <sheetName val="semi-stk-exprt"/>
      <sheetName val="adv tax 4"/>
      <sheetName val="RM (2)"/>
      <sheetName val="Export"/>
      <sheetName val="fbjul"/>
      <sheetName val="incr_decr stk"/>
      <sheetName val="stkvaladvtax2"/>
      <sheetName val="royalty_pp"/>
      <sheetName val="royalty_AMC"/>
      <sheetName val="PTI"/>
      <sheetName val="mould consm"/>
      <sheetName val="stores consm"/>
      <sheetName val="str_spr_repr"/>
      <sheetName val="apr-stk"/>
      <sheetName val="may-stk"/>
      <sheetName val="jun-stk"/>
      <sheetName val="jul-stk"/>
      <sheetName val="Aug-stk"/>
      <sheetName val="Sep-stk"/>
      <sheetName val="Oct-stk"/>
      <sheetName val="Nov-stk"/>
      <sheetName val="Dec-stk"/>
      <sheetName val="Jan-stk"/>
      <sheetName val="Feb-mar"/>
      <sheetName val="tot-stk"/>
      <sheetName val="2003-04"/>
      <sheetName val="adv2"/>
      <sheetName val="bud breakup"/>
      <sheetName val="Prod-Sales data"/>
      <sheetName val="PLR"/>
      <sheetName val="PLR(ND)"/>
      <sheetName val="Mis PL-actu Pl"/>
      <sheetName val="PLRRev"/>
      <sheetName val="pl(3)"/>
      <sheetName val="pl-ndfinal"/>
      <sheetName val="pl-nd"/>
      <sheetName val="BOARD_REPORT"/>
      <sheetName val="CUS._TB_For_BS"/>
      <sheetName val="Prov_agst_adv_FOR_BS"/>
      <sheetName val="RM_CONSUMED"/>
      <sheetName val="prod._sales"/>
      <sheetName val="Notes to account"/>
      <sheetName val="Consolidated PR(CF,RF,KCW)"/>
      <sheetName val="Cement Factory 10"/>
      <sheetName val="Refractory 11"/>
      <sheetName val="Lanjiberna Limestone Mines 12"/>
      <sheetName val="Lanjiberna Quarry Transport 14"/>
      <sheetName val="Common 15"/>
      <sheetName val="Power Generating Sets 16"/>
      <sheetName val="HA Cement Plant 25"/>
      <sheetName val="Shaft Kiln 26"/>
      <sheetName val="LINE - 2 (RAJGANGPUR ) 27"/>
      <sheetName val="LINE - 2 (L.Q) 28"/>
      <sheetName val="KCW-Cement Factory 51"/>
      <sheetName val="Talabira Mines 91"/>
      <sheetName val="Raigarh Mines 92"/>
      <sheetName val="Chiraipani Mines 94"/>
      <sheetName val="Mugdara Mines 95"/>
      <sheetName val="Bhikampalli Quartzite Mines 98"/>
      <sheetName val="Price Index"/>
      <sheetName val="RGPCOM"/>
      <sheetName val="NDCOM"/>
      <sheetName val="CIT"/>
      <sheetName val="FC-Com-MHD"/>
      <sheetName val="CPP PBT"/>
      <sheetName val="CPP Rgt Vs Act"/>
      <sheetName val="Sri AKD"/>
      <sheetName val="Coal FY-13"/>
      <sheetName val="Coal consn"/>
      <sheetName val="Coal FY-12"/>
      <sheetName val="Power rate"/>
      <sheetName val="CPP data"/>
      <sheetName val="FC New"/>
      <sheetName val="REC"/>
      <sheetName val="Diesel"/>
      <sheetName val="Taxes&amp;Duties"/>
      <sheetName val="LC to NCR"/>
      <sheetName val="Summary (FY13 Vs 14)"/>
      <sheetName val="FY-13 Vs FY14"/>
      <sheetName val="Price working"/>
      <sheetName val="Discount"/>
      <sheetName val="Trade"/>
      <sheetName val="Statewise Sales Plan (43 LT)"/>
      <sheetName val="Summary-Plant &amp; Qlty wise"/>
      <sheetName val="Sales-RGP+KCW+BCW"/>
      <sheetName val="Sales-RGP"/>
      <sheetName val="Sales-KCW"/>
      <sheetName val="Sales-BCW"/>
      <sheetName val="Primary Road Frt"/>
      <sheetName val="Rly Frt &amp; CHW"/>
      <sheetName val="Rly Frt w.e.f 1.4.13"/>
      <sheetName val="Road Freight to Depot"/>
      <sheetName val="Secondary Road Frt"/>
      <sheetName val="Sales Qnty"/>
      <sheetName val="VAT Calculation_FY 14"/>
      <sheetName val="Sys. Design"/>
      <sheetName val="Civil-An-1"/>
      <sheetName val="An.2(Major P&amp;M)"/>
      <sheetName val="An.2O"/>
      <sheetName val="An.2A"/>
      <sheetName val="An2S"/>
      <sheetName val="An.2V"/>
      <sheetName val="An.2U"/>
      <sheetName val="An.2T"/>
      <sheetName val="An.2B(BCs)"/>
      <sheetName val="An.2C(WF)"/>
      <sheetName val="An.2D(BF)"/>
      <sheetName val="An.2E(Fans)"/>
      <sheetName val="An.2F"/>
      <sheetName val="An.2G"/>
      <sheetName val="An.2H(Ref)"/>
      <sheetName val="An.2I(Misc. P&amp;M,Assets)"/>
      <sheetName val="An.2J(HT Motors)"/>
      <sheetName val="An.2K(VFC)"/>
      <sheetName val="An.2L(PD)"/>
      <sheetName val="An.2M(C&amp;I)"/>
      <sheetName val="An.3(Err&amp; Com)"/>
      <sheetName val="An.4(Mining)"/>
      <sheetName val="SUM-LS-TRPT"/>
      <sheetName val="An.5-LS.Trpt-Sum"/>
      <sheetName val="LS.Trpt-BG"/>
      <sheetName val="LS.Trpt-Pipe"/>
      <sheetName val="LS.Trpt-Belt"/>
      <sheetName val="LS.Trpt-Loco"/>
      <sheetName val="LQ-Power"/>
      <sheetName val="Fixed Exp"/>
      <sheetName val="LQ Budget"/>
      <sheetName val="LQ-Explosive"/>
      <sheetName val="LQ-EMMD"/>
      <sheetName val="LQ-Spl spares+Pumps"/>
      <sheetName val="Capital Additions"/>
      <sheetName val="WC.CF.FY08"/>
      <sheetName val="WC.KCW.FY08"/>
      <sheetName val="WC.Wkg.CF.FY08"/>
      <sheetName val="WC.Wkg.KCW.FY08"/>
      <sheetName val="Cost Tree"/>
      <sheetName val="WC.CF.FY07-Old-SytYHD"/>
      <sheetName val="BUDCOM"/>
      <sheetName val="OPER_CF"/>
      <sheetName val="LQ"/>
      <sheetName val="List of Business Partners"/>
      <sheetName val="List of Business Partners (2)"/>
      <sheetName val="List of Business Partners (3)"/>
      <sheetName val="Coal Variance"/>
      <sheetName val="Kiln Stp Hrs &amp; Fqny"/>
      <sheetName val="CVRM Stp Hrs &amp; fqny"/>
      <sheetName val="Clinker Pwr"/>
      <sheetName val="CCBC"/>
      <sheetName val="CCBC Stp &amp; Frqny"/>
      <sheetName val="Accounts related"/>
      <sheetName val="Materials"/>
      <sheetName val="ND Office 300911"/>
      <sheetName val="Trial Balance300911"/>
      <sheetName val="FY12 &amp; FY 13 Projection"/>
      <sheetName val="OCL DO depreciation FY11-12"/>
      <sheetName val="OCL DO IT DEPN FY11-12"/>
      <sheetName val="OCL DO Additions FY11-12"/>
      <sheetName val="OCL DO SALE or W-OFF FY11-12"/>
      <sheetName val="ASSET-310312-Office &amp; Eqipment"/>
      <sheetName val="ASSET-310312-Computer"/>
      <sheetName val="ASSET-310312-Fans"/>
      <sheetName val="ASSET-310312-Furniture"/>
      <sheetName val="ASSET-310312-Generator"/>
      <sheetName val="ASSET-310312-Motor cars"/>
      <sheetName val="Sales of Asset at B-47"/>
      <sheetName val="WDV calculator FY10-11"/>
      <sheetName val="Old B-47 asset as on 310311"/>
      <sheetName val="Fixed Asset As per books of acc"/>
      <sheetName val="Qtrly. Var-Book EBIDTA"/>
      <sheetName val="Q1 EBIDTA"/>
      <sheetName val="Cement VC"/>
      <sheetName val="Clinker VC"/>
      <sheetName val="LQ Cost sheet"/>
      <sheetName val="Slag"/>
      <sheetName val="RSP &amp; WSP Gap"/>
      <sheetName val="Addl. Cost in power- QE Jun'12"/>
      <sheetName val="Addl. Cost in power - QE Jun'13"/>
      <sheetName val="FC (2)"/>
      <sheetName val="RF Adv"/>
      <sheetName val="S-Creditor"/>
      <sheetName val="Sundries"/>
      <sheetName val="rf11"/>
      <sheetName val="rf16"/>
      <sheetName val="rf32"/>
      <sheetName val="rf46"/>
      <sheetName val="Stores"/>
      <sheetName val="Fuel Cost"/>
      <sheetName val="Exe.Sum (2)"/>
      <sheetName val="Cost 96"/>
      <sheetName val="Exe.Sum"/>
      <sheetName val="Tot. stone"/>
      <sheetName val="Cost sheet Templete"/>
      <sheetName val="Cost Sheet  "/>
      <sheetName val="Sum CCBC"/>
      <sheetName val="CCBC EXP"/>
      <sheetName val="Emp.cost"/>
      <sheetName val="Pmt.to Contr."/>
      <sheetName val="Contr.Allcn."/>
      <sheetName val="Power &amp; Fuel"/>
      <sheetName val="Repair &amp; Maint."/>
      <sheetName val="Inc-Dec in stk"/>
      <sheetName val="Bill to LQ FY-12"/>
      <sheetName val="Bill to LQ (2)"/>
      <sheetName val="LQ Cost.FTM"/>
      <sheetName val="LQ Basic Data"/>
      <sheetName val="LQ Cost.YTD"/>
      <sheetName val="WESCO Power"/>
      <sheetName val="Explosive"/>
      <sheetName val="Bill to LQ"/>
      <sheetName val="Take outs"/>
      <sheetName val="FY14"/>
      <sheetName val="MAR"/>
      <sheetName val="FEB"/>
      <sheetName val="JAN"/>
      <sheetName val="JUL"/>
      <sheetName val="JUN"/>
      <sheetName val="MAY"/>
      <sheetName val="APR"/>
      <sheetName val="Stoppages-Kiln"/>
      <sheetName val="Stoppages-Mills"/>
      <sheetName val="Wkg.Reconc."/>
      <sheetName val="PG"/>
      <sheetName val="PPT Graph"/>
      <sheetName val="ND Office 300611"/>
      <sheetName val="Trial Balance 300611"/>
      <sheetName val="87 Kg IRR Option 1"/>
      <sheetName val="CPP"/>
      <sheetName val="VC-Overall"/>
      <sheetName val="VC RGP"/>
      <sheetName val="VC KCW"/>
      <sheetName val="Line1+Line2"/>
      <sheetName val="Approved Capex "/>
      <sheetName val="FC Com"/>
      <sheetName val="Out of Books Qry 30 0 6 04"/>
      <sheetName val="Oot of Book Rev  30 06 04"/>
      <sheetName val="Out of Book Vol II 30 06 04"/>
      <sheetName val="3Month-Detailed Vriance"/>
      <sheetName val="3a"/>
      <sheetName val="4-6"/>
      <sheetName val="7-9"/>
      <sheetName val="11-13"/>
      <sheetName val="18-19"/>
      <sheetName val="BS-Grouping"/>
      <sheetName val="P&amp;L-Grouping"/>
      <sheetName val="Trade Deposit"/>
      <sheetName val="Accrued Interest"/>
      <sheetName val="Ughai-Alcohol"/>
      <sheetName val="Suspense"/>
      <sheetName val="Advance against Salary"/>
      <sheetName val="Ware-house"/>
      <sheetName val="Cenvat"/>
      <sheetName val="Store"/>
      <sheetName val="S. Creditors"/>
      <sheetName val="Advance &amp; Deposit"/>
      <sheetName val="Pre-paid Expenses"/>
      <sheetName val="LE"/>
      <sheetName val="Ughai (Bio-Compost)"/>
      <sheetName val="Annuallised Cost"/>
      <sheetName val="Molasses"/>
      <sheetName val="Store Consumption"/>
      <sheetName val="Work-men"/>
      <sheetName val="Employees Welfare"/>
      <sheetName val="BR"/>
      <sheetName val="MR"/>
      <sheetName val="S. Repair"/>
      <sheetName val="Selling Expenses"/>
      <sheetName val="General Charges"/>
      <sheetName val="Stationery"/>
      <sheetName val="Conveyance"/>
      <sheetName val="Effulent"/>
      <sheetName val="Bank Charges"/>
      <sheetName val="Party-wise Sales"/>
      <sheetName val="Sundry Income"/>
      <sheetName val="Bio-Compost Sales"/>
      <sheetName val="Bio-Compost Costing"/>
      <sheetName val="Press Mud"/>
      <sheetName val="Windrows"/>
      <sheetName val="W. Details"/>
      <sheetName val="PF &amp; FP"/>
      <sheetName val="Annuallised Cost (1)"/>
      <sheetName val="Uns march"/>
      <sheetName val=" L.E 30.6.11 (3)"/>
      <sheetName val="UnsJune"/>
      <sheetName val="Trial Balanc"/>
      <sheetName val="Int acc"/>
      <sheetName val="300613L.E"/>
      <sheetName val=" L.E"/>
      <sheetName val="Retained Retention"/>
      <sheetName val="Stale Cheque1"/>
      <sheetName val="Rei for exps"/>
      <sheetName val="Retaining "/>
      <sheetName val="Rent Payable"/>
      <sheetName val="Stale Cheque "/>
      <sheetName val="Water Cess"/>
      <sheetName val="Bills awaited"/>
      <sheetName val="Int.Accrued30912"/>
      <sheetName val="Int.Accrued31312"/>
      <sheetName val="Service tax "/>
      <sheetName val="TDS "/>
      <sheetName val="Vat"/>
      <sheetName val="CST"/>
      <sheetName val="Entry tax"/>
      <sheetName val="Sat"/>
      <sheetName val="Stat Dues"/>
      <sheetName val="Vat."/>
      <sheetName val="CST."/>
      <sheetName val="Entry tax."/>
      <sheetName val="Sat."/>
      <sheetName val="W.C.T"/>
      <sheetName val="Cane Purc tax pay"/>
      <sheetName val="Inve"/>
      <sheetName val="Invet"/>
      <sheetName val="Prepaid."/>
      <sheetName val="Prepaid"/>
      <sheetName val="cane seed adv"/>
      <sheetName val="Sundry deposit"/>
      <sheetName val="Sun Debt"/>
      <sheetName val="GrPL"/>
      <sheetName val="UBI kolkata(059)"/>
      <sheetName val="IDBI KOLKATA CA"/>
      <sheetName val="Finished goods."/>
      <sheetName val="BY Product."/>
      <sheetName val="Cane Purchase"/>
      <sheetName val="Cane Purchase."/>
      <sheetName val="Cane Transportation &amp; Loading"/>
      <sheetName val="Cane Commission."/>
      <sheetName val="Cane Purchase Tax."/>
      <sheetName val="Cane Development"/>
      <sheetName val="Cane Expenses"/>
      <sheetName val="salary-exp"/>
      <sheetName val="FP, DLI"/>
      <sheetName val="Pac mate"/>
      <sheetName val="Store Cons"/>
      <sheetName val="int.calcu.final"/>
      <sheetName val="Auditfee"/>
      <sheetName val="B.C"/>
      <sheetName val="Brokrage"/>
      <sheetName val="G.Charges."/>
      <sheetName val="Law Charges"/>
      <sheetName val="Miscelle."/>
      <sheetName val="Security charge"/>
      <sheetName val="Sundry Repair"/>
      <sheetName val="Printing &amp; Stationery"/>
      <sheetName val="Postage,telephon "/>
      <sheetName val="Vehicle Runni"/>
      <sheetName val="Selling Exps."/>
      <sheetName val="BLOCK"/>
      <sheetName val="Security Bill"/>
      <sheetName val="Cane Commission. (2)"/>
      <sheetName val="Cane Adjustment"/>
      <sheetName val="Power Bill Details"/>
      <sheetName val="Block "/>
      <sheetName val="BIS"/>
      <sheetName val="Vehicle-13"/>
      <sheetName val="Vehicle-12"/>
      <sheetName val="Cane Deve"/>
      <sheetName val="Cane Exp"/>
      <sheetName val="Cane Purchase. (2)"/>
      <sheetName val="30612L.E (2)"/>
      <sheetName val="int.calcu. (2)"/>
      <sheetName val="UA 1.1 - Sales Arp"/>
      <sheetName val="UA 1.2 - Sale Summary"/>
      <sheetName val="Free Sale"/>
      <sheetName val="Levy Sale"/>
      <sheetName val="TOTAL OUT SIDE SALE"/>
      <sheetName val="UA 1. 8 Molasses Party wise sal"/>
      <sheetName val="UA 1.5 Godown Sale"/>
      <sheetName val="UA 1.6 By Product Sale"/>
      <sheetName val="UA 1.6 BY Product."/>
      <sheetName val="TOTAL SALE FACTORY GDN "/>
      <sheetName val="March-10 trial"/>
      <sheetName val="Mill Gate"/>
      <sheetName val="Centre"/>
      <sheetName val="oil mill"/>
      <sheetName val="machinery"/>
      <sheetName val="tw &amp; rs"/>
      <sheetName val="cal off buil"/>
      <sheetName val="cal off mach"/>
      <sheetName val="cal off furn"/>
      <sheetName val="cal off tw &amp; con"/>
      <sheetName val="addition"/>
      <sheetName val="amalg &amp; sch"/>
      <sheetName val="it dep jun 03"/>
      <sheetName val="Fur9900"/>
      <sheetName val="I.T Dep."/>
      <sheetName val="Amal.9900"/>
      <sheetName val="Mac9900"/>
      <sheetName val="TW9900"/>
      <sheetName val="Cal.TW&amp;Con.9900"/>
      <sheetName val="Amal.01"/>
      <sheetName val="Mac 01"/>
      <sheetName val="Fur.01"/>
      <sheetName val="Cal.Mach.01"/>
      <sheetName val="bui-02"/>
      <sheetName val="mach.02"/>
      <sheetName val="TW.02"/>
      <sheetName val="Amal.02"/>
      <sheetName val="Cal.Mach.02"/>
      <sheetName val="Sch..02"/>
      <sheetName val="Bui-9900"/>
      <sheetName val="Bui-01"/>
      <sheetName val="TW.01"/>
      <sheetName val="Fur.02"/>
      <sheetName val="Con.01"/>
      <sheetName val="Agr.F A.01"/>
      <sheetName val="Agr.F A 02"/>
      <sheetName val="Cal.Bldg.01"/>
      <sheetName val="Cal.Bldg.02"/>
      <sheetName val="Cal.Fur.02"/>
      <sheetName val="Pre- Op. Exps June-09"/>
      <sheetName val="C_Stock 30.6.09"/>
      <sheetName val="ED_Payable 30.6.09"/>
      <sheetName val="Packing 30.6.09"/>
      <sheetName val="Avg Sale-30.6.09"/>
      <sheetName val="Pre-op. May-09"/>
      <sheetName val="May-09 Stock"/>
      <sheetName val="Bui 01"/>
      <sheetName val="Mach 01"/>
      <sheetName val="Tube 01"/>
      <sheetName val="Tube Well"/>
      <sheetName val="Furn 01"/>
      <sheetName val="Conv 01"/>
      <sheetName val="Agr FA 01"/>
      <sheetName val="Agr. F A"/>
      <sheetName val="Cal Bldg 01"/>
      <sheetName val="Cal.Bldg."/>
      <sheetName val="Cal Mach 01"/>
      <sheetName val="Cal.Mach."/>
      <sheetName val="Cal Fur 01"/>
      <sheetName val="Cal.Furn."/>
      <sheetName val="Cal TW&amp;CON 01"/>
      <sheetName val="Cal.TW&amp;Con."/>
      <sheetName val="Amal."/>
      <sheetName val="IT Dep 01"/>
      <sheetName val="Schedule01"/>
      <sheetName val="Amal 01"/>
      <sheetName val="Bu02"/>
      <sheetName val="Mach02"/>
      <sheetName val="Tube02"/>
      <sheetName val="Furn02"/>
      <sheetName val="Conv02"/>
      <sheetName val="Agr FA02"/>
      <sheetName val="Cal Bldg02"/>
      <sheetName val="Cal Fur02"/>
      <sheetName val="Cal TW&amp;Con02"/>
      <sheetName val="Addition02"/>
      <sheetName val="Amal02"/>
      <sheetName val="Schedule02"/>
      <sheetName val="IT Dep02"/>
      <sheetName val="Distallery"/>
      <sheetName val="IT dep Q"/>
      <sheetName val="Insurance Spares"/>
      <sheetName val="Summary Of intt &amp; B.C"/>
      <sheetName val="Intt_Dr"/>
      <sheetName val="bank-charges"/>
      <sheetName val="Rent Payable (2)"/>
      <sheetName val="p&amp;l  (2)"/>
      <sheetName val="Power-JV"/>
      <sheetName val="Sugar-JV"/>
      <sheetName val="Normal-MR"/>
      <sheetName val="Special-MR"/>
      <sheetName val=" Block"/>
      <sheetName val="MR-Power"/>
      <sheetName val="Interest on Bank Borrowings"/>
      <sheetName val="Hire Purchase &amp; Interest"/>
      <sheetName val="Orix 1.1"/>
      <sheetName val="Orix 1.2"/>
      <sheetName val="Orix2"/>
      <sheetName val="Orix3"/>
      <sheetName val="Orix 4"/>
      <sheetName val="Orix 5"/>
      <sheetName val="Orix 6"/>
      <sheetName val="Orix 7"/>
      <sheetName val="Orix 8"/>
      <sheetName val="Orix 9"/>
      <sheetName val="Orix 10"/>
      <sheetName val="Orix 11"/>
      <sheetName val="Orix 12"/>
      <sheetName val="ICICI(1)"/>
      <sheetName val="ICICI (3)"/>
      <sheetName val="ICICI (4)"/>
      <sheetName val="ICICI (5)"/>
      <sheetName val="ICICI (6)"/>
      <sheetName val="ICICI (7)"/>
      <sheetName val="ICICI (10)"/>
      <sheetName val="ICICI (11)"/>
      <sheetName val="ICICI(12)"/>
      <sheetName val="ICICI(13)"/>
      <sheetName val="ICICI(14)"/>
      <sheetName val="ICICI(15)"/>
      <sheetName val="HDFC 1"/>
      <sheetName val="HDFC (2)"/>
      <sheetName val="Kotak(1)"/>
      <sheetName val="Kotak(2)"/>
      <sheetName val="Kotak(3)"/>
      <sheetName val="BAL0308"/>
      <sheetName val="SPL"/>
      <sheetName val="Cash_Flow "/>
      <sheetName val="Notes 3-20"/>
      <sheetName val="Note-12"/>
      <sheetName val="Notes 21-28"/>
      <sheetName val="Notes 29"/>
      <sheetName val="note 30 related party"/>
      <sheetName val="Notes 31 to 38"/>
      <sheetName val="Entry sheet"/>
      <sheetName val="Listing of additional creditors"/>
      <sheetName val="Mat Cons"/>
      <sheetName val="Weighted shares"/>
      <sheetName val="NWS TB"/>
      <sheetName val="HSP TB"/>
      <sheetName val="DT Computation"/>
      <sheetName val="234ABC"/>
      <sheetName val="MAT 115JB"/>
      <sheetName val="DVM-1"/>
      <sheetName val="DVM"/>
      <sheetName val="RCP-INSERT"/>
      <sheetName val="STU"/>
      <sheetName val="PIN LENGTH"/>
      <sheetName val="SDE"/>
      <sheetName val="DGS&amp;D"/>
      <sheetName val="OEM"/>
      <sheetName val="EXPORTS"/>
      <sheetName val="CI-EXPORTS"/>
      <sheetName val="LISTER (16.03.99)"/>
      <sheetName val="LISTER (09.03.99)"/>
      <sheetName val="LISTER (09.03.99) (SDE)"/>
      <sheetName val="LISTER"/>
      <sheetName val="CI-OEM"/>
      <sheetName val="CI-TR"/>
      <sheetName val="RIK 20 PRODUCTION"/>
      <sheetName val="MACHINING COST"/>
      <sheetName val="RING MATERIAL"/>
      <sheetName val="CHROME PLATING"/>
      <sheetName val="RM-EFF-STD-A.F"/>
      <sheetName val="RMC-AF"/>
      <sheetName val="RCP PISTONS PRODUCTION"/>
      <sheetName val="PISTON PACKING"/>
      <sheetName val="SECONDRY PACKING"/>
      <sheetName val="MC-PISTONS"/>
      <sheetName val="DC-ALLOY-AF"/>
      <sheetName val="STD-AF"/>
      <sheetName val="AF-M.EFF"/>
      <sheetName val="AF-DMI"/>
      <sheetName val="DC-AL.ALLOY"/>
      <sheetName val="SR-MC"/>
      <sheetName val="SR (2)"/>
      <sheetName val="PIN RAW MATERIAL"/>
      <sheetName val="SR-PACKING"/>
      <sheetName val="PHT"/>
      <sheetName val="SR-CTB"/>
      <sheetName val="STEEL RING RAW MATERIAL"/>
      <sheetName val="COMP-08-09"/>
      <sheetName val="in-hp"/>
      <sheetName val="in-oths"/>
      <sheetName val="ANN-C"/>
      <sheetName val="ANN -B-DEP"/>
      <sheetName val="PARTA&amp;B"/>
      <sheetName val="fbt-08"/>
      <sheetName val="comp-08"/>
      <sheetName val="29B 2009-10"/>
      <sheetName val="Annexure D - 14A"/>
    </sheetNames>
    <sheetDataSet>
      <sheetData sheetId="0" refreshError="1"/>
      <sheetData sheetId="1" refreshError="1"/>
      <sheetData sheetId="2" refreshError="1">
        <row r="1">
          <cell r="A1" t="str">
            <v>CODE</v>
          </cell>
        </row>
        <row r="13">
          <cell r="H13">
            <v>11762705.309999999</v>
          </cell>
        </row>
        <row r="38">
          <cell r="H38">
            <v>11762704.7612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t="str">
            <v>CODE</v>
          </cell>
        </row>
      </sheetData>
      <sheetData sheetId="29">
        <row r="2">
          <cell r="A2">
            <v>101300</v>
          </cell>
        </row>
      </sheetData>
      <sheetData sheetId="30">
        <row r="3">
          <cell r="A3">
            <v>99</v>
          </cell>
        </row>
      </sheetData>
      <sheetData sheetId="31">
        <row r="3">
          <cell r="C3" t="str">
            <v>TVTS</v>
          </cell>
        </row>
      </sheetData>
      <sheetData sheetId="32">
        <row r="2">
          <cell r="A2">
            <v>101300</v>
          </cell>
          <cell r="B2" t="str">
            <v>Capital souscrit</v>
          </cell>
          <cell r="C2">
            <v>2800</v>
          </cell>
          <cell r="D2" t="str">
            <v>A119</v>
          </cell>
          <cell r="E2">
            <v>-1500000</v>
          </cell>
          <cell r="F2">
            <v>-1500000</v>
          </cell>
        </row>
        <row r="3">
          <cell r="A3">
            <v>106110</v>
          </cell>
          <cell r="B3" t="str">
            <v>Rés légale proporement dite</v>
          </cell>
          <cell r="C3">
            <v>2810</v>
          </cell>
          <cell r="D3" t="str">
            <v>A120</v>
          </cell>
          <cell r="E3">
            <v>-13846.76</v>
          </cell>
          <cell r="F3">
            <v>-13846.76</v>
          </cell>
        </row>
        <row r="4">
          <cell r="A4">
            <v>106800</v>
          </cell>
          <cell r="B4" t="str">
            <v>Autres réserves</v>
          </cell>
          <cell r="C4">
            <v>2820</v>
          </cell>
          <cell r="D4" t="str">
            <v>A120</v>
          </cell>
          <cell r="E4">
            <v>-262894.84000000003</v>
          </cell>
          <cell r="F4">
            <v>-262894.84000000003</v>
          </cell>
        </row>
        <row r="5">
          <cell r="A5">
            <v>119000</v>
          </cell>
          <cell r="B5" t="str">
            <v>REPORT AN DEBITEUR</v>
          </cell>
          <cell r="C5">
            <v>2880</v>
          </cell>
          <cell r="D5" t="str">
            <v>A120</v>
          </cell>
          <cell r="E5">
            <v>463218.02</v>
          </cell>
          <cell r="F5">
            <v>463218.02</v>
          </cell>
        </row>
        <row r="6">
          <cell r="A6">
            <v>120000</v>
          </cell>
          <cell r="B6" t="str">
            <v>Résultat exercice BENEFICE</v>
          </cell>
          <cell r="C6">
            <v>2820</v>
          </cell>
          <cell r="D6" t="str">
            <v>A120</v>
          </cell>
          <cell r="E6">
            <v>0</v>
          </cell>
          <cell r="F6">
            <v>0</v>
          </cell>
        </row>
        <row r="7">
          <cell r="A7">
            <v>129000</v>
          </cell>
          <cell r="B7" t="str">
            <v>RESULTATS EXERCICE PERTES</v>
          </cell>
          <cell r="C7">
            <v>2820</v>
          </cell>
          <cell r="D7" t="str">
            <v>A120</v>
          </cell>
          <cell r="E7">
            <v>0</v>
          </cell>
          <cell r="F7">
            <v>0</v>
          </cell>
        </row>
        <row r="8">
          <cell r="A8">
            <v>151000</v>
          </cell>
          <cell r="B8" t="str">
            <v>Provision pour garantie</v>
          </cell>
          <cell r="C8">
            <v>2620</v>
          </cell>
          <cell r="D8" t="str">
            <v>A117</v>
          </cell>
          <cell r="E8">
            <v>-12400</v>
          </cell>
          <cell r="F8">
            <v>-12400</v>
          </cell>
        </row>
        <row r="9">
          <cell r="A9">
            <v>151100</v>
          </cell>
          <cell r="B9" t="str">
            <v>Provision pour litige</v>
          </cell>
          <cell r="C9">
            <v>2650</v>
          </cell>
          <cell r="D9" t="str">
            <v>A117</v>
          </cell>
          <cell r="E9" t="e">
            <v>#N/A</v>
          </cell>
          <cell r="F9">
            <v>0</v>
          </cell>
        </row>
        <row r="10">
          <cell r="A10">
            <v>151500</v>
          </cell>
          <cell r="B10" t="str">
            <v>PROV POUR ECART DE CHANGE</v>
          </cell>
          <cell r="C10">
            <v>2650</v>
          </cell>
          <cell r="D10" t="str">
            <v>A117</v>
          </cell>
          <cell r="E10">
            <v>-118.62</v>
          </cell>
          <cell r="F10">
            <v>-118.62</v>
          </cell>
        </row>
        <row r="11">
          <cell r="A11">
            <v>151810</v>
          </cell>
          <cell r="B11" t="str">
            <v>PROVISION POUR RISQUES DIVERS</v>
          </cell>
          <cell r="C11">
            <v>2650</v>
          </cell>
          <cell r="D11" t="str">
            <v>A117</v>
          </cell>
          <cell r="E11">
            <v>0</v>
          </cell>
          <cell r="F11">
            <v>0</v>
          </cell>
        </row>
        <row r="12">
          <cell r="A12">
            <v>171000</v>
          </cell>
          <cell r="B12" t="str">
            <v>Emprunt Komax AG</v>
          </cell>
          <cell r="C12" t="str">
            <v>2505IC</v>
          </cell>
          <cell r="D12" t="str">
            <v>A116</v>
          </cell>
          <cell r="E12" t="e">
            <v>#N/A</v>
          </cell>
          <cell r="F12">
            <v>0</v>
          </cell>
        </row>
        <row r="13">
          <cell r="A13">
            <v>171100</v>
          </cell>
          <cell r="B13" t="str">
            <v>EMPRUNT PARTICIPATIF KOMAX HOLDING</v>
          </cell>
          <cell r="C13" t="str">
            <v>2505IC</v>
          </cell>
          <cell r="D13" t="str">
            <v>A116</v>
          </cell>
          <cell r="E13">
            <v>0</v>
          </cell>
          <cell r="F13">
            <v>0</v>
          </cell>
        </row>
        <row r="14">
          <cell r="A14">
            <v>171200</v>
          </cell>
          <cell r="B14" t="str">
            <v>EMPRUNT L.T. KOMAX HOLDING</v>
          </cell>
          <cell r="C14" t="str">
            <v>2505IC</v>
          </cell>
          <cell r="D14" t="str">
            <v>A116</v>
          </cell>
          <cell r="E14">
            <v>0</v>
          </cell>
          <cell r="F14">
            <v>0</v>
          </cell>
        </row>
        <row r="15">
          <cell r="A15">
            <v>181000</v>
          </cell>
          <cell r="B15" t="str">
            <v>Liaison inter établissement</v>
          </cell>
          <cell r="C15" t="str">
            <v>1655IC</v>
          </cell>
          <cell r="D15" t="str">
            <v>A13</v>
          </cell>
          <cell r="E15">
            <v>68382.61</v>
          </cell>
          <cell r="F15">
            <v>68382.61</v>
          </cell>
        </row>
        <row r="16">
          <cell r="A16">
            <v>186000</v>
          </cell>
          <cell r="B16" t="str">
            <v>Liaison inter établ charges</v>
          </cell>
          <cell r="C16" t="str">
            <v>1655IC</v>
          </cell>
          <cell r="D16" t="str">
            <v>A13</v>
          </cell>
          <cell r="E16">
            <v>0</v>
          </cell>
          <cell r="F16">
            <v>0</v>
          </cell>
        </row>
        <row r="17">
          <cell r="A17">
            <v>187000</v>
          </cell>
          <cell r="B17" t="str">
            <v>Liaison inter établ produits</v>
          </cell>
          <cell r="C17" t="str">
            <v>2455IC</v>
          </cell>
          <cell r="D17" t="str">
            <v>A114</v>
          </cell>
          <cell r="E17">
            <v>0</v>
          </cell>
          <cell r="F17">
            <v>0</v>
          </cell>
        </row>
        <row r="18">
          <cell r="A18">
            <v>200000</v>
          </cell>
          <cell r="B18" t="str">
            <v>IMMO CPTE DE TRANSIT</v>
          </cell>
          <cell r="C18" t="str">
            <v>1831S</v>
          </cell>
          <cell r="D18" t="str">
            <v>A17</v>
          </cell>
          <cell r="E18">
            <v>0</v>
          </cell>
          <cell r="F18">
            <v>0</v>
          </cell>
        </row>
        <row r="19">
          <cell r="A19">
            <v>201000</v>
          </cell>
          <cell r="B19" t="str">
            <v>Frais établissement</v>
          </cell>
          <cell r="C19" t="str">
            <v>1930S</v>
          </cell>
          <cell r="D19" t="str">
            <v>A18</v>
          </cell>
          <cell r="E19">
            <v>0</v>
          </cell>
          <cell r="F19">
            <v>0</v>
          </cell>
        </row>
        <row r="20">
          <cell r="A20">
            <v>207100</v>
          </cell>
          <cell r="B20" t="str">
            <v>Fonds commercial</v>
          </cell>
          <cell r="C20" t="str">
            <v>1920S</v>
          </cell>
          <cell r="D20" t="str">
            <v>A18</v>
          </cell>
          <cell r="E20">
            <v>152449.01999999999</v>
          </cell>
          <cell r="F20">
            <v>152449.01999999999</v>
          </cell>
        </row>
        <row r="21">
          <cell r="A21">
            <v>208000</v>
          </cell>
          <cell r="B21" t="str">
            <v>Logiciel informatique</v>
          </cell>
          <cell r="C21" t="str">
            <v>1910S</v>
          </cell>
          <cell r="D21" t="str">
            <v>A18</v>
          </cell>
          <cell r="E21">
            <v>25911.759999999998</v>
          </cell>
          <cell r="F21">
            <v>25911.759999999998</v>
          </cell>
        </row>
        <row r="22">
          <cell r="A22">
            <v>208005</v>
          </cell>
          <cell r="B22" t="str">
            <v>Logiciel informatique&lt;1200</v>
          </cell>
          <cell r="C22" t="str">
            <v>1910S</v>
          </cell>
          <cell r="D22" t="str">
            <v>A18</v>
          </cell>
          <cell r="E22">
            <v>1126.9100000000001</v>
          </cell>
          <cell r="F22">
            <v>1126.9100000000001</v>
          </cell>
        </row>
        <row r="23">
          <cell r="A23">
            <v>215400</v>
          </cell>
          <cell r="B23" t="str">
            <v>Mat et out industriel</v>
          </cell>
          <cell r="C23" t="str">
            <v>1810S</v>
          </cell>
          <cell r="D23" t="str">
            <v>A17</v>
          </cell>
          <cell r="E23">
            <v>37409.839999999997</v>
          </cell>
          <cell r="F23">
            <v>37409.839999999997</v>
          </cell>
        </row>
        <row r="24">
          <cell r="A24">
            <v>215405</v>
          </cell>
          <cell r="B24" t="str">
            <v>Mat et out industriel &lt;2000</v>
          </cell>
          <cell r="C24" t="str">
            <v>1810S</v>
          </cell>
          <cell r="D24" t="str">
            <v>A17</v>
          </cell>
          <cell r="E24">
            <v>1006.93</v>
          </cell>
          <cell r="F24">
            <v>1006.93</v>
          </cell>
        </row>
        <row r="25">
          <cell r="A25">
            <v>218100</v>
          </cell>
          <cell r="B25" t="str">
            <v>Agencements bureaux</v>
          </cell>
          <cell r="C25" t="str">
            <v>1831S</v>
          </cell>
          <cell r="D25" t="str">
            <v>A17</v>
          </cell>
          <cell r="E25">
            <v>44872.26</v>
          </cell>
          <cell r="F25">
            <v>44872.26</v>
          </cell>
        </row>
        <row r="26">
          <cell r="A26">
            <v>218105</v>
          </cell>
          <cell r="B26" t="str">
            <v>AGENCEMENTS BUREAUX &lt; 1200 EUROS</v>
          </cell>
          <cell r="C26" t="str">
            <v>1831S</v>
          </cell>
          <cell r="D26" t="str">
            <v>A17</v>
          </cell>
          <cell r="E26">
            <v>3041.38</v>
          </cell>
          <cell r="F26">
            <v>3041.38</v>
          </cell>
        </row>
        <row r="27">
          <cell r="A27">
            <v>218200</v>
          </cell>
          <cell r="B27" t="str">
            <v>Véhicules</v>
          </cell>
          <cell r="C27" t="str">
            <v>1825S</v>
          </cell>
          <cell r="D27" t="str">
            <v>A17</v>
          </cell>
          <cell r="E27">
            <v>0</v>
          </cell>
          <cell r="F27">
            <v>0</v>
          </cell>
        </row>
        <row r="28">
          <cell r="A28">
            <v>218300</v>
          </cell>
          <cell r="B28" t="str">
            <v>Mar bureau infomatique</v>
          </cell>
          <cell r="C28" t="str">
            <v>1835S</v>
          </cell>
          <cell r="D28" t="str">
            <v>A17</v>
          </cell>
          <cell r="E28">
            <v>2808.05</v>
          </cell>
          <cell r="F28">
            <v>2808.05</v>
          </cell>
        </row>
        <row r="29">
          <cell r="A29">
            <v>218305</v>
          </cell>
          <cell r="B29" t="str">
            <v>MAT BUREAU ET INFORMATIQUE &lt; 1200 E</v>
          </cell>
          <cell r="C29" t="str">
            <v>1835S</v>
          </cell>
          <cell r="D29" t="str">
            <v>A17</v>
          </cell>
          <cell r="E29">
            <v>1532.45</v>
          </cell>
          <cell r="F29">
            <v>1532.45</v>
          </cell>
        </row>
        <row r="30">
          <cell r="A30">
            <v>218310</v>
          </cell>
          <cell r="B30" t="str">
            <v>MATERIEL INFORMATIQUE</v>
          </cell>
          <cell r="C30" t="str">
            <v>1835S</v>
          </cell>
          <cell r="D30" t="str">
            <v>A17</v>
          </cell>
          <cell r="E30">
            <v>36882.99</v>
          </cell>
          <cell r="F30">
            <v>36882.99</v>
          </cell>
        </row>
        <row r="31">
          <cell r="A31">
            <v>218315</v>
          </cell>
          <cell r="B31" t="str">
            <v>MATERIEL INFORMATIQUE &lt; 1200 EUROS</v>
          </cell>
          <cell r="C31" t="str">
            <v>1835S</v>
          </cell>
          <cell r="D31" t="str">
            <v>A17</v>
          </cell>
          <cell r="E31">
            <v>2480.04</v>
          </cell>
          <cell r="F31">
            <v>2480.04</v>
          </cell>
        </row>
        <row r="32">
          <cell r="A32">
            <v>218400</v>
          </cell>
          <cell r="B32" t="str">
            <v>Mobilier</v>
          </cell>
          <cell r="C32" t="str">
            <v>1830S</v>
          </cell>
          <cell r="D32" t="str">
            <v>A17</v>
          </cell>
          <cell r="E32">
            <v>25600.2</v>
          </cell>
          <cell r="F32">
            <v>25600.2</v>
          </cell>
        </row>
        <row r="33">
          <cell r="A33">
            <v>261500</v>
          </cell>
          <cell r="B33" t="str">
            <v>Titres de participation</v>
          </cell>
          <cell r="C33" t="str">
            <v>1705IC</v>
          </cell>
          <cell r="D33" t="str">
            <v>A19</v>
          </cell>
          <cell r="E33">
            <v>99.09</v>
          </cell>
          <cell r="F33">
            <v>99.09</v>
          </cell>
        </row>
        <row r="34">
          <cell r="A34">
            <v>275100</v>
          </cell>
          <cell r="B34" t="str">
            <v>Dépôts et cautionnement</v>
          </cell>
          <cell r="C34">
            <v>1950</v>
          </cell>
          <cell r="D34" t="str">
            <v>A19</v>
          </cell>
          <cell r="E34">
            <v>20710.169999999998</v>
          </cell>
          <cell r="F34">
            <v>20710.169999999998</v>
          </cell>
        </row>
        <row r="35">
          <cell r="A35">
            <v>280100</v>
          </cell>
          <cell r="B35" t="str">
            <v>Amort frais établissement</v>
          </cell>
          <cell r="C35">
            <v>1900</v>
          </cell>
          <cell r="D35" t="str">
            <v>A18</v>
          </cell>
          <cell r="E35">
            <v>0</v>
          </cell>
          <cell r="F35">
            <v>0</v>
          </cell>
        </row>
        <row r="36">
          <cell r="A36">
            <v>280800</v>
          </cell>
          <cell r="B36" t="str">
            <v>Amorts logiciels</v>
          </cell>
          <cell r="C36">
            <v>1900</v>
          </cell>
          <cell r="D36" t="str">
            <v>A18</v>
          </cell>
          <cell r="E36">
            <v>-25911.759999999998</v>
          </cell>
          <cell r="F36">
            <v>-25911.759999999998</v>
          </cell>
        </row>
        <row r="37">
          <cell r="A37">
            <v>280805</v>
          </cell>
          <cell r="B37" t="str">
            <v>AMORT LOGICIELS &lt; 1200 EUROS</v>
          </cell>
          <cell r="C37">
            <v>1900</v>
          </cell>
          <cell r="D37" t="str">
            <v>A18</v>
          </cell>
          <cell r="E37">
            <v>-459.18</v>
          </cell>
          <cell r="F37">
            <v>-459.18</v>
          </cell>
        </row>
        <row r="38">
          <cell r="A38">
            <v>281540</v>
          </cell>
          <cell r="B38" t="str">
            <v>Amort mat et out indust</v>
          </cell>
          <cell r="C38">
            <v>1800</v>
          </cell>
          <cell r="D38" t="str">
            <v>A17</v>
          </cell>
          <cell r="E38">
            <v>-31317.49</v>
          </cell>
          <cell r="F38">
            <v>-31317.49</v>
          </cell>
        </row>
        <row r="39">
          <cell r="A39">
            <v>281545</v>
          </cell>
          <cell r="B39" t="str">
            <v>AMORT MAT ET OUT &lt; 2000 CHF</v>
          </cell>
          <cell r="C39">
            <v>1800</v>
          </cell>
          <cell r="D39" t="str">
            <v>A17</v>
          </cell>
          <cell r="E39">
            <v>-755.2</v>
          </cell>
          <cell r="F39">
            <v>-755.2</v>
          </cell>
        </row>
        <row r="40">
          <cell r="A40">
            <v>281810</v>
          </cell>
          <cell r="B40" t="str">
            <v>Amort agencements bureau</v>
          </cell>
          <cell r="C40">
            <v>1800</v>
          </cell>
          <cell r="D40" t="str">
            <v>A17</v>
          </cell>
          <cell r="E40">
            <v>-31735.919999999998</v>
          </cell>
          <cell r="F40">
            <v>-31735.919999999998</v>
          </cell>
        </row>
        <row r="41">
          <cell r="A41">
            <v>281815</v>
          </cell>
          <cell r="B41" t="str">
            <v>AMORT INST AGEN DIVERS &lt; 1200 EUR</v>
          </cell>
          <cell r="C41">
            <v>1800</v>
          </cell>
          <cell r="D41" t="str">
            <v>A17</v>
          </cell>
          <cell r="E41">
            <v>-574.65</v>
          </cell>
          <cell r="F41">
            <v>-574.65</v>
          </cell>
        </row>
        <row r="42">
          <cell r="A42">
            <v>281820</v>
          </cell>
          <cell r="B42" t="str">
            <v>Amort véhicules</v>
          </cell>
          <cell r="C42">
            <v>1800</v>
          </cell>
          <cell r="D42" t="str">
            <v>A17</v>
          </cell>
          <cell r="E42" t="e">
            <v>#N/A</v>
          </cell>
          <cell r="F42">
            <v>0</v>
          </cell>
        </row>
        <row r="43">
          <cell r="A43">
            <v>281830</v>
          </cell>
          <cell r="B43" t="str">
            <v>Amort mat bureau infor</v>
          </cell>
          <cell r="C43">
            <v>1800</v>
          </cell>
          <cell r="D43" t="str">
            <v>A17</v>
          </cell>
          <cell r="E43">
            <v>-2773.64</v>
          </cell>
          <cell r="F43">
            <v>-2773.64</v>
          </cell>
        </row>
        <row r="44">
          <cell r="A44">
            <v>281831</v>
          </cell>
          <cell r="B44" t="str">
            <v>AMORT MATERIEL INFORMATIQUE</v>
          </cell>
          <cell r="C44">
            <v>1800</v>
          </cell>
          <cell r="D44" t="str">
            <v>A17</v>
          </cell>
          <cell r="E44">
            <v>-18323.060000000001</v>
          </cell>
          <cell r="F44">
            <v>-18323.060000000001</v>
          </cell>
        </row>
        <row r="45">
          <cell r="A45">
            <v>281835</v>
          </cell>
          <cell r="B45" t="str">
            <v>AMORT MAT DE BUREAU &lt; 1200 EUROS</v>
          </cell>
          <cell r="C45">
            <v>1800</v>
          </cell>
          <cell r="D45" t="str">
            <v>A17</v>
          </cell>
          <cell r="E45">
            <v>-523.46</v>
          </cell>
          <cell r="F45">
            <v>-523.46</v>
          </cell>
        </row>
        <row r="46">
          <cell r="A46">
            <v>281836</v>
          </cell>
          <cell r="B46" t="str">
            <v>AMORT MAT INFORMATIQUE &lt; 1200 EUROS</v>
          </cell>
          <cell r="C46">
            <v>1800</v>
          </cell>
          <cell r="D46" t="str">
            <v>A17</v>
          </cell>
          <cell r="E46">
            <v>-1347.87</v>
          </cell>
          <cell r="F46">
            <v>-1347.87</v>
          </cell>
        </row>
        <row r="47">
          <cell r="A47">
            <v>281840</v>
          </cell>
          <cell r="B47" t="str">
            <v>Amort mobilier</v>
          </cell>
          <cell r="C47">
            <v>1800</v>
          </cell>
          <cell r="D47" t="str">
            <v>A17</v>
          </cell>
          <cell r="E47">
            <v>-17958.46</v>
          </cell>
          <cell r="F47">
            <v>-17958.46</v>
          </cell>
        </row>
        <row r="48">
          <cell r="A48">
            <v>371000</v>
          </cell>
          <cell r="B48" t="str">
            <v>Stock Marchandise</v>
          </cell>
          <cell r="C48">
            <v>1500</v>
          </cell>
          <cell r="D48" t="str">
            <v>A14</v>
          </cell>
          <cell r="E48" t="e">
            <v>#N/A</v>
          </cell>
          <cell r="F48">
            <v>0</v>
          </cell>
        </row>
        <row r="49">
          <cell r="A49">
            <v>371100</v>
          </cell>
          <cell r="B49" t="str">
            <v>Cut &amp; Strip</v>
          </cell>
          <cell r="C49">
            <v>15031</v>
          </cell>
          <cell r="D49" t="str">
            <v>A14</v>
          </cell>
          <cell r="E49">
            <v>33195</v>
          </cell>
          <cell r="F49">
            <v>33195</v>
          </cell>
        </row>
        <row r="50">
          <cell r="A50">
            <v>371400</v>
          </cell>
          <cell r="B50" t="str">
            <v>Cut &amp; Strip Demo</v>
          </cell>
          <cell r="C50">
            <v>15041</v>
          </cell>
          <cell r="D50" t="str">
            <v>A14</v>
          </cell>
          <cell r="E50">
            <v>10195</v>
          </cell>
          <cell r="F50">
            <v>10195</v>
          </cell>
        </row>
        <row r="51">
          <cell r="A51">
            <v>372100</v>
          </cell>
          <cell r="B51" t="str">
            <v>Crimp to Crimp</v>
          </cell>
          <cell r="C51">
            <v>15032</v>
          </cell>
          <cell r="D51" t="str">
            <v>A14</v>
          </cell>
          <cell r="E51">
            <v>54045</v>
          </cell>
          <cell r="F51">
            <v>54045</v>
          </cell>
        </row>
        <row r="52">
          <cell r="A52">
            <v>372400</v>
          </cell>
          <cell r="B52" t="str">
            <v>CRIMP TO CRIMP DEMO</v>
          </cell>
          <cell r="C52">
            <v>15042</v>
          </cell>
          <cell r="D52" t="str">
            <v>A14</v>
          </cell>
          <cell r="E52" t="e">
            <v>#N/A</v>
          </cell>
          <cell r="F52">
            <v>0</v>
          </cell>
        </row>
        <row r="53">
          <cell r="A53">
            <v>374100</v>
          </cell>
          <cell r="B53" t="str">
            <v>Accessories</v>
          </cell>
          <cell r="C53">
            <v>15034</v>
          </cell>
          <cell r="D53" t="str">
            <v>A14</v>
          </cell>
          <cell r="E53">
            <v>217738</v>
          </cell>
          <cell r="F53">
            <v>217738</v>
          </cell>
        </row>
        <row r="54">
          <cell r="A54">
            <v>374400</v>
          </cell>
          <cell r="B54" t="str">
            <v>Accessories Demo</v>
          </cell>
          <cell r="C54">
            <v>15044</v>
          </cell>
          <cell r="D54" t="str">
            <v>A14</v>
          </cell>
          <cell r="E54">
            <v>44800</v>
          </cell>
          <cell r="F54">
            <v>44800</v>
          </cell>
        </row>
        <row r="55">
          <cell r="A55">
            <v>375100</v>
          </cell>
          <cell r="B55" t="str">
            <v>Spare parts/Tooing</v>
          </cell>
          <cell r="C55">
            <v>15015</v>
          </cell>
          <cell r="D55" t="str">
            <v>A14</v>
          </cell>
          <cell r="E55">
            <v>475363</v>
          </cell>
          <cell r="F55">
            <v>475363</v>
          </cell>
        </row>
        <row r="56">
          <cell r="A56">
            <v>375400</v>
          </cell>
          <cell r="B56" t="str">
            <v>Spare parts/Tooing demo</v>
          </cell>
          <cell r="C56">
            <v>15045</v>
          </cell>
          <cell r="D56" t="str">
            <v>A14</v>
          </cell>
          <cell r="E56" t="e">
            <v>#N/A</v>
          </cell>
          <cell r="F56">
            <v>0</v>
          </cell>
        </row>
        <row r="57">
          <cell r="A57">
            <v>391000</v>
          </cell>
          <cell r="B57" t="str">
            <v>Prov pour depreciat stock</v>
          </cell>
          <cell r="C57">
            <v>1509</v>
          </cell>
          <cell r="D57" t="str">
            <v>A14</v>
          </cell>
          <cell r="E57" t="e">
            <v>#N/A</v>
          </cell>
          <cell r="F57">
            <v>0</v>
          </cell>
        </row>
        <row r="58">
          <cell r="A58">
            <v>391100</v>
          </cell>
          <cell r="B58" t="str">
            <v>Prov pour dévalor stock</v>
          </cell>
          <cell r="C58">
            <v>1509</v>
          </cell>
          <cell r="D58" t="str">
            <v>A14</v>
          </cell>
          <cell r="E58" t="e">
            <v>#N/A</v>
          </cell>
          <cell r="F58">
            <v>0</v>
          </cell>
        </row>
        <row r="59">
          <cell r="A59">
            <v>397100</v>
          </cell>
          <cell r="B59" t="str">
            <v>Prov pour dévalorisation stock</v>
          </cell>
          <cell r="C59">
            <v>1509</v>
          </cell>
          <cell r="D59" t="str">
            <v>A14</v>
          </cell>
          <cell r="E59">
            <v>-18493.150000000001</v>
          </cell>
          <cell r="F59">
            <v>-18493.150000000001</v>
          </cell>
        </row>
        <row r="60">
          <cell r="A60">
            <v>401000</v>
          </cell>
          <cell r="B60" t="str">
            <v>Collectif fournisseur FRA</v>
          </cell>
          <cell r="C60">
            <v>2100</v>
          </cell>
          <cell r="D60" t="str">
            <v>A113</v>
          </cell>
          <cell r="E60">
            <v>-14935.86</v>
          </cell>
          <cell r="F60">
            <v>-14935.86</v>
          </cell>
        </row>
        <row r="61">
          <cell r="A61">
            <v>401002</v>
          </cell>
          <cell r="B61" t="str">
            <v>Collectif fournisseur CEE</v>
          </cell>
          <cell r="C61">
            <v>2100</v>
          </cell>
          <cell r="D61" t="str">
            <v>A113</v>
          </cell>
          <cell r="E61">
            <v>-45099.32</v>
          </cell>
          <cell r="F61">
            <v>-45099.32</v>
          </cell>
        </row>
        <row r="62">
          <cell r="A62">
            <v>401009</v>
          </cell>
          <cell r="B62" t="str">
            <v>Collectif fournisseur EXP</v>
          </cell>
          <cell r="C62">
            <v>2100</v>
          </cell>
          <cell r="D62" t="str">
            <v>A113</v>
          </cell>
          <cell r="E62">
            <v>-1491.41</v>
          </cell>
          <cell r="F62">
            <v>-1491.41</v>
          </cell>
        </row>
        <row r="63">
          <cell r="A63">
            <v>401100</v>
          </cell>
          <cell r="B63" t="str">
            <v>Collectif fournisseur FG</v>
          </cell>
          <cell r="C63">
            <v>2100</v>
          </cell>
          <cell r="D63" t="str">
            <v>A113</v>
          </cell>
          <cell r="E63">
            <v>-25350.57</v>
          </cell>
          <cell r="F63">
            <v>-25350.57</v>
          </cell>
        </row>
        <row r="64">
          <cell r="A64">
            <v>401130</v>
          </cell>
          <cell r="B64" t="str">
            <v>Komax  tels Holding</v>
          </cell>
          <cell r="C64" t="str">
            <v>2165IC</v>
          </cell>
          <cell r="D64" t="str">
            <v>A114</v>
          </cell>
          <cell r="E64" t="e">
            <v>#N/A</v>
          </cell>
          <cell r="F64">
            <v>0</v>
          </cell>
        </row>
        <row r="65">
          <cell r="A65">
            <v>401200</v>
          </cell>
          <cell r="B65" t="str">
            <v>Collectif fournisseur Groupe Komax</v>
          </cell>
          <cell r="C65" t="str">
            <v>2105IC</v>
          </cell>
          <cell r="D65" t="str">
            <v>A113</v>
          </cell>
          <cell r="E65">
            <v>-133832.29</v>
          </cell>
          <cell r="F65">
            <v>-133832.29</v>
          </cell>
        </row>
        <row r="66">
          <cell r="A66">
            <v>403000</v>
          </cell>
          <cell r="B66" t="str">
            <v>Effets à payer</v>
          </cell>
          <cell r="C66">
            <v>2100</v>
          </cell>
          <cell r="D66" t="str">
            <v>A113</v>
          </cell>
          <cell r="E66">
            <v>-9653.93</v>
          </cell>
          <cell r="F66">
            <v>-9653.93</v>
          </cell>
        </row>
        <row r="67">
          <cell r="A67">
            <v>408000</v>
          </cell>
          <cell r="B67" t="str">
            <v>FOURNIS.FACT.NON PARVENUE</v>
          </cell>
          <cell r="C67">
            <v>2100</v>
          </cell>
          <cell r="D67" t="str">
            <v>A113</v>
          </cell>
          <cell r="E67">
            <v>-5198</v>
          </cell>
          <cell r="F67">
            <v>-5198</v>
          </cell>
        </row>
        <row r="68">
          <cell r="A68">
            <v>408100</v>
          </cell>
          <cell r="B68" t="str">
            <v>FNP Komax assis tels hold</v>
          </cell>
          <cell r="C68" t="str">
            <v>2455IC</v>
          </cell>
          <cell r="D68" t="str">
            <v>A114</v>
          </cell>
          <cell r="E68" t="e">
            <v>#N/A</v>
          </cell>
          <cell r="F68">
            <v>0</v>
          </cell>
        </row>
        <row r="69">
          <cell r="A69">
            <v>408140</v>
          </cell>
          <cell r="B69" t="str">
            <v>FNP Komax AG IT fees</v>
          </cell>
          <cell r="C69" t="str">
            <v>2455IC</v>
          </cell>
          <cell r="D69" t="str">
            <v>A114</v>
          </cell>
          <cell r="E69" t="e">
            <v>#N/A</v>
          </cell>
          <cell r="F69">
            <v>0</v>
          </cell>
        </row>
        <row r="70">
          <cell r="A70">
            <v>408170</v>
          </cell>
          <cell r="B70" t="str">
            <v>FNP KOMAX INTERETS HOLD</v>
          </cell>
          <cell r="C70" t="str">
            <v>2455IC</v>
          </cell>
          <cell r="D70" t="str">
            <v>A114</v>
          </cell>
          <cell r="E70" t="e">
            <v>#N/A</v>
          </cell>
          <cell r="F70">
            <v>0</v>
          </cell>
        </row>
        <row r="71">
          <cell r="A71">
            <v>408200</v>
          </cell>
          <cell r="B71" t="str">
            <v>FOURNIS.FACT.NON PARV FG</v>
          </cell>
          <cell r="C71">
            <v>2450</v>
          </cell>
          <cell r="D71" t="str">
            <v>A114</v>
          </cell>
          <cell r="E71">
            <v>-1190.52</v>
          </cell>
          <cell r="F71">
            <v>-1190.52</v>
          </cell>
        </row>
        <row r="72">
          <cell r="A72">
            <v>408250</v>
          </cell>
          <cell r="B72" t="str">
            <v>FOURNIS.FACT.NON PARV AUDIT</v>
          </cell>
          <cell r="C72" t="str">
            <v>2213S</v>
          </cell>
          <cell r="D72" t="str">
            <v>A114</v>
          </cell>
          <cell r="E72">
            <v>-4664.3999999999996</v>
          </cell>
          <cell r="F72">
            <v>-4664.3999999999996</v>
          </cell>
        </row>
        <row r="73">
          <cell r="A73">
            <v>408280</v>
          </cell>
          <cell r="B73" t="str">
            <v>FOURNIS.FACT.NON PARV CONSULTING</v>
          </cell>
          <cell r="C73" t="str">
            <v>2214S</v>
          </cell>
          <cell r="D73" t="str">
            <v>A114</v>
          </cell>
          <cell r="E73">
            <v>0</v>
          </cell>
          <cell r="F73">
            <v>0</v>
          </cell>
        </row>
        <row r="74">
          <cell r="A74">
            <v>409200</v>
          </cell>
          <cell r="B74" t="str">
            <v>ACOMPTES FOURNISSEURS KOMAX</v>
          </cell>
          <cell r="C74" t="str">
            <v>1555IC</v>
          </cell>
          <cell r="D74" t="str">
            <v>A13</v>
          </cell>
          <cell r="E74">
            <v>62406.43</v>
          </cell>
          <cell r="F74">
            <v>62406.43</v>
          </cell>
        </row>
        <row r="75">
          <cell r="A75">
            <v>409800</v>
          </cell>
          <cell r="B75" t="str">
            <v>AVO FOURN  A RECE</v>
          </cell>
          <cell r="C75">
            <v>2100</v>
          </cell>
          <cell r="D75" t="str">
            <v>A113</v>
          </cell>
          <cell r="E75">
            <v>213.98</v>
          </cell>
          <cell r="F75">
            <v>213.98</v>
          </cell>
        </row>
        <row r="76">
          <cell r="A76">
            <v>409801</v>
          </cell>
          <cell r="B76" t="str">
            <v>Avoir a rec Komax Portugal</v>
          </cell>
          <cell r="C76" t="str">
            <v>1665IC</v>
          </cell>
          <cell r="D76" t="str">
            <v>A13</v>
          </cell>
          <cell r="E76" t="e">
            <v>#N/A</v>
          </cell>
          <cell r="F76">
            <v>0</v>
          </cell>
        </row>
        <row r="77">
          <cell r="A77">
            <v>409803</v>
          </cell>
          <cell r="B77" t="str">
            <v>AVO KOMAX  A RECE</v>
          </cell>
          <cell r="C77" t="str">
            <v>2105IC</v>
          </cell>
          <cell r="D77" t="str">
            <v>A113</v>
          </cell>
          <cell r="E77" t="e">
            <v>#N/A</v>
          </cell>
          <cell r="F77">
            <v>0</v>
          </cell>
        </row>
        <row r="78">
          <cell r="A78">
            <v>409810</v>
          </cell>
          <cell r="B78" t="str">
            <v>Avoir A Recevoir FG Autres</v>
          </cell>
          <cell r="C78">
            <v>2150</v>
          </cell>
          <cell r="D78" t="str">
            <v>A114</v>
          </cell>
          <cell r="E78">
            <v>0</v>
          </cell>
          <cell r="F78">
            <v>0</v>
          </cell>
        </row>
        <row r="79">
          <cell r="A79">
            <v>411000</v>
          </cell>
          <cell r="B79" t="str">
            <v>Clients</v>
          </cell>
          <cell r="C79" t="str">
            <v>1301S</v>
          </cell>
          <cell r="D79" t="str">
            <v>A12</v>
          </cell>
          <cell r="E79">
            <v>293092.90000000002</v>
          </cell>
          <cell r="F79">
            <v>287649.28000000003</v>
          </cell>
        </row>
        <row r="80">
          <cell r="A80">
            <v>411002</v>
          </cell>
          <cell r="B80" t="str">
            <v>Clients CEE</v>
          </cell>
          <cell r="C80" t="str">
            <v>1302S</v>
          </cell>
          <cell r="D80" t="str">
            <v>A12</v>
          </cell>
          <cell r="E80">
            <v>11145.83</v>
          </cell>
          <cell r="F80">
            <v>11145.83</v>
          </cell>
        </row>
        <row r="81">
          <cell r="A81">
            <v>411005</v>
          </cell>
          <cell r="B81" t="str">
            <v>Clients Groupe GRP EXP</v>
          </cell>
          <cell r="C81" t="str">
            <v>1305IC</v>
          </cell>
          <cell r="D81" t="str">
            <v>A12</v>
          </cell>
          <cell r="E81">
            <v>142.4</v>
          </cell>
          <cell r="F81">
            <v>142.4</v>
          </cell>
        </row>
        <row r="82">
          <cell r="A82">
            <v>411009</v>
          </cell>
          <cell r="B82" t="str">
            <v>Clients EXPORT</v>
          </cell>
          <cell r="C82" t="str">
            <v>1302S</v>
          </cell>
          <cell r="D82" t="str">
            <v>A12</v>
          </cell>
          <cell r="E82">
            <v>78376.39</v>
          </cell>
          <cell r="F82">
            <v>78376.39</v>
          </cell>
        </row>
        <row r="83">
          <cell r="A83">
            <v>413101</v>
          </cell>
          <cell r="B83" t="str">
            <v xml:space="preserve">Clients effets rec </v>
          </cell>
          <cell r="C83" t="str">
            <v>1301S</v>
          </cell>
          <cell r="D83" t="str">
            <v>A12</v>
          </cell>
          <cell r="E83">
            <v>84498.33</v>
          </cell>
          <cell r="F83">
            <v>84498.33</v>
          </cell>
        </row>
        <row r="84">
          <cell r="A84">
            <v>413102</v>
          </cell>
          <cell r="B84" t="str">
            <v xml:space="preserve">Clients effets rec </v>
          </cell>
          <cell r="C84" t="str">
            <v>1301S</v>
          </cell>
          <cell r="D84" t="str">
            <v>A12</v>
          </cell>
          <cell r="E84">
            <v>35991.019999999997</v>
          </cell>
          <cell r="F84">
            <v>35991.019999999997</v>
          </cell>
        </row>
        <row r="85">
          <cell r="A85">
            <v>413103</v>
          </cell>
          <cell r="B85" t="str">
            <v xml:space="preserve">Clients effets rec </v>
          </cell>
          <cell r="C85" t="str">
            <v>1301S</v>
          </cell>
          <cell r="D85" t="str">
            <v>A12</v>
          </cell>
          <cell r="E85">
            <v>30022.6</v>
          </cell>
          <cell r="F85">
            <v>30022.6</v>
          </cell>
        </row>
        <row r="86">
          <cell r="A86">
            <v>413104</v>
          </cell>
          <cell r="B86" t="str">
            <v xml:space="preserve">Clients effets rec </v>
          </cell>
          <cell r="C86" t="str">
            <v>1301S</v>
          </cell>
          <cell r="D86" t="str">
            <v>A12</v>
          </cell>
          <cell r="E86">
            <v>0</v>
          </cell>
          <cell r="F86">
            <v>0</v>
          </cell>
        </row>
        <row r="87">
          <cell r="A87">
            <v>413105</v>
          </cell>
          <cell r="B87" t="str">
            <v xml:space="preserve">Clients effets rec </v>
          </cell>
          <cell r="C87" t="str">
            <v>1301S</v>
          </cell>
          <cell r="D87" t="str">
            <v>A12</v>
          </cell>
          <cell r="E87">
            <v>0</v>
          </cell>
          <cell r="F87">
            <v>0</v>
          </cell>
        </row>
        <row r="88">
          <cell r="A88">
            <v>413106</v>
          </cell>
          <cell r="B88" t="str">
            <v xml:space="preserve">Clients effets rec </v>
          </cell>
          <cell r="C88" t="str">
            <v>1301S</v>
          </cell>
          <cell r="D88" t="str">
            <v>A12</v>
          </cell>
          <cell r="E88">
            <v>0</v>
          </cell>
          <cell r="F88">
            <v>0</v>
          </cell>
        </row>
        <row r="89">
          <cell r="A89">
            <v>413107</v>
          </cell>
          <cell r="B89" t="str">
            <v xml:space="preserve">Clients effets rec </v>
          </cell>
          <cell r="C89" t="str">
            <v>1301S</v>
          </cell>
          <cell r="D89" t="str">
            <v>A12</v>
          </cell>
          <cell r="E89">
            <v>0</v>
          </cell>
          <cell r="F89">
            <v>0</v>
          </cell>
        </row>
        <row r="90">
          <cell r="A90">
            <v>413108</v>
          </cell>
          <cell r="B90" t="str">
            <v xml:space="preserve">Clients effets rec </v>
          </cell>
          <cell r="C90" t="str">
            <v>1301S</v>
          </cell>
          <cell r="D90" t="str">
            <v>A12</v>
          </cell>
          <cell r="E90">
            <v>0</v>
          </cell>
          <cell r="F90">
            <v>0</v>
          </cell>
        </row>
        <row r="91">
          <cell r="A91">
            <v>413109</v>
          </cell>
          <cell r="B91" t="str">
            <v xml:space="preserve">Clients effets rec </v>
          </cell>
          <cell r="C91" t="str">
            <v>1301S</v>
          </cell>
          <cell r="D91" t="str">
            <v>A12</v>
          </cell>
          <cell r="E91">
            <v>0</v>
          </cell>
          <cell r="F91">
            <v>0</v>
          </cell>
        </row>
        <row r="92">
          <cell r="A92">
            <v>413110</v>
          </cell>
          <cell r="B92" t="str">
            <v xml:space="preserve">Clients effets rec </v>
          </cell>
          <cell r="C92" t="str">
            <v>1301S</v>
          </cell>
          <cell r="D92" t="str">
            <v>A12</v>
          </cell>
          <cell r="E92">
            <v>0</v>
          </cell>
          <cell r="F92">
            <v>0</v>
          </cell>
        </row>
        <row r="93">
          <cell r="A93">
            <v>413111</v>
          </cell>
          <cell r="B93" t="str">
            <v xml:space="preserve">Clients effets rec </v>
          </cell>
          <cell r="C93" t="str">
            <v>1301S</v>
          </cell>
          <cell r="D93" t="str">
            <v>A12</v>
          </cell>
          <cell r="E93">
            <v>0</v>
          </cell>
          <cell r="F93">
            <v>0</v>
          </cell>
        </row>
        <row r="94">
          <cell r="A94">
            <v>413112</v>
          </cell>
          <cell r="B94" t="str">
            <v xml:space="preserve">Clients effets rec </v>
          </cell>
          <cell r="C94" t="str">
            <v>1301S</v>
          </cell>
          <cell r="D94" t="str">
            <v>A12</v>
          </cell>
          <cell r="E94">
            <v>7866.57</v>
          </cell>
          <cell r="F94">
            <v>7866.57</v>
          </cell>
        </row>
        <row r="95">
          <cell r="A95">
            <v>416000</v>
          </cell>
          <cell r="B95" t="str">
            <v>Clients douteux</v>
          </cell>
          <cell r="C95" t="str">
            <v>1303S</v>
          </cell>
          <cell r="D95" t="str">
            <v>A12</v>
          </cell>
          <cell r="E95">
            <v>3154.91</v>
          </cell>
          <cell r="F95">
            <v>3154.91</v>
          </cell>
        </row>
        <row r="96">
          <cell r="A96">
            <v>418100</v>
          </cell>
          <cell r="B96" t="str">
            <v>CLTS PROD NON ENCORE FACT</v>
          </cell>
          <cell r="C96">
            <v>1650</v>
          </cell>
          <cell r="D96" t="str">
            <v>A13</v>
          </cell>
          <cell r="E96" t="e">
            <v>#N/A</v>
          </cell>
          <cell r="F96">
            <v>0</v>
          </cell>
        </row>
        <row r="97">
          <cell r="A97">
            <v>418200</v>
          </cell>
          <cell r="B97" t="str">
            <v>CLIENTS FG NON ENC FACT</v>
          </cell>
          <cell r="C97">
            <v>1650</v>
          </cell>
          <cell r="D97" t="str">
            <v>A13</v>
          </cell>
          <cell r="E97">
            <v>0</v>
          </cell>
          <cell r="F97">
            <v>0</v>
          </cell>
        </row>
        <row r="98">
          <cell r="A98">
            <v>419000</v>
          </cell>
          <cell r="B98" t="str">
            <v>LIVRAISONS EN TRANSIT</v>
          </cell>
          <cell r="C98" t="str">
            <v>1665IC</v>
          </cell>
          <cell r="D98" t="str">
            <v>A13</v>
          </cell>
          <cell r="E98" t="e">
            <v>#N/A</v>
          </cell>
          <cell r="F98">
            <v>0</v>
          </cell>
        </row>
        <row r="99">
          <cell r="A99">
            <v>419100</v>
          </cell>
          <cell r="B99" t="str">
            <v>CLIENTS ACPTES S/CDE (HORS GROUPE)</v>
          </cell>
          <cell r="C99">
            <v>2180</v>
          </cell>
          <cell r="D99" t="str">
            <v>A113</v>
          </cell>
          <cell r="E99">
            <v>-5443.62</v>
          </cell>
          <cell r="F99">
            <v>0</v>
          </cell>
        </row>
        <row r="100">
          <cell r="A100">
            <v>421000</v>
          </cell>
          <cell r="B100" t="str">
            <v>Rémuner dues au personnel</v>
          </cell>
          <cell r="C100">
            <v>2150</v>
          </cell>
          <cell r="D100" t="str">
            <v>A114</v>
          </cell>
          <cell r="E100">
            <v>0</v>
          </cell>
          <cell r="F100">
            <v>0</v>
          </cell>
        </row>
        <row r="101">
          <cell r="A101">
            <v>422100</v>
          </cell>
          <cell r="B101" t="str">
            <v>COMITE D'ENTREPRISE</v>
          </cell>
          <cell r="C101">
            <v>2150</v>
          </cell>
          <cell r="D101" t="str">
            <v>A114</v>
          </cell>
          <cell r="E101">
            <v>-657.52</v>
          </cell>
          <cell r="F101">
            <v>-657.52</v>
          </cell>
        </row>
        <row r="102">
          <cell r="A102">
            <v>422200</v>
          </cell>
          <cell r="B102" t="str">
            <v>CE TICKETS CINEMA</v>
          </cell>
          <cell r="C102">
            <v>2150</v>
          </cell>
          <cell r="D102" t="str">
            <v>A114</v>
          </cell>
          <cell r="E102">
            <v>-3.25</v>
          </cell>
          <cell r="F102">
            <v>-3.25</v>
          </cell>
        </row>
        <row r="103">
          <cell r="A103">
            <v>425000</v>
          </cell>
          <cell r="B103" t="str">
            <v>PERSONN AVANCES ACOMPTES</v>
          </cell>
          <cell r="C103">
            <v>2150</v>
          </cell>
          <cell r="D103" t="str">
            <v>A114</v>
          </cell>
          <cell r="E103" t="e">
            <v>#N/A</v>
          </cell>
          <cell r="F103">
            <v>0</v>
          </cell>
        </row>
        <row r="104">
          <cell r="A104">
            <v>425012</v>
          </cell>
          <cell r="B104" t="str">
            <v>ACOMPTE SUR SALAIRE M RAYNAL</v>
          </cell>
          <cell r="C104">
            <v>2150</v>
          </cell>
          <cell r="D104" t="str">
            <v>A114</v>
          </cell>
          <cell r="E104">
            <v>0</v>
          </cell>
          <cell r="F104">
            <v>0</v>
          </cell>
        </row>
        <row r="105">
          <cell r="A105">
            <v>425101</v>
          </cell>
          <cell r="B105" t="str">
            <v>AVANCE NOTE FRAIS M GUITTON</v>
          </cell>
          <cell r="C105">
            <v>2150</v>
          </cell>
          <cell r="D105" t="str">
            <v>A114</v>
          </cell>
          <cell r="E105">
            <v>176.4</v>
          </cell>
          <cell r="F105">
            <v>176.4</v>
          </cell>
        </row>
        <row r="106">
          <cell r="A106">
            <v>425102</v>
          </cell>
          <cell r="B106" t="str">
            <v>AVANCE NOTE FRAIS LOIZON</v>
          </cell>
          <cell r="C106">
            <v>2150</v>
          </cell>
          <cell r="D106" t="str">
            <v>A114</v>
          </cell>
          <cell r="E106">
            <v>966.64</v>
          </cell>
          <cell r="F106">
            <v>966.64</v>
          </cell>
        </row>
        <row r="107">
          <cell r="A107">
            <v>425103</v>
          </cell>
          <cell r="B107" t="str">
            <v>AVANCE NOTE FRAIS HAY</v>
          </cell>
          <cell r="C107">
            <v>2150</v>
          </cell>
          <cell r="D107" t="str">
            <v>A114</v>
          </cell>
          <cell r="E107">
            <v>457.35</v>
          </cell>
          <cell r="F107">
            <v>457.35</v>
          </cell>
        </row>
        <row r="108">
          <cell r="A108">
            <v>425104</v>
          </cell>
          <cell r="B108" t="str">
            <v>AVANCE NOTE DE FRAIS HILBERT</v>
          </cell>
          <cell r="C108">
            <v>2150</v>
          </cell>
          <cell r="D108" t="str">
            <v>A114</v>
          </cell>
          <cell r="E108">
            <v>1528.49</v>
          </cell>
          <cell r="F108">
            <v>1528.49</v>
          </cell>
        </row>
        <row r="109">
          <cell r="A109">
            <v>425107</v>
          </cell>
          <cell r="B109" t="str">
            <v>AVANCE NOTE FRAIS MUZICA</v>
          </cell>
          <cell r="C109">
            <v>2150</v>
          </cell>
          <cell r="D109" t="str">
            <v>A114</v>
          </cell>
          <cell r="E109" t="e">
            <v>#N/A</v>
          </cell>
          <cell r="F109">
            <v>0</v>
          </cell>
        </row>
        <row r="110">
          <cell r="A110">
            <v>425108</v>
          </cell>
          <cell r="B110" t="str">
            <v>ACOMPTE NOTE FRAIS FRANIC</v>
          </cell>
          <cell r="C110">
            <v>2150</v>
          </cell>
          <cell r="D110" t="str">
            <v>A114</v>
          </cell>
          <cell r="E110">
            <v>1530</v>
          </cell>
          <cell r="F110">
            <v>1530</v>
          </cell>
        </row>
        <row r="111">
          <cell r="A111">
            <v>425109</v>
          </cell>
          <cell r="B111" t="str">
            <v>AVANCE NOTE FRAIS FOFANA</v>
          </cell>
          <cell r="C111">
            <v>2150</v>
          </cell>
          <cell r="D111" t="str">
            <v>A114</v>
          </cell>
          <cell r="E111">
            <v>0</v>
          </cell>
          <cell r="F111">
            <v>0</v>
          </cell>
        </row>
        <row r="112">
          <cell r="A112">
            <v>425110</v>
          </cell>
          <cell r="B112" t="str">
            <v>AVANCE NOTE FRAIS NIOL</v>
          </cell>
          <cell r="C112">
            <v>2150</v>
          </cell>
          <cell r="D112" t="str">
            <v>A114</v>
          </cell>
          <cell r="E112" t="e">
            <v>#N/A</v>
          </cell>
          <cell r="F112">
            <v>0</v>
          </cell>
        </row>
        <row r="113">
          <cell r="A113">
            <v>425111</v>
          </cell>
          <cell r="B113" t="str">
            <v>AVANCE NOTE FRAIS FAUCHERON</v>
          </cell>
          <cell r="C113">
            <v>2150</v>
          </cell>
          <cell r="D113" t="str">
            <v>A114</v>
          </cell>
          <cell r="E113">
            <v>-1264.8699999999999</v>
          </cell>
          <cell r="F113">
            <v>-1264.8699999999999</v>
          </cell>
        </row>
        <row r="114">
          <cell r="A114">
            <v>425112</v>
          </cell>
          <cell r="B114" t="str">
            <v>AVCE NF M. RAYNAL</v>
          </cell>
          <cell r="C114">
            <v>2150</v>
          </cell>
          <cell r="D114" t="str">
            <v>A114</v>
          </cell>
          <cell r="E114">
            <v>0</v>
          </cell>
          <cell r="F114">
            <v>0</v>
          </cell>
        </row>
        <row r="115">
          <cell r="A115">
            <v>425113</v>
          </cell>
          <cell r="B115" t="str">
            <v>AVCE NOTE FRAIS M CONSTANT</v>
          </cell>
          <cell r="C115">
            <v>2150</v>
          </cell>
          <cell r="D115" t="str">
            <v>A114</v>
          </cell>
          <cell r="E115" t="e">
            <v>#N/A</v>
          </cell>
          <cell r="F115">
            <v>0</v>
          </cell>
        </row>
        <row r="116">
          <cell r="A116">
            <v>425114</v>
          </cell>
          <cell r="B116" t="str">
            <v>AVANCE NF M REMY</v>
          </cell>
          <cell r="C116">
            <v>2150</v>
          </cell>
          <cell r="D116" t="str">
            <v>A114</v>
          </cell>
          <cell r="E116">
            <v>0</v>
          </cell>
          <cell r="F116">
            <v>0</v>
          </cell>
        </row>
        <row r="117">
          <cell r="A117">
            <v>425115</v>
          </cell>
          <cell r="B117" t="str">
            <v>AVANCE NF M GODWIN</v>
          </cell>
          <cell r="C117">
            <v>2150</v>
          </cell>
          <cell r="D117" t="str">
            <v>A114</v>
          </cell>
          <cell r="E117">
            <v>457.35</v>
          </cell>
          <cell r="F117">
            <v>457.35</v>
          </cell>
        </row>
        <row r="118">
          <cell r="A118">
            <v>425490</v>
          </cell>
          <cell r="B118" t="str">
            <v>Personn feurs pay cr cpte</v>
          </cell>
          <cell r="C118">
            <v>2150</v>
          </cell>
          <cell r="D118" t="str">
            <v>A114</v>
          </cell>
          <cell r="E118" t="e">
            <v>#N/A</v>
          </cell>
          <cell r="F118">
            <v>0</v>
          </cell>
        </row>
        <row r="119">
          <cell r="A119">
            <v>426000</v>
          </cell>
          <cell r="B119" t="str">
            <v>Frais déplaçement à payer</v>
          </cell>
          <cell r="C119">
            <v>2150</v>
          </cell>
          <cell r="D119" t="str">
            <v>A114</v>
          </cell>
          <cell r="E119">
            <v>-618.84</v>
          </cell>
          <cell r="F119">
            <v>-618.84</v>
          </cell>
        </row>
        <row r="120">
          <cell r="A120">
            <v>428100</v>
          </cell>
          <cell r="B120" t="str">
            <v>PROVISION BONUS</v>
          </cell>
          <cell r="C120" t="str">
            <v>2211S</v>
          </cell>
          <cell r="D120" t="str">
            <v>A114</v>
          </cell>
          <cell r="E120">
            <v>-14468</v>
          </cell>
          <cell r="F120">
            <v>-14468</v>
          </cell>
        </row>
        <row r="121">
          <cell r="A121">
            <v>428200</v>
          </cell>
          <cell r="B121" t="str">
            <v>Dettes provis pr congés</v>
          </cell>
          <cell r="C121" t="str">
            <v>2212S</v>
          </cell>
          <cell r="D121" t="str">
            <v>A114</v>
          </cell>
          <cell r="E121">
            <v>-33036</v>
          </cell>
          <cell r="F121">
            <v>-33036</v>
          </cell>
        </row>
        <row r="122">
          <cell r="A122">
            <v>428300</v>
          </cell>
          <cell r="B122" t="str">
            <v>PROVISION PR 13 MOIS</v>
          </cell>
          <cell r="C122" t="str">
            <v>2212S</v>
          </cell>
          <cell r="D122" t="str">
            <v>A114</v>
          </cell>
          <cell r="E122">
            <v>0</v>
          </cell>
          <cell r="F122">
            <v>0</v>
          </cell>
        </row>
        <row r="123">
          <cell r="A123">
            <v>428600</v>
          </cell>
          <cell r="B123" t="str">
            <v>Divers personnel à payer</v>
          </cell>
          <cell r="C123">
            <v>2150</v>
          </cell>
          <cell r="D123" t="str">
            <v>A114</v>
          </cell>
          <cell r="E123" t="e">
            <v>#N/A</v>
          </cell>
          <cell r="F123">
            <v>0</v>
          </cell>
        </row>
        <row r="124">
          <cell r="A124">
            <v>431001</v>
          </cell>
          <cell r="B124" t="str">
            <v>Urssaf 75 U</v>
          </cell>
          <cell r="C124">
            <v>2170</v>
          </cell>
          <cell r="D124" t="str">
            <v>A114</v>
          </cell>
          <cell r="E124">
            <v>-30427</v>
          </cell>
          <cell r="F124">
            <v>-30427</v>
          </cell>
        </row>
        <row r="125">
          <cell r="A125">
            <v>432000</v>
          </cell>
          <cell r="B125" t="str">
            <v>CFE CHARGES DE M NIOL P/CPTE KX AG</v>
          </cell>
          <cell r="C125">
            <v>2170</v>
          </cell>
          <cell r="D125" t="str">
            <v>A114</v>
          </cell>
          <cell r="E125">
            <v>0</v>
          </cell>
          <cell r="F125">
            <v>0</v>
          </cell>
        </row>
        <row r="126">
          <cell r="A126">
            <v>437001</v>
          </cell>
          <cell r="B126" t="str">
            <v>CGIC</v>
          </cell>
          <cell r="C126">
            <v>2170</v>
          </cell>
          <cell r="D126" t="str">
            <v>A114</v>
          </cell>
          <cell r="E126">
            <v>-24661.98</v>
          </cell>
          <cell r="F126">
            <v>-24661.98</v>
          </cell>
        </row>
        <row r="127">
          <cell r="A127">
            <v>437002</v>
          </cell>
          <cell r="B127" t="str">
            <v>CIS UNIRS</v>
          </cell>
          <cell r="C127">
            <v>2170</v>
          </cell>
          <cell r="D127" t="str">
            <v>A114</v>
          </cell>
          <cell r="E127" t="e">
            <v>#N/A</v>
          </cell>
          <cell r="F127">
            <v>0</v>
          </cell>
        </row>
        <row r="128">
          <cell r="A128">
            <v>437003</v>
          </cell>
          <cell r="B128" t="str">
            <v>GARP</v>
          </cell>
          <cell r="C128">
            <v>2170</v>
          </cell>
          <cell r="D128" t="str">
            <v>A114</v>
          </cell>
          <cell r="E128">
            <v>-3397</v>
          </cell>
          <cell r="F128">
            <v>-3397</v>
          </cell>
        </row>
        <row r="129">
          <cell r="A129">
            <v>437005</v>
          </cell>
          <cell r="B129" t="str">
            <v>GARP CHARGES DE M NIOL P/CPTE KX AG</v>
          </cell>
          <cell r="C129">
            <v>2170</v>
          </cell>
          <cell r="D129" t="str">
            <v>A114</v>
          </cell>
          <cell r="E129">
            <v>-579</v>
          </cell>
          <cell r="F129">
            <v>-579</v>
          </cell>
        </row>
        <row r="130">
          <cell r="A130">
            <v>437006</v>
          </cell>
          <cell r="B130" t="str">
            <v>CRE CHARGES DE M NIOL P/CPTE KX AG</v>
          </cell>
          <cell r="C130">
            <v>2170</v>
          </cell>
          <cell r="D130" t="str">
            <v>A114</v>
          </cell>
          <cell r="E130">
            <v>-900.66</v>
          </cell>
          <cell r="F130">
            <v>-900.66</v>
          </cell>
        </row>
        <row r="131">
          <cell r="A131">
            <v>437008</v>
          </cell>
          <cell r="B131" t="str">
            <v>Organisme tickets restau</v>
          </cell>
          <cell r="C131">
            <v>2170</v>
          </cell>
          <cell r="D131" t="str">
            <v>A114</v>
          </cell>
          <cell r="E131">
            <v>384.3</v>
          </cell>
          <cell r="F131">
            <v>384.3</v>
          </cell>
        </row>
        <row r="132">
          <cell r="A132">
            <v>437340</v>
          </cell>
          <cell r="B132" t="str">
            <v>CAPRICIEL PREVOYANCE ET MUTUELLE</v>
          </cell>
          <cell r="C132">
            <v>2170</v>
          </cell>
          <cell r="D132" t="str">
            <v>A114</v>
          </cell>
          <cell r="E132">
            <v>-4060.05</v>
          </cell>
          <cell r="F132">
            <v>-4060.05</v>
          </cell>
        </row>
        <row r="133">
          <cell r="A133">
            <v>438200</v>
          </cell>
          <cell r="B133" t="str">
            <v>Charges conges payes</v>
          </cell>
          <cell r="C133" t="str">
            <v>2212S</v>
          </cell>
          <cell r="D133" t="str">
            <v>A114</v>
          </cell>
          <cell r="E133">
            <v>-14866</v>
          </cell>
          <cell r="F133">
            <v>-14866</v>
          </cell>
        </row>
        <row r="134">
          <cell r="A134">
            <v>438300</v>
          </cell>
          <cell r="B134" t="str">
            <v>CHARGES 13 MOIS</v>
          </cell>
          <cell r="C134" t="str">
            <v>2212S</v>
          </cell>
          <cell r="D134" t="str">
            <v>A114</v>
          </cell>
          <cell r="E134">
            <v>0</v>
          </cell>
          <cell r="F134">
            <v>0</v>
          </cell>
        </row>
        <row r="135">
          <cell r="A135">
            <v>438600</v>
          </cell>
          <cell r="B135" t="str">
            <v>Autres charg social à payer</v>
          </cell>
          <cell r="C135">
            <v>2170</v>
          </cell>
          <cell r="D135" t="str">
            <v>A114</v>
          </cell>
          <cell r="E135">
            <v>-6510.6</v>
          </cell>
          <cell r="F135">
            <v>-6510.6</v>
          </cell>
        </row>
        <row r="136">
          <cell r="A136">
            <v>438610</v>
          </cell>
          <cell r="B136" t="str">
            <v>INDEM CONVENTION DE CONVE</v>
          </cell>
          <cell r="C136">
            <v>2170</v>
          </cell>
          <cell r="D136" t="str">
            <v>A114</v>
          </cell>
          <cell r="E136">
            <v>0</v>
          </cell>
          <cell r="F136">
            <v>0</v>
          </cell>
        </row>
        <row r="137">
          <cell r="A137">
            <v>438701</v>
          </cell>
          <cell r="B137" t="str">
            <v>Caisses ss indem journal</v>
          </cell>
          <cell r="C137">
            <v>2170</v>
          </cell>
          <cell r="D137" t="str">
            <v>A114</v>
          </cell>
          <cell r="E137">
            <v>-5150.13</v>
          </cell>
          <cell r="F137">
            <v>-5150.13</v>
          </cell>
        </row>
        <row r="138">
          <cell r="A138">
            <v>444000</v>
          </cell>
          <cell r="B138" t="str">
            <v>Impôts sur les bénéfices</v>
          </cell>
          <cell r="C138">
            <v>1350</v>
          </cell>
          <cell r="D138" t="str">
            <v>A13</v>
          </cell>
          <cell r="E138">
            <v>0</v>
          </cell>
          <cell r="F138">
            <v>0</v>
          </cell>
        </row>
        <row r="139">
          <cell r="A139">
            <v>445510</v>
          </cell>
          <cell r="B139" t="str">
            <v>TVA à décaisser</v>
          </cell>
          <cell r="C139">
            <v>2150</v>
          </cell>
          <cell r="D139" t="str">
            <v>A114</v>
          </cell>
          <cell r="E139">
            <v>0</v>
          </cell>
          <cell r="F139">
            <v>0</v>
          </cell>
        </row>
        <row r="140">
          <cell r="A140">
            <v>445620</v>
          </cell>
          <cell r="B140" t="str">
            <v>TVA s/immo déductible</v>
          </cell>
          <cell r="C140">
            <v>1350</v>
          </cell>
          <cell r="D140" t="str">
            <v>A13</v>
          </cell>
          <cell r="E140">
            <v>0</v>
          </cell>
          <cell r="F140">
            <v>0</v>
          </cell>
        </row>
        <row r="141">
          <cell r="A141">
            <v>445629</v>
          </cell>
          <cell r="B141" t="str">
            <v>TVA S/IMMOBILISATIONS AU TAUX DE 19</v>
          </cell>
          <cell r="C141">
            <v>2150</v>
          </cell>
          <cell r="D141" t="str">
            <v>A114</v>
          </cell>
          <cell r="E141">
            <v>0</v>
          </cell>
          <cell r="F141">
            <v>0</v>
          </cell>
        </row>
        <row r="142">
          <cell r="A142">
            <v>445660</v>
          </cell>
          <cell r="B142" t="str">
            <v>TVA sur autres biens</v>
          </cell>
          <cell r="C142">
            <v>2150</v>
          </cell>
          <cell r="D142" t="str">
            <v>A114</v>
          </cell>
          <cell r="E142">
            <v>0</v>
          </cell>
          <cell r="F142">
            <v>0</v>
          </cell>
        </row>
        <row r="143">
          <cell r="A143">
            <v>445662</v>
          </cell>
          <cell r="B143" t="str">
            <v>TVA sur autres biens CEE</v>
          </cell>
          <cell r="C143">
            <v>2150</v>
          </cell>
          <cell r="D143" t="str">
            <v>A114</v>
          </cell>
          <cell r="E143">
            <v>0</v>
          </cell>
          <cell r="F143">
            <v>0</v>
          </cell>
        </row>
        <row r="144">
          <cell r="A144">
            <v>445667</v>
          </cell>
          <cell r="B144" t="str">
            <v>Crédit TVA</v>
          </cell>
          <cell r="C144">
            <v>1350</v>
          </cell>
          <cell r="D144" t="str">
            <v>A13</v>
          </cell>
          <cell r="E144">
            <v>0</v>
          </cell>
          <cell r="F144">
            <v>0</v>
          </cell>
        </row>
        <row r="145">
          <cell r="A145">
            <v>445668</v>
          </cell>
          <cell r="B145" t="str">
            <v>TVA SUR BIENS IMPORTES</v>
          </cell>
          <cell r="C145">
            <v>1350</v>
          </cell>
          <cell r="D145" t="str">
            <v>A13</v>
          </cell>
          <cell r="E145">
            <v>0</v>
          </cell>
          <cell r="F145">
            <v>0</v>
          </cell>
        </row>
        <row r="146">
          <cell r="A146">
            <v>445669</v>
          </cell>
          <cell r="B146" t="str">
            <v>TVA S/BIENS ET SERV AU TAUX DE 19,6</v>
          </cell>
          <cell r="C146">
            <v>1350</v>
          </cell>
          <cell r="D146" t="str">
            <v>A13</v>
          </cell>
          <cell r="E146">
            <v>0</v>
          </cell>
          <cell r="F146">
            <v>0</v>
          </cell>
        </row>
        <row r="147">
          <cell r="A147">
            <v>445670</v>
          </cell>
          <cell r="B147" t="str">
            <v>TVA S/BIENS AU TAUX DE 5,5%</v>
          </cell>
          <cell r="C147">
            <v>1350</v>
          </cell>
          <cell r="D147" t="str">
            <v>A13</v>
          </cell>
          <cell r="E147">
            <v>0</v>
          </cell>
          <cell r="F147">
            <v>0</v>
          </cell>
        </row>
        <row r="148">
          <cell r="A148">
            <v>445710</v>
          </cell>
          <cell r="B148" t="str">
            <v>TVA Collectée</v>
          </cell>
          <cell r="C148">
            <v>2150</v>
          </cell>
          <cell r="D148" t="str">
            <v>A114</v>
          </cell>
          <cell r="E148">
            <v>0</v>
          </cell>
          <cell r="F148">
            <v>0</v>
          </cell>
        </row>
        <row r="149">
          <cell r="A149">
            <v>445716</v>
          </cell>
          <cell r="B149" t="str">
            <v>TVA COLLECTEE AU TAUX DE 16%</v>
          </cell>
          <cell r="C149">
            <v>2150</v>
          </cell>
          <cell r="D149" t="str">
            <v>A114</v>
          </cell>
          <cell r="E149" t="e">
            <v>#N/A</v>
          </cell>
          <cell r="F149">
            <v>0</v>
          </cell>
        </row>
        <row r="150">
          <cell r="A150">
            <v>445719</v>
          </cell>
          <cell r="B150" t="str">
            <v>TVA COLLECTÉE TAUX DE 19,6%</v>
          </cell>
          <cell r="C150">
            <v>2150</v>
          </cell>
          <cell r="D150" t="str">
            <v>A114</v>
          </cell>
          <cell r="E150">
            <v>0</v>
          </cell>
          <cell r="F150">
            <v>0</v>
          </cell>
        </row>
        <row r="151">
          <cell r="A151">
            <v>445720</v>
          </cell>
          <cell r="B151" t="str">
            <v>TVA COLLECTÉE CEE</v>
          </cell>
          <cell r="C151">
            <v>2150</v>
          </cell>
          <cell r="D151" t="str">
            <v>A114</v>
          </cell>
          <cell r="E151">
            <v>0</v>
          </cell>
          <cell r="F151">
            <v>0</v>
          </cell>
        </row>
        <row r="152">
          <cell r="A152">
            <v>445860</v>
          </cell>
          <cell r="B152" t="str">
            <v>TVA s/factures non parvenues</v>
          </cell>
          <cell r="C152">
            <v>2150</v>
          </cell>
          <cell r="D152" t="str">
            <v>A114</v>
          </cell>
          <cell r="E152">
            <v>1107.1600000000001</v>
          </cell>
          <cell r="F152">
            <v>1107.1600000000001</v>
          </cell>
        </row>
        <row r="153">
          <cell r="A153">
            <v>445862</v>
          </cell>
          <cell r="B153" t="str">
            <v>TVA S/FACT NON PARVENUE IMMO</v>
          </cell>
          <cell r="C153">
            <v>2150</v>
          </cell>
          <cell r="D153" t="str">
            <v>A114</v>
          </cell>
          <cell r="E153" t="e">
            <v>#N/A</v>
          </cell>
          <cell r="F153">
            <v>0</v>
          </cell>
        </row>
        <row r="154">
          <cell r="A154">
            <v>445870</v>
          </cell>
          <cell r="B154" t="str">
            <v>TVA s/factures à établir</v>
          </cell>
          <cell r="C154">
            <v>2150</v>
          </cell>
          <cell r="D154" t="str">
            <v>A114</v>
          </cell>
          <cell r="E154">
            <v>0</v>
          </cell>
          <cell r="F154">
            <v>0</v>
          </cell>
        </row>
        <row r="155">
          <cell r="A155">
            <v>448600</v>
          </cell>
          <cell r="B155" t="str">
            <v>ETAT CHARGES A PAYER TA/FC/EC</v>
          </cell>
          <cell r="C155" t="str">
            <v>2212S</v>
          </cell>
          <cell r="D155" t="str">
            <v>A114</v>
          </cell>
          <cell r="E155">
            <v>-810</v>
          </cell>
          <cell r="F155">
            <v>-810</v>
          </cell>
        </row>
        <row r="156">
          <cell r="A156">
            <v>448601</v>
          </cell>
          <cell r="B156" t="str">
            <v>Taxe apprentissage</v>
          </cell>
          <cell r="C156">
            <v>2170</v>
          </cell>
          <cell r="D156" t="str">
            <v>A114</v>
          </cell>
          <cell r="E156">
            <v>-2675.2</v>
          </cell>
          <cell r="F156">
            <v>-2675.2</v>
          </cell>
        </row>
        <row r="157">
          <cell r="A157">
            <v>448602</v>
          </cell>
          <cell r="B157" t="str">
            <v>Formation continue</v>
          </cell>
          <cell r="C157">
            <v>2170</v>
          </cell>
          <cell r="D157" t="str">
            <v>A114</v>
          </cell>
          <cell r="E157">
            <v>-3260</v>
          </cell>
          <cell r="F157">
            <v>-3260</v>
          </cell>
        </row>
        <row r="158">
          <cell r="A158">
            <v>448603</v>
          </cell>
          <cell r="B158" t="str">
            <v>Taxe professionnelle</v>
          </cell>
          <cell r="C158">
            <v>2150</v>
          </cell>
          <cell r="D158" t="str">
            <v>A114</v>
          </cell>
          <cell r="E158">
            <v>0</v>
          </cell>
          <cell r="F158">
            <v>0</v>
          </cell>
        </row>
        <row r="159">
          <cell r="A159">
            <v>448604</v>
          </cell>
          <cell r="B159" t="str">
            <v>Taxe sur les véhicules</v>
          </cell>
          <cell r="C159">
            <v>2150</v>
          </cell>
          <cell r="D159" t="str">
            <v>A114</v>
          </cell>
          <cell r="E159">
            <v>-1740</v>
          </cell>
          <cell r="F159">
            <v>-1740</v>
          </cell>
        </row>
        <row r="160">
          <cell r="A160">
            <v>448605</v>
          </cell>
          <cell r="B160" t="str">
            <v>Organic</v>
          </cell>
          <cell r="C160">
            <v>2150</v>
          </cell>
          <cell r="D160" t="str">
            <v>A114</v>
          </cell>
          <cell r="E160">
            <v>-3422</v>
          </cell>
          <cell r="F160">
            <v>-3422</v>
          </cell>
        </row>
        <row r="161">
          <cell r="A161">
            <v>448606</v>
          </cell>
          <cell r="B161" t="str">
            <v>Taxe effort construction</v>
          </cell>
          <cell r="C161">
            <v>2150</v>
          </cell>
          <cell r="D161" t="str">
            <v>A114</v>
          </cell>
          <cell r="E161">
            <v>-2440.9699999999998</v>
          </cell>
          <cell r="F161">
            <v>-2440.9699999999998</v>
          </cell>
        </row>
        <row r="162">
          <cell r="A162">
            <v>451170</v>
          </cell>
          <cell r="B162" t="str">
            <v>CCT Komax intérêts</v>
          </cell>
          <cell r="C162" t="str">
            <v>2155IC</v>
          </cell>
          <cell r="D162" t="str">
            <v>A114</v>
          </cell>
          <cell r="E162">
            <v>-90000</v>
          </cell>
          <cell r="F162">
            <v>-90000</v>
          </cell>
        </row>
        <row r="163">
          <cell r="A163">
            <v>451200</v>
          </cell>
          <cell r="B163" t="str">
            <v>KOMAX HOLDING EMPRUNT C.T.</v>
          </cell>
          <cell r="C163" t="str">
            <v>2505IC</v>
          </cell>
          <cell r="D163" t="str">
            <v>A116</v>
          </cell>
          <cell r="E163">
            <v>-680000</v>
          </cell>
          <cell r="F163">
            <v>-680000</v>
          </cell>
        </row>
        <row r="164">
          <cell r="A164">
            <v>451830</v>
          </cell>
          <cell r="B164" t="str">
            <v>Komax assis tels hold</v>
          </cell>
          <cell r="C164" t="str">
            <v>2165IC</v>
          </cell>
          <cell r="D164" t="str">
            <v>A114</v>
          </cell>
          <cell r="E164">
            <v>-51000</v>
          </cell>
          <cell r="F164">
            <v>-51000</v>
          </cell>
        </row>
        <row r="165">
          <cell r="A165">
            <v>451840</v>
          </cell>
          <cell r="B165" t="str">
            <v>IT Fees</v>
          </cell>
          <cell r="C165" t="str">
            <v>2155IC</v>
          </cell>
          <cell r="D165" t="str">
            <v>A114</v>
          </cell>
          <cell r="E165">
            <v>-4811</v>
          </cell>
          <cell r="F165">
            <v>-4811</v>
          </cell>
        </row>
        <row r="166">
          <cell r="A166">
            <v>455000</v>
          </cell>
          <cell r="B166" t="str">
            <v>NPU Komax Suisse</v>
          </cell>
          <cell r="C166" t="str">
            <v>2305IC</v>
          </cell>
          <cell r="D166" t="str">
            <v>A116</v>
          </cell>
          <cell r="E166">
            <v>0</v>
          </cell>
          <cell r="F166">
            <v>0</v>
          </cell>
        </row>
        <row r="167">
          <cell r="A167">
            <v>455100</v>
          </cell>
          <cell r="B167" t="str">
            <v>CCT Komax intérêts suite aug capital</v>
          </cell>
          <cell r="C167" t="str">
            <v>2155IC</v>
          </cell>
          <cell r="D167" t="str">
            <v>A114</v>
          </cell>
          <cell r="E167">
            <v>0</v>
          </cell>
          <cell r="F167">
            <v>0</v>
          </cell>
        </row>
        <row r="168">
          <cell r="A168">
            <v>467001</v>
          </cell>
          <cell r="B168" t="str">
            <v>KOMAX SUISSE</v>
          </cell>
          <cell r="C168" t="str">
            <v>1355IC</v>
          </cell>
          <cell r="D168" t="str">
            <v>A13</v>
          </cell>
          <cell r="E168">
            <v>0</v>
          </cell>
          <cell r="F168">
            <v>0</v>
          </cell>
        </row>
        <row r="169">
          <cell r="A169">
            <v>467002</v>
          </cell>
          <cell r="B169" t="str">
            <v>KOMAX MAROC</v>
          </cell>
          <cell r="C169" t="str">
            <v>1355IC</v>
          </cell>
          <cell r="D169" t="str">
            <v>A13</v>
          </cell>
          <cell r="E169" t="e">
            <v>#N/A</v>
          </cell>
          <cell r="F169">
            <v>0</v>
          </cell>
        </row>
        <row r="170">
          <cell r="A170">
            <v>468600</v>
          </cell>
          <cell r="B170" t="str">
            <v>diverses charges à payer</v>
          </cell>
          <cell r="C170">
            <v>2450</v>
          </cell>
          <cell r="D170" t="str">
            <v>A114</v>
          </cell>
          <cell r="E170">
            <v>-27.97</v>
          </cell>
          <cell r="F170">
            <v>-27.97</v>
          </cell>
        </row>
        <row r="171">
          <cell r="A171">
            <v>468700</v>
          </cell>
          <cell r="B171" t="str">
            <v>Produits à recevoir</v>
          </cell>
          <cell r="C171">
            <v>1540</v>
          </cell>
          <cell r="D171" t="str">
            <v>A13</v>
          </cell>
          <cell r="E171">
            <v>0</v>
          </cell>
          <cell r="F171">
            <v>0</v>
          </cell>
        </row>
        <row r="172">
          <cell r="A172">
            <v>471000</v>
          </cell>
          <cell r="B172" t="str">
            <v>Compte d'attente</v>
          </cell>
          <cell r="C172">
            <v>2150</v>
          </cell>
          <cell r="D172" t="str">
            <v>A114</v>
          </cell>
          <cell r="E172">
            <v>0</v>
          </cell>
          <cell r="F172">
            <v>0</v>
          </cell>
        </row>
        <row r="173">
          <cell r="A173">
            <v>471411</v>
          </cell>
          <cell r="B173" t="str">
            <v>CPTL a cptl clients</v>
          </cell>
          <cell r="C173">
            <v>9999</v>
          </cell>
          <cell r="D173">
            <v>99</v>
          </cell>
          <cell r="E173" t="e">
            <v>#N/A</v>
          </cell>
          <cell r="F173">
            <v>0</v>
          </cell>
        </row>
        <row r="174">
          <cell r="A174">
            <v>476200</v>
          </cell>
          <cell r="B174" t="str">
            <v>DIFF CONVERSION ACTIF</v>
          </cell>
          <cell r="C174">
            <v>2150</v>
          </cell>
          <cell r="D174" t="str">
            <v>A114</v>
          </cell>
          <cell r="E174">
            <v>118.62</v>
          </cell>
          <cell r="F174">
            <v>118.62</v>
          </cell>
        </row>
        <row r="175">
          <cell r="A175">
            <v>477200</v>
          </cell>
          <cell r="B175" t="str">
            <v>DIFF CONVERSION PASSIF</v>
          </cell>
          <cell r="C175">
            <v>2150</v>
          </cell>
          <cell r="D175" t="str">
            <v>A114</v>
          </cell>
          <cell r="E175">
            <v>0</v>
          </cell>
          <cell r="F175">
            <v>0</v>
          </cell>
        </row>
        <row r="176">
          <cell r="A176">
            <v>486000</v>
          </cell>
          <cell r="B176" t="str">
            <v>Charges constatés d'avance</v>
          </cell>
          <cell r="C176">
            <v>1650</v>
          </cell>
          <cell r="D176" t="str">
            <v>A13</v>
          </cell>
          <cell r="E176">
            <v>10717.47</v>
          </cell>
          <cell r="F176">
            <v>10717.47</v>
          </cell>
        </row>
        <row r="177">
          <cell r="A177">
            <v>486500</v>
          </cell>
          <cell r="B177" t="str">
            <v>CHARGES CONSTATEES D'AVANCES KOMAX</v>
          </cell>
          <cell r="C177" t="str">
            <v>1665IC</v>
          </cell>
          <cell r="D177" t="str">
            <v>A13</v>
          </cell>
          <cell r="E177">
            <v>3472.73</v>
          </cell>
          <cell r="F177">
            <v>3472.73</v>
          </cell>
        </row>
        <row r="178">
          <cell r="A178">
            <v>487000</v>
          </cell>
          <cell r="B178" t="str">
            <v>Produits constatés d'avance</v>
          </cell>
          <cell r="C178">
            <v>2450</v>
          </cell>
          <cell r="D178" t="str">
            <v>A114</v>
          </cell>
          <cell r="E178">
            <v>0</v>
          </cell>
          <cell r="F178">
            <v>0</v>
          </cell>
        </row>
        <row r="179">
          <cell r="A179">
            <v>487200</v>
          </cell>
          <cell r="B179" t="str">
            <v>Produits constatés d'avance</v>
          </cell>
          <cell r="C179" t="str">
            <v>1301S</v>
          </cell>
          <cell r="D179" t="str">
            <v>A12</v>
          </cell>
          <cell r="E179" t="e">
            <v>#N/A</v>
          </cell>
          <cell r="F179">
            <v>0</v>
          </cell>
        </row>
        <row r="180">
          <cell r="A180">
            <v>488660</v>
          </cell>
          <cell r="B180" t="str">
            <v>ABONNEMENT ASSURANCE</v>
          </cell>
          <cell r="C180">
            <v>1650</v>
          </cell>
          <cell r="D180" t="str">
            <v>A13</v>
          </cell>
          <cell r="E180" t="e">
            <v>#N/A</v>
          </cell>
          <cell r="F180">
            <v>0</v>
          </cell>
        </row>
        <row r="181">
          <cell r="A181">
            <v>491000</v>
          </cell>
          <cell r="B181" t="str">
            <v>Prov pour créances douteuses</v>
          </cell>
          <cell r="C181">
            <v>1309</v>
          </cell>
          <cell r="D181" t="str">
            <v>A12</v>
          </cell>
          <cell r="E181">
            <v>-2637.91</v>
          </cell>
          <cell r="F181">
            <v>-2637.91</v>
          </cell>
        </row>
        <row r="182">
          <cell r="A182">
            <v>507020</v>
          </cell>
          <cell r="B182" t="str">
            <v>MONEPLUS SOCIETE GENERALE</v>
          </cell>
          <cell r="C182">
            <v>1020</v>
          </cell>
          <cell r="D182" t="str">
            <v>A11</v>
          </cell>
          <cell r="E182">
            <v>114865.44</v>
          </cell>
          <cell r="F182">
            <v>114865.44</v>
          </cell>
        </row>
        <row r="183">
          <cell r="A183">
            <v>507110</v>
          </cell>
          <cell r="B183" t="str">
            <v>SICAV  BPC</v>
          </cell>
          <cell r="C183">
            <v>1020</v>
          </cell>
          <cell r="D183" t="str">
            <v>A11</v>
          </cell>
          <cell r="E183" t="e">
            <v>#N/A</v>
          </cell>
          <cell r="F183">
            <v>0</v>
          </cell>
        </row>
        <row r="184">
          <cell r="A184">
            <v>507120</v>
          </cell>
          <cell r="B184" t="str">
            <v>SICAV SELECTION SECURITE BPC</v>
          </cell>
          <cell r="C184">
            <v>1020</v>
          </cell>
          <cell r="D184" t="str">
            <v>A11</v>
          </cell>
          <cell r="E184" t="e">
            <v>#N/A</v>
          </cell>
          <cell r="F184">
            <v>0</v>
          </cell>
        </row>
        <row r="185">
          <cell r="A185">
            <v>507130</v>
          </cell>
          <cell r="B185" t="str">
            <v>SICAV SELECTION MONEPRIME BPC</v>
          </cell>
          <cell r="C185">
            <v>1020</v>
          </cell>
          <cell r="D185" t="str">
            <v>A11</v>
          </cell>
          <cell r="E185" t="e">
            <v>#N/A</v>
          </cell>
          <cell r="F185">
            <v>0</v>
          </cell>
        </row>
        <row r="186">
          <cell r="A186">
            <v>507140</v>
          </cell>
          <cell r="B186" t="str">
            <v>SICAV SELECTION ENTREPRISES BPC</v>
          </cell>
          <cell r="C186">
            <v>1020</v>
          </cell>
          <cell r="D186" t="str">
            <v>A11</v>
          </cell>
          <cell r="E186">
            <v>0</v>
          </cell>
          <cell r="F186">
            <v>0</v>
          </cell>
        </row>
        <row r="187">
          <cell r="A187">
            <v>507700</v>
          </cell>
          <cell r="B187" t="str">
            <v>BNMT A LA SG</v>
          </cell>
          <cell r="C187">
            <v>1020</v>
          </cell>
          <cell r="D187" t="str">
            <v>A11</v>
          </cell>
          <cell r="E187" t="e">
            <v>#N/A</v>
          </cell>
          <cell r="F187">
            <v>0</v>
          </cell>
        </row>
        <row r="188">
          <cell r="A188">
            <v>511101</v>
          </cell>
          <cell r="B188" t="str">
            <v>Remises société générale</v>
          </cell>
          <cell r="C188">
            <v>1010</v>
          </cell>
          <cell r="D188" t="str">
            <v>A11</v>
          </cell>
          <cell r="E188">
            <v>-1038.96</v>
          </cell>
          <cell r="F188">
            <v>-1038.96</v>
          </cell>
        </row>
        <row r="189">
          <cell r="A189">
            <v>511104</v>
          </cell>
          <cell r="B189" t="str">
            <v>Remises banco popular commercial</v>
          </cell>
          <cell r="C189">
            <v>1010</v>
          </cell>
          <cell r="D189" t="str">
            <v>A11</v>
          </cell>
          <cell r="E189" t="e">
            <v>#N/A</v>
          </cell>
          <cell r="F189">
            <v>0</v>
          </cell>
        </row>
        <row r="190">
          <cell r="A190">
            <v>511105</v>
          </cell>
          <cell r="B190" t="str">
            <v>Remises banco popular commercial en EURO</v>
          </cell>
          <cell r="C190">
            <v>1010</v>
          </cell>
          <cell r="D190" t="str">
            <v>A11</v>
          </cell>
          <cell r="E190">
            <v>-1.1100000000000001</v>
          </cell>
          <cell r="F190">
            <v>-1.1100000000000001</v>
          </cell>
        </row>
        <row r="191">
          <cell r="A191">
            <v>512101</v>
          </cell>
          <cell r="B191" t="str">
            <v>Société générale</v>
          </cell>
          <cell r="C191">
            <v>1010</v>
          </cell>
          <cell r="D191" t="str">
            <v>A11</v>
          </cell>
          <cell r="E191">
            <v>137421.29</v>
          </cell>
          <cell r="F191">
            <v>137421.29</v>
          </cell>
        </row>
        <row r="192">
          <cell r="A192">
            <v>512104</v>
          </cell>
          <cell r="B192" t="str">
            <v>Banco popular commercial</v>
          </cell>
          <cell r="C192">
            <v>1010</v>
          </cell>
          <cell r="D192" t="str">
            <v>A11</v>
          </cell>
          <cell r="E192">
            <v>0</v>
          </cell>
          <cell r="F192">
            <v>0</v>
          </cell>
        </row>
        <row r="193">
          <cell r="A193">
            <v>512105</v>
          </cell>
          <cell r="B193" t="str">
            <v>Banco popular commercial en EURO</v>
          </cell>
          <cell r="C193">
            <v>1010</v>
          </cell>
          <cell r="D193" t="str">
            <v>A11</v>
          </cell>
          <cell r="E193">
            <v>36348.480000000003</v>
          </cell>
          <cell r="F193">
            <v>36348.480000000003</v>
          </cell>
        </row>
        <row r="194">
          <cell r="A194">
            <v>518600</v>
          </cell>
          <cell r="B194" t="str">
            <v>Intérets courus</v>
          </cell>
          <cell r="C194">
            <v>4100</v>
          </cell>
          <cell r="D194" t="str">
            <v>B112</v>
          </cell>
          <cell r="E194" t="e">
            <v>#N/A</v>
          </cell>
          <cell r="F194">
            <v>0</v>
          </cell>
        </row>
        <row r="195">
          <cell r="A195">
            <v>531000</v>
          </cell>
          <cell r="B195" t="str">
            <v xml:space="preserve">Caisse </v>
          </cell>
          <cell r="C195">
            <v>1010</v>
          </cell>
          <cell r="D195" t="str">
            <v>A11</v>
          </cell>
          <cell r="E195">
            <v>165.88</v>
          </cell>
          <cell r="F195">
            <v>165.88</v>
          </cell>
        </row>
        <row r="196">
          <cell r="A196">
            <v>531500</v>
          </cell>
          <cell r="B196" t="str">
            <v>Caisse devises</v>
          </cell>
          <cell r="C196">
            <v>1010</v>
          </cell>
          <cell r="D196" t="str">
            <v>A11</v>
          </cell>
          <cell r="E196">
            <v>12.03</v>
          </cell>
          <cell r="F196">
            <v>12.03</v>
          </cell>
        </row>
        <row r="197">
          <cell r="A197">
            <v>531510</v>
          </cell>
          <cell r="B197" t="str">
            <v>CAISSE ETR LITES ITALIENNES</v>
          </cell>
          <cell r="C197">
            <v>1010</v>
          </cell>
          <cell r="D197" t="str">
            <v>A11</v>
          </cell>
          <cell r="E197">
            <v>0</v>
          </cell>
          <cell r="F197">
            <v>0</v>
          </cell>
        </row>
        <row r="198">
          <cell r="A198">
            <v>531520</v>
          </cell>
          <cell r="B198" t="str">
            <v>CAISSE EN DEVISES EN DEM</v>
          </cell>
          <cell r="C198">
            <v>1010</v>
          </cell>
          <cell r="D198" t="str">
            <v>A11</v>
          </cell>
          <cell r="E198">
            <v>0</v>
          </cell>
          <cell r="F198">
            <v>0</v>
          </cell>
        </row>
        <row r="199">
          <cell r="A199">
            <v>580000</v>
          </cell>
          <cell r="B199" t="str">
            <v>VIREMENTS INTERNES</v>
          </cell>
          <cell r="C199">
            <v>1010</v>
          </cell>
          <cell r="D199" t="str">
            <v>A11</v>
          </cell>
          <cell r="E199">
            <v>0</v>
          </cell>
          <cell r="F199">
            <v>0</v>
          </cell>
        </row>
        <row r="200">
          <cell r="A200">
            <v>601800</v>
          </cell>
          <cell r="B200" t="str">
            <v>PIECES DETACHEES FABRIQUEES</v>
          </cell>
          <cell r="C200">
            <v>3000</v>
          </cell>
          <cell r="D200" t="str">
            <v>B16</v>
          </cell>
          <cell r="E200">
            <v>337.9</v>
          </cell>
          <cell r="F200">
            <v>337.9</v>
          </cell>
        </row>
        <row r="201">
          <cell r="A201">
            <v>601900</v>
          </cell>
          <cell r="B201" t="str">
            <v>FOURNITURES PRODUCTION FRANCE</v>
          </cell>
          <cell r="C201">
            <v>3000</v>
          </cell>
          <cell r="D201" t="str">
            <v>B16</v>
          </cell>
          <cell r="E201">
            <v>39387.620000000003</v>
          </cell>
          <cell r="F201">
            <v>39387.620000000003</v>
          </cell>
        </row>
        <row r="202">
          <cell r="A202">
            <v>602600</v>
          </cell>
          <cell r="B202" t="str">
            <v>Emballages perdus FR</v>
          </cell>
          <cell r="C202">
            <v>4100</v>
          </cell>
          <cell r="D202" t="str">
            <v>B112</v>
          </cell>
          <cell r="E202">
            <v>6208.41</v>
          </cell>
          <cell r="F202">
            <v>6208.41</v>
          </cell>
        </row>
        <row r="203">
          <cell r="A203">
            <v>603700</v>
          </cell>
          <cell r="B203" t="str">
            <v>Variations stocks mses</v>
          </cell>
          <cell r="C203">
            <v>3021</v>
          </cell>
          <cell r="D203" t="str">
            <v>B16</v>
          </cell>
          <cell r="E203" t="e">
            <v>#N/A</v>
          </cell>
          <cell r="F203">
            <v>0</v>
          </cell>
        </row>
        <row r="204">
          <cell r="A204">
            <v>603711</v>
          </cell>
          <cell r="B204" t="str">
            <v>VARIATION STOCK CUT ET STRIP</v>
          </cell>
          <cell r="C204">
            <v>3021</v>
          </cell>
          <cell r="D204" t="str">
            <v>B16</v>
          </cell>
          <cell r="E204">
            <v>8302</v>
          </cell>
          <cell r="F204">
            <v>8302</v>
          </cell>
        </row>
        <row r="205">
          <cell r="A205">
            <v>603714</v>
          </cell>
          <cell r="B205" t="str">
            <v>VARIATION STOCK CUT ET STIP DEMO</v>
          </cell>
          <cell r="C205">
            <v>3021</v>
          </cell>
          <cell r="D205" t="str">
            <v>B16</v>
          </cell>
          <cell r="E205">
            <v>10769</v>
          </cell>
          <cell r="F205">
            <v>10769</v>
          </cell>
        </row>
        <row r="206">
          <cell r="A206">
            <v>603721</v>
          </cell>
          <cell r="B206" t="str">
            <v>VARIATION STOCK CRIMP TO CRIMP</v>
          </cell>
          <cell r="C206">
            <v>3021</v>
          </cell>
          <cell r="D206" t="str">
            <v>B16</v>
          </cell>
          <cell r="E206">
            <v>-26336</v>
          </cell>
          <cell r="F206">
            <v>-26336</v>
          </cell>
        </row>
        <row r="207">
          <cell r="A207">
            <v>603724</v>
          </cell>
          <cell r="B207" t="str">
            <v>VARIATION STOCK CRIMP TO CRIMP DEMO</v>
          </cell>
          <cell r="C207">
            <v>3021</v>
          </cell>
          <cell r="D207" t="str">
            <v>B16</v>
          </cell>
          <cell r="E207" t="e">
            <v>#N/A</v>
          </cell>
          <cell r="F207">
            <v>0</v>
          </cell>
        </row>
        <row r="208">
          <cell r="A208">
            <v>603741</v>
          </cell>
          <cell r="B208" t="str">
            <v>VARIATION STOCK ACCESSORIES</v>
          </cell>
          <cell r="C208">
            <v>3021</v>
          </cell>
          <cell r="D208" t="str">
            <v>B16</v>
          </cell>
          <cell r="E208">
            <v>4377</v>
          </cell>
          <cell r="F208">
            <v>4377</v>
          </cell>
        </row>
        <row r="209">
          <cell r="A209">
            <v>603744</v>
          </cell>
          <cell r="B209" t="str">
            <v>VARIATIONS STOCKS ACCESSORIES DEMO</v>
          </cell>
          <cell r="C209">
            <v>3021</v>
          </cell>
          <cell r="D209" t="str">
            <v>B16</v>
          </cell>
          <cell r="E209">
            <v>-6171</v>
          </cell>
          <cell r="F209">
            <v>-6171</v>
          </cell>
        </row>
        <row r="210">
          <cell r="A210">
            <v>603751</v>
          </cell>
          <cell r="B210" t="str">
            <v>VARIATIONS STOCKS SPARE PARTS TOOIN</v>
          </cell>
          <cell r="C210">
            <v>3021</v>
          </cell>
          <cell r="D210" t="str">
            <v>B16</v>
          </cell>
          <cell r="E210">
            <v>121513</v>
          </cell>
          <cell r="F210">
            <v>121513</v>
          </cell>
        </row>
        <row r="211">
          <cell r="A211">
            <v>603754</v>
          </cell>
          <cell r="B211" t="str">
            <v>VARIATIONS STOCKS SPARE PARTS TOOIN</v>
          </cell>
          <cell r="C211">
            <v>3021</v>
          </cell>
          <cell r="D211" t="str">
            <v>B16</v>
          </cell>
          <cell r="E211" t="e">
            <v>#N/A</v>
          </cell>
          <cell r="F211">
            <v>0</v>
          </cell>
        </row>
        <row r="212">
          <cell r="A212">
            <v>604200</v>
          </cell>
          <cell r="B212" t="str">
            <v>SOUS TRAIT TECHNICIT FR</v>
          </cell>
          <cell r="C212">
            <v>3800</v>
          </cell>
          <cell r="D212" t="str">
            <v>B16</v>
          </cell>
          <cell r="E212" t="e">
            <v>#N/A</v>
          </cell>
          <cell r="F212">
            <v>0</v>
          </cell>
        </row>
        <row r="213">
          <cell r="A213">
            <v>604309</v>
          </cell>
          <cell r="B213" t="str">
            <v>INSTALLATION SOUS TRAITANCE</v>
          </cell>
          <cell r="C213">
            <v>3800</v>
          </cell>
          <cell r="D213" t="str">
            <v>B16</v>
          </cell>
          <cell r="E213" t="e">
            <v>#N/A</v>
          </cell>
          <cell r="F213">
            <v>0</v>
          </cell>
        </row>
        <row r="214">
          <cell r="A214">
            <v>604500</v>
          </cell>
          <cell r="B214" t="str">
            <v>Etudes et prestations svces</v>
          </cell>
          <cell r="C214">
            <v>3800</v>
          </cell>
          <cell r="D214" t="str">
            <v>B16</v>
          </cell>
          <cell r="E214">
            <v>289.82</v>
          </cell>
          <cell r="F214">
            <v>289.82</v>
          </cell>
        </row>
        <row r="215">
          <cell r="A215">
            <v>604505</v>
          </cell>
          <cell r="B215" t="str">
            <v>FRAIS Express ADD KOMAX AG E</v>
          </cell>
          <cell r="C215" t="str">
            <v>3800IC</v>
          </cell>
          <cell r="D215" t="str">
            <v>B16</v>
          </cell>
          <cell r="E215">
            <v>3623.9</v>
          </cell>
          <cell r="F215">
            <v>3623.9</v>
          </cell>
        </row>
        <row r="216">
          <cell r="A216">
            <v>606110</v>
          </cell>
          <cell r="B216" t="str">
            <v>Electricité</v>
          </cell>
          <cell r="C216">
            <v>4100</v>
          </cell>
          <cell r="D216" t="str">
            <v>B112</v>
          </cell>
          <cell r="E216">
            <v>3597.87</v>
          </cell>
          <cell r="F216">
            <v>3597.87</v>
          </cell>
        </row>
        <row r="217">
          <cell r="A217">
            <v>606120</v>
          </cell>
          <cell r="B217" t="str">
            <v>Eau</v>
          </cell>
          <cell r="C217">
            <v>4100</v>
          </cell>
          <cell r="D217" t="str">
            <v>B112</v>
          </cell>
          <cell r="E217">
            <v>159.27000000000001</v>
          </cell>
          <cell r="F217">
            <v>159.27000000000001</v>
          </cell>
        </row>
        <row r="218">
          <cell r="A218">
            <v>606130</v>
          </cell>
          <cell r="B218" t="str">
            <v>Gaz</v>
          </cell>
          <cell r="C218">
            <v>4100</v>
          </cell>
          <cell r="D218" t="str">
            <v>B112</v>
          </cell>
          <cell r="E218">
            <v>2604.5300000000002</v>
          </cell>
          <cell r="F218">
            <v>2604.5300000000002</v>
          </cell>
        </row>
        <row r="219">
          <cell r="A219">
            <v>606160</v>
          </cell>
          <cell r="B219" t="str">
            <v>Carbur véhicules</v>
          </cell>
          <cell r="C219">
            <v>4100</v>
          </cell>
          <cell r="D219" t="str">
            <v>B112</v>
          </cell>
          <cell r="E219" t="e">
            <v>#N/A</v>
          </cell>
          <cell r="F219">
            <v>0</v>
          </cell>
        </row>
        <row r="220">
          <cell r="A220">
            <v>606310</v>
          </cell>
          <cell r="B220" t="str">
            <v>Founitures d'entretien</v>
          </cell>
          <cell r="C220">
            <v>4100</v>
          </cell>
          <cell r="D220" t="str">
            <v>B112</v>
          </cell>
          <cell r="E220">
            <v>5222.49</v>
          </cell>
          <cell r="F220">
            <v>5222.49</v>
          </cell>
        </row>
        <row r="221">
          <cell r="A221">
            <v>606320</v>
          </cell>
          <cell r="B221" t="str">
            <v>Froutn petit équipements</v>
          </cell>
          <cell r="C221">
            <v>4100</v>
          </cell>
          <cell r="D221" t="str">
            <v>B112</v>
          </cell>
          <cell r="E221">
            <v>4603.99</v>
          </cell>
          <cell r="F221">
            <v>4603.99</v>
          </cell>
        </row>
        <row r="222">
          <cell r="A222">
            <v>606400</v>
          </cell>
          <cell r="B222" t="str">
            <v>Fournit de bureau</v>
          </cell>
          <cell r="C222">
            <v>4100</v>
          </cell>
          <cell r="D222" t="str">
            <v>B112</v>
          </cell>
          <cell r="E222">
            <v>8375.02</v>
          </cell>
          <cell r="F222">
            <v>8375.02</v>
          </cell>
        </row>
        <row r="223">
          <cell r="A223">
            <v>606450</v>
          </cell>
          <cell r="B223" t="str">
            <v>FOURNITURES BUREAU KOMAX</v>
          </cell>
          <cell r="C223" t="str">
            <v>4100IC</v>
          </cell>
          <cell r="D223" t="str">
            <v>B112</v>
          </cell>
          <cell r="E223">
            <v>765.17</v>
          </cell>
          <cell r="F223">
            <v>765.17</v>
          </cell>
        </row>
        <row r="224">
          <cell r="A224">
            <v>606500</v>
          </cell>
          <cell r="B224" t="str">
            <v>FOURNITURE INFORMATIQUE</v>
          </cell>
          <cell r="C224">
            <v>4100</v>
          </cell>
          <cell r="D224" t="str">
            <v>B112</v>
          </cell>
          <cell r="E224">
            <v>797.5</v>
          </cell>
          <cell r="F224">
            <v>797.5</v>
          </cell>
        </row>
        <row r="225">
          <cell r="A225">
            <v>607040</v>
          </cell>
          <cell r="B225" t="str">
            <v>ACHATS ACCESSOIRES FRANCE</v>
          </cell>
          <cell r="C225">
            <v>3000</v>
          </cell>
          <cell r="D225" t="str">
            <v>B16</v>
          </cell>
          <cell r="E225" t="e">
            <v>#N/A</v>
          </cell>
          <cell r="F225">
            <v>0</v>
          </cell>
        </row>
        <row r="226">
          <cell r="A226">
            <v>607200</v>
          </cell>
          <cell r="B226" t="str">
            <v>MACHINES CUT AND STRIP</v>
          </cell>
          <cell r="C226">
            <v>3000</v>
          </cell>
          <cell r="D226" t="str">
            <v>B16</v>
          </cell>
          <cell r="E226">
            <v>30.95</v>
          </cell>
          <cell r="F226">
            <v>30.95</v>
          </cell>
        </row>
        <row r="227">
          <cell r="A227">
            <v>607202</v>
          </cell>
          <cell r="B227" t="str">
            <v>MACHINES CUT AND STRIP CEE</v>
          </cell>
          <cell r="C227">
            <v>3000</v>
          </cell>
          <cell r="D227" t="str">
            <v>B16</v>
          </cell>
          <cell r="E227">
            <v>12047.02</v>
          </cell>
          <cell r="F227">
            <v>12047.02</v>
          </cell>
        </row>
        <row r="228">
          <cell r="A228">
            <v>607207</v>
          </cell>
          <cell r="B228" t="str">
            <v>MACHINES CUT AND STRIP CEE KOMAX</v>
          </cell>
          <cell r="C228" t="str">
            <v>3000IC</v>
          </cell>
          <cell r="D228" t="str">
            <v>B16</v>
          </cell>
          <cell r="E228">
            <v>51738.6</v>
          </cell>
          <cell r="F228">
            <v>51738.6</v>
          </cell>
        </row>
        <row r="229">
          <cell r="A229">
            <v>607208</v>
          </cell>
          <cell r="B229" t="str">
            <v>MACHINES CUT AND STRIP HORS CEE KOM</v>
          </cell>
          <cell r="C229" t="str">
            <v>3000IC</v>
          </cell>
          <cell r="D229" t="str">
            <v>B16</v>
          </cell>
          <cell r="E229" t="e">
            <v>#N/A</v>
          </cell>
          <cell r="F229">
            <v>0</v>
          </cell>
        </row>
        <row r="230">
          <cell r="A230">
            <v>607209</v>
          </cell>
          <cell r="B230" t="str">
            <v>MACHINES CUT AND STRIP HORS CEE</v>
          </cell>
          <cell r="C230">
            <v>3000</v>
          </cell>
          <cell r="D230" t="str">
            <v>B16</v>
          </cell>
          <cell r="E230">
            <v>9181.98</v>
          </cell>
          <cell r="F230">
            <v>9181.98</v>
          </cell>
        </row>
        <row r="231">
          <cell r="A231">
            <v>607300</v>
          </cell>
          <cell r="B231" t="str">
            <v>MACHINES CRIMP TO CRIM</v>
          </cell>
          <cell r="C231">
            <v>3000</v>
          </cell>
          <cell r="D231" t="str">
            <v>B16</v>
          </cell>
          <cell r="E231">
            <v>12341.31</v>
          </cell>
          <cell r="F231">
            <v>12341.31</v>
          </cell>
        </row>
        <row r="232">
          <cell r="A232">
            <v>607307</v>
          </cell>
          <cell r="B232" t="str">
            <v>MACHINES CRIMP TO CRIMP CEE KOMAX</v>
          </cell>
          <cell r="C232" t="str">
            <v>3000IC</v>
          </cell>
          <cell r="D232" t="str">
            <v>B16</v>
          </cell>
          <cell r="E232">
            <v>573609.81000000006</v>
          </cell>
          <cell r="F232">
            <v>573609.81000000006</v>
          </cell>
        </row>
        <row r="233">
          <cell r="A233">
            <v>607308</v>
          </cell>
          <cell r="B233" t="str">
            <v>MACHINES CRIMP TO CRIMP HORS CEE KO</v>
          </cell>
          <cell r="C233" t="str">
            <v>3000IC</v>
          </cell>
          <cell r="D233" t="str">
            <v>B16</v>
          </cell>
          <cell r="E233" t="e">
            <v>#N/A</v>
          </cell>
          <cell r="F233">
            <v>0</v>
          </cell>
        </row>
        <row r="234">
          <cell r="A234">
            <v>607390</v>
          </cell>
          <cell r="B234" t="str">
            <v>Mach à dénud Komax AG</v>
          </cell>
          <cell r="C234" t="str">
            <v>3000IC</v>
          </cell>
          <cell r="D234" t="str">
            <v>B16</v>
          </cell>
          <cell r="E234">
            <v>1943</v>
          </cell>
          <cell r="F234">
            <v>1943</v>
          </cell>
        </row>
        <row r="235">
          <cell r="A235">
            <v>607392</v>
          </cell>
          <cell r="B235" t="str">
            <v>Mach à dénud Komax Porutgal</v>
          </cell>
          <cell r="C235" t="str">
            <v>3000IC</v>
          </cell>
          <cell r="D235" t="str">
            <v>B16</v>
          </cell>
          <cell r="E235" t="e">
            <v>#N/A</v>
          </cell>
          <cell r="F235">
            <v>0</v>
          </cell>
        </row>
        <row r="236">
          <cell r="A236">
            <v>607590</v>
          </cell>
          <cell r="B236" t="str">
            <v>Stockeur ETR</v>
          </cell>
          <cell r="C236">
            <v>3000</v>
          </cell>
          <cell r="D236" t="str">
            <v>B16</v>
          </cell>
          <cell r="E236" t="e">
            <v>#N/A</v>
          </cell>
          <cell r="F236">
            <v>0</v>
          </cell>
        </row>
        <row r="237">
          <cell r="A237">
            <v>607690</v>
          </cell>
          <cell r="B237" t="str">
            <v>Presses ETR</v>
          </cell>
          <cell r="C237">
            <v>3000</v>
          </cell>
          <cell r="D237" t="str">
            <v>B16</v>
          </cell>
          <cell r="E237">
            <v>812.68</v>
          </cell>
          <cell r="F237">
            <v>812.68</v>
          </cell>
        </row>
        <row r="238">
          <cell r="A238">
            <v>607700</v>
          </cell>
          <cell r="B238" t="str">
            <v>MODULES</v>
          </cell>
          <cell r="C238">
            <v>3000</v>
          </cell>
          <cell r="D238" t="str">
            <v>B16</v>
          </cell>
          <cell r="E238">
            <v>1380</v>
          </cell>
          <cell r="F238">
            <v>1380</v>
          </cell>
        </row>
        <row r="239">
          <cell r="A239">
            <v>607702</v>
          </cell>
          <cell r="B239" t="str">
            <v>MODULES CEE</v>
          </cell>
          <cell r="C239">
            <v>3000</v>
          </cell>
          <cell r="D239" t="str">
            <v>B16</v>
          </cell>
          <cell r="E239">
            <v>285417.48</v>
          </cell>
          <cell r="F239">
            <v>285417.48</v>
          </cell>
        </row>
        <row r="240">
          <cell r="A240">
            <v>607707</v>
          </cell>
          <cell r="B240" t="str">
            <v>MODULES CEE KOMAX</v>
          </cell>
          <cell r="C240" t="str">
            <v>3000IC</v>
          </cell>
          <cell r="D240" t="str">
            <v>B16</v>
          </cell>
          <cell r="E240">
            <v>257851.12</v>
          </cell>
          <cell r="F240">
            <v>257851.12</v>
          </cell>
        </row>
        <row r="241">
          <cell r="A241">
            <v>607708</v>
          </cell>
          <cell r="B241" t="str">
            <v>MODULES HORS CEE KOMAX</v>
          </cell>
          <cell r="C241" t="str">
            <v>3000IC</v>
          </cell>
          <cell r="D241" t="str">
            <v>B16</v>
          </cell>
          <cell r="E241" t="e">
            <v>#N/A</v>
          </cell>
          <cell r="F241">
            <v>0</v>
          </cell>
        </row>
        <row r="242">
          <cell r="A242">
            <v>607800</v>
          </cell>
          <cell r="B242" t="str">
            <v>PIECES DETACHEES VENDUES</v>
          </cell>
          <cell r="C242">
            <v>3000</v>
          </cell>
          <cell r="D242" t="str">
            <v>B16</v>
          </cell>
          <cell r="E242">
            <v>2856.05</v>
          </cell>
          <cell r="F242">
            <v>2856.05</v>
          </cell>
        </row>
        <row r="243">
          <cell r="A243">
            <v>607802</v>
          </cell>
          <cell r="B243" t="str">
            <v>PIECES DETACHEES VENDUES CEE</v>
          </cell>
          <cell r="C243">
            <v>3000</v>
          </cell>
          <cell r="D243" t="str">
            <v>B16</v>
          </cell>
          <cell r="E243">
            <v>54274.03</v>
          </cell>
          <cell r="F243">
            <v>54274.03</v>
          </cell>
        </row>
        <row r="244">
          <cell r="A244">
            <v>607807</v>
          </cell>
          <cell r="B244" t="str">
            <v>PIECES DETACHEES VENDUES CEE KOMAX</v>
          </cell>
          <cell r="C244" t="str">
            <v>3000IC</v>
          </cell>
          <cell r="D244" t="str">
            <v>B16</v>
          </cell>
          <cell r="E244">
            <v>270105.7</v>
          </cell>
          <cell r="F244">
            <v>270105.7</v>
          </cell>
        </row>
        <row r="245">
          <cell r="A245">
            <v>607808</v>
          </cell>
          <cell r="B245" t="str">
            <v>PIECES DETACHEES VENDUES HORS CEE K</v>
          </cell>
          <cell r="C245" t="str">
            <v>3000IC</v>
          </cell>
          <cell r="D245" t="str">
            <v>B16</v>
          </cell>
          <cell r="E245" t="e">
            <v>#N/A</v>
          </cell>
          <cell r="F245">
            <v>0</v>
          </cell>
        </row>
        <row r="246">
          <cell r="A246">
            <v>607809</v>
          </cell>
          <cell r="B246" t="str">
            <v>PIECES DETACHEES VENDUES HORS CEE</v>
          </cell>
          <cell r="C246">
            <v>3000</v>
          </cell>
          <cell r="D246" t="str">
            <v>B16</v>
          </cell>
          <cell r="E246">
            <v>2866.8</v>
          </cell>
          <cell r="F246">
            <v>2866.8</v>
          </cell>
        </row>
        <row r="247">
          <cell r="A247">
            <v>607890</v>
          </cell>
          <cell r="B247" t="str">
            <v>Machin a enrubanner ETR</v>
          </cell>
          <cell r="C247">
            <v>3000</v>
          </cell>
          <cell r="D247" t="str">
            <v>B16</v>
          </cell>
          <cell r="E247" t="e">
            <v>#N/A</v>
          </cell>
          <cell r="F247">
            <v>0</v>
          </cell>
        </row>
        <row r="248">
          <cell r="A248">
            <v>607900</v>
          </cell>
          <cell r="B248" t="str">
            <v>Divers FR</v>
          </cell>
          <cell r="C248">
            <v>3000</v>
          </cell>
          <cell r="D248" t="str">
            <v>B16</v>
          </cell>
          <cell r="E248">
            <v>14459.11</v>
          </cell>
          <cell r="F248">
            <v>14459.11</v>
          </cell>
        </row>
        <row r="249">
          <cell r="A249">
            <v>607990</v>
          </cell>
          <cell r="B249" t="str">
            <v>Divers ETR</v>
          </cell>
          <cell r="C249">
            <v>3000</v>
          </cell>
          <cell r="D249" t="str">
            <v>B16</v>
          </cell>
          <cell r="E249">
            <v>-277.32</v>
          </cell>
          <cell r="F249">
            <v>-277.32</v>
          </cell>
        </row>
        <row r="250">
          <cell r="A250">
            <v>608100</v>
          </cell>
          <cell r="B250" t="str">
            <v>Fourn div pr prod vend</v>
          </cell>
          <cell r="C250">
            <v>3000</v>
          </cell>
          <cell r="D250" t="str">
            <v>B16</v>
          </cell>
          <cell r="E250">
            <v>402.58</v>
          </cell>
          <cell r="F250">
            <v>402.58</v>
          </cell>
        </row>
        <row r="251">
          <cell r="A251">
            <v>608200</v>
          </cell>
          <cell r="B251" t="str">
            <v>Sous trait technicit</v>
          </cell>
          <cell r="C251">
            <v>3800</v>
          </cell>
          <cell r="D251" t="str">
            <v>B16</v>
          </cell>
          <cell r="E251">
            <v>44449.5</v>
          </cell>
          <cell r="F251">
            <v>44449.5</v>
          </cell>
        </row>
        <row r="252">
          <cell r="A252">
            <v>608202</v>
          </cell>
          <cell r="B252" t="str">
            <v>SOUS TRAITANCE TECH CEE</v>
          </cell>
          <cell r="C252">
            <v>3800</v>
          </cell>
          <cell r="D252" t="str">
            <v>B16</v>
          </cell>
          <cell r="E252">
            <v>303.64</v>
          </cell>
          <cell r="F252">
            <v>303.64</v>
          </cell>
        </row>
        <row r="253">
          <cell r="A253">
            <v>608207</v>
          </cell>
          <cell r="B253" t="str">
            <v>SOUS TRAITANCE TECHN CEE KOMAX</v>
          </cell>
          <cell r="C253" t="str">
            <v>3800IC</v>
          </cell>
          <cell r="D253" t="str">
            <v>B16</v>
          </cell>
          <cell r="E253" t="e">
            <v>#N/A</v>
          </cell>
          <cell r="F253">
            <v>0</v>
          </cell>
        </row>
        <row r="254">
          <cell r="A254">
            <v>608208</v>
          </cell>
          <cell r="B254" t="str">
            <v>SOUS TRAITANCE HORS CEE KOMAX</v>
          </cell>
          <cell r="C254" t="str">
            <v>3800IC</v>
          </cell>
          <cell r="D254" t="str">
            <v>B16</v>
          </cell>
          <cell r="E254">
            <v>5001.1000000000004</v>
          </cell>
          <cell r="F254">
            <v>5001.1000000000004</v>
          </cell>
        </row>
        <row r="255">
          <cell r="A255">
            <v>608400</v>
          </cell>
          <cell r="B255" t="str">
            <v>PORT SUR ACHAT</v>
          </cell>
          <cell r="C255">
            <v>3000</v>
          </cell>
          <cell r="D255" t="str">
            <v>B16</v>
          </cell>
          <cell r="E255">
            <v>1172.54</v>
          </cell>
          <cell r="F255">
            <v>1172.54</v>
          </cell>
        </row>
        <row r="256">
          <cell r="A256">
            <v>608402</v>
          </cell>
          <cell r="B256" t="str">
            <v>PORT SUR ACHAT CEE</v>
          </cell>
          <cell r="C256">
            <v>3000</v>
          </cell>
          <cell r="D256" t="str">
            <v>B16</v>
          </cell>
          <cell r="E256">
            <v>6211.77</v>
          </cell>
          <cell r="F256">
            <v>6211.77</v>
          </cell>
        </row>
        <row r="257">
          <cell r="A257">
            <v>608407</v>
          </cell>
          <cell r="B257" t="str">
            <v>PORT SUR ACHAT CEE KOMAX</v>
          </cell>
          <cell r="C257" t="str">
            <v>3000IC</v>
          </cell>
          <cell r="D257" t="str">
            <v>B16</v>
          </cell>
          <cell r="E257">
            <v>6769.3</v>
          </cell>
          <cell r="F257">
            <v>6769.3</v>
          </cell>
        </row>
        <row r="258">
          <cell r="A258">
            <v>608408</v>
          </cell>
          <cell r="B258" t="str">
            <v>PORT SUR ACHAT HORS CEE KOMAX</v>
          </cell>
          <cell r="C258" t="str">
            <v>3000IC</v>
          </cell>
          <cell r="D258" t="str">
            <v>B16</v>
          </cell>
          <cell r="E258">
            <v>82</v>
          </cell>
          <cell r="F258">
            <v>82</v>
          </cell>
        </row>
        <row r="259">
          <cell r="A259">
            <v>608409</v>
          </cell>
          <cell r="B259" t="str">
            <v>PORT SUR ACHAT HORS CEE</v>
          </cell>
          <cell r="C259">
            <v>3000</v>
          </cell>
          <cell r="D259" t="str">
            <v>B16</v>
          </cell>
          <cell r="E259">
            <v>481</v>
          </cell>
          <cell r="F259">
            <v>481</v>
          </cell>
        </row>
        <row r="260">
          <cell r="A260">
            <v>608500</v>
          </cell>
          <cell r="B260" t="str">
            <v>EMABALLAGES S/ACHAT</v>
          </cell>
          <cell r="C260">
            <v>3000</v>
          </cell>
          <cell r="D260" t="str">
            <v>B16</v>
          </cell>
          <cell r="E260">
            <v>49.65</v>
          </cell>
          <cell r="F260">
            <v>49.65</v>
          </cell>
        </row>
        <row r="261">
          <cell r="A261">
            <v>608502</v>
          </cell>
          <cell r="B261" t="str">
            <v>EMBALLAGES S/ACHAT CEE</v>
          </cell>
          <cell r="C261">
            <v>3000</v>
          </cell>
          <cell r="D261" t="str">
            <v>B16</v>
          </cell>
          <cell r="E261">
            <v>2701.52</v>
          </cell>
          <cell r="F261">
            <v>2701.52</v>
          </cell>
        </row>
        <row r="262">
          <cell r="A262">
            <v>608507</v>
          </cell>
          <cell r="B262" t="str">
            <v>EMBALLAGES S/ACHAT CEE KOMAX</v>
          </cell>
          <cell r="C262" t="str">
            <v>3000IC</v>
          </cell>
          <cell r="D262" t="str">
            <v>B16</v>
          </cell>
          <cell r="E262">
            <v>10223.1</v>
          </cell>
          <cell r="F262">
            <v>10223.1</v>
          </cell>
        </row>
        <row r="263">
          <cell r="A263">
            <v>608508</v>
          </cell>
          <cell r="B263" t="str">
            <v>EMBALLAGE S/ACHAT HORS CEE KOMAX</v>
          </cell>
          <cell r="C263" t="str">
            <v>3000IC</v>
          </cell>
          <cell r="D263" t="str">
            <v>B16</v>
          </cell>
          <cell r="E263">
            <v>7</v>
          </cell>
          <cell r="F263">
            <v>7</v>
          </cell>
        </row>
        <row r="264">
          <cell r="A264">
            <v>608509</v>
          </cell>
          <cell r="B264" t="str">
            <v>EMBALLAGE S/ACHAT HORS CEE</v>
          </cell>
          <cell r="C264">
            <v>3000</v>
          </cell>
          <cell r="D264" t="str">
            <v>B16</v>
          </cell>
          <cell r="E264">
            <v>201.3</v>
          </cell>
          <cell r="F264">
            <v>201.3</v>
          </cell>
        </row>
        <row r="265">
          <cell r="A265">
            <v>608602</v>
          </cell>
          <cell r="B265" t="str">
            <v>ASSURANCE S/ACHAT CEE</v>
          </cell>
          <cell r="C265">
            <v>3800</v>
          </cell>
          <cell r="D265" t="str">
            <v>B16</v>
          </cell>
          <cell r="E265">
            <v>19.02</v>
          </cell>
          <cell r="F265">
            <v>19.02</v>
          </cell>
        </row>
        <row r="266">
          <cell r="A266">
            <v>608607</v>
          </cell>
          <cell r="B266" t="str">
            <v>ASSUARANCE S/ACHAT CEE KOMAX</v>
          </cell>
          <cell r="C266" t="str">
            <v>3800IC</v>
          </cell>
          <cell r="D266" t="str">
            <v>B16</v>
          </cell>
          <cell r="E266">
            <v>1326.97</v>
          </cell>
          <cell r="F266">
            <v>1326.97</v>
          </cell>
        </row>
        <row r="267">
          <cell r="A267">
            <v>608608</v>
          </cell>
          <cell r="B267" t="str">
            <v>ASSURANCE S/ACHAT HORS CEE KOMAX</v>
          </cell>
          <cell r="C267" t="str">
            <v>3800IC</v>
          </cell>
          <cell r="D267" t="str">
            <v>B16</v>
          </cell>
          <cell r="E267">
            <v>3</v>
          </cell>
          <cell r="F267">
            <v>3</v>
          </cell>
        </row>
        <row r="268">
          <cell r="A268">
            <v>608609</v>
          </cell>
          <cell r="B268" t="str">
            <v>ASSURANCE S/ACHAT HORS CEE</v>
          </cell>
          <cell r="C268">
            <v>3800</v>
          </cell>
          <cell r="D268" t="str">
            <v>B16</v>
          </cell>
          <cell r="E268">
            <v>4.7300000000000004</v>
          </cell>
          <cell r="F268">
            <v>4.7300000000000004</v>
          </cell>
        </row>
        <row r="269">
          <cell r="A269">
            <v>608700</v>
          </cell>
          <cell r="B269" t="str">
            <v>Frais acc achat divers</v>
          </cell>
          <cell r="C269">
            <v>3000</v>
          </cell>
          <cell r="D269" t="str">
            <v>B16</v>
          </cell>
          <cell r="E269">
            <v>15296.72</v>
          </cell>
          <cell r="F269">
            <v>15296.72</v>
          </cell>
        </row>
        <row r="270">
          <cell r="A270">
            <v>611100</v>
          </cell>
          <cell r="B270" t="str">
            <v>Travaux informatique</v>
          </cell>
          <cell r="C270">
            <v>3800</v>
          </cell>
          <cell r="D270" t="str">
            <v>B16</v>
          </cell>
          <cell r="E270">
            <v>2240.5</v>
          </cell>
          <cell r="F270">
            <v>2240.5</v>
          </cell>
        </row>
        <row r="271">
          <cell r="A271">
            <v>612000</v>
          </cell>
          <cell r="B271" t="str">
            <v>Credit Bail</v>
          </cell>
          <cell r="C271">
            <v>4200</v>
          </cell>
          <cell r="D271" t="str">
            <v>B112</v>
          </cell>
          <cell r="E271">
            <v>11712.24</v>
          </cell>
          <cell r="F271">
            <v>11712.24</v>
          </cell>
        </row>
        <row r="272">
          <cell r="A272">
            <v>612100</v>
          </cell>
          <cell r="B272" t="str">
            <v>CREDIT BAIL CREDIPAR 2318VG93</v>
          </cell>
          <cell r="C272">
            <v>4200</v>
          </cell>
          <cell r="D272" t="str">
            <v>B112</v>
          </cell>
          <cell r="E272">
            <v>818.97</v>
          </cell>
          <cell r="F272">
            <v>818.97</v>
          </cell>
        </row>
        <row r="273">
          <cell r="A273">
            <v>612200</v>
          </cell>
          <cell r="B273" t="str">
            <v>CREDIT BAIL DIAC 2348TX93</v>
          </cell>
          <cell r="C273">
            <v>4200</v>
          </cell>
          <cell r="D273" t="str">
            <v>B112</v>
          </cell>
          <cell r="E273" t="e">
            <v>#N/A</v>
          </cell>
          <cell r="F273">
            <v>0</v>
          </cell>
        </row>
        <row r="274">
          <cell r="A274">
            <v>612300</v>
          </cell>
          <cell r="B274" t="str">
            <v>CREDIT BAIL CREDIPAR 9962TW93</v>
          </cell>
          <cell r="C274">
            <v>4200</v>
          </cell>
          <cell r="D274" t="str">
            <v>B112</v>
          </cell>
          <cell r="E274" t="e">
            <v>#N/A</v>
          </cell>
          <cell r="F274">
            <v>0</v>
          </cell>
        </row>
        <row r="275">
          <cell r="A275">
            <v>613200</v>
          </cell>
          <cell r="B275" t="str">
            <v>Loyers</v>
          </cell>
          <cell r="C275">
            <v>4200</v>
          </cell>
          <cell r="D275" t="str">
            <v>B112</v>
          </cell>
          <cell r="E275">
            <v>86646.33</v>
          </cell>
          <cell r="F275">
            <v>86646.33</v>
          </cell>
        </row>
        <row r="276">
          <cell r="A276">
            <v>613201</v>
          </cell>
          <cell r="B276" t="str">
            <v>LOYER MAISON NIOL AU MAROC</v>
          </cell>
          <cell r="C276">
            <v>4200</v>
          </cell>
          <cell r="D276" t="str">
            <v>B112</v>
          </cell>
          <cell r="E276" t="e">
            <v>#N/A</v>
          </cell>
          <cell r="F276">
            <v>0</v>
          </cell>
        </row>
        <row r="277">
          <cell r="A277">
            <v>613205</v>
          </cell>
          <cell r="B277" t="str">
            <v>LOCATION LOGICIEL AS400</v>
          </cell>
          <cell r="C277">
            <v>4200</v>
          </cell>
          <cell r="D277" t="str">
            <v>B112</v>
          </cell>
          <cell r="E277">
            <v>1712.05</v>
          </cell>
          <cell r="F277">
            <v>1712.05</v>
          </cell>
        </row>
        <row r="278">
          <cell r="A278">
            <v>613500</v>
          </cell>
          <cell r="B278" t="str">
            <v>Loc mat de bur et inform</v>
          </cell>
          <cell r="C278">
            <v>4200</v>
          </cell>
          <cell r="D278" t="str">
            <v>B112</v>
          </cell>
          <cell r="E278">
            <v>13104.59</v>
          </cell>
          <cell r="F278">
            <v>13104.59</v>
          </cell>
        </row>
        <row r="279">
          <cell r="A279">
            <v>613510</v>
          </cell>
          <cell r="B279" t="str">
            <v>Loc véhicules</v>
          </cell>
          <cell r="C279">
            <v>4200</v>
          </cell>
          <cell r="D279" t="str">
            <v>B112</v>
          </cell>
          <cell r="E279">
            <v>35672.9</v>
          </cell>
          <cell r="F279">
            <v>35672.9</v>
          </cell>
        </row>
        <row r="280">
          <cell r="A280">
            <v>613512</v>
          </cell>
          <cell r="B280" t="str">
            <v>LOCATION VOITURE MAROC</v>
          </cell>
          <cell r="C280">
            <v>4200</v>
          </cell>
          <cell r="D280" t="str">
            <v>B112</v>
          </cell>
          <cell r="E280" t="e">
            <v>#N/A</v>
          </cell>
          <cell r="F280">
            <v>0</v>
          </cell>
        </row>
        <row r="281">
          <cell r="A281">
            <v>613520</v>
          </cell>
          <cell r="B281" t="str">
            <v>LOCATION MATERIEL</v>
          </cell>
          <cell r="C281">
            <v>4200</v>
          </cell>
          <cell r="D281" t="str">
            <v>B112</v>
          </cell>
          <cell r="E281">
            <v>19.8</v>
          </cell>
          <cell r="F281">
            <v>19.8</v>
          </cell>
        </row>
        <row r="282">
          <cell r="A282">
            <v>615110</v>
          </cell>
          <cell r="B282" t="str">
            <v>MAINTENANCE INFORMATIQUE</v>
          </cell>
          <cell r="C282">
            <v>4300</v>
          </cell>
          <cell r="D282" t="str">
            <v>B112</v>
          </cell>
          <cell r="E282">
            <v>10014.43</v>
          </cell>
          <cell r="F282">
            <v>10014.43</v>
          </cell>
        </row>
        <row r="283">
          <cell r="A283">
            <v>615120</v>
          </cell>
          <cell r="B283" t="str">
            <v>ABONNEMENT BUROPAYE</v>
          </cell>
          <cell r="C283">
            <v>4600</v>
          </cell>
          <cell r="D283" t="str">
            <v>B112</v>
          </cell>
          <cell r="E283">
            <v>0</v>
          </cell>
          <cell r="F283">
            <v>0</v>
          </cell>
        </row>
        <row r="284">
          <cell r="A284">
            <v>615200</v>
          </cell>
          <cell r="B284" t="str">
            <v>Entretien bâtiment</v>
          </cell>
          <cell r="C284">
            <v>4300</v>
          </cell>
          <cell r="D284" t="str">
            <v>B112</v>
          </cell>
          <cell r="E284">
            <v>8354</v>
          </cell>
          <cell r="F284">
            <v>8354</v>
          </cell>
        </row>
        <row r="285">
          <cell r="A285">
            <v>615500</v>
          </cell>
          <cell r="B285" t="str">
            <v>Entretien véhicules</v>
          </cell>
          <cell r="C285">
            <v>4300</v>
          </cell>
          <cell r="D285" t="str">
            <v>B112</v>
          </cell>
          <cell r="E285">
            <v>9956.57</v>
          </cell>
          <cell r="F285">
            <v>9956.57</v>
          </cell>
        </row>
        <row r="286">
          <cell r="A286">
            <v>615510</v>
          </cell>
          <cell r="B286" t="str">
            <v>Entretien mat et out</v>
          </cell>
          <cell r="C286">
            <v>4300</v>
          </cell>
          <cell r="D286" t="str">
            <v>B112</v>
          </cell>
          <cell r="E286">
            <v>329.76</v>
          </cell>
          <cell r="F286">
            <v>329.76</v>
          </cell>
        </row>
        <row r="287">
          <cell r="A287">
            <v>615520</v>
          </cell>
          <cell r="B287" t="str">
            <v>Entret mat mob de bureau</v>
          </cell>
          <cell r="C287">
            <v>4300</v>
          </cell>
          <cell r="D287" t="str">
            <v>B112</v>
          </cell>
          <cell r="E287">
            <v>928.99</v>
          </cell>
          <cell r="F287">
            <v>928.99</v>
          </cell>
        </row>
        <row r="288">
          <cell r="A288">
            <v>616100</v>
          </cell>
          <cell r="B288" t="str">
            <v>Assurances multirisque</v>
          </cell>
          <cell r="C288">
            <v>4650</v>
          </cell>
          <cell r="D288" t="str">
            <v>B112</v>
          </cell>
          <cell r="E288">
            <v>3996.17</v>
          </cell>
          <cell r="F288">
            <v>3996.17</v>
          </cell>
        </row>
        <row r="289">
          <cell r="A289">
            <v>616300</v>
          </cell>
          <cell r="B289" t="str">
            <v>ASSURANCE TRANSPORT AG</v>
          </cell>
          <cell r="C289" t="str">
            <v>3800IC</v>
          </cell>
          <cell r="D289" t="str">
            <v>B16</v>
          </cell>
          <cell r="E289">
            <v>1434.31</v>
          </cell>
          <cell r="F289">
            <v>1434.31</v>
          </cell>
        </row>
        <row r="290">
          <cell r="A290">
            <v>616380</v>
          </cell>
          <cell r="B290" t="str">
            <v>ASSURANCES VEHICULES</v>
          </cell>
          <cell r="C290">
            <v>4650</v>
          </cell>
          <cell r="D290" t="str">
            <v>B112</v>
          </cell>
          <cell r="E290" t="e">
            <v>#N/A</v>
          </cell>
          <cell r="F290">
            <v>0</v>
          </cell>
        </row>
        <row r="291">
          <cell r="A291">
            <v>616381</v>
          </cell>
          <cell r="B291" t="str">
            <v>ASSURANCES VEHICULES</v>
          </cell>
          <cell r="C291">
            <v>4650</v>
          </cell>
          <cell r="D291" t="str">
            <v>B112</v>
          </cell>
          <cell r="E291" t="e">
            <v>#N/A</v>
          </cell>
          <cell r="F291">
            <v>0</v>
          </cell>
        </row>
        <row r="292">
          <cell r="A292">
            <v>616382</v>
          </cell>
          <cell r="B292" t="str">
            <v>ASSURANCES VEHICULES</v>
          </cell>
          <cell r="C292">
            <v>4650</v>
          </cell>
          <cell r="D292" t="str">
            <v>B112</v>
          </cell>
          <cell r="E292" t="e">
            <v>#N/A</v>
          </cell>
          <cell r="F292">
            <v>0</v>
          </cell>
        </row>
        <row r="293">
          <cell r="A293">
            <v>616383</v>
          </cell>
          <cell r="B293" t="str">
            <v>ASSURANCES VEHICULES</v>
          </cell>
          <cell r="C293">
            <v>4650</v>
          </cell>
          <cell r="D293" t="str">
            <v>B112</v>
          </cell>
          <cell r="E293" t="e">
            <v>#N/A</v>
          </cell>
          <cell r="F293">
            <v>0</v>
          </cell>
        </row>
        <row r="294">
          <cell r="A294">
            <v>616384</v>
          </cell>
          <cell r="B294" t="str">
            <v>ASSURANCES VEHICULES</v>
          </cell>
          <cell r="C294">
            <v>4650</v>
          </cell>
          <cell r="D294" t="str">
            <v>B112</v>
          </cell>
          <cell r="E294">
            <v>1931.9</v>
          </cell>
          <cell r="F294">
            <v>1931.9</v>
          </cell>
        </row>
        <row r="295">
          <cell r="A295">
            <v>616385</v>
          </cell>
          <cell r="B295" t="str">
            <v>ASSURANCES VEHICULES</v>
          </cell>
          <cell r="C295">
            <v>4650</v>
          </cell>
          <cell r="D295" t="str">
            <v>B112</v>
          </cell>
          <cell r="E295">
            <v>726.64</v>
          </cell>
          <cell r="F295">
            <v>726.64</v>
          </cell>
        </row>
        <row r="296">
          <cell r="A296">
            <v>616386</v>
          </cell>
          <cell r="B296" t="str">
            <v>ASSURANCES VEHICULES</v>
          </cell>
          <cell r="C296">
            <v>4650</v>
          </cell>
          <cell r="D296" t="str">
            <v>B112</v>
          </cell>
          <cell r="E296">
            <v>737.4</v>
          </cell>
          <cell r="F296">
            <v>737.4</v>
          </cell>
        </row>
        <row r="297">
          <cell r="A297">
            <v>616387</v>
          </cell>
          <cell r="B297" t="str">
            <v>VEH G IMM 6286VW93</v>
          </cell>
          <cell r="C297">
            <v>4650</v>
          </cell>
          <cell r="D297" t="str">
            <v>B112</v>
          </cell>
          <cell r="E297">
            <v>12.09</v>
          </cell>
          <cell r="F297">
            <v>12.09</v>
          </cell>
        </row>
        <row r="298">
          <cell r="A298">
            <v>616388</v>
          </cell>
          <cell r="B298" t="str">
            <v>VEH H IMM 5334VY93</v>
          </cell>
          <cell r="C298">
            <v>4650</v>
          </cell>
          <cell r="D298" t="str">
            <v>B112</v>
          </cell>
          <cell r="E298">
            <v>1108.1199999999999</v>
          </cell>
          <cell r="F298">
            <v>1108.1199999999999</v>
          </cell>
        </row>
        <row r="299">
          <cell r="A299">
            <v>616389</v>
          </cell>
          <cell r="B299" t="str">
            <v>VEH I IMM 909BTJ95</v>
          </cell>
          <cell r="C299">
            <v>4650</v>
          </cell>
          <cell r="D299" t="str">
            <v>B112</v>
          </cell>
          <cell r="E299" t="e">
            <v>#N/A</v>
          </cell>
          <cell r="F299">
            <v>0</v>
          </cell>
        </row>
        <row r="300">
          <cell r="A300">
            <v>616390</v>
          </cell>
          <cell r="B300" t="str">
            <v>VEH J IMM 3270 TA 93</v>
          </cell>
          <cell r="C300">
            <v>4650</v>
          </cell>
          <cell r="D300" t="str">
            <v>B112</v>
          </cell>
          <cell r="E300" t="e">
            <v>#N/A</v>
          </cell>
          <cell r="F300">
            <v>0</v>
          </cell>
        </row>
        <row r="301">
          <cell r="A301">
            <v>616391</v>
          </cell>
          <cell r="B301" t="str">
            <v>VEH K IMM 6828 WWB 95</v>
          </cell>
          <cell r="C301">
            <v>4650</v>
          </cell>
          <cell r="D301" t="str">
            <v>B112</v>
          </cell>
          <cell r="E301" t="e">
            <v>#N/A</v>
          </cell>
          <cell r="F301">
            <v>0</v>
          </cell>
        </row>
        <row r="302">
          <cell r="A302">
            <v>616393</v>
          </cell>
          <cell r="B302" t="str">
            <v>VEHIC M IMM 2318 VG 93</v>
          </cell>
          <cell r="C302">
            <v>4650</v>
          </cell>
          <cell r="D302" t="str">
            <v>B112</v>
          </cell>
          <cell r="E302">
            <v>-18.89</v>
          </cell>
          <cell r="F302">
            <v>-18.89</v>
          </cell>
        </row>
        <row r="303">
          <cell r="A303">
            <v>616394</v>
          </cell>
          <cell r="B303" t="str">
            <v>VEHIC N IMM 1597 XA 93</v>
          </cell>
          <cell r="C303">
            <v>4650</v>
          </cell>
          <cell r="D303" t="str">
            <v>B112</v>
          </cell>
          <cell r="E303">
            <v>609.49</v>
          </cell>
          <cell r="F303">
            <v>609.49</v>
          </cell>
        </row>
        <row r="304">
          <cell r="A304">
            <v>616395</v>
          </cell>
          <cell r="B304" t="str">
            <v>VEHIC 0 IMM 6452 WS 93</v>
          </cell>
          <cell r="C304">
            <v>4650</v>
          </cell>
          <cell r="D304" t="str">
            <v>B112</v>
          </cell>
          <cell r="E304">
            <v>903.23</v>
          </cell>
          <cell r="F304">
            <v>903.23</v>
          </cell>
        </row>
        <row r="305">
          <cell r="A305">
            <v>616396</v>
          </cell>
          <cell r="B305" t="str">
            <v>VEHIC P IMM 1551 WT 93</v>
          </cell>
          <cell r="C305">
            <v>4650</v>
          </cell>
          <cell r="D305" t="str">
            <v>B112</v>
          </cell>
          <cell r="E305">
            <v>1330.64</v>
          </cell>
          <cell r="F305">
            <v>1330.64</v>
          </cell>
        </row>
        <row r="306">
          <cell r="A306">
            <v>616397</v>
          </cell>
          <cell r="B306" t="str">
            <v>VEHIC Q IMMATRIC 943XC93</v>
          </cell>
          <cell r="C306">
            <v>4650</v>
          </cell>
          <cell r="D306" t="str">
            <v>B112</v>
          </cell>
          <cell r="E306">
            <v>594.16999999999996</v>
          </cell>
          <cell r="F306">
            <v>594.16999999999996</v>
          </cell>
        </row>
        <row r="307">
          <cell r="A307">
            <v>616400</v>
          </cell>
          <cell r="B307" t="str">
            <v>RISQUES D'EXPLOITATION AG</v>
          </cell>
          <cell r="C307" t="str">
            <v>3800IC</v>
          </cell>
          <cell r="D307" t="str">
            <v>B16</v>
          </cell>
          <cell r="E307">
            <v>575.89</v>
          </cell>
          <cell r="F307">
            <v>575.89</v>
          </cell>
        </row>
        <row r="308">
          <cell r="A308">
            <v>616900</v>
          </cell>
          <cell r="B308" t="str">
            <v>Assurances diverses</v>
          </cell>
          <cell r="C308">
            <v>4020</v>
          </cell>
          <cell r="D308" t="str">
            <v>B18</v>
          </cell>
          <cell r="E308">
            <v>9142.74</v>
          </cell>
          <cell r="F308">
            <v>9142.74</v>
          </cell>
        </row>
        <row r="309">
          <cell r="A309">
            <v>618100</v>
          </cell>
          <cell r="B309" t="str">
            <v>Documentation générale</v>
          </cell>
          <cell r="C309">
            <v>4100</v>
          </cell>
          <cell r="D309" t="str">
            <v>B112</v>
          </cell>
          <cell r="E309">
            <v>236.51</v>
          </cell>
          <cell r="F309">
            <v>236.51</v>
          </cell>
        </row>
        <row r="310">
          <cell r="A310">
            <v>618200</v>
          </cell>
          <cell r="B310" t="str">
            <v>DOCUMENTATION KOMAX AG</v>
          </cell>
          <cell r="C310" t="str">
            <v>4100IC</v>
          </cell>
          <cell r="D310" t="str">
            <v>B112</v>
          </cell>
          <cell r="E310">
            <v>705.6</v>
          </cell>
          <cell r="F310">
            <v>705.6</v>
          </cell>
        </row>
        <row r="311">
          <cell r="A311">
            <v>618300</v>
          </cell>
          <cell r="B311" t="str">
            <v>Documentation technique</v>
          </cell>
          <cell r="C311">
            <v>4100</v>
          </cell>
          <cell r="D311" t="str">
            <v>B112</v>
          </cell>
          <cell r="E311">
            <v>71.010000000000005</v>
          </cell>
          <cell r="F311">
            <v>71.010000000000005</v>
          </cell>
        </row>
        <row r="312">
          <cell r="A312">
            <v>618500</v>
          </cell>
          <cell r="B312" t="str">
            <v>Séminaires réunions</v>
          </cell>
          <cell r="C312">
            <v>4100</v>
          </cell>
          <cell r="D312" t="str">
            <v>B112</v>
          </cell>
          <cell r="E312" t="e">
            <v>#N/A</v>
          </cell>
          <cell r="F312">
            <v>0</v>
          </cell>
        </row>
        <row r="313">
          <cell r="A313">
            <v>621100</v>
          </cell>
          <cell r="B313" t="str">
            <v>Personnel intérimaire</v>
          </cell>
          <cell r="C313">
            <v>4050</v>
          </cell>
          <cell r="D313" t="str">
            <v>B18</v>
          </cell>
          <cell r="E313" t="e">
            <v>#N/A</v>
          </cell>
          <cell r="F313">
            <v>0</v>
          </cell>
        </row>
        <row r="314">
          <cell r="A314">
            <v>621400</v>
          </cell>
          <cell r="B314" t="str">
            <v>PERSONNEL PRETE A L ENTRE</v>
          </cell>
          <cell r="C314">
            <v>4050</v>
          </cell>
          <cell r="D314" t="str">
            <v>B18</v>
          </cell>
          <cell r="E314" t="e">
            <v>#N/A</v>
          </cell>
          <cell r="F314">
            <v>0</v>
          </cell>
        </row>
        <row r="315">
          <cell r="A315">
            <v>622200</v>
          </cell>
          <cell r="B315" t="str">
            <v>Commis s/ventes avec TVA</v>
          </cell>
          <cell r="C315">
            <v>6890</v>
          </cell>
          <cell r="D315" t="str">
            <v>B11</v>
          </cell>
          <cell r="E315" t="e">
            <v>#N/A</v>
          </cell>
          <cell r="F315">
            <v>0</v>
          </cell>
        </row>
        <row r="316">
          <cell r="A316">
            <v>622280</v>
          </cell>
          <cell r="B316" t="str">
            <v>Commissions à payer group (Maroc)</v>
          </cell>
          <cell r="C316" t="str">
            <v>6890IC</v>
          </cell>
          <cell r="D316" t="str">
            <v>B11</v>
          </cell>
          <cell r="E316">
            <v>34941.19</v>
          </cell>
          <cell r="F316">
            <v>34941.19</v>
          </cell>
        </row>
        <row r="317">
          <cell r="A317">
            <v>622290</v>
          </cell>
          <cell r="B317" t="str">
            <v>COMMISSIONS A PAYER S/MACHINES EXPO</v>
          </cell>
          <cell r="C317">
            <v>6890</v>
          </cell>
          <cell r="D317" t="str">
            <v>B11</v>
          </cell>
          <cell r="E317">
            <v>2754.82</v>
          </cell>
          <cell r="F317">
            <v>2754.82</v>
          </cell>
        </row>
        <row r="318">
          <cell r="A318">
            <v>622600</v>
          </cell>
          <cell r="B318" t="str">
            <v>Honoraires techniques</v>
          </cell>
          <cell r="C318">
            <v>4600</v>
          </cell>
          <cell r="D318" t="str">
            <v>B112</v>
          </cell>
          <cell r="E318" t="e">
            <v>#N/A</v>
          </cell>
          <cell r="F318">
            <v>0</v>
          </cell>
        </row>
        <row r="319">
          <cell r="A319">
            <v>622610</v>
          </cell>
          <cell r="B319" t="str">
            <v>Honoraires administratifs</v>
          </cell>
          <cell r="C319">
            <v>4600</v>
          </cell>
          <cell r="D319" t="str">
            <v>B112</v>
          </cell>
          <cell r="E319">
            <v>1557.13</v>
          </cell>
          <cell r="F319">
            <v>1557.13</v>
          </cell>
        </row>
        <row r="320">
          <cell r="A320">
            <v>622615</v>
          </cell>
          <cell r="B320" t="str">
            <v>Honoraires recrutement</v>
          </cell>
          <cell r="C320">
            <v>4600</v>
          </cell>
          <cell r="D320" t="str">
            <v>B112</v>
          </cell>
          <cell r="E320" t="e">
            <v>#N/A</v>
          </cell>
          <cell r="F320">
            <v>0</v>
          </cell>
        </row>
        <row r="321">
          <cell r="A321">
            <v>622620</v>
          </cell>
          <cell r="B321" t="str">
            <v>Assistance Komax</v>
          </cell>
          <cell r="C321">
            <v>9999</v>
          </cell>
          <cell r="D321">
            <v>99</v>
          </cell>
          <cell r="E321" t="e">
            <v>#N/A</v>
          </cell>
          <cell r="F321">
            <v>0</v>
          </cell>
        </row>
        <row r="322">
          <cell r="A322">
            <v>622690</v>
          </cell>
          <cell r="B322" t="str">
            <v>HONORAIRES FISCALES</v>
          </cell>
          <cell r="C322">
            <v>4600</v>
          </cell>
          <cell r="D322" t="str">
            <v>B112</v>
          </cell>
          <cell r="E322">
            <v>14946.19</v>
          </cell>
          <cell r="F322">
            <v>14946.19</v>
          </cell>
        </row>
        <row r="323">
          <cell r="A323">
            <v>622700</v>
          </cell>
          <cell r="B323" t="str">
            <v>FRAIS ACTES ET CONTENT</v>
          </cell>
          <cell r="C323">
            <v>4600</v>
          </cell>
          <cell r="D323" t="str">
            <v>B112</v>
          </cell>
          <cell r="E323" t="e">
            <v>#N/A</v>
          </cell>
          <cell r="F323">
            <v>0</v>
          </cell>
        </row>
        <row r="324">
          <cell r="A324">
            <v>622835</v>
          </cell>
          <cell r="B324" t="str">
            <v>Assistance Komax</v>
          </cell>
          <cell r="C324" t="str">
            <v>7800IC</v>
          </cell>
          <cell r="D324" t="str">
            <v>B115</v>
          </cell>
          <cell r="E324">
            <v>51000</v>
          </cell>
          <cell r="F324">
            <v>51000</v>
          </cell>
        </row>
        <row r="325">
          <cell r="A325">
            <v>622845</v>
          </cell>
          <cell r="B325" t="str">
            <v>IT FEES</v>
          </cell>
          <cell r="C325" t="str">
            <v>4300IC</v>
          </cell>
          <cell r="D325" t="str">
            <v>B112</v>
          </cell>
          <cell r="E325">
            <v>4720.45</v>
          </cell>
          <cell r="F325">
            <v>4720.45</v>
          </cell>
        </row>
        <row r="326">
          <cell r="A326">
            <v>623100</v>
          </cell>
          <cell r="B326" t="str">
            <v>Publicité annonces</v>
          </cell>
          <cell r="C326">
            <v>4500</v>
          </cell>
          <cell r="D326" t="str">
            <v>B19</v>
          </cell>
          <cell r="E326">
            <v>2154.1</v>
          </cell>
          <cell r="F326">
            <v>2154.1</v>
          </cell>
        </row>
        <row r="327">
          <cell r="A327">
            <v>623120</v>
          </cell>
          <cell r="B327" t="str">
            <v>Routages publicitaires</v>
          </cell>
          <cell r="C327">
            <v>4500</v>
          </cell>
          <cell r="D327" t="str">
            <v>B19</v>
          </cell>
          <cell r="E327" t="e">
            <v>#N/A</v>
          </cell>
          <cell r="F327">
            <v>0</v>
          </cell>
        </row>
        <row r="328">
          <cell r="A328">
            <v>623300</v>
          </cell>
          <cell r="B328" t="str">
            <v>Salons expositions</v>
          </cell>
          <cell r="C328">
            <v>4540</v>
          </cell>
          <cell r="D328" t="str">
            <v>B19</v>
          </cell>
          <cell r="E328">
            <v>25025.66</v>
          </cell>
          <cell r="F328">
            <v>25025.66</v>
          </cell>
        </row>
        <row r="329">
          <cell r="A329">
            <v>623350</v>
          </cell>
          <cell r="B329" t="str">
            <v>SALONS EXPO KOMAX AG</v>
          </cell>
          <cell r="C329" t="str">
            <v>4540IC</v>
          </cell>
          <cell r="D329" t="str">
            <v>B19</v>
          </cell>
          <cell r="E329">
            <v>1390.98</v>
          </cell>
          <cell r="F329">
            <v>1390.98</v>
          </cell>
        </row>
        <row r="330">
          <cell r="A330">
            <v>623400</v>
          </cell>
          <cell r="B330" t="str">
            <v>Cadeaux clientèle -200 TTC</v>
          </cell>
          <cell r="C330">
            <v>4500</v>
          </cell>
          <cell r="D330" t="str">
            <v>B19</v>
          </cell>
          <cell r="E330">
            <v>1516.12</v>
          </cell>
          <cell r="F330">
            <v>1516.12</v>
          </cell>
        </row>
        <row r="331">
          <cell r="A331">
            <v>623410</v>
          </cell>
          <cell r="B331" t="str">
            <v>Cadeaux clientèle +200 TTC</v>
          </cell>
          <cell r="C331">
            <v>4500</v>
          </cell>
          <cell r="D331" t="str">
            <v>B19</v>
          </cell>
          <cell r="E331">
            <v>68.010000000000005</v>
          </cell>
          <cell r="F331">
            <v>68.010000000000005</v>
          </cell>
        </row>
        <row r="332">
          <cell r="A332">
            <v>623450</v>
          </cell>
          <cell r="B332" t="str">
            <v>KOMAX CADEAUX CLIENTS</v>
          </cell>
          <cell r="C332" t="str">
            <v>4500IC</v>
          </cell>
          <cell r="D332" t="str">
            <v>B19</v>
          </cell>
          <cell r="E332">
            <v>728</v>
          </cell>
          <cell r="F332">
            <v>728</v>
          </cell>
        </row>
        <row r="333">
          <cell r="A333">
            <v>623600</v>
          </cell>
          <cell r="B333" t="str">
            <v>Catalogues et imprimés</v>
          </cell>
          <cell r="C333">
            <v>4500</v>
          </cell>
          <cell r="D333" t="str">
            <v>B19</v>
          </cell>
          <cell r="E333" t="e">
            <v>#N/A</v>
          </cell>
          <cell r="F333">
            <v>0</v>
          </cell>
        </row>
        <row r="334">
          <cell r="A334">
            <v>623800</v>
          </cell>
          <cell r="B334" t="str">
            <v>Dons et pourboires</v>
          </cell>
          <cell r="C334">
            <v>4500</v>
          </cell>
          <cell r="D334" t="str">
            <v>B19</v>
          </cell>
          <cell r="E334" t="e">
            <v>#N/A</v>
          </cell>
          <cell r="F334">
            <v>0</v>
          </cell>
        </row>
        <row r="335">
          <cell r="A335">
            <v>624100</v>
          </cell>
          <cell r="B335" t="str">
            <v>Ports s/achats non affectés</v>
          </cell>
          <cell r="C335">
            <v>4800</v>
          </cell>
          <cell r="D335" t="str">
            <v>B112</v>
          </cell>
          <cell r="E335">
            <v>3102.17</v>
          </cell>
          <cell r="F335">
            <v>3102.17</v>
          </cell>
        </row>
        <row r="336">
          <cell r="A336">
            <v>624200</v>
          </cell>
          <cell r="B336" t="str">
            <v>Ports s/ventes</v>
          </cell>
          <cell r="C336">
            <v>4800</v>
          </cell>
          <cell r="D336" t="str">
            <v>B112</v>
          </cell>
          <cell r="E336">
            <v>16973.27</v>
          </cell>
          <cell r="F336">
            <v>16973.27</v>
          </cell>
        </row>
        <row r="337">
          <cell r="A337">
            <v>625101</v>
          </cell>
          <cell r="B337" t="str">
            <v>Dépl M Guitton</v>
          </cell>
          <cell r="C337">
            <v>4520</v>
          </cell>
          <cell r="D337" t="str">
            <v>B19</v>
          </cell>
          <cell r="E337">
            <v>11446.17</v>
          </cell>
          <cell r="F337">
            <v>11446.17</v>
          </cell>
        </row>
        <row r="338">
          <cell r="A338">
            <v>625102</v>
          </cell>
          <cell r="B338" t="str">
            <v>Dépl M Loizon</v>
          </cell>
          <cell r="C338">
            <v>4520</v>
          </cell>
          <cell r="D338" t="str">
            <v>B19</v>
          </cell>
          <cell r="E338">
            <v>11650.54</v>
          </cell>
          <cell r="F338">
            <v>11650.54</v>
          </cell>
        </row>
        <row r="339">
          <cell r="A339">
            <v>625103</v>
          </cell>
          <cell r="B339" t="str">
            <v>Dépl M Hay</v>
          </cell>
          <cell r="C339">
            <v>4520</v>
          </cell>
          <cell r="D339" t="str">
            <v>B19</v>
          </cell>
          <cell r="E339">
            <v>8280.94</v>
          </cell>
          <cell r="F339">
            <v>8280.94</v>
          </cell>
        </row>
        <row r="340">
          <cell r="A340">
            <v>625104</v>
          </cell>
          <cell r="B340" t="str">
            <v>Dépl M Hilbert</v>
          </cell>
          <cell r="C340">
            <v>4520</v>
          </cell>
          <cell r="D340" t="str">
            <v>B19</v>
          </cell>
          <cell r="E340">
            <v>11086.25</v>
          </cell>
          <cell r="F340">
            <v>11086.25</v>
          </cell>
        </row>
        <row r="341">
          <cell r="A341">
            <v>625105</v>
          </cell>
          <cell r="B341" t="str">
            <v>Dépl M Canfin</v>
          </cell>
          <cell r="C341">
            <v>4520</v>
          </cell>
          <cell r="D341" t="str">
            <v>B19</v>
          </cell>
          <cell r="E341" t="e">
            <v>#N/A</v>
          </cell>
          <cell r="F341">
            <v>0</v>
          </cell>
        </row>
        <row r="342">
          <cell r="A342">
            <v>625107</v>
          </cell>
          <cell r="B342" t="str">
            <v>Dépl M Muzica</v>
          </cell>
          <cell r="C342">
            <v>4520</v>
          </cell>
          <cell r="D342" t="str">
            <v>B19</v>
          </cell>
          <cell r="E342" t="e">
            <v>#N/A</v>
          </cell>
          <cell r="F342">
            <v>0</v>
          </cell>
        </row>
        <row r="343">
          <cell r="A343">
            <v>625108</v>
          </cell>
          <cell r="B343" t="str">
            <v>Déplaçements M Franic</v>
          </cell>
          <cell r="C343">
            <v>4520</v>
          </cell>
          <cell r="D343" t="str">
            <v>B19</v>
          </cell>
          <cell r="E343">
            <v>16662.02</v>
          </cell>
          <cell r="F343">
            <v>16662.02</v>
          </cell>
        </row>
        <row r="344">
          <cell r="A344">
            <v>625110</v>
          </cell>
          <cell r="B344" t="str">
            <v>DEPLACEMENTS M NIOL</v>
          </cell>
          <cell r="C344">
            <v>4520</v>
          </cell>
          <cell r="D344" t="str">
            <v>B19</v>
          </cell>
          <cell r="E344" t="e">
            <v>#N/A</v>
          </cell>
          <cell r="F344">
            <v>0</v>
          </cell>
        </row>
        <row r="345">
          <cell r="A345">
            <v>625111</v>
          </cell>
          <cell r="B345" t="str">
            <v>DEPLACEMENT FAUCHERON</v>
          </cell>
          <cell r="C345">
            <v>4520</v>
          </cell>
          <cell r="D345" t="str">
            <v>B19</v>
          </cell>
          <cell r="E345">
            <v>31364.78</v>
          </cell>
          <cell r="F345">
            <v>31364.78</v>
          </cell>
        </row>
        <row r="346">
          <cell r="A346">
            <v>625112</v>
          </cell>
          <cell r="B346" t="str">
            <v>DEPLACEMENTS M FOFANA</v>
          </cell>
          <cell r="C346">
            <v>4520</v>
          </cell>
          <cell r="D346" t="str">
            <v>B19</v>
          </cell>
          <cell r="E346">
            <v>11377.93</v>
          </cell>
          <cell r="F346">
            <v>11377.93</v>
          </cell>
        </row>
        <row r="347">
          <cell r="A347">
            <v>625113</v>
          </cell>
          <cell r="B347" t="str">
            <v>DEPLT M CONSTANT</v>
          </cell>
          <cell r="C347">
            <v>4520</v>
          </cell>
          <cell r="D347" t="str">
            <v>B19</v>
          </cell>
          <cell r="E347" t="e">
            <v>#N/A</v>
          </cell>
          <cell r="F347">
            <v>0</v>
          </cell>
        </row>
        <row r="348">
          <cell r="A348">
            <v>625114</v>
          </cell>
          <cell r="B348" t="str">
            <v>DEPLACEMENT M REMY</v>
          </cell>
          <cell r="C348">
            <v>4520</v>
          </cell>
          <cell r="D348" t="str">
            <v>B19</v>
          </cell>
          <cell r="E348">
            <v>4390.5</v>
          </cell>
          <cell r="F348">
            <v>4390.5</v>
          </cell>
        </row>
        <row r="349">
          <cell r="A349">
            <v>625115</v>
          </cell>
          <cell r="B349" t="str">
            <v>DEPLACEMENT M GODWIN</v>
          </cell>
          <cell r="C349">
            <v>4520</v>
          </cell>
          <cell r="D349" t="str">
            <v>B19</v>
          </cell>
          <cell r="E349">
            <v>4460.97</v>
          </cell>
          <cell r="F349">
            <v>4460.97</v>
          </cell>
        </row>
        <row r="350">
          <cell r="A350">
            <v>625190</v>
          </cell>
          <cell r="B350" t="str">
            <v>Dépl divers</v>
          </cell>
          <cell r="C350">
            <v>4520</v>
          </cell>
          <cell r="D350" t="str">
            <v>B19</v>
          </cell>
          <cell r="E350">
            <v>1712.26</v>
          </cell>
          <cell r="F350">
            <v>1712.26</v>
          </cell>
        </row>
        <row r="351">
          <cell r="A351">
            <v>625701</v>
          </cell>
          <cell r="B351" t="str">
            <v>Récept M Guitton</v>
          </cell>
          <cell r="C351">
            <v>4500</v>
          </cell>
          <cell r="D351" t="str">
            <v>B19</v>
          </cell>
          <cell r="E351">
            <v>1216.23</v>
          </cell>
          <cell r="F351">
            <v>1216.23</v>
          </cell>
        </row>
        <row r="352">
          <cell r="A352">
            <v>625702</v>
          </cell>
          <cell r="B352" t="str">
            <v>Récept M Loizon</v>
          </cell>
          <cell r="C352">
            <v>4500</v>
          </cell>
          <cell r="D352" t="str">
            <v>B19</v>
          </cell>
          <cell r="E352">
            <v>1555.98</v>
          </cell>
          <cell r="F352">
            <v>1555.98</v>
          </cell>
        </row>
        <row r="353">
          <cell r="A353">
            <v>625703</v>
          </cell>
          <cell r="B353" t="str">
            <v>Récept M Hay</v>
          </cell>
          <cell r="C353">
            <v>4500</v>
          </cell>
          <cell r="D353" t="str">
            <v>B19</v>
          </cell>
          <cell r="E353">
            <v>961.09</v>
          </cell>
          <cell r="F353">
            <v>961.09</v>
          </cell>
        </row>
        <row r="354">
          <cell r="A354">
            <v>625704</v>
          </cell>
          <cell r="B354" t="str">
            <v>Récept M Hilbert</v>
          </cell>
          <cell r="C354">
            <v>4500</v>
          </cell>
          <cell r="D354" t="str">
            <v>B19</v>
          </cell>
          <cell r="E354">
            <v>493.37</v>
          </cell>
          <cell r="F354">
            <v>493.37</v>
          </cell>
        </row>
        <row r="355">
          <cell r="A355">
            <v>625707</v>
          </cell>
          <cell r="B355" t="str">
            <v>Récept M Muzica</v>
          </cell>
          <cell r="C355">
            <v>4500</v>
          </cell>
          <cell r="D355" t="str">
            <v>B19</v>
          </cell>
          <cell r="E355" t="e">
            <v>#N/A</v>
          </cell>
          <cell r="F355">
            <v>0</v>
          </cell>
        </row>
        <row r="356">
          <cell r="A356">
            <v>625708</v>
          </cell>
          <cell r="B356" t="str">
            <v>Réceptions M Franic</v>
          </cell>
          <cell r="C356">
            <v>4500</v>
          </cell>
          <cell r="D356" t="str">
            <v>B19</v>
          </cell>
          <cell r="E356">
            <v>132.28</v>
          </cell>
          <cell r="F356">
            <v>132.28</v>
          </cell>
        </row>
        <row r="357">
          <cell r="A357">
            <v>625711</v>
          </cell>
          <cell r="B357" t="str">
            <v>RECEPTION M FAUCHERON</v>
          </cell>
          <cell r="C357">
            <v>4500</v>
          </cell>
          <cell r="D357" t="str">
            <v>B19</v>
          </cell>
          <cell r="E357">
            <v>1264.56</v>
          </cell>
          <cell r="F357">
            <v>1264.56</v>
          </cell>
        </row>
        <row r="358">
          <cell r="A358">
            <v>625712</v>
          </cell>
          <cell r="B358" t="str">
            <v>RECEPTION FOFANA</v>
          </cell>
          <cell r="C358">
            <v>4500</v>
          </cell>
          <cell r="D358" t="str">
            <v>B19</v>
          </cell>
          <cell r="E358" t="e">
            <v>#N/A</v>
          </cell>
          <cell r="F358">
            <v>0</v>
          </cell>
        </row>
        <row r="359">
          <cell r="A359">
            <v>625714</v>
          </cell>
          <cell r="B359" t="str">
            <v>RECEPTION M REMY</v>
          </cell>
          <cell r="C359">
            <v>4500</v>
          </cell>
          <cell r="D359" t="str">
            <v>B19</v>
          </cell>
          <cell r="E359">
            <v>133.19999999999999</v>
          </cell>
          <cell r="F359">
            <v>133.19999999999999</v>
          </cell>
        </row>
        <row r="360">
          <cell r="A360">
            <v>625790</v>
          </cell>
          <cell r="B360" t="str">
            <v>Récept diverses</v>
          </cell>
          <cell r="C360">
            <v>4500</v>
          </cell>
          <cell r="D360" t="str">
            <v>B19</v>
          </cell>
          <cell r="E360">
            <v>1367.09</v>
          </cell>
          <cell r="F360">
            <v>1367.09</v>
          </cell>
        </row>
        <row r="361">
          <cell r="A361">
            <v>625791</v>
          </cell>
          <cell r="B361" t="str">
            <v>FRAIS PERSONNEL M NIOL</v>
          </cell>
          <cell r="C361">
            <v>4520</v>
          </cell>
          <cell r="D361" t="str">
            <v>B19</v>
          </cell>
          <cell r="E361" t="e">
            <v>#N/A</v>
          </cell>
          <cell r="F361">
            <v>0</v>
          </cell>
        </row>
        <row r="362">
          <cell r="A362">
            <v>625999</v>
          </cell>
          <cell r="B362" t="str">
            <v>FRAIS DE VOYAGES A ECLATER</v>
          </cell>
          <cell r="C362">
            <v>4520</v>
          </cell>
          <cell r="D362" t="str">
            <v>B19</v>
          </cell>
          <cell r="E362" t="e">
            <v>#N/A</v>
          </cell>
          <cell r="F362">
            <v>0</v>
          </cell>
        </row>
        <row r="363">
          <cell r="A363">
            <v>626100</v>
          </cell>
          <cell r="B363" t="str">
            <v>Affranchissements</v>
          </cell>
          <cell r="C363">
            <v>4810</v>
          </cell>
          <cell r="D363" t="str">
            <v>B112</v>
          </cell>
          <cell r="E363">
            <v>6360.65</v>
          </cell>
          <cell r="F363">
            <v>6360.65</v>
          </cell>
        </row>
        <row r="364">
          <cell r="A364">
            <v>626200</v>
          </cell>
          <cell r="B364" t="str">
            <v>Téléphone</v>
          </cell>
          <cell r="C364">
            <v>4810</v>
          </cell>
          <cell r="D364" t="str">
            <v>B112</v>
          </cell>
          <cell r="E364">
            <v>18666</v>
          </cell>
          <cell r="F364">
            <v>18666</v>
          </cell>
        </row>
        <row r="365">
          <cell r="A365">
            <v>626300</v>
          </cell>
          <cell r="B365" t="str">
            <v>FRAIS TRANSPAC</v>
          </cell>
          <cell r="C365">
            <v>4810</v>
          </cell>
          <cell r="D365" t="str">
            <v>B112</v>
          </cell>
          <cell r="E365">
            <v>9065.5499999999993</v>
          </cell>
          <cell r="F365">
            <v>9065.5499999999993</v>
          </cell>
        </row>
        <row r="366">
          <cell r="A366">
            <v>626400</v>
          </cell>
          <cell r="B366" t="str">
            <v>FRAIS WORLDCOM</v>
          </cell>
          <cell r="C366">
            <v>4810</v>
          </cell>
          <cell r="D366" t="str">
            <v>B112</v>
          </cell>
          <cell r="E366">
            <v>819.1</v>
          </cell>
          <cell r="F366">
            <v>819.1</v>
          </cell>
        </row>
        <row r="367">
          <cell r="A367">
            <v>627105</v>
          </cell>
          <cell r="B367" t="str">
            <v>Frais banc s/Titres BPC</v>
          </cell>
          <cell r="C367">
            <v>7100</v>
          </cell>
          <cell r="D367" t="str">
            <v>B114</v>
          </cell>
          <cell r="E367" t="e">
            <v>#N/A</v>
          </cell>
          <cell r="F367">
            <v>0</v>
          </cell>
        </row>
        <row r="368">
          <cell r="A368">
            <v>627500</v>
          </cell>
          <cell r="B368" t="str">
            <v>Frais banc s/effets</v>
          </cell>
          <cell r="C368">
            <v>7100</v>
          </cell>
          <cell r="D368" t="str">
            <v>B114</v>
          </cell>
          <cell r="E368" t="e">
            <v>#N/A</v>
          </cell>
          <cell r="F368">
            <v>0</v>
          </cell>
        </row>
        <row r="369">
          <cell r="A369">
            <v>627501</v>
          </cell>
          <cell r="B369" t="str">
            <v>FRAIS/AGIOS SOCIETE GENERAL</v>
          </cell>
          <cell r="C369">
            <v>7100</v>
          </cell>
          <cell r="D369" t="str">
            <v>B114</v>
          </cell>
          <cell r="E369">
            <v>7055.21</v>
          </cell>
          <cell r="F369">
            <v>7055.21</v>
          </cell>
        </row>
        <row r="370">
          <cell r="A370">
            <v>627502</v>
          </cell>
          <cell r="B370" t="str">
            <v>COTISATIONS CARTES AMEX SG</v>
          </cell>
          <cell r="C370">
            <v>7100</v>
          </cell>
          <cell r="D370" t="str">
            <v>B114</v>
          </cell>
          <cell r="E370" t="e">
            <v>#N/A</v>
          </cell>
          <cell r="F370">
            <v>0</v>
          </cell>
        </row>
        <row r="371">
          <cell r="A371">
            <v>627504</v>
          </cell>
          <cell r="B371" t="str">
            <v>FRAIS / AGIOS BPC FRF</v>
          </cell>
          <cell r="C371">
            <v>7100</v>
          </cell>
          <cell r="D371" t="str">
            <v>B114</v>
          </cell>
          <cell r="E371" t="e">
            <v>#N/A</v>
          </cell>
          <cell r="F371">
            <v>0</v>
          </cell>
        </row>
        <row r="372">
          <cell r="A372">
            <v>627505</v>
          </cell>
          <cell r="B372" t="str">
            <v>AGIOS, FRAIS BANCO POPULAR COMERCIA</v>
          </cell>
          <cell r="C372">
            <v>7100</v>
          </cell>
          <cell r="D372" t="str">
            <v>B114</v>
          </cell>
          <cell r="E372">
            <v>600.49</v>
          </cell>
          <cell r="F372">
            <v>600.49</v>
          </cell>
        </row>
        <row r="373">
          <cell r="A373">
            <v>627801</v>
          </cell>
          <cell r="B373" t="str">
            <v>SG FRAIS DE COMMISSIONS SANS TVA</v>
          </cell>
          <cell r="C373">
            <v>7100</v>
          </cell>
          <cell r="D373" t="str">
            <v>B114</v>
          </cell>
          <cell r="E373" t="e">
            <v>#N/A</v>
          </cell>
          <cell r="F373">
            <v>0</v>
          </cell>
        </row>
        <row r="374">
          <cell r="A374">
            <v>633300</v>
          </cell>
          <cell r="B374" t="str">
            <v>Partic FPC Organismes</v>
          </cell>
          <cell r="C374">
            <v>4020</v>
          </cell>
          <cell r="D374" t="str">
            <v>B18</v>
          </cell>
          <cell r="E374">
            <v>2230.5</v>
          </cell>
          <cell r="F374">
            <v>2230.5</v>
          </cell>
        </row>
        <row r="375">
          <cell r="A375">
            <v>633400</v>
          </cell>
          <cell r="B375" t="str">
            <v>Invest construction</v>
          </cell>
          <cell r="C375">
            <v>4020</v>
          </cell>
          <cell r="D375" t="str">
            <v>B18</v>
          </cell>
          <cell r="E375">
            <v>2422.89</v>
          </cell>
          <cell r="F375">
            <v>2422.89</v>
          </cell>
        </row>
        <row r="376">
          <cell r="A376">
            <v>633500</v>
          </cell>
          <cell r="B376" t="str">
            <v>Taxe apprentissage</v>
          </cell>
          <cell r="C376">
            <v>4020</v>
          </cell>
          <cell r="D376" t="str">
            <v>B18</v>
          </cell>
          <cell r="E376">
            <v>2384.09</v>
          </cell>
          <cell r="F376">
            <v>2384.09</v>
          </cell>
        </row>
        <row r="377">
          <cell r="A377">
            <v>635110</v>
          </cell>
          <cell r="B377" t="str">
            <v>Taxe professionnelle</v>
          </cell>
          <cell r="C377">
            <v>4750</v>
          </cell>
          <cell r="D377" t="str">
            <v>B112</v>
          </cell>
          <cell r="E377">
            <v>29374</v>
          </cell>
          <cell r="F377">
            <v>29374</v>
          </cell>
        </row>
        <row r="378">
          <cell r="A378">
            <v>635140</v>
          </cell>
          <cell r="B378" t="str">
            <v>Taxe véhicules sté</v>
          </cell>
          <cell r="C378">
            <v>4810</v>
          </cell>
          <cell r="D378" t="str">
            <v>B112</v>
          </cell>
          <cell r="E378">
            <v>8375</v>
          </cell>
          <cell r="F378">
            <v>8375</v>
          </cell>
        </row>
        <row r="379">
          <cell r="A379">
            <v>635150</v>
          </cell>
          <cell r="B379" t="str">
            <v>Taxe s/bureaux</v>
          </cell>
          <cell r="C379">
            <v>4750</v>
          </cell>
          <cell r="D379" t="str">
            <v>B112</v>
          </cell>
          <cell r="E379">
            <v>902.48</v>
          </cell>
          <cell r="F379">
            <v>902.48</v>
          </cell>
        </row>
        <row r="380">
          <cell r="A380">
            <v>635300</v>
          </cell>
          <cell r="B380" t="str">
            <v>Vignettes</v>
          </cell>
          <cell r="C380">
            <v>4810</v>
          </cell>
          <cell r="D380" t="str">
            <v>B112</v>
          </cell>
          <cell r="E380">
            <v>210</v>
          </cell>
          <cell r="F380">
            <v>210</v>
          </cell>
        </row>
        <row r="381">
          <cell r="A381">
            <v>635420</v>
          </cell>
          <cell r="B381" t="str">
            <v>Timbres fiscaux</v>
          </cell>
          <cell r="C381">
            <v>4810</v>
          </cell>
          <cell r="D381" t="str">
            <v>B112</v>
          </cell>
          <cell r="E381">
            <v>0</v>
          </cell>
          <cell r="F381">
            <v>0</v>
          </cell>
        </row>
        <row r="382">
          <cell r="A382">
            <v>637100</v>
          </cell>
          <cell r="B382" t="str">
            <v>Contribution solidarité</v>
          </cell>
          <cell r="C382">
            <v>4750</v>
          </cell>
          <cell r="D382" t="str">
            <v>B112</v>
          </cell>
          <cell r="E382">
            <v>3433</v>
          </cell>
          <cell r="F382">
            <v>3433</v>
          </cell>
        </row>
        <row r="383">
          <cell r="A383">
            <v>638000</v>
          </cell>
          <cell r="B383" t="str">
            <v>Redevance télé</v>
          </cell>
          <cell r="C383">
            <v>4900</v>
          </cell>
          <cell r="D383" t="str">
            <v>B112</v>
          </cell>
          <cell r="E383">
            <v>116.5</v>
          </cell>
          <cell r="F383">
            <v>116.5</v>
          </cell>
        </row>
        <row r="384">
          <cell r="A384">
            <v>641100</v>
          </cell>
          <cell r="B384" t="str">
            <v>Appts salaires</v>
          </cell>
          <cell r="C384">
            <v>4000</v>
          </cell>
          <cell r="D384" t="str">
            <v>B18</v>
          </cell>
          <cell r="E384">
            <v>531199.77</v>
          </cell>
          <cell r="F384">
            <v>531199.77</v>
          </cell>
        </row>
        <row r="385">
          <cell r="A385">
            <v>641105</v>
          </cell>
          <cell r="B385" t="str">
            <v>Refacturation personnel ARA/KEP</v>
          </cell>
          <cell r="C385">
            <v>4000</v>
          </cell>
          <cell r="D385" t="str">
            <v>B18</v>
          </cell>
          <cell r="E385">
            <v>-2194.41</v>
          </cell>
          <cell r="F385">
            <v>-2194.41</v>
          </cell>
        </row>
        <row r="386">
          <cell r="A386">
            <v>641109</v>
          </cell>
          <cell r="B386" t="str">
            <v>"CRE" COTIS SS NIOL</v>
          </cell>
          <cell r="C386">
            <v>4020</v>
          </cell>
          <cell r="D386" t="str">
            <v>B18</v>
          </cell>
          <cell r="E386">
            <v>10217.700000000001</v>
          </cell>
          <cell r="F386">
            <v>10217.700000000001</v>
          </cell>
        </row>
        <row r="387">
          <cell r="A387">
            <v>641200</v>
          </cell>
          <cell r="B387" t="str">
            <v>Congés payés</v>
          </cell>
          <cell r="C387">
            <v>4000</v>
          </cell>
          <cell r="D387" t="str">
            <v>B18</v>
          </cell>
          <cell r="E387">
            <v>-4126</v>
          </cell>
          <cell r="F387">
            <v>-4126</v>
          </cell>
        </row>
        <row r="388">
          <cell r="A388">
            <v>641300</v>
          </cell>
          <cell r="B388" t="str">
            <v>Prime</v>
          </cell>
          <cell r="C388">
            <v>4000</v>
          </cell>
          <cell r="D388" t="str">
            <v>B18</v>
          </cell>
          <cell r="E388">
            <v>-9944</v>
          </cell>
          <cell r="F388">
            <v>-9944</v>
          </cell>
        </row>
        <row r="389">
          <cell r="A389">
            <v>641350</v>
          </cell>
          <cell r="B389" t="str">
            <v>PRIME NON SOUMISE A CHARGES SOCIALE</v>
          </cell>
          <cell r="C389">
            <v>4000</v>
          </cell>
          <cell r="D389" t="str">
            <v>B18</v>
          </cell>
          <cell r="E389">
            <v>16382</v>
          </cell>
          <cell r="F389">
            <v>16382</v>
          </cell>
        </row>
        <row r="390">
          <cell r="A390">
            <v>641400</v>
          </cell>
          <cell r="B390" t="str">
            <v>Indemnités de transport</v>
          </cell>
          <cell r="C390">
            <v>4000</v>
          </cell>
          <cell r="D390" t="str">
            <v>B18</v>
          </cell>
          <cell r="E390">
            <v>279.57</v>
          </cell>
          <cell r="F390">
            <v>279.57</v>
          </cell>
        </row>
        <row r="391">
          <cell r="A391">
            <v>641440</v>
          </cell>
          <cell r="B391" t="str">
            <v>AVANTAGE EN NATURE</v>
          </cell>
          <cell r="C391">
            <v>4000</v>
          </cell>
          <cell r="D391" t="str">
            <v>B18</v>
          </cell>
          <cell r="E391">
            <v>11238.52</v>
          </cell>
          <cell r="F391">
            <v>11238.52</v>
          </cell>
        </row>
        <row r="392">
          <cell r="A392">
            <v>641450</v>
          </cell>
          <cell r="B392" t="str">
            <v>IJSS</v>
          </cell>
          <cell r="C392">
            <v>4000</v>
          </cell>
          <cell r="D392" t="str">
            <v>B18</v>
          </cell>
          <cell r="E392">
            <v>-527.95000000000005</v>
          </cell>
          <cell r="F392">
            <v>-527.95000000000005</v>
          </cell>
        </row>
        <row r="393">
          <cell r="A393">
            <v>645100</v>
          </cell>
          <cell r="B393" t="str">
            <v>Cotis ss régime général</v>
          </cell>
          <cell r="C393">
            <v>4020</v>
          </cell>
          <cell r="D393" t="str">
            <v>B18</v>
          </cell>
          <cell r="E393">
            <v>140029.32</v>
          </cell>
          <cell r="F393">
            <v>135597.32</v>
          </cell>
        </row>
        <row r="394">
          <cell r="A394">
            <v>645105</v>
          </cell>
          <cell r="B394" t="str">
            <v>Refacturation charges ARA/Epinay</v>
          </cell>
          <cell r="C394">
            <v>4020</v>
          </cell>
          <cell r="D394" t="str">
            <v>B18</v>
          </cell>
          <cell r="E394">
            <v>-2478.0300000000002</v>
          </cell>
          <cell r="F394">
            <v>-2478.0300000000002</v>
          </cell>
        </row>
        <row r="395">
          <cell r="A395">
            <v>645300</v>
          </cell>
          <cell r="B395" t="str">
            <v>Cotis CIS UNIRS IPGM</v>
          </cell>
          <cell r="C395">
            <v>4020</v>
          </cell>
          <cell r="D395" t="str">
            <v>B18</v>
          </cell>
          <cell r="E395">
            <v>67806.28</v>
          </cell>
          <cell r="F395">
            <v>67806.28</v>
          </cell>
        </row>
        <row r="396">
          <cell r="A396">
            <v>645309</v>
          </cell>
          <cell r="B396" t="str">
            <v>"CRE" TALBOUT COTIS RETRAITE NIOL</v>
          </cell>
          <cell r="C396">
            <v>4020</v>
          </cell>
          <cell r="D396" t="str">
            <v>B18</v>
          </cell>
          <cell r="E396">
            <v>6720.67</v>
          </cell>
          <cell r="F396">
            <v>6720.67</v>
          </cell>
        </row>
        <row r="397">
          <cell r="A397">
            <v>645310</v>
          </cell>
          <cell r="B397" t="str">
            <v>Cotis cadres CGIC CIS</v>
          </cell>
          <cell r="C397">
            <v>4020</v>
          </cell>
          <cell r="D397" t="str">
            <v>B18</v>
          </cell>
          <cell r="E397">
            <v>11743.75</v>
          </cell>
          <cell r="F397">
            <v>11743.75</v>
          </cell>
        </row>
        <row r="398">
          <cell r="A398">
            <v>645400</v>
          </cell>
          <cell r="B398" t="str">
            <v>Cotis chômage</v>
          </cell>
          <cell r="C398">
            <v>4020</v>
          </cell>
          <cell r="D398" t="str">
            <v>B18</v>
          </cell>
          <cell r="E398">
            <v>14231.25</v>
          </cell>
          <cell r="F398">
            <v>14231.25</v>
          </cell>
        </row>
        <row r="399">
          <cell r="A399">
            <v>645409</v>
          </cell>
          <cell r="B399" t="str">
            <v>"GARP EXPATRIE" COTIS CHOMAG NIOL</v>
          </cell>
          <cell r="C399">
            <v>4020</v>
          </cell>
          <cell r="D399" t="str">
            <v>B18</v>
          </cell>
          <cell r="E399">
            <v>3517</v>
          </cell>
          <cell r="F399">
            <v>3517</v>
          </cell>
        </row>
        <row r="400">
          <cell r="A400">
            <v>645500</v>
          </cell>
          <cell r="B400" t="str">
            <v>Charges congés payés</v>
          </cell>
          <cell r="C400">
            <v>4020</v>
          </cell>
          <cell r="D400" t="str">
            <v>B18</v>
          </cell>
          <cell r="E400">
            <v>-1857</v>
          </cell>
          <cell r="F400">
            <v>-1857</v>
          </cell>
        </row>
        <row r="401">
          <cell r="A401">
            <v>645600</v>
          </cell>
          <cell r="B401" t="str">
            <v>Charges prime</v>
          </cell>
          <cell r="C401">
            <v>4020</v>
          </cell>
          <cell r="D401" t="str">
            <v>B18</v>
          </cell>
          <cell r="E401">
            <v>-4474.8</v>
          </cell>
          <cell r="F401">
            <v>-4474.8</v>
          </cell>
        </row>
        <row r="402">
          <cell r="A402">
            <v>646000</v>
          </cell>
          <cell r="B402" t="str">
            <v>BUDGET C E KOMAX EPINAY</v>
          </cell>
          <cell r="C402">
            <v>4020</v>
          </cell>
          <cell r="D402" t="str">
            <v>B18</v>
          </cell>
          <cell r="E402" t="e">
            <v>#N/A</v>
          </cell>
          <cell r="F402">
            <v>0</v>
          </cell>
        </row>
        <row r="403">
          <cell r="A403">
            <v>647100</v>
          </cell>
          <cell r="B403" t="str">
            <v>OEUVRES SOCIALES</v>
          </cell>
          <cell r="C403">
            <v>4020</v>
          </cell>
          <cell r="D403" t="str">
            <v>B18</v>
          </cell>
          <cell r="E403" t="e">
            <v>#N/A</v>
          </cell>
          <cell r="F403">
            <v>0</v>
          </cell>
        </row>
        <row r="404">
          <cell r="A404">
            <v>647200</v>
          </cell>
          <cell r="B404" t="str">
            <v>VERSEMENT AU C E</v>
          </cell>
          <cell r="C404">
            <v>4020</v>
          </cell>
          <cell r="D404" t="str">
            <v>B18</v>
          </cell>
          <cell r="E404">
            <v>4339.5200000000004</v>
          </cell>
          <cell r="F404">
            <v>4339.5200000000004</v>
          </cell>
        </row>
        <row r="405">
          <cell r="A405">
            <v>647500</v>
          </cell>
          <cell r="B405" t="str">
            <v>Médecine du travail pharm</v>
          </cell>
          <cell r="C405">
            <v>4020</v>
          </cell>
          <cell r="D405" t="str">
            <v>B18</v>
          </cell>
          <cell r="E405">
            <v>862.98</v>
          </cell>
          <cell r="F405">
            <v>862.98</v>
          </cell>
        </row>
        <row r="406">
          <cell r="A406">
            <v>647510</v>
          </cell>
          <cell r="B406" t="str">
            <v>Chardes tickets restaur</v>
          </cell>
          <cell r="C406">
            <v>4050</v>
          </cell>
          <cell r="D406" t="str">
            <v>B18</v>
          </cell>
          <cell r="E406">
            <v>5381.51</v>
          </cell>
          <cell r="F406">
            <v>5381.51</v>
          </cell>
        </row>
        <row r="407">
          <cell r="A407">
            <v>654000</v>
          </cell>
          <cell r="B407" t="str">
            <v>Créances devenues irréc</v>
          </cell>
          <cell r="C407">
            <v>6820</v>
          </cell>
          <cell r="D407" t="str">
            <v>B11</v>
          </cell>
          <cell r="E407">
            <v>1472.68</v>
          </cell>
          <cell r="F407">
            <v>1472.68</v>
          </cell>
        </row>
        <row r="408">
          <cell r="A408">
            <v>654400</v>
          </cell>
          <cell r="B408" t="str">
            <v>PERTES S/CREANCES IRRECOUVRABLES EX</v>
          </cell>
          <cell r="C408">
            <v>6820</v>
          </cell>
          <cell r="D408" t="str">
            <v>B11</v>
          </cell>
          <cell r="E408" t="e">
            <v>#N/A</v>
          </cell>
          <cell r="F408">
            <v>0</v>
          </cell>
        </row>
        <row r="409">
          <cell r="A409">
            <v>658000</v>
          </cell>
          <cell r="B409" t="str">
            <v>Rompus Perte : écart de TVA et sur règlement</v>
          </cell>
          <cell r="C409">
            <v>6820</v>
          </cell>
          <cell r="D409" t="str">
            <v>B11</v>
          </cell>
          <cell r="E409">
            <v>18.809999999999999</v>
          </cell>
          <cell r="F409">
            <v>18.809999999999999</v>
          </cell>
        </row>
        <row r="410">
          <cell r="A410">
            <v>661100</v>
          </cell>
          <cell r="B410" t="str">
            <v>Intérêts des emprunts Société Générale</v>
          </cell>
          <cell r="C410">
            <v>7100</v>
          </cell>
          <cell r="D410" t="str">
            <v>B114</v>
          </cell>
          <cell r="E410" t="e">
            <v>#N/A</v>
          </cell>
          <cell r="F410">
            <v>0</v>
          </cell>
        </row>
        <row r="411">
          <cell r="A411">
            <v>661150</v>
          </cell>
          <cell r="B411" t="str">
            <v>INTERETS DES EMPRUNTS BE</v>
          </cell>
          <cell r="C411">
            <v>7100</v>
          </cell>
          <cell r="D411" t="str">
            <v>B114</v>
          </cell>
          <cell r="E411" t="e">
            <v>#N/A</v>
          </cell>
          <cell r="F411">
            <v>0</v>
          </cell>
        </row>
        <row r="412">
          <cell r="A412">
            <v>661160</v>
          </cell>
          <cell r="B412" t="str">
            <v>Intérêts des emprunts</v>
          </cell>
          <cell r="C412">
            <v>7100</v>
          </cell>
          <cell r="D412" t="str">
            <v>B114</v>
          </cell>
          <cell r="E412" t="e">
            <v>#N/A</v>
          </cell>
          <cell r="F412">
            <v>0</v>
          </cell>
        </row>
        <row r="413">
          <cell r="A413">
            <v>661170</v>
          </cell>
          <cell r="B413" t="str">
            <v>INTERETS KOMAX AG holding LT</v>
          </cell>
          <cell r="C413" t="str">
            <v>7100IC</v>
          </cell>
          <cell r="D413" t="str">
            <v>B114</v>
          </cell>
          <cell r="E413" t="e">
            <v>#N/A</v>
          </cell>
          <cell r="F413">
            <v>0</v>
          </cell>
        </row>
        <row r="414">
          <cell r="A414">
            <v>661510</v>
          </cell>
          <cell r="B414" t="str">
            <v>INTERETS KOMAX AG holding CT</v>
          </cell>
          <cell r="C414" t="str">
            <v>7100IC</v>
          </cell>
          <cell r="D414" t="str">
            <v>B114</v>
          </cell>
          <cell r="E414">
            <v>27200</v>
          </cell>
          <cell r="F414">
            <v>27200</v>
          </cell>
        </row>
        <row r="415">
          <cell r="A415">
            <v>661600</v>
          </cell>
          <cell r="B415" t="str">
            <v>Intérêts bancaires</v>
          </cell>
          <cell r="C415">
            <v>7100</v>
          </cell>
          <cell r="D415" t="str">
            <v>B114</v>
          </cell>
          <cell r="E415">
            <v>2.2799999999999998</v>
          </cell>
          <cell r="F415">
            <v>2.2799999999999998</v>
          </cell>
        </row>
        <row r="416">
          <cell r="A416">
            <v>661810</v>
          </cell>
          <cell r="B416" t="str">
            <v>Intérêts moratoires KOMAX AG</v>
          </cell>
          <cell r="C416" t="str">
            <v>7100IC</v>
          </cell>
          <cell r="D416" t="str">
            <v>B114</v>
          </cell>
          <cell r="E416" t="e">
            <v>#N/A</v>
          </cell>
          <cell r="F416">
            <v>0</v>
          </cell>
        </row>
        <row r="417">
          <cell r="A417">
            <v>665000</v>
          </cell>
          <cell r="B417" t="str">
            <v>Escomptes accordés</v>
          </cell>
          <cell r="C417">
            <v>6810</v>
          </cell>
          <cell r="D417" t="str">
            <v>B13</v>
          </cell>
          <cell r="E417">
            <v>2418.34</v>
          </cell>
          <cell r="F417">
            <v>2418.34</v>
          </cell>
        </row>
        <row r="418">
          <cell r="A418">
            <v>666000</v>
          </cell>
          <cell r="B418" t="str">
            <v>Perte de Change</v>
          </cell>
          <cell r="C418">
            <v>7100</v>
          </cell>
          <cell r="D418" t="str">
            <v>B114</v>
          </cell>
          <cell r="E418">
            <v>538.97</v>
          </cell>
          <cell r="F418">
            <v>538.97</v>
          </cell>
        </row>
        <row r="419">
          <cell r="A419">
            <v>666181</v>
          </cell>
          <cell r="B419" t="str">
            <v xml:space="preserve">Intérêts moratoires </v>
          </cell>
          <cell r="C419">
            <v>7100</v>
          </cell>
          <cell r="D419" t="str">
            <v>B114</v>
          </cell>
          <cell r="E419" t="e">
            <v>#N/A</v>
          </cell>
          <cell r="F419">
            <v>0</v>
          </cell>
        </row>
        <row r="420">
          <cell r="A420">
            <v>668000</v>
          </cell>
          <cell r="B420" t="str">
            <v>Ecart arrondi</v>
          </cell>
          <cell r="C420">
            <v>7100</v>
          </cell>
          <cell r="D420" t="str">
            <v>B114</v>
          </cell>
          <cell r="E420">
            <v>-1</v>
          </cell>
          <cell r="F420">
            <v>-1</v>
          </cell>
        </row>
        <row r="421">
          <cell r="A421">
            <v>668100</v>
          </cell>
          <cell r="B421" t="str">
            <v>COMMISSION MOUVEMENT NON SOUMIS TVA</v>
          </cell>
          <cell r="C421">
            <v>7100</v>
          </cell>
          <cell r="D421" t="str">
            <v>B114</v>
          </cell>
          <cell r="E421" t="e">
            <v>#N/A</v>
          </cell>
          <cell r="F421">
            <v>0</v>
          </cell>
        </row>
        <row r="422">
          <cell r="A422">
            <v>671000</v>
          </cell>
          <cell r="B422" t="str">
            <v>Charges excep diverses : assurance en 2001</v>
          </cell>
          <cell r="C422">
            <v>4900</v>
          </cell>
          <cell r="D422" t="str">
            <v>B112</v>
          </cell>
          <cell r="E422">
            <v>618.82000000000005</v>
          </cell>
          <cell r="F422">
            <v>618.82000000000005</v>
          </cell>
        </row>
        <row r="423">
          <cell r="A423">
            <v>671200</v>
          </cell>
          <cell r="B423" t="str">
            <v>PENALITES AMENDES FISC</v>
          </cell>
          <cell r="C423">
            <v>4900</v>
          </cell>
          <cell r="D423" t="str">
            <v>B112</v>
          </cell>
          <cell r="E423">
            <v>687.5</v>
          </cell>
          <cell r="F423">
            <v>687.5</v>
          </cell>
        </row>
        <row r="424">
          <cell r="A424">
            <v>671800</v>
          </cell>
          <cell r="B424" t="str">
            <v>AUTRES CHARGES EXEPTION S/OPERAT GE</v>
          </cell>
          <cell r="C424">
            <v>7100</v>
          </cell>
          <cell r="D424" t="str">
            <v>B114</v>
          </cell>
          <cell r="E424" t="e">
            <v>#N/A</v>
          </cell>
          <cell r="F424">
            <v>0</v>
          </cell>
        </row>
        <row r="425">
          <cell r="A425">
            <v>675200</v>
          </cell>
          <cell r="B425" t="str">
            <v>Valeurs cpt immo cédées</v>
          </cell>
          <cell r="C425">
            <v>7700</v>
          </cell>
          <cell r="D425" t="str">
            <v>B115</v>
          </cell>
          <cell r="E425">
            <v>4139.3</v>
          </cell>
          <cell r="F425">
            <v>4139.3</v>
          </cell>
        </row>
        <row r="426">
          <cell r="A426">
            <v>675201</v>
          </cell>
          <cell r="B426" t="str">
            <v>Valeurs cpt immo cédées</v>
          </cell>
          <cell r="C426">
            <v>6295</v>
          </cell>
          <cell r="D426" t="str">
            <v>B12</v>
          </cell>
          <cell r="E426" t="e">
            <v>#N/A</v>
          </cell>
          <cell r="F426">
            <v>0</v>
          </cell>
        </row>
        <row r="427">
          <cell r="A427">
            <v>681000</v>
          </cell>
          <cell r="B427" t="str">
            <v>Dot aux amort corporel</v>
          </cell>
          <cell r="C427">
            <v>4700</v>
          </cell>
          <cell r="D427" t="str">
            <v>B111</v>
          </cell>
          <cell r="E427" t="e">
            <v>#N/A</v>
          </cell>
          <cell r="F427">
            <v>0</v>
          </cell>
        </row>
        <row r="428">
          <cell r="A428">
            <v>681100</v>
          </cell>
          <cell r="B428" t="str">
            <v>Dot aux amort corporel</v>
          </cell>
          <cell r="C428">
            <v>4700</v>
          </cell>
          <cell r="D428" t="str">
            <v>B111</v>
          </cell>
          <cell r="E428">
            <v>17594.07</v>
          </cell>
          <cell r="F428">
            <v>17594.07</v>
          </cell>
        </row>
        <row r="429">
          <cell r="A429">
            <v>681200</v>
          </cell>
          <cell r="B429" t="str">
            <v>Dot aux amort ???</v>
          </cell>
          <cell r="C429">
            <v>4700</v>
          </cell>
          <cell r="D429" t="str">
            <v>B111</v>
          </cell>
          <cell r="E429" t="e">
            <v>#N/A</v>
          </cell>
          <cell r="F429">
            <v>0</v>
          </cell>
        </row>
        <row r="430">
          <cell r="A430">
            <v>681300</v>
          </cell>
          <cell r="B430" t="str">
            <v>Dot aux amort incorporel</v>
          </cell>
          <cell r="C430">
            <v>4720</v>
          </cell>
          <cell r="D430" t="str">
            <v>B111</v>
          </cell>
          <cell r="E430">
            <v>402.44</v>
          </cell>
          <cell r="F430">
            <v>402.44</v>
          </cell>
        </row>
        <row r="431">
          <cell r="A431">
            <v>681500</v>
          </cell>
          <cell r="B431" t="str">
            <v>Dotations aux prov garantie</v>
          </cell>
          <cell r="C431">
            <v>4821</v>
          </cell>
          <cell r="D431" t="str">
            <v>B112</v>
          </cell>
          <cell r="E431">
            <v>118.62</v>
          </cell>
          <cell r="F431">
            <v>118.62</v>
          </cell>
        </row>
        <row r="432">
          <cell r="A432">
            <v>681730</v>
          </cell>
          <cell r="B432" t="str">
            <v>Dotation aux prov stock</v>
          </cell>
          <cell r="C432">
            <v>3021</v>
          </cell>
          <cell r="D432" t="str">
            <v>B16</v>
          </cell>
          <cell r="E432" t="e">
            <v>#N/A</v>
          </cell>
          <cell r="F432">
            <v>0</v>
          </cell>
        </row>
        <row r="433">
          <cell r="A433">
            <v>681740</v>
          </cell>
          <cell r="B433" t="str">
            <v>Dotation aux prov CL Douteux</v>
          </cell>
          <cell r="C433">
            <v>6821</v>
          </cell>
          <cell r="D433" t="str">
            <v>B11</v>
          </cell>
          <cell r="E433">
            <v>541.30999999999995</v>
          </cell>
          <cell r="F433">
            <v>541.30999999999995</v>
          </cell>
        </row>
        <row r="434">
          <cell r="A434">
            <v>687100</v>
          </cell>
          <cell r="B434" t="str">
            <v>DOTATIONS AMORT EXEPTION IMMO</v>
          </cell>
          <cell r="C434">
            <v>4700</v>
          </cell>
          <cell r="D434" t="str">
            <v>B111</v>
          </cell>
          <cell r="E434">
            <v>81.209999999999994</v>
          </cell>
          <cell r="F434">
            <v>81.209999999999994</v>
          </cell>
        </row>
        <row r="435">
          <cell r="A435">
            <v>695000</v>
          </cell>
          <cell r="B435" t="str">
            <v>Impôt société : contributions redressée en 2001 10% et 15%</v>
          </cell>
          <cell r="C435">
            <v>7910</v>
          </cell>
          <cell r="D435" t="str">
            <v>B117</v>
          </cell>
          <cell r="E435" t="e">
            <v>#N/A</v>
          </cell>
          <cell r="F435">
            <v>0</v>
          </cell>
        </row>
        <row r="436">
          <cell r="A436">
            <v>697000</v>
          </cell>
          <cell r="B436" t="str">
            <v>IFA</v>
          </cell>
          <cell r="C436">
            <v>7910</v>
          </cell>
          <cell r="D436" t="str">
            <v>B117</v>
          </cell>
          <cell r="E436" t="e">
            <v>#N/A</v>
          </cell>
          <cell r="F436">
            <v>0</v>
          </cell>
        </row>
        <row r="437">
          <cell r="A437">
            <v>706000</v>
          </cell>
          <cell r="B437" t="str">
            <v>MO Facturée FR</v>
          </cell>
          <cell r="C437">
            <v>6060</v>
          </cell>
          <cell r="D437" t="str">
            <v>B11</v>
          </cell>
          <cell r="E437" t="e">
            <v>#N/A</v>
          </cell>
          <cell r="F437">
            <v>0</v>
          </cell>
        </row>
        <row r="438">
          <cell r="A438">
            <v>706100</v>
          </cell>
          <cell r="B438" t="str">
            <v>Locations de matériel FR</v>
          </cell>
          <cell r="C438">
            <v>6060</v>
          </cell>
          <cell r="D438" t="str">
            <v>B11</v>
          </cell>
          <cell r="E438">
            <v>-56456.55</v>
          </cell>
          <cell r="F438">
            <v>-56456.55</v>
          </cell>
        </row>
        <row r="439">
          <cell r="A439">
            <v>706120</v>
          </cell>
          <cell r="B439" t="str">
            <v>M.O.D. SAV CEE</v>
          </cell>
          <cell r="C439">
            <v>6060</v>
          </cell>
          <cell r="D439" t="str">
            <v>B11</v>
          </cell>
          <cell r="E439">
            <v>-8011.94</v>
          </cell>
          <cell r="F439">
            <v>-8011.94</v>
          </cell>
        </row>
        <row r="440">
          <cell r="A440">
            <v>706190</v>
          </cell>
          <cell r="B440" t="str">
            <v>M.O.D. SAV EXPORT</v>
          </cell>
          <cell r="C440">
            <v>6060</v>
          </cell>
          <cell r="D440" t="str">
            <v>B11</v>
          </cell>
          <cell r="E440">
            <v>-103.4</v>
          </cell>
          <cell r="F440">
            <v>-103.4</v>
          </cell>
        </row>
        <row r="441">
          <cell r="A441">
            <v>706456</v>
          </cell>
          <cell r="B441" t="str">
            <v>FORMATION FRANCE</v>
          </cell>
          <cell r="C441">
            <v>6060</v>
          </cell>
          <cell r="D441" t="str">
            <v>B11</v>
          </cell>
          <cell r="E441">
            <v>-11776.93</v>
          </cell>
          <cell r="F441">
            <v>-11776.93</v>
          </cell>
        </row>
        <row r="442">
          <cell r="A442">
            <v>706459</v>
          </cell>
          <cell r="B442" t="str">
            <v>FORMATION EXPORT</v>
          </cell>
          <cell r="C442">
            <v>6060</v>
          </cell>
          <cell r="D442" t="str">
            <v>B11</v>
          </cell>
          <cell r="E442">
            <v>1830</v>
          </cell>
          <cell r="F442">
            <v>1830</v>
          </cell>
        </row>
        <row r="443">
          <cell r="A443">
            <v>706900</v>
          </cell>
          <cell r="B443" t="str">
            <v>MO facturée export</v>
          </cell>
          <cell r="C443">
            <v>6060</v>
          </cell>
          <cell r="D443" t="str">
            <v>B11</v>
          </cell>
          <cell r="E443" t="e">
            <v>#N/A</v>
          </cell>
          <cell r="F443">
            <v>0</v>
          </cell>
        </row>
        <row r="444">
          <cell r="A444">
            <v>707000</v>
          </cell>
          <cell r="B444" t="str">
            <v>Ventes FRA</v>
          </cell>
          <cell r="C444">
            <v>6010</v>
          </cell>
          <cell r="D444" t="str">
            <v>B11</v>
          </cell>
          <cell r="E444">
            <v>-57883.92</v>
          </cell>
          <cell r="F444">
            <v>-57883.92</v>
          </cell>
        </row>
        <row r="445">
          <cell r="A445">
            <v>707010</v>
          </cell>
          <cell r="B445" t="str">
            <v>Ventes CUT &amp; STRIP FRA</v>
          </cell>
          <cell r="C445">
            <v>6010</v>
          </cell>
          <cell r="D445" t="str">
            <v>B11</v>
          </cell>
          <cell r="E445">
            <v>-75380.13</v>
          </cell>
          <cell r="F445">
            <v>-75380.13</v>
          </cell>
        </row>
        <row r="446">
          <cell r="A446">
            <v>707020</v>
          </cell>
          <cell r="B446" t="str">
            <v>Ventes CRIMP TO CRIMP FRA</v>
          </cell>
          <cell r="C446">
            <v>6020</v>
          </cell>
          <cell r="D446" t="str">
            <v>B11</v>
          </cell>
          <cell r="E446">
            <v>-541561.73</v>
          </cell>
          <cell r="F446">
            <v>-541561.73</v>
          </cell>
        </row>
        <row r="447">
          <cell r="A447">
            <v>707040</v>
          </cell>
          <cell r="B447" t="str">
            <v>Ventes ACCESSORIES FRA</v>
          </cell>
          <cell r="C447">
            <v>6040</v>
          </cell>
          <cell r="D447" t="str">
            <v>B11</v>
          </cell>
          <cell r="E447">
            <v>-1060607.1000000001</v>
          </cell>
          <cell r="F447">
            <v>-1060607.1000000001</v>
          </cell>
        </row>
        <row r="448">
          <cell r="A448">
            <v>707050</v>
          </cell>
          <cell r="B448" t="str">
            <v>Ventes SPARE PARTS FRA</v>
          </cell>
          <cell r="C448">
            <v>6050</v>
          </cell>
          <cell r="D448" t="str">
            <v>B11</v>
          </cell>
          <cell r="E448">
            <v>-586200.75</v>
          </cell>
          <cell r="F448">
            <v>-586200.75</v>
          </cell>
        </row>
        <row r="449">
          <cell r="A449">
            <v>707210</v>
          </cell>
          <cell r="B449" t="str">
            <v>Ventes CUT &amp; STRIP CEE</v>
          </cell>
          <cell r="C449">
            <v>6010</v>
          </cell>
          <cell r="D449" t="str">
            <v>B11</v>
          </cell>
          <cell r="E449" t="e">
            <v>#N/A</v>
          </cell>
          <cell r="F449">
            <v>0</v>
          </cell>
        </row>
        <row r="450">
          <cell r="A450">
            <v>707220</v>
          </cell>
          <cell r="B450" t="str">
            <v>Ventes CRIMP TO CRIMP CEE</v>
          </cell>
          <cell r="C450">
            <v>6020</v>
          </cell>
          <cell r="D450" t="str">
            <v>B11</v>
          </cell>
          <cell r="E450" t="e">
            <v>#N/A</v>
          </cell>
          <cell r="F450">
            <v>0</v>
          </cell>
        </row>
        <row r="451">
          <cell r="A451">
            <v>707240</v>
          </cell>
          <cell r="B451" t="str">
            <v>Ventes ACCESSORIES CEE</v>
          </cell>
          <cell r="C451">
            <v>6040</v>
          </cell>
          <cell r="D451" t="str">
            <v>B11</v>
          </cell>
          <cell r="E451" t="e">
            <v>#N/A</v>
          </cell>
          <cell r="F451">
            <v>0</v>
          </cell>
        </row>
        <row r="452">
          <cell r="A452">
            <v>707245</v>
          </cell>
          <cell r="B452" t="str">
            <v>Ventes ACCESSORIES CEE</v>
          </cell>
          <cell r="C452" t="str">
            <v>6040IC</v>
          </cell>
          <cell r="D452" t="str">
            <v>B11</v>
          </cell>
          <cell r="E452" t="e">
            <v>#N/A</v>
          </cell>
          <cell r="F452">
            <v>0</v>
          </cell>
        </row>
        <row r="453">
          <cell r="A453">
            <v>707250</v>
          </cell>
          <cell r="B453" t="str">
            <v>Ventes SPARE PARTS CEE</v>
          </cell>
          <cell r="C453">
            <v>6050</v>
          </cell>
          <cell r="D453" t="str">
            <v>B11</v>
          </cell>
          <cell r="E453">
            <v>-3133.89</v>
          </cell>
          <cell r="F453">
            <v>-3133.89</v>
          </cell>
        </row>
        <row r="454">
          <cell r="A454">
            <v>707900</v>
          </cell>
          <cell r="B454" t="str">
            <v>Ventes EXP</v>
          </cell>
          <cell r="C454">
            <v>6010</v>
          </cell>
          <cell r="D454" t="str">
            <v>B11</v>
          </cell>
          <cell r="E454" t="e">
            <v>#N/A</v>
          </cell>
          <cell r="F454">
            <v>0</v>
          </cell>
        </row>
        <row r="455">
          <cell r="A455">
            <v>707910</v>
          </cell>
          <cell r="B455" t="str">
            <v>Ventes CUT &amp; STRIP EXP</v>
          </cell>
          <cell r="C455">
            <v>6010</v>
          </cell>
          <cell r="D455" t="str">
            <v>B11</v>
          </cell>
          <cell r="E455">
            <v>-19998.400000000001</v>
          </cell>
          <cell r="F455">
            <v>-19998.400000000001</v>
          </cell>
        </row>
        <row r="456">
          <cell r="A456">
            <v>707920</v>
          </cell>
          <cell r="B456" t="str">
            <v>Ventes CRIMP TO CRIMP EXP</v>
          </cell>
          <cell r="C456">
            <v>6020</v>
          </cell>
          <cell r="D456" t="str">
            <v>B11</v>
          </cell>
          <cell r="E456">
            <v>37830</v>
          </cell>
          <cell r="F456">
            <v>37830</v>
          </cell>
        </row>
        <row r="457">
          <cell r="A457">
            <v>707940</v>
          </cell>
          <cell r="B457" t="str">
            <v>Ventes ACCESSORIES EXP</v>
          </cell>
          <cell r="C457">
            <v>6040</v>
          </cell>
          <cell r="D457" t="str">
            <v>B11</v>
          </cell>
          <cell r="E457">
            <v>-122341.71</v>
          </cell>
          <cell r="F457">
            <v>-122341.71</v>
          </cell>
        </row>
        <row r="458">
          <cell r="A458">
            <v>707950</v>
          </cell>
          <cell r="B458" t="str">
            <v>Ventes SPARE PARTS EXP</v>
          </cell>
          <cell r="C458">
            <v>6050</v>
          </cell>
          <cell r="D458" t="str">
            <v>B11</v>
          </cell>
          <cell r="E458">
            <v>-86011.55</v>
          </cell>
          <cell r="F458">
            <v>-86011.55</v>
          </cell>
        </row>
        <row r="459">
          <cell r="A459">
            <v>708200</v>
          </cell>
          <cell r="B459" t="str">
            <v>Commissions</v>
          </cell>
          <cell r="C459">
            <v>6119</v>
          </cell>
          <cell r="D459" t="str">
            <v>B11</v>
          </cell>
          <cell r="E459" t="e">
            <v>#N/A</v>
          </cell>
          <cell r="F459">
            <v>0</v>
          </cell>
        </row>
        <row r="460">
          <cell r="A460">
            <v>708210</v>
          </cell>
          <cell r="B460" t="str">
            <v>Commissions C&amp;S</v>
          </cell>
          <cell r="C460">
            <v>6119</v>
          </cell>
          <cell r="D460" t="str">
            <v>B11</v>
          </cell>
          <cell r="E460" t="e">
            <v>#N/A</v>
          </cell>
          <cell r="F460">
            <v>0</v>
          </cell>
        </row>
        <row r="461">
          <cell r="A461">
            <v>708211</v>
          </cell>
          <cell r="B461" t="str">
            <v>Commissions C&amp;S Komax AG</v>
          </cell>
          <cell r="C461" t="str">
            <v>6119IC</v>
          </cell>
          <cell r="D461" t="str">
            <v>B11</v>
          </cell>
          <cell r="E461" t="e">
            <v>#N/A</v>
          </cell>
          <cell r="F461">
            <v>0</v>
          </cell>
        </row>
        <row r="462">
          <cell r="A462">
            <v>708220</v>
          </cell>
          <cell r="B462" t="str">
            <v>Commissions CTC</v>
          </cell>
          <cell r="C462">
            <v>6129</v>
          </cell>
          <cell r="D462" t="str">
            <v>B11</v>
          </cell>
          <cell r="E462" t="e">
            <v>#N/A</v>
          </cell>
          <cell r="F462">
            <v>0</v>
          </cell>
        </row>
        <row r="463">
          <cell r="A463">
            <v>708221</v>
          </cell>
          <cell r="B463" t="str">
            <v>Commissions CTC Komax AG</v>
          </cell>
          <cell r="C463" t="str">
            <v>6129IC</v>
          </cell>
          <cell r="D463" t="str">
            <v>B11</v>
          </cell>
          <cell r="E463" t="e">
            <v>#N/A</v>
          </cell>
          <cell r="F463">
            <v>0</v>
          </cell>
        </row>
        <row r="464">
          <cell r="A464">
            <v>708240</v>
          </cell>
          <cell r="B464" t="str">
            <v>Commissions A</v>
          </cell>
          <cell r="C464">
            <v>6149</v>
          </cell>
          <cell r="D464" t="str">
            <v>B11</v>
          </cell>
          <cell r="E464" t="e">
            <v>#N/A</v>
          </cell>
          <cell r="F464">
            <v>0</v>
          </cell>
        </row>
        <row r="465">
          <cell r="A465">
            <v>708241</v>
          </cell>
          <cell r="B465" t="str">
            <v>Commissions A Komax AG</v>
          </cell>
          <cell r="C465" t="str">
            <v>6149IC</v>
          </cell>
          <cell r="D465" t="str">
            <v>B11</v>
          </cell>
          <cell r="E465" t="e">
            <v>#N/A</v>
          </cell>
          <cell r="F465">
            <v>0</v>
          </cell>
        </row>
        <row r="466">
          <cell r="A466">
            <v>708250</v>
          </cell>
          <cell r="B466" t="str">
            <v>Commissions SP</v>
          </cell>
          <cell r="C466">
            <v>6159</v>
          </cell>
          <cell r="D466" t="str">
            <v>B11</v>
          </cell>
          <cell r="E466" t="e">
            <v>#N/A</v>
          </cell>
          <cell r="F466">
            <v>0</v>
          </cell>
        </row>
        <row r="467">
          <cell r="A467">
            <v>708251</v>
          </cell>
          <cell r="B467" t="str">
            <v>Commissions SP Komax AG</v>
          </cell>
          <cell r="C467" t="str">
            <v>6159IC</v>
          </cell>
          <cell r="D467" t="str">
            <v>B11</v>
          </cell>
          <cell r="E467" t="e">
            <v>#N/A</v>
          </cell>
          <cell r="F467">
            <v>0</v>
          </cell>
        </row>
        <row r="468">
          <cell r="A468">
            <v>708500</v>
          </cell>
          <cell r="B468" t="str">
            <v>Ports embal fact FR</v>
          </cell>
          <cell r="C468">
            <v>6220</v>
          </cell>
          <cell r="D468" t="str">
            <v>B12</v>
          </cell>
          <cell r="E468">
            <v>-23871.27</v>
          </cell>
          <cell r="F468">
            <v>-23871.27</v>
          </cell>
        </row>
        <row r="469">
          <cell r="A469">
            <v>708590</v>
          </cell>
          <cell r="B469" t="str">
            <v>Ports embal fact export</v>
          </cell>
          <cell r="C469">
            <v>6220</v>
          </cell>
          <cell r="D469" t="str">
            <v>B12</v>
          </cell>
          <cell r="E469">
            <v>-2746.97</v>
          </cell>
          <cell r="F469">
            <v>-2746.97</v>
          </cell>
        </row>
        <row r="470">
          <cell r="A470">
            <v>708800</v>
          </cell>
          <cell r="B470" t="str">
            <v>REFACT A KOMAX HOLDING AG</v>
          </cell>
          <cell r="C470">
            <v>6220</v>
          </cell>
          <cell r="D470" t="str">
            <v>B12</v>
          </cell>
          <cell r="E470" t="e">
            <v>#N/A</v>
          </cell>
          <cell r="F470">
            <v>0</v>
          </cell>
        </row>
        <row r="471">
          <cell r="A471">
            <v>740000</v>
          </cell>
          <cell r="B471" t="str">
            <v>Subvention contrat qualif</v>
          </cell>
          <cell r="C471">
            <v>4020</v>
          </cell>
          <cell r="D471" t="str">
            <v>B18</v>
          </cell>
          <cell r="E471">
            <v>-1646.4</v>
          </cell>
          <cell r="F471">
            <v>-1646.4</v>
          </cell>
        </row>
        <row r="472">
          <cell r="A472">
            <v>758100</v>
          </cell>
          <cell r="B472" t="str">
            <v>Produits divers</v>
          </cell>
          <cell r="C472">
            <v>6290</v>
          </cell>
          <cell r="D472" t="str">
            <v>B12</v>
          </cell>
          <cell r="E472">
            <v>-361.23</v>
          </cell>
          <cell r="F472">
            <v>-361.23</v>
          </cell>
        </row>
        <row r="473">
          <cell r="A473">
            <v>758200</v>
          </cell>
          <cell r="B473" t="str">
            <v>Locations machines FR</v>
          </cell>
          <cell r="C473">
            <v>6290</v>
          </cell>
          <cell r="D473" t="str">
            <v>B12</v>
          </cell>
          <cell r="E473" t="e">
            <v>#N/A</v>
          </cell>
          <cell r="F473">
            <v>0</v>
          </cell>
        </row>
        <row r="474">
          <cell r="A474">
            <v>766000</v>
          </cell>
          <cell r="B474" t="str">
            <v>Profits de change</v>
          </cell>
          <cell r="C474">
            <v>7000</v>
          </cell>
          <cell r="D474" t="str">
            <v>B114</v>
          </cell>
          <cell r="E474">
            <v>-3139.21</v>
          </cell>
          <cell r="F474">
            <v>-3139.21</v>
          </cell>
        </row>
        <row r="475">
          <cell r="A475">
            <v>767020</v>
          </cell>
          <cell r="B475" t="str">
            <v>PRODUIT VENTE SICAV MONEPLUS SG</v>
          </cell>
          <cell r="C475">
            <v>7000</v>
          </cell>
          <cell r="D475" t="str">
            <v>B114</v>
          </cell>
          <cell r="E475">
            <v>-20749.09</v>
          </cell>
          <cell r="F475">
            <v>-20749.09</v>
          </cell>
        </row>
        <row r="476">
          <cell r="A476">
            <v>767120</v>
          </cell>
          <cell r="B476" t="str">
            <v>PRODUIT SUR VENTE SICAV</v>
          </cell>
          <cell r="C476">
            <v>7000</v>
          </cell>
          <cell r="D476" t="str">
            <v>B114</v>
          </cell>
          <cell r="E476" t="e">
            <v>#N/A</v>
          </cell>
          <cell r="F476">
            <v>0</v>
          </cell>
        </row>
        <row r="477">
          <cell r="A477">
            <v>767130</v>
          </cell>
          <cell r="B477" t="str">
            <v>PRODUIT VENTE SICAV MONEPRIME BPC</v>
          </cell>
          <cell r="C477">
            <v>7000</v>
          </cell>
          <cell r="D477" t="str">
            <v>B114</v>
          </cell>
          <cell r="E477" t="e">
            <v>#N/A</v>
          </cell>
          <cell r="F477">
            <v>0</v>
          </cell>
        </row>
      </sheetData>
      <sheetData sheetId="33">
        <row r="3">
          <cell r="A3">
            <v>99</v>
          </cell>
          <cell r="B3">
            <v>0</v>
          </cell>
        </row>
        <row r="4">
          <cell r="A4" t="str">
            <v>A11</v>
          </cell>
          <cell r="B4">
            <v>254085.06000000003</v>
          </cell>
        </row>
        <row r="5">
          <cell r="A5" t="str">
            <v>A112</v>
          </cell>
          <cell r="B5">
            <v>0</v>
          </cell>
        </row>
        <row r="6">
          <cell r="A6" t="str">
            <v>A113</v>
          </cell>
          <cell r="B6">
            <v>-498358.53000000009</v>
          </cell>
        </row>
        <row r="7">
          <cell r="A7" t="str">
            <v>A114</v>
          </cell>
          <cell r="B7">
            <v>-257261.27000000002</v>
          </cell>
        </row>
        <row r="8">
          <cell r="A8" t="str">
            <v>A116</v>
          </cell>
          <cell r="B8">
            <v>-680000</v>
          </cell>
        </row>
        <row r="9">
          <cell r="A9" t="str">
            <v>A117</v>
          </cell>
          <cell r="B9">
            <v>-12400</v>
          </cell>
        </row>
        <row r="10">
          <cell r="A10" t="str">
            <v>A119</v>
          </cell>
          <cell r="B10">
            <v>-1500000</v>
          </cell>
        </row>
        <row r="11">
          <cell r="A11" t="str">
            <v>A120</v>
          </cell>
          <cell r="B11">
            <v>779057.62999999989</v>
          </cell>
        </row>
        <row r="12">
          <cell r="A12" t="str">
            <v>A121</v>
          </cell>
          <cell r="B12">
            <v>0</v>
          </cell>
        </row>
        <row r="13">
          <cell r="A13" t="str">
            <v>A12</v>
          </cell>
          <cell r="B13">
            <v>634002.01</v>
          </cell>
        </row>
        <row r="14">
          <cell r="A14" t="str">
            <v>A13</v>
          </cell>
          <cell r="B14">
            <v>213912.09000000003</v>
          </cell>
        </row>
        <row r="15">
          <cell r="A15" t="str">
            <v>A14</v>
          </cell>
          <cell r="B15">
            <v>743960.9</v>
          </cell>
        </row>
        <row r="16">
          <cell r="A16" t="str">
            <v>A15</v>
          </cell>
          <cell r="B16">
            <v>0</v>
          </cell>
        </row>
        <row r="17">
          <cell r="A17" t="str">
            <v>A17</v>
          </cell>
          <cell r="B17">
            <v>41483.870000000024</v>
          </cell>
        </row>
        <row r="18">
          <cell r="A18" t="str">
            <v>A18</v>
          </cell>
          <cell r="B18">
            <v>152798.15</v>
          </cell>
        </row>
        <row r="19">
          <cell r="A19" t="str">
            <v>A19</v>
          </cell>
          <cell r="B19">
            <v>20809.259999999998</v>
          </cell>
        </row>
        <row r="20">
          <cell r="A20" t="str">
            <v>B11</v>
          </cell>
          <cell r="B20">
            <v>-2952246.63</v>
          </cell>
        </row>
        <row r="21">
          <cell r="A21" t="str">
            <v>B111</v>
          </cell>
          <cell r="B21">
            <v>15657.95</v>
          </cell>
        </row>
        <row r="22">
          <cell r="A22" t="str">
            <v>B112</v>
          </cell>
          <cell r="B22">
            <v>234904.13999999998</v>
          </cell>
        </row>
        <row r="23">
          <cell r="A23" t="str">
            <v>B114</v>
          </cell>
          <cell r="B23">
            <v>12618.940000000002</v>
          </cell>
        </row>
        <row r="24">
          <cell r="A24" t="str">
            <v>B115</v>
          </cell>
          <cell r="B24">
            <v>59000</v>
          </cell>
        </row>
        <row r="25">
          <cell r="A25" t="str">
            <v>B117</v>
          </cell>
          <cell r="B25">
            <v>1875</v>
          </cell>
        </row>
        <row r="26">
          <cell r="A26" t="str">
            <v>B12</v>
          </cell>
          <cell r="B26">
            <v>-81349.459999999992</v>
          </cell>
        </row>
        <row r="27">
          <cell r="A27" t="str">
            <v>B13</v>
          </cell>
          <cell r="B27">
            <v>617.11</v>
          </cell>
        </row>
        <row r="28">
          <cell r="A28" t="str">
            <v>B16</v>
          </cell>
          <cell r="B28">
            <v>2204225.17</v>
          </cell>
        </row>
        <row r="29">
          <cell r="A29" t="str">
            <v>B18</v>
          </cell>
          <cell r="B29">
            <v>528615.27999999991</v>
          </cell>
        </row>
        <row r="30">
          <cell r="A30" t="str">
            <v>B19</v>
          </cell>
          <cell r="B30">
            <v>83993.33</v>
          </cell>
        </row>
      </sheetData>
      <sheetData sheetId="34">
        <row r="3">
          <cell r="C3" t="str">
            <v>TVTS</v>
          </cell>
          <cell r="D3">
            <v>5220</v>
          </cell>
        </row>
        <row r="4">
          <cell r="C4" t="str">
            <v>Orga</v>
          </cell>
          <cell r="D4">
            <v>3965</v>
          </cell>
        </row>
        <row r="5">
          <cell r="C5" t="str">
            <v>Cons</v>
          </cell>
          <cell r="D5">
            <v>3906.04</v>
          </cell>
        </row>
        <row r="6">
          <cell r="C6" t="str">
            <v>Prud</v>
          </cell>
          <cell r="D6">
            <v>0</v>
          </cell>
        </row>
        <row r="7">
          <cell r="C7" t="str">
            <v>Fisc</v>
          </cell>
          <cell r="D7">
            <v>0</v>
          </cell>
        </row>
        <row r="8">
          <cell r="C8" t="str">
            <v xml:space="preserve">IFA </v>
          </cell>
          <cell r="D8" t="e">
            <v>#N/A</v>
          </cell>
        </row>
        <row r="10">
          <cell r="C10" t="str">
            <v>ADIV</v>
          </cell>
          <cell r="D10">
            <v>0</v>
          </cell>
        </row>
        <row r="11">
          <cell r="C11" t="str">
            <v>ADIV</v>
          </cell>
          <cell r="D11">
            <v>6019</v>
          </cell>
        </row>
        <row r="12">
          <cell r="C12" t="str">
            <v>ADIV</v>
          </cell>
          <cell r="D12">
            <v>-10195</v>
          </cell>
        </row>
        <row r="13">
          <cell r="C13" t="str">
            <v>ADIV</v>
          </cell>
          <cell r="D13">
            <v>-40342</v>
          </cell>
        </row>
        <row r="14">
          <cell r="C14" t="str">
            <v>ADIV</v>
          </cell>
          <cell r="D14">
            <v>14078</v>
          </cell>
        </row>
        <row r="15">
          <cell r="C15" t="str">
            <v>ADIV</v>
          </cell>
          <cell r="D15">
            <v>-19431</v>
          </cell>
        </row>
        <row r="16">
          <cell r="C16" t="str">
            <v>ADIV</v>
          </cell>
          <cell r="D16">
            <v>-23010.95</v>
          </cell>
        </row>
        <row r="17">
          <cell r="C17" t="str">
            <v>ADIV</v>
          </cell>
          <cell r="D17">
            <v>0</v>
          </cell>
        </row>
        <row r="18">
          <cell r="C18" t="str">
            <v>ATVAFR</v>
          </cell>
          <cell r="D18">
            <v>-1669.52</v>
          </cell>
        </row>
        <row r="19">
          <cell r="C19" t="str">
            <v>ATVAFR</v>
          </cell>
          <cell r="D19">
            <v>-206</v>
          </cell>
        </row>
        <row r="20">
          <cell r="C20" t="str">
            <v>ATVAFR</v>
          </cell>
          <cell r="D20">
            <v>0</v>
          </cell>
        </row>
        <row r="21">
          <cell r="C21" t="str">
            <v>ATVAFR</v>
          </cell>
          <cell r="D21">
            <v>-84247.25</v>
          </cell>
        </row>
        <row r="22">
          <cell r="C22" t="str">
            <v>ATVACE</v>
          </cell>
          <cell r="D22">
            <v>0</v>
          </cell>
        </row>
        <row r="23">
          <cell r="C23" t="str">
            <v>ATVAEX</v>
          </cell>
          <cell r="D23">
            <v>0</v>
          </cell>
        </row>
        <row r="24">
          <cell r="C24" t="str">
            <v>ATVAEX</v>
          </cell>
          <cell r="D24">
            <v>2057.4499999999998</v>
          </cell>
        </row>
      </sheetData>
      <sheetData sheetId="35">
        <row r="1">
          <cell r="A1" t="str">
            <v>CODE</v>
          </cell>
        </row>
      </sheetData>
      <sheetData sheetId="36">
        <row r="2">
          <cell r="A2">
            <v>101300</v>
          </cell>
        </row>
      </sheetData>
      <sheetData sheetId="37">
        <row r="3">
          <cell r="A3">
            <v>99</v>
          </cell>
        </row>
      </sheetData>
      <sheetData sheetId="38">
        <row r="3">
          <cell r="C3" t="str">
            <v>TVTS</v>
          </cell>
        </row>
      </sheetData>
      <sheetData sheetId="39">
        <row r="2">
          <cell r="A2">
            <v>101300</v>
          </cell>
        </row>
      </sheetData>
      <sheetData sheetId="40">
        <row r="3">
          <cell r="A3">
            <v>99</v>
          </cell>
        </row>
      </sheetData>
      <sheetData sheetId="41">
        <row r="2">
          <cell r="A2" t="str">
            <v>Initial Filling</v>
          </cell>
        </row>
      </sheetData>
      <sheetData sheetId="42">
        <row r="1">
          <cell r="A1" t="str">
            <v>CODE</v>
          </cell>
        </row>
      </sheetData>
      <sheetData sheetId="43">
        <row r="2">
          <cell r="A2">
            <v>101300</v>
          </cell>
        </row>
      </sheetData>
      <sheetData sheetId="44">
        <row r="3">
          <cell r="A3">
            <v>99</v>
          </cell>
        </row>
      </sheetData>
      <sheetData sheetId="45">
        <row r="3">
          <cell r="C3" t="str">
            <v>TVTS</v>
          </cell>
        </row>
      </sheetData>
      <sheetData sheetId="46">
        <row r="2">
          <cell r="A2">
            <v>101300</v>
          </cell>
        </row>
      </sheetData>
      <sheetData sheetId="47">
        <row r="3">
          <cell r="A3">
            <v>99</v>
          </cell>
        </row>
      </sheetData>
      <sheetData sheetId="48">
        <row r="3">
          <cell r="C3" t="str">
            <v>TVTS</v>
          </cell>
        </row>
      </sheetData>
      <sheetData sheetId="49">
        <row r="1">
          <cell r="A1" t="str">
            <v>CODE</v>
          </cell>
        </row>
      </sheetData>
      <sheetData sheetId="50">
        <row r="2">
          <cell r="A2">
            <v>101300</v>
          </cell>
        </row>
      </sheetData>
      <sheetData sheetId="51">
        <row r="3">
          <cell r="A3">
            <v>99</v>
          </cell>
        </row>
      </sheetData>
      <sheetData sheetId="52">
        <row r="3">
          <cell r="C3" t="str">
            <v>TVTS</v>
          </cell>
        </row>
      </sheetData>
      <sheetData sheetId="53">
        <row r="2">
          <cell r="A2">
            <v>101300</v>
          </cell>
        </row>
      </sheetData>
      <sheetData sheetId="54">
        <row r="3">
          <cell r="A3">
            <v>99</v>
          </cell>
        </row>
      </sheetData>
      <sheetData sheetId="55">
        <row r="3">
          <cell r="C3" t="str">
            <v>TVTS</v>
          </cell>
        </row>
      </sheetData>
      <sheetData sheetId="56">
        <row r="1">
          <cell r="A1" t="str">
            <v>CODE</v>
          </cell>
        </row>
      </sheetData>
      <sheetData sheetId="57">
        <row r="2">
          <cell r="A2">
            <v>101300</v>
          </cell>
        </row>
      </sheetData>
      <sheetData sheetId="58">
        <row r="3">
          <cell r="A3">
            <v>99</v>
          </cell>
        </row>
      </sheetData>
      <sheetData sheetId="59">
        <row r="3">
          <cell r="C3" t="str">
            <v>TVTS</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ow r="1">
          <cell r="A1" t="str">
            <v>CODE</v>
          </cell>
        </row>
      </sheetData>
      <sheetData sheetId="70">
        <row r="1">
          <cell r="A1" t="str">
            <v>CODE</v>
          </cell>
        </row>
      </sheetData>
      <sheetData sheetId="71">
        <row r="1">
          <cell r="A1" t="str">
            <v>CODE</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1">
          <cell r="A1" t="str">
            <v>Customer Name</v>
          </cell>
        </row>
      </sheetData>
      <sheetData sheetId="105">
        <row r="1">
          <cell r="A1" t="str">
            <v>CODE</v>
          </cell>
        </row>
      </sheetData>
      <sheetData sheetId="106">
        <row r="1">
          <cell r="A1" t="str">
            <v>CODE</v>
          </cell>
        </row>
      </sheetData>
      <sheetData sheetId="107">
        <row r="1">
          <cell r="A1" t="str">
            <v>CODE</v>
          </cell>
        </row>
      </sheetData>
      <sheetData sheetId="108">
        <row r="1">
          <cell r="A1" t="str">
            <v>CODE</v>
          </cell>
        </row>
      </sheetData>
      <sheetData sheetId="109">
        <row r="1">
          <cell r="A1" t="str">
            <v>CODE</v>
          </cell>
        </row>
      </sheetData>
      <sheetData sheetId="110">
        <row r="1">
          <cell r="A1" t="str">
            <v>CODE</v>
          </cell>
        </row>
      </sheetData>
      <sheetData sheetId="111">
        <row r="1">
          <cell r="A1" t="str">
            <v>CODE</v>
          </cell>
        </row>
      </sheetData>
      <sheetData sheetId="112">
        <row r="1">
          <cell r="A1" t="str">
            <v>CODE</v>
          </cell>
        </row>
      </sheetData>
      <sheetData sheetId="113">
        <row r="1">
          <cell r="A1" t="str">
            <v>CODE</v>
          </cell>
        </row>
      </sheetData>
      <sheetData sheetId="114">
        <row r="1">
          <cell r="A1" t="str">
            <v>CODE</v>
          </cell>
        </row>
      </sheetData>
      <sheetData sheetId="115">
        <row r="1">
          <cell r="A1" t="str">
            <v>CODE</v>
          </cell>
        </row>
      </sheetData>
      <sheetData sheetId="116">
        <row r="1">
          <cell r="A1" t="str">
            <v>CODE</v>
          </cell>
        </row>
      </sheetData>
      <sheetData sheetId="117">
        <row r="1">
          <cell r="A1" t="str">
            <v>CODE</v>
          </cell>
        </row>
      </sheetData>
      <sheetData sheetId="118">
        <row r="1">
          <cell r="A1" t="str">
            <v>CODE</v>
          </cell>
        </row>
      </sheetData>
      <sheetData sheetId="119">
        <row r="1">
          <cell r="A1" t="str">
            <v>CODE</v>
          </cell>
        </row>
      </sheetData>
      <sheetData sheetId="120">
        <row r="1">
          <cell r="A1" t="str">
            <v>CODE</v>
          </cell>
        </row>
      </sheetData>
      <sheetData sheetId="121">
        <row r="1">
          <cell r="A1" t="str">
            <v>CODE</v>
          </cell>
        </row>
      </sheetData>
      <sheetData sheetId="122">
        <row r="1">
          <cell r="A1" t="str">
            <v>CODE</v>
          </cell>
        </row>
      </sheetData>
      <sheetData sheetId="123">
        <row r="1">
          <cell r="A1" t="str">
            <v>CODE</v>
          </cell>
        </row>
      </sheetData>
      <sheetData sheetId="124">
        <row r="1">
          <cell r="A1" t="str">
            <v>CODE</v>
          </cell>
        </row>
      </sheetData>
      <sheetData sheetId="125">
        <row r="1">
          <cell r="A1" t="str">
            <v>Customer Name</v>
          </cell>
        </row>
      </sheetData>
      <sheetData sheetId="126">
        <row r="1">
          <cell r="A1" t="str">
            <v>CODE</v>
          </cell>
        </row>
      </sheetData>
      <sheetData sheetId="127">
        <row r="1">
          <cell r="A1" t="str">
            <v>CODE</v>
          </cell>
        </row>
      </sheetData>
      <sheetData sheetId="128">
        <row r="1">
          <cell r="A1" t="str">
            <v>CODE</v>
          </cell>
        </row>
      </sheetData>
      <sheetData sheetId="129">
        <row r="1">
          <cell r="A1" t="str">
            <v>CODE</v>
          </cell>
        </row>
      </sheetData>
      <sheetData sheetId="130">
        <row r="1">
          <cell r="A1" t="str">
            <v>CODE</v>
          </cell>
        </row>
      </sheetData>
      <sheetData sheetId="131">
        <row r="1">
          <cell r="A1" t="str">
            <v>CODE</v>
          </cell>
        </row>
      </sheetData>
      <sheetData sheetId="132">
        <row r="1">
          <cell r="A1" t="str">
            <v>CODE</v>
          </cell>
        </row>
      </sheetData>
      <sheetData sheetId="133">
        <row r="1">
          <cell r="A1" t="str">
            <v>CODE</v>
          </cell>
        </row>
      </sheetData>
      <sheetData sheetId="134">
        <row r="1">
          <cell r="A1" t="str">
            <v>CODE</v>
          </cell>
        </row>
      </sheetData>
      <sheetData sheetId="135">
        <row r="1">
          <cell r="A1" t="str">
            <v>CODE</v>
          </cell>
        </row>
      </sheetData>
      <sheetData sheetId="136">
        <row r="1">
          <cell r="A1" t="str">
            <v>CODE</v>
          </cell>
        </row>
      </sheetData>
      <sheetData sheetId="137">
        <row r="1">
          <cell r="A1" t="str">
            <v>CODE</v>
          </cell>
        </row>
      </sheetData>
      <sheetData sheetId="138">
        <row r="1">
          <cell r="A1" t="str">
            <v>CODE</v>
          </cell>
        </row>
      </sheetData>
      <sheetData sheetId="139">
        <row r="1">
          <cell r="A1" t="str">
            <v>CODE</v>
          </cell>
        </row>
      </sheetData>
      <sheetData sheetId="140">
        <row r="1">
          <cell r="A1" t="str">
            <v>PARTICULARS</v>
          </cell>
        </row>
      </sheetData>
      <sheetData sheetId="141">
        <row r="1">
          <cell r="A1" t="str">
            <v>CODE</v>
          </cell>
        </row>
      </sheetData>
      <sheetData sheetId="142">
        <row r="1">
          <cell r="A1" t="str">
            <v>Customer Name</v>
          </cell>
        </row>
      </sheetData>
      <sheetData sheetId="143">
        <row r="1">
          <cell r="A1" t="str">
            <v>CODE</v>
          </cell>
        </row>
      </sheetData>
      <sheetData sheetId="144">
        <row r="1">
          <cell r="A1" t="str">
            <v>CODE</v>
          </cell>
        </row>
      </sheetData>
      <sheetData sheetId="145">
        <row r="1">
          <cell r="A1" t="str">
            <v>CODE</v>
          </cell>
        </row>
      </sheetData>
      <sheetData sheetId="146">
        <row r="1">
          <cell r="A1" t="str">
            <v>CODE</v>
          </cell>
        </row>
      </sheetData>
      <sheetData sheetId="147">
        <row r="1">
          <cell r="A1" t="str">
            <v>CODE</v>
          </cell>
        </row>
      </sheetData>
      <sheetData sheetId="148">
        <row r="1">
          <cell r="A1" t="str">
            <v>CODE</v>
          </cell>
        </row>
      </sheetData>
      <sheetData sheetId="149" refreshError="1"/>
      <sheetData sheetId="150">
        <row r="1">
          <cell r="A1" t="str">
            <v>CODE</v>
          </cell>
        </row>
      </sheetData>
      <sheetData sheetId="151" refreshError="1"/>
      <sheetData sheetId="152">
        <row r="1">
          <cell r="A1" t="str">
            <v>Customer Name</v>
          </cell>
        </row>
      </sheetData>
      <sheetData sheetId="153">
        <row r="1">
          <cell r="A1" t="str">
            <v>Customer Name</v>
          </cell>
        </row>
      </sheetData>
      <sheetData sheetId="154">
        <row r="1">
          <cell r="A1" t="str">
            <v>CODE</v>
          </cell>
        </row>
      </sheetData>
      <sheetData sheetId="155">
        <row r="1">
          <cell r="A1" t="str">
            <v>CODE</v>
          </cell>
        </row>
      </sheetData>
      <sheetData sheetId="156">
        <row r="1">
          <cell r="A1" t="str">
            <v>CODE</v>
          </cell>
        </row>
      </sheetData>
      <sheetData sheetId="157">
        <row r="1">
          <cell r="A1" t="str">
            <v>CODE</v>
          </cell>
        </row>
      </sheetData>
      <sheetData sheetId="158" refreshError="1"/>
      <sheetData sheetId="159">
        <row r="1">
          <cell r="A1" t="str">
            <v>CODE</v>
          </cell>
        </row>
      </sheetData>
      <sheetData sheetId="160">
        <row r="1">
          <cell r="A1" t="str">
            <v>PARTICULARS</v>
          </cell>
        </row>
      </sheetData>
      <sheetData sheetId="161">
        <row r="1">
          <cell r="A1" t="str">
            <v>CODE</v>
          </cell>
        </row>
      </sheetData>
      <sheetData sheetId="162">
        <row r="1">
          <cell r="A1" t="str">
            <v>CODE</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ow r="1">
          <cell r="A1" t="str">
            <v>CODE</v>
          </cell>
        </row>
      </sheetData>
      <sheetData sheetId="182">
        <row r="1">
          <cell r="A1" t="str">
            <v>CODE</v>
          </cell>
        </row>
      </sheetData>
      <sheetData sheetId="183">
        <row r="1">
          <cell r="A1" t="str">
            <v>Customer Name</v>
          </cell>
        </row>
      </sheetData>
      <sheetData sheetId="184">
        <row r="1">
          <cell r="A1" t="str">
            <v>CODE</v>
          </cell>
        </row>
      </sheetData>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ow r="1">
          <cell r="A1" t="str">
            <v>CODE</v>
          </cell>
        </row>
      </sheetData>
      <sheetData sheetId="220">
        <row r="1">
          <cell r="A1" t="str">
            <v>CODE</v>
          </cell>
        </row>
      </sheetData>
      <sheetData sheetId="221">
        <row r="1">
          <cell r="A1" t="str">
            <v>CODE</v>
          </cell>
        </row>
      </sheetData>
      <sheetData sheetId="222">
        <row r="1">
          <cell r="A1" t="str">
            <v>CODE</v>
          </cell>
        </row>
      </sheetData>
      <sheetData sheetId="223">
        <row r="1">
          <cell r="A1" t="str">
            <v>CODE</v>
          </cell>
        </row>
      </sheetData>
      <sheetData sheetId="224">
        <row r="1">
          <cell r="A1" t="str">
            <v>CODE</v>
          </cell>
        </row>
      </sheetData>
      <sheetData sheetId="225">
        <row r="1">
          <cell r="A1" t="str">
            <v>CODE</v>
          </cell>
        </row>
      </sheetData>
      <sheetData sheetId="226">
        <row r="1">
          <cell r="A1" t="str">
            <v>CODE</v>
          </cell>
        </row>
      </sheetData>
      <sheetData sheetId="227">
        <row r="1">
          <cell r="A1" t="str">
            <v>CODE</v>
          </cell>
        </row>
      </sheetData>
      <sheetData sheetId="228">
        <row r="1">
          <cell r="A1" t="str">
            <v>CODE</v>
          </cell>
        </row>
      </sheetData>
      <sheetData sheetId="229">
        <row r="1">
          <cell r="A1" t="str">
            <v>CODE</v>
          </cell>
        </row>
      </sheetData>
      <sheetData sheetId="230">
        <row r="1">
          <cell r="A1" t="str">
            <v>PARTICULARS</v>
          </cell>
        </row>
      </sheetData>
      <sheetData sheetId="231">
        <row r="1">
          <cell r="A1" t="str">
            <v>CODE</v>
          </cell>
        </row>
      </sheetData>
      <sheetData sheetId="232">
        <row r="1">
          <cell r="A1" t="str">
            <v>CODE</v>
          </cell>
        </row>
      </sheetData>
      <sheetData sheetId="233">
        <row r="1">
          <cell r="A1" t="str">
            <v>CODE</v>
          </cell>
        </row>
      </sheetData>
      <sheetData sheetId="234">
        <row r="1">
          <cell r="A1" t="str">
            <v>CODE</v>
          </cell>
        </row>
      </sheetData>
      <sheetData sheetId="235">
        <row r="1">
          <cell r="A1" t="str">
            <v>CODE</v>
          </cell>
        </row>
      </sheetData>
      <sheetData sheetId="236">
        <row r="1">
          <cell r="A1" t="str">
            <v>CODE</v>
          </cell>
        </row>
      </sheetData>
      <sheetData sheetId="237">
        <row r="1">
          <cell r="A1" t="str">
            <v>CODE</v>
          </cell>
        </row>
      </sheetData>
      <sheetData sheetId="238">
        <row r="1">
          <cell r="A1" t="str">
            <v>CODE</v>
          </cell>
        </row>
      </sheetData>
      <sheetData sheetId="239">
        <row r="1">
          <cell r="A1" t="str">
            <v>CODE</v>
          </cell>
        </row>
      </sheetData>
      <sheetData sheetId="240">
        <row r="1">
          <cell r="A1" t="str">
            <v>CODE</v>
          </cell>
        </row>
      </sheetData>
      <sheetData sheetId="241">
        <row r="1">
          <cell r="A1" t="str">
            <v>CODE</v>
          </cell>
        </row>
      </sheetData>
      <sheetData sheetId="242">
        <row r="1">
          <cell r="A1" t="str">
            <v>CODE</v>
          </cell>
        </row>
      </sheetData>
      <sheetData sheetId="243">
        <row r="1">
          <cell r="A1" t="str">
            <v>CODE</v>
          </cell>
        </row>
      </sheetData>
      <sheetData sheetId="244">
        <row r="1">
          <cell r="A1" t="str">
            <v>CODE</v>
          </cell>
        </row>
      </sheetData>
      <sheetData sheetId="245">
        <row r="1">
          <cell r="A1" t="str">
            <v>CODE</v>
          </cell>
        </row>
      </sheetData>
      <sheetData sheetId="246">
        <row r="1">
          <cell r="A1" t="str">
            <v>CODE</v>
          </cell>
        </row>
      </sheetData>
      <sheetData sheetId="247">
        <row r="1">
          <cell r="A1" t="str">
            <v>CODE</v>
          </cell>
        </row>
      </sheetData>
      <sheetData sheetId="248">
        <row r="1">
          <cell r="A1" t="str">
            <v>CODE</v>
          </cell>
        </row>
      </sheetData>
      <sheetData sheetId="249">
        <row r="1">
          <cell r="A1" t="str">
            <v>CODE</v>
          </cell>
        </row>
      </sheetData>
      <sheetData sheetId="250">
        <row r="1">
          <cell r="A1" t="str">
            <v>CODE</v>
          </cell>
        </row>
      </sheetData>
      <sheetData sheetId="251">
        <row r="1">
          <cell r="A1" t="str">
            <v>CODE</v>
          </cell>
        </row>
      </sheetData>
      <sheetData sheetId="252">
        <row r="1">
          <cell r="A1" t="str">
            <v>CODE</v>
          </cell>
        </row>
      </sheetData>
      <sheetData sheetId="253">
        <row r="1">
          <cell r="A1" t="str">
            <v>CODE</v>
          </cell>
        </row>
      </sheetData>
      <sheetData sheetId="254">
        <row r="1">
          <cell r="A1" t="str">
            <v>CODE</v>
          </cell>
        </row>
      </sheetData>
      <sheetData sheetId="255">
        <row r="1">
          <cell r="A1" t="str">
            <v>CODE</v>
          </cell>
        </row>
      </sheetData>
      <sheetData sheetId="256">
        <row r="1">
          <cell r="A1" t="str">
            <v>CODE</v>
          </cell>
        </row>
      </sheetData>
      <sheetData sheetId="257">
        <row r="1">
          <cell r="A1" t="str">
            <v>CODE</v>
          </cell>
        </row>
      </sheetData>
      <sheetData sheetId="258">
        <row r="1">
          <cell r="A1" t="str">
            <v>CODE</v>
          </cell>
        </row>
      </sheetData>
      <sheetData sheetId="259">
        <row r="1">
          <cell r="A1" t="str">
            <v>CODE</v>
          </cell>
        </row>
      </sheetData>
      <sheetData sheetId="260">
        <row r="1">
          <cell r="A1" t="str">
            <v>CODE</v>
          </cell>
        </row>
      </sheetData>
      <sheetData sheetId="261">
        <row r="1">
          <cell r="A1" t="str">
            <v>CODE</v>
          </cell>
        </row>
      </sheetData>
      <sheetData sheetId="262">
        <row r="1">
          <cell r="A1" t="str">
            <v>CODE</v>
          </cell>
        </row>
      </sheetData>
      <sheetData sheetId="263">
        <row r="1">
          <cell r="A1" t="str">
            <v>CODE</v>
          </cell>
        </row>
      </sheetData>
      <sheetData sheetId="264">
        <row r="1">
          <cell r="A1" t="str">
            <v>CODE</v>
          </cell>
        </row>
      </sheetData>
      <sheetData sheetId="265">
        <row r="1">
          <cell r="A1" t="str">
            <v>CODE</v>
          </cell>
        </row>
      </sheetData>
      <sheetData sheetId="266">
        <row r="1">
          <cell r="A1" t="str">
            <v>CODE</v>
          </cell>
        </row>
      </sheetData>
      <sheetData sheetId="267">
        <row r="1">
          <cell r="A1" t="str">
            <v>Customer Name</v>
          </cell>
        </row>
      </sheetData>
      <sheetData sheetId="268">
        <row r="1">
          <cell r="A1" t="str">
            <v>CODE</v>
          </cell>
        </row>
      </sheetData>
      <sheetData sheetId="269">
        <row r="1">
          <cell r="A1" t="str">
            <v>CODE</v>
          </cell>
        </row>
      </sheetData>
      <sheetData sheetId="270">
        <row r="1">
          <cell r="A1" t="str">
            <v>CODE</v>
          </cell>
        </row>
      </sheetData>
      <sheetData sheetId="271">
        <row r="1">
          <cell r="A1" t="str">
            <v>CODE</v>
          </cell>
        </row>
      </sheetData>
      <sheetData sheetId="272">
        <row r="1">
          <cell r="A1" t="str">
            <v>CODE</v>
          </cell>
        </row>
      </sheetData>
      <sheetData sheetId="273" refreshError="1"/>
      <sheetData sheetId="274" refreshError="1"/>
      <sheetData sheetId="275" refreshError="1"/>
      <sheetData sheetId="276">
        <row r="1">
          <cell r="A1" t="str">
            <v>CODE</v>
          </cell>
        </row>
      </sheetData>
      <sheetData sheetId="277">
        <row r="1">
          <cell r="A1" t="str">
            <v>CODE</v>
          </cell>
        </row>
      </sheetData>
      <sheetData sheetId="278" refreshError="1"/>
      <sheetData sheetId="279" refreshError="1"/>
      <sheetData sheetId="280" refreshError="1"/>
      <sheetData sheetId="281" refreshError="1"/>
      <sheetData sheetId="282" refreshError="1"/>
      <sheetData sheetId="283" refreshError="1"/>
      <sheetData sheetId="284" refreshError="1"/>
      <sheetData sheetId="285">
        <row r="1">
          <cell r="A1" t="str">
            <v>CODE</v>
          </cell>
        </row>
      </sheetData>
      <sheetData sheetId="286">
        <row r="1">
          <cell r="A1" t="str">
            <v>CODE</v>
          </cell>
        </row>
      </sheetData>
      <sheetData sheetId="287" refreshError="1"/>
      <sheetData sheetId="288">
        <row r="1">
          <cell r="A1" t="str">
            <v>Customer Name</v>
          </cell>
        </row>
      </sheetData>
      <sheetData sheetId="289">
        <row r="1">
          <cell r="A1" t="str">
            <v>CODE</v>
          </cell>
        </row>
      </sheetData>
      <sheetData sheetId="290">
        <row r="1">
          <cell r="A1" t="str">
            <v>CODE</v>
          </cell>
        </row>
      </sheetData>
      <sheetData sheetId="291">
        <row r="1">
          <cell r="A1" t="str">
            <v>CODE</v>
          </cell>
        </row>
      </sheetData>
      <sheetData sheetId="292">
        <row r="1">
          <cell r="A1" t="str">
            <v>CODE</v>
          </cell>
        </row>
      </sheetData>
      <sheetData sheetId="293">
        <row r="1">
          <cell r="A1" t="str">
            <v>CODE</v>
          </cell>
        </row>
      </sheetData>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ow r="1">
          <cell r="A1" t="str">
            <v>Customer Name</v>
          </cell>
        </row>
      </sheetData>
      <sheetData sheetId="307">
        <row r="1">
          <cell r="A1" t="str">
            <v>CODE</v>
          </cell>
        </row>
      </sheetData>
      <sheetData sheetId="308">
        <row r="1">
          <cell r="A1" t="str">
            <v>CODE</v>
          </cell>
        </row>
      </sheetData>
      <sheetData sheetId="309">
        <row r="1">
          <cell r="A1" t="str">
            <v>CODE</v>
          </cell>
        </row>
      </sheetData>
      <sheetData sheetId="310">
        <row r="1">
          <cell r="A1" t="str">
            <v>CODE</v>
          </cell>
        </row>
      </sheetData>
      <sheetData sheetId="311">
        <row r="1">
          <cell r="A1" t="str">
            <v>CODE</v>
          </cell>
        </row>
      </sheetData>
      <sheetData sheetId="312">
        <row r="1">
          <cell r="A1" t="str">
            <v>CODE</v>
          </cell>
        </row>
      </sheetData>
      <sheetData sheetId="313">
        <row r="1">
          <cell r="A1" t="str">
            <v>CODE</v>
          </cell>
        </row>
      </sheetData>
      <sheetData sheetId="314">
        <row r="1">
          <cell r="A1" t="str">
            <v>CODE</v>
          </cell>
        </row>
      </sheetData>
      <sheetData sheetId="315">
        <row r="1">
          <cell r="A1" t="str">
            <v>CODE</v>
          </cell>
        </row>
      </sheetData>
      <sheetData sheetId="316">
        <row r="1">
          <cell r="A1" t="str">
            <v>CODE</v>
          </cell>
        </row>
      </sheetData>
      <sheetData sheetId="317">
        <row r="1">
          <cell r="A1" t="str">
            <v>CODE</v>
          </cell>
        </row>
      </sheetData>
      <sheetData sheetId="318">
        <row r="1">
          <cell r="A1" t="str">
            <v>CODE</v>
          </cell>
        </row>
      </sheetData>
      <sheetData sheetId="319">
        <row r="1">
          <cell r="A1" t="str">
            <v>CODE</v>
          </cell>
        </row>
      </sheetData>
      <sheetData sheetId="320">
        <row r="1">
          <cell r="A1" t="str">
            <v>CODE</v>
          </cell>
        </row>
      </sheetData>
      <sheetData sheetId="321">
        <row r="1">
          <cell r="A1" t="str">
            <v>CODE</v>
          </cell>
        </row>
      </sheetData>
      <sheetData sheetId="322" refreshError="1"/>
      <sheetData sheetId="323" refreshError="1"/>
      <sheetData sheetId="324" refreshError="1"/>
      <sheetData sheetId="325" refreshError="1"/>
      <sheetData sheetId="326">
        <row r="1">
          <cell r="A1" t="str">
            <v>Customer Name</v>
          </cell>
        </row>
      </sheetData>
      <sheetData sheetId="327">
        <row r="1">
          <cell r="A1" t="str">
            <v>CODE</v>
          </cell>
        </row>
      </sheetData>
      <sheetData sheetId="328">
        <row r="1">
          <cell r="A1" t="str">
            <v>CODE</v>
          </cell>
        </row>
      </sheetData>
      <sheetData sheetId="329">
        <row r="1">
          <cell r="A1" t="str">
            <v>CODE</v>
          </cell>
        </row>
      </sheetData>
      <sheetData sheetId="330">
        <row r="1">
          <cell r="A1" t="str">
            <v>CODE</v>
          </cell>
        </row>
      </sheetData>
      <sheetData sheetId="331">
        <row r="1">
          <cell r="A1" t="str">
            <v>CODE</v>
          </cell>
        </row>
      </sheetData>
      <sheetData sheetId="332">
        <row r="1">
          <cell r="A1" t="str">
            <v>Customer Name</v>
          </cell>
        </row>
      </sheetData>
      <sheetData sheetId="333">
        <row r="1">
          <cell r="A1" t="str">
            <v>Customer Name</v>
          </cell>
        </row>
      </sheetData>
      <sheetData sheetId="334">
        <row r="1">
          <cell r="A1" t="str">
            <v>CODE</v>
          </cell>
        </row>
      </sheetData>
      <sheetData sheetId="335">
        <row r="1">
          <cell r="A1" t="str">
            <v>CODE</v>
          </cell>
        </row>
      </sheetData>
      <sheetData sheetId="336">
        <row r="1">
          <cell r="A1" t="str">
            <v>CODE</v>
          </cell>
        </row>
      </sheetData>
      <sheetData sheetId="337">
        <row r="1">
          <cell r="A1" t="str">
            <v>CODE</v>
          </cell>
        </row>
      </sheetData>
      <sheetData sheetId="338">
        <row r="1">
          <cell r="A1" t="str">
            <v>CODE</v>
          </cell>
        </row>
      </sheetData>
      <sheetData sheetId="339">
        <row r="1">
          <cell r="A1" t="str">
            <v>CODE</v>
          </cell>
        </row>
      </sheetData>
      <sheetData sheetId="340">
        <row r="1">
          <cell r="A1" t="str">
            <v>CODE</v>
          </cell>
        </row>
      </sheetData>
      <sheetData sheetId="341">
        <row r="1">
          <cell r="A1" t="str">
            <v>CODE</v>
          </cell>
        </row>
      </sheetData>
      <sheetData sheetId="342" refreshError="1"/>
      <sheetData sheetId="343">
        <row r="1">
          <cell r="A1" t="str">
            <v>CODE</v>
          </cell>
        </row>
      </sheetData>
      <sheetData sheetId="344">
        <row r="1">
          <cell r="A1" t="str">
            <v>CODE</v>
          </cell>
        </row>
      </sheetData>
      <sheetData sheetId="345">
        <row r="1">
          <cell r="A1" t="str">
            <v>CODE</v>
          </cell>
        </row>
      </sheetData>
      <sheetData sheetId="346">
        <row r="1">
          <cell r="A1" t="str">
            <v>CODE</v>
          </cell>
        </row>
      </sheetData>
      <sheetData sheetId="347">
        <row r="1">
          <cell r="A1" t="str">
            <v>CODE</v>
          </cell>
        </row>
      </sheetData>
      <sheetData sheetId="348">
        <row r="1">
          <cell r="A1" t="str">
            <v>CODE</v>
          </cell>
        </row>
      </sheetData>
      <sheetData sheetId="349" refreshError="1"/>
      <sheetData sheetId="350" refreshError="1"/>
      <sheetData sheetId="351" refreshError="1"/>
      <sheetData sheetId="352" refreshError="1"/>
      <sheetData sheetId="353">
        <row r="1">
          <cell r="A1" t="str">
            <v>CODE</v>
          </cell>
        </row>
      </sheetData>
      <sheetData sheetId="354" refreshError="1"/>
      <sheetData sheetId="355" refreshError="1"/>
      <sheetData sheetId="356">
        <row r="1">
          <cell r="A1" t="str">
            <v>CODE</v>
          </cell>
        </row>
      </sheetData>
      <sheetData sheetId="357" refreshError="1"/>
      <sheetData sheetId="358" refreshError="1"/>
      <sheetData sheetId="359" refreshError="1"/>
      <sheetData sheetId="360" refreshError="1"/>
      <sheetData sheetId="361" refreshError="1"/>
      <sheetData sheetId="362">
        <row r="1">
          <cell r="A1" t="str">
            <v>CODE</v>
          </cell>
        </row>
      </sheetData>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ow r="1">
          <cell r="A1" t="str">
            <v>CODE</v>
          </cell>
        </row>
      </sheetData>
      <sheetData sheetId="405">
        <row r="1">
          <cell r="A1" t="str">
            <v>CODE</v>
          </cell>
        </row>
      </sheetData>
      <sheetData sheetId="406">
        <row r="1">
          <cell r="A1" t="str">
            <v>CODE</v>
          </cell>
        </row>
      </sheetData>
      <sheetData sheetId="407">
        <row r="1">
          <cell r="A1" t="str">
            <v>CODE</v>
          </cell>
        </row>
      </sheetData>
      <sheetData sheetId="408" refreshError="1"/>
      <sheetData sheetId="409" refreshError="1"/>
      <sheetData sheetId="410" refreshError="1"/>
      <sheetData sheetId="411" refreshError="1"/>
      <sheetData sheetId="412" refreshError="1"/>
      <sheetData sheetId="413" refreshError="1"/>
      <sheetData sheetId="414" refreshError="1"/>
      <sheetData sheetId="415">
        <row r="1">
          <cell r="A1" t="str">
            <v>CODE</v>
          </cell>
        </row>
      </sheetData>
      <sheetData sheetId="416">
        <row r="1">
          <cell r="A1" t="str">
            <v>CODE</v>
          </cell>
        </row>
      </sheetData>
      <sheetData sheetId="417">
        <row r="1">
          <cell r="A1" t="str">
            <v>CODE</v>
          </cell>
        </row>
      </sheetData>
      <sheetData sheetId="418">
        <row r="1">
          <cell r="A1" t="str">
            <v>CODE</v>
          </cell>
        </row>
      </sheetData>
      <sheetData sheetId="419">
        <row r="1">
          <cell r="A1" t="str">
            <v>CODE</v>
          </cell>
        </row>
      </sheetData>
      <sheetData sheetId="420">
        <row r="1">
          <cell r="A1" t="str">
            <v>CODE</v>
          </cell>
        </row>
      </sheetData>
      <sheetData sheetId="421">
        <row r="1">
          <cell r="A1" t="str">
            <v>CODE</v>
          </cell>
        </row>
      </sheetData>
      <sheetData sheetId="422">
        <row r="1">
          <cell r="A1" t="str">
            <v>CODE</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A1" t="str">
            <v>CODE</v>
          </cell>
        </row>
      </sheetData>
      <sheetData sheetId="433" refreshError="1"/>
      <sheetData sheetId="434">
        <row r="1">
          <cell r="A1" t="str">
            <v>CODE</v>
          </cell>
        </row>
      </sheetData>
      <sheetData sheetId="435" refreshError="1"/>
      <sheetData sheetId="436" refreshError="1"/>
      <sheetData sheetId="437" refreshError="1"/>
      <sheetData sheetId="438">
        <row r="1">
          <cell r="A1" t="str">
            <v>CODE</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ow r="1">
          <cell r="A1" t="str">
            <v>CODE</v>
          </cell>
        </row>
      </sheetData>
      <sheetData sheetId="450" refreshError="1"/>
      <sheetData sheetId="451" refreshError="1"/>
      <sheetData sheetId="452" refreshError="1"/>
      <sheetData sheetId="453" refreshError="1"/>
      <sheetData sheetId="454" refreshError="1"/>
      <sheetData sheetId="455" refreshError="1"/>
      <sheetData sheetId="456">
        <row r="1">
          <cell r="A1" t="str">
            <v>CODE</v>
          </cell>
        </row>
      </sheetData>
      <sheetData sheetId="457">
        <row r="1">
          <cell r="A1" t="str">
            <v>CODE</v>
          </cell>
        </row>
      </sheetData>
      <sheetData sheetId="458" refreshError="1"/>
      <sheetData sheetId="459" refreshError="1"/>
      <sheetData sheetId="460" refreshError="1"/>
      <sheetData sheetId="461">
        <row r="1">
          <cell r="A1" t="str">
            <v>CODE</v>
          </cell>
        </row>
      </sheetData>
      <sheetData sheetId="462">
        <row r="1">
          <cell r="A1" t="str">
            <v>CODE</v>
          </cell>
        </row>
      </sheetData>
      <sheetData sheetId="463">
        <row r="1">
          <cell r="A1" t="str">
            <v>CODE</v>
          </cell>
        </row>
      </sheetData>
      <sheetData sheetId="464">
        <row r="1">
          <cell r="A1" t="str">
            <v>CODE</v>
          </cell>
        </row>
      </sheetData>
      <sheetData sheetId="465">
        <row r="1">
          <cell r="A1" t="str">
            <v>CODE</v>
          </cell>
        </row>
      </sheetData>
      <sheetData sheetId="466">
        <row r="1">
          <cell r="A1" t="str">
            <v>CODE</v>
          </cell>
        </row>
      </sheetData>
      <sheetData sheetId="467">
        <row r="1">
          <cell r="A1" t="str">
            <v>CODE</v>
          </cell>
        </row>
      </sheetData>
      <sheetData sheetId="468">
        <row r="1">
          <cell r="A1" t="str">
            <v>CODE</v>
          </cell>
        </row>
      </sheetData>
      <sheetData sheetId="469">
        <row r="1">
          <cell r="A1" t="str">
            <v>CODE</v>
          </cell>
        </row>
      </sheetData>
      <sheetData sheetId="470">
        <row r="1">
          <cell r="A1" t="str">
            <v>CODE</v>
          </cell>
        </row>
      </sheetData>
      <sheetData sheetId="471">
        <row r="1">
          <cell r="A1" t="str">
            <v>CODE</v>
          </cell>
        </row>
      </sheetData>
      <sheetData sheetId="472">
        <row r="1">
          <cell r="A1" t="str">
            <v>CODE</v>
          </cell>
        </row>
      </sheetData>
      <sheetData sheetId="473">
        <row r="1">
          <cell r="A1" t="str">
            <v>CODE</v>
          </cell>
        </row>
      </sheetData>
      <sheetData sheetId="474">
        <row r="1">
          <cell r="A1" t="str">
            <v>CODE</v>
          </cell>
        </row>
      </sheetData>
      <sheetData sheetId="475">
        <row r="1">
          <cell r="A1" t="str">
            <v>CODE</v>
          </cell>
        </row>
      </sheetData>
      <sheetData sheetId="476">
        <row r="1">
          <cell r="A1" t="str">
            <v>CODE</v>
          </cell>
        </row>
      </sheetData>
      <sheetData sheetId="477">
        <row r="1">
          <cell r="A1" t="str">
            <v>CODE</v>
          </cell>
        </row>
      </sheetData>
      <sheetData sheetId="478">
        <row r="1">
          <cell r="A1" t="str">
            <v>CODE</v>
          </cell>
        </row>
      </sheetData>
      <sheetData sheetId="479">
        <row r="1">
          <cell r="A1" t="str">
            <v>CODE</v>
          </cell>
        </row>
      </sheetData>
      <sheetData sheetId="480">
        <row r="1">
          <cell r="A1" t="str">
            <v>CODE</v>
          </cell>
        </row>
      </sheetData>
      <sheetData sheetId="481">
        <row r="1">
          <cell r="A1" t="str">
            <v>CODE</v>
          </cell>
        </row>
      </sheetData>
      <sheetData sheetId="482">
        <row r="1">
          <cell r="A1" t="str">
            <v>CODE</v>
          </cell>
        </row>
      </sheetData>
      <sheetData sheetId="483">
        <row r="1">
          <cell r="A1" t="str">
            <v>CODE</v>
          </cell>
        </row>
      </sheetData>
      <sheetData sheetId="484">
        <row r="1">
          <cell r="A1" t="str">
            <v>CODE</v>
          </cell>
        </row>
      </sheetData>
      <sheetData sheetId="485">
        <row r="1">
          <cell r="A1" t="str">
            <v>CODE</v>
          </cell>
        </row>
      </sheetData>
      <sheetData sheetId="486">
        <row r="1">
          <cell r="A1" t="str">
            <v>CODE</v>
          </cell>
        </row>
      </sheetData>
      <sheetData sheetId="487">
        <row r="1">
          <cell r="A1" t="str">
            <v>CODE</v>
          </cell>
        </row>
      </sheetData>
      <sheetData sheetId="488">
        <row r="1">
          <cell r="A1" t="str">
            <v>CODE</v>
          </cell>
        </row>
      </sheetData>
      <sheetData sheetId="489">
        <row r="1">
          <cell r="A1" t="str">
            <v>CODE</v>
          </cell>
        </row>
      </sheetData>
      <sheetData sheetId="490">
        <row r="1">
          <cell r="A1" t="str">
            <v>CODE</v>
          </cell>
        </row>
      </sheetData>
      <sheetData sheetId="491">
        <row r="1">
          <cell r="A1" t="str">
            <v>CODE</v>
          </cell>
        </row>
      </sheetData>
      <sheetData sheetId="492">
        <row r="1">
          <cell r="A1" t="str">
            <v>CODE</v>
          </cell>
        </row>
      </sheetData>
      <sheetData sheetId="493">
        <row r="1">
          <cell r="A1" t="str">
            <v>CODE</v>
          </cell>
        </row>
      </sheetData>
      <sheetData sheetId="494">
        <row r="1">
          <cell r="A1" t="str">
            <v>CODE</v>
          </cell>
        </row>
      </sheetData>
      <sheetData sheetId="495">
        <row r="1">
          <cell r="A1" t="str">
            <v>CODE</v>
          </cell>
        </row>
      </sheetData>
      <sheetData sheetId="496">
        <row r="1">
          <cell r="A1" t="str">
            <v>CODE</v>
          </cell>
        </row>
      </sheetData>
      <sheetData sheetId="497">
        <row r="1">
          <cell r="A1" t="str">
            <v>CODE</v>
          </cell>
        </row>
      </sheetData>
      <sheetData sheetId="498">
        <row r="1">
          <cell r="A1" t="str">
            <v>CODE</v>
          </cell>
        </row>
      </sheetData>
      <sheetData sheetId="499" refreshError="1"/>
      <sheetData sheetId="500">
        <row r="1">
          <cell r="A1" t="str">
            <v>CODE</v>
          </cell>
        </row>
      </sheetData>
      <sheetData sheetId="501" refreshError="1"/>
      <sheetData sheetId="502" refreshError="1"/>
      <sheetData sheetId="503">
        <row r="1">
          <cell r="A1" t="str">
            <v>CODE</v>
          </cell>
        </row>
      </sheetData>
      <sheetData sheetId="504" refreshError="1"/>
      <sheetData sheetId="505">
        <row r="1">
          <cell r="A1" t="str">
            <v>CODE</v>
          </cell>
        </row>
      </sheetData>
      <sheetData sheetId="506" refreshError="1"/>
      <sheetData sheetId="507" refreshError="1"/>
      <sheetData sheetId="508" refreshError="1"/>
      <sheetData sheetId="509" refreshError="1"/>
      <sheetData sheetId="510" refreshError="1"/>
      <sheetData sheetId="511" refreshError="1"/>
      <sheetData sheetId="512">
        <row r="1">
          <cell r="A1" t="str">
            <v>CODE</v>
          </cell>
        </row>
      </sheetData>
      <sheetData sheetId="513">
        <row r="1">
          <cell r="A1" t="str">
            <v>CODE</v>
          </cell>
        </row>
      </sheetData>
      <sheetData sheetId="514" refreshError="1"/>
      <sheetData sheetId="515" refreshError="1"/>
      <sheetData sheetId="516" refreshError="1"/>
      <sheetData sheetId="517">
        <row r="1">
          <cell r="A1" t="str">
            <v>CODE</v>
          </cell>
        </row>
      </sheetData>
      <sheetData sheetId="518">
        <row r="1">
          <cell r="A1" t="str">
            <v>CODE</v>
          </cell>
        </row>
      </sheetData>
      <sheetData sheetId="519" refreshError="1"/>
      <sheetData sheetId="520" refreshError="1"/>
      <sheetData sheetId="521" refreshError="1"/>
      <sheetData sheetId="522">
        <row r="1">
          <cell r="A1" t="str">
            <v>CODE</v>
          </cell>
        </row>
      </sheetData>
      <sheetData sheetId="523">
        <row r="1">
          <cell r="A1" t="str">
            <v>CODE</v>
          </cell>
        </row>
      </sheetData>
      <sheetData sheetId="524">
        <row r="1">
          <cell r="A1" t="str">
            <v>CODE</v>
          </cell>
        </row>
      </sheetData>
      <sheetData sheetId="525">
        <row r="1">
          <cell r="A1" t="str">
            <v>CODE</v>
          </cell>
        </row>
      </sheetData>
      <sheetData sheetId="526">
        <row r="1">
          <cell r="A1" t="str">
            <v>CODE</v>
          </cell>
        </row>
      </sheetData>
      <sheetData sheetId="527">
        <row r="1">
          <cell r="A1" t="str">
            <v>CODE</v>
          </cell>
        </row>
      </sheetData>
      <sheetData sheetId="528">
        <row r="1">
          <cell r="A1" t="str">
            <v>CODE</v>
          </cell>
        </row>
      </sheetData>
      <sheetData sheetId="529">
        <row r="1">
          <cell r="A1" t="str">
            <v>CODE</v>
          </cell>
        </row>
      </sheetData>
      <sheetData sheetId="530">
        <row r="1">
          <cell r="A1" t="str">
            <v>CODE</v>
          </cell>
        </row>
      </sheetData>
      <sheetData sheetId="531">
        <row r="1">
          <cell r="A1" t="str">
            <v>CODE</v>
          </cell>
        </row>
      </sheetData>
      <sheetData sheetId="532">
        <row r="1">
          <cell r="A1" t="str">
            <v>CODE</v>
          </cell>
        </row>
      </sheetData>
      <sheetData sheetId="533">
        <row r="1">
          <cell r="A1" t="str">
            <v>CODE</v>
          </cell>
        </row>
      </sheetData>
      <sheetData sheetId="534">
        <row r="1">
          <cell r="A1" t="str">
            <v>CODE</v>
          </cell>
        </row>
      </sheetData>
      <sheetData sheetId="535">
        <row r="1">
          <cell r="A1" t="str">
            <v>CODE</v>
          </cell>
        </row>
      </sheetData>
      <sheetData sheetId="536">
        <row r="1">
          <cell r="A1" t="str">
            <v>CODE</v>
          </cell>
        </row>
      </sheetData>
      <sheetData sheetId="537">
        <row r="1">
          <cell r="A1" t="str">
            <v>CODE</v>
          </cell>
        </row>
      </sheetData>
      <sheetData sheetId="538">
        <row r="1">
          <cell r="A1" t="str">
            <v>CODE</v>
          </cell>
        </row>
      </sheetData>
      <sheetData sheetId="539">
        <row r="1">
          <cell r="A1" t="str">
            <v>CODE</v>
          </cell>
        </row>
      </sheetData>
      <sheetData sheetId="540">
        <row r="1">
          <cell r="A1" t="str">
            <v>CODE</v>
          </cell>
        </row>
      </sheetData>
      <sheetData sheetId="541">
        <row r="1">
          <cell r="A1" t="str">
            <v>CODE</v>
          </cell>
        </row>
      </sheetData>
      <sheetData sheetId="542">
        <row r="1">
          <cell r="A1" t="str">
            <v>CODE</v>
          </cell>
        </row>
      </sheetData>
      <sheetData sheetId="543">
        <row r="1">
          <cell r="A1" t="str">
            <v>CODE</v>
          </cell>
        </row>
      </sheetData>
      <sheetData sheetId="544">
        <row r="1">
          <cell r="A1" t="str">
            <v>CODE</v>
          </cell>
        </row>
      </sheetData>
      <sheetData sheetId="545">
        <row r="1">
          <cell r="A1" t="str">
            <v>CODE</v>
          </cell>
        </row>
      </sheetData>
      <sheetData sheetId="546">
        <row r="1">
          <cell r="A1" t="str">
            <v>CODE</v>
          </cell>
        </row>
      </sheetData>
      <sheetData sheetId="547">
        <row r="1">
          <cell r="A1" t="str">
            <v>CODE</v>
          </cell>
        </row>
      </sheetData>
      <sheetData sheetId="548">
        <row r="1">
          <cell r="A1" t="str">
            <v>CODE</v>
          </cell>
        </row>
      </sheetData>
      <sheetData sheetId="549">
        <row r="1">
          <cell r="A1" t="str">
            <v>CODE</v>
          </cell>
        </row>
      </sheetData>
      <sheetData sheetId="550">
        <row r="1">
          <cell r="A1" t="str">
            <v>CODE</v>
          </cell>
        </row>
      </sheetData>
      <sheetData sheetId="551">
        <row r="1">
          <cell r="A1" t="str">
            <v>CODE</v>
          </cell>
        </row>
      </sheetData>
      <sheetData sheetId="552">
        <row r="1">
          <cell r="A1" t="str">
            <v>CODE</v>
          </cell>
        </row>
      </sheetData>
      <sheetData sheetId="553">
        <row r="1">
          <cell r="A1" t="str">
            <v>CODE</v>
          </cell>
        </row>
      </sheetData>
      <sheetData sheetId="554">
        <row r="1">
          <cell r="A1" t="str">
            <v>CODE</v>
          </cell>
        </row>
      </sheetData>
      <sheetData sheetId="555">
        <row r="1">
          <cell r="A1" t="str">
            <v>CODE</v>
          </cell>
        </row>
      </sheetData>
      <sheetData sheetId="556">
        <row r="1">
          <cell r="A1" t="str">
            <v>CODE</v>
          </cell>
        </row>
      </sheetData>
      <sheetData sheetId="557">
        <row r="1">
          <cell r="A1" t="str">
            <v>CODE</v>
          </cell>
        </row>
      </sheetData>
      <sheetData sheetId="558" refreshError="1"/>
      <sheetData sheetId="559">
        <row r="1">
          <cell r="A1" t="str">
            <v>CODE</v>
          </cell>
        </row>
      </sheetData>
      <sheetData sheetId="560" refreshError="1"/>
      <sheetData sheetId="561">
        <row r="1">
          <cell r="A1" t="str">
            <v>CODE</v>
          </cell>
        </row>
      </sheetData>
      <sheetData sheetId="562">
        <row r="1">
          <cell r="A1" t="str">
            <v>CODE</v>
          </cell>
        </row>
      </sheetData>
      <sheetData sheetId="563">
        <row r="1">
          <cell r="A1" t="str">
            <v>CODE</v>
          </cell>
        </row>
      </sheetData>
      <sheetData sheetId="564">
        <row r="1">
          <cell r="A1" t="str">
            <v>CODE</v>
          </cell>
        </row>
      </sheetData>
      <sheetData sheetId="565">
        <row r="1">
          <cell r="A1" t="str">
            <v>CODE</v>
          </cell>
        </row>
      </sheetData>
      <sheetData sheetId="566">
        <row r="1">
          <cell r="A1" t="str">
            <v>CODE</v>
          </cell>
        </row>
      </sheetData>
      <sheetData sheetId="567">
        <row r="1">
          <cell r="A1" t="str">
            <v>CODE</v>
          </cell>
        </row>
      </sheetData>
      <sheetData sheetId="568">
        <row r="1">
          <cell r="A1" t="str">
            <v>CODE</v>
          </cell>
        </row>
      </sheetData>
      <sheetData sheetId="569">
        <row r="1">
          <cell r="A1" t="str">
            <v>CODE</v>
          </cell>
        </row>
      </sheetData>
      <sheetData sheetId="570">
        <row r="1">
          <cell r="A1" t="str">
            <v>CODE</v>
          </cell>
        </row>
      </sheetData>
      <sheetData sheetId="571" refreshError="1"/>
      <sheetData sheetId="572">
        <row r="1">
          <cell r="A1" t="str">
            <v>CODE</v>
          </cell>
        </row>
      </sheetData>
      <sheetData sheetId="573" refreshError="1"/>
      <sheetData sheetId="574">
        <row r="1">
          <cell r="A1" t="str">
            <v>CODE</v>
          </cell>
        </row>
      </sheetData>
      <sheetData sheetId="575">
        <row r="1">
          <cell r="A1" t="str">
            <v>CODE</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ow r="2">
          <cell r="A2" t="str">
            <v>A101001</v>
          </cell>
        </row>
      </sheetData>
      <sheetData sheetId="746">
        <row r="2">
          <cell r="A2" t="str">
            <v>A101001</v>
          </cell>
        </row>
      </sheetData>
      <sheetData sheetId="747">
        <row r="2">
          <cell r="A2" t="str">
            <v>A101001</v>
          </cell>
        </row>
      </sheetData>
      <sheetData sheetId="748">
        <row r="2">
          <cell r="A2" t="str">
            <v>A101001</v>
          </cell>
        </row>
      </sheetData>
      <sheetData sheetId="749">
        <row r="2">
          <cell r="A2" t="str">
            <v>A101001</v>
          </cell>
        </row>
      </sheetData>
      <sheetData sheetId="750">
        <row r="10">
          <cell r="C10">
            <v>127060800.33999997</v>
          </cell>
        </row>
      </sheetData>
      <sheetData sheetId="751">
        <row r="2">
          <cell r="A2" t="str">
            <v>A101001</v>
          </cell>
        </row>
      </sheetData>
      <sheetData sheetId="752">
        <row r="8">
          <cell r="B8" t="str">
            <v>DPE002</v>
          </cell>
        </row>
      </sheetData>
      <sheetData sheetId="753"/>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ow r="1">
          <cell r="A1" t="str">
            <v>CODE</v>
          </cell>
        </row>
      </sheetData>
      <sheetData sheetId="856">
        <row r="1">
          <cell r="A1" t="str">
            <v>CODE</v>
          </cell>
        </row>
      </sheetData>
      <sheetData sheetId="857">
        <row r="1">
          <cell r="A1" t="str">
            <v>CODE</v>
          </cell>
        </row>
      </sheetData>
      <sheetData sheetId="858">
        <row r="1">
          <cell r="A1" t="str">
            <v>CODE</v>
          </cell>
        </row>
      </sheetData>
      <sheetData sheetId="859">
        <row r="1">
          <cell r="A1" t="str">
            <v>CODE</v>
          </cell>
        </row>
      </sheetData>
      <sheetData sheetId="860">
        <row r="1">
          <cell r="A1" t="str">
            <v>CODE</v>
          </cell>
        </row>
      </sheetData>
      <sheetData sheetId="861">
        <row r="1">
          <cell r="A1" t="str">
            <v>CODE</v>
          </cell>
        </row>
      </sheetData>
      <sheetData sheetId="862">
        <row r="1">
          <cell r="A1" t="str">
            <v>CODE</v>
          </cell>
        </row>
      </sheetData>
      <sheetData sheetId="863">
        <row r="1">
          <cell r="A1" t="str">
            <v>CODE</v>
          </cell>
        </row>
      </sheetData>
      <sheetData sheetId="864">
        <row r="1">
          <cell r="A1" t="str">
            <v>CODE</v>
          </cell>
        </row>
      </sheetData>
      <sheetData sheetId="865">
        <row r="1">
          <cell r="A1" t="str">
            <v>CODE</v>
          </cell>
        </row>
      </sheetData>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
          <cell r="A1" t="str">
            <v>CODE</v>
          </cell>
        </row>
      </sheetData>
      <sheetData sheetId="918">
        <row r="1">
          <cell r="A1" t="str">
            <v>CODE</v>
          </cell>
        </row>
      </sheetData>
      <sheetData sheetId="919">
        <row r="1">
          <cell r="A1" t="str">
            <v>CODE</v>
          </cell>
        </row>
      </sheetData>
      <sheetData sheetId="920">
        <row r="1">
          <cell r="A1" t="str">
            <v>CODE</v>
          </cell>
        </row>
      </sheetData>
      <sheetData sheetId="921">
        <row r="1">
          <cell r="A1" t="str">
            <v>CODE</v>
          </cell>
        </row>
      </sheetData>
      <sheetData sheetId="922">
        <row r="1">
          <cell r="A1" t="str">
            <v>CODE</v>
          </cell>
        </row>
      </sheetData>
      <sheetData sheetId="923">
        <row r="1">
          <cell r="A1" t="str">
            <v>CODE</v>
          </cell>
        </row>
      </sheetData>
      <sheetData sheetId="924">
        <row r="1">
          <cell r="A1" t="str">
            <v>CODE</v>
          </cell>
        </row>
      </sheetData>
      <sheetData sheetId="925">
        <row r="1">
          <cell r="A1" t="str">
            <v>CODE</v>
          </cell>
        </row>
      </sheetData>
      <sheetData sheetId="926">
        <row r="1">
          <cell r="E1">
            <v>3.7037037037037035E-2</v>
          </cell>
        </row>
      </sheetData>
      <sheetData sheetId="927">
        <row r="1">
          <cell r="E1">
            <v>3.7037037037037035E-2</v>
          </cell>
        </row>
      </sheetData>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ow r="1">
          <cell r="A1" t="str">
            <v>CODE</v>
          </cell>
        </row>
      </sheetData>
      <sheetData sheetId="945" refreshError="1"/>
      <sheetData sheetId="946">
        <row r="1">
          <cell r="A1" t="str">
            <v>CODE</v>
          </cell>
        </row>
      </sheetData>
      <sheetData sheetId="947">
        <row r="1">
          <cell r="A1" t="str">
            <v>CODE</v>
          </cell>
        </row>
      </sheetData>
      <sheetData sheetId="948">
        <row r="1">
          <cell r="A1" t="str">
            <v>ASSET_NUMBER</v>
          </cell>
        </row>
      </sheetData>
      <sheetData sheetId="949">
        <row r="1">
          <cell r="A1" t="str">
            <v>CODE</v>
          </cell>
        </row>
      </sheetData>
      <sheetData sheetId="950">
        <row r="1">
          <cell r="A1" t="str">
            <v>ASSET_NUMBER</v>
          </cell>
        </row>
      </sheetData>
      <sheetData sheetId="951">
        <row r="1">
          <cell r="A1" t="str">
            <v>CODE</v>
          </cell>
        </row>
      </sheetData>
      <sheetData sheetId="952">
        <row r="1">
          <cell r="A1" t="str">
            <v>CODE</v>
          </cell>
        </row>
      </sheetData>
      <sheetData sheetId="953">
        <row r="1">
          <cell r="A1" t="str">
            <v>CODE</v>
          </cell>
        </row>
      </sheetData>
      <sheetData sheetId="954">
        <row r="1">
          <cell r="A1" t="str">
            <v>CODE</v>
          </cell>
        </row>
      </sheetData>
      <sheetData sheetId="955">
        <row r="1">
          <cell r="A1" t="str">
            <v>CODE</v>
          </cell>
        </row>
      </sheetData>
      <sheetData sheetId="956">
        <row r="1">
          <cell r="A1" t="str">
            <v>CODE</v>
          </cell>
        </row>
      </sheetData>
      <sheetData sheetId="957">
        <row r="1">
          <cell r="A1" t="str">
            <v>Customer Name</v>
          </cell>
        </row>
      </sheetData>
      <sheetData sheetId="958">
        <row r="1">
          <cell r="A1" t="str">
            <v>CODE</v>
          </cell>
        </row>
      </sheetData>
      <sheetData sheetId="959">
        <row r="1">
          <cell r="A1" t="str">
            <v>CODE</v>
          </cell>
        </row>
      </sheetData>
      <sheetData sheetId="960">
        <row r="1">
          <cell r="A1" t="str">
            <v>CODE</v>
          </cell>
        </row>
      </sheetData>
      <sheetData sheetId="961">
        <row r="1">
          <cell r="A1" t="str">
            <v>CODE</v>
          </cell>
        </row>
      </sheetData>
      <sheetData sheetId="962">
        <row r="1">
          <cell r="A1" t="str">
            <v>CODE</v>
          </cell>
        </row>
      </sheetData>
      <sheetData sheetId="963">
        <row r="1">
          <cell r="A1" t="str">
            <v>CODE</v>
          </cell>
        </row>
      </sheetData>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A1" t="str">
            <v>CODE</v>
          </cell>
        </row>
      </sheetData>
      <sheetData sheetId="995">
        <row r="1">
          <cell r="A1" t="str">
            <v>CODE</v>
          </cell>
        </row>
      </sheetData>
      <sheetData sheetId="996">
        <row r="1">
          <cell r="A1" t="str">
            <v>CODE</v>
          </cell>
        </row>
      </sheetData>
      <sheetData sheetId="997">
        <row r="1">
          <cell r="A1" t="str">
            <v>CODE</v>
          </cell>
        </row>
      </sheetData>
      <sheetData sheetId="998">
        <row r="1">
          <cell r="A1" t="str">
            <v>ASSET_NUMBER</v>
          </cell>
        </row>
      </sheetData>
      <sheetData sheetId="999">
        <row r="1">
          <cell r="A1" t="str">
            <v>CODE</v>
          </cell>
        </row>
      </sheetData>
      <sheetData sheetId="1000">
        <row r="1">
          <cell r="A1" t="str">
            <v>ASSET_NUMBER</v>
          </cell>
        </row>
      </sheetData>
      <sheetData sheetId="1001">
        <row r="1">
          <cell r="A1" t="str">
            <v>CODE</v>
          </cell>
        </row>
      </sheetData>
      <sheetData sheetId="1002">
        <row r="1">
          <cell r="A1" t="str">
            <v>ASSET_NUMBER</v>
          </cell>
        </row>
      </sheetData>
      <sheetData sheetId="1003">
        <row r="1">
          <cell r="A1" t="str">
            <v>CODE</v>
          </cell>
        </row>
      </sheetData>
      <sheetData sheetId="1004">
        <row r="1">
          <cell r="A1" t="str">
            <v>CODE</v>
          </cell>
        </row>
      </sheetData>
      <sheetData sheetId="1005">
        <row r="1">
          <cell r="A1" t="str">
            <v>CODE</v>
          </cell>
        </row>
      </sheetData>
      <sheetData sheetId="1006">
        <row r="1">
          <cell r="A1" t="str">
            <v>CODE</v>
          </cell>
        </row>
      </sheetData>
      <sheetData sheetId="1007">
        <row r="1">
          <cell r="A1" t="str">
            <v>CODE</v>
          </cell>
        </row>
      </sheetData>
      <sheetData sheetId="1008">
        <row r="1">
          <cell r="A1" t="str">
            <v>CODE</v>
          </cell>
        </row>
      </sheetData>
      <sheetData sheetId="1009">
        <row r="1">
          <cell r="A1" t="str">
            <v>CODE</v>
          </cell>
        </row>
      </sheetData>
      <sheetData sheetId="1010">
        <row r="1">
          <cell r="A1" t="str">
            <v>CODE</v>
          </cell>
        </row>
      </sheetData>
      <sheetData sheetId="1011">
        <row r="1">
          <cell r="A1" t="str">
            <v>CODE</v>
          </cell>
        </row>
      </sheetData>
      <sheetData sheetId="1012">
        <row r="1">
          <cell r="A1" t="str">
            <v>CODE</v>
          </cell>
        </row>
      </sheetData>
      <sheetData sheetId="1013">
        <row r="1">
          <cell r="A1" t="str">
            <v>CODE</v>
          </cell>
        </row>
      </sheetData>
      <sheetData sheetId="1014">
        <row r="1">
          <cell r="A1" t="str">
            <v>CODE</v>
          </cell>
        </row>
      </sheetData>
      <sheetData sheetId="1015">
        <row r="1">
          <cell r="A1" t="str">
            <v>CODE</v>
          </cell>
        </row>
      </sheetData>
      <sheetData sheetId="1016">
        <row r="1">
          <cell r="A1" t="str">
            <v>CODE</v>
          </cell>
        </row>
      </sheetData>
      <sheetData sheetId="1017">
        <row r="1">
          <cell r="A1" t="str">
            <v>CODE</v>
          </cell>
        </row>
      </sheetData>
      <sheetData sheetId="1018">
        <row r="1">
          <cell r="A1" t="str">
            <v>CODE</v>
          </cell>
        </row>
      </sheetData>
      <sheetData sheetId="1019">
        <row r="1">
          <cell r="A1" t="str">
            <v>Customer Name</v>
          </cell>
        </row>
      </sheetData>
      <sheetData sheetId="1020">
        <row r="1">
          <cell r="A1" t="str">
            <v>CODE</v>
          </cell>
        </row>
      </sheetData>
      <sheetData sheetId="1021">
        <row r="1">
          <cell r="A1" t="str">
            <v>Customer Name</v>
          </cell>
        </row>
      </sheetData>
      <sheetData sheetId="1022">
        <row r="1">
          <cell r="A1" t="str">
            <v>Customer Name</v>
          </cell>
        </row>
      </sheetData>
      <sheetData sheetId="1023">
        <row r="1">
          <cell r="A1" t="str">
            <v>CODE</v>
          </cell>
        </row>
      </sheetData>
      <sheetData sheetId="1024">
        <row r="1">
          <cell r="A1" t="str">
            <v>CODE</v>
          </cell>
        </row>
      </sheetData>
      <sheetData sheetId="1025">
        <row r="1">
          <cell r="A1" t="str">
            <v>CODE</v>
          </cell>
        </row>
      </sheetData>
      <sheetData sheetId="1026">
        <row r="1">
          <cell r="E1">
            <v>3.7037037037037035E-2</v>
          </cell>
        </row>
      </sheetData>
      <sheetData sheetId="1027">
        <row r="2">
          <cell r="A2" t="str">
            <v>A101001</v>
          </cell>
        </row>
      </sheetData>
      <sheetData sheetId="1028">
        <row r="10">
          <cell r="C10">
            <v>127060800.33999997</v>
          </cell>
        </row>
      </sheetData>
      <sheetData sheetId="1029">
        <row r="10">
          <cell r="C10">
            <v>127060800.33999997</v>
          </cell>
        </row>
      </sheetData>
      <sheetData sheetId="1030"/>
      <sheetData sheetId="1031">
        <row r="2">
          <cell r="A2" t="str">
            <v>A101001</v>
          </cell>
        </row>
      </sheetData>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ow r="1">
          <cell r="A1" t="str">
            <v>CODE</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ow r="6">
          <cell r="I6" t="str">
            <v>2011</v>
          </cell>
        </row>
      </sheetData>
      <sheetData sheetId="1372"/>
      <sheetData sheetId="1373" refreshError="1"/>
      <sheetData sheetId="1374" refreshError="1"/>
      <sheetData sheetId="1375" refreshError="1"/>
      <sheetData sheetId="1376">
        <row r="1">
          <cell r="A1" t="str">
            <v>CODE</v>
          </cell>
        </row>
      </sheetData>
      <sheetData sheetId="1377">
        <row r="1">
          <cell r="A1" t="str">
            <v>CODE</v>
          </cell>
        </row>
      </sheetData>
      <sheetData sheetId="1378">
        <row r="1">
          <cell r="A1" t="str">
            <v>CODE</v>
          </cell>
        </row>
      </sheetData>
      <sheetData sheetId="1379">
        <row r="1">
          <cell r="A1" t="str">
            <v>CODE</v>
          </cell>
        </row>
      </sheetData>
      <sheetData sheetId="1380">
        <row r="1">
          <cell r="A1" t="str">
            <v>CODE</v>
          </cell>
        </row>
      </sheetData>
      <sheetData sheetId="1381">
        <row r="8">
          <cell r="B8" t="str">
            <v>DPE002</v>
          </cell>
        </row>
      </sheetData>
      <sheetData sheetId="1382">
        <row r="6">
          <cell r="I6" t="str">
            <v>2011</v>
          </cell>
        </row>
      </sheetData>
      <sheetData sheetId="1383">
        <row r="1">
          <cell r="A1" t="str">
            <v>CODE</v>
          </cell>
        </row>
      </sheetData>
      <sheetData sheetId="1384"/>
      <sheetData sheetId="1385">
        <row r="1">
          <cell r="A1" t="str">
            <v>Customer Name</v>
          </cell>
        </row>
      </sheetData>
      <sheetData sheetId="1386">
        <row r="1">
          <cell r="A1" t="str">
            <v>CODE</v>
          </cell>
        </row>
      </sheetData>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ow r="1">
          <cell r="A1" t="str">
            <v>CODE</v>
          </cell>
        </row>
      </sheetData>
      <sheetData sheetId="1400">
        <row r="1">
          <cell r="A1" t="str">
            <v>Customer Name</v>
          </cell>
        </row>
      </sheetData>
      <sheetData sheetId="1401">
        <row r="1">
          <cell r="A1" t="str">
            <v>Customer Name</v>
          </cell>
        </row>
      </sheetData>
      <sheetData sheetId="1402">
        <row r="1">
          <cell r="A1" t="str">
            <v>CODE</v>
          </cell>
        </row>
      </sheetData>
      <sheetData sheetId="1403">
        <row r="1">
          <cell r="A1" t="str">
            <v>CODE</v>
          </cell>
        </row>
      </sheetData>
      <sheetData sheetId="1404">
        <row r="1">
          <cell r="A1" t="str">
            <v>CODE</v>
          </cell>
        </row>
      </sheetData>
      <sheetData sheetId="1405" refreshError="1"/>
      <sheetData sheetId="1406" refreshError="1"/>
      <sheetData sheetId="1407">
        <row r="1">
          <cell r="A1" t="str">
            <v>CODE</v>
          </cell>
        </row>
      </sheetData>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ow r="6">
          <cell r="I6" t="str">
            <v>2011</v>
          </cell>
        </row>
      </sheetData>
      <sheetData sheetId="1428" refreshError="1"/>
      <sheetData sheetId="1429" refreshError="1"/>
      <sheetData sheetId="1430" refreshError="1"/>
      <sheetData sheetId="1431">
        <row r="1">
          <cell r="A1" t="str">
            <v>CODE</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ow r="1">
          <cell r="A1" t="str">
            <v>CODE</v>
          </cell>
        </row>
      </sheetData>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ow r="1">
          <cell r="A1" t="str">
            <v>CODE</v>
          </cell>
        </row>
      </sheetData>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ow r="1">
          <cell r="A1" t="str">
            <v>CODE</v>
          </cell>
        </row>
      </sheetData>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refreshError="1"/>
      <sheetData sheetId="1813" refreshError="1"/>
      <sheetData sheetId="1814"/>
      <sheetData sheetId="1815">
        <row r="1">
          <cell r="A1" t="str">
            <v>Customer Name</v>
          </cell>
        </row>
      </sheetData>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ow r="1">
          <cell r="A1" t="str">
            <v>Customer Name</v>
          </cell>
        </row>
      </sheetData>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ow r="1">
          <cell r="A1" t="str">
            <v>ASSET_NUMBER</v>
          </cell>
        </row>
      </sheetData>
      <sheetData sheetId="1919">
        <row r="1">
          <cell r="A1" t="str">
            <v>ASSET_NUMBER</v>
          </cell>
        </row>
      </sheetData>
      <sheetData sheetId="1920">
        <row r="1">
          <cell r="A1" t="str">
            <v>ASSET_NUMBER</v>
          </cell>
        </row>
      </sheetData>
      <sheetData sheetId="1921">
        <row r="1">
          <cell r="A1" t="str">
            <v>ASSET_NUMBER</v>
          </cell>
        </row>
      </sheetData>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ow r="1">
          <cell r="A1" t="str">
            <v>ASSET_NUMBER</v>
          </cell>
        </row>
      </sheetData>
      <sheetData sheetId="1955">
        <row r="1">
          <cell r="A1" t="str">
            <v>ASSET_NUMBER</v>
          </cell>
        </row>
      </sheetData>
      <sheetData sheetId="1956">
        <row r="1">
          <cell r="A1" t="str">
            <v>ASSET_NUMBER</v>
          </cell>
        </row>
      </sheetData>
      <sheetData sheetId="1957">
        <row r="1">
          <cell r="A1" t="str">
            <v>ASSET_NUMBER</v>
          </cell>
        </row>
      </sheetData>
      <sheetData sheetId="1958">
        <row r="1">
          <cell r="A1" t="str">
            <v>ASSET_NUMBER</v>
          </cell>
        </row>
      </sheetData>
      <sheetData sheetId="1959">
        <row r="1">
          <cell r="A1" t="str">
            <v>ASSET_NUMBER</v>
          </cell>
        </row>
      </sheetData>
      <sheetData sheetId="1960">
        <row r="1">
          <cell r="A1" t="str">
            <v>ASSET_NUMBER</v>
          </cell>
        </row>
      </sheetData>
      <sheetData sheetId="1961">
        <row r="1">
          <cell r="A1" t="str">
            <v>ASSET_NUMBER</v>
          </cell>
        </row>
      </sheetData>
      <sheetData sheetId="1962">
        <row r="1">
          <cell r="A1" t="str">
            <v>ASSET_NUMBER</v>
          </cell>
        </row>
      </sheetData>
      <sheetData sheetId="1963">
        <row r="1">
          <cell r="A1" t="str">
            <v>ASSET_NUMBER</v>
          </cell>
        </row>
      </sheetData>
      <sheetData sheetId="1964">
        <row r="1">
          <cell r="A1" t="str">
            <v>ASSET_NUMBER</v>
          </cell>
        </row>
      </sheetData>
      <sheetData sheetId="1965">
        <row r="1">
          <cell r="A1" t="str">
            <v>ASSET_NUMBER</v>
          </cell>
        </row>
      </sheetData>
      <sheetData sheetId="1966">
        <row r="1">
          <cell r="A1" t="str">
            <v>ASSET_NUMBER</v>
          </cell>
        </row>
      </sheetData>
      <sheetData sheetId="1967">
        <row r="1">
          <cell r="A1" t="str">
            <v>ASSET_NUMBER</v>
          </cell>
        </row>
      </sheetData>
      <sheetData sheetId="1968">
        <row r="5">
          <cell r="A5">
            <v>1</v>
          </cell>
        </row>
      </sheetData>
      <sheetData sheetId="1969">
        <row r="5">
          <cell r="A5">
            <v>1</v>
          </cell>
        </row>
      </sheetData>
      <sheetData sheetId="1970">
        <row r="5">
          <cell r="A5">
            <v>1</v>
          </cell>
        </row>
      </sheetData>
      <sheetData sheetId="1971">
        <row r="5">
          <cell r="A5">
            <v>1</v>
          </cell>
        </row>
      </sheetData>
      <sheetData sheetId="1972">
        <row r="5">
          <cell r="A5">
            <v>1</v>
          </cell>
        </row>
      </sheetData>
      <sheetData sheetId="1973">
        <row r="1">
          <cell r="B1" t="str">
            <v>Q101A</v>
          </cell>
        </row>
      </sheetData>
      <sheetData sheetId="1974">
        <row r="5">
          <cell r="A5">
            <v>1</v>
          </cell>
        </row>
      </sheetData>
      <sheetData sheetId="1975">
        <row r="3">
          <cell r="A3">
            <v>100501</v>
          </cell>
        </row>
      </sheetData>
      <sheetData sheetId="1976">
        <row r="1">
          <cell r="A1" t="str">
            <v>CODE</v>
          </cell>
        </row>
      </sheetData>
      <sheetData sheetId="1977" refreshError="1"/>
      <sheetData sheetId="1978" refreshError="1"/>
      <sheetData sheetId="1979" refreshError="1"/>
      <sheetData sheetId="1980" refreshError="1"/>
      <sheetData sheetId="1981" refreshError="1"/>
      <sheetData sheetId="1982">
        <row r="1">
          <cell r="A1" t="str">
            <v>CODE</v>
          </cell>
        </row>
      </sheetData>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ow r="1">
          <cell r="A1" t="str">
            <v>ASSET_NUMBER</v>
          </cell>
        </row>
      </sheetData>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
          <cell r="A1" t="str">
            <v>ASSET_NUMBER</v>
          </cell>
        </row>
      </sheetData>
      <sheetData sheetId="2034">
        <row r="1">
          <cell r="A1" t="str">
            <v>ASSET_NUMBER</v>
          </cell>
        </row>
      </sheetData>
      <sheetData sheetId="2035">
        <row r="1">
          <cell r="A1" t="str">
            <v>ASSET_NUMBER</v>
          </cell>
        </row>
      </sheetData>
      <sheetData sheetId="2036">
        <row r="1">
          <cell r="A1" t="str">
            <v>ASSET_NUMBER</v>
          </cell>
        </row>
      </sheetData>
      <sheetData sheetId="2037">
        <row r="1">
          <cell r="A1" t="str">
            <v>ASSET_NUMBER</v>
          </cell>
        </row>
      </sheetData>
      <sheetData sheetId="2038">
        <row r="1">
          <cell r="A1" t="str">
            <v>ASSET_NUMBER</v>
          </cell>
        </row>
      </sheetData>
      <sheetData sheetId="2039">
        <row r="1">
          <cell r="A1" t="str">
            <v>ASSET_NUMBER</v>
          </cell>
        </row>
      </sheetData>
      <sheetData sheetId="2040">
        <row r="1">
          <cell r="A1" t="str">
            <v>ASSET_NUMBER</v>
          </cell>
        </row>
      </sheetData>
      <sheetData sheetId="2041">
        <row r="1">
          <cell r="A1" t="str">
            <v>ASSET_NUMBER</v>
          </cell>
        </row>
      </sheetData>
      <sheetData sheetId="2042">
        <row r="1">
          <cell r="A1" t="str">
            <v>ASSET_NUMBER</v>
          </cell>
        </row>
      </sheetData>
      <sheetData sheetId="2043">
        <row r="1">
          <cell r="A1" t="str">
            <v>ASSET_NUMBER</v>
          </cell>
        </row>
      </sheetData>
      <sheetData sheetId="2044">
        <row r="1">
          <cell r="A1" t="str">
            <v>ASSET_NUMBER</v>
          </cell>
        </row>
      </sheetData>
      <sheetData sheetId="2045">
        <row r="1">
          <cell r="A1" t="str">
            <v>ASSET_NUMBER</v>
          </cell>
        </row>
      </sheetData>
      <sheetData sheetId="2046">
        <row r="1">
          <cell r="A1" t="str">
            <v>ASSET_NUMBER</v>
          </cell>
        </row>
      </sheetData>
      <sheetData sheetId="2047">
        <row r="1">
          <cell r="A1" t="str">
            <v>ASSET_NUMBER</v>
          </cell>
        </row>
      </sheetData>
      <sheetData sheetId="2048">
        <row r="1">
          <cell r="A1" t="str">
            <v>ASSET_NUMBER</v>
          </cell>
        </row>
      </sheetData>
      <sheetData sheetId="2049">
        <row r="1">
          <cell r="A1" t="str">
            <v>ASSET_NUMBER</v>
          </cell>
        </row>
      </sheetData>
      <sheetData sheetId="2050">
        <row r="1">
          <cell r="A1" t="str">
            <v>ASSET_NUMBER</v>
          </cell>
        </row>
      </sheetData>
      <sheetData sheetId="2051">
        <row r="1">
          <cell r="A1" t="str">
            <v>ASSET_NUMBER</v>
          </cell>
        </row>
      </sheetData>
      <sheetData sheetId="2052">
        <row r="1">
          <cell r="A1" t="str">
            <v>ASSET_NUMBER</v>
          </cell>
        </row>
      </sheetData>
      <sheetData sheetId="2053">
        <row r="1">
          <cell r="A1" t="str">
            <v>ASSET_NUMBER</v>
          </cell>
        </row>
      </sheetData>
      <sheetData sheetId="2054">
        <row r="1">
          <cell r="A1" t="str">
            <v>ASSET_NUMBER</v>
          </cell>
        </row>
      </sheetData>
      <sheetData sheetId="2055">
        <row r="1">
          <cell r="A1" t="str">
            <v>ASSET_NUMBER</v>
          </cell>
        </row>
      </sheetData>
      <sheetData sheetId="2056">
        <row r="1">
          <cell r="A1" t="str">
            <v>ASSET_NUMBER</v>
          </cell>
        </row>
      </sheetData>
      <sheetData sheetId="2057">
        <row r="1">
          <cell r="A1" t="str">
            <v>ASSET_NUMBER</v>
          </cell>
        </row>
      </sheetData>
      <sheetData sheetId="2058">
        <row r="1">
          <cell r="A1" t="str">
            <v>ASSET_NUMBER</v>
          </cell>
        </row>
      </sheetData>
      <sheetData sheetId="2059">
        <row r="1">
          <cell r="A1" t="str">
            <v>ASSET_NUMBER</v>
          </cell>
        </row>
      </sheetData>
      <sheetData sheetId="2060">
        <row r="1">
          <cell r="A1" t="str">
            <v>ASSET_NUMBER</v>
          </cell>
        </row>
      </sheetData>
      <sheetData sheetId="2061">
        <row r="1">
          <cell r="A1" t="str">
            <v>CODE</v>
          </cell>
        </row>
      </sheetData>
      <sheetData sheetId="2062">
        <row r="1">
          <cell r="A1" t="str">
            <v>ASSET_NUMBER</v>
          </cell>
        </row>
      </sheetData>
      <sheetData sheetId="2063">
        <row r="1">
          <cell r="A1" t="str">
            <v>ASSET_NUMBER</v>
          </cell>
        </row>
      </sheetData>
      <sheetData sheetId="2064">
        <row r="1">
          <cell r="A1" t="str">
            <v>ASSET_NUMBER</v>
          </cell>
        </row>
      </sheetData>
      <sheetData sheetId="2065">
        <row r="1">
          <cell r="A1" t="str">
            <v>ASSET_NUMBER</v>
          </cell>
        </row>
      </sheetData>
      <sheetData sheetId="2066">
        <row r="1">
          <cell r="A1" t="str">
            <v>CODE</v>
          </cell>
        </row>
      </sheetData>
      <sheetData sheetId="2067">
        <row r="1">
          <cell r="A1" t="str">
            <v>ASSET_NUMBER</v>
          </cell>
        </row>
      </sheetData>
      <sheetData sheetId="2068">
        <row r="1">
          <cell r="A1" t="str">
            <v>ASSET_NUMBER</v>
          </cell>
        </row>
      </sheetData>
      <sheetData sheetId="2069">
        <row r="1">
          <cell r="A1" t="str">
            <v>CODE</v>
          </cell>
        </row>
      </sheetData>
      <sheetData sheetId="2070">
        <row r="1">
          <cell r="A1" t="str">
            <v>Customer Name</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ow r="1">
          <cell r="A1" t="str">
            <v>ASSET_NUMBER</v>
          </cell>
        </row>
      </sheetData>
      <sheetData sheetId="2084" refreshError="1"/>
      <sheetData sheetId="2085" refreshError="1"/>
      <sheetData sheetId="2086" refreshError="1"/>
      <sheetData sheetId="2087" refreshError="1"/>
      <sheetData sheetId="2088" refreshError="1"/>
      <sheetData sheetId="2089" refreshError="1"/>
      <sheetData sheetId="2090" refreshError="1"/>
      <sheetData sheetId="2091">
        <row r="1">
          <cell r="A1" t="str">
            <v>ASSET_NUMBER</v>
          </cell>
        </row>
      </sheetData>
      <sheetData sheetId="2092">
        <row r="1">
          <cell r="A1" t="str">
            <v>Customer Name</v>
          </cell>
        </row>
      </sheetData>
      <sheetData sheetId="2093">
        <row r="1">
          <cell r="A1" t="str">
            <v>Customer Name</v>
          </cell>
        </row>
      </sheetData>
      <sheetData sheetId="2094">
        <row r="1">
          <cell r="A1" t="str">
            <v>ASSET_NUMBER</v>
          </cell>
        </row>
      </sheetData>
      <sheetData sheetId="2095">
        <row r="1">
          <cell r="A1" t="str">
            <v>CODE</v>
          </cell>
        </row>
      </sheetData>
      <sheetData sheetId="2096" refreshError="1"/>
      <sheetData sheetId="2097" refreshError="1"/>
      <sheetData sheetId="2098" refreshError="1"/>
      <sheetData sheetId="2099" refreshError="1"/>
      <sheetData sheetId="2100" refreshError="1"/>
      <sheetData sheetId="2101" refreshError="1"/>
      <sheetData sheetId="2102">
        <row r="1">
          <cell r="A1" t="str">
            <v>ASSET_NUMBER</v>
          </cell>
        </row>
      </sheetData>
      <sheetData sheetId="2103" refreshError="1"/>
      <sheetData sheetId="2104" refreshError="1"/>
      <sheetData sheetId="2105" refreshError="1"/>
      <sheetData sheetId="2106" refreshError="1"/>
      <sheetData sheetId="2107">
        <row r="1">
          <cell r="A1" t="str">
            <v>ASSET_NUMBER</v>
          </cell>
        </row>
      </sheetData>
      <sheetData sheetId="2108">
        <row r="1">
          <cell r="A1" t="str">
            <v>ASSET_NUMBER</v>
          </cell>
        </row>
      </sheetData>
      <sheetData sheetId="2109">
        <row r="1">
          <cell r="A1" t="str">
            <v>ASSET_NUMBER</v>
          </cell>
        </row>
      </sheetData>
      <sheetData sheetId="2110">
        <row r="1">
          <cell r="A1" t="str">
            <v>ASSET_NUMBER</v>
          </cell>
        </row>
      </sheetData>
      <sheetData sheetId="2111" refreshError="1"/>
      <sheetData sheetId="2112" refreshError="1"/>
      <sheetData sheetId="2113" refreshError="1"/>
      <sheetData sheetId="2114" refreshError="1"/>
      <sheetData sheetId="2115">
        <row r="1">
          <cell r="A1" t="str">
            <v>ASSET_NUMBER</v>
          </cell>
        </row>
      </sheetData>
      <sheetData sheetId="2116">
        <row r="1">
          <cell r="A1" t="str">
            <v>ASSET_NUMBER</v>
          </cell>
        </row>
      </sheetData>
      <sheetData sheetId="2117">
        <row r="1">
          <cell r="A1" t="str">
            <v>ASSET_NUMBER</v>
          </cell>
        </row>
      </sheetData>
      <sheetData sheetId="2118">
        <row r="1">
          <cell r="A1" t="str">
            <v>ASSET_NUMBER</v>
          </cell>
        </row>
      </sheetData>
      <sheetData sheetId="2119">
        <row r="1">
          <cell r="A1" t="str">
            <v>ASSET_NUMBER</v>
          </cell>
        </row>
      </sheetData>
      <sheetData sheetId="2120">
        <row r="1">
          <cell r="A1" t="str">
            <v>ASSET_NUMBER</v>
          </cell>
        </row>
      </sheetData>
      <sheetData sheetId="2121">
        <row r="1">
          <cell r="A1" t="str">
            <v>ASSET_NUMBER</v>
          </cell>
        </row>
      </sheetData>
      <sheetData sheetId="2122">
        <row r="1">
          <cell r="A1" t="str">
            <v>ASSET_NUMBER</v>
          </cell>
        </row>
      </sheetData>
      <sheetData sheetId="2123">
        <row r="1">
          <cell r="A1" t="str">
            <v>ASSET_NUMBER</v>
          </cell>
        </row>
      </sheetData>
      <sheetData sheetId="2124">
        <row r="1">
          <cell r="A1" t="str">
            <v>ASSET_NUMBER</v>
          </cell>
        </row>
      </sheetData>
      <sheetData sheetId="2125">
        <row r="1">
          <cell r="A1" t="str">
            <v>ASSET_NUMBER</v>
          </cell>
        </row>
      </sheetData>
      <sheetData sheetId="2126">
        <row r="1">
          <cell r="A1" t="str">
            <v>ASSET_NUMBER</v>
          </cell>
        </row>
      </sheetData>
      <sheetData sheetId="2127">
        <row r="1">
          <cell r="A1" t="str">
            <v>ASSET_NUMBER</v>
          </cell>
        </row>
      </sheetData>
      <sheetData sheetId="2128">
        <row r="1">
          <cell r="A1" t="str">
            <v>ASSET_NUMBER</v>
          </cell>
        </row>
      </sheetData>
      <sheetData sheetId="2129">
        <row r="1">
          <cell r="A1" t="str">
            <v>ASSET_NUMBER</v>
          </cell>
        </row>
      </sheetData>
      <sheetData sheetId="2130">
        <row r="1">
          <cell r="A1" t="str">
            <v>ASSET_NUMBER</v>
          </cell>
        </row>
      </sheetData>
      <sheetData sheetId="2131">
        <row r="1">
          <cell r="A1" t="str">
            <v>ASSET_NUMBER</v>
          </cell>
        </row>
      </sheetData>
      <sheetData sheetId="2132">
        <row r="1">
          <cell r="A1" t="str">
            <v>ASSET_NUMBER</v>
          </cell>
        </row>
      </sheetData>
      <sheetData sheetId="2133">
        <row r="1">
          <cell r="A1" t="str">
            <v>ASSET_NUMBER</v>
          </cell>
        </row>
      </sheetData>
      <sheetData sheetId="2134">
        <row r="1">
          <cell r="A1" t="str">
            <v>ASSET_NUMBER</v>
          </cell>
        </row>
      </sheetData>
      <sheetData sheetId="2135">
        <row r="1">
          <cell r="A1" t="str">
            <v>ASSET_NUMBER</v>
          </cell>
        </row>
      </sheetData>
      <sheetData sheetId="2136">
        <row r="1">
          <cell r="A1" t="str">
            <v>ASSET_NUMBER</v>
          </cell>
        </row>
      </sheetData>
      <sheetData sheetId="2137">
        <row r="1">
          <cell r="A1" t="str">
            <v>ASSET_NUMBER</v>
          </cell>
        </row>
      </sheetData>
      <sheetData sheetId="2138">
        <row r="1">
          <cell r="A1" t="str">
            <v>ASSET_NUMBER</v>
          </cell>
        </row>
      </sheetData>
      <sheetData sheetId="2139">
        <row r="1">
          <cell r="A1" t="str">
            <v>CODE</v>
          </cell>
        </row>
      </sheetData>
      <sheetData sheetId="2140">
        <row r="3">
          <cell r="A3" t="str">
            <v>Balance Period Name:SEP-03</v>
          </cell>
        </row>
      </sheetData>
      <sheetData sheetId="2141">
        <row r="1">
          <cell r="A1" t="str">
            <v>ASSET_NUMBER</v>
          </cell>
        </row>
      </sheetData>
      <sheetData sheetId="2142">
        <row r="5">
          <cell r="A5">
            <v>1</v>
          </cell>
        </row>
      </sheetData>
      <sheetData sheetId="2143">
        <row r="5">
          <cell r="A5">
            <v>1</v>
          </cell>
        </row>
      </sheetData>
      <sheetData sheetId="2144">
        <row r="1">
          <cell r="A1" t="str">
            <v>CODE</v>
          </cell>
        </row>
      </sheetData>
      <sheetData sheetId="2145">
        <row r="1">
          <cell r="A1" t="str">
            <v>CODE</v>
          </cell>
        </row>
      </sheetData>
      <sheetData sheetId="2146">
        <row r="1">
          <cell r="A1" t="str">
            <v>CODE</v>
          </cell>
        </row>
      </sheetData>
      <sheetData sheetId="2147">
        <row r="1">
          <cell r="A1" t="str">
            <v>CODE</v>
          </cell>
        </row>
      </sheetData>
      <sheetData sheetId="2148">
        <row r="1">
          <cell r="A1" t="str">
            <v>CODE</v>
          </cell>
        </row>
      </sheetData>
      <sheetData sheetId="2149">
        <row r="5">
          <cell r="A5">
            <v>1</v>
          </cell>
        </row>
      </sheetData>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ow r="1">
          <cell r="A1" t="str">
            <v>ASSET_NUMBER</v>
          </cell>
        </row>
      </sheetData>
      <sheetData sheetId="2211">
        <row r="1">
          <cell r="A1" t="str">
            <v>ASSET_NUMBER</v>
          </cell>
        </row>
      </sheetData>
      <sheetData sheetId="2212">
        <row r="1">
          <cell r="A1" t="str">
            <v>ASSET_NUMBER</v>
          </cell>
        </row>
      </sheetData>
      <sheetData sheetId="2213">
        <row r="1">
          <cell r="A1" t="str">
            <v>ASSET_NUMBER</v>
          </cell>
        </row>
      </sheetData>
      <sheetData sheetId="2214">
        <row r="1">
          <cell r="A1" t="str">
            <v>ASSET_NUMBER</v>
          </cell>
        </row>
      </sheetData>
      <sheetData sheetId="2215">
        <row r="1">
          <cell r="A1" t="str">
            <v>ASSET_NUMBER</v>
          </cell>
        </row>
      </sheetData>
      <sheetData sheetId="2216">
        <row r="1">
          <cell r="A1" t="str">
            <v>ASSET_NUMBER</v>
          </cell>
        </row>
      </sheetData>
      <sheetData sheetId="2217" refreshError="1"/>
      <sheetData sheetId="2218">
        <row r="1">
          <cell r="A1" t="str">
            <v>ASSET_NUMBER</v>
          </cell>
        </row>
      </sheetData>
      <sheetData sheetId="2219">
        <row r="1">
          <cell r="A1" t="str">
            <v>ASSET_NUMBER</v>
          </cell>
        </row>
      </sheetData>
      <sheetData sheetId="2220">
        <row r="1">
          <cell r="A1" t="str">
            <v>ASSET_NUMBER</v>
          </cell>
        </row>
      </sheetData>
      <sheetData sheetId="2221" refreshError="1"/>
      <sheetData sheetId="2222" refreshError="1"/>
      <sheetData sheetId="2223">
        <row r="1">
          <cell r="A1" t="str">
            <v>ASSET_NUMBER</v>
          </cell>
        </row>
      </sheetData>
      <sheetData sheetId="2224">
        <row r="1">
          <cell r="A1" t="str">
            <v>ASSET_NUMBER</v>
          </cell>
        </row>
      </sheetData>
      <sheetData sheetId="2225">
        <row r="1">
          <cell r="A1" t="str">
            <v>ASSET_NUMBER</v>
          </cell>
        </row>
      </sheetData>
      <sheetData sheetId="2226">
        <row r="1">
          <cell r="A1" t="str">
            <v>ASSET_NUMBER</v>
          </cell>
        </row>
      </sheetData>
      <sheetData sheetId="2227">
        <row r="1">
          <cell r="A1" t="str">
            <v>ASSET_NUMBER</v>
          </cell>
        </row>
      </sheetData>
      <sheetData sheetId="2228">
        <row r="1">
          <cell r="A1" t="str">
            <v>ASSET_NUMBER</v>
          </cell>
        </row>
      </sheetData>
      <sheetData sheetId="2229">
        <row r="1">
          <cell r="A1" t="str">
            <v>ASSET_NUMBER</v>
          </cell>
        </row>
      </sheetData>
      <sheetData sheetId="2230">
        <row r="1">
          <cell r="A1" t="str">
            <v>ASSET_NUMBER</v>
          </cell>
        </row>
      </sheetData>
      <sheetData sheetId="2231">
        <row r="1">
          <cell r="A1" t="str">
            <v>ASSET_NUMBER</v>
          </cell>
        </row>
      </sheetData>
      <sheetData sheetId="2232">
        <row r="1">
          <cell r="A1" t="str">
            <v>ASSET_NUMBER</v>
          </cell>
        </row>
      </sheetData>
      <sheetData sheetId="2233">
        <row r="1">
          <cell r="A1" t="str">
            <v>ASSET_NUMBER</v>
          </cell>
        </row>
      </sheetData>
      <sheetData sheetId="2234">
        <row r="1">
          <cell r="A1" t="str">
            <v>ASSET_NUMBER</v>
          </cell>
        </row>
      </sheetData>
      <sheetData sheetId="2235">
        <row r="1">
          <cell r="A1" t="str">
            <v>ASSET_NUMBER</v>
          </cell>
        </row>
      </sheetData>
      <sheetData sheetId="2236">
        <row r="1">
          <cell r="A1" t="str">
            <v>ASSET_NUMBER</v>
          </cell>
        </row>
      </sheetData>
      <sheetData sheetId="2237">
        <row r="1">
          <cell r="A1" t="str">
            <v>ASSET_NUMBER</v>
          </cell>
        </row>
      </sheetData>
      <sheetData sheetId="2238">
        <row r="1">
          <cell r="A1" t="str">
            <v>ASSET_NUMBER</v>
          </cell>
        </row>
      </sheetData>
      <sheetData sheetId="2239">
        <row r="1">
          <cell r="A1" t="str">
            <v>ASSET_NUMBER</v>
          </cell>
        </row>
      </sheetData>
      <sheetData sheetId="2240">
        <row r="1">
          <cell r="A1" t="str">
            <v>ASSET_NUMBER</v>
          </cell>
        </row>
      </sheetData>
      <sheetData sheetId="2241">
        <row r="1">
          <cell r="A1" t="str">
            <v>ASSET_NUMBER</v>
          </cell>
        </row>
      </sheetData>
      <sheetData sheetId="2242">
        <row r="1">
          <cell r="A1" t="str">
            <v>ASSET_NUMBER</v>
          </cell>
        </row>
      </sheetData>
      <sheetData sheetId="2243">
        <row r="1">
          <cell r="A1" t="str">
            <v>ASSET_NUMBER</v>
          </cell>
        </row>
      </sheetData>
      <sheetData sheetId="2244">
        <row r="1">
          <cell r="A1" t="str">
            <v>ASSET_NUMBER</v>
          </cell>
        </row>
      </sheetData>
      <sheetData sheetId="2245">
        <row r="1">
          <cell r="A1" t="str">
            <v>ASSET_NUMBER</v>
          </cell>
        </row>
      </sheetData>
      <sheetData sheetId="2246">
        <row r="1">
          <cell r="A1" t="str">
            <v>ASSET_NUMBER</v>
          </cell>
        </row>
      </sheetData>
      <sheetData sheetId="2247">
        <row r="1">
          <cell r="A1" t="str">
            <v>ASSET_NUMBER</v>
          </cell>
        </row>
      </sheetData>
      <sheetData sheetId="2248">
        <row r="1">
          <cell r="A1" t="str">
            <v>ASSET_NUMBER</v>
          </cell>
        </row>
      </sheetData>
      <sheetData sheetId="2249">
        <row r="1">
          <cell r="A1" t="str">
            <v>ASSET_NUMBER</v>
          </cell>
        </row>
      </sheetData>
      <sheetData sheetId="2250">
        <row r="1">
          <cell r="A1" t="str">
            <v>ASSET_NUMBER</v>
          </cell>
        </row>
      </sheetData>
      <sheetData sheetId="2251">
        <row r="1">
          <cell r="A1" t="str">
            <v>ASSET_NUMBER</v>
          </cell>
        </row>
      </sheetData>
      <sheetData sheetId="2252">
        <row r="1">
          <cell r="A1" t="str">
            <v>ASSET_NUMBER</v>
          </cell>
        </row>
      </sheetData>
      <sheetData sheetId="2253">
        <row r="1">
          <cell r="A1" t="str">
            <v>ASSET_NUMBER</v>
          </cell>
        </row>
      </sheetData>
      <sheetData sheetId="2254">
        <row r="1">
          <cell r="A1" t="str">
            <v>ASSET_NUMBER</v>
          </cell>
        </row>
      </sheetData>
      <sheetData sheetId="2255">
        <row r="1">
          <cell r="A1" t="str">
            <v>ASSET_NUMBER</v>
          </cell>
        </row>
      </sheetData>
      <sheetData sheetId="2256">
        <row r="1">
          <cell r="A1" t="str">
            <v>ASSET_NUMBER</v>
          </cell>
        </row>
      </sheetData>
      <sheetData sheetId="2257">
        <row r="1">
          <cell r="A1" t="str">
            <v>ASSET_NUMBER</v>
          </cell>
        </row>
      </sheetData>
      <sheetData sheetId="2258">
        <row r="1">
          <cell r="A1" t="str">
            <v>ASSET_NUMBER</v>
          </cell>
        </row>
      </sheetData>
      <sheetData sheetId="2259">
        <row r="1">
          <cell r="A1" t="str">
            <v>ASSET_NUMBER</v>
          </cell>
        </row>
      </sheetData>
      <sheetData sheetId="2260">
        <row r="1">
          <cell r="A1" t="str">
            <v>ASSET_NUMBER</v>
          </cell>
        </row>
      </sheetData>
      <sheetData sheetId="2261">
        <row r="1">
          <cell r="A1" t="str">
            <v>ASSET_NUMBER</v>
          </cell>
        </row>
      </sheetData>
      <sheetData sheetId="2262">
        <row r="1">
          <cell r="A1" t="str">
            <v>ASSET_NUMBER</v>
          </cell>
        </row>
      </sheetData>
      <sheetData sheetId="2263">
        <row r="1">
          <cell r="A1" t="str">
            <v>ASSET_NUMBER</v>
          </cell>
        </row>
      </sheetData>
      <sheetData sheetId="2264">
        <row r="1">
          <cell r="A1" t="str">
            <v>ASSET_NUMBER</v>
          </cell>
        </row>
      </sheetData>
      <sheetData sheetId="2265">
        <row r="1">
          <cell r="A1" t="str">
            <v>ASSET_NUMBER</v>
          </cell>
        </row>
      </sheetData>
      <sheetData sheetId="2266">
        <row r="1">
          <cell r="A1" t="str">
            <v>ASSET_NUMBER</v>
          </cell>
        </row>
      </sheetData>
      <sheetData sheetId="2267">
        <row r="1">
          <cell r="A1" t="str">
            <v>ASSET_NUMBER</v>
          </cell>
        </row>
      </sheetData>
      <sheetData sheetId="2268">
        <row r="1">
          <cell r="A1" t="str">
            <v>ASSET_NUMBER</v>
          </cell>
        </row>
      </sheetData>
      <sheetData sheetId="2269">
        <row r="1">
          <cell r="A1" t="str">
            <v>ASSET_NUMBER</v>
          </cell>
        </row>
      </sheetData>
      <sheetData sheetId="2270">
        <row r="1">
          <cell r="A1" t="str">
            <v>ASSET_NUMBER</v>
          </cell>
        </row>
      </sheetData>
      <sheetData sheetId="2271">
        <row r="1">
          <cell r="A1" t="str">
            <v>ASSET_NUMBER</v>
          </cell>
        </row>
      </sheetData>
      <sheetData sheetId="2272">
        <row r="1">
          <cell r="A1" t="str">
            <v>ASSET_NUMBER</v>
          </cell>
        </row>
      </sheetData>
      <sheetData sheetId="2273">
        <row r="1">
          <cell r="A1" t="str">
            <v>ASSET_NUMBER</v>
          </cell>
        </row>
      </sheetData>
      <sheetData sheetId="2274">
        <row r="1">
          <cell r="A1" t="str">
            <v>ASSET_NUMBER</v>
          </cell>
        </row>
      </sheetData>
      <sheetData sheetId="2275">
        <row r="1">
          <cell r="A1" t="str">
            <v>ASSET_NUMBER</v>
          </cell>
        </row>
      </sheetData>
      <sheetData sheetId="2276" refreshError="1"/>
      <sheetData sheetId="2277">
        <row r="1">
          <cell r="A1" t="str">
            <v>ASSET_NUMBER</v>
          </cell>
        </row>
      </sheetData>
      <sheetData sheetId="2278">
        <row r="1">
          <cell r="A1" t="str">
            <v>ASSET_NUMBER</v>
          </cell>
        </row>
      </sheetData>
      <sheetData sheetId="2279">
        <row r="1">
          <cell r="A1" t="str">
            <v>ASSET_NUMBER</v>
          </cell>
        </row>
      </sheetData>
      <sheetData sheetId="2280">
        <row r="1">
          <cell r="A1" t="str">
            <v>ASSET_NUMBER</v>
          </cell>
        </row>
      </sheetData>
      <sheetData sheetId="2281">
        <row r="1">
          <cell r="A1" t="str">
            <v>ASSET_NUMBER</v>
          </cell>
        </row>
      </sheetData>
      <sheetData sheetId="2282">
        <row r="1">
          <cell r="A1" t="str">
            <v>ASSET_NUMBER</v>
          </cell>
        </row>
      </sheetData>
      <sheetData sheetId="2283">
        <row r="1">
          <cell r="A1" t="str">
            <v>ASSET_NUMBER</v>
          </cell>
        </row>
      </sheetData>
      <sheetData sheetId="2284">
        <row r="1">
          <cell r="A1" t="str">
            <v>ASSET_NUMBER</v>
          </cell>
        </row>
      </sheetData>
      <sheetData sheetId="2285">
        <row r="1">
          <cell r="A1" t="str">
            <v>ASSET_NUMBER</v>
          </cell>
        </row>
      </sheetData>
      <sheetData sheetId="2286">
        <row r="1">
          <cell r="A1" t="str">
            <v>ASSET_NUMBER</v>
          </cell>
        </row>
      </sheetData>
      <sheetData sheetId="2287" refreshError="1"/>
      <sheetData sheetId="2288" refreshError="1"/>
      <sheetData sheetId="2289" refreshError="1"/>
      <sheetData sheetId="2290">
        <row r="1">
          <cell r="A1" t="str">
            <v>ASSET_NUMBER</v>
          </cell>
        </row>
      </sheetData>
      <sheetData sheetId="2291" refreshError="1"/>
      <sheetData sheetId="2292" refreshError="1"/>
      <sheetData sheetId="2293">
        <row r="1">
          <cell r="A1" t="str">
            <v>ASSET_NUMBER</v>
          </cell>
        </row>
      </sheetData>
      <sheetData sheetId="2294">
        <row r="1">
          <cell r="A1" t="str">
            <v>ASSET_NUMBER</v>
          </cell>
        </row>
      </sheetData>
      <sheetData sheetId="2295" refreshError="1"/>
      <sheetData sheetId="2296" refreshError="1"/>
      <sheetData sheetId="2297">
        <row r="1">
          <cell r="A1" t="str">
            <v>ASSET_NUMBER</v>
          </cell>
        </row>
      </sheetData>
      <sheetData sheetId="2298">
        <row r="1">
          <cell r="A1" t="str">
            <v>ASSET_NUMBER</v>
          </cell>
        </row>
      </sheetData>
      <sheetData sheetId="2299">
        <row r="1">
          <cell r="A1" t="str">
            <v>ASSET_NUMBER</v>
          </cell>
        </row>
      </sheetData>
      <sheetData sheetId="2300">
        <row r="1">
          <cell r="A1" t="str">
            <v>ASSET_NUMBER</v>
          </cell>
        </row>
      </sheetData>
      <sheetData sheetId="2301">
        <row r="1">
          <cell r="A1" t="str">
            <v>ASSET_NUMBER</v>
          </cell>
        </row>
      </sheetData>
      <sheetData sheetId="2302">
        <row r="1">
          <cell r="A1" t="str">
            <v>ASSET_NUMBER</v>
          </cell>
        </row>
      </sheetData>
      <sheetData sheetId="2303">
        <row r="1">
          <cell r="A1" t="str">
            <v>ASSET_NUMBER</v>
          </cell>
        </row>
      </sheetData>
      <sheetData sheetId="2304">
        <row r="1">
          <cell r="A1" t="str">
            <v>ASSET_NUMBER</v>
          </cell>
        </row>
      </sheetData>
      <sheetData sheetId="2305" refreshError="1"/>
      <sheetData sheetId="2306">
        <row r="1">
          <cell r="A1" t="str">
            <v>ASSET_NUMBER</v>
          </cell>
        </row>
      </sheetData>
      <sheetData sheetId="2307">
        <row r="1">
          <cell r="A1" t="str">
            <v>ASSET_NUMBER</v>
          </cell>
        </row>
      </sheetData>
      <sheetData sheetId="2308" refreshError="1"/>
      <sheetData sheetId="2309" refreshError="1"/>
      <sheetData sheetId="2310">
        <row r="1">
          <cell r="A1" t="str">
            <v>ASSET_NUMBER</v>
          </cell>
        </row>
      </sheetData>
      <sheetData sheetId="2311">
        <row r="1">
          <cell r="A1" t="str">
            <v>ASSET_NUMBER</v>
          </cell>
        </row>
      </sheetData>
      <sheetData sheetId="2312">
        <row r="1">
          <cell r="A1" t="str">
            <v>ASSET_NUMBER</v>
          </cell>
        </row>
      </sheetData>
      <sheetData sheetId="2313">
        <row r="1">
          <cell r="A1" t="str">
            <v>ASSET_NUMBER</v>
          </cell>
        </row>
      </sheetData>
      <sheetData sheetId="2314">
        <row r="1">
          <cell r="A1" t="str">
            <v>ASSET_NUMBER</v>
          </cell>
        </row>
      </sheetData>
      <sheetData sheetId="2315">
        <row r="1">
          <cell r="A1" t="str">
            <v>ASSET_NUMBER</v>
          </cell>
        </row>
      </sheetData>
      <sheetData sheetId="2316">
        <row r="1">
          <cell r="A1" t="str">
            <v>ASSET_NUMBER</v>
          </cell>
        </row>
      </sheetData>
      <sheetData sheetId="2317">
        <row r="1">
          <cell r="A1" t="str">
            <v>ASSET_NUMBER</v>
          </cell>
        </row>
      </sheetData>
      <sheetData sheetId="2318">
        <row r="1">
          <cell r="A1" t="str">
            <v>ASSET_NUMBER</v>
          </cell>
        </row>
      </sheetData>
      <sheetData sheetId="2319">
        <row r="1">
          <cell r="A1" t="str">
            <v>ASSET_NUMBER</v>
          </cell>
        </row>
      </sheetData>
      <sheetData sheetId="2320">
        <row r="1">
          <cell r="A1" t="str">
            <v>ASSET_NUMBER</v>
          </cell>
        </row>
      </sheetData>
      <sheetData sheetId="2321">
        <row r="1">
          <cell r="A1" t="str">
            <v>ASSET_NUMBER</v>
          </cell>
        </row>
      </sheetData>
      <sheetData sheetId="2322" refreshError="1"/>
      <sheetData sheetId="2323">
        <row r="1">
          <cell r="A1" t="str">
            <v>ASSET_NUMBER</v>
          </cell>
        </row>
      </sheetData>
      <sheetData sheetId="2324">
        <row r="1">
          <cell r="A1" t="str">
            <v>ASSET_NUMBER</v>
          </cell>
        </row>
      </sheetData>
      <sheetData sheetId="2325">
        <row r="1">
          <cell r="A1" t="str">
            <v>ASSET_NUMBER</v>
          </cell>
        </row>
      </sheetData>
      <sheetData sheetId="2326">
        <row r="1">
          <cell r="A1" t="str">
            <v>ASSET_NUMBER</v>
          </cell>
        </row>
      </sheetData>
      <sheetData sheetId="2327">
        <row r="1">
          <cell r="A1" t="str">
            <v>ASSET_NUMBER</v>
          </cell>
        </row>
      </sheetData>
      <sheetData sheetId="2328">
        <row r="1">
          <cell r="A1" t="str">
            <v>ASSET_NUMBER</v>
          </cell>
        </row>
      </sheetData>
      <sheetData sheetId="2329">
        <row r="1">
          <cell r="A1" t="str">
            <v>ASSET_NUMBER</v>
          </cell>
        </row>
      </sheetData>
      <sheetData sheetId="2330">
        <row r="1">
          <cell r="A1" t="str">
            <v>ASSET_NUMBER</v>
          </cell>
        </row>
      </sheetData>
      <sheetData sheetId="2331">
        <row r="1">
          <cell r="A1" t="str">
            <v>ASSET_NUMBER</v>
          </cell>
        </row>
      </sheetData>
      <sheetData sheetId="2332">
        <row r="1">
          <cell r="A1" t="str">
            <v>ASSET_NUMBER</v>
          </cell>
        </row>
      </sheetData>
      <sheetData sheetId="2333">
        <row r="1">
          <cell r="A1" t="str">
            <v>ASSET_NUMBER</v>
          </cell>
        </row>
      </sheetData>
      <sheetData sheetId="2334">
        <row r="1">
          <cell r="A1" t="str">
            <v>ASSET_NUMBER</v>
          </cell>
        </row>
      </sheetData>
      <sheetData sheetId="2335">
        <row r="1">
          <cell r="A1" t="str">
            <v>ASSET_NUMBER</v>
          </cell>
        </row>
      </sheetData>
      <sheetData sheetId="2336">
        <row r="1">
          <cell r="A1" t="str">
            <v>ASSET_NUMBER</v>
          </cell>
        </row>
      </sheetData>
      <sheetData sheetId="2337">
        <row r="1">
          <cell r="A1" t="str">
            <v>ASSET_NUMBER</v>
          </cell>
        </row>
      </sheetData>
      <sheetData sheetId="2338">
        <row r="1">
          <cell r="A1" t="str">
            <v>ASSET_NUMBER</v>
          </cell>
        </row>
      </sheetData>
      <sheetData sheetId="2339">
        <row r="1">
          <cell r="A1" t="str">
            <v>ASSET_NUMBER</v>
          </cell>
        </row>
      </sheetData>
      <sheetData sheetId="2340" refreshError="1"/>
      <sheetData sheetId="2341">
        <row r="1">
          <cell r="A1" t="str">
            <v>ASSET_NUMBER</v>
          </cell>
        </row>
      </sheetData>
      <sheetData sheetId="2342">
        <row r="1">
          <cell r="A1" t="str">
            <v>ASSET_NUMBER</v>
          </cell>
        </row>
      </sheetData>
      <sheetData sheetId="2343">
        <row r="1">
          <cell r="A1" t="str">
            <v>ASSET_NUMBER</v>
          </cell>
        </row>
      </sheetData>
      <sheetData sheetId="2344">
        <row r="1">
          <cell r="A1" t="str">
            <v>ASSET_NUMBER</v>
          </cell>
        </row>
      </sheetData>
      <sheetData sheetId="2345">
        <row r="1">
          <cell r="A1" t="str">
            <v>ASSET_NUMBER</v>
          </cell>
        </row>
      </sheetData>
      <sheetData sheetId="2346">
        <row r="1">
          <cell r="A1" t="str">
            <v>ASSET_NUMBER</v>
          </cell>
        </row>
      </sheetData>
      <sheetData sheetId="2347">
        <row r="1">
          <cell r="A1" t="str">
            <v>ASSET_NUMBER</v>
          </cell>
        </row>
      </sheetData>
      <sheetData sheetId="2348">
        <row r="1">
          <cell r="A1" t="str">
            <v>ASSET_NUMBER</v>
          </cell>
        </row>
      </sheetData>
      <sheetData sheetId="2349">
        <row r="1">
          <cell r="A1" t="str">
            <v>ASSET_NUMBER</v>
          </cell>
        </row>
      </sheetData>
      <sheetData sheetId="2350">
        <row r="1">
          <cell r="A1" t="str">
            <v>ASSET_NUMBER</v>
          </cell>
        </row>
      </sheetData>
      <sheetData sheetId="2351">
        <row r="1">
          <cell r="A1" t="str">
            <v>ASSET_NUMBER</v>
          </cell>
        </row>
      </sheetData>
      <sheetData sheetId="2352">
        <row r="1">
          <cell r="A1" t="str">
            <v>ASSET_NUMBER</v>
          </cell>
        </row>
      </sheetData>
      <sheetData sheetId="2353">
        <row r="1">
          <cell r="A1" t="str">
            <v>ASSET_NUMBER</v>
          </cell>
        </row>
      </sheetData>
      <sheetData sheetId="2354">
        <row r="1">
          <cell r="A1" t="str">
            <v>ASSET_NUMBER</v>
          </cell>
        </row>
      </sheetData>
      <sheetData sheetId="2355">
        <row r="1">
          <cell r="A1" t="str">
            <v>ASSET_NUMBER</v>
          </cell>
        </row>
      </sheetData>
      <sheetData sheetId="2356">
        <row r="1">
          <cell r="A1" t="str">
            <v>ASSET_NUMBER</v>
          </cell>
        </row>
      </sheetData>
      <sheetData sheetId="2357">
        <row r="1">
          <cell r="A1" t="str">
            <v>ASSET_NUMBER</v>
          </cell>
        </row>
      </sheetData>
      <sheetData sheetId="2358">
        <row r="1">
          <cell r="A1" t="str">
            <v>ASSET_NUMBER</v>
          </cell>
        </row>
      </sheetData>
      <sheetData sheetId="2359">
        <row r="1">
          <cell r="A1" t="str">
            <v>ASSET_NUMBER</v>
          </cell>
        </row>
      </sheetData>
      <sheetData sheetId="2360">
        <row r="1">
          <cell r="A1" t="str">
            <v>ASSET_NUMBER</v>
          </cell>
        </row>
      </sheetData>
      <sheetData sheetId="2361">
        <row r="1">
          <cell r="A1" t="str">
            <v>ASSET_NUMBER</v>
          </cell>
        </row>
      </sheetData>
      <sheetData sheetId="2362">
        <row r="1">
          <cell r="A1" t="str">
            <v>ASSET_NUMBER</v>
          </cell>
        </row>
      </sheetData>
      <sheetData sheetId="2363">
        <row r="1">
          <cell r="A1" t="str">
            <v>ASSET_NUMBER</v>
          </cell>
        </row>
      </sheetData>
      <sheetData sheetId="2364">
        <row r="1">
          <cell r="A1" t="str">
            <v>ASSET_NUMBER</v>
          </cell>
        </row>
      </sheetData>
      <sheetData sheetId="2365">
        <row r="1">
          <cell r="A1" t="str">
            <v>ASSET_NUMBER</v>
          </cell>
        </row>
      </sheetData>
      <sheetData sheetId="2366">
        <row r="1">
          <cell r="A1" t="str">
            <v>ASSET_NUMBER</v>
          </cell>
        </row>
      </sheetData>
      <sheetData sheetId="2367">
        <row r="1">
          <cell r="A1" t="str">
            <v>ASSET_NUMBER</v>
          </cell>
        </row>
      </sheetData>
      <sheetData sheetId="2368">
        <row r="1">
          <cell r="A1" t="str">
            <v>ASSET_NUMBER</v>
          </cell>
        </row>
      </sheetData>
      <sheetData sheetId="2369">
        <row r="1">
          <cell r="A1" t="str">
            <v>ASSET_NUMBER</v>
          </cell>
        </row>
      </sheetData>
      <sheetData sheetId="2370">
        <row r="1">
          <cell r="A1" t="str">
            <v>ASSET_NUMBER</v>
          </cell>
        </row>
      </sheetData>
      <sheetData sheetId="2371">
        <row r="1">
          <cell r="A1" t="str">
            <v>ASSET_NUMBER</v>
          </cell>
        </row>
      </sheetData>
      <sheetData sheetId="2372">
        <row r="1">
          <cell r="A1" t="str">
            <v>ASSET_NUMBER</v>
          </cell>
        </row>
      </sheetData>
      <sheetData sheetId="2373">
        <row r="1">
          <cell r="A1" t="str">
            <v>ASSET_NUMBER</v>
          </cell>
        </row>
      </sheetData>
      <sheetData sheetId="2374">
        <row r="1">
          <cell r="A1" t="str">
            <v>ASSET_NUMBER</v>
          </cell>
        </row>
      </sheetData>
      <sheetData sheetId="2375">
        <row r="1">
          <cell r="A1" t="str">
            <v>ASSET_NUMBER</v>
          </cell>
        </row>
      </sheetData>
      <sheetData sheetId="2376">
        <row r="1">
          <cell r="A1" t="str">
            <v>ASSET_NUMBER</v>
          </cell>
        </row>
      </sheetData>
      <sheetData sheetId="2377">
        <row r="1">
          <cell r="A1" t="str">
            <v>ASSET_NUMBER</v>
          </cell>
        </row>
      </sheetData>
      <sheetData sheetId="2378">
        <row r="1">
          <cell r="A1" t="str">
            <v>ASSET_NUMBER</v>
          </cell>
        </row>
      </sheetData>
      <sheetData sheetId="2379">
        <row r="1">
          <cell r="A1" t="str">
            <v>ASSET_NUMBER</v>
          </cell>
        </row>
      </sheetData>
      <sheetData sheetId="2380">
        <row r="1">
          <cell r="A1" t="str">
            <v>ASSET_NUMBER</v>
          </cell>
        </row>
      </sheetData>
      <sheetData sheetId="2381">
        <row r="1">
          <cell r="A1" t="str">
            <v>ASSET_NUMBER</v>
          </cell>
        </row>
      </sheetData>
      <sheetData sheetId="2382">
        <row r="1">
          <cell r="A1" t="str">
            <v>ASSET_NUMBER</v>
          </cell>
        </row>
      </sheetData>
      <sheetData sheetId="2383">
        <row r="1">
          <cell r="A1" t="str">
            <v>ASSET_NUMBER</v>
          </cell>
        </row>
      </sheetData>
      <sheetData sheetId="2384">
        <row r="1">
          <cell r="A1" t="str">
            <v>ASSET_NUMBER</v>
          </cell>
        </row>
      </sheetData>
      <sheetData sheetId="2385">
        <row r="1">
          <cell r="A1" t="str">
            <v>ASSET_NUMBER</v>
          </cell>
        </row>
      </sheetData>
      <sheetData sheetId="2386">
        <row r="1">
          <cell r="A1" t="str">
            <v>ASSET_NUMBER</v>
          </cell>
        </row>
      </sheetData>
      <sheetData sheetId="2387">
        <row r="1">
          <cell r="A1" t="str">
            <v>ASSET_NUMBER</v>
          </cell>
        </row>
      </sheetData>
      <sheetData sheetId="2388">
        <row r="1">
          <cell r="A1" t="str">
            <v>ASSET_NUMBER</v>
          </cell>
        </row>
      </sheetData>
      <sheetData sheetId="2389">
        <row r="1">
          <cell r="A1" t="str">
            <v>ASSET_NUMBER</v>
          </cell>
        </row>
      </sheetData>
      <sheetData sheetId="2390">
        <row r="1">
          <cell r="A1" t="str">
            <v>ASSET_NUMBER</v>
          </cell>
        </row>
      </sheetData>
      <sheetData sheetId="2391">
        <row r="1">
          <cell r="A1" t="str">
            <v>ASSET_NUMBER</v>
          </cell>
        </row>
      </sheetData>
      <sheetData sheetId="2392">
        <row r="1">
          <cell r="A1" t="str">
            <v>ASSET_NUMBER</v>
          </cell>
        </row>
      </sheetData>
      <sheetData sheetId="2393">
        <row r="1">
          <cell r="A1" t="str">
            <v>ASSET_NUMBER</v>
          </cell>
        </row>
      </sheetData>
      <sheetData sheetId="2394">
        <row r="1">
          <cell r="A1" t="str">
            <v>ASSET_NUMBER</v>
          </cell>
        </row>
      </sheetData>
      <sheetData sheetId="2395">
        <row r="1">
          <cell r="A1" t="str">
            <v>ASSET_NUMBER</v>
          </cell>
        </row>
      </sheetData>
      <sheetData sheetId="2396">
        <row r="1">
          <cell r="A1" t="str">
            <v>ASSET_NUMBER</v>
          </cell>
        </row>
      </sheetData>
      <sheetData sheetId="2397">
        <row r="1">
          <cell r="A1" t="str">
            <v>ASSET_NUMBER</v>
          </cell>
        </row>
      </sheetData>
      <sheetData sheetId="2398">
        <row r="1">
          <cell r="A1" t="str">
            <v>CODE</v>
          </cell>
        </row>
      </sheetData>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ow r="1">
          <cell r="A1" t="str">
            <v>ASSET_NUMBER</v>
          </cell>
        </row>
      </sheetData>
      <sheetData sheetId="2412">
        <row r="1">
          <cell r="A1" t="str">
            <v>ASSET_NUMBER</v>
          </cell>
        </row>
      </sheetData>
      <sheetData sheetId="2413">
        <row r="1">
          <cell r="A1" t="str">
            <v>ASSET_NUMBER</v>
          </cell>
        </row>
      </sheetData>
      <sheetData sheetId="2414">
        <row r="1">
          <cell r="A1" t="str">
            <v>ASSET_NUMBER</v>
          </cell>
        </row>
      </sheetData>
      <sheetData sheetId="2415">
        <row r="1">
          <cell r="A1" t="str">
            <v>ASSET_NUMBER</v>
          </cell>
        </row>
      </sheetData>
      <sheetData sheetId="2416">
        <row r="1">
          <cell r="A1" t="str">
            <v>ASSET_NUMBER</v>
          </cell>
        </row>
      </sheetData>
      <sheetData sheetId="2417">
        <row r="1">
          <cell r="A1" t="str">
            <v>ASSET_NUMBER</v>
          </cell>
        </row>
      </sheetData>
      <sheetData sheetId="2418">
        <row r="1">
          <cell r="A1" t="str">
            <v>ASSET_NUMBER</v>
          </cell>
        </row>
      </sheetData>
      <sheetData sheetId="2419">
        <row r="1">
          <cell r="A1" t="str">
            <v>ASSET_NUMBER</v>
          </cell>
        </row>
      </sheetData>
      <sheetData sheetId="2420">
        <row r="1">
          <cell r="A1" t="str">
            <v>ASSET_NUMBER</v>
          </cell>
        </row>
      </sheetData>
      <sheetData sheetId="2421">
        <row r="1">
          <cell r="A1" t="str">
            <v>ASSET_NUMBER</v>
          </cell>
        </row>
      </sheetData>
      <sheetData sheetId="2422">
        <row r="1">
          <cell r="A1" t="str">
            <v>ASSET_NUMBER</v>
          </cell>
        </row>
      </sheetData>
      <sheetData sheetId="2423">
        <row r="1">
          <cell r="A1" t="str">
            <v>ASSET_NUMBER</v>
          </cell>
        </row>
      </sheetData>
      <sheetData sheetId="2424">
        <row r="1">
          <cell r="A1" t="str">
            <v>ASSET_NUMBER</v>
          </cell>
        </row>
      </sheetData>
      <sheetData sheetId="2425">
        <row r="1">
          <cell r="A1" t="str">
            <v>ASSET_NUMBER</v>
          </cell>
        </row>
      </sheetData>
      <sheetData sheetId="2426">
        <row r="1">
          <cell r="A1" t="str">
            <v>ASSET_NUMBER</v>
          </cell>
        </row>
      </sheetData>
      <sheetData sheetId="2427">
        <row r="1">
          <cell r="A1" t="str">
            <v>ASSET_NUMBER</v>
          </cell>
        </row>
      </sheetData>
      <sheetData sheetId="2428">
        <row r="1">
          <cell r="A1" t="str">
            <v>ASSET_NUMBER</v>
          </cell>
        </row>
      </sheetData>
      <sheetData sheetId="2429">
        <row r="1">
          <cell r="A1" t="str">
            <v>ASSET_NUMBER</v>
          </cell>
        </row>
      </sheetData>
      <sheetData sheetId="2430">
        <row r="1">
          <cell r="A1" t="str">
            <v>ASSET_NUMBER</v>
          </cell>
        </row>
      </sheetData>
      <sheetData sheetId="2431" refreshError="1"/>
      <sheetData sheetId="2432" refreshError="1"/>
      <sheetData sheetId="2433" refreshError="1"/>
      <sheetData sheetId="2434" refreshError="1"/>
      <sheetData sheetId="2435">
        <row r="1">
          <cell r="A1" t="str">
            <v>ASSET_NUMBER</v>
          </cell>
        </row>
      </sheetData>
      <sheetData sheetId="2436">
        <row r="1">
          <cell r="A1" t="str">
            <v>ASSET_NUMBER</v>
          </cell>
        </row>
      </sheetData>
      <sheetData sheetId="2437">
        <row r="1">
          <cell r="A1" t="str">
            <v>ASSET_NUMBER</v>
          </cell>
        </row>
      </sheetData>
      <sheetData sheetId="2438">
        <row r="1">
          <cell r="A1" t="str">
            <v>ASSET_NUMBER</v>
          </cell>
        </row>
      </sheetData>
      <sheetData sheetId="2439">
        <row r="1">
          <cell r="A1" t="str">
            <v>ASSET_NUMBER</v>
          </cell>
        </row>
      </sheetData>
      <sheetData sheetId="2440">
        <row r="1">
          <cell r="A1" t="str">
            <v>ASSET_NUMBER</v>
          </cell>
        </row>
      </sheetData>
      <sheetData sheetId="2441">
        <row r="1">
          <cell r="A1" t="str">
            <v>ASSET_NUMBER</v>
          </cell>
        </row>
      </sheetData>
      <sheetData sheetId="2442">
        <row r="1">
          <cell r="A1" t="str">
            <v>ASSET_NUMBER</v>
          </cell>
        </row>
      </sheetData>
      <sheetData sheetId="2443">
        <row r="1">
          <cell r="A1" t="str">
            <v>ASSET_NUMBER</v>
          </cell>
        </row>
      </sheetData>
      <sheetData sheetId="2444">
        <row r="1">
          <cell r="A1" t="str">
            <v>ASSET_NUMBER</v>
          </cell>
        </row>
      </sheetData>
      <sheetData sheetId="2445">
        <row r="1">
          <cell r="A1" t="str">
            <v>ASSET_NUMBER</v>
          </cell>
        </row>
      </sheetData>
      <sheetData sheetId="2446">
        <row r="1">
          <cell r="A1" t="str">
            <v>ASSET_NUMBER</v>
          </cell>
        </row>
      </sheetData>
      <sheetData sheetId="2447">
        <row r="1">
          <cell r="A1" t="str">
            <v>ASSET_NUMBER</v>
          </cell>
        </row>
      </sheetData>
      <sheetData sheetId="2448">
        <row r="1">
          <cell r="A1" t="str">
            <v>ASSET_NUMBER</v>
          </cell>
        </row>
      </sheetData>
      <sheetData sheetId="2449">
        <row r="1">
          <cell r="A1" t="str">
            <v>ASSET_NUMBER</v>
          </cell>
        </row>
      </sheetData>
      <sheetData sheetId="2450">
        <row r="1">
          <cell r="A1" t="str">
            <v>ASSET_NUMBER</v>
          </cell>
        </row>
      </sheetData>
      <sheetData sheetId="2451">
        <row r="1">
          <cell r="A1" t="str">
            <v>ASSET_NUMBER</v>
          </cell>
        </row>
      </sheetData>
      <sheetData sheetId="2452">
        <row r="1">
          <cell r="A1" t="str">
            <v>ASSET_NUMBER</v>
          </cell>
        </row>
      </sheetData>
      <sheetData sheetId="2453">
        <row r="1">
          <cell r="A1" t="str">
            <v>ASSET_NUMBER</v>
          </cell>
        </row>
      </sheetData>
      <sheetData sheetId="2454">
        <row r="1">
          <cell r="A1" t="str">
            <v>ASSET_NUMBER</v>
          </cell>
        </row>
      </sheetData>
      <sheetData sheetId="2455">
        <row r="1">
          <cell r="A1" t="str">
            <v>ASSET_NUMBER</v>
          </cell>
        </row>
      </sheetData>
      <sheetData sheetId="2456">
        <row r="1">
          <cell r="A1" t="str">
            <v>ASSET_NUMBER</v>
          </cell>
        </row>
      </sheetData>
      <sheetData sheetId="2457">
        <row r="1">
          <cell r="A1" t="str">
            <v>ASSET_NUMBER</v>
          </cell>
        </row>
      </sheetData>
      <sheetData sheetId="2458">
        <row r="1">
          <cell r="A1" t="str">
            <v>ASSET_NUMBER</v>
          </cell>
        </row>
      </sheetData>
      <sheetData sheetId="2459">
        <row r="1">
          <cell r="A1" t="str">
            <v>ASSET_NUMBER</v>
          </cell>
        </row>
      </sheetData>
      <sheetData sheetId="2460">
        <row r="1">
          <cell r="A1" t="str">
            <v>ASSET_NUMBER</v>
          </cell>
        </row>
      </sheetData>
      <sheetData sheetId="2461">
        <row r="1">
          <cell r="A1" t="str">
            <v>ASSET_NUMBER</v>
          </cell>
        </row>
      </sheetData>
      <sheetData sheetId="2462">
        <row r="1">
          <cell r="A1" t="str">
            <v>ASSET_NUMBER</v>
          </cell>
        </row>
      </sheetData>
      <sheetData sheetId="2463">
        <row r="1">
          <cell r="A1" t="str">
            <v>ASSET_NUMBER</v>
          </cell>
        </row>
      </sheetData>
      <sheetData sheetId="2464">
        <row r="1">
          <cell r="A1" t="str">
            <v>ASSET_NUMBER</v>
          </cell>
        </row>
      </sheetData>
      <sheetData sheetId="2465">
        <row r="1">
          <cell r="A1" t="str">
            <v>ASSET_NUMBER</v>
          </cell>
        </row>
      </sheetData>
      <sheetData sheetId="2466">
        <row r="1">
          <cell r="A1" t="str">
            <v>ASSET_NUMBER</v>
          </cell>
        </row>
      </sheetData>
      <sheetData sheetId="2467">
        <row r="1">
          <cell r="A1" t="str">
            <v>ASSET_NUMBER</v>
          </cell>
        </row>
      </sheetData>
      <sheetData sheetId="2468">
        <row r="1">
          <cell r="A1" t="str">
            <v>ASSET_NUMBER</v>
          </cell>
        </row>
      </sheetData>
      <sheetData sheetId="2469">
        <row r="1">
          <cell r="A1" t="str">
            <v>ASSET_NUMBER</v>
          </cell>
        </row>
      </sheetData>
      <sheetData sheetId="2470">
        <row r="1">
          <cell r="A1" t="str">
            <v>ASSET_NUMBER</v>
          </cell>
        </row>
      </sheetData>
      <sheetData sheetId="2471">
        <row r="1">
          <cell r="A1" t="str">
            <v>ASSET_NUMBER</v>
          </cell>
        </row>
      </sheetData>
      <sheetData sheetId="2472">
        <row r="1">
          <cell r="A1" t="str">
            <v>ASSET_NUMBER</v>
          </cell>
        </row>
      </sheetData>
      <sheetData sheetId="2473">
        <row r="1">
          <cell r="A1" t="str">
            <v>ASSET_NUMBER</v>
          </cell>
        </row>
      </sheetData>
      <sheetData sheetId="2474">
        <row r="1">
          <cell r="A1" t="str">
            <v>ASSET_NUMBER</v>
          </cell>
        </row>
      </sheetData>
      <sheetData sheetId="2475">
        <row r="1">
          <cell r="A1" t="str">
            <v>ASSET_NUMBER</v>
          </cell>
        </row>
      </sheetData>
      <sheetData sheetId="2476">
        <row r="1">
          <cell r="A1" t="str">
            <v>ASSET_NUMBER</v>
          </cell>
        </row>
      </sheetData>
      <sheetData sheetId="2477">
        <row r="1">
          <cell r="A1" t="str">
            <v>ASSET_NUMBER</v>
          </cell>
        </row>
      </sheetData>
      <sheetData sheetId="2478">
        <row r="1">
          <cell r="A1" t="str">
            <v>ASSET_NUMBER</v>
          </cell>
        </row>
      </sheetData>
      <sheetData sheetId="2479">
        <row r="1">
          <cell r="A1" t="str">
            <v>ASSET_NUMBER</v>
          </cell>
        </row>
      </sheetData>
      <sheetData sheetId="2480">
        <row r="1">
          <cell r="A1" t="str">
            <v>ASSET_NUMBER</v>
          </cell>
        </row>
      </sheetData>
      <sheetData sheetId="2481">
        <row r="1">
          <cell r="A1" t="str">
            <v>ASSET_NUMBER</v>
          </cell>
        </row>
      </sheetData>
      <sheetData sheetId="2482">
        <row r="1">
          <cell r="A1" t="str">
            <v>ASSET_NUMBER</v>
          </cell>
        </row>
      </sheetData>
      <sheetData sheetId="2483">
        <row r="1">
          <cell r="A1" t="str">
            <v>ASSET_NUMBER</v>
          </cell>
        </row>
      </sheetData>
      <sheetData sheetId="2484">
        <row r="1">
          <cell r="A1" t="str">
            <v>ASSET_NUMBER</v>
          </cell>
        </row>
      </sheetData>
      <sheetData sheetId="2485">
        <row r="1">
          <cell r="A1" t="str">
            <v>ASSET_NUMBER</v>
          </cell>
        </row>
      </sheetData>
      <sheetData sheetId="2486">
        <row r="1">
          <cell r="A1" t="str">
            <v>ASSET_NUMBER</v>
          </cell>
        </row>
      </sheetData>
      <sheetData sheetId="2487">
        <row r="1">
          <cell r="A1" t="str">
            <v>ASSET_NUMBER</v>
          </cell>
        </row>
      </sheetData>
      <sheetData sheetId="2488">
        <row r="1">
          <cell r="A1" t="str">
            <v>ASSET_NUMBER</v>
          </cell>
        </row>
      </sheetData>
      <sheetData sheetId="2489">
        <row r="1">
          <cell r="A1" t="str">
            <v>ASSET_NUMBER</v>
          </cell>
        </row>
      </sheetData>
      <sheetData sheetId="2490">
        <row r="1">
          <cell r="A1" t="str">
            <v>ASSET_NUMBER</v>
          </cell>
        </row>
      </sheetData>
      <sheetData sheetId="2491">
        <row r="1">
          <cell r="A1" t="str">
            <v>ASSET_NUMBER</v>
          </cell>
        </row>
      </sheetData>
      <sheetData sheetId="2492" refreshError="1"/>
      <sheetData sheetId="2493">
        <row r="1">
          <cell r="A1" t="str">
            <v>ASSET_NUMBER</v>
          </cell>
        </row>
      </sheetData>
      <sheetData sheetId="2494">
        <row r="1">
          <cell r="A1" t="str">
            <v>ASSET_NUMBER</v>
          </cell>
        </row>
      </sheetData>
      <sheetData sheetId="2495">
        <row r="1">
          <cell r="A1" t="str">
            <v>ASSET_NUMBER</v>
          </cell>
        </row>
      </sheetData>
      <sheetData sheetId="2496">
        <row r="1">
          <cell r="A1" t="str">
            <v>ASSET_NUMBER</v>
          </cell>
        </row>
      </sheetData>
      <sheetData sheetId="2497">
        <row r="1">
          <cell r="A1" t="str">
            <v>CODE</v>
          </cell>
        </row>
      </sheetData>
      <sheetData sheetId="2498">
        <row r="1">
          <cell r="A1" t="str">
            <v>ASSET_NUMBER</v>
          </cell>
        </row>
      </sheetData>
      <sheetData sheetId="2499">
        <row r="1">
          <cell r="A1" t="str">
            <v>ASSET_NUMBER</v>
          </cell>
        </row>
      </sheetData>
      <sheetData sheetId="2500">
        <row r="1">
          <cell r="A1" t="str">
            <v>ASSET_NUMBER</v>
          </cell>
        </row>
      </sheetData>
      <sheetData sheetId="2501">
        <row r="1">
          <cell r="A1" t="str">
            <v>ASSET_NUMBER</v>
          </cell>
        </row>
      </sheetData>
      <sheetData sheetId="2502">
        <row r="1">
          <cell r="A1" t="str">
            <v>ASSET_NUMBER</v>
          </cell>
        </row>
      </sheetData>
      <sheetData sheetId="2503">
        <row r="1">
          <cell r="A1" t="str">
            <v>ASSET_NUMBER</v>
          </cell>
        </row>
      </sheetData>
      <sheetData sheetId="2504">
        <row r="1">
          <cell r="A1" t="str">
            <v>ASSET_NUMBER</v>
          </cell>
        </row>
      </sheetData>
      <sheetData sheetId="2505">
        <row r="1">
          <cell r="A1" t="str">
            <v>ASSET_NUMBER</v>
          </cell>
        </row>
      </sheetData>
      <sheetData sheetId="2506">
        <row r="1">
          <cell r="A1" t="str">
            <v>ASSET_NUMBER</v>
          </cell>
        </row>
      </sheetData>
      <sheetData sheetId="2507">
        <row r="1">
          <cell r="A1" t="str">
            <v>ASSET_NUMBER</v>
          </cell>
        </row>
      </sheetData>
      <sheetData sheetId="2508">
        <row r="1">
          <cell r="A1" t="str">
            <v>ASSET_NUMBER</v>
          </cell>
        </row>
      </sheetData>
      <sheetData sheetId="2509">
        <row r="1">
          <cell r="A1" t="str">
            <v>ASSET_NUMBER</v>
          </cell>
        </row>
      </sheetData>
      <sheetData sheetId="2510">
        <row r="1">
          <cell r="A1" t="str">
            <v>ASSET_NUMBER</v>
          </cell>
        </row>
      </sheetData>
      <sheetData sheetId="2511">
        <row r="1">
          <cell r="A1" t="str">
            <v>ASSET_NUMBER</v>
          </cell>
        </row>
      </sheetData>
      <sheetData sheetId="2512">
        <row r="1">
          <cell r="A1" t="str">
            <v>ASSET_NUMBER</v>
          </cell>
        </row>
      </sheetData>
      <sheetData sheetId="2513">
        <row r="1">
          <cell r="A1" t="str">
            <v>ASSET_NUMBER</v>
          </cell>
        </row>
      </sheetData>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ow r="1">
          <cell r="A1" t="str">
            <v>ASSET_NUMBER</v>
          </cell>
        </row>
      </sheetData>
      <sheetData sheetId="2525">
        <row r="1">
          <cell r="A1" t="str">
            <v>ASSET_NUMBER</v>
          </cell>
        </row>
      </sheetData>
      <sheetData sheetId="2526">
        <row r="1">
          <cell r="A1" t="str">
            <v>ASSET_NUMBER</v>
          </cell>
        </row>
      </sheetData>
      <sheetData sheetId="2527">
        <row r="1">
          <cell r="A1" t="str">
            <v>ASSET_NUMBER</v>
          </cell>
        </row>
      </sheetData>
      <sheetData sheetId="2528">
        <row r="1">
          <cell r="A1" t="str">
            <v>ASSET_NUMBER</v>
          </cell>
        </row>
      </sheetData>
      <sheetData sheetId="2529">
        <row r="1">
          <cell r="A1" t="str">
            <v>ASSET_NUMBER</v>
          </cell>
        </row>
      </sheetData>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ow r="1">
          <cell r="A1" t="str">
            <v>ASSET_NUMBER</v>
          </cell>
        </row>
      </sheetData>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ow r="1">
          <cell r="A1" t="str">
            <v>ASSET_NUMBER</v>
          </cell>
        </row>
      </sheetData>
      <sheetData sheetId="2556">
        <row r="1">
          <cell r="A1" t="str">
            <v>ASSET_NUMBER</v>
          </cell>
        </row>
      </sheetData>
      <sheetData sheetId="2557">
        <row r="5">
          <cell r="A5">
            <v>1</v>
          </cell>
        </row>
      </sheetData>
      <sheetData sheetId="2558">
        <row r="5">
          <cell r="A5">
            <v>1</v>
          </cell>
        </row>
      </sheetData>
      <sheetData sheetId="2559">
        <row r="5">
          <cell r="A5">
            <v>1</v>
          </cell>
        </row>
      </sheetData>
      <sheetData sheetId="2560">
        <row r="5">
          <cell r="A5">
            <v>1</v>
          </cell>
        </row>
      </sheetData>
      <sheetData sheetId="2561">
        <row r="1">
          <cell r="A1" t="str">
            <v>ASSET_NUMBER</v>
          </cell>
        </row>
      </sheetData>
      <sheetData sheetId="2562">
        <row r="5">
          <cell r="A5">
            <v>1</v>
          </cell>
        </row>
      </sheetData>
      <sheetData sheetId="2563">
        <row r="2">
          <cell r="H2" t="str">
            <v>India Countrywide</v>
          </cell>
        </row>
      </sheetData>
      <sheetData sheetId="2564" refreshError="1"/>
      <sheetData sheetId="2565" refreshError="1"/>
      <sheetData sheetId="2566" refreshError="1"/>
      <sheetData sheetId="2567" refreshError="1"/>
      <sheetData sheetId="2568" refreshError="1"/>
      <sheetData sheetId="2569" refreshError="1"/>
      <sheetData sheetId="2570" refreshError="1"/>
      <sheetData sheetId="2571">
        <row r="1">
          <cell r="A1" t="str">
            <v>ASSET_NUMBER</v>
          </cell>
        </row>
      </sheetData>
      <sheetData sheetId="2572">
        <row r="1">
          <cell r="A1" t="str">
            <v>ASSET_NUMBER</v>
          </cell>
        </row>
      </sheetData>
      <sheetData sheetId="2573">
        <row r="5">
          <cell r="A5">
            <v>1</v>
          </cell>
        </row>
      </sheetData>
      <sheetData sheetId="2574">
        <row r="5">
          <cell r="A5">
            <v>1</v>
          </cell>
        </row>
      </sheetData>
      <sheetData sheetId="2575">
        <row r="5">
          <cell r="A5">
            <v>1</v>
          </cell>
        </row>
      </sheetData>
      <sheetData sheetId="2576" refreshError="1"/>
      <sheetData sheetId="2577">
        <row r="5">
          <cell r="A5">
            <v>1</v>
          </cell>
        </row>
      </sheetData>
      <sheetData sheetId="2578" refreshError="1"/>
      <sheetData sheetId="2579" refreshError="1"/>
      <sheetData sheetId="2580">
        <row r="5">
          <cell r="A5">
            <v>1</v>
          </cell>
        </row>
      </sheetData>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ow r="1">
          <cell r="A1" t="str">
            <v>ASSET_NUMBER</v>
          </cell>
        </row>
      </sheetData>
      <sheetData sheetId="2616" refreshError="1"/>
      <sheetData sheetId="2617">
        <row r="5">
          <cell r="A5">
            <v>1</v>
          </cell>
        </row>
      </sheetData>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ow r="5">
          <cell r="A5">
            <v>1</v>
          </cell>
        </row>
      </sheetData>
      <sheetData sheetId="2637">
        <row r="5">
          <cell r="A5">
            <v>1</v>
          </cell>
        </row>
      </sheetData>
      <sheetData sheetId="2638">
        <row r="1">
          <cell r="A1" t="str">
            <v>ASSET_NUMBER</v>
          </cell>
        </row>
      </sheetData>
      <sheetData sheetId="2639">
        <row r="5">
          <cell r="A5">
            <v>1</v>
          </cell>
        </row>
      </sheetData>
      <sheetData sheetId="2640">
        <row r="2">
          <cell r="H2" t="str">
            <v>India Countrywide</v>
          </cell>
        </row>
      </sheetData>
      <sheetData sheetId="2641">
        <row r="5">
          <cell r="A5">
            <v>1</v>
          </cell>
        </row>
      </sheetData>
      <sheetData sheetId="2642">
        <row r="5">
          <cell r="A5">
            <v>1</v>
          </cell>
        </row>
      </sheetData>
      <sheetData sheetId="2643">
        <row r="5">
          <cell r="A5">
            <v>1</v>
          </cell>
        </row>
      </sheetData>
      <sheetData sheetId="2644">
        <row r="5">
          <cell r="A5">
            <v>1</v>
          </cell>
        </row>
      </sheetData>
      <sheetData sheetId="2645">
        <row r="5">
          <cell r="A5">
            <v>1</v>
          </cell>
        </row>
      </sheetData>
      <sheetData sheetId="2646">
        <row r="5">
          <cell r="A5">
            <v>1</v>
          </cell>
        </row>
      </sheetData>
      <sheetData sheetId="2647">
        <row r="5">
          <cell r="A5">
            <v>1</v>
          </cell>
        </row>
      </sheetData>
      <sheetData sheetId="2648">
        <row r="2">
          <cell r="H2" t="str">
            <v>India Countrywide</v>
          </cell>
        </row>
      </sheetData>
      <sheetData sheetId="2649">
        <row r="5">
          <cell r="A5">
            <v>1</v>
          </cell>
        </row>
      </sheetData>
      <sheetData sheetId="2650">
        <row r="5">
          <cell r="A5">
            <v>1</v>
          </cell>
        </row>
      </sheetData>
      <sheetData sheetId="2651">
        <row r="5">
          <cell r="A5">
            <v>1</v>
          </cell>
        </row>
      </sheetData>
      <sheetData sheetId="2652">
        <row r="5">
          <cell r="A5">
            <v>1</v>
          </cell>
        </row>
      </sheetData>
      <sheetData sheetId="2653">
        <row r="5">
          <cell r="A5">
            <v>1</v>
          </cell>
        </row>
      </sheetData>
      <sheetData sheetId="2654">
        <row r="5">
          <cell r="A5">
            <v>1</v>
          </cell>
        </row>
      </sheetData>
      <sheetData sheetId="2655">
        <row r="5">
          <cell r="A5">
            <v>1</v>
          </cell>
        </row>
      </sheetData>
      <sheetData sheetId="2656">
        <row r="5">
          <cell r="A5">
            <v>1</v>
          </cell>
        </row>
      </sheetData>
      <sheetData sheetId="2657">
        <row r="1">
          <cell r="A1" t="str">
            <v>ASSET_NUMBER</v>
          </cell>
        </row>
      </sheetData>
      <sheetData sheetId="2658">
        <row r="1">
          <cell r="A1" t="str">
            <v>ASSET_NUMBER</v>
          </cell>
        </row>
      </sheetData>
      <sheetData sheetId="2659">
        <row r="5">
          <cell r="A5">
            <v>1</v>
          </cell>
        </row>
      </sheetData>
      <sheetData sheetId="2660">
        <row r="5">
          <cell r="A5">
            <v>1</v>
          </cell>
        </row>
      </sheetData>
      <sheetData sheetId="2661">
        <row r="5">
          <cell r="A5">
            <v>1</v>
          </cell>
        </row>
      </sheetData>
      <sheetData sheetId="2662">
        <row r="5">
          <cell r="A5">
            <v>1</v>
          </cell>
        </row>
      </sheetData>
      <sheetData sheetId="2663">
        <row r="5">
          <cell r="A5">
            <v>1</v>
          </cell>
        </row>
      </sheetData>
      <sheetData sheetId="2664">
        <row r="5">
          <cell r="A5">
            <v>1</v>
          </cell>
        </row>
      </sheetData>
      <sheetData sheetId="2665">
        <row r="5">
          <cell r="A5">
            <v>1</v>
          </cell>
        </row>
      </sheetData>
      <sheetData sheetId="2666">
        <row r="5">
          <cell r="A5">
            <v>1</v>
          </cell>
        </row>
      </sheetData>
      <sheetData sheetId="2667" refreshError="1"/>
      <sheetData sheetId="2668" refreshError="1"/>
      <sheetData sheetId="2669" refreshError="1"/>
      <sheetData sheetId="2670" refreshError="1"/>
      <sheetData sheetId="2671" refreshError="1"/>
      <sheetData sheetId="2672" refreshError="1"/>
      <sheetData sheetId="2673">
        <row r="5">
          <cell r="A5">
            <v>1</v>
          </cell>
        </row>
      </sheetData>
      <sheetData sheetId="2674" refreshError="1"/>
      <sheetData sheetId="2675" refreshError="1"/>
      <sheetData sheetId="2676">
        <row r="5">
          <cell r="A5">
            <v>1</v>
          </cell>
        </row>
      </sheetData>
      <sheetData sheetId="2677">
        <row r="5">
          <cell r="A5">
            <v>1</v>
          </cell>
        </row>
      </sheetData>
      <sheetData sheetId="2678" refreshError="1"/>
      <sheetData sheetId="2679" refreshError="1"/>
      <sheetData sheetId="2680">
        <row r="5">
          <cell r="A5">
            <v>1</v>
          </cell>
        </row>
      </sheetData>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ow r="5">
          <cell r="A5">
            <v>1</v>
          </cell>
        </row>
      </sheetData>
      <sheetData sheetId="2712">
        <row r="5">
          <cell r="A5">
            <v>1</v>
          </cell>
        </row>
      </sheetData>
      <sheetData sheetId="2713">
        <row r="5">
          <cell r="A5">
            <v>1</v>
          </cell>
        </row>
      </sheetData>
      <sheetData sheetId="2714">
        <row r="5">
          <cell r="A5">
            <v>1</v>
          </cell>
        </row>
      </sheetData>
      <sheetData sheetId="2715">
        <row r="5">
          <cell r="A5">
            <v>1</v>
          </cell>
        </row>
      </sheetData>
      <sheetData sheetId="2716">
        <row r="5">
          <cell r="A5">
            <v>1</v>
          </cell>
        </row>
      </sheetData>
      <sheetData sheetId="2717">
        <row r="5">
          <cell r="A5">
            <v>1</v>
          </cell>
        </row>
      </sheetData>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ow r="5">
          <cell r="A5">
            <v>1</v>
          </cell>
        </row>
      </sheetData>
      <sheetData sheetId="2736" refreshError="1"/>
      <sheetData sheetId="2737" refreshError="1"/>
      <sheetData sheetId="2738">
        <row r="28">
          <cell r="M28">
            <v>25518769.103220712</v>
          </cell>
        </row>
      </sheetData>
      <sheetData sheetId="2739" refreshError="1"/>
      <sheetData sheetId="2740" refreshError="1"/>
      <sheetData sheetId="2741" refreshError="1"/>
      <sheetData sheetId="2742"/>
      <sheetData sheetId="2743">
        <row r="28">
          <cell r="M28">
            <v>25518769.103220712</v>
          </cell>
        </row>
      </sheetData>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ow r="5">
          <cell r="A5">
            <v>1</v>
          </cell>
        </row>
      </sheetData>
      <sheetData sheetId="2767">
        <row r="5">
          <cell r="A5">
            <v>1</v>
          </cell>
        </row>
      </sheetData>
      <sheetData sheetId="2768"/>
      <sheetData sheetId="2769">
        <row r="5">
          <cell r="A5">
            <v>1</v>
          </cell>
        </row>
      </sheetData>
      <sheetData sheetId="2770">
        <row r="5">
          <cell r="A5">
            <v>1</v>
          </cell>
        </row>
      </sheetData>
      <sheetData sheetId="2771" refreshError="1"/>
      <sheetData sheetId="2772">
        <row r="5">
          <cell r="A5">
            <v>1</v>
          </cell>
        </row>
      </sheetData>
      <sheetData sheetId="2773"/>
      <sheetData sheetId="2774">
        <row r="28">
          <cell r="M28">
            <v>25518769.103220712</v>
          </cell>
        </row>
      </sheetData>
      <sheetData sheetId="2775"/>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sheetData sheetId="2985"/>
      <sheetData sheetId="2986"/>
      <sheetData sheetId="2987"/>
      <sheetData sheetId="2988"/>
      <sheetData sheetId="2989">
        <row r="28">
          <cell r="M28">
            <v>25518769.103220712</v>
          </cell>
        </row>
      </sheetData>
      <sheetData sheetId="2990"/>
      <sheetData sheetId="2991">
        <row r="28">
          <cell r="M28">
            <v>25518769.103220712</v>
          </cell>
        </row>
      </sheetData>
      <sheetData sheetId="2992"/>
      <sheetData sheetId="2993"/>
      <sheetData sheetId="2994"/>
      <sheetData sheetId="2995"/>
      <sheetData sheetId="2996"/>
      <sheetData sheetId="2997"/>
      <sheetData sheetId="2998">
        <row r="5">
          <cell r="A5">
            <v>1</v>
          </cell>
        </row>
      </sheetData>
      <sheetData sheetId="2999"/>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refreshError="1"/>
      <sheetData sheetId="3038"/>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ow r="1">
          <cell r="A1" t="str">
            <v>ASSET_NUMBER</v>
          </cell>
        </row>
      </sheetData>
      <sheetData sheetId="3554">
        <row r="1">
          <cell r="A1" t="str">
            <v>ASSET_NUMBER</v>
          </cell>
        </row>
      </sheetData>
      <sheetData sheetId="3555">
        <row r="1">
          <cell r="A1" t="str">
            <v>ASSET_NUMBER</v>
          </cell>
        </row>
      </sheetData>
      <sheetData sheetId="3556">
        <row r="1">
          <cell r="A1" t="str">
            <v>ASSET_NUMBER</v>
          </cell>
        </row>
      </sheetData>
      <sheetData sheetId="3557">
        <row r="1">
          <cell r="A1" t="str">
            <v>ASSET_NUMBER</v>
          </cell>
        </row>
      </sheetData>
      <sheetData sheetId="3558">
        <row r="1">
          <cell r="A1" t="str">
            <v>ASSET_NUMBER</v>
          </cell>
        </row>
      </sheetData>
      <sheetData sheetId="3559">
        <row r="1">
          <cell r="A1" t="str">
            <v>ASSET_NUMBER</v>
          </cell>
        </row>
      </sheetData>
      <sheetData sheetId="3560">
        <row r="1">
          <cell r="A1" t="str">
            <v>ASSET_NUMBER</v>
          </cell>
        </row>
      </sheetData>
      <sheetData sheetId="3561">
        <row r="1">
          <cell r="A1" t="str">
            <v>Customer Name</v>
          </cell>
        </row>
      </sheetData>
      <sheetData sheetId="3562">
        <row r="1">
          <cell r="A1" t="str">
            <v>ASSET_NUMBER</v>
          </cell>
        </row>
      </sheetData>
      <sheetData sheetId="3563">
        <row r="1">
          <cell r="A1" t="str">
            <v>ASSET_NUMBER</v>
          </cell>
        </row>
      </sheetData>
      <sheetData sheetId="3564">
        <row r="1">
          <cell r="A1" t="str">
            <v>ASSET_NUMBER</v>
          </cell>
        </row>
      </sheetData>
      <sheetData sheetId="3565">
        <row r="1">
          <cell r="A1" t="str">
            <v>ASSET_NUMBER</v>
          </cell>
        </row>
      </sheetData>
      <sheetData sheetId="3566">
        <row r="1">
          <cell r="A1" t="str">
            <v>ASSET_NUMBER</v>
          </cell>
        </row>
      </sheetData>
      <sheetData sheetId="3567">
        <row r="1">
          <cell r="A1" t="str">
            <v>ASSET_NUMBER</v>
          </cell>
        </row>
      </sheetData>
      <sheetData sheetId="3568">
        <row r="1">
          <cell r="A1" t="str">
            <v>ASSET_NUMBER</v>
          </cell>
        </row>
      </sheetData>
      <sheetData sheetId="3569">
        <row r="1">
          <cell r="A1" t="str">
            <v>ASSET_NUMBER</v>
          </cell>
        </row>
      </sheetData>
      <sheetData sheetId="3570">
        <row r="1">
          <cell r="A1" t="str">
            <v>ASSET_NUMBER</v>
          </cell>
        </row>
      </sheetData>
      <sheetData sheetId="3571">
        <row r="1">
          <cell r="A1" t="str">
            <v>ASSET_NUMBER</v>
          </cell>
        </row>
      </sheetData>
      <sheetData sheetId="3572">
        <row r="1">
          <cell r="A1" t="str">
            <v>ASSET_NUMBER</v>
          </cell>
        </row>
      </sheetData>
      <sheetData sheetId="3573">
        <row r="1">
          <cell r="A1" t="str">
            <v>ASSET_NUMBER</v>
          </cell>
        </row>
      </sheetData>
      <sheetData sheetId="3574">
        <row r="1">
          <cell r="A1" t="str">
            <v>ASSET_NUMBER</v>
          </cell>
        </row>
      </sheetData>
      <sheetData sheetId="3575">
        <row r="1">
          <cell r="A1" t="str">
            <v>ASSET_NUMBER</v>
          </cell>
        </row>
      </sheetData>
      <sheetData sheetId="3576">
        <row r="1">
          <cell r="A1" t="str">
            <v>ASSET_NUMBER</v>
          </cell>
        </row>
      </sheetData>
      <sheetData sheetId="3577">
        <row r="5">
          <cell r="A5">
            <v>1</v>
          </cell>
        </row>
      </sheetData>
      <sheetData sheetId="3578">
        <row r="1">
          <cell r="A1" t="str">
            <v>Customer Name</v>
          </cell>
        </row>
      </sheetData>
      <sheetData sheetId="3579">
        <row r="1">
          <cell r="A1" t="str">
            <v>ASSET_NUMBER</v>
          </cell>
        </row>
      </sheetData>
      <sheetData sheetId="3580">
        <row r="2">
          <cell r="H2" t="str">
            <v>India Countrywide</v>
          </cell>
        </row>
      </sheetData>
      <sheetData sheetId="3581">
        <row r="2">
          <cell r="H2" t="str">
            <v>India Countrywide</v>
          </cell>
        </row>
      </sheetData>
      <sheetData sheetId="3582">
        <row r="1">
          <cell r="A1" t="str">
            <v>ASSET_NUMBER</v>
          </cell>
        </row>
      </sheetData>
      <sheetData sheetId="3583">
        <row r="1">
          <cell r="A1" t="str">
            <v>ASSET_NUMBER</v>
          </cell>
        </row>
      </sheetData>
      <sheetData sheetId="3584">
        <row r="1">
          <cell r="A1" t="str">
            <v>ASSET_NUMBER</v>
          </cell>
        </row>
      </sheetData>
      <sheetData sheetId="3585">
        <row r="1">
          <cell r="A1" t="str">
            <v>ASSET_NUMBER</v>
          </cell>
        </row>
      </sheetData>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ow r="1">
          <cell r="A1" t="str">
            <v>03</v>
          </cell>
        </row>
      </sheetData>
      <sheetData sheetId="4633">
        <row r="1">
          <cell r="A1" t="str">
            <v>03</v>
          </cell>
        </row>
      </sheetData>
      <sheetData sheetId="4634">
        <row r="1">
          <cell r="A1" t="str">
            <v>03</v>
          </cell>
        </row>
      </sheetData>
      <sheetData sheetId="4635">
        <row r="1">
          <cell r="A1" t="str">
            <v>03</v>
          </cell>
        </row>
      </sheetData>
      <sheetData sheetId="4636">
        <row r="1">
          <cell r="A1" t="str">
            <v>03</v>
          </cell>
        </row>
      </sheetData>
      <sheetData sheetId="4637">
        <row r="1">
          <cell r="A1" t="str">
            <v>03</v>
          </cell>
        </row>
      </sheetData>
      <sheetData sheetId="4638">
        <row r="1">
          <cell r="A1" t="str">
            <v>03</v>
          </cell>
        </row>
      </sheetData>
      <sheetData sheetId="4639">
        <row r="1">
          <cell r="A1" t="str">
            <v>03</v>
          </cell>
        </row>
      </sheetData>
      <sheetData sheetId="4640">
        <row r="1">
          <cell r="A1" t="str">
            <v>03</v>
          </cell>
        </row>
      </sheetData>
      <sheetData sheetId="4641" refreshError="1"/>
      <sheetData sheetId="4642">
        <row r="1">
          <cell r="A1" t="str">
            <v>CODE</v>
          </cell>
        </row>
      </sheetData>
      <sheetData sheetId="4643">
        <row r="1">
          <cell r="A1" t="str">
            <v>CODE</v>
          </cell>
        </row>
      </sheetData>
      <sheetData sheetId="4644">
        <row r="8">
          <cell r="AB8" t="str">
            <v>Order-No</v>
          </cell>
        </row>
      </sheetData>
      <sheetData sheetId="4645">
        <row r="8">
          <cell r="AB8" t="str">
            <v>Order-No</v>
          </cell>
        </row>
      </sheetData>
      <sheetData sheetId="4646">
        <row r="8">
          <cell r="AB8" t="str">
            <v>Order-No</v>
          </cell>
        </row>
      </sheetData>
      <sheetData sheetId="4647">
        <row r="8">
          <cell r="AB8" t="str">
            <v>Order-No</v>
          </cell>
        </row>
      </sheetData>
      <sheetData sheetId="4648">
        <row r="8">
          <cell r="AB8" t="str">
            <v>Order-No</v>
          </cell>
        </row>
      </sheetData>
      <sheetData sheetId="4649">
        <row r="8">
          <cell r="AB8" t="str">
            <v>Order-No</v>
          </cell>
        </row>
      </sheetData>
      <sheetData sheetId="4650">
        <row r="5">
          <cell r="A5">
            <v>1</v>
          </cell>
        </row>
      </sheetData>
      <sheetData sheetId="4651">
        <row r="2">
          <cell r="A2" t="str">
            <v>A101001</v>
          </cell>
        </row>
      </sheetData>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refreshError="1"/>
      <sheetData sheetId="5433" refreshError="1"/>
      <sheetData sheetId="5434" refreshError="1"/>
      <sheetData sheetId="5435" refreshError="1"/>
      <sheetData sheetId="5436"/>
      <sheetData sheetId="5437"/>
      <sheetData sheetId="5438"/>
      <sheetData sheetId="5439"/>
      <sheetData sheetId="5440"/>
      <sheetData sheetId="5441"/>
      <sheetData sheetId="5442"/>
      <sheetData sheetId="5443"/>
      <sheetData sheetId="5444"/>
      <sheetData sheetId="5445" refreshError="1"/>
      <sheetData sheetId="5446"/>
      <sheetData sheetId="5447"/>
      <sheetData sheetId="5448"/>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sheetData sheetId="5462"/>
      <sheetData sheetId="5463"/>
      <sheetData sheetId="5464"/>
      <sheetData sheetId="5465"/>
      <sheetData sheetId="5466" refreshError="1"/>
      <sheetData sheetId="5467"/>
      <sheetData sheetId="5468" refreshError="1"/>
      <sheetData sheetId="5469"/>
      <sheetData sheetId="5470"/>
      <sheetData sheetId="5471"/>
      <sheetData sheetId="5472"/>
      <sheetData sheetId="5473" refreshError="1"/>
      <sheetData sheetId="5474" refreshError="1"/>
      <sheetData sheetId="5475" refreshError="1"/>
      <sheetData sheetId="5476" refreshError="1"/>
      <sheetData sheetId="5477" refreshError="1"/>
      <sheetData sheetId="5478" refreshError="1"/>
      <sheetData sheetId="5479"/>
      <sheetData sheetId="5480"/>
      <sheetData sheetId="5481"/>
      <sheetData sheetId="5482"/>
      <sheetData sheetId="5483"/>
      <sheetData sheetId="5484"/>
      <sheetData sheetId="5485"/>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sheetData sheetId="5599"/>
      <sheetData sheetId="5600"/>
      <sheetData sheetId="5601" refreshError="1"/>
      <sheetData sheetId="5602" refreshError="1"/>
      <sheetData sheetId="5603" refreshError="1"/>
      <sheetData sheetId="5604"/>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sheetData sheetId="5641"/>
      <sheetData sheetId="5642" refreshError="1"/>
      <sheetData sheetId="5643" refreshError="1"/>
      <sheetData sheetId="5644" refreshError="1"/>
      <sheetData sheetId="5645"/>
      <sheetData sheetId="5646"/>
      <sheetData sheetId="5647" refreshError="1"/>
      <sheetData sheetId="5648"/>
      <sheetData sheetId="5649"/>
      <sheetData sheetId="5650"/>
      <sheetData sheetId="5651" refreshError="1"/>
      <sheetData sheetId="5652"/>
      <sheetData sheetId="5653"/>
      <sheetData sheetId="5654"/>
      <sheetData sheetId="5655"/>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refreshError="1"/>
      <sheetData sheetId="5698"/>
      <sheetData sheetId="5699"/>
      <sheetData sheetId="5700"/>
      <sheetData sheetId="5701"/>
      <sheetData sheetId="5702"/>
      <sheetData sheetId="5703"/>
      <sheetData sheetId="5704"/>
      <sheetData sheetId="5705"/>
      <sheetData sheetId="5706"/>
      <sheetData sheetId="5707"/>
      <sheetData sheetId="5708"/>
      <sheetData sheetId="5709" refreshError="1"/>
      <sheetData sheetId="5710" refreshError="1"/>
      <sheetData sheetId="5711" refreshError="1"/>
      <sheetData sheetId="5712"/>
      <sheetData sheetId="5713"/>
      <sheetData sheetId="5714"/>
      <sheetData sheetId="5715"/>
      <sheetData sheetId="5716"/>
      <sheetData sheetId="5717"/>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refreshError="1"/>
      <sheetData sheetId="5737"/>
      <sheetData sheetId="5738" refreshError="1"/>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refreshError="1"/>
      <sheetData sheetId="8207" refreshError="1"/>
      <sheetData sheetId="8208" refreshError="1"/>
      <sheetData sheetId="8209"/>
      <sheetData sheetId="8210"/>
      <sheetData sheetId="8211" refreshError="1"/>
      <sheetData sheetId="8212" refreshError="1"/>
      <sheetData sheetId="8213" refreshError="1"/>
      <sheetData sheetId="8214" refreshError="1"/>
      <sheetData sheetId="8215" refreshError="1"/>
      <sheetData sheetId="8216" refreshError="1"/>
      <sheetData sheetId="8217">
        <row r="10">
          <cell r="A10" t="str">
            <v>頗數爛僅</v>
          </cell>
        </row>
      </sheetData>
      <sheetData sheetId="8218" refreshError="1"/>
      <sheetData sheetId="8219">
        <row r="10">
          <cell r="A10" t="str">
            <v>頗數爛僅</v>
          </cell>
        </row>
      </sheetData>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sheetData sheetId="8229"/>
      <sheetData sheetId="8230"/>
      <sheetData sheetId="8231"/>
      <sheetData sheetId="8232"/>
      <sheetData sheetId="8233"/>
      <sheetData sheetId="8234"/>
      <sheetData sheetId="8235"/>
      <sheetData sheetId="8236"/>
      <sheetData sheetId="8237"/>
      <sheetData sheetId="8238"/>
      <sheetData sheetId="8239" refreshError="1"/>
      <sheetData sheetId="8240" refreshError="1"/>
      <sheetData sheetId="8241" refreshError="1"/>
      <sheetData sheetId="8242" refreshError="1"/>
      <sheetData sheetId="8243" refreshError="1"/>
      <sheetData sheetId="8244"/>
      <sheetData sheetId="8245" refreshError="1"/>
      <sheetData sheetId="8246" refreshError="1"/>
      <sheetData sheetId="8247" refreshError="1"/>
      <sheetData sheetId="8248" refreshError="1"/>
      <sheetData sheetId="8249" refreshError="1"/>
      <sheetData sheetId="8250"/>
      <sheetData sheetId="8251" refreshError="1"/>
      <sheetData sheetId="8252"/>
      <sheetData sheetId="8253"/>
      <sheetData sheetId="8254"/>
      <sheetData sheetId="8255"/>
      <sheetData sheetId="8256"/>
      <sheetData sheetId="8257"/>
      <sheetData sheetId="8258"/>
      <sheetData sheetId="8259"/>
      <sheetData sheetId="8260"/>
      <sheetData sheetId="826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sheetData sheetId="8274"/>
      <sheetData sheetId="8275"/>
      <sheetData sheetId="8276"/>
      <sheetData sheetId="8277"/>
      <sheetData sheetId="8278"/>
      <sheetData sheetId="8279"/>
      <sheetData sheetId="8280"/>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refreshError="1"/>
      <sheetData sheetId="8311"/>
      <sheetData sheetId="8312" refreshError="1"/>
      <sheetData sheetId="8313" refreshError="1"/>
      <sheetData sheetId="8314" refreshError="1"/>
      <sheetData sheetId="8315"/>
      <sheetData sheetId="8316"/>
      <sheetData sheetId="8317"/>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sheetData sheetId="8356"/>
      <sheetData sheetId="8357"/>
      <sheetData sheetId="8358" refreshError="1"/>
      <sheetData sheetId="8359"/>
      <sheetData sheetId="8360" refreshError="1"/>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sheetData sheetId="8409" refreshError="1"/>
      <sheetData sheetId="8410" refreshError="1"/>
      <sheetData sheetId="8411"/>
      <sheetData sheetId="8412" refreshError="1"/>
      <sheetData sheetId="8413"/>
      <sheetData sheetId="8414" refreshError="1"/>
      <sheetData sheetId="8415" refreshError="1"/>
      <sheetData sheetId="8416"/>
      <sheetData sheetId="8417" refreshError="1"/>
      <sheetData sheetId="8418"/>
      <sheetData sheetId="8419" refreshError="1"/>
      <sheetData sheetId="8420" refreshError="1"/>
      <sheetData sheetId="8421" refreshError="1"/>
      <sheetData sheetId="8422" refreshError="1"/>
      <sheetData sheetId="8423" refreshError="1"/>
      <sheetData sheetId="8424" refreshError="1"/>
      <sheetData sheetId="8425" refreshError="1"/>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refreshError="1"/>
      <sheetData sheetId="8442"/>
      <sheetData sheetId="8443"/>
      <sheetData sheetId="8444"/>
      <sheetData sheetId="8445"/>
      <sheetData sheetId="8446"/>
      <sheetData sheetId="8447"/>
      <sheetData sheetId="8448"/>
      <sheetData sheetId="8449"/>
      <sheetData sheetId="8450"/>
      <sheetData sheetId="8451"/>
      <sheetData sheetId="8452" refreshError="1"/>
      <sheetData sheetId="8453" refreshError="1"/>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sheetData sheetId="8599"/>
      <sheetData sheetId="8600" refreshError="1"/>
      <sheetData sheetId="860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sheetData sheetId="8625"/>
      <sheetData sheetId="8626"/>
      <sheetData sheetId="8627"/>
      <sheetData sheetId="8628"/>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sheetData sheetId="8686"/>
      <sheetData sheetId="8687" refreshError="1"/>
      <sheetData sheetId="8688"/>
      <sheetData sheetId="8689"/>
      <sheetData sheetId="8690" refreshError="1"/>
      <sheetData sheetId="8691" refreshError="1"/>
      <sheetData sheetId="8692" refreshError="1"/>
      <sheetData sheetId="8693" refreshError="1"/>
      <sheetData sheetId="8694"/>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sheetData sheetId="8706"/>
      <sheetData sheetId="8707"/>
      <sheetData sheetId="8708"/>
      <sheetData sheetId="8709"/>
      <sheetData sheetId="8710"/>
      <sheetData sheetId="8711"/>
      <sheetData sheetId="8712"/>
      <sheetData sheetId="8713" refreshError="1"/>
      <sheetData sheetId="8714" refreshError="1"/>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sheetData sheetId="8746" refreshError="1"/>
      <sheetData sheetId="8747"/>
      <sheetData sheetId="8748"/>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sheetData sheetId="8771"/>
      <sheetData sheetId="8772"/>
      <sheetData sheetId="8773"/>
      <sheetData sheetId="8774" refreshError="1"/>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sheetData sheetId="8968"/>
      <sheetData sheetId="8969"/>
      <sheetData sheetId="8970"/>
      <sheetData sheetId="8971"/>
      <sheetData sheetId="8972"/>
      <sheetData sheetId="8973"/>
      <sheetData sheetId="8974"/>
      <sheetData sheetId="8975"/>
      <sheetData sheetId="8976"/>
      <sheetData sheetId="8977" refreshError="1"/>
      <sheetData sheetId="8978"/>
      <sheetData sheetId="8979" refreshError="1"/>
      <sheetData sheetId="8980" refreshError="1"/>
      <sheetData sheetId="898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ow r="23">
          <cell r="A23" t="str">
            <v>D115</v>
          </cell>
        </row>
      </sheetData>
      <sheetData sheetId="9000">
        <row r="23">
          <cell r="A23" t="str">
            <v>D115</v>
          </cell>
        </row>
      </sheetData>
      <sheetData sheetId="9001">
        <row r="1">
          <cell r="B1" t="str">
            <v>D115</v>
          </cell>
        </row>
      </sheetData>
      <sheetData sheetId="9002">
        <row r="1">
          <cell r="B1" t="str">
            <v>D115</v>
          </cell>
        </row>
      </sheetData>
      <sheetData sheetId="9003"/>
      <sheetData sheetId="9004" refreshError="1"/>
      <sheetData sheetId="9005" refreshError="1"/>
      <sheetData sheetId="9006" refreshError="1"/>
      <sheetData sheetId="9007" refreshError="1"/>
      <sheetData sheetId="9008"/>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sheetData sheetId="9021" refreshError="1"/>
      <sheetData sheetId="9022" refreshError="1"/>
      <sheetData sheetId="9023"/>
      <sheetData sheetId="9024" refreshError="1"/>
      <sheetData sheetId="9025"/>
      <sheetData sheetId="9026" refreshError="1"/>
      <sheetData sheetId="9027"/>
      <sheetData sheetId="9028" refreshError="1"/>
      <sheetData sheetId="9029" refreshError="1"/>
      <sheetData sheetId="9030" refreshError="1"/>
      <sheetData sheetId="903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sheetData sheetId="9072"/>
      <sheetData sheetId="9073">
        <row r="4">
          <cell r="D4">
            <v>0.19</v>
          </cell>
        </row>
      </sheetData>
      <sheetData sheetId="9074">
        <row r="4">
          <cell r="A4" t="str">
            <v>Total Revenue</v>
          </cell>
        </row>
      </sheetData>
      <sheetData sheetId="9075"/>
      <sheetData sheetId="9076"/>
      <sheetData sheetId="9077">
        <row r="3">
          <cell r="A3" t="str">
            <v>Total Revenue</v>
          </cell>
        </row>
      </sheetData>
      <sheetData sheetId="9078">
        <row r="4">
          <cell r="A4" t="str">
            <v>Total Revenue</v>
          </cell>
        </row>
      </sheetData>
      <sheetData sheetId="9079"/>
      <sheetData sheetId="9080"/>
      <sheetData sheetId="9081">
        <row r="4">
          <cell r="A4" t="str">
            <v>Total Revenue</v>
          </cell>
        </row>
      </sheetData>
      <sheetData sheetId="9082"/>
      <sheetData sheetId="9083"/>
      <sheetData sheetId="9084"/>
      <sheetData sheetId="9085"/>
      <sheetData sheetId="9086"/>
      <sheetData sheetId="9087"/>
      <sheetData sheetId="9088"/>
      <sheetData sheetId="9089">
        <row r="18">
          <cell r="A18">
            <v>1</v>
          </cell>
        </row>
      </sheetData>
      <sheetData sheetId="9090">
        <row r="4">
          <cell r="D4">
            <v>0.19</v>
          </cell>
        </row>
      </sheetData>
      <sheetData sheetId="9091"/>
      <sheetData sheetId="9092" refreshError="1"/>
      <sheetData sheetId="9093" refreshError="1"/>
      <sheetData sheetId="9094"/>
      <sheetData sheetId="9095"/>
      <sheetData sheetId="9096"/>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refreshError="1"/>
      <sheetData sheetId="9186"/>
      <sheetData sheetId="9187"/>
      <sheetData sheetId="9188"/>
      <sheetData sheetId="9189"/>
      <sheetData sheetId="9190"/>
      <sheetData sheetId="9191"/>
      <sheetData sheetId="9192" refreshError="1"/>
      <sheetData sheetId="9193"/>
      <sheetData sheetId="9194"/>
      <sheetData sheetId="9195"/>
      <sheetData sheetId="9196"/>
      <sheetData sheetId="9197"/>
      <sheetData sheetId="9198"/>
      <sheetData sheetId="9199"/>
      <sheetData sheetId="9200"/>
      <sheetData sheetId="9201"/>
      <sheetData sheetId="9202"/>
      <sheetData sheetId="9203"/>
      <sheetData sheetId="9204" refreshError="1"/>
      <sheetData sheetId="9205"/>
      <sheetData sheetId="9206"/>
      <sheetData sheetId="9207"/>
      <sheetData sheetId="9208" refreshError="1"/>
      <sheetData sheetId="9209" refreshError="1"/>
      <sheetData sheetId="9210" refreshError="1"/>
      <sheetData sheetId="9211" refreshError="1"/>
      <sheetData sheetId="9212" refreshError="1"/>
      <sheetData sheetId="9213" refreshError="1"/>
      <sheetData sheetId="9214" refreshError="1"/>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sheetData sheetId="9259" refreshError="1"/>
      <sheetData sheetId="9260"/>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sheetData sheetId="9273"/>
      <sheetData sheetId="9274"/>
      <sheetData sheetId="9275"/>
      <sheetData sheetId="9276"/>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sheetData sheetId="9363"/>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refreshError="1"/>
      <sheetData sheetId="9543"/>
      <sheetData sheetId="9544"/>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sheetData sheetId="9581" refreshError="1"/>
      <sheetData sheetId="9582"/>
      <sheetData sheetId="9583"/>
      <sheetData sheetId="9584"/>
      <sheetData sheetId="9585"/>
      <sheetData sheetId="9586"/>
      <sheetData sheetId="9587" refreshError="1"/>
      <sheetData sheetId="9588" refreshError="1"/>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refreshError="1"/>
      <sheetData sheetId="9855" refreshError="1"/>
      <sheetData sheetId="9856" refreshError="1"/>
      <sheetData sheetId="9857"/>
      <sheetData sheetId="9858"/>
      <sheetData sheetId="9859"/>
      <sheetData sheetId="9860" refreshError="1"/>
      <sheetData sheetId="9861" refreshError="1"/>
      <sheetData sheetId="9862" refreshError="1"/>
      <sheetData sheetId="9863"/>
      <sheetData sheetId="9864" refreshError="1"/>
      <sheetData sheetId="9865" refreshError="1"/>
      <sheetData sheetId="9866" refreshError="1"/>
      <sheetData sheetId="9867" refreshError="1"/>
      <sheetData sheetId="9868" refreshError="1"/>
      <sheetData sheetId="9869" refreshError="1"/>
      <sheetData sheetId="9870"/>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sheetData sheetId="10043" refreshError="1"/>
      <sheetData sheetId="10044" refreshError="1"/>
      <sheetData sheetId="10045" refreshError="1"/>
      <sheetData sheetId="10046" refreshError="1"/>
      <sheetData sheetId="10047" refreshError="1"/>
      <sheetData sheetId="10048"/>
      <sheetData sheetId="10049" refreshError="1"/>
      <sheetData sheetId="10050" refreshError="1"/>
      <sheetData sheetId="10051" refreshError="1"/>
      <sheetData sheetId="10052" refreshError="1"/>
      <sheetData sheetId="10053" refreshError="1"/>
      <sheetData sheetId="10054"/>
      <sheetData sheetId="10055" refreshError="1"/>
      <sheetData sheetId="10056" refreshError="1"/>
      <sheetData sheetId="10057"/>
      <sheetData sheetId="10058"/>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sheetData sheetId="10079" refreshError="1"/>
      <sheetData sheetId="10080"/>
      <sheetData sheetId="10081" refreshError="1"/>
      <sheetData sheetId="10082"/>
      <sheetData sheetId="10083"/>
      <sheetData sheetId="10084" refreshError="1"/>
      <sheetData sheetId="10085" refreshError="1"/>
      <sheetData sheetId="10086"/>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sheetData sheetId="10100"/>
      <sheetData sheetId="10101"/>
      <sheetData sheetId="10102"/>
      <sheetData sheetId="10103"/>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sheetData sheetId="10156"/>
      <sheetData sheetId="10157"/>
      <sheetData sheetId="10158"/>
      <sheetData sheetId="10159"/>
      <sheetData sheetId="10160"/>
      <sheetData sheetId="10161"/>
      <sheetData sheetId="10162"/>
      <sheetData sheetId="10163"/>
      <sheetData sheetId="10164"/>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sheetData sheetId="10205"/>
      <sheetData sheetId="10206"/>
      <sheetData sheetId="10207"/>
      <sheetData sheetId="10208"/>
      <sheetData sheetId="10209"/>
      <sheetData sheetId="10210"/>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sheetData sheetId="10247"/>
      <sheetData sheetId="10248"/>
      <sheetData sheetId="10249"/>
      <sheetData sheetId="10250" refreshError="1"/>
      <sheetData sheetId="10251"/>
      <sheetData sheetId="10252" refreshError="1"/>
      <sheetData sheetId="10253" refreshError="1"/>
      <sheetData sheetId="10254" refreshError="1"/>
      <sheetData sheetId="10255" refreshError="1"/>
      <sheetData sheetId="10256" refreshError="1"/>
      <sheetData sheetId="10257" refreshError="1"/>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row r="1">
          <cell r="A1" t="str">
            <v>Loan Calculator</v>
          </cell>
        </row>
      </sheetData>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refreshError="1"/>
      <sheetData sheetId="10291" refreshError="1"/>
      <sheetData sheetId="10292"/>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CQTYP"/>
      <sheetName val="CMCQTYS"/>
      <sheetName val="P&amp;L_MARCH09"/>
      <sheetName val="P&amp;L_New_Formate"/>
      <sheetName val="Consol_Treasury_MPRM"/>
      <sheetName val="Control Sheet"/>
      <sheetName val="DMD Sum"/>
      <sheetName val="Sheet2"/>
      <sheetName val="Nslcog"/>
      <sheetName val="CorExp"/>
      <sheetName val="Cap Gain"/>
      <sheetName val="Sheet1"/>
      <sheetName val="R.M.Prajapati"/>
    </sheetNames>
    <sheetDataSet>
      <sheetData sheetId="0" refreshError="1">
        <row r="1">
          <cell r="D1" t="str">
            <v>MACHINES</v>
          </cell>
          <cell r="F1" t="str">
            <v>SPARES</v>
          </cell>
          <cell r="H1" t="str">
            <v>PUNCHES &amp; DIES</v>
          </cell>
          <cell r="L1" t="str">
            <v>TOTAL</v>
          </cell>
        </row>
        <row r="2">
          <cell r="A2" t="str">
            <v>SR.NO.</v>
          </cell>
          <cell r="B2" t="str">
            <v>BILL NO.</v>
          </cell>
          <cell r="C2" t="str">
            <v>DATE</v>
          </cell>
        </row>
        <row r="3">
          <cell r="D3" t="str">
            <v>NO.OF</v>
          </cell>
          <cell r="E3" t="str">
            <v>AMOUNT</v>
          </cell>
          <cell r="F3" t="str">
            <v>NO</v>
          </cell>
          <cell r="G3" t="str">
            <v>AMOUNT</v>
          </cell>
          <cell r="H3" t="str">
            <v>SETS</v>
          </cell>
          <cell r="I3" t="str">
            <v>AMOUNT</v>
          </cell>
          <cell r="J3" t="str">
            <v>NO</v>
          </cell>
          <cell r="K3" t="str">
            <v>AMOUNT</v>
          </cell>
        </row>
        <row r="4">
          <cell r="D4" t="str">
            <v>MACHINES</v>
          </cell>
          <cell r="E4" t="str">
            <v>RS.  PS.</v>
          </cell>
          <cell r="F4" t="str">
            <v xml:space="preserve"> </v>
          </cell>
          <cell r="G4" t="str">
            <v>RS.  PS.</v>
          </cell>
          <cell r="H4" t="str">
            <v xml:space="preserve"> </v>
          </cell>
          <cell r="I4" t="str">
            <v>RS.  PS.</v>
          </cell>
          <cell r="J4" t="str">
            <v xml:space="preserve"> </v>
          </cell>
          <cell r="K4" t="str">
            <v>RS.PS.</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WC0102 DS"/>
      <sheetName val="Sheet1"/>
      <sheetName val="WC0102"/>
      <sheetName val="hp cp add"/>
      <sheetName val="PLANT"/>
      <sheetName val="MTL-TRANS"/>
      <sheetName val="TEMP"/>
      <sheetName val="wip FG"/>
      <sheetName val="stk qty"/>
      <sheetName val="MCG STK"/>
      <sheetName val="STKST"/>
      <sheetName val="canara bank paper 1"/>
      <sheetName val="canara bank paper 2"/>
      <sheetName val="canara bank paper3 front"/>
      <sheetName val="canara bank paper 3 back"/>
      <sheetName val="raugh"/>
      <sheetName val="rate mxn"/>
      <sheetName val="rate mtl"/>
      <sheetName val="file 0401 for ref  MXN"/>
      <sheetName val="sumsheet"/>
      <sheetName val="Codes"/>
      <sheetName val="Lead"/>
      <sheetName val=""/>
      <sheetName val="deb"/>
      <sheetName val="accs"/>
      <sheetName val="Part A General"/>
      <sheetName val="STD2001"/>
      <sheetName val="00 Income Statement"/>
      <sheetName val="#REF"/>
      <sheetName val="PlantStatusData"/>
      <sheetName val="Data"/>
      <sheetName val="Lists"/>
      <sheetName val="WC0102_DS"/>
      <sheetName val="hp_cp_add"/>
      <sheetName val="wip_FG"/>
      <sheetName val="stk_qty"/>
      <sheetName val="MCG_STK"/>
      <sheetName val="canara_bank_paper_1"/>
      <sheetName val="canara_bank_paper_2"/>
      <sheetName val="canara_bank_paper3_front"/>
      <sheetName val="canara_bank_paper_3_back"/>
      <sheetName val="rate_mxn"/>
      <sheetName val="rate_mtl"/>
      <sheetName val="file_0401_for_ref__MXN"/>
      <sheetName val="GGC OP DATA"/>
      <sheetName val="AnnexIII"/>
      <sheetName val="IS Mo"/>
      <sheetName val="Master Support 3"/>
      <sheetName val="DataSheet"/>
      <sheetName val="Consolidation _Rs"/>
      <sheetName val="Stores"/>
      <sheetName val="PART A - GENERAL"/>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s>
    <sheetDataSet>
      <sheetData sheetId="0" refreshError="1">
        <row r="2">
          <cell r="A2">
            <v>101300</v>
          </cell>
          <cell r="B2" t="str">
            <v>Capital souscrit</v>
          </cell>
          <cell r="C2">
            <v>2800</v>
          </cell>
          <cell r="D2" t="str">
            <v>A119</v>
          </cell>
          <cell r="E2">
            <v>-1500000</v>
          </cell>
          <cell r="F2">
            <v>-1500000</v>
          </cell>
        </row>
        <row r="3">
          <cell r="A3">
            <v>106110</v>
          </cell>
          <cell r="B3" t="str">
            <v>Rés légale proporement dite</v>
          </cell>
          <cell r="C3">
            <v>2810</v>
          </cell>
          <cell r="D3" t="str">
            <v>A120</v>
          </cell>
          <cell r="E3">
            <v>-13846.76</v>
          </cell>
          <cell r="F3">
            <v>-13846.76</v>
          </cell>
        </row>
        <row r="4">
          <cell r="A4">
            <v>106800</v>
          </cell>
          <cell r="B4" t="str">
            <v>Autres réserves</v>
          </cell>
          <cell r="C4">
            <v>2820</v>
          </cell>
          <cell r="D4" t="str">
            <v>A120</v>
          </cell>
          <cell r="E4">
            <v>-262894.84000000003</v>
          </cell>
          <cell r="F4">
            <v>-262894.84000000003</v>
          </cell>
        </row>
        <row r="5">
          <cell r="A5">
            <v>119000</v>
          </cell>
          <cell r="B5" t="str">
            <v>REPORT AN DEBITEUR</v>
          </cell>
          <cell r="C5">
            <v>2880</v>
          </cell>
          <cell r="D5" t="str">
            <v>A120</v>
          </cell>
          <cell r="E5">
            <v>463218.02</v>
          </cell>
          <cell r="F5">
            <v>463218.02</v>
          </cell>
        </row>
        <row r="6">
          <cell r="A6">
            <v>120000</v>
          </cell>
          <cell r="B6" t="str">
            <v>Résultat exercice BENEFICE</v>
          </cell>
          <cell r="C6">
            <v>2820</v>
          </cell>
          <cell r="D6" t="str">
            <v>A120</v>
          </cell>
          <cell r="E6">
            <v>0</v>
          </cell>
          <cell r="F6">
            <v>0</v>
          </cell>
        </row>
        <row r="7">
          <cell r="A7">
            <v>129000</v>
          </cell>
          <cell r="B7" t="str">
            <v>RESULTATS EXERCICE PERTES</v>
          </cell>
          <cell r="C7">
            <v>2820</v>
          </cell>
          <cell r="D7" t="str">
            <v>A120</v>
          </cell>
          <cell r="E7">
            <v>0</v>
          </cell>
          <cell r="F7">
            <v>0</v>
          </cell>
        </row>
        <row r="8">
          <cell r="A8">
            <v>151000</v>
          </cell>
          <cell r="B8" t="str">
            <v>Provision pour garantie</v>
          </cell>
          <cell r="C8">
            <v>2620</v>
          </cell>
          <cell r="D8" t="str">
            <v>A117</v>
          </cell>
          <cell r="E8">
            <v>-12400</v>
          </cell>
          <cell r="F8">
            <v>-12400</v>
          </cell>
        </row>
        <row r="9">
          <cell r="A9">
            <v>151100</v>
          </cell>
          <cell r="B9" t="str">
            <v>Provision pour litige</v>
          </cell>
          <cell r="C9">
            <v>2650</v>
          </cell>
          <cell r="D9" t="str">
            <v>A117</v>
          </cell>
          <cell r="E9" t="e">
            <v>#N/A</v>
          </cell>
          <cell r="F9">
            <v>0</v>
          </cell>
        </row>
        <row r="10">
          <cell r="A10">
            <v>151500</v>
          </cell>
          <cell r="B10" t="str">
            <v>PROV POUR ECART DE CHANGE</v>
          </cell>
          <cell r="C10">
            <v>2650</v>
          </cell>
          <cell r="D10" t="str">
            <v>A117</v>
          </cell>
          <cell r="E10">
            <v>-118.62</v>
          </cell>
          <cell r="F10">
            <v>-118.62</v>
          </cell>
        </row>
        <row r="11">
          <cell r="A11">
            <v>151810</v>
          </cell>
          <cell r="B11" t="str">
            <v>PROVISION POUR RISQUES DIVERS</v>
          </cell>
          <cell r="C11">
            <v>2650</v>
          </cell>
          <cell r="D11" t="str">
            <v>A117</v>
          </cell>
          <cell r="E11">
            <v>0</v>
          </cell>
          <cell r="F11">
            <v>0</v>
          </cell>
        </row>
        <row r="12">
          <cell r="A12">
            <v>171000</v>
          </cell>
          <cell r="B12" t="str">
            <v>Emprunt Komax AG</v>
          </cell>
          <cell r="C12" t="str">
            <v>2505IC</v>
          </cell>
          <cell r="D12" t="str">
            <v>A116</v>
          </cell>
          <cell r="E12" t="e">
            <v>#N/A</v>
          </cell>
          <cell r="F12">
            <v>0</v>
          </cell>
        </row>
        <row r="13">
          <cell r="A13">
            <v>171100</v>
          </cell>
          <cell r="B13" t="str">
            <v>EMPRUNT PARTICIPATIF KOMAX HOLDING</v>
          </cell>
          <cell r="C13" t="str">
            <v>2505IC</v>
          </cell>
          <cell r="D13" t="str">
            <v>A116</v>
          </cell>
          <cell r="E13">
            <v>0</v>
          </cell>
          <cell r="F13">
            <v>0</v>
          </cell>
        </row>
        <row r="14">
          <cell r="A14">
            <v>171200</v>
          </cell>
          <cell r="B14" t="str">
            <v>EMPRUNT L.T. KOMAX HOLDING</v>
          </cell>
          <cell r="C14" t="str">
            <v>2505IC</v>
          </cell>
          <cell r="D14" t="str">
            <v>A116</v>
          </cell>
          <cell r="E14">
            <v>0</v>
          </cell>
          <cell r="F14">
            <v>0</v>
          </cell>
        </row>
        <row r="15">
          <cell r="A15">
            <v>181000</v>
          </cell>
          <cell r="B15" t="str">
            <v>Liaison inter établissement</v>
          </cell>
          <cell r="C15" t="str">
            <v>1655IC</v>
          </cell>
          <cell r="D15" t="str">
            <v>A13</v>
          </cell>
          <cell r="E15">
            <v>68382.61</v>
          </cell>
          <cell r="F15">
            <v>68382.61</v>
          </cell>
        </row>
        <row r="16">
          <cell r="A16">
            <v>186000</v>
          </cell>
          <cell r="B16" t="str">
            <v>Liaison inter établ charges</v>
          </cell>
          <cell r="C16" t="str">
            <v>1655IC</v>
          </cell>
          <cell r="D16" t="str">
            <v>A13</v>
          </cell>
          <cell r="E16">
            <v>0</v>
          </cell>
          <cell r="F16">
            <v>0</v>
          </cell>
        </row>
        <row r="17">
          <cell r="A17">
            <v>187000</v>
          </cell>
          <cell r="B17" t="str">
            <v>Liaison inter établ produits</v>
          </cell>
          <cell r="C17" t="str">
            <v>2455IC</v>
          </cell>
          <cell r="D17" t="str">
            <v>A114</v>
          </cell>
          <cell r="E17">
            <v>0</v>
          </cell>
          <cell r="F17">
            <v>0</v>
          </cell>
        </row>
        <row r="18">
          <cell r="A18">
            <v>200000</v>
          </cell>
          <cell r="B18" t="str">
            <v>IMMO CPTE DE TRANSIT</v>
          </cell>
          <cell r="C18" t="str">
            <v>1831S</v>
          </cell>
          <cell r="D18" t="str">
            <v>A17</v>
          </cell>
          <cell r="E18">
            <v>0</v>
          </cell>
          <cell r="F18">
            <v>0</v>
          </cell>
        </row>
        <row r="19">
          <cell r="A19">
            <v>201000</v>
          </cell>
          <cell r="B19" t="str">
            <v>Frais établissement</v>
          </cell>
          <cell r="C19" t="str">
            <v>1930S</v>
          </cell>
          <cell r="D19" t="str">
            <v>A18</v>
          </cell>
          <cell r="E19">
            <v>0</v>
          </cell>
          <cell r="F19">
            <v>0</v>
          </cell>
        </row>
        <row r="20">
          <cell r="A20">
            <v>207100</v>
          </cell>
          <cell r="B20" t="str">
            <v>Fonds commercial</v>
          </cell>
          <cell r="C20" t="str">
            <v>1920S</v>
          </cell>
          <cell r="D20" t="str">
            <v>A18</v>
          </cell>
          <cell r="E20">
            <v>152449.01999999999</v>
          </cell>
          <cell r="F20">
            <v>152449.01999999999</v>
          </cell>
        </row>
        <row r="21">
          <cell r="A21">
            <v>208000</v>
          </cell>
          <cell r="B21" t="str">
            <v>Logiciel informatique</v>
          </cell>
          <cell r="C21" t="str">
            <v>1910S</v>
          </cell>
          <cell r="D21" t="str">
            <v>A18</v>
          </cell>
          <cell r="E21">
            <v>25911.759999999998</v>
          </cell>
          <cell r="F21">
            <v>25911.759999999998</v>
          </cell>
        </row>
        <row r="22">
          <cell r="A22">
            <v>208005</v>
          </cell>
          <cell r="B22" t="str">
            <v>Logiciel informatique&lt;1200</v>
          </cell>
          <cell r="C22" t="str">
            <v>1910S</v>
          </cell>
          <cell r="D22" t="str">
            <v>A18</v>
          </cell>
          <cell r="E22">
            <v>1126.9100000000001</v>
          </cell>
          <cell r="F22">
            <v>1126.9100000000001</v>
          </cell>
        </row>
        <row r="23">
          <cell r="A23">
            <v>215400</v>
          </cell>
          <cell r="B23" t="str">
            <v>Mat et out industriel</v>
          </cell>
          <cell r="C23" t="str">
            <v>1810S</v>
          </cell>
          <cell r="D23" t="str">
            <v>A17</v>
          </cell>
          <cell r="E23">
            <v>37409.839999999997</v>
          </cell>
          <cell r="F23">
            <v>37409.839999999997</v>
          </cell>
        </row>
        <row r="24">
          <cell r="A24">
            <v>215405</v>
          </cell>
          <cell r="B24" t="str">
            <v>Mat et out industriel &lt;2000</v>
          </cell>
          <cell r="C24" t="str">
            <v>1810S</v>
          </cell>
          <cell r="D24" t="str">
            <v>A17</v>
          </cell>
          <cell r="E24">
            <v>1006.93</v>
          </cell>
          <cell r="F24">
            <v>1006.93</v>
          </cell>
        </row>
        <row r="25">
          <cell r="A25">
            <v>218100</v>
          </cell>
          <cell r="B25" t="str">
            <v>Agencements bureaux</v>
          </cell>
          <cell r="C25" t="str">
            <v>1831S</v>
          </cell>
          <cell r="D25" t="str">
            <v>A17</v>
          </cell>
          <cell r="E25">
            <v>44872.26</v>
          </cell>
          <cell r="F25">
            <v>44872.26</v>
          </cell>
        </row>
        <row r="26">
          <cell r="A26">
            <v>218105</v>
          </cell>
          <cell r="B26" t="str">
            <v>AGENCEMENTS BUREAUX &lt; 1200 EUROS</v>
          </cell>
          <cell r="C26" t="str">
            <v>1831S</v>
          </cell>
          <cell r="D26" t="str">
            <v>A17</v>
          </cell>
          <cell r="E26">
            <v>3041.38</v>
          </cell>
          <cell r="F26">
            <v>3041.38</v>
          </cell>
        </row>
        <row r="27">
          <cell r="A27">
            <v>218200</v>
          </cell>
          <cell r="B27" t="str">
            <v>Véhicules</v>
          </cell>
          <cell r="C27" t="str">
            <v>1825S</v>
          </cell>
          <cell r="D27" t="str">
            <v>A17</v>
          </cell>
          <cell r="E27">
            <v>0</v>
          </cell>
          <cell r="F27">
            <v>0</v>
          </cell>
        </row>
        <row r="28">
          <cell r="A28">
            <v>218300</v>
          </cell>
          <cell r="B28" t="str">
            <v>Mar bureau infomatique</v>
          </cell>
          <cell r="C28" t="str">
            <v>1835S</v>
          </cell>
          <cell r="D28" t="str">
            <v>A17</v>
          </cell>
          <cell r="E28">
            <v>2808.05</v>
          </cell>
          <cell r="F28">
            <v>2808.05</v>
          </cell>
        </row>
        <row r="29">
          <cell r="A29">
            <v>218305</v>
          </cell>
          <cell r="B29" t="str">
            <v>MAT BUREAU ET INFORMATIQUE &lt; 1200 E</v>
          </cell>
          <cell r="C29" t="str">
            <v>1835S</v>
          </cell>
          <cell r="D29" t="str">
            <v>A17</v>
          </cell>
          <cell r="E29">
            <v>1532.45</v>
          </cell>
          <cell r="F29">
            <v>1532.45</v>
          </cell>
        </row>
        <row r="30">
          <cell r="A30">
            <v>218310</v>
          </cell>
          <cell r="B30" t="str">
            <v>MATERIEL INFORMATIQUE</v>
          </cell>
          <cell r="C30" t="str">
            <v>1835S</v>
          </cell>
          <cell r="D30" t="str">
            <v>A17</v>
          </cell>
          <cell r="E30">
            <v>36882.99</v>
          </cell>
          <cell r="F30">
            <v>36882.99</v>
          </cell>
        </row>
        <row r="31">
          <cell r="A31">
            <v>218315</v>
          </cell>
          <cell r="B31" t="str">
            <v>MATERIEL INFORMATIQUE &lt; 1200 EUROS</v>
          </cell>
          <cell r="C31" t="str">
            <v>1835S</v>
          </cell>
          <cell r="D31" t="str">
            <v>A17</v>
          </cell>
          <cell r="E31">
            <v>2480.04</v>
          </cell>
          <cell r="F31">
            <v>2480.04</v>
          </cell>
        </row>
        <row r="32">
          <cell r="A32">
            <v>218400</v>
          </cell>
          <cell r="B32" t="str">
            <v>Mobilier</v>
          </cell>
          <cell r="C32" t="str">
            <v>1830S</v>
          </cell>
          <cell r="D32" t="str">
            <v>A17</v>
          </cell>
          <cell r="E32">
            <v>25600.2</v>
          </cell>
          <cell r="F32">
            <v>25600.2</v>
          </cell>
        </row>
        <row r="33">
          <cell r="A33">
            <v>261500</v>
          </cell>
          <cell r="B33" t="str">
            <v>Titres de participation</v>
          </cell>
          <cell r="C33" t="str">
            <v>1705IC</v>
          </cell>
          <cell r="D33" t="str">
            <v>A19</v>
          </cell>
          <cell r="E33">
            <v>99.09</v>
          </cell>
          <cell r="F33">
            <v>99.09</v>
          </cell>
        </row>
        <row r="34">
          <cell r="A34">
            <v>275100</v>
          </cell>
          <cell r="B34" t="str">
            <v>Dépôts et cautionnement</v>
          </cell>
          <cell r="C34">
            <v>1950</v>
          </cell>
          <cell r="D34" t="str">
            <v>A19</v>
          </cell>
          <cell r="E34">
            <v>20710.169999999998</v>
          </cell>
          <cell r="F34">
            <v>20710.169999999998</v>
          </cell>
        </row>
        <row r="35">
          <cell r="A35">
            <v>280100</v>
          </cell>
          <cell r="B35" t="str">
            <v>Amort frais établissement</v>
          </cell>
          <cell r="C35">
            <v>1900</v>
          </cell>
          <cell r="D35" t="str">
            <v>A18</v>
          </cell>
          <cell r="E35">
            <v>0</v>
          </cell>
          <cell r="F35">
            <v>0</v>
          </cell>
        </row>
        <row r="36">
          <cell r="A36">
            <v>280800</v>
          </cell>
          <cell r="B36" t="str">
            <v>Amorts logiciels</v>
          </cell>
          <cell r="C36">
            <v>1900</v>
          </cell>
          <cell r="D36" t="str">
            <v>A18</v>
          </cell>
          <cell r="E36">
            <v>-25911.759999999998</v>
          </cell>
          <cell r="F36">
            <v>-25911.759999999998</v>
          </cell>
        </row>
        <row r="37">
          <cell r="A37">
            <v>280805</v>
          </cell>
          <cell r="B37" t="str">
            <v>AMORT LOGICIELS &lt; 1200 EUROS</v>
          </cell>
          <cell r="C37">
            <v>1900</v>
          </cell>
          <cell r="D37" t="str">
            <v>A18</v>
          </cell>
          <cell r="E37">
            <v>-459.18</v>
          </cell>
          <cell r="F37">
            <v>-459.18</v>
          </cell>
        </row>
        <row r="38">
          <cell r="A38">
            <v>281540</v>
          </cell>
          <cell r="B38" t="str">
            <v>Amort mat et out indust</v>
          </cell>
          <cell r="C38">
            <v>1800</v>
          </cell>
          <cell r="D38" t="str">
            <v>A17</v>
          </cell>
          <cell r="E38">
            <v>-31317.49</v>
          </cell>
          <cell r="F38">
            <v>-31317.49</v>
          </cell>
        </row>
        <row r="39">
          <cell r="A39">
            <v>281545</v>
          </cell>
          <cell r="B39" t="str">
            <v>AMORT MAT ET OUT &lt; 2000 CHF</v>
          </cell>
          <cell r="C39">
            <v>1800</v>
          </cell>
          <cell r="D39" t="str">
            <v>A17</v>
          </cell>
          <cell r="E39">
            <v>-755.2</v>
          </cell>
          <cell r="F39">
            <v>-755.2</v>
          </cell>
        </row>
        <row r="40">
          <cell r="A40">
            <v>281810</v>
          </cell>
          <cell r="B40" t="str">
            <v>Amort agencements bureau</v>
          </cell>
          <cell r="C40">
            <v>1800</v>
          </cell>
          <cell r="D40" t="str">
            <v>A17</v>
          </cell>
          <cell r="E40">
            <v>-31735.919999999998</v>
          </cell>
          <cell r="F40">
            <v>-31735.919999999998</v>
          </cell>
        </row>
        <row r="41">
          <cell r="A41">
            <v>281815</v>
          </cell>
          <cell r="B41" t="str">
            <v>AMORT INST AGEN DIVERS &lt; 1200 EUR</v>
          </cell>
          <cell r="C41">
            <v>1800</v>
          </cell>
          <cell r="D41" t="str">
            <v>A17</v>
          </cell>
          <cell r="E41">
            <v>-574.65</v>
          </cell>
          <cell r="F41">
            <v>-574.65</v>
          </cell>
        </row>
        <row r="42">
          <cell r="A42">
            <v>281820</v>
          </cell>
          <cell r="B42" t="str">
            <v>Amort véhicules</v>
          </cell>
          <cell r="C42">
            <v>1800</v>
          </cell>
          <cell r="D42" t="str">
            <v>A17</v>
          </cell>
          <cell r="E42" t="e">
            <v>#N/A</v>
          </cell>
          <cell r="F42">
            <v>0</v>
          </cell>
        </row>
        <row r="43">
          <cell r="A43">
            <v>281830</v>
          </cell>
          <cell r="B43" t="str">
            <v>Amort mat bureau infor</v>
          </cell>
          <cell r="C43">
            <v>1800</v>
          </cell>
          <cell r="D43" t="str">
            <v>A17</v>
          </cell>
          <cell r="E43">
            <v>-2773.64</v>
          </cell>
          <cell r="F43">
            <v>-2773.64</v>
          </cell>
        </row>
        <row r="44">
          <cell r="A44">
            <v>281831</v>
          </cell>
          <cell r="B44" t="str">
            <v>AMORT MATERIEL INFORMATIQUE</v>
          </cell>
          <cell r="C44">
            <v>1800</v>
          </cell>
          <cell r="D44" t="str">
            <v>A17</v>
          </cell>
          <cell r="E44">
            <v>-18323.060000000001</v>
          </cell>
          <cell r="F44">
            <v>-18323.060000000001</v>
          </cell>
        </row>
        <row r="45">
          <cell r="A45">
            <v>281835</v>
          </cell>
          <cell r="B45" t="str">
            <v>AMORT MAT DE BUREAU &lt; 1200 EUROS</v>
          </cell>
          <cell r="C45">
            <v>1800</v>
          </cell>
          <cell r="D45" t="str">
            <v>A17</v>
          </cell>
          <cell r="E45">
            <v>-523.46</v>
          </cell>
          <cell r="F45">
            <v>-523.46</v>
          </cell>
        </row>
        <row r="46">
          <cell r="A46">
            <v>281836</v>
          </cell>
          <cell r="B46" t="str">
            <v>AMORT MAT INFORMATIQUE &lt; 1200 EUROS</v>
          </cell>
          <cell r="C46">
            <v>1800</v>
          </cell>
          <cell r="D46" t="str">
            <v>A17</v>
          </cell>
          <cell r="E46">
            <v>-1347.87</v>
          </cell>
          <cell r="F46">
            <v>-1347.87</v>
          </cell>
        </row>
        <row r="47">
          <cell r="A47">
            <v>281840</v>
          </cell>
          <cell r="B47" t="str">
            <v>Amort mobilier</v>
          </cell>
          <cell r="C47">
            <v>1800</v>
          </cell>
          <cell r="D47" t="str">
            <v>A17</v>
          </cell>
          <cell r="E47">
            <v>-17958.46</v>
          </cell>
          <cell r="F47">
            <v>-17958.46</v>
          </cell>
        </row>
        <row r="48">
          <cell r="A48">
            <v>371000</v>
          </cell>
          <cell r="B48" t="str">
            <v>Stock Marchandise</v>
          </cell>
          <cell r="C48">
            <v>1500</v>
          </cell>
          <cell r="D48" t="str">
            <v>A14</v>
          </cell>
          <cell r="E48" t="e">
            <v>#N/A</v>
          </cell>
          <cell r="F48">
            <v>0</v>
          </cell>
        </row>
        <row r="49">
          <cell r="A49">
            <v>371100</v>
          </cell>
          <cell r="B49" t="str">
            <v>Cut &amp; Strip</v>
          </cell>
          <cell r="C49">
            <v>15031</v>
          </cell>
          <cell r="D49" t="str">
            <v>A14</v>
          </cell>
          <cell r="E49">
            <v>33195</v>
          </cell>
          <cell r="F49">
            <v>33195</v>
          </cell>
        </row>
        <row r="50">
          <cell r="A50">
            <v>371400</v>
          </cell>
          <cell r="B50" t="str">
            <v>Cut &amp; Strip Demo</v>
          </cell>
          <cell r="C50">
            <v>15041</v>
          </cell>
          <cell r="D50" t="str">
            <v>A14</v>
          </cell>
          <cell r="E50">
            <v>10195</v>
          </cell>
          <cell r="F50">
            <v>10195</v>
          </cell>
        </row>
        <row r="51">
          <cell r="A51">
            <v>372100</v>
          </cell>
          <cell r="B51" t="str">
            <v>Crimp to Crimp</v>
          </cell>
          <cell r="C51">
            <v>15032</v>
          </cell>
          <cell r="D51" t="str">
            <v>A14</v>
          </cell>
          <cell r="E51">
            <v>54045</v>
          </cell>
          <cell r="F51">
            <v>54045</v>
          </cell>
        </row>
        <row r="52">
          <cell r="A52">
            <v>372400</v>
          </cell>
          <cell r="B52" t="str">
            <v>CRIMP TO CRIMP DEMO</v>
          </cell>
          <cell r="C52">
            <v>15042</v>
          </cell>
          <cell r="D52" t="str">
            <v>A14</v>
          </cell>
          <cell r="E52" t="e">
            <v>#N/A</v>
          </cell>
          <cell r="F52">
            <v>0</v>
          </cell>
        </row>
        <row r="53">
          <cell r="A53">
            <v>374100</v>
          </cell>
          <cell r="B53" t="str">
            <v>Accessories</v>
          </cell>
          <cell r="C53">
            <v>15034</v>
          </cell>
          <cell r="D53" t="str">
            <v>A14</v>
          </cell>
          <cell r="E53">
            <v>217738</v>
          </cell>
          <cell r="F53">
            <v>217738</v>
          </cell>
        </row>
        <row r="54">
          <cell r="A54">
            <v>374400</v>
          </cell>
          <cell r="B54" t="str">
            <v>Accessories Demo</v>
          </cell>
          <cell r="C54">
            <v>15044</v>
          </cell>
          <cell r="D54" t="str">
            <v>A14</v>
          </cell>
          <cell r="E54">
            <v>44800</v>
          </cell>
          <cell r="F54">
            <v>44800</v>
          </cell>
        </row>
        <row r="55">
          <cell r="A55">
            <v>375100</v>
          </cell>
          <cell r="B55" t="str">
            <v>Spare parts/Tooing</v>
          </cell>
          <cell r="C55">
            <v>15015</v>
          </cell>
          <cell r="D55" t="str">
            <v>A14</v>
          </cell>
          <cell r="E55">
            <v>475363</v>
          </cell>
          <cell r="F55">
            <v>475363</v>
          </cell>
        </row>
        <row r="56">
          <cell r="A56">
            <v>375400</v>
          </cell>
          <cell r="B56" t="str">
            <v>Spare parts/Tooing demo</v>
          </cell>
          <cell r="C56">
            <v>15045</v>
          </cell>
          <cell r="D56" t="str">
            <v>A14</v>
          </cell>
          <cell r="E56" t="e">
            <v>#N/A</v>
          </cell>
          <cell r="F56">
            <v>0</v>
          </cell>
        </row>
        <row r="57">
          <cell r="A57">
            <v>391000</v>
          </cell>
          <cell r="B57" t="str">
            <v>Prov pour depreciat stock</v>
          </cell>
          <cell r="C57">
            <v>1509</v>
          </cell>
          <cell r="D57" t="str">
            <v>A14</v>
          </cell>
          <cell r="E57" t="e">
            <v>#N/A</v>
          </cell>
          <cell r="F57">
            <v>0</v>
          </cell>
        </row>
        <row r="58">
          <cell r="A58">
            <v>391100</v>
          </cell>
          <cell r="B58" t="str">
            <v>Prov pour dévalor stock</v>
          </cell>
          <cell r="C58">
            <v>1509</v>
          </cell>
          <cell r="D58" t="str">
            <v>A14</v>
          </cell>
          <cell r="E58" t="e">
            <v>#N/A</v>
          </cell>
          <cell r="F58">
            <v>0</v>
          </cell>
        </row>
        <row r="59">
          <cell r="A59">
            <v>397100</v>
          </cell>
          <cell r="B59" t="str">
            <v>Prov pour dévalorisation stock</v>
          </cell>
          <cell r="C59">
            <v>1509</v>
          </cell>
          <cell r="D59" t="str">
            <v>A14</v>
          </cell>
          <cell r="E59">
            <v>-18493.150000000001</v>
          </cell>
          <cell r="F59">
            <v>-18493.150000000001</v>
          </cell>
        </row>
        <row r="60">
          <cell r="A60">
            <v>401000</v>
          </cell>
          <cell r="B60" t="str">
            <v>Collectif fournisseur FRA</v>
          </cell>
          <cell r="C60">
            <v>2100</v>
          </cell>
          <cell r="D60" t="str">
            <v>A113</v>
          </cell>
          <cell r="E60">
            <v>-14935.86</v>
          </cell>
          <cell r="F60">
            <v>-14935.86</v>
          </cell>
        </row>
        <row r="61">
          <cell r="A61">
            <v>401002</v>
          </cell>
          <cell r="B61" t="str">
            <v>Collectif fournisseur CEE</v>
          </cell>
          <cell r="C61">
            <v>2100</v>
          </cell>
          <cell r="D61" t="str">
            <v>A113</v>
          </cell>
          <cell r="E61">
            <v>-45099.32</v>
          </cell>
          <cell r="F61">
            <v>-45099.32</v>
          </cell>
        </row>
        <row r="62">
          <cell r="A62">
            <v>401009</v>
          </cell>
          <cell r="B62" t="str">
            <v>Collectif fournisseur EXP</v>
          </cell>
          <cell r="C62">
            <v>2100</v>
          </cell>
          <cell r="D62" t="str">
            <v>A113</v>
          </cell>
          <cell r="E62">
            <v>-1491.41</v>
          </cell>
          <cell r="F62">
            <v>-1491.41</v>
          </cell>
        </row>
        <row r="63">
          <cell r="A63">
            <v>401100</v>
          </cell>
          <cell r="B63" t="str">
            <v>Collectif fournisseur FG</v>
          </cell>
          <cell r="C63">
            <v>2100</v>
          </cell>
          <cell r="D63" t="str">
            <v>A113</v>
          </cell>
          <cell r="E63">
            <v>-25350.57</v>
          </cell>
          <cell r="F63">
            <v>-25350.57</v>
          </cell>
        </row>
        <row r="64">
          <cell r="A64">
            <v>401130</v>
          </cell>
          <cell r="B64" t="str">
            <v>Komax  tels Holding</v>
          </cell>
          <cell r="C64" t="str">
            <v>2165IC</v>
          </cell>
          <cell r="D64" t="str">
            <v>A114</v>
          </cell>
          <cell r="E64" t="e">
            <v>#N/A</v>
          </cell>
          <cell r="F64">
            <v>0</v>
          </cell>
        </row>
        <row r="65">
          <cell r="A65">
            <v>401200</v>
          </cell>
          <cell r="B65" t="str">
            <v>Collectif fournisseur Groupe Komax</v>
          </cell>
          <cell r="C65" t="str">
            <v>2105IC</v>
          </cell>
          <cell r="D65" t="str">
            <v>A113</v>
          </cell>
          <cell r="E65">
            <v>-133832.29</v>
          </cell>
          <cell r="F65">
            <v>-133832.29</v>
          </cell>
        </row>
        <row r="66">
          <cell r="A66">
            <v>403000</v>
          </cell>
          <cell r="B66" t="str">
            <v>Effets à payer</v>
          </cell>
          <cell r="C66">
            <v>2100</v>
          </cell>
          <cell r="D66" t="str">
            <v>A113</v>
          </cell>
          <cell r="E66">
            <v>-9653.93</v>
          </cell>
          <cell r="F66">
            <v>-9653.93</v>
          </cell>
        </row>
        <row r="67">
          <cell r="A67">
            <v>408000</v>
          </cell>
          <cell r="B67" t="str">
            <v>FOURNIS.FACT.NON PARVENUE</v>
          </cell>
          <cell r="C67">
            <v>2100</v>
          </cell>
          <cell r="D67" t="str">
            <v>A113</v>
          </cell>
          <cell r="E67">
            <v>-5198</v>
          </cell>
          <cell r="F67">
            <v>-5198</v>
          </cell>
        </row>
        <row r="68">
          <cell r="A68">
            <v>408100</v>
          </cell>
          <cell r="B68" t="str">
            <v>FNP Komax assis tels hold</v>
          </cell>
          <cell r="C68" t="str">
            <v>2455IC</v>
          </cell>
          <cell r="D68" t="str">
            <v>A114</v>
          </cell>
          <cell r="E68" t="e">
            <v>#N/A</v>
          </cell>
          <cell r="F68">
            <v>0</v>
          </cell>
        </row>
        <row r="69">
          <cell r="A69">
            <v>408140</v>
          </cell>
          <cell r="B69" t="str">
            <v>FNP Komax AG IT fees</v>
          </cell>
          <cell r="C69" t="str">
            <v>2455IC</v>
          </cell>
          <cell r="D69" t="str">
            <v>A114</v>
          </cell>
          <cell r="E69" t="e">
            <v>#N/A</v>
          </cell>
          <cell r="F69">
            <v>0</v>
          </cell>
        </row>
        <row r="70">
          <cell r="A70">
            <v>408170</v>
          </cell>
          <cell r="B70" t="str">
            <v>FNP KOMAX INTERETS HOLD</v>
          </cell>
          <cell r="C70" t="str">
            <v>2455IC</v>
          </cell>
          <cell r="D70" t="str">
            <v>A114</v>
          </cell>
          <cell r="E70" t="e">
            <v>#N/A</v>
          </cell>
          <cell r="F70">
            <v>0</v>
          </cell>
        </row>
        <row r="71">
          <cell r="A71">
            <v>408200</v>
          </cell>
          <cell r="B71" t="str">
            <v>FOURNIS.FACT.NON PARV FG</v>
          </cell>
          <cell r="C71">
            <v>2450</v>
          </cell>
          <cell r="D71" t="str">
            <v>A114</v>
          </cell>
          <cell r="E71">
            <v>-1190.52</v>
          </cell>
          <cell r="F71">
            <v>-1190.52</v>
          </cell>
        </row>
        <row r="72">
          <cell r="A72">
            <v>408250</v>
          </cell>
          <cell r="B72" t="str">
            <v>FOURNIS.FACT.NON PARV AUDIT</v>
          </cell>
          <cell r="C72" t="str">
            <v>2213S</v>
          </cell>
          <cell r="D72" t="str">
            <v>A114</v>
          </cell>
          <cell r="E72">
            <v>-4664.3999999999996</v>
          </cell>
          <cell r="F72">
            <v>-4664.3999999999996</v>
          </cell>
        </row>
        <row r="73">
          <cell r="A73">
            <v>408280</v>
          </cell>
          <cell r="B73" t="str">
            <v>FOURNIS.FACT.NON PARV CONSULTING</v>
          </cell>
          <cell r="C73" t="str">
            <v>2214S</v>
          </cell>
          <cell r="D73" t="str">
            <v>A114</v>
          </cell>
          <cell r="E73">
            <v>0</v>
          </cell>
          <cell r="F73">
            <v>0</v>
          </cell>
        </row>
        <row r="74">
          <cell r="A74">
            <v>409200</v>
          </cell>
          <cell r="B74" t="str">
            <v>ACOMPTES FOURNISSEURS KOMAX</v>
          </cell>
          <cell r="C74" t="str">
            <v>1555IC</v>
          </cell>
          <cell r="D74" t="str">
            <v>A13</v>
          </cell>
          <cell r="E74">
            <v>62406.43</v>
          </cell>
          <cell r="F74">
            <v>62406.43</v>
          </cell>
        </row>
        <row r="75">
          <cell r="A75">
            <v>409800</v>
          </cell>
          <cell r="B75" t="str">
            <v>AVO FOURN  A RECE</v>
          </cell>
          <cell r="C75">
            <v>2100</v>
          </cell>
          <cell r="D75" t="str">
            <v>A113</v>
          </cell>
          <cell r="E75">
            <v>213.98</v>
          </cell>
          <cell r="F75">
            <v>213.98</v>
          </cell>
        </row>
        <row r="76">
          <cell r="A76">
            <v>409801</v>
          </cell>
          <cell r="B76" t="str">
            <v>Avoir a rec Komax Portugal</v>
          </cell>
          <cell r="C76" t="str">
            <v>1665IC</v>
          </cell>
          <cell r="D76" t="str">
            <v>A13</v>
          </cell>
          <cell r="E76" t="e">
            <v>#N/A</v>
          </cell>
          <cell r="F76">
            <v>0</v>
          </cell>
        </row>
        <row r="77">
          <cell r="A77">
            <v>409803</v>
          </cell>
          <cell r="B77" t="str">
            <v>AVO KOMAX  A RECE</v>
          </cell>
          <cell r="C77" t="str">
            <v>2105IC</v>
          </cell>
          <cell r="D77" t="str">
            <v>A113</v>
          </cell>
          <cell r="E77" t="e">
            <v>#N/A</v>
          </cell>
          <cell r="F77">
            <v>0</v>
          </cell>
        </row>
        <row r="78">
          <cell r="A78">
            <v>409810</v>
          </cell>
          <cell r="B78" t="str">
            <v>Avoir A Recevoir FG Autres</v>
          </cell>
          <cell r="C78">
            <v>2150</v>
          </cell>
          <cell r="D78" t="str">
            <v>A114</v>
          </cell>
          <cell r="E78">
            <v>0</v>
          </cell>
          <cell r="F78">
            <v>0</v>
          </cell>
        </row>
        <row r="79">
          <cell r="A79">
            <v>411000</v>
          </cell>
          <cell r="B79" t="str">
            <v>Clients</v>
          </cell>
          <cell r="C79" t="str">
            <v>1301S</v>
          </cell>
          <cell r="D79" t="str">
            <v>A12</v>
          </cell>
          <cell r="E79">
            <v>293092.90000000002</v>
          </cell>
          <cell r="F79">
            <v>287649.28000000003</v>
          </cell>
        </row>
        <row r="80">
          <cell r="A80">
            <v>411002</v>
          </cell>
          <cell r="B80" t="str">
            <v>Clients CEE</v>
          </cell>
          <cell r="C80" t="str">
            <v>1302S</v>
          </cell>
          <cell r="D80" t="str">
            <v>A12</v>
          </cell>
          <cell r="E80">
            <v>11145.83</v>
          </cell>
          <cell r="F80">
            <v>11145.83</v>
          </cell>
        </row>
        <row r="81">
          <cell r="A81">
            <v>411005</v>
          </cell>
          <cell r="B81" t="str">
            <v>Clients Groupe GRP EXP</v>
          </cell>
          <cell r="C81" t="str">
            <v>1305IC</v>
          </cell>
          <cell r="D81" t="str">
            <v>A12</v>
          </cell>
          <cell r="E81">
            <v>142.4</v>
          </cell>
          <cell r="F81">
            <v>142.4</v>
          </cell>
        </row>
        <row r="82">
          <cell r="A82">
            <v>411009</v>
          </cell>
          <cell r="B82" t="str">
            <v>Clients EXPORT</v>
          </cell>
          <cell r="C82" t="str">
            <v>1302S</v>
          </cell>
          <cell r="D82" t="str">
            <v>A12</v>
          </cell>
          <cell r="E82">
            <v>78376.39</v>
          </cell>
          <cell r="F82">
            <v>78376.39</v>
          </cell>
        </row>
        <row r="83">
          <cell r="A83">
            <v>413101</v>
          </cell>
          <cell r="B83" t="str">
            <v xml:space="preserve">Clients effets rec </v>
          </cell>
          <cell r="C83" t="str">
            <v>1301S</v>
          </cell>
          <cell r="D83" t="str">
            <v>A12</v>
          </cell>
          <cell r="E83">
            <v>84498.33</v>
          </cell>
          <cell r="F83">
            <v>84498.33</v>
          </cell>
        </row>
        <row r="84">
          <cell r="A84">
            <v>413102</v>
          </cell>
          <cell r="B84" t="str">
            <v xml:space="preserve">Clients effets rec </v>
          </cell>
          <cell r="C84" t="str">
            <v>1301S</v>
          </cell>
          <cell r="D84" t="str">
            <v>A12</v>
          </cell>
          <cell r="E84">
            <v>35991.019999999997</v>
          </cell>
          <cell r="F84">
            <v>35991.019999999997</v>
          </cell>
        </row>
        <row r="85">
          <cell r="A85">
            <v>413103</v>
          </cell>
          <cell r="B85" t="str">
            <v xml:space="preserve">Clients effets rec </v>
          </cell>
          <cell r="C85" t="str">
            <v>1301S</v>
          </cell>
          <cell r="D85" t="str">
            <v>A12</v>
          </cell>
          <cell r="E85">
            <v>30022.6</v>
          </cell>
          <cell r="F85">
            <v>30022.6</v>
          </cell>
        </row>
        <row r="86">
          <cell r="A86">
            <v>413104</v>
          </cell>
          <cell r="B86" t="str">
            <v xml:space="preserve">Clients effets rec </v>
          </cell>
          <cell r="C86" t="str">
            <v>1301S</v>
          </cell>
          <cell r="D86" t="str">
            <v>A12</v>
          </cell>
          <cell r="E86">
            <v>0</v>
          </cell>
          <cell r="F86">
            <v>0</v>
          </cell>
        </row>
        <row r="87">
          <cell r="A87">
            <v>413105</v>
          </cell>
          <cell r="B87" t="str">
            <v xml:space="preserve">Clients effets rec </v>
          </cell>
          <cell r="C87" t="str">
            <v>1301S</v>
          </cell>
          <cell r="D87" t="str">
            <v>A12</v>
          </cell>
          <cell r="E87">
            <v>0</v>
          </cell>
          <cell r="F87">
            <v>0</v>
          </cell>
        </row>
        <row r="88">
          <cell r="A88">
            <v>413106</v>
          </cell>
          <cell r="B88" t="str">
            <v xml:space="preserve">Clients effets rec </v>
          </cell>
          <cell r="C88" t="str">
            <v>1301S</v>
          </cell>
          <cell r="D88" t="str">
            <v>A12</v>
          </cell>
          <cell r="E88">
            <v>0</v>
          </cell>
          <cell r="F88">
            <v>0</v>
          </cell>
        </row>
        <row r="89">
          <cell r="A89">
            <v>413107</v>
          </cell>
          <cell r="B89" t="str">
            <v xml:space="preserve">Clients effets rec </v>
          </cell>
          <cell r="C89" t="str">
            <v>1301S</v>
          </cell>
          <cell r="D89" t="str">
            <v>A12</v>
          </cell>
          <cell r="E89">
            <v>0</v>
          </cell>
          <cell r="F89">
            <v>0</v>
          </cell>
        </row>
        <row r="90">
          <cell r="A90">
            <v>413108</v>
          </cell>
          <cell r="B90" t="str">
            <v xml:space="preserve">Clients effets rec </v>
          </cell>
          <cell r="C90" t="str">
            <v>1301S</v>
          </cell>
          <cell r="D90" t="str">
            <v>A12</v>
          </cell>
          <cell r="E90">
            <v>0</v>
          </cell>
          <cell r="F90">
            <v>0</v>
          </cell>
        </row>
        <row r="91">
          <cell r="A91">
            <v>413109</v>
          </cell>
          <cell r="B91" t="str">
            <v xml:space="preserve">Clients effets rec </v>
          </cell>
          <cell r="C91" t="str">
            <v>1301S</v>
          </cell>
          <cell r="D91" t="str">
            <v>A12</v>
          </cell>
          <cell r="E91">
            <v>0</v>
          </cell>
          <cell r="F91">
            <v>0</v>
          </cell>
        </row>
        <row r="92">
          <cell r="A92">
            <v>413110</v>
          </cell>
          <cell r="B92" t="str">
            <v xml:space="preserve">Clients effets rec </v>
          </cell>
          <cell r="C92" t="str">
            <v>1301S</v>
          </cell>
          <cell r="D92" t="str">
            <v>A12</v>
          </cell>
          <cell r="E92">
            <v>0</v>
          </cell>
          <cell r="F92">
            <v>0</v>
          </cell>
        </row>
        <row r="93">
          <cell r="A93">
            <v>413111</v>
          </cell>
          <cell r="B93" t="str">
            <v xml:space="preserve">Clients effets rec </v>
          </cell>
          <cell r="C93" t="str">
            <v>1301S</v>
          </cell>
          <cell r="D93" t="str">
            <v>A12</v>
          </cell>
          <cell r="E93">
            <v>0</v>
          </cell>
          <cell r="F93">
            <v>0</v>
          </cell>
        </row>
        <row r="94">
          <cell r="A94">
            <v>413112</v>
          </cell>
          <cell r="B94" t="str">
            <v xml:space="preserve">Clients effets rec </v>
          </cell>
          <cell r="C94" t="str">
            <v>1301S</v>
          </cell>
          <cell r="D94" t="str">
            <v>A12</v>
          </cell>
          <cell r="E94">
            <v>7866.57</v>
          </cell>
          <cell r="F94">
            <v>7866.57</v>
          </cell>
        </row>
        <row r="95">
          <cell r="A95">
            <v>416000</v>
          </cell>
          <cell r="B95" t="str">
            <v>Clients douteux</v>
          </cell>
          <cell r="C95" t="str">
            <v>1303S</v>
          </cell>
          <cell r="D95" t="str">
            <v>A12</v>
          </cell>
          <cell r="E95">
            <v>3154.91</v>
          </cell>
          <cell r="F95">
            <v>3154.91</v>
          </cell>
        </row>
        <row r="96">
          <cell r="A96">
            <v>418100</v>
          </cell>
          <cell r="B96" t="str">
            <v>CLTS PROD NON ENCORE FACT</v>
          </cell>
          <cell r="C96">
            <v>1650</v>
          </cell>
          <cell r="D96" t="str">
            <v>A13</v>
          </cell>
          <cell r="E96" t="e">
            <v>#N/A</v>
          </cell>
          <cell r="F96">
            <v>0</v>
          </cell>
        </row>
        <row r="97">
          <cell r="A97">
            <v>418200</v>
          </cell>
          <cell r="B97" t="str">
            <v>CLIENTS FG NON ENC FACT</v>
          </cell>
          <cell r="C97">
            <v>1650</v>
          </cell>
          <cell r="D97" t="str">
            <v>A13</v>
          </cell>
          <cell r="E97">
            <v>0</v>
          </cell>
          <cell r="F97">
            <v>0</v>
          </cell>
        </row>
        <row r="98">
          <cell r="A98">
            <v>419000</v>
          </cell>
          <cell r="B98" t="str">
            <v>LIVRAISONS EN TRANSIT</v>
          </cell>
          <cell r="C98" t="str">
            <v>1665IC</v>
          </cell>
          <cell r="D98" t="str">
            <v>A13</v>
          </cell>
          <cell r="E98" t="e">
            <v>#N/A</v>
          </cell>
          <cell r="F98">
            <v>0</v>
          </cell>
        </row>
        <row r="99">
          <cell r="A99">
            <v>419100</v>
          </cell>
          <cell r="B99" t="str">
            <v>CLIENTS ACPTES S/CDE (HORS GROUPE)</v>
          </cell>
          <cell r="C99">
            <v>2180</v>
          </cell>
          <cell r="D99" t="str">
            <v>A113</v>
          </cell>
          <cell r="E99">
            <v>-5443.62</v>
          </cell>
          <cell r="F99">
            <v>0</v>
          </cell>
        </row>
        <row r="100">
          <cell r="A100">
            <v>421000</v>
          </cell>
          <cell r="B100" t="str">
            <v>Rémuner dues au personnel</v>
          </cell>
          <cell r="C100">
            <v>2150</v>
          </cell>
          <cell r="D100" t="str">
            <v>A114</v>
          </cell>
          <cell r="E100">
            <v>0</v>
          </cell>
          <cell r="F100">
            <v>0</v>
          </cell>
        </row>
        <row r="101">
          <cell r="A101">
            <v>422100</v>
          </cell>
          <cell r="B101" t="str">
            <v>COMITE D'ENTREPRISE</v>
          </cell>
          <cell r="C101">
            <v>2150</v>
          </cell>
          <cell r="D101" t="str">
            <v>A114</v>
          </cell>
          <cell r="E101">
            <v>-657.52</v>
          </cell>
          <cell r="F101">
            <v>-657.52</v>
          </cell>
        </row>
        <row r="102">
          <cell r="A102">
            <v>422200</v>
          </cell>
          <cell r="B102" t="str">
            <v>CE TICKETS CINEMA</v>
          </cell>
          <cell r="C102">
            <v>2150</v>
          </cell>
          <cell r="D102" t="str">
            <v>A114</v>
          </cell>
          <cell r="E102">
            <v>-3.25</v>
          </cell>
          <cell r="F102">
            <v>-3.25</v>
          </cell>
        </row>
        <row r="103">
          <cell r="A103">
            <v>425000</v>
          </cell>
          <cell r="B103" t="str">
            <v>PERSONN AVANCES ACOMPTES</v>
          </cell>
          <cell r="C103">
            <v>2150</v>
          </cell>
          <cell r="D103" t="str">
            <v>A114</v>
          </cell>
          <cell r="E103" t="e">
            <v>#N/A</v>
          </cell>
          <cell r="F103">
            <v>0</v>
          </cell>
        </row>
        <row r="104">
          <cell r="A104">
            <v>425012</v>
          </cell>
          <cell r="B104" t="str">
            <v>ACOMPTE SUR SALAIRE M RAYNAL</v>
          </cell>
          <cell r="C104">
            <v>2150</v>
          </cell>
          <cell r="D104" t="str">
            <v>A114</v>
          </cell>
          <cell r="E104">
            <v>0</v>
          </cell>
          <cell r="F104">
            <v>0</v>
          </cell>
        </row>
        <row r="105">
          <cell r="A105">
            <v>425101</v>
          </cell>
          <cell r="B105" t="str">
            <v>AVANCE NOTE FRAIS M GUITTON</v>
          </cell>
          <cell r="C105">
            <v>2150</v>
          </cell>
          <cell r="D105" t="str">
            <v>A114</v>
          </cell>
          <cell r="E105">
            <v>176.4</v>
          </cell>
          <cell r="F105">
            <v>176.4</v>
          </cell>
        </row>
        <row r="106">
          <cell r="A106">
            <v>425102</v>
          </cell>
          <cell r="B106" t="str">
            <v>AVANCE NOTE FRAIS LOIZON</v>
          </cell>
          <cell r="C106">
            <v>2150</v>
          </cell>
          <cell r="D106" t="str">
            <v>A114</v>
          </cell>
          <cell r="E106">
            <v>966.64</v>
          </cell>
          <cell r="F106">
            <v>966.64</v>
          </cell>
        </row>
        <row r="107">
          <cell r="A107">
            <v>425103</v>
          </cell>
          <cell r="B107" t="str">
            <v>AVANCE NOTE FRAIS HAY</v>
          </cell>
          <cell r="C107">
            <v>2150</v>
          </cell>
          <cell r="D107" t="str">
            <v>A114</v>
          </cell>
          <cell r="E107">
            <v>457.35</v>
          </cell>
          <cell r="F107">
            <v>457.35</v>
          </cell>
        </row>
        <row r="108">
          <cell r="A108">
            <v>425104</v>
          </cell>
          <cell r="B108" t="str">
            <v>AVANCE NOTE DE FRAIS HILBERT</v>
          </cell>
          <cell r="C108">
            <v>2150</v>
          </cell>
          <cell r="D108" t="str">
            <v>A114</v>
          </cell>
          <cell r="E108">
            <v>1528.49</v>
          </cell>
          <cell r="F108">
            <v>1528.49</v>
          </cell>
        </row>
        <row r="109">
          <cell r="A109">
            <v>425107</v>
          </cell>
          <cell r="B109" t="str">
            <v>AVANCE NOTE FRAIS MUZICA</v>
          </cell>
          <cell r="C109">
            <v>2150</v>
          </cell>
          <cell r="D109" t="str">
            <v>A114</v>
          </cell>
          <cell r="E109" t="e">
            <v>#N/A</v>
          </cell>
          <cell r="F109">
            <v>0</v>
          </cell>
        </row>
        <row r="110">
          <cell r="A110">
            <v>425108</v>
          </cell>
          <cell r="B110" t="str">
            <v>ACOMPTE NOTE FRAIS FRANIC</v>
          </cell>
          <cell r="C110">
            <v>2150</v>
          </cell>
          <cell r="D110" t="str">
            <v>A114</v>
          </cell>
          <cell r="E110">
            <v>1530</v>
          </cell>
          <cell r="F110">
            <v>1530</v>
          </cell>
        </row>
        <row r="111">
          <cell r="A111">
            <v>425109</v>
          </cell>
          <cell r="B111" t="str">
            <v>AVANCE NOTE FRAIS FOFANA</v>
          </cell>
          <cell r="C111">
            <v>2150</v>
          </cell>
          <cell r="D111" t="str">
            <v>A114</v>
          </cell>
          <cell r="E111">
            <v>0</v>
          </cell>
          <cell r="F111">
            <v>0</v>
          </cell>
        </row>
        <row r="112">
          <cell r="A112">
            <v>425110</v>
          </cell>
          <cell r="B112" t="str">
            <v>AVANCE NOTE FRAIS NIOL</v>
          </cell>
          <cell r="C112">
            <v>2150</v>
          </cell>
          <cell r="D112" t="str">
            <v>A114</v>
          </cell>
          <cell r="E112" t="e">
            <v>#N/A</v>
          </cell>
          <cell r="F112">
            <v>0</v>
          </cell>
        </row>
        <row r="113">
          <cell r="A113">
            <v>425111</v>
          </cell>
          <cell r="B113" t="str">
            <v>AVANCE NOTE FRAIS FAUCHERON</v>
          </cell>
          <cell r="C113">
            <v>2150</v>
          </cell>
          <cell r="D113" t="str">
            <v>A114</v>
          </cell>
          <cell r="E113">
            <v>-1264.8699999999999</v>
          </cell>
          <cell r="F113">
            <v>-1264.8699999999999</v>
          </cell>
        </row>
        <row r="114">
          <cell r="A114">
            <v>425112</v>
          </cell>
          <cell r="B114" t="str">
            <v>AVCE NF M. RAYNAL</v>
          </cell>
          <cell r="C114">
            <v>2150</v>
          </cell>
          <cell r="D114" t="str">
            <v>A114</v>
          </cell>
          <cell r="E114">
            <v>0</v>
          </cell>
          <cell r="F114">
            <v>0</v>
          </cell>
        </row>
        <row r="115">
          <cell r="A115">
            <v>425113</v>
          </cell>
          <cell r="B115" t="str">
            <v>AVCE NOTE FRAIS M CONSTANT</v>
          </cell>
          <cell r="C115">
            <v>2150</v>
          </cell>
          <cell r="D115" t="str">
            <v>A114</v>
          </cell>
          <cell r="E115" t="e">
            <v>#N/A</v>
          </cell>
          <cell r="F115">
            <v>0</v>
          </cell>
        </row>
        <row r="116">
          <cell r="A116">
            <v>425114</v>
          </cell>
          <cell r="B116" t="str">
            <v>AVANCE NF M REMY</v>
          </cell>
          <cell r="C116">
            <v>2150</v>
          </cell>
          <cell r="D116" t="str">
            <v>A114</v>
          </cell>
          <cell r="E116">
            <v>0</v>
          </cell>
          <cell r="F116">
            <v>0</v>
          </cell>
        </row>
        <row r="117">
          <cell r="A117">
            <v>425115</v>
          </cell>
          <cell r="B117" t="str">
            <v>AVANCE NF M GODWIN</v>
          </cell>
          <cell r="C117">
            <v>2150</v>
          </cell>
          <cell r="D117" t="str">
            <v>A114</v>
          </cell>
          <cell r="E117">
            <v>457.35</v>
          </cell>
          <cell r="F117">
            <v>457.35</v>
          </cell>
        </row>
        <row r="118">
          <cell r="A118">
            <v>425490</v>
          </cell>
          <cell r="B118" t="str">
            <v>Personn feurs pay cr cpte</v>
          </cell>
          <cell r="C118">
            <v>2150</v>
          </cell>
          <cell r="D118" t="str">
            <v>A114</v>
          </cell>
          <cell r="E118" t="e">
            <v>#N/A</v>
          </cell>
          <cell r="F118">
            <v>0</v>
          </cell>
        </row>
        <row r="119">
          <cell r="A119">
            <v>426000</v>
          </cell>
          <cell r="B119" t="str">
            <v>Frais déplaçement à payer</v>
          </cell>
          <cell r="C119">
            <v>2150</v>
          </cell>
          <cell r="D119" t="str">
            <v>A114</v>
          </cell>
          <cell r="E119">
            <v>-618.84</v>
          </cell>
          <cell r="F119">
            <v>-618.84</v>
          </cell>
        </row>
        <row r="120">
          <cell r="A120">
            <v>428100</v>
          </cell>
          <cell r="B120" t="str">
            <v>PROVISION BONUS</v>
          </cell>
          <cell r="C120" t="str">
            <v>2211S</v>
          </cell>
          <cell r="D120" t="str">
            <v>A114</v>
          </cell>
          <cell r="E120">
            <v>-14468</v>
          </cell>
          <cell r="F120">
            <v>-14468</v>
          </cell>
        </row>
        <row r="121">
          <cell r="A121">
            <v>428200</v>
          </cell>
          <cell r="B121" t="str">
            <v>Dettes provis pr congés</v>
          </cell>
          <cell r="C121" t="str">
            <v>2212S</v>
          </cell>
          <cell r="D121" t="str">
            <v>A114</v>
          </cell>
          <cell r="E121">
            <v>-33036</v>
          </cell>
          <cell r="F121">
            <v>-33036</v>
          </cell>
        </row>
        <row r="122">
          <cell r="A122">
            <v>428300</v>
          </cell>
          <cell r="B122" t="str">
            <v>PROVISION PR 13 MOIS</v>
          </cell>
          <cell r="C122" t="str">
            <v>2212S</v>
          </cell>
          <cell r="D122" t="str">
            <v>A114</v>
          </cell>
          <cell r="E122">
            <v>0</v>
          </cell>
          <cell r="F122">
            <v>0</v>
          </cell>
        </row>
        <row r="123">
          <cell r="A123">
            <v>428600</v>
          </cell>
          <cell r="B123" t="str">
            <v>Divers personnel à payer</v>
          </cell>
          <cell r="C123">
            <v>2150</v>
          </cell>
          <cell r="D123" t="str">
            <v>A114</v>
          </cell>
          <cell r="E123" t="e">
            <v>#N/A</v>
          </cell>
          <cell r="F123">
            <v>0</v>
          </cell>
        </row>
        <row r="124">
          <cell r="A124">
            <v>431001</v>
          </cell>
          <cell r="B124" t="str">
            <v>Urssaf 75 U</v>
          </cell>
          <cell r="C124">
            <v>2170</v>
          </cell>
          <cell r="D124" t="str">
            <v>A114</v>
          </cell>
          <cell r="E124">
            <v>-30427</v>
          </cell>
          <cell r="F124">
            <v>-30427</v>
          </cell>
        </row>
        <row r="125">
          <cell r="A125">
            <v>432000</v>
          </cell>
          <cell r="B125" t="str">
            <v>CFE CHARGES DE M NIOL P/CPTE KX AG</v>
          </cell>
          <cell r="C125">
            <v>2170</v>
          </cell>
          <cell r="D125" t="str">
            <v>A114</v>
          </cell>
          <cell r="E125">
            <v>0</v>
          </cell>
          <cell r="F125">
            <v>0</v>
          </cell>
        </row>
        <row r="126">
          <cell r="A126">
            <v>437001</v>
          </cell>
          <cell r="B126" t="str">
            <v>CGIC</v>
          </cell>
          <cell r="C126">
            <v>2170</v>
          </cell>
          <cell r="D126" t="str">
            <v>A114</v>
          </cell>
          <cell r="E126">
            <v>-24661.98</v>
          </cell>
          <cell r="F126">
            <v>-24661.98</v>
          </cell>
        </row>
        <row r="127">
          <cell r="A127">
            <v>437002</v>
          </cell>
          <cell r="B127" t="str">
            <v>CIS UNIRS</v>
          </cell>
          <cell r="C127">
            <v>2170</v>
          </cell>
          <cell r="D127" t="str">
            <v>A114</v>
          </cell>
          <cell r="E127" t="e">
            <v>#N/A</v>
          </cell>
          <cell r="F127">
            <v>0</v>
          </cell>
        </row>
        <row r="128">
          <cell r="A128">
            <v>437003</v>
          </cell>
          <cell r="B128" t="str">
            <v>GARP</v>
          </cell>
          <cell r="C128">
            <v>2170</v>
          </cell>
          <cell r="D128" t="str">
            <v>A114</v>
          </cell>
          <cell r="E128">
            <v>-3397</v>
          </cell>
          <cell r="F128">
            <v>-3397</v>
          </cell>
        </row>
        <row r="129">
          <cell r="A129">
            <v>437005</v>
          </cell>
          <cell r="B129" t="str">
            <v>GARP CHARGES DE M NIOL P/CPTE KX AG</v>
          </cell>
          <cell r="C129">
            <v>2170</v>
          </cell>
          <cell r="D129" t="str">
            <v>A114</v>
          </cell>
          <cell r="E129">
            <v>-579</v>
          </cell>
          <cell r="F129">
            <v>-579</v>
          </cell>
        </row>
        <row r="130">
          <cell r="A130">
            <v>437006</v>
          </cell>
          <cell r="B130" t="str">
            <v>CRE CHARGES DE M NIOL P/CPTE KX AG</v>
          </cell>
          <cell r="C130">
            <v>2170</v>
          </cell>
          <cell r="D130" t="str">
            <v>A114</v>
          </cell>
          <cell r="E130">
            <v>-900.66</v>
          </cell>
          <cell r="F130">
            <v>-900.66</v>
          </cell>
        </row>
        <row r="131">
          <cell r="A131">
            <v>437008</v>
          </cell>
          <cell r="B131" t="str">
            <v>Organisme tickets restau</v>
          </cell>
          <cell r="C131">
            <v>2170</v>
          </cell>
          <cell r="D131" t="str">
            <v>A114</v>
          </cell>
          <cell r="E131">
            <v>384.3</v>
          </cell>
          <cell r="F131">
            <v>384.3</v>
          </cell>
        </row>
        <row r="132">
          <cell r="A132">
            <v>437340</v>
          </cell>
          <cell r="B132" t="str">
            <v>CAPRICIEL PREVOYANCE ET MUTUELLE</v>
          </cell>
          <cell r="C132">
            <v>2170</v>
          </cell>
          <cell r="D132" t="str">
            <v>A114</v>
          </cell>
          <cell r="E132">
            <v>-4060.05</v>
          </cell>
          <cell r="F132">
            <v>-4060.05</v>
          </cell>
        </row>
        <row r="133">
          <cell r="A133">
            <v>438200</v>
          </cell>
          <cell r="B133" t="str">
            <v>Charges conges payes</v>
          </cell>
          <cell r="C133" t="str">
            <v>2212S</v>
          </cell>
          <cell r="D133" t="str">
            <v>A114</v>
          </cell>
          <cell r="E133">
            <v>-14866</v>
          </cell>
          <cell r="F133">
            <v>-14866</v>
          </cell>
        </row>
        <row r="134">
          <cell r="A134">
            <v>438300</v>
          </cell>
          <cell r="B134" t="str">
            <v>CHARGES 13 MOIS</v>
          </cell>
          <cell r="C134" t="str">
            <v>2212S</v>
          </cell>
          <cell r="D134" t="str">
            <v>A114</v>
          </cell>
          <cell r="E134">
            <v>0</v>
          </cell>
          <cell r="F134">
            <v>0</v>
          </cell>
        </row>
        <row r="135">
          <cell r="A135">
            <v>438600</v>
          </cell>
          <cell r="B135" t="str">
            <v>Autres charg social à payer</v>
          </cell>
          <cell r="C135">
            <v>2170</v>
          </cell>
          <cell r="D135" t="str">
            <v>A114</v>
          </cell>
          <cell r="E135">
            <v>-6510.6</v>
          </cell>
          <cell r="F135">
            <v>-6510.6</v>
          </cell>
        </row>
        <row r="136">
          <cell r="A136">
            <v>438610</v>
          </cell>
          <cell r="B136" t="str">
            <v>INDEM CONVENTION DE CONVE</v>
          </cell>
          <cell r="C136">
            <v>2170</v>
          </cell>
          <cell r="D136" t="str">
            <v>A114</v>
          </cell>
          <cell r="E136">
            <v>0</v>
          </cell>
          <cell r="F136">
            <v>0</v>
          </cell>
        </row>
        <row r="137">
          <cell r="A137">
            <v>438701</v>
          </cell>
          <cell r="B137" t="str">
            <v>Caisses ss indem journal</v>
          </cell>
          <cell r="C137">
            <v>2170</v>
          </cell>
          <cell r="D137" t="str">
            <v>A114</v>
          </cell>
          <cell r="E137">
            <v>-5150.13</v>
          </cell>
          <cell r="F137">
            <v>-5150.13</v>
          </cell>
        </row>
        <row r="138">
          <cell r="A138">
            <v>444000</v>
          </cell>
          <cell r="B138" t="str">
            <v>Impôts sur les bénéfices</v>
          </cell>
          <cell r="C138">
            <v>1350</v>
          </cell>
          <cell r="D138" t="str">
            <v>A13</v>
          </cell>
          <cell r="E138">
            <v>0</v>
          </cell>
          <cell r="F138">
            <v>0</v>
          </cell>
        </row>
        <row r="139">
          <cell r="A139">
            <v>445510</v>
          </cell>
          <cell r="B139" t="str">
            <v>TVA à décaisser</v>
          </cell>
          <cell r="C139">
            <v>2150</v>
          </cell>
          <cell r="D139" t="str">
            <v>A114</v>
          </cell>
          <cell r="E139">
            <v>0</v>
          </cell>
          <cell r="F139">
            <v>0</v>
          </cell>
        </row>
        <row r="140">
          <cell r="A140">
            <v>445620</v>
          </cell>
          <cell r="B140" t="str">
            <v>TVA s/immo déductible</v>
          </cell>
          <cell r="C140">
            <v>1350</v>
          </cell>
          <cell r="D140" t="str">
            <v>A13</v>
          </cell>
          <cell r="E140">
            <v>0</v>
          </cell>
          <cell r="F140">
            <v>0</v>
          </cell>
        </row>
        <row r="141">
          <cell r="A141">
            <v>445629</v>
          </cell>
          <cell r="B141" t="str">
            <v>TVA S/IMMOBILISATIONS AU TAUX DE 19</v>
          </cell>
          <cell r="C141">
            <v>2150</v>
          </cell>
          <cell r="D141" t="str">
            <v>A114</v>
          </cell>
          <cell r="E141">
            <v>0</v>
          </cell>
          <cell r="F141">
            <v>0</v>
          </cell>
        </row>
        <row r="142">
          <cell r="A142">
            <v>445660</v>
          </cell>
          <cell r="B142" t="str">
            <v>TVA sur autres biens</v>
          </cell>
          <cell r="C142">
            <v>2150</v>
          </cell>
          <cell r="D142" t="str">
            <v>A114</v>
          </cell>
          <cell r="E142">
            <v>0</v>
          </cell>
          <cell r="F142">
            <v>0</v>
          </cell>
        </row>
        <row r="143">
          <cell r="A143">
            <v>445662</v>
          </cell>
          <cell r="B143" t="str">
            <v>TVA sur autres biens CEE</v>
          </cell>
          <cell r="C143">
            <v>2150</v>
          </cell>
          <cell r="D143" t="str">
            <v>A114</v>
          </cell>
          <cell r="E143">
            <v>0</v>
          </cell>
          <cell r="F143">
            <v>0</v>
          </cell>
        </row>
        <row r="144">
          <cell r="A144">
            <v>445667</v>
          </cell>
          <cell r="B144" t="str">
            <v>Crédit TVA</v>
          </cell>
          <cell r="C144">
            <v>1350</v>
          </cell>
          <cell r="D144" t="str">
            <v>A13</v>
          </cell>
          <cell r="E144">
            <v>0</v>
          </cell>
          <cell r="F144">
            <v>0</v>
          </cell>
        </row>
        <row r="145">
          <cell r="A145">
            <v>445668</v>
          </cell>
          <cell r="B145" t="str">
            <v>TVA SUR BIENS IMPORTES</v>
          </cell>
          <cell r="C145">
            <v>1350</v>
          </cell>
          <cell r="D145" t="str">
            <v>A13</v>
          </cell>
          <cell r="E145">
            <v>0</v>
          </cell>
          <cell r="F145">
            <v>0</v>
          </cell>
        </row>
        <row r="146">
          <cell r="A146">
            <v>445669</v>
          </cell>
          <cell r="B146" t="str">
            <v>TVA S/BIENS ET SERV AU TAUX DE 19,6</v>
          </cell>
          <cell r="C146">
            <v>1350</v>
          </cell>
          <cell r="D146" t="str">
            <v>A13</v>
          </cell>
          <cell r="E146">
            <v>0</v>
          </cell>
          <cell r="F146">
            <v>0</v>
          </cell>
        </row>
        <row r="147">
          <cell r="A147">
            <v>445670</v>
          </cell>
          <cell r="B147" t="str">
            <v>TVA S/BIENS AU TAUX DE 5,5%</v>
          </cell>
          <cell r="C147">
            <v>1350</v>
          </cell>
          <cell r="D147" t="str">
            <v>A13</v>
          </cell>
          <cell r="E147">
            <v>0</v>
          </cell>
          <cell r="F147">
            <v>0</v>
          </cell>
        </row>
        <row r="148">
          <cell r="A148">
            <v>445710</v>
          </cell>
          <cell r="B148" t="str">
            <v>TVA Collectée</v>
          </cell>
          <cell r="C148">
            <v>2150</v>
          </cell>
          <cell r="D148" t="str">
            <v>A114</v>
          </cell>
          <cell r="E148">
            <v>0</v>
          </cell>
          <cell r="F148">
            <v>0</v>
          </cell>
        </row>
        <row r="149">
          <cell r="A149">
            <v>445716</v>
          </cell>
          <cell r="B149" t="str">
            <v>TVA COLLECTEE AU TAUX DE 16%</v>
          </cell>
          <cell r="C149">
            <v>2150</v>
          </cell>
          <cell r="D149" t="str">
            <v>A114</v>
          </cell>
          <cell r="E149" t="e">
            <v>#N/A</v>
          </cell>
          <cell r="F149">
            <v>0</v>
          </cell>
        </row>
        <row r="150">
          <cell r="A150">
            <v>445719</v>
          </cell>
          <cell r="B150" t="str">
            <v>TVA COLLECTÉE TAUX DE 19,6%</v>
          </cell>
          <cell r="C150">
            <v>2150</v>
          </cell>
          <cell r="D150" t="str">
            <v>A114</v>
          </cell>
          <cell r="E150">
            <v>0</v>
          </cell>
          <cell r="F150">
            <v>0</v>
          </cell>
        </row>
        <row r="151">
          <cell r="A151">
            <v>445720</v>
          </cell>
          <cell r="B151" t="str">
            <v>TVA COLLECTÉE CEE</v>
          </cell>
          <cell r="C151">
            <v>2150</v>
          </cell>
          <cell r="D151" t="str">
            <v>A114</v>
          </cell>
          <cell r="E151">
            <v>0</v>
          </cell>
          <cell r="F151">
            <v>0</v>
          </cell>
        </row>
        <row r="152">
          <cell r="A152">
            <v>445860</v>
          </cell>
          <cell r="B152" t="str">
            <v>TVA s/factures non parvenues</v>
          </cell>
          <cell r="C152">
            <v>2150</v>
          </cell>
          <cell r="D152" t="str">
            <v>A114</v>
          </cell>
          <cell r="E152">
            <v>1107.1600000000001</v>
          </cell>
          <cell r="F152">
            <v>1107.1600000000001</v>
          </cell>
        </row>
        <row r="153">
          <cell r="A153">
            <v>445862</v>
          </cell>
          <cell r="B153" t="str">
            <v>TVA S/FACT NON PARVENUE IMMO</v>
          </cell>
          <cell r="C153">
            <v>2150</v>
          </cell>
          <cell r="D153" t="str">
            <v>A114</v>
          </cell>
          <cell r="E153" t="e">
            <v>#N/A</v>
          </cell>
          <cell r="F153">
            <v>0</v>
          </cell>
        </row>
        <row r="154">
          <cell r="A154">
            <v>445870</v>
          </cell>
          <cell r="B154" t="str">
            <v>TVA s/factures à établir</v>
          </cell>
          <cell r="C154">
            <v>2150</v>
          </cell>
          <cell r="D154" t="str">
            <v>A114</v>
          </cell>
          <cell r="E154">
            <v>0</v>
          </cell>
          <cell r="F154">
            <v>0</v>
          </cell>
        </row>
        <row r="155">
          <cell r="A155">
            <v>448600</v>
          </cell>
          <cell r="B155" t="str">
            <v>ETAT CHARGES A PAYER TA/FC/EC</v>
          </cell>
          <cell r="C155" t="str">
            <v>2212S</v>
          </cell>
          <cell r="D155" t="str">
            <v>A114</v>
          </cell>
          <cell r="E155">
            <v>-810</v>
          </cell>
          <cell r="F155">
            <v>-810</v>
          </cell>
        </row>
        <row r="156">
          <cell r="A156">
            <v>448601</v>
          </cell>
          <cell r="B156" t="str">
            <v>Taxe apprentissage</v>
          </cell>
          <cell r="C156">
            <v>2170</v>
          </cell>
          <cell r="D156" t="str">
            <v>A114</v>
          </cell>
          <cell r="E156">
            <v>-2675.2</v>
          </cell>
          <cell r="F156">
            <v>-2675.2</v>
          </cell>
        </row>
        <row r="157">
          <cell r="A157">
            <v>448602</v>
          </cell>
          <cell r="B157" t="str">
            <v>Formation continue</v>
          </cell>
          <cell r="C157">
            <v>2170</v>
          </cell>
          <cell r="D157" t="str">
            <v>A114</v>
          </cell>
          <cell r="E157">
            <v>-3260</v>
          </cell>
          <cell r="F157">
            <v>-3260</v>
          </cell>
        </row>
        <row r="158">
          <cell r="A158">
            <v>448603</v>
          </cell>
          <cell r="B158" t="str">
            <v>Taxe professionnelle</v>
          </cell>
          <cell r="C158">
            <v>2150</v>
          </cell>
          <cell r="D158" t="str">
            <v>A114</v>
          </cell>
          <cell r="E158">
            <v>0</v>
          </cell>
          <cell r="F158">
            <v>0</v>
          </cell>
        </row>
        <row r="159">
          <cell r="A159">
            <v>448604</v>
          </cell>
          <cell r="B159" t="str">
            <v>Taxe sur les véhicules</v>
          </cell>
          <cell r="C159">
            <v>2150</v>
          </cell>
          <cell r="D159" t="str">
            <v>A114</v>
          </cell>
          <cell r="E159">
            <v>-1740</v>
          </cell>
          <cell r="F159">
            <v>-1740</v>
          </cell>
        </row>
        <row r="160">
          <cell r="A160">
            <v>448605</v>
          </cell>
          <cell r="B160" t="str">
            <v>Organic</v>
          </cell>
          <cell r="C160">
            <v>2150</v>
          </cell>
          <cell r="D160" t="str">
            <v>A114</v>
          </cell>
          <cell r="E160">
            <v>-3422</v>
          </cell>
          <cell r="F160">
            <v>-3422</v>
          </cell>
        </row>
        <row r="161">
          <cell r="A161">
            <v>448606</v>
          </cell>
          <cell r="B161" t="str">
            <v>Taxe effort construction</v>
          </cell>
          <cell r="C161">
            <v>2150</v>
          </cell>
          <cell r="D161" t="str">
            <v>A114</v>
          </cell>
          <cell r="E161">
            <v>-2440.9699999999998</v>
          </cell>
          <cell r="F161">
            <v>-2440.9699999999998</v>
          </cell>
        </row>
        <row r="162">
          <cell r="A162">
            <v>451170</v>
          </cell>
          <cell r="B162" t="str">
            <v>CCT Komax intérêts</v>
          </cell>
          <cell r="C162" t="str">
            <v>2155IC</v>
          </cell>
          <cell r="D162" t="str">
            <v>A114</v>
          </cell>
          <cell r="E162">
            <v>-90000</v>
          </cell>
          <cell r="F162">
            <v>-90000</v>
          </cell>
        </row>
        <row r="163">
          <cell r="A163">
            <v>451200</v>
          </cell>
          <cell r="B163" t="str">
            <v>KOMAX HOLDING EMPRUNT C.T.</v>
          </cell>
          <cell r="C163" t="str">
            <v>2505IC</v>
          </cell>
          <cell r="D163" t="str">
            <v>A116</v>
          </cell>
          <cell r="E163">
            <v>-680000</v>
          </cell>
          <cell r="F163">
            <v>-680000</v>
          </cell>
        </row>
        <row r="164">
          <cell r="A164">
            <v>451830</v>
          </cell>
          <cell r="B164" t="str">
            <v>Komax assis tels hold</v>
          </cell>
          <cell r="C164" t="str">
            <v>2165IC</v>
          </cell>
          <cell r="D164" t="str">
            <v>A114</v>
          </cell>
          <cell r="E164">
            <v>-51000</v>
          </cell>
          <cell r="F164">
            <v>-51000</v>
          </cell>
        </row>
        <row r="165">
          <cell r="A165">
            <v>451840</v>
          </cell>
          <cell r="B165" t="str">
            <v>IT Fees</v>
          </cell>
          <cell r="C165" t="str">
            <v>2155IC</v>
          </cell>
          <cell r="D165" t="str">
            <v>A114</v>
          </cell>
          <cell r="E165">
            <v>-4811</v>
          </cell>
          <cell r="F165">
            <v>-4811</v>
          </cell>
        </row>
        <row r="166">
          <cell r="A166">
            <v>455000</v>
          </cell>
          <cell r="B166" t="str">
            <v>NPU Komax Suisse</v>
          </cell>
          <cell r="C166" t="str">
            <v>2305IC</v>
          </cell>
          <cell r="D166" t="str">
            <v>A116</v>
          </cell>
          <cell r="E166">
            <v>0</v>
          </cell>
          <cell r="F166">
            <v>0</v>
          </cell>
        </row>
        <row r="167">
          <cell r="A167">
            <v>455100</v>
          </cell>
          <cell r="B167" t="str">
            <v>CCT Komax intérêts suite aug capital</v>
          </cell>
          <cell r="C167" t="str">
            <v>2155IC</v>
          </cell>
          <cell r="D167" t="str">
            <v>A114</v>
          </cell>
          <cell r="E167">
            <v>0</v>
          </cell>
          <cell r="F167">
            <v>0</v>
          </cell>
        </row>
        <row r="168">
          <cell r="A168">
            <v>467001</v>
          </cell>
          <cell r="B168" t="str">
            <v>KOMAX SUISSE</v>
          </cell>
          <cell r="C168" t="str">
            <v>1355IC</v>
          </cell>
          <cell r="D168" t="str">
            <v>A13</v>
          </cell>
          <cell r="E168">
            <v>0</v>
          </cell>
          <cell r="F168">
            <v>0</v>
          </cell>
        </row>
        <row r="169">
          <cell r="A169">
            <v>467002</v>
          </cell>
          <cell r="B169" t="str">
            <v>KOMAX MAROC</v>
          </cell>
          <cell r="C169" t="str">
            <v>1355IC</v>
          </cell>
          <cell r="D169" t="str">
            <v>A13</v>
          </cell>
          <cell r="E169" t="e">
            <v>#N/A</v>
          </cell>
          <cell r="F169">
            <v>0</v>
          </cell>
        </row>
        <row r="170">
          <cell r="A170">
            <v>468600</v>
          </cell>
          <cell r="B170" t="str">
            <v>diverses charges à payer</v>
          </cell>
          <cell r="C170">
            <v>2450</v>
          </cell>
          <cell r="D170" t="str">
            <v>A114</v>
          </cell>
          <cell r="E170">
            <v>-27.97</v>
          </cell>
          <cell r="F170">
            <v>-27.97</v>
          </cell>
        </row>
        <row r="171">
          <cell r="A171">
            <v>468700</v>
          </cell>
          <cell r="B171" t="str">
            <v>Produits à recevoir</v>
          </cell>
          <cell r="C171">
            <v>1540</v>
          </cell>
          <cell r="D171" t="str">
            <v>A13</v>
          </cell>
          <cell r="E171">
            <v>0</v>
          </cell>
          <cell r="F171">
            <v>0</v>
          </cell>
        </row>
        <row r="172">
          <cell r="A172">
            <v>471000</v>
          </cell>
          <cell r="B172" t="str">
            <v>Compte d'attente</v>
          </cell>
          <cell r="C172">
            <v>2150</v>
          </cell>
          <cell r="D172" t="str">
            <v>A114</v>
          </cell>
          <cell r="E172">
            <v>0</v>
          </cell>
          <cell r="F172">
            <v>0</v>
          </cell>
        </row>
        <row r="173">
          <cell r="A173">
            <v>471411</v>
          </cell>
          <cell r="B173" t="str">
            <v>CPTL a cptl clients</v>
          </cell>
          <cell r="C173">
            <v>9999</v>
          </cell>
          <cell r="D173">
            <v>99</v>
          </cell>
          <cell r="E173" t="e">
            <v>#N/A</v>
          </cell>
          <cell r="F173">
            <v>0</v>
          </cell>
        </row>
        <row r="174">
          <cell r="A174">
            <v>476200</v>
          </cell>
          <cell r="B174" t="str">
            <v>DIFF CONVERSION ACTIF</v>
          </cell>
          <cell r="C174">
            <v>2150</v>
          </cell>
          <cell r="D174" t="str">
            <v>A114</v>
          </cell>
          <cell r="E174">
            <v>118.62</v>
          </cell>
          <cell r="F174">
            <v>118.62</v>
          </cell>
        </row>
        <row r="175">
          <cell r="A175">
            <v>477200</v>
          </cell>
          <cell r="B175" t="str">
            <v>DIFF CONVERSION PASSIF</v>
          </cell>
          <cell r="C175">
            <v>2150</v>
          </cell>
          <cell r="D175" t="str">
            <v>A114</v>
          </cell>
          <cell r="E175">
            <v>0</v>
          </cell>
          <cell r="F175">
            <v>0</v>
          </cell>
        </row>
        <row r="176">
          <cell r="A176">
            <v>486000</v>
          </cell>
          <cell r="B176" t="str">
            <v>Charges constatés d'avance</v>
          </cell>
          <cell r="C176">
            <v>1650</v>
          </cell>
          <cell r="D176" t="str">
            <v>A13</v>
          </cell>
          <cell r="E176">
            <v>10717.47</v>
          </cell>
          <cell r="F176">
            <v>10717.47</v>
          </cell>
        </row>
        <row r="177">
          <cell r="A177">
            <v>486500</v>
          </cell>
          <cell r="B177" t="str">
            <v>CHARGES CONSTATEES D'AVANCES KOMAX</v>
          </cell>
          <cell r="C177" t="str">
            <v>1665IC</v>
          </cell>
          <cell r="D177" t="str">
            <v>A13</v>
          </cell>
          <cell r="E177">
            <v>3472.73</v>
          </cell>
          <cell r="F177">
            <v>3472.73</v>
          </cell>
        </row>
        <row r="178">
          <cell r="A178">
            <v>487000</v>
          </cell>
          <cell r="B178" t="str">
            <v>Produits constatés d'avance</v>
          </cell>
          <cell r="C178">
            <v>2450</v>
          </cell>
          <cell r="D178" t="str">
            <v>A114</v>
          </cell>
          <cell r="E178">
            <v>0</v>
          </cell>
          <cell r="F178">
            <v>0</v>
          </cell>
        </row>
        <row r="179">
          <cell r="A179">
            <v>487200</v>
          </cell>
          <cell r="B179" t="str">
            <v>Produits constatés d'avance</v>
          </cell>
          <cell r="C179" t="str">
            <v>1301S</v>
          </cell>
          <cell r="D179" t="str">
            <v>A12</v>
          </cell>
          <cell r="E179" t="e">
            <v>#N/A</v>
          </cell>
          <cell r="F179">
            <v>0</v>
          </cell>
        </row>
        <row r="180">
          <cell r="A180">
            <v>488660</v>
          </cell>
          <cell r="B180" t="str">
            <v>ABONNEMENT ASSURANCE</v>
          </cell>
          <cell r="C180">
            <v>1650</v>
          </cell>
          <cell r="D180" t="str">
            <v>A13</v>
          </cell>
          <cell r="E180" t="e">
            <v>#N/A</v>
          </cell>
          <cell r="F180">
            <v>0</v>
          </cell>
        </row>
        <row r="181">
          <cell r="A181">
            <v>491000</v>
          </cell>
          <cell r="B181" t="str">
            <v>Prov pour créances douteuses</v>
          </cell>
          <cell r="C181">
            <v>1309</v>
          </cell>
          <cell r="D181" t="str">
            <v>A12</v>
          </cell>
          <cell r="E181">
            <v>-2637.91</v>
          </cell>
          <cell r="F181">
            <v>-2637.91</v>
          </cell>
        </row>
        <row r="182">
          <cell r="A182">
            <v>507020</v>
          </cell>
          <cell r="B182" t="str">
            <v>MONEPLUS SOCIETE GENERALE</v>
          </cell>
          <cell r="C182">
            <v>1020</v>
          </cell>
          <cell r="D182" t="str">
            <v>A11</v>
          </cell>
          <cell r="E182">
            <v>114865.44</v>
          </cell>
          <cell r="F182">
            <v>114865.44</v>
          </cell>
        </row>
        <row r="183">
          <cell r="A183">
            <v>507110</v>
          </cell>
          <cell r="B183" t="str">
            <v>SICAV  BPC</v>
          </cell>
          <cell r="C183">
            <v>1020</v>
          </cell>
          <cell r="D183" t="str">
            <v>A11</v>
          </cell>
          <cell r="E183" t="e">
            <v>#N/A</v>
          </cell>
          <cell r="F183">
            <v>0</v>
          </cell>
        </row>
        <row r="184">
          <cell r="A184">
            <v>507120</v>
          </cell>
          <cell r="B184" t="str">
            <v>SICAV SELECTION SECURITE BPC</v>
          </cell>
          <cell r="C184">
            <v>1020</v>
          </cell>
          <cell r="D184" t="str">
            <v>A11</v>
          </cell>
          <cell r="E184" t="e">
            <v>#N/A</v>
          </cell>
          <cell r="F184">
            <v>0</v>
          </cell>
        </row>
        <row r="185">
          <cell r="A185">
            <v>507130</v>
          </cell>
          <cell r="B185" t="str">
            <v>SICAV SELECTION MONEPRIME BPC</v>
          </cell>
          <cell r="C185">
            <v>1020</v>
          </cell>
          <cell r="D185" t="str">
            <v>A11</v>
          </cell>
          <cell r="E185" t="e">
            <v>#N/A</v>
          </cell>
          <cell r="F185">
            <v>0</v>
          </cell>
        </row>
        <row r="186">
          <cell r="A186">
            <v>507140</v>
          </cell>
          <cell r="B186" t="str">
            <v>SICAV SELECTION ENTREPRISES BPC</v>
          </cell>
          <cell r="C186">
            <v>1020</v>
          </cell>
          <cell r="D186" t="str">
            <v>A11</v>
          </cell>
          <cell r="E186">
            <v>0</v>
          </cell>
          <cell r="F186">
            <v>0</v>
          </cell>
        </row>
        <row r="187">
          <cell r="A187">
            <v>507700</v>
          </cell>
          <cell r="B187" t="str">
            <v>BNMT A LA SG</v>
          </cell>
          <cell r="C187">
            <v>1020</v>
          </cell>
          <cell r="D187" t="str">
            <v>A11</v>
          </cell>
          <cell r="E187" t="e">
            <v>#N/A</v>
          </cell>
          <cell r="F187">
            <v>0</v>
          </cell>
        </row>
        <row r="188">
          <cell r="A188">
            <v>511101</v>
          </cell>
          <cell r="B188" t="str">
            <v>Remises société générale</v>
          </cell>
          <cell r="C188">
            <v>1010</v>
          </cell>
          <cell r="D188" t="str">
            <v>A11</v>
          </cell>
          <cell r="E188">
            <v>-1038.96</v>
          </cell>
          <cell r="F188">
            <v>-1038.96</v>
          </cell>
        </row>
        <row r="189">
          <cell r="A189">
            <v>511104</v>
          </cell>
          <cell r="B189" t="str">
            <v>Remises banco popular commercial</v>
          </cell>
          <cell r="C189">
            <v>1010</v>
          </cell>
          <cell r="D189" t="str">
            <v>A11</v>
          </cell>
          <cell r="E189" t="e">
            <v>#N/A</v>
          </cell>
          <cell r="F189">
            <v>0</v>
          </cell>
        </row>
        <row r="190">
          <cell r="A190">
            <v>511105</v>
          </cell>
          <cell r="B190" t="str">
            <v>Remises banco popular commercial en EURO</v>
          </cell>
          <cell r="C190">
            <v>1010</v>
          </cell>
          <cell r="D190" t="str">
            <v>A11</v>
          </cell>
          <cell r="E190">
            <v>-1.1100000000000001</v>
          </cell>
          <cell r="F190">
            <v>-1.1100000000000001</v>
          </cell>
        </row>
        <row r="191">
          <cell r="A191">
            <v>512101</v>
          </cell>
          <cell r="B191" t="str">
            <v>Société générale</v>
          </cell>
          <cell r="C191">
            <v>1010</v>
          </cell>
          <cell r="D191" t="str">
            <v>A11</v>
          </cell>
          <cell r="E191">
            <v>137421.29</v>
          </cell>
          <cell r="F191">
            <v>137421.29</v>
          </cell>
        </row>
        <row r="192">
          <cell r="A192">
            <v>512104</v>
          </cell>
          <cell r="B192" t="str">
            <v>Banco popular commercial</v>
          </cell>
          <cell r="C192">
            <v>1010</v>
          </cell>
          <cell r="D192" t="str">
            <v>A11</v>
          </cell>
          <cell r="E192">
            <v>0</v>
          </cell>
          <cell r="F192">
            <v>0</v>
          </cell>
        </row>
        <row r="193">
          <cell r="A193">
            <v>512105</v>
          </cell>
          <cell r="B193" t="str">
            <v>Banco popular commercial en EURO</v>
          </cell>
          <cell r="C193">
            <v>1010</v>
          </cell>
          <cell r="D193" t="str">
            <v>A11</v>
          </cell>
          <cell r="E193">
            <v>36348.480000000003</v>
          </cell>
          <cell r="F193">
            <v>36348.480000000003</v>
          </cell>
        </row>
        <row r="194">
          <cell r="A194">
            <v>518600</v>
          </cell>
          <cell r="B194" t="str">
            <v>Intérets courus</v>
          </cell>
          <cell r="C194">
            <v>4100</v>
          </cell>
          <cell r="D194" t="str">
            <v>B112</v>
          </cell>
          <cell r="E194" t="e">
            <v>#N/A</v>
          </cell>
          <cell r="F194">
            <v>0</v>
          </cell>
        </row>
        <row r="195">
          <cell r="A195">
            <v>531000</v>
          </cell>
          <cell r="B195" t="str">
            <v xml:space="preserve">Caisse </v>
          </cell>
          <cell r="C195">
            <v>1010</v>
          </cell>
          <cell r="D195" t="str">
            <v>A11</v>
          </cell>
          <cell r="E195">
            <v>165.88</v>
          </cell>
          <cell r="F195">
            <v>165.88</v>
          </cell>
        </row>
        <row r="196">
          <cell r="A196">
            <v>531500</v>
          </cell>
          <cell r="B196" t="str">
            <v>Caisse devises</v>
          </cell>
          <cell r="C196">
            <v>1010</v>
          </cell>
          <cell r="D196" t="str">
            <v>A11</v>
          </cell>
          <cell r="E196">
            <v>12.03</v>
          </cell>
          <cell r="F196">
            <v>12.03</v>
          </cell>
        </row>
        <row r="197">
          <cell r="A197">
            <v>531510</v>
          </cell>
          <cell r="B197" t="str">
            <v>CAISSE ETR LITES ITALIENNES</v>
          </cell>
          <cell r="C197">
            <v>1010</v>
          </cell>
          <cell r="D197" t="str">
            <v>A11</v>
          </cell>
          <cell r="E197">
            <v>0</v>
          </cell>
          <cell r="F197">
            <v>0</v>
          </cell>
        </row>
        <row r="198">
          <cell r="A198">
            <v>531520</v>
          </cell>
          <cell r="B198" t="str">
            <v>CAISSE EN DEVISES EN DEM</v>
          </cell>
          <cell r="C198">
            <v>1010</v>
          </cell>
          <cell r="D198" t="str">
            <v>A11</v>
          </cell>
          <cell r="E198">
            <v>0</v>
          </cell>
          <cell r="F198">
            <v>0</v>
          </cell>
        </row>
        <row r="199">
          <cell r="A199">
            <v>580000</v>
          </cell>
          <cell r="B199" t="str">
            <v>VIREMENTS INTERNES</v>
          </cell>
          <cell r="C199">
            <v>1010</v>
          </cell>
          <cell r="D199" t="str">
            <v>A11</v>
          </cell>
          <cell r="E199">
            <v>0</v>
          </cell>
          <cell r="F199">
            <v>0</v>
          </cell>
        </row>
        <row r="200">
          <cell r="A200">
            <v>601800</v>
          </cell>
          <cell r="B200" t="str">
            <v>PIECES DETACHEES FABRIQUEES</v>
          </cell>
          <cell r="C200">
            <v>3000</v>
          </cell>
          <cell r="D200" t="str">
            <v>B16</v>
          </cell>
          <cell r="E200">
            <v>337.9</v>
          </cell>
          <cell r="F200">
            <v>337.9</v>
          </cell>
        </row>
        <row r="201">
          <cell r="A201">
            <v>601900</v>
          </cell>
          <cell r="B201" t="str">
            <v>FOURNITURES PRODUCTION FRANCE</v>
          </cell>
          <cell r="C201">
            <v>3000</v>
          </cell>
          <cell r="D201" t="str">
            <v>B16</v>
          </cell>
          <cell r="E201">
            <v>39387.620000000003</v>
          </cell>
          <cell r="F201">
            <v>39387.620000000003</v>
          </cell>
        </row>
        <row r="202">
          <cell r="A202">
            <v>602600</v>
          </cell>
          <cell r="B202" t="str">
            <v>Emballages perdus FR</v>
          </cell>
          <cell r="C202">
            <v>4100</v>
          </cell>
          <cell r="D202" t="str">
            <v>B112</v>
          </cell>
          <cell r="E202">
            <v>6208.41</v>
          </cell>
          <cell r="F202">
            <v>6208.41</v>
          </cell>
        </row>
        <row r="203">
          <cell r="A203">
            <v>603700</v>
          </cell>
          <cell r="B203" t="str">
            <v>Variations stocks mses</v>
          </cell>
          <cell r="C203">
            <v>3021</v>
          </cell>
          <cell r="D203" t="str">
            <v>B16</v>
          </cell>
          <cell r="E203" t="e">
            <v>#N/A</v>
          </cell>
          <cell r="F203">
            <v>0</v>
          </cell>
        </row>
        <row r="204">
          <cell r="A204">
            <v>603711</v>
          </cell>
          <cell r="B204" t="str">
            <v>VARIATION STOCK CUT ET STRIP</v>
          </cell>
          <cell r="C204">
            <v>3021</v>
          </cell>
          <cell r="D204" t="str">
            <v>B16</v>
          </cell>
          <cell r="E204">
            <v>8302</v>
          </cell>
          <cell r="F204">
            <v>8302</v>
          </cell>
        </row>
        <row r="205">
          <cell r="A205">
            <v>603714</v>
          </cell>
          <cell r="B205" t="str">
            <v>VARIATION STOCK CUT ET STIP DEMO</v>
          </cell>
          <cell r="C205">
            <v>3021</v>
          </cell>
          <cell r="D205" t="str">
            <v>B16</v>
          </cell>
          <cell r="E205">
            <v>10769</v>
          </cell>
          <cell r="F205">
            <v>10769</v>
          </cell>
        </row>
        <row r="206">
          <cell r="A206">
            <v>603721</v>
          </cell>
          <cell r="B206" t="str">
            <v>VARIATION STOCK CRIMP TO CRIMP</v>
          </cell>
          <cell r="C206">
            <v>3021</v>
          </cell>
          <cell r="D206" t="str">
            <v>B16</v>
          </cell>
          <cell r="E206">
            <v>-26336</v>
          </cell>
          <cell r="F206">
            <v>-26336</v>
          </cell>
        </row>
        <row r="207">
          <cell r="A207">
            <v>603724</v>
          </cell>
          <cell r="B207" t="str">
            <v>VARIATION STOCK CRIMP TO CRIMP DEMO</v>
          </cell>
          <cell r="C207">
            <v>3021</v>
          </cell>
          <cell r="D207" t="str">
            <v>B16</v>
          </cell>
          <cell r="E207" t="e">
            <v>#N/A</v>
          </cell>
          <cell r="F207">
            <v>0</v>
          </cell>
        </row>
        <row r="208">
          <cell r="A208">
            <v>603741</v>
          </cell>
          <cell r="B208" t="str">
            <v>VARIATION STOCK ACCESSORIES</v>
          </cell>
          <cell r="C208">
            <v>3021</v>
          </cell>
          <cell r="D208" t="str">
            <v>B16</v>
          </cell>
          <cell r="E208">
            <v>4377</v>
          </cell>
          <cell r="F208">
            <v>4377</v>
          </cell>
        </row>
        <row r="209">
          <cell r="A209">
            <v>603744</v>
          </cell>
          <cell r="B209" t="str">
            <v>VARIATIONS STOCKS ACCESSORIES DEMO</v>
          </cell>
          <cell r="C209">
            <v>3021</v>
          </cell>
          <cell r="D209" t="str">
            <v>B16</v>
          </cell>
          <cell r="E209">
            <v>-6171</v>
          </cell>
          <cell r="F209">
            <v>-6171</v>
          </cell>
        </row>
        <row r="210">
          <cell r="A210">
            <v>603751</v>
          </cell>
          <cell r="B210" t="str">
            <v>VARIATIONS STOCKS SPARE PARTS TOOIN</v>
          </cell>
          <cell r="C210">
            <v>3021</v>
          </cell>
          <cell r="D210" t="str">
            <v>B16</v>
          </cell>
          <cell r="E210">
            <v>121513</v>
          </cell>
          <cell r="F210">
            <v>121513</v>
          </cell>
        </row>
        <row r="211">
          <cell r="A211">
            <v>603754</v>
          </cell>
          <cell r="B211" t="str">
            <v>VARIATIONS STOCKS SPARE PARTS TOOIN</v>
          </cell>
          <cell r="C211">
            <v>3021</v>
          </cell>
          <cell r="D211" t="str">
            <v>B16</v>
          </cell>
          <cell r="E211" t="e">
            <v>#N/A</v>
          </cell>
          <cell r="F211">
            <v>0</v>
          </cell>
        </row>
        <row r="212">
          <cell r="A212">
            <v>604200</v>
          </cell>
          <cell r="B212" t="str">
            <v>SOUS TRAIT TECHNICIT FR</v>
          </cell>
          <cell r="C212">
            <v>3800</v>
          </cell>
          <cell r="D212" t="str">
            <v>B16</v>
          </cell>
          <cell r="E212" t="e">
            <v>#N/A</v>
          </cell>
          <cell r="F212">
            <v>0</v>
          </cell>
        </row>
        <row r="213">
          <cell r="A213">
            <v>604309</v>
          </cell>
          <cell r="B213" t="str">
            <v>INSTALLATION SOUS TRAITANCE</v>
          </cell>
          <cell r="C213">
            <v>3800</v>
          </cell>
          <cell r="D213" t="str">
            <v>B16</v>
          </cell>
          <cell r="E213" t="e">
            <v>#N/A</v>
          </cell>
          <cell r="F213">
            <v>0</v>
          </cell>
        </row>
        <row r="214">
          <cell r="A214">
            <v>604500</v>
          </cell>
          <cell r="B214" t="str">
            <v>Etudes et prestations svces</v>
          </cell>
          <cell r="C214">
            <v>3800</v>
          </cell>
          <cell r="D214" t="str">
            <v>B16</v>
          </cell>
          <cell r="E214">
            <v>289.82</v>
          </cell>
          <cell r="F214">
            <v>289.82</v>
          </cell>
        </row>
        <row r="215">
          <cell r="A215">
            <v>604505</v>
          </cell>
          <cell r="B215" t="str">
            <v>FRAIS Express ADD KOMAX AG E</v>
          </cell>
          <cell r="C215" t="str">
            <v>3800IC</v>
          </cell>
          <cell r="D215" t="str">
            <v>B16</v>
          </cell>
          <cell r="E215">
            <v>3623.9</v>
          </cell>
          <cell r="F215">
            <v>3623.9</v>
          </cell>
        </row>
        <row r="216">
          <cell r="A216">
            <v>606110</v>
          </cell>
          <cell r="B216" t="str">
            <v>Electricité</v>
          </cell>
          <cell r="C216">
            <v>4100</v>
          </cell>
          <cell r="D216" t="str">
            <v>B112</v>
          </cell>
          <cell r="E216">
            <v>3597.87</v>
          </cell>
          <cell r="F216">
            <v>3597.87</v>
          </cell>
        </row>
        <row r="217">
          <cell r="A217">
            <v>606120</v>
          </cell>
          <cell r="B217" t="str">
            <v>Eau</v>
          </cell>
          <cell r="C217">
            <v>4100</v>
          </cell>
          <cell r="D217" t="str">
            <v>B112</v>
          </cell>
          <cell r="E217">
            <v>159.27000000000001</v>
          </cell>
          <cell r="F217">
            <v>159.27000000000001</v>
          </cell>
        </row>
        <row r="218">
          <cell r="A218">
            <v>606130</v>
          </cell>
          <cell r="B218" t="str">
            <v>Gaz</v>
          </cell>
          <cell r="C218">
            <v>4100</v>
          </cell>
          <cell r="D218" t="str">
            <v>B112</v>
          </cell>
          <cell r="E218">
            <v>2604.5300000000002</v>
          </cell>
          <cell r="F218">
            <v>2604.5300000000002</v>
          </cell>
        </row>
        <row r="219">
          <cell r="A219">
            <v>606160</v>
          </cell>
          <cell r="B219" t="str">
            <v>Carbur véhicules</v>
          </cell>
          <cell r="C219">
            <v>4100</v>
          </cell>
          <cell r="D219" t="str">
            <v>B112</v>
          </cell>
          <cell r="E219" t="e">
            <v>#N/A</v>
          </cell>
          <cell r="F219">
            <v>0</v>
          </cell>
        </row>
        <row r="220">
          <cell r="A220">
            <v>606310</v>
          </cell>
          <cell r="B220" t="str">
            <v>Founitures d'entretien</v>
          </cell>
          <cell r="C220">
            <v>4100</v>
          </cell>
          <cell r="D220" t="str">
            <v>B112</v>
          </cell>
          <cell r="E220">
            <v>5222.49</v>
          </cell>
          <cell r="F220">
            <v>5222.49</v>
          </cell>
        </row>
        <row r="221">
          <cell r="A221">
            <v>606320</v>
          </cell>
          <cell r="B221" t="str">
            <v>Froutn petit équipements</v>
          </cell>
          <cell r="C221">
            <v>4100</v>
          </cell>
          <cell r="D221" t="str">
            <v>B112</v>
          </cell>
          <cell r="E221">
            <v>4603.99</v>
          </cell>
          <cell r="F221">
            <v>4603.99</v>
          </cell>
        </row>
        <row r="222">
          <cell r="A222">
            <v>606400</v>
          </cell>
          <cell r="B222" t="str">
            <v>Fournit de bureau</v>
          </cell>
          <cell r="C222">
            <v>4100</v>
          </cell>
          <cell r="D222" t="str">
            <v>B112</v>
          </cell>
          <cell r="E222">
            <v>8375.02</v>
          </cell>
          <cell r="F222">
            <v>8375.02</v>
          </cell>
        </row>
        <row r="223">
          <cell r="A223">
            <v>606450</v>
          </cell>
          <cell r="B223" t="str">
            <v>FOURNITURES BUREAU KOMAX</v>
          </cell>
          <cell r="C223" t="str">
            <v>4100IC</v>
          </cell>
          <cell r="D223" t="str">
            <v>B112</v>
          </cell>
          <cell r="E223">
            <v>765.17</v>
          </cell>
          <cell r="F223">
            <v>765.17</v>
          </cell>
        </row>
        <row r="224">
          <cell r="A224">
            <v>606500</v>
          </cell>
          <cell r="B224" t="str">
            <v>FOURNITURE INFORMATIQUE</v>
          </cell>
          <cell r="C224">
            <v>4100</v>
          </cell>
          <cell r="D224" t="str">
            <v>B112</v>
          </cell>
          <cell r="E224">
            <v>797.5</v>
          </cell>
          <cell r="F224">
            <v>797.5</v>
          </cell>
        </row>
        <row r="225">
          <cell r="A225">
            <v>607040</v>
          </cell>
          <cell r="B225" t="str">
            <v>ACHATS ACCESSOIRES FRANCE</v>
          </cell>
          <cell r="C225">
            <v>3000</v>
          </cell>
          <cell r="D225" t="str">
            <v>B16</v>
          </cell>
          <cell r="E225" t="e">
            <v>#N/A</v>
          </cell>
          <cell r="F225">
            <v>0</v>
          </cell>
        </row>
        <row r="226">
          <cell r="A226">
            <v>607200</v>
          </cell>
          <cell r="B226" t="str">
            <v>MACHINES CUT AND STRIP</v>
          </cell>
          <cell r="C226">
            <v>3000</v>
          </cell>
          <cell r="D226" t="str">
            <v>B16</v>
          </cell>
          <cell r="E226">
            <v>30.95</v>
          </cell>
          <cell r="F226">
            <v>30.95</v>
          </cell>
        </row>
        <row r="227">
          <cell r="A227">
            <v>607202</v>
          </cell>
          <cell r="B227" t="str">
            <v>MACHINES CUT AND STRIP CEE</v>
          </cell>
          <cell r="C227">
            <v>3000</v>
          </cell>
          <cell r="D227" t="str">
            <v>B16</v>
          </cell>
          <cell r="E227">
            <v>12047.02</v>
          </cell>
          <cell r="F227">
            <v>12047.02</v>
          </cell>
        </row>
        <row r="228">
          <cell r="A228">
            <v>607207</v>
          </cell>
          <cell r="B228" t="str">
            <v>MACHINES CUT AND STRIP CEE KOMAX</v>
          </cell>
          <cell r="C228" t="str">
            <v>3000IC</v>
          </cell>
          <cell r="D228" t="str">
            <v>B16</v>
          </cell>
          <cell r="E228">
            <v>51738.6</v>
          </cell>
          <cell r="F228">
            <v>51738.6</v>
          </cell>
        </row>
        <row r="229">
          <cell r="A229">
            <v>607208</v>
          </cell>
          <cell r="B229" t="str">
            <v>MACHINES CUT AND STRIP HORS CEE KOM</v>
          </cell>
          <cell r="C229" t="str">
            <v>3000IC</v>
          </cell>
          <cell r="D229" t="str">
            <v>B16</v>
          </cell>
          <cell r="E229" t="e">
            <v>#N/A</v>
          </cell>
          <cell r="F229">
            <v>0</v>
          </cell>
        </row>
        <row r="230">
          <cell r="A230">
            <v>607209</v>
          </cell>
          <cell r="B230" t="str">
            <v>MACHINES CUT AND STRIP HORS CEE</v>
          </cell>
          <cell r="C230">
            <v>3000</v>
          </cell>
          <cell r="D230" t="str">
            <v>B16</v>
          </cell>
          <cell r="E230">
            <v>9181.98</v>
          </cell>
          <cell r="F230">
            <v>9181.98</v>
          </cell>
        </row>
        <row r="231">
          <cell r="A231">
            <v>607300</v>
          </cell>
          <cell r="B231" t="str">
            <v>MACHINES CRIMP TO CRIM</v>
          </cell>
          <cell r="C231">
            <v>3000</v>
          </cell>
          <cell r="D231" t="str">
            <v>B16</v>
          </cell>
          <cell r="E231">
            <v>12341.31</v>
          </cell>
          <cell r="F231">
            <v>12341.31</v>
          </cell>
        </row>
        <row r="232">
          <cell r="A232">
            <v>607307</v>
          </cell>
          <cell r="B232" t="str">
            <v>MACHINES CRIMP TO CRIMP CEE KOMAX</v>
          </cell>
          <cell r="C232" t="str">
            <v>3000IC</v>
          </cell>
          <cell r="D232" t="str">
            <v>B16</v>
          </cell>
          <cell r="E232">
            <v>573609.81000000006</v>
          </cell>
          <cell r="F232">
            <v>573609.81000000006</v>
          </cell>
        </row>
        <row r="233">
          <cell r="A233">
            <v>607308</v>
          </cell>
          <cell r="B233" t="str">
            <v>MACHINES CRIMP TO CRIMP HORS CEE KO</v>
          </cell>
          <cell r="C233" t="str">
            <v>3000IC</v>
          </cell>
          <cell r="D233" t="str">
            <v>B16</v>
          </cell>
          <cell r="E233" t="e">
            <v>#N/A</v>
          </cell>
          <cell r="F233">
            <v>0</v>
          </cell>
        </row>
        <row r="234">
          <cell r="A234">
            <v>607390</v>
          </cell>
          <cell r="B234" t="str">
            <v>Mach à dénud Komax AG</v>
          </cell>
          <cell r="C234" t="str">
            <v>3000IC</v>
          </cell>
          <cell r="D234" t="str">
            <v>B16</v>
          </cell>
          <cell r="E234">
            <v>1943</v>
          </cell>
          <cell r="F234">
            <v>1943</v>
          </cell>
        </row>
        <row r="235">
          <cell r="A235">
            <v>607392</v>
          </cell>
          <cell r="B235" t="str">
            <v>Mach à dénud Komax Porutgal</v>
          </cell>
          <cell r="C235" t="str">
            <v>3000IC</v>
          </cell>
          <cell r="D235" t="str">
            <v>B16</v>
          </cell>
          <cell r="E235" t="e">
            <v>#N/A</v>
          </cell>
          <cell r="F235">
            <v>0</v>
          </cell>
        </row>
        <row r="236">
          <cell r="A236">
            <v>607590</v>
          </cell>
          <cell r="B236" t="str">
            <v>Stockeur ETR</v>
          </cell>
          <cell r="C236">
            <v>3000</v>
          </cell>
          <cell r="D236" t="str">
            <v>B16</v>
          </cell>
          <cell r="E236" t="e">
            <v>#N/A</v>
          </cell>
          <cell r="F236">
            <v>0</v>
          </cell>
        </row>
        <row r="237">
          <cell r="A237">
            <v>607690</v>
          </cell>
          <cell r="B237" t="str">
            <v>Presses ETR</v>
          </cell>
          <cell r="C237">
            <v>3000</v>
          </cell>
          <cell r="D237" t="str">
            <v>B16</v>
          </cell>
          <cell r="E237">
            <v>812.68</v>
          </cell>
          <cell r="F237">
            <v>812.68</v>
          </cell>
        </row>
        <row r="238">
          <cell r="A238">
            <v>607700</v>
          </cell>
          <cell r="B238" t="str">
            <v>MODULES</v>
          </cell>
          <cell r="C238">
            <v>3000</v>
          </cell>
          <cell r="D238" t="str">
            <v>B16</v>
          </cell>
          <cell r="E238">
            <v>1380</v>
          </cell>
          <cell r="F238">
            <v>1380</v>
          </cell>
        </row>
        <row r="239">
          <cell r="A239">
            <v>607702</v>
          </cell>
          <cell r="B239" t="str">
            <v>MODULES CEE</v>
          </cell>
          <cell r="C239">
            <v>3000</v>
          </cell>
          <cell r="D239" t="str">
            <v>B16</v>
          </cell>
          <cell r="E239">
            <v>285417.48</v>
          </cell>
          <cell r="F239">
            <v>285417.48</v>
          </cell>
        </row>
        <row r="240">
          <cell r="A240">
            <v>607707</v>
          </cell>
          <cell r="B240" t="str">
            <v>MODULES CEE KOMAX</v>
          </cell>
          <cell r="C240" t="str">
            <v>3000IC</v>
          </cell>
          <cell r="D240" t="str">
            <v>B16</v>
          </cell>
          <cell r="E240">
            <v>257851.12</v>
          </cell>
          <cell r="F240">
            <v>257851.12</v>
          </cell>
        </row>
        <row r="241">
          <cell r="A241">
            <v>607708</v>
          </cell>
          <cell r="B241" t="str">
            <v>MODULES HORS CEE KOMAX</v>
          </cell>
          <cell r="C241" t="str">
            <v>3000IC</v>
          </cell>
          <cell r="D241" t="str">
            <v>B16</v>
          </cell>
          <cell r="E241" t="e">
            <v>#N/A</v>
          </cell>
          <cell r="F241">
            <v>0</v>
          </cell>
        </row>
        <row r="242">
          <cell r="A242">
            <v>607800</v>
          </cell>
          <cell r="B242" t="str">
            <v>PIECES DETACHEES VENDUES</v>
          </cell>
          <cell r="C242">
            <v>3000</v>
          </cell>
          <cell r="D242" t="str">
            <v>B16</v>
          </cell>
          <cell r="E242">
            <v>2856.05</v>
          </cell>
          <cell r="F242">
            <v>2856.05</v>
          </cell>
        </row>
        <row r="243">
          <cell r="A243">
            <v>607802</v>
          </cell>
          <cell r="B243" t="str">
            <v>PIECES DETACHEES VENDUES CEE</v>
          </cell>
          <cell r="C243">
            <v>3000</v>
          </cell>
          <cell r="D243" t="str">
            <v>B16</v>
          </cell>
          <cell r="E243">
            <v>54274.03</v>
          </cell>
          <cell r="F243">
            <v>54274.03</v>
          </cell>
        </row>
        <row r="244">
          <cell r="A244">
            <v>607807</v>
          </cell>
          <cell r="B244" t="str">
            <v>PIECES DETACHEES VENDUES CEE KOMAX</v>
          </cell>
          <cell r="C244" t="str">
            <v>3000IC</v>
          </cell>
          <cell r="D244" t="str">
            <v>B16</v>
          </cell>
          <cell r="E244">
            <v>270105.7</v>
          </cell>
          <cell r="F244">
            <v>270105.7</v>
          </cell>
        </row>
        <row r="245">
          <cell r="A245">
            <v>607808</v>
          </cell>
          <cell r="B245" t="str">
            <v>PIECES DETACHEES VENDUES HORS CEE K</v>
          </cell>
          <cell r="C245" t="str">
            <v>3000IC</v>
          </cell>
          <cell r="D245" t="str">
            <v>B16</v>
          </cell>
          <cell r="E245" t="e">
            <v>#N/A</v>
          </cell>
          <cell r="F245">
            <v>0</v>
          </cell>
        </row>
        <row r="246">
          <cell r="A246">
            <v>607809</v>
          </cell>
          <cell r="B246" t="str">
            <v>PIECES DETACHEES VENDUES HORS CEE</v>
          </cell>
          <cell r="C246">
            <v>3000</v>
          </cell>
          <cell r="D246" t="str">
            <v>B16</v>
          </cell>
          <cell r="E246">
            <v>2866.8</v>
          </cell>
          <cell r="F246">
            <v>2866.8</v>
          </cell>
        </row>
        <row r="247">
          <cell r="A247">
            <v>607890</v>
          </cell>
          <cell r="B247" t="str">
            <v>Machin a enrubanner ETR</v>
          </cell>
          <cell r="C247">
            <v>3000</v>
          </cell>
          <cell r="D247" t="str">
            <v>B16</v>
          </cell>
          <cell r="E247" t="e">
            <v>#N/A</v>
          </cell>
          <cell r="F247">
            <v>0</v>
          </cell>
        </row>
        <row r="248">
          <cell r="A248">
            <v>607900</v>
          </cell>
          <cell r="B248" t="str">
            <v>Divers FR</v>
          </cell>
          <cell r="C248">
            <v>3000</v>
          </cell>
          <cell r="D248" t="str">
            <v>B16</v>
          </cell>
          <cell r="E248">
            <v>14459.11</v>
          </cell>
          <cell r="F248">
            <v>14459.11</v>
          </cell>
        </row>
        <row r="249">
          <cell r="A249">
            <v>607990</v>
          </cell>
          <cell r="B249" t="str">
            <v>Divers ETR</v>
          </cell>
          <cell r="C249">
            <v>3000</v>
          </cell>
          <cell r="D249" t="str">
            <v>B16</v>
          </cell>
          <cell r="E249">
            <v>-277.32</v>
          </cell>
          <cell r="F249">
            <v>-277.32</v>
          </cell>
        </row>
        <row r="250">
          <cell r="A250">
            <v>608100</v>
          </cell>
          <cell r="B250" t="str">
            <v>Fourn div pr prod vend</v>
          </cell>
          <cell r="C250">
            <v>3000</v>
          </cell>
          <cell r="D250" t="str">
            <v>B16</v>
          </cell>
          <cell r="E250">
            <v>402.58</v>
          </cell>
          <cell r="F250">
            <v>402.58</v>
          </cell>
        </row>
        <row r="251">
          <cell r="A251">
            <v>608200</v>
          </cell>
          <cell r="B251" t="str">
            <v>Sous trait technicit</v>
          </cell>
          <cell r="C251">
            <v>3800</v>
          </cell>
          <cell r="D251" t="str">
            <v>B16</v>
          </cell>
          <cell r="E251">
            <v>44449.5</v>
          </cell>
          <cell r="F251">
            <v>44449.5</v>
          </cell>
        </row>
        <row r="252">
          <cell r="A252">
            <v>608202</v>
          </cell>
          <cell r="B252" t="str">
            <v>SOUS TRAITANCE TECH CEE</v>
          </cell>
          <cell r="C252">
            <v>3800</v>
          </cell>
          <cell r="D252" t="str">
            <v>B16</v>
          </cell>
          <cell r="E252">
            <v>303.64</v>
          </cell>
          <cell r="F252">
            <v>303.64</v>
          </cell>
        </row>
        <row r="253">
          <cell r="A253">
            <v>608207</v>
          </cell>
          <cell r="B253" t="str">
            <v>SOUS TRAITANCE TECHN CEE KOMAX</v>
          </cell>
          <cell r="C253" t="str">
            <v>3800IC</v>
          </cell>
          <cell r="D253" t="str">
            <v>B16</v>
          </cell>
          <cell r="E253" t="e">
            <v>#N/A</v>
          </cell>
          <cell r="F253">
            <v>0</v>
          </cell>
        </row>
        <row r="254">
          <cell r="A254">
            <v>608208</v>
          </cell>
          <cell r="B254" t="str">
            <v>SOUS TRAITANCE HORS CEE KOMAX</v>
          </cell>
          <cell r="C254" t="str">
            <v>3800IC</v>
          </cell>
          <cell r="D254" t="str">
            <v>B16</v>
          </cell>
          <cell r="E254">
            <v>5001.1000000000004</v>
          </cell>
          <cell r="F254">
            <v>5001.1000000000004</v>
          </cell>
        </row>
        <row r="255">
          <cell r="A255">
            <v>608400</v>
          </cell>
          <cell r="B255" t="str">
            <v>PORT SUR ACHAT</v>
          </cell>
          <cell r="C255">
            <v>3000</v>
          </cell>
          <cell r="D255" t="str">
            <v>B16</v>
          </cell>
          <cell r="E255">
            <v>1172.54</v>
          </cell>
          <cell r="F255">
            <v>1172.54</v>
          </cell>
        </row>
        <row r="256">
          <cell r="A256">
            <v>608402</v>
          </cell>
          <cell r="B256" t="str">
            <v>PORT SUR ACHAT CEE</v>
          </cell>
          <cell r="C256">
            <v>3000</v>
          </cell>
          <cell r="D256" t="str">
            <v>B16</v>
          </cell>
          <cell r="E256">
            <v>6211.77</v>
          </cell>
          <cell r="F256">
            <v>6211.77</v>
          </cell>
        </row>
        <row r="257">
          <cell r="A257">
            <v>608407</v>
          </cell>
          <cell r="B257" t="str">
            <v>PORT SUR ACHAT CEE KOMAX</v>
          </cell>
          <cell r="C257" t="str">
            <v>3000IC</v>
          </cell>
          <cell r="D257" t="str">
            <v>B16</v>
          </cell>
          <cell r="E257">
            <v>6769.3</v>
          </cell>
          <cell r="F257">
            <v>6769.3</v>
          </cell>
        </row>
        <row r="258">
          <cell r="A258">
            <v>608408</v>
          </cell>
          <cell r="B258" t="str">
            <v>PORT SUR ACHAT HORS CEE KOMAX</v>
          </cell>
          <cell r="C258" t="str">
            <v>3000IC</v>
          </cell>
          <cell r="D258" t="str">
            <v>B16</v>
          </cell>
          <cell r="E258">
            <v>82</v>
          </cell>
          <cell r="F258">
            <v>82</v>
          </cell>
        </row>
        <row r="259">
          <cell r="A259">
            <v>608409</v>
          </cell>
          <cell r="B259" t="str">
            <v>PORT SUR ACHAT HORS CEE</v>
          </cell>
          <cell r="C259">
            <v>3000</v>
          </cell>
          <cell r="D259" t="str">
            <v>B16</v>
          </cell>
          <cell r="E259">
            <v>481</v>
          </cell>
          <cell r="F259">
            <v>481</v>
          </cell>
        </row>
        <row r="260">
          <cell r="A260">
            <v>608500</v>
          </cell>
          <cell r="B260" t="str">
            <v>EMABALLAGES S/ACHAT</v>
          </cell>
          <cell r="C260">
            <v>3000</v>
          </cell>
          <cell r="D260" t="str">
            <v>B16</v>
          </cell>
          <cell r="E260">
            <v>49.65</v>
          </cell>
          <cell r="F260">
            <v>49.65</v>
          </cell>
        </row>
        <row r="261">
          <cell r="A261">
            <v>608502</v>
          </cell>
          <cell r="B261" t="str">
            <v>EMBALLAGES S/ACHAT CEE</v>
          </cell>
          <cell r="C261">
            <v>3000</v>
          </cell>
          <cell r="D261" t="str">
            <v>B16</v>
          </cell>
          <cell r="E261">
            <v>2701.52</v>
          </cell>
          <cell r="F261">
            <v>2701.52</v>
          </cell>
        </row>
        <row r="262">
          <cell r="A262">
            <v>608507</v>
          </cell>
          <cell r="B262" t="str">
            <v>EMBALLAGES S/ACHAT CEE KOMAX</v>
          </cell>
          <cell r="C262" t="str">
            <v>3000IC</v>
          </cell>
          <cell r="D262" t="str">
            <v>B16</v>
          </cell>
          <cell r="E262">
            <v>10223.1</v>
          </cell>
          <cell r="F262">
            <v>10223.1</v>
          </cell>
        </row>
        <row r="263">
          <cell r="A263">
            <v>608508</v>
          </cell>
          <cell r="B263" t="str">
            <v>EMBALLAGE S/ACHAT HORS CEE KOMAX</v>
          </cell>
          <cell r="C263" t="str">
            <v>3000IC</v>
          </cell>
          <cell r="D263" t="str">
            <v>B16</v>
          </cell>
          <cell r="E263">
            <v>7</v>
          </cell>
          <cell r="F263">
            <v>7</v>
          </cell>
        </row>
        <row r="264">
          <cell r="A264">
            <v>608509</v>
          </cell>
          <cell r="B264" t="str">
            <v>EMBALLAGE S/ACHAT HORS CEE</v>
          </cell>
          <cell r="C264">
            <v>3000</v>
          </cell>
          <cell r="D264" t="str">
            <v>B16</v>
          </cell>
          <cell r="E264">
            <v>201.3</v>
          </cell>
          <cell r="F264">
            <v>201.3</v>
          </cell>
        </row>
        <row r="265">
          <cell r="A265">
            <v>608602</v>
          </cell>
          <cell r="B265" t="str">
            <v>ASSURANCE S/ACHAT CEE</v>
          </cell>
          <cell r="C265">
            <v>3800</v>
          </cell>
          <cell r="D265" t="str">
            <v>B16</v>
          </cell>
          <cell r="E265">
            <v>19.02</v>
          </cell>
          <cell r="F265">
            <v>19.02</v>
          </cell>
        </row>
        <row r="266">
          <cell r="A266">
            <v>608607</v>
          </cell>
          <cell r="B266" t="str">
            <v>ASSUARANCE S/ACHAT CEE KOMAX</v>
          </cell>
          <cell r="C266" t="str">
            <v>3800IC</v>
          </cell>
          <cell r="D266" t="str">
            <v>B16</v>
          </cell>
          <cell r="E266">
            <v>1326.97</v>
          </cell>
          <cell r="F266">
            <v>1326.97</v>
          </cell>
        </row>
        <row r="267">
          <cell r="A267">
            <v>608608</v>
          </cell>
          <cell r="B267" t="str">
            <v>ASSURANCE S/ACHAT HORS CEE KOMAX</v>
          </cell>
          <cell r="C267" t="str">
            <v>3800IC</v>
          </cell>
          <cell r="D267" t="str">
            <v>B16</v>
          </cell>
          <cell r="E267">
            <v>3</v>
          </cell>
          <cell r="F267">
            <v>3</v>
          </cell>
        </row>
        <row r="268">
          <cell r="A268">
            <v>608609</v>
          </cell>
          <cell r="B268" t="str">
            <v>ASSURANCE S/ACHAT HORS CEE</v>
          </cell>
          <cell r="C268">
            <v>3800</v>
          </cell>
          <cell r="D268" t="str">
            <v>B16</v>
          </cell>
          <cell r="E268">
            <v>4.7300000000000004</v>
          </cell>
          <cell r="F268">
            <v>4.7300000000000004</v>
          </cell>
        </row>
        <row r="269">
          <cell r="A269">
            <v>608700</v>
          </cell>
          <cell r="B269" t="str">
            <v>Frais acc achat divers</v>
          </cell>
          <cell r="C269">
            <v>3000</v>
          </cell>
          <cell r="D269" t="str">
            <v>B16</v>
          </cell>
          <cell r="E269">
            <v>15296.72</v>
          </cell>
          <cell r="F269">
            <v>15296.72</v>
          </cell>
        </row>
        <row r="270">
          <cell r="A270">
            <v>611100</v>
          </cell>
          <cell r="B270" t="str">
            <v>Travaux informatique</v>
          </cell>
          <cell r="C270">
            <v>3800</v>
          </cell>
          <cell r="D270" t="str">
            <v>B16</v>
          </cell>
          <cell r="E270">
            <v>2240.5</v>
          </cell>
          <cell r="F270">
            <v>2240.5</v>
          </cell>
        </row>
        <row r="271">
          <cell r="A271">
            <v>612000</v>
          </cell>
          <cell r="B271" t="str">
            <v>Credit Bail</v>
          </cell>
          <cell r="C271">
            <v>4200</v>
          </cell>
          <cell r="D271" t="str">
            <v>B112</v>
          </cell>
          <cell r="E271">
            <v>11712.24</v>
          </cell>
          <cell r="F271">
            <v>11712.24</v>
          </cell>
        </row>
        <row r="272">
          <cell r="A272">
            <v>612100</v>
          </cell>
          <cell r="B272" t="str">
            <v>CREDIT BAIL CREDIPAR 2318VG93</v>
          </cell>
          <cell r="C272">
            <v>4200</v>
          </cell>
          <cell r="D272" t="str">
            <v>B112</v>
          </cell>
          <cell r="E272">
            <v>818.97</v>
          </cell>
          <cell r="F272">
            <v>818.97</v>
          </cell>
        </row>
        <row r="273">
          <cell r="A273">
            <v>612200</v>
          </cell>
          <cell r="B273" t="str">
            <v>CREDIT BAIL DIAC 2348TX93</v>
          </cell>
          <cell r="C273">
            <v>4200</v>
          </cell>
          <cell r="D273" t="str">
            <v>B112</v>
          </cell>
          <cell r="E273" t="e">
            <v>#N/A</v>
          </cell>
          <cell r="F273">
            <v>0</v>
          </cell>
        </row>
        <row r="274">
          <cell r="A274">
            <v>612300</v>
          </cell>
          <cell r="B274" t="str">
            <v>CREDIT BAIL CREDIPAR 9962TW93</v>
          </cell>
          <cell r="C274">
            <v>4200</v>
          </cell>
          <cell r="D274" t="str">
            <v>B112</v>
          </cell>
          <cell r="E274" t="e">
            <v>#N/A</v>
          </cell>
          <cell r="F274">
            <v>0</v>
          </cell>
        </row>
        <row r="275">
          <cell r="A275">
            <v>613200</v>
          </cell>
          <cell r="B275" t="str">
            <v>Loyers</v>
          </cell>
          <cell r="C275">
            <v>4200</v>
          </cell>
          <cell r="D275" t="str">
            <v>B112</v>
          </cell>
          <cell r="E275">
            <v>86646.33</v>
          </cell>
          <cell r="F275">
            <v>86646.33</v>
          </cell>
        </row>
        <row r="276">
          <cell r="A276">
            <v>613201</v>
          </cell>
          <cell r="B276" t="str">
            <v>LOYER MAISON NIOL AU MAROC</v>
          </cell>
          <cell r="C276">
            <v>4200</v>
          </cell>
          <cell r="D276" t="str">
            <v>B112</v>
          </cell>
          <cell r="E276" t="e">
            <v>#N/A</v>
          </cell>
          <cell r="F276">
            <v>0</v>
          </cell>
        </row>
        <row r="277">
          <cell r="A277">
            <v>613205</v>
          </cell>
          <cell r="B277" t="str">
            <v>LOCATION LOGICIEL AS400</v>
          </cell>
          <cell r="C277">
            <v>4200</v>
          </cell>
          <cell r="D277" t="str">
            <v>B112</v>
          </cell>
          <cell r="E277">
            <v>1712.05</v>
          </cell>
          <cell r="F277">
            <v>1712.05</v>
          </cell>
        </row>
        <row r="278">
          <cell r="A278">
            <v>613500</v>
          </cell>
          <cell r="B278" t="str">
            <v>Loc mat de bur et inform</v>
          </cell>
          <cell r="C278">
            <v>4200</v>
          </cell>
          <cell r="D278" t="str">
            <v>B112</v>
          </cell>
          <cell r="E278">
            <v>13104.59</v>
          </cell>
          <cell r="F278">
            <v>13104.59</v>
          </cell>
        </row>
        <row r="279">
          <cell r="A279">
            <v>613510</v>
          </cell>
          <cell r="B279" t="str">
            <v>Loc véhicules</v>
          </cell>
          <cell r="C279">
            <v>4200</v>
          </cell>
          <cell r="D279" t="str">
            <v>B112</v>
          </cell>
          <cell r="E279">
            <v>35672.9</v>
          </cell>
          <cell r="F279">
            <v>35672.9</v>
          </cell>
        </row>
        <row r="280">
          <cell r="A280">
            <v>613512</v>
          </cell>
          <cell r="B280" t="str">
            <v>LOCATION VOITURE MAROC</v>
          </cell>
          <cell r="C280">
            <v>4200</v>
          </cell>
          <cell r="D280" t="str">
            <v>B112</v>
          </cell>
          <cell r="E280" t="e">
            <v>#N/A</v>
          </cell>
          <cell r="F280">
            <v>0</v>
          </cell>
        </row>
        <row r="281">
          <cell r="A281">
            <v>613520</v>
          </cell>
          <cell r="B281" t="str">
            <v>LOCATION MATERIEL</v>
          </cell>
          <cell r="C281">
            <v>4200</v>
          </cell>
          <cell r="D281" t="str">
            <v>B112</v>
          </cell>
          <cell r="E281">
            <v>19.8</v>
          </cell>
          <cell r="F281">
            <v>19.8</v>
          </cell>
        </row>
        <row r="282">
          <cell r="A282">
            <v>615110</v>
          </cell>
          <cell r="B282" t="str">
            <v>MAINTENANCE INFORMATIQUE</v>
          </cell>
          <cell r="C282">
            <v>4300</v>
          </cell>
          <cell r="D282" t="str">
            <v>B112</v>
          </cell>
          <cell r="E282">
            <v>10014.43</v>
          </cell>
          <cell r="F282">
            <v>10014.43</v>
          </cell>
        </row>
        <row r="283">
          <cell r="A283">
            <v>615120</v>
          </cell>
          <cell r="B283" t="str">
            <v>ABONNEMENT BUROPAYE</v>
          </cell>
          <cell r="C283">
            <v>4600</v>
          </cell>
          <cell r="D283" t="str">
            <v>B112</v>
          </cell>
          <cell r="E283">
            <v>0</v>
          </cell>
          <cell r="F283">
            <v>0</v>
          </cell>
        </row>
        <row r="284">
          <cell r="A284">
            <v>615200</v>
          </cell>
          <cell r="B284" t="str">
            <v>Entretien bâtiment</v>
          </cell>
          <cell r="C284">
            <v>4300</v>
          </cell>
          <cell r="D284" t="str">
            <v>B112</v>
          </cell>
          <cell r="E284">
            <v>8354</v>
          </cell>
          <cell r="F284">
            <v>8354</v>
          </cell>
        </row>
        <row r="285">
          <cell r="A285">
            <v>615500</v>
          </cell>
          <cell r="B285" t="str">
            <v>Entretien véhicules</v>
          </cell>
          <cell r="C285">
            <v>4300</v>
          </cell>
          <cell r="D285" t="str">
            <v>B112</v>
          </cell>
          <cell r="E285">
            <v>9956.57</v>
          </cell>
          <cell r="F285">
            <v>9956.57</v>
          </cell>
        </row>
        <row r="286">
          <cell r="A286">
            <v>615510</v>
          </cell>
          <cell r="B286" t="str">
            <v>Entretien mat et out</v>
          </cell>
          <cell r="C286">
            <v>4300</v>
          </cell>
          <cell r="D286" t="str">
            <v>B112</v>
          </cell>
          <cell r="E286">
            <v>329.76</v>
          </cell>
          <cell r="F286">
            <v>329.76</v>
          </cell>
        </row>
        <row r="287">
          <cell r="A287">
            <v>615520</v>
          </cell>
          <cell r="B287" t="str">
            <v>Entret mat mob de bureau</v>
          </cell>
          <cell r="C287">
            <v>4300</v>
          </cell>
          <cell r="D287" t="str">
            <v>B112</v>
          </cell>
          <cell r="E287">
            <v>928.99</v>
          </cell>
          <cell r="F287">
            <v>928.99</v>
          </cell>
        </row>
        <row r="288">
          <cell r="A288">
            <v>616100</v>
          </cell>
          <cell r="B288" t="str">
            <v>Assurances multirisque</v>
          </cell>
          <cell r="C288">
            <v>4650</v>
          </cell>
          <cell r="D288" t="str">
            <v>B112</v>
          </cell>
          <cell r="E288">
            <v>3996.17</v>
          </cell>
          <cell r="F288">
            <v>3996.17</v>
          </cell>
        </row>
        <row r="289">
          <cell r="A289">
            <v>616300</v>
          </cell>
          <cell r="B289" t="str">
            <v>ASSURANCE TRANSPORT AG</v>
          </cell>
          <cell r="C289" t="str">
            <v>3800IC</v>
          </cell>
          <cell r="D289" t="str">
            <v>B16</v>
          </cell>
          <cell r="E289">
            <v>1434.31</v>
          </cell>
          <cell r="F289">
            <v>1434.31</v>
          </cell>
        </row>
        <row r="290">
          <cell r="A290">
            <v>616380</v>
          </cell>
          <cell r="B290" t="str">
            <v>ASSURANCES VEHICULES</v>
          </cell>
          <cell r="C290">
            <v>4650</v>
          </cell>
          <cell r="D290" t="str">
            <v>B112</v>
          </cell>
          <cell r="E290" t="e">
            <v>#N/A</v>
          </cell>
          <cell r="F290">
            <v>0</v>
          </cell>
        </row>
        <row r="291">
          <cell r="A291">
            <v>616381</v>
          </cell>
          <cell r="B291" t="str">
            <v>ASSURANCES VEHICULES</v>
          </cell>
          <cell r="C291">
            <v>4650</v>
          </cell>
          <cell r="D291" t="str">
            <v>B112</v>
          </cell>
          <cell r="E291" t="e">
            <v>#N/A</v>
          </cell>
          <cell r="F291">
            <v>0</v>
          </cell>
        </row>
        <row r="292">
          <cell r="A292">
            <v>616382</v>
          </cell>
          <cell r="B292" t="str">
            <v>ASSURANCES VEHICULES</v>
          </cell>
          <cell r="C292">
            <v>4650</v>
          </cell>
          <cell r="D292" t="str">
            <v>B112</v>
          </cell>
          <cell r="E292" t="e">
            <v>#N/A</v>
          </cell>
          <cell r="F292">
            <v>0</v>
          </cell>
        </row>
        <row r="293">
          <cell r="A293">
            <v>616383</v>
          </cell>
          <cell r="B293" t="str">
            <v>ASSURANCES VEHICULES</v>
          </cell>
          <cell r="C293">
            <v>4650</v>
          </cell>
          <cell r="D293" t="str">
            <v>B112</v>
          </cell>
          <cell r="E293" t="e">
            <v>#N/A</v>
          </cell>
          <cell r="F293">
            <v>0</v>
          </cell>
        </row>
        <row r="294">
          <cell r="A294">
            <v>616384</v>
          </cell>
          <cell r="B294" t="str">
            <v>ASSURANCES VEHICULES</v>
          </cell>
          <cell r="C294">
            <v>4650</v>
          </cell>
          <cell r="D294" t="str">
            <v>B112</v>
          </cell>
          <cell r="E294">
            <v>1931.9</v>
          </cell>
          <cell r="F294">
            <v>1931.9</v>
          </cell>
        </row>
        <row r="295">
          <cell r="A295">
            <v>616385</v>
          </cell>
          <cell r="B295" t="str">
            <v>ASSURANCES VEHICULES</v>
          </cell>
          <cell r="C295">
            <v>4650</v>
          </cell>
          <cell r="D295" t="str">
            <v>B112</v>
          </cell>
          <cell r="E295">
            <v>726.64</v>
          </cell>
          <cell r="F295">
            <v>726.64</v>
          </cell>
        </row>
        <row r="296">
          <cell r="A296">
            <v>616386</v>
          </cell>
          <cell r="B296" t="str">
            <v>ASSURANCES VEHICULES</v>
          </cell>
          <cell r="C296">
            <v>4650</v>
          </cell>
          <cell r="D296" t="str">
            <v>B112</v>
          </cell>
          <cell r="E296">
            <v>737.4</v>
          </cell>
          <cell r="F296">
            <v>737.4</v>
          </cell>
        </row>
        <row r="297">
          <cell r="A297">
            <v>616387</v>
          </cell>
          <cell r="B297" t="str">
            <v>VEH G IMM 6286VW93</v>
          </cell>
          <cell r="C297">
            <v>4650</v>
          </cell>
          <cell r="D297" t="str">
            <v>B112</v>
          </cell>
          <cell r="E297">
            <v>12.09</v>
          </cell>
          <cell r="F297">
            <v>12.09</v>
          </cell>
        </row>
        <row r="298">
          <cell r="A298">
            <v>616388</v>
          </cell>
          <cell r="B298" t="str">
            <v>VEH H IMM 5334VY93</v>
          </cell>
          <cell r="C298">
            <v>4650</v>
          </cell>
          <cell r="D298" t="str">
            <v>B112</v>
          </cell>
          <cell r="E298">
            <v>1108.1199999999999</v>
          </cell>
          <cell r="F298">
            <v>1108.1199999999999</v>
          </cell>
        </row>
        <row r="299">
          <cell r="A299">
            <v>616389</v>
          </cell>
          <cell r="B299" t="str">
            <v>VEH I IMM 909BTJ95</v>
          </cell>
          <cell r="C299">
            <v>4650</v>
          </cell>
          <cell r="D299" t="str">
            <v>B112</v>
          </cell>
          <cell r="E299" t="e">
            <v>#N/A</v>
          </cell>
          <cell r="F299">
            <v>0</v>
          </cell>
        </row>
        <row r="300">
          <cell r="A300">
            <v>616390</v>
          </cell>
          <cell r="B300" t="str">
            <v>VEH J IMM 3270 TA 93</v>
          </cell>
          <cell r="C300">
            <v>4650</v>
          </cell>
          <cell r="D300" t="str">
            <v>B112</v>
          </cell>
          <cell r="E300" t="e">
            <v>#N/A</v>
          </cell>
          <cell r="F300">
            <v>0</v>
          </cell>
        </row>
        <row r="301">
          <cell r="A301">
            <v>616391</v>
          </cell>
          <cell r="B301" t="str">
            <v>VEH K IMM 6828 WWB 95</v>
          </cell>
          <cell r="C301">
            <v>4650</v>
          </cell>
          <cell r="D301" t="str">
            <v>B112</v>
          </cell>
          <cell r="E301" t="e">
            <v>#N/A</v>
          </cell>
          <cell r="F301">
            <v>0</v>
          </cell>
        </row>
        <row r="302">
          <cell r="A302">
            <v>616393</v>
          </cell>
          <cell r="B302" t="str">
            <v>VEHIC M IMM 2318 VG 93</v>
          </cell>
          <cell r="C302">
            <v>4650</v>
          </cell>
          <cell r="D302" t="str">
            <v>B112</v>
          </cell>
          <cell r="E302">
            <v>-18.89</v>
          </cell>
          <cell r="F302">
            <v>-18.89</v>
          </cell>
        </row>
        <row r="303">
          <cell r="A303">
            <v>616394</v>
          </cell>
          <cell r="B303" t="str">
            <v>VEHIC N IMM 1597 XA 93</v>
          </cell>
          <cell r="C303">
            <v>4650</v>
          </cell>
          <cell r="D303" t="str">
            <v>B112</v>
          </cell>
          <cell r="E303">
            <v>609.49</v>
          </cell>
          <cell r="F303">
            <v>609.49</v>
          </cell>
        </row>
        <row r="304">
          <cell r="A304">
            <v>616395</v>
          </cell>
          <cell r="B304" t="str">
            <v>VEHIC 0 IMM 6452 WS 93</v>
          </cell>
          <cell r="C304">
            <v>4650</v>
          </cell>
          <cell r="D304" t="str">
            <v>B112</v>
          </cell>
          <cell r="E304">
            <v>903.23</v>
          </cell>
          <cell r="F304">
            <v>903.23</v>
          </cell>
        </row>
        <row r="305">
          <cell r="A305">
            <v>616396</v>
          </cell>
          <cell r="B305" t="str">
            <v>VEHIC P IMM 1551 WT 93</v>
          </cell>
          <cell r="C305">
            <v>4650</v>
          </cell>
          <cell r="D305" t="str">
            <v>B112</v>
          </cell>
          <cell r="E305">
            <v>1330.64</v>
          </cell>
          <cell r="F305">
            <v>1330.64</v>
          </cell>
        </row>
        <row r="306">
          <cell r="A306">
            <v>616397</v>
          </cell>
          <cell r="B306" t="str">
            <v>VEHIC Q IMMATRIC 943XC93</v>
          </cell>
          <cell r="C306">
            <v>4650</v>
          </cell>
          <cell r="D306" t="str">
            <v>B112</v>
          </cell>
          <cell r="E306">
            <v>594.16999999999996</v>
          </cell>
          <cell r="F306">
            <v>594.16999999999996</v>
          </cell>
        </row>
        <row r="307">
          <cell r="A307">
            <v>616400</v>
          </cell>
          <cell r="B307" t="str">
            <v>RISQUES D'EXPLOITATION AG</v>
          </cell>
          <cell r="C307" t="str">
            <v>3800IC</v>
          </cell>
          <cell r="D307" t="str">
            <v>B16</v>
          </cell>
          <cell r="E307">
            <v>575.89</v>
          </cell>
          <cell r="F307">
            <v>575.89</v>
          </cell>
        </row>
        <row r="308">
          <cell r="A308">
            <v>616900</v>
          </cell>
          <cell r="B308" t="str">
            <v>Assurances diverses</v>
          </cell>
          <cell r="C308">
            <v>4020</v>
          </cell>
          <cell r="D308" t="str">
            <v>B18</v>
          </cell>
          <cell r="E308">
            <v>9142.74</v>
          </cell>
          <cell r="F308">
            <v>9142.74</v>
          </cell>
        </row>
        <row r="309">
          <cell r="A309">
            <v>618100</v>
          </cell>
          <cell r="B309" t="str">
            <v>Documentation générale</v>
          </cell>
          <cell r="C309">
            <v>4100</v>
          </cell>
          <cell r="D309" t="str">
            <v>B112</v>
          </cell>
          <cell r="E309">
            <v>236.51</v>
          </cell>
          <cell r="F309">
            <v>236.51</v>
          </cell>
        </row>
        <row r="310">
          <cell r="A310">
            <v>618200</v>
          </cell>
          <cell r="B310" t="str">
            <v>DOCUMENTATION KOMAX AG</v>
          </cell>
          <cell r="C310" t="str">
            <v>4100IC</v>
          </cell>
          <cell r="D310" t="str">
            <v>B112</v>
          </cell>
          <cell r="E310">
            <v>705.6</v>
          </cell>
          <cell r="F310">
            <v>705.6</v>
          </cell>
        </row>
        <row r="311">
          <cell r="A311">
            <v>618300</v>
          </cell>
          <cell r="B311" t="str">
            <v>Documentation technique</v>
          </cell>
          <cell r="C311">
            <v>4100</v>
          </cell>
          <cell r="D311" t="str">
            <v>B112</v>
          </cell>
          <cell r="E311">
            <v>71.010000000000005</v>
          </cell>
          <cell r="F311">
            <v>71.010000000000005</v>
          </cell>
        </row>
        <row r="312">
          <cell r="A312">
            <v>618500</v>
          </cell>
          <cell r="B312" t="str">
            <v>Séminaires réunions</v>
          </cell>
          <cell r="C312">
            <v>4100</v>
          </cell>
          <cell r="D312" t="str">
            <v>B112</v>
          </cell>
          <cell r="E312" t="e">
            <v>#N/A</v>
          </cell>
          <cell r="F312">
            <v>0</v>
          </cell>
        </row>
        <row r="313">
          <cell r="A313">
            <v>621100</v>
          </cell>
          <cell r="B313" t="str">
            <v>Personnel intérimaire</v>
          </cell>
          <cell r="C313">
            <v>4050</v>
          </cell>
          <cell r="D313" t="str">
            <v>B18</v>
          </cell>
          <cell r="E313" t="e">
            <v>#N/A</v>
          </cell>
          <cell r="F313">
            <v>0</v>
          </cell>
        </row>
        <row r="314">
          <cell r="A314">
            <v>621400</v>
          </cell>
          <cell r="B314" t="str">
            <v>PERSONNEL PRETE A L ENTRE</v>
          </cell>
          <cell r="C314">
            <v>4050</v>
          </cell>
          <cell r="D314" t="str">
            <v>B18</v>
          </cell>
          <cell r="E314" t="e">
            <v>#N/A</v>
          </cell>
          <cell r="F314">
            <v>0</v>
          </cell>
        </row>
        <row r="315">
          <cell r="A315">
            <v>622200</v>
          </cell>
          <cell r="B315" t="str">
            <v>Commis s/ventes avec TVA</v>
          </cell>
          <cell r="C315">
            <v>6890</v>
          </cell>
          <cell r="D315" t="str">
            <v>B11</v>
          </cell>
          <cell r="E315" t="e">
            <v>#N/A</v>
          </cell>
          <cell r="F315">
            <v>0</v>
          </cell>
        </row>
        <row r="316">
          <cell r="A316">
            <v>622280</v>
          </cell>
          <cell r="B316" t="str">
            <v>Commissions à payer group (Maroc)</v>
          </cell>
          <cell r="C316" t="str">
            <v>6890IC</v>
          </cell>
          <cell r="D316" t="str">
            <v>B11</v>
          </cell>
          <cell r="E316">
            <v>34941.19</v>
          </cell>
          <cell r="F316">
            <v>34941.19</v>
          </cell>
        </row>
        <row r="317">
          <cell r="A317">
            <v>622290</v>
          </cell>
          <cell r="B317" t="str">
            <v>COMMISSIONS A PAYER S/MACHINES EXPO</v>
          </cell>
          <cell r="C317">
            <v>6890</v>
          </cell>
          <cell r="D317" t="str">
            <v>B11</v>
          </cell>
          <cell r="E317">
            <v>2754.82</v>
          </cell>
          <cell r="F317">
            <v>2754.82</v>
          </cell>
        </row>
        <row r="318">
          <cell r="A318">
            <v>622600</v>
          </cell>
          <cell r="B318" t="str">
            <v>Honoraires techniques</v>
          </cell>
          <cell r="C318">
            <v>4600</v>
          </cell>
          <cell r="D318" t="str">
            <v>B112</v>
          </cell>
          <cell r="E318" t="e">
            <v>#N/A</v>
          </cell>
          <cell r="F318">
            <v>0</v>
          </cell>
        </row>
        <row r="319">
          <cell r="A319">
            <v>622610</v>
          </cell>
          <cell r="B319" t="str">
            <v>Honoraires administratifs</v>
          </cell>
          <cell r="C319">
            <v>4600</v>
          </cell>
          <cell r="D319" t="str">
            <v>B112</v>
          </cell>
          <cell r="E319">
            <v>1557.13</v>
          </cell>
          <cell r="F319">
            <v>1557.13</v>
          </cell>
        </row>
        <row r="320">
          <cell r="A320">
            <v>622615</v>
          </cell>
          <cell r="B320" t="str">
            <v>Honoraires recrutement</v>
          </cell>
          <cell r="C320">
            <v>4600</v>
          </cell>
          <cell r="D320" t="str">
            <v>B112</v>
          </cell>
          <cell r="E320" t="e">
            <v>#N/A</v>
          </cell>
          <cell r="F320">
            <v>0</v>
          </cell>
        </row>
        <row r="321">
          <cell r="A321">
            <v>622620</v>
          </cell>
          <cell r="B321" t="str">
            <v>Assistance Komax</v>
          </cell>
          <cell r="C321">
            <v>9999</v>
          </cell>
          <cell r="D321">
            <v>99</v>
          </cell>
          <cell r="E321" t="e">
            <v>#N/A</v>
          </cell>
          <cell r="F321">
            <v>0</v>
          </cell>
        </row>
        <row r="322">
          <cell r="A322">
            <v>622690</v>
          </cell>
          <cell r="B322" t="str">
            <v>HONORAIRES FISCALES</v>
          </cell>
          <cell r="C322">
            <v>4600</v>
          </cell>
          <cell r="D322" t="str">
            <v>B112</v>
          </cell>
          <cell r="E322">
            <v>14946.19</v>
          </cell>
          <cell r="F322">
            <v>14946.19</v>
          </cell>
        </row>
        <row r="323">
          <cell r="A323">
            <v>622700</v>
          </cell>
          <cell r="B323" t="str">
            <v>FRAIS ACTES ET CONTENT</v>
          </cell>
          <cell r="C323">
            <v>4600</v>
          </cell>
          <cell r="D323" t="str">
            <v>B112</v>
          </cell>
          <cell r="E323" t="e">
            <v>#N/A</v>
          </cell>
          <cell r="F323">
            <v>0</v>
          </cell>
        </row>
        <row r="324">
          <cell r="A324">
            <v>622835</v>
          </cell>
          <cell r="B324" t="str">
            <v>Assistance Komax</v>
          </cell>
          <cell r="C324" t="str">
            <v>7800IC</v>
          </cell>
          <cell r="D324" t="str">
            <v>B115</v>
          </cell>
          <cell r="E324">
            <v>51000</v>
          </cell>
          <cell r="F324">
            <v>51000</v>
          </cell>
        </row>
        <row r="325">
          <cell r="A325">
            <v>622845</v>
          </cell>
          <cell r="B325" t="str">
            <v>IT FEES</v>
          </cell>
          <cell r="C325" t="str">
            <v>4300IC</v>
          </cell>
          <cell r="D325" t="str">
            <v>B112</v>
          </cell>
          <cell r="E325">
            <v>4720.45</v>
          </cell>
          <cell r="F325">
            <v>4720.45</v>
          </cell>
        </row>
        <row r="326">
          <cell r="A326">
            <v>623100</v>
          </cell>
          <cell r="B326" t="str">
            <v>Publicité annonces</v>
          </cell>
          <cell r="C326">
            <v>4500</v>
          </cell>
          <cell r="D326" t="str">
            <v>B19</v>
          </cell>
          <cell r="E326">
            <v>2154.1</v>
          </cell>
          <cell r="F326">
            <v>2154.1</v>
          </cell>
        </row>
        <row r="327">
          <cell r="A327">
            <v>623120</v>
          </cell>
          <cell r="B327" t="str">
            <v>Routages publicitaires</v>
          </cell>
          <cell r="C327">
            <v>4500</v>
          </cell>
          <cell r="D327" t="str">
            <v>B19</v>
          </cell>
          <cell r="E327" t="e">
            <v>#N/A</v>
          </cell>
          <cell r="F327">
            <v>0</v>
          </cell>
        </row>
        <row r="328">
          <cell r="A328">
            <v>623300</v>
          </cell>
          <cell r="B328" t="str">
            <v>Salons expositions</v>
          </cell>
          <cell r="C328">
            <v>4540</v>
          </cell>
          <cell r="D328" t="str">
            <v>B19</v>
          </cell>
          <cell r="E328">
            <v>25025.66</v>
          </cell>
          <cell r="F328">
            <v>25025.66</v>
          </cell>
        </row>
        <row r="329">
          <cell r="A329">
            <v>623350</v>
          </cell>
          <cell r="B329" t="str">
            <v>SALONS EXPO KOMAX AG</v>
          </cell>
          <cell r="C329" t="str">
            <v>4540IC</v>
          </cell>
          <cell r="D329" t="str">
            <v>B19</v>
          </cell>
          <cell r="E329">
            <v>1390.98</v>
          </cell>
          <cell r="F329">
            <v>1390.98</v>
          </cell>
        </row>
        <row r="330">
          <cell r="A330">
            <v>623400</v>
          </cell>
          <cell r="B330" t="str">
            <v>Cadeaux clientèle -200 TTC</v>
          </cell>
          <cell r="C330">
            <v>4500</v>
          </cell>
          <cell r="D330" t="str">
            <v>B19</v>
          </cell>
          <cell r="E330">
            <v>1516.12</v>
          </cell>
          <cell r="F330">
            <v>1516.12</v>
          </cell>
        </row>
        <row r="331">
          <cell r="A331">
            <v>623410</v>
          </cell>
          <cell r="B331" t="str">
            <v>Cadeaux clientèle +200 TTC</v>
          </cell>
          <cell r="C331">
            <v>4500</v>
          </cell>
          <cell r="D331" t="str">
            <v>B19</v>
          </cell>
          <cell r="E331">
            <v>68.010000000000005</v>
          </cell>
          <cell r="F331">
            <v>68.010000000000005</v>
          </cell>
        </row>
        <row r="332">
          <cell r="A332">
            <v>623450</v>
          </cell>
          <cell r="B332" t="str">
            <v>KOMAX CADEAUX CLIENTS</v>
          </cell>
          <cell r="C332" t="str">
            <v>4500IC</v>
          </cell>
          <cell r="D332" t="str">
            <v>B19</v>
          </cell>
          <cell r="E332">
            <v>728</v>
          </cell>
          <cell r="F332">
            <v>728</v>
          </cell>
        </row>
        <row r="333">
          <cell r="A333">
            <v>623600</v>
          </cell>
          <cell r="B333" t="str">
            <v>Catalogues et imprimés</v>
          </cell>
          <cell r="C333">
            <v>4500</v>
          </cell>
          <cell r="D333" t="str">
            <v>B19</v>
          </cell>
          <cell r="E333" t="e">
            <v>#N/A</v>
          </cell>
          <cell r="F333">
            <v>0</v>
          </cell>
        </row>
        <row r="334">
          <cell r="A334">
            <v>623800</v>
          </cell>
          <cell r="B334" t="str">
            <v>Dons et pourboires</v>
          </cell>
          <cell r="C334">
            <v>4500</v>
          </cell>
          <cell r="D334" t="str">
            <v>B19</v>
          </cell>
          <cell r="E334" t="e">
            <v>#N/A</v>
          </cell>
          <cell r="F334">
            <v>0</v>
          </cell>
        </row>
        <row r="335">
          <cell r="A335">
            <v>624100</v>
          </cell>
          <cell r="B335" t="str">
            <v>Ports s/achats non affectés</v>
          </cell>
          <cell r="C335">
            <v>4800</v>
          </cell>
          <cell r="D335" t="str">
            <v>B112</v>
          </cell>
          <cell r="E335">
            <v>3102.17</v>
          </cell>
          <cell r="F335">
            <v>3102.17</v>
          </cell>
        </row>
        <row r="336">
          <cell r="A336">
            <v>624200</v>
          </cell>
          <cell r="B336" t="str">
            <v>Ports s/ventes</v>
          </cell>
          <cell r="C336">
            <v>4800</v>
          </cell>
          <cell r="D336" t="str">
            <v>B112</v>
          </cell>
          <cell r="E336">
            <v>16973.27</v>
          </cell>
          <cell r="F336">
            <v>16973.27</v>
          </cell>
        </row>
        <row r="337">
          <cell r="A337">
            <v>625101</v>
          </cell>
          <cell r="B337" t="str">
            <v>Dépl M Guitton</v>
          </cell>
          <cell r="C337">
            <v>4520</v>
          </cell>
          <cell r="D337" t="str">
            <v>B19</v>
          </cell>
          <cell r="E337">
            <v>11446.17</v>
          </cell>
          <cell r="F337">
            <v>11446.17</v>
          </cell>
        </row>
        <row r="338">
          <cell r="A338">
            <v>625102</v>
          </cell>
          <cell r="B338" t="str">
            <v>Dépl M Loizon</v>
          </cell>
          <cell r="C338">
            <v>4520</v>
          </cell>
          <cell r="D338" t="str">
            <v>B19</v>
          </cell>
          <cell r="E338">
            <v>11650.54</v>
          </cell>
          <cell r="F338">
            <v>11650.54</v>
          </cell>
        </row>
        <row r="339">
          <cell r="A339">
            <v>625103</v>
          </cell>
          <cell r="B339" t="str">
            <v>Dépl M Hay</v>
          </cell>
          <cell r="C339">
            <v>4520</v>
          </cell>
          <cell r="D339" t="str">
            <v>B19</v>
          </cell>
          <cell r="E339">
            <v>8280.94</v>
          </cell>
          <cell r="F339">
            <v>8280.94</v>
          </cell>
        </row>
        <row r="340">
          <cell r="A340">
            <v>625104</v>
          </cell>
          <cell r="B340" t="str">
            <v>Dépl M Hilbert</v>
          </cell>
          <cell r="C340">
            <v>4520</v>
          </cell>
          <cell r="D340" t="str">
            <v>B19</v>
          </cell>
          <cell r="E340">
            <v>11086.25</v>
          </cell>
          <cell r="F340">
            <v>11086.25</v>
          </cell>
        </row>
        <row r="341">
          <cell r="A341">
            <v>625105</v>
          </cell>
          <cell r="B341" t="str">
            <v>Dépl M Canfin</v>
          </cell>
          <cell r="C341">
            <v>4520</v>
          </cell>
          <cell r="D341" t="str">
            <v>B19</v>
          </cell>
          <cell r="E341" t="e">
            <v>#N/A</v>
          </cell>
          <cell r="F341">
            <v>0</v>
          </cell>
        </row>
        <row r="342">
          <cell r="A342">
            <v>625107</v>
          </cell>
          <cell r="B342" t="str">
            <v>Dépl M Muzica</v>
          </cell>
          <cell r="C342">
            <v>4520</v>
          </cell>
          <cell r="D342" t="str">
            <v>B19</v>
          </cell>
          <cell r="E342" t="e">
            <v>#N/A</v>
          </cell>
          <cell r="F342">
            <v>0</v>
          </cell>
        </row>
        <row r="343">
          <cell r="A343">
            <v>625108</v>
          </cell>
          <cell r="B343" t="str">
            <v>Déplaçements M Franic</v>
          </cell>
          <cell r="C343">
            <v>4520</v>
          </cell>
          <cell r="D343" t="str">
            <v>B19</v>
          </cell>
          <cell r="E343">
            <v>16662.02</v>
          </cell>
          <cell r="F343">
            <v>16662.02</v>
          </cell>
        </row>
        <row r="344">
          <cell r="A344">
            <v>625110</v>
          </cell>
          <cell r="B344" t="str">
            <v>DEPLACEMENTS M NIOL</v>
          </cell>
          <cell r="C344">
            <v>4520</v>
          </cell>
          <cell r="D344" t="str">
            <v>B19</v>
          </cell>
          <cell r="E344" t="e">
            <v>#N/A</v>
          </cell>
          <cell r="F344">
            <v>0</v>
          </cell>
        </row>
        <row r="345">
          <cell r="A345">
            <v>625111</v>
          </cell>
          <cell r="B345" t="str">
            <v>DEPLACEMENT FAUCHERON</v>
          </cell>
          <cell r="C345">
            <v>4520</v>
          </cell>
          <cell r="D345" t="str">
            <v>B19</v>
          </cell>
          <cell r="E345">
            <v>31364.78</v>
          </cell>
          <cell r="F345">
            <v>31364.78</v>
          </cell>
        </row>
        <row r="346">
          <cell r="A346">
            <v>625112</v>
          </cell>
          <cell r="B346" t="str">
            <v>DEPLACEMENTS M FOFANA</v>
          </cell>
          <cell r="C346">
            <v>4520</v>
          </cell>
          <cell r="D346" t="str">
            <v>B19</v>
          </cell>
          <cell r="E346">
            <v>11377.93</v>
          </cell>
          <cell r="F346">
            <v>11377.93</v>
          </cell>
        </row>
        <row r="347">
          <cell r="A347">
            <v>625113</v>
          </cell>
          <cell r="B347" t="str">
            <v>DEPLT M CONSTANT</v>
          </cell>
          <cell r="C347">
            <v>4520</v>
          </cell>
          <cell r="D347" t="str">
            <v>B19</v>
          </cell>
          <cell r="E347" t="e">
            <v>#N/A</v>
          </cell>
          <cell r="F347">
            <v>0</v>
          </cell>
        </row>
        <row r="348">
          <cell r="A348">
            <v>625114</v>
          </cell>
          <cell r="B348" t="str">
            <v>DEPLACEMENT M REMY</v>
          </cell>
          <cell r="C348">
            <v>4520</v>
          </cell>
          <cell r="D348" t="str">
            <v>B19</v>
          </cell>
          <cell r="E348">
            <v>4390.5</v>
          </cell>
          <cell r="F348">
            <v>4390.5</v>
          </cell>
        </row>
        <row r="349">
          <cell r="A349">
            <v>625115</v>
          </cell>
          <cell r="B349" t="str">
            <v>DEPLACEMENT M GODWIN</v>
          </cell>
          <cell r="C349">
            <v>4520</v>
          </cell>
          <cell r="D349" t="str">
            <v>B19</v>
          </cell>
          <cell r="E349">
            <v>4460.97</v>
          </cell>
          <cell r="F349">
            <v>4460.97</v>
          </cell>
        </row>
        <row r="350">
          <cell r="A350">
            <v>625190</v>
          </cell>
          <cell r="B350" t="str">
            <v>Dépl divers</v>
          </cell>
          <cell r="C350">
            <v>4520</v>
          </cell>
          <cell r="D350" t="str">
            <v>B19</v>
          </cell>
          <cell r="E350">
            <v>1712.26</v>
          </cell>
          <cell r="F350">
            <v>1712.26</v>
          </cell>
        </row>
        <row r="351">
          <cell r="A351">
            <v>625701</v>
          </cell>
          <cell r="B351" t="str">
            <v>Récept M Guitton</v>
          </cell>
          <cell r="C351">
            <v>4500</v>
          </cell>
          <cell r="D351" t="str">
            <v>B19</v>
          </cell>
          <cell r="E351">
            <v>1216.23</v>
          </cell>
          <cell r="F351">
            <v>1216.23</v>
          </cell>
        </row>
        <row r="352">
          <cell r="A352">
            <v>625702</v>
          </cell>
          <cell r="B352" t="str">
            <v>Récept M Loizon</v>
          </cell>
          <cell r="C352">
            <v>4500</v>
          </cell>
          <cell r="D352" t="str">
            <v>B19</v>
          </cell>
          <cell r="E352">
            <v>1555.98</v>
          </cell>
          <cell r="F352">
            <v>1555.98</v>
          </cell>
        </row>
        <row r="353">
          <cell r="A353">
            <v>625703</v>
          </cell>
          <cell r="B353" t="str">
            <v>Récept M Hay</v>
          </cell>
          <cell r="C353">
            <v>4500</v>
          </cell>
          <cell r="D353" t="str">
            <v>B19</v>
          </cell>
          <cell r="E353">
            <v>961.09</v>
          </cell>
          <cell r="F353">
            <v>961.09</v>
          </cell>
        </row>
        <row r="354">
          <cell r="A354">
            <v>625704</v>
          </cell>
          <cell r="B354" t="str">
            <v>Récept M Hilbert</v>
          </cell>
          <cell r="C354">
            <v>4500</v>
          </cell>
          <cell r="D354" t="str">
            <v>B19</v>
          </cell>
          <cell r="E354">
            <v>493.37</v>
          </cell>
          <cell r="F354">
            <v>493.37</v>
          </cell>
        </row>
        <row r="355">
          <cell r="A355">
            <v>625707</v>
          </cell>
          <cell r="B355" t="str">
            <v>Récept M Muzica</v>
          </cell>
          <cell r="C355">
            <v>4500</v>
          </cell>
          <cell r="D355" t="str">
            <v>B19</v>
          </cell>
          <cell r="E355" t="e">
            <v>#N/A</v>
          </cell>
          <cell r="F355">
            <v>0</v>
          </cell>
        </row>
        <row r="356">
          <cell r="A356">
            <v>625708</v>
          </cell>
          <cell r="B356" t="str">
            <v>Réceptions M Franic</v>
          </cell>
          <cell r="C356">
            <v>4500</v>
          </cell>
          <cell r="D356" t="str">
            <v>B19</v>
          </cell>
          <cell r="E356">
            <v>132.28</v>
          </cell>
          <cell r="F356">
            <v>132.28</v>
          </cell>
        </row>
        <row r="357">
          <cell r="A357">
            <v>625711</v>
          </cell>
          <cell r="B357" t="str">
            <v>RECEPTION M FAUCHERON</v>
          </cell>
          <cell r="C357">
            <v>4500</v>
          </cell>
          <cell r="D357" t="str">
            <v>B19</v>
          </cell>
          <cell r="E357">
            <v>1264.56</v>
          </cell>
          <cell r="F357">
            <v>1264.56</v>
          </cell>
        </row>
        <row r="358">
          <cell r="A358">
            <v>625712</v>
          </cell>
          <cell r="B358" t="str">
            <v>RECEPTION FOFANA</v>
          </cell>
          <cell r="C358">
            <v>4500</v>
          </cell>
          <cell r="D358" t="str">
            <v>B19</v>
          </cell>
          <cell r="E358" t="e">
            <v>#N/A</v>
          </cell>
          <cell r="F358">
            <v>0</v>
          </cell>
        </row>
        <row r="359">
          <cell r="A359">
            <v>625714</v>
          </cell>
          <cell r="B359" t="str">
            <v>RECEPTION M REMY</v>
          </cell>
          <cell r="C359">
            <v>4500</v>
          </cell>
          <cell r="D359" t="str">
            <v>B19</v>
          </cell>
          <cell r="E359">
            <v>133.19999999999999</v>
          </cell>
          <cell r="F359">
            <v>133.19999999999999</v>
          </cell>
        </row>
        <row r="360">
          <cell r="A360">
            <v>625790</v>
          </cell>
          <cell r="B360" t="str">
            <v>Récept diverses</v>
          </cell>
          <cell r="C360">
            <v>4500</v>
          </cell>
          <cell r="D360" t="str">
            <v>B19</v>
          </cell>
          <cell r="E360">
            <v>1367.09</v>
          </cell>
          <cell r="F360">
            <v>1367.09</v>
          </cell>
        </row>
        <row r="361">
          <cell r="A361">
            <v>625791</v>
          </cell>
          <cell r="B361" t="str">
            <v>FRAIS PERSONNEL M NIOL</v>
          </cell>
          <cell r="C361">
            <v>4520</v>
          </cell>
          <cell r="D361" t="str">
            <v>B19</v>
          </cell>
          <cell r="E361" t="e">
            <v>#N/A</v>
          </cell>
          <cell r="F361">
            <v>0</v>
          </cell>
        </row>
        <row r="362">
          <cell r="A362">
            <v>625999</v>
          </cell>
          <cell r="B362" t="str">
            <v>FRAIS DE VOYAGES A ECLATER</v>
          </cell>
          <cell r="C362">
            <v>4520</v>
          </cell>
          <cell r="D362" t="str">
            <v>B19</v>
          </cell>
          <cell r="E362" t="e">
            <v>#N/A</v>
          </cell>
          <cell r="F362">
            <v>0</v>
          </cell>
        </row>
        <row r="363">
          <cell r="A363">
            <v>626100</v>
          </cell>
          <cell r="B363" t="str">
            <v>Affranchissements</v>
          </cell>
          <cell r="C363">
            <v>4810</v>
          </cell>
          <cell r="D363" t="str">
            <v>B112</v>
          </cell>
          <cell r="E363">
            <v>6360.65</v>
          </cell>
          <cell r="F363">
            <v>6360.65</v>
          </cell>
        </row>
        <row r="364">
          <cell r="A364">
            <v>626200</v>
          </cell>
          <cell r="B364" t="str">
            <v>Téléphone</v>
          </cell>
          <cell r="C364">
            <v>4810</v>
          </cell>
          <cell r="D364" t="str">
            <v>B112</v>
          </cell>
          <cell r="E364">
            <v>18666</v>
          </cell>
          <cell r="F364">
            <v>18666</v>
          </cell>
        </row>
        <row r="365">
          <cell r="A365">
            <v>626300</v>
          </cell>
          <cell r="B365" t="str">
            <v>FRAIS TRANSPAC</v>
          </cell>
          <cell r="C365">
            <v>4810</v>
          </cell>
          <cell r="D365" t="str">
            <v>B112</v>
          </cell>
          <cell r="E365">
            <v>9065.5499999999993</v>
          </cell>
          <cell r="F365">
            <v>9065.5499999999993</v>
          </cell>
        </row>
        <row r="366">
          <cell r="A366">
            <v>626400</v>
          </cell>
          <cell r="B366" t="str">
            <v>FRAIS WORLDCOM</v>
          </cell>
          <cell r="C366">
            <v>4810</v>
          </cell>
          <cell r="D366" t="str">
            <v>B112</v>
          </cell>
          <cell r="E366">
            <v>819.1</v>
          </cell>
          <cell r="F366">
            <v>819.1</v>
          </cell>
        </row>
        <row r="367">
          <cell r="A367">
            <v>627105</v>
          </cell>
          <cell r="B367" t="str">
            <v>Frais banc s/Titres BPC</v>
          </cell>
          <cell r="C367">
            <v>7100</v>
          </cell>
          <cell r="D367" t="str">
            <v>B114</v>
          </cell>
          <cell r="E367" t="e">
            <v>#N/A</v>
          </cell>
          <cell r="F367">
            <v>0</v>
          </cell>
        </row>
        <row r="368">
          <cell r="A368">
            <v>627500</v>
          </cell>
          <cell r="B368" t="str">
            <v>Frais banc s/effets</v>
          </cell>
          <cell r="C368">
            <v>7100</v>
          </cell>
          <cell r="D368" t="str">
            <v>B114</v>
          </cell>
          <cell r="E368" t="e">
            <v>#N/A</v>
          </cell>
          <cell r="F368">
            <v>0</v>
          </cell>
        </row>
        <row r="369">
          <cell r="A369">
            <v>627501</v>
          </cell>
          <cell r="B369" t="str">
            <v>FRAIS/AGIOS SOCIETE GENERAL</v>
          </cell>
          <cell r="C369">
            <v>7100</v>
          </cell>
          <cell r="D369" t="str">
            <v>B114</v>
          </cell>
          <cell r="E369">
            <v>7055.21</v>
          </cell>
          <cell r="F369">
            <v>7055.21</v>
          </cell>
        </row>
        <row r="370">
          <cell r="A370">
            <v>627502</v>
          </cell>
          <cell r="B370" t="str">
            <v>COTISATIONS CARTES AMEX SG</v>
          </cell>
          <cell r="C370">
            <v>7100</v>
          </cell>
          <cell r="D370" t="str">
            <v>B114</v>
          </cell>
          <cell r="E370" t="e">
            <v>#N/A</v>
          </cell>
          <cell r="F370">
            <v>0</v>
          </cell>
        </row>
        <row r="371">
          <cell r="A371">
            <v>627504</v>
          </cell>
          <cell r="B371" t="str">
            <v>FRAIS / AGIOS BPC FRF</v>
          </cell>
          <cell r="C371">
            <v>7100</v>
          </cell>
          <cell r="D371" t="str">
            <v>B114</v>
          </cell>
          <cell r="E371" t="e">
            <v>#N/A</v>
          </cell>
          <cell r="F371">
            <v>0</v>
          </cell>
        </row>
        <row r="372">
          <cell r="A372">
            <v>627505</v>
          </cell>
          <cell r="B372" t="str">
            <v>AGIOS, FRAIS BANCO POPULAR COMERCIA</v>
          </cell>
          <cell r="C372">
            <v>7100</v>
          </cell>
          <cell r="D372" t="str">
            <v>B114</v>
          </cell>
          <cell r="E372">
            <v>600.49</v>
          </cell>
          <cell r="F372">
            <v>600.49</v>
          </cell>
        </row>
        <row r="373">
          <cell r="A373">
            <v>627801</v>
          </cell>
          <cell r="B373" t="str">
            <v>SG FRAIS DE COMMISSIONS SANS TVA</v>
          </cell>
          <cell r="C373">
            <v>7100</v>
          </cell>
          <cell r="D373" t="str">
            <v>B114</v>
          </cell>
          <cell r="E373" t="e">
            <v>#N/A</v>
          </cell>
          <cell r="F373">
            <v>0</v>
          </cell>
        </row>
        <row r="374">
          <cell r="A374">
            <v>633300</v>
          </cell>
          <cell r="B374" t="str">
            <v>Partic FPC Organismes</v>
          </cell>
          <cell r="C374">
            <v>4020</v>
          </cell>
          <cell r="D374" t="str">
            <v>B18</v>
          </cell>
          <cell r="E374">
            <v>2230.5</v>
          </cell>
          <cell r="F374">
            <v>2230.5</v>
          </cell>
        </row>
        <row r="375">
          <cell r="A375">
            <v>633400</v>
          </cell>
          <cell r="B375" t="str">
            <v>Invest construction</v>
          </cell>
          <cell r="C375">
            <v>4020</v>
          </cell>
          <cell r="D375" t="str">
            <v>B18</v>
          </cell>
          <cell r="E375">
            <v>2422.89</v>
          </cell>
          <cell r="F375">
            <v>2422.89</v>
          </cell>
        </row>
        <row r="376">
          <cell r="A376">
            <v>633500</v>
          </cell>
          <cell r="B376" t="str">
            <v>Taxe apprentissage</v>
          </cell>
          <cell r="C376">
            <v>4020</v>
          </cell>
          <cell r="D376" t="str">
            <v>B18</v>
          </cell>
          <cell r="E376">
            <v>2384.09</v>
          </cell>
          <cell r="F376">
            <v>2384.09</v>
          </cell>
        </row>
        <row r="377">
          <cell r="A377">
            <v>635110</v>
          </cell>
          <cell r="B377" t="str">
            <v>Taxe professionnelle</v>
          </cell>
          <cell r="C377">
            <v>4750</v>
          </cell>
          <cell r="D377" t="str">
            <v>B112</v>
          </cell>
          <cell r="E377">
            <v>29374</v>
          </cell>
          <cell r="F377">
            <v>29374</v>
          </cell>
        </row>
        <row r="378">
          <cell r="A378">
            <v>635140</v>
          </cell>
          <cell r="B378" t="str">
            <v>Taxe véhicules sté</v>
          </cell>
          <cell r="C378">
            <v>4810</v>
          </cell>
          <cell r="D378" t="str">
            <v>B112</v>
          </cell>
          <cell r="E378">
            <v>8375</v>
          </cell>
          <cell r="F378">
            <v>8375</v>
          </cell>
        </row>
        <row r="379">
          <cell r="A379">
            <v>635150</v>
          </cell>
          <cell r="B379" t="str">
            <v>Taxe s/bureaux</v>
          </cell>
          <cell r="C379">
            <v>4750</v>
          </cell>
          <cell r="D379" t="str">
            <v>B112</v>
          </cell>
          <cell r="E379">
            <v>902.48</v>
          </cell>
          <cell r="F379">
            <v>902.48</v>
          </cell>
        </row>
        <row r="380">
          <cell r="A380">
            <v>635300</v>
          </cell>
          <cell r="B380" t="str">
            <v>Vignettes</v>
          </cell>
          <cell r="C380">
            <v>4810</v>
          </cell>
          <cell r="D380" t="str">
            <v>B112</v>
          </cell>
          <cell r="E380">
            <v>210</v>
          </cell>
          <cell r="F380">
            <v>210</v>
          </cell>
        </row>
        <row r="381">
          <cell r="A381">
            <v>635420</v>
          </cell>
          <cell r="B381" t="str">
            <v>Timbres fiscaux</v>
          </cell>
          <cell r="C381">
            <v>4810</v>
          </cell>
          <cell r="D381" t="str">
            <v>B112</v>
          </cell>
          <cell r="E381">
            <v>0</v>
          </cell>
          <cell r="F381">
            <v>0</v>
          </cell>
        </row>
        <row r="382">
          <cell r="A382">
            <v>637100</v>
          </cell>
          <cell r="B382" t="str">
            <v>Contribution solidarité</v>
          </cell>
          <cell r="C382">
            <v>4750</v>
          </cell>
          <cell r="D382" t="str">
            <v>B112</v>
          </cell>
          <cell r="E382">
            <v>3433</v>
          </cell>
          <cell r="F382">
            <v>3433</v>
          </cell>
        </row>
        <row r="383">
          <cell r="A383">
            <v>638000</v>
          </cell>
          <cell r="B383" t="str">
            <v>Redevance télé</v>
          </cell>
          <cell r="C383">
            <v>4900</v>
          </cell>
          <cell r="D383" t="str">
            <v>B112</v>
          </cell>
          <cell r="E383">
            <v>116.5</v>
          </cell>
          <cell r="F383">
            <v>116.5</v>
          </cell>
        </row>
        <row r="384">
          <cell r="A384">
            <v>641100</v>
          </cell>
          <cell r="B384" t="str">
            <v>Appts salaires</v>
          </cell>
          <cell r="C384">
            <v>4000</v>
          </cell>
          <cell r="D384" t="str">
            <v>B18</v>
          </cell>
          <cell r="E384">
            <v>531199.77</v>
          </cell>
          <cell r="F384">
            <v>531199.77</v>
          </cell>
        </row>
        <row r="385">
          <cell r="A385">
            <v>641105</v>
          </cell>
          <cell r="B385" t="str">
            <v>Refacturation personnel ARA/KEP</v>
          </cell>
          <cell r="C385">
            <v>4000</v>
          </cell>
          <cell r="D385" t="str">
            <v>B18</v>
          </cell>
          <cell r="E385">
            <v>-2194.41</v>
          </cell>
          <cell r="F385">
            <v>-2194.41</v>
          </cell>
        </row>
        <row r="386">
          <cell r="A386">
            <v>641109</v>
          </cell>
          <cell r="B386" t="str">
            <v>"CRE" COTIS SS NIOL</v>
          </cell>
          <cell r="C386">
            <v>4020</v>
          </cell>
          <cell r="D386" t="str">
            <v>B18</v>
          </cell>
          <cell r="E386">
            <v>10217.700000000001</v>
          </cell>
          <cell r="F386">
            <v>10217.700000000001</v>
          </cell>
        </row>
        <row r="387">
          <cell r="A387">
            <v>641200</v>
          </cell>
          <cell r="B387" t="str">
            <v>Congés payés</v>
          </cell>
          <cell r="C387">
            <v>4000</v>
          </cell>
          <cell r="D387" t="str">
            <v>B18</v>
          </cell>
          <cell r="E387">
            <v>-4126</v>
          </cell>
          <cell r="F387">
            <v>-4126</v>
          </cell>
        </row>
        <row r="388">
          <cell r="A388">
            <v>641300</v>
          </cell>
          <cell r="B388" t="str">
            <v>Prime</v>
          </cell>
          <cell r="C388">
            <v>4000</v>
          </cell>
          <cell r="D388" t="str">
            <v>B18</v>
          </cell>
          <cell r="E388">
            <v>-9944</v>
          </cell>
          <cell r="F388">
            <v>-9944</v>
          </cell>
        </row>
        <row r="389">
          <cell r="A389">
            <v>641350</v>
          </cell>
          <cell r="B389" t="str">
            <v>PRIME NON SOUMISE A CHARGES SOCIALE</v>
          </cell>
          <cell r="C389">
            <v>4000</v>
          </cell>
          <cell r="D389" t="str">
            <v>B18</v>
          </cell>
          <cell r="E389">
            <v>16382</v>
          </cell>
          <cell r="F389">
            <v>16382</v>
          </cell>
        </row>
        <row r="390">
          <cell r="A390">
            <v>641400</v>
          </cell>
          <cell r="B390" t="str">
            <v>Indemnités de transport</v>
          </cell>
          <cell r="C390">
            <v>4000</v>
          </cell>
          <cell r="D390" t="str">
            <v>B18</v>
          </cell>
          <cell r="E390">
            <v>279.57</v>
          </cell>
          <cell r="F390">
            <v>279.57</v>
          </cell>
        </row>
        <row r="391">
          <cell r="A391">
            <v>641440</v>
          </cell>
          <cell r="B391" t="str">
            <v>AVANTAGE EN NATURE</v>
          </cell>
          <cell r="C391">
            <v>4000</v>
          </cell>
          <cell r="D391" t="str">
            <v>B18</v>
          </cell>
          <cell r="E391">
            <v>11238.52</v>
          </cell>
          <cell r="F391">
            <v>11238.52</v>
          </cell>
        </row>
        <row r="392">
          <cell r="A392">
            <v>641450</v>
          </cell>
          <cell r="B392" t="str">
            <v>IJSS</v>
          </cell>
          <cell r="C392">
            <v>4000</v>
          </cell>
          <cell r="D392" t="str">
            <v>B18</v>
          </cell>
          <cell r="E392">
            <v>-527.95000000000005</v>
          </cell>
          <cell r="F392">
            <v>-527.95000000000005</v>
          </cell>
        </row>
        <row r="393">
          <cell r="A393">
            <v>645100</v>
          </cell>
          <cell r="B393" t="str">
            <v>Cotis ss régime général</v>
          </cell>
          <cell r="C393">
            <v>4020</v>
          </cell>
          <cell r="D393" t="str">
            <v>B18</v>
          </cell>
          <cell r="E393">
            <v>140029.32</v>
          </cell>
          <cell r="F393">
            <v>135597.32</v>
          </cell>
        </row>
        <row r="394">
          <cell r="A394">
            <v>645105</v>
          </cell>
          <cell r="B394" t="str">
            <v>Refacturation charges ARA/Epinay</v>
          </cell>
          <cell r="C394">
            <v>4020</v>
          </cell>
          <cell r="D394" t="str">
            <v>B18</v>
          </cell>
          <cell r="E394">
            <v>-2478.0300000000002</v>
          </cell>
          <cell r="F394">
            <v>-2478.0300000000002</v>
          </cell>
        </row>
        <row r="395">
          <cell r="A395">
            <v>645300</v>
          </cell>
          <cell r="B395" t="str">
            <v>Cotis CIS UNIRS IPGM</v>
          </cell>
          <cell r="C395">
            <v>4020</v>
          </cell>
          <cell r="D395" t="str">
            <v>B18</v>
          </cell>
          <cell r="E395">
            <v>67806.28</v>
          </cell>
          <cell r="F395">
            <v>67806.28</v>
          </cell>
        </row>
        <row r="396">
          <cell r="A396">
            <v>645309</v>
          </cell>
          <cell r="B396" t="str">
            <v>"CRE" TALBOUT COTIS RETRAITE NIOL</v>
          </cell>
          <cell r="C396">
            <v>4020</v>
          </cell>
          <cell r="D396" t="str">
            <v>B18</v>
          </cell>
          <cell r="E396">
            <v>6720.67</v>
          </cell>
          <cell r="F396">
            <v>6720.67</v>
          </cell>
        </row>
        <row r="397">
          <cell r="A397">
            <v>645310</v>
          </cell>
          <cell r="B397" t="str">
            <v>Cotis cadres CGIC CIS</v>
          </cell>
          <cell r="C397">
            <v>4020</v>
          </cell>
          <cell r="D397" t="str">
            <v>B18</v>
          </cell>
          <cell r="E397">
            <v>11743.75</v>
          </cell>
          <cell r="F397">
            <v>11743.75</v>
          </cell>
        </row>
        <row r="398">
          <cell r="A398">
            <v>645400</v>
          </cell>
          <cell r="B398" t="str">
            <v>Cotis chômage</v>
          </cell>
          <cell r="C398">
            <v>4020</v>
          </cell>
          <cell r="D398" t="str">
            <v>B18</v>
          </cell>
          <cell r="E398">
            <v>14231.25</v>
          </cell>
          <cell r="F398">
            <v>14231.25</v>
          </cell>
        </row>
        <row r="399">
          <cell r="A399">
            <v>645409</v>
          </cell>
          <cell r="B399" t="str">
            <v>"GARP EXPATRIE" COTIS CHOMAG NIOL</v>
          </cell>
          <cell r="C399">
            <v>4020</v>
          </cell>
          <cell r="D399" t="str">
            <v>B18</v>
          </cell>
          <cell r="E399">
            <v>3517</v>
          </cell>
          <cell r="F399">
            <v>3517</v>
          </cell>
        </row>
        <row r="400">
          <cell r="A400">
            <v>645500</v>
          </cell>
          <cell r="B400" t="str">
            <v>Charges congés payés</v>
          </cell>
          <cell r="C400">
            <v>4020</v>
          </cell>
          <cell r="D400" t="str">
            <v>B18</v>
          </cell>
          <cell r="E400">
            <v>-1857</v>
          </cell>
          <cell r="F400">
            <v>-1857</v>
          </cell>
        </row>
        <row r="401">
          <cell r="A401">
            <v>645600</v>
          </cell>
          <cell r="B401" t="str">
            <v>Charges prime</v>
          </cell>
          <cell r="C401">
            <v>4020</v>
          </cell>
          <cell r="D401" t="str">
            <v>B18</v>
          </cell>
          <cell r="E401">
            <v>-4474.8</v>
          </cell>
          <cell r="F401">
            <v>-4474.8</v>
          </cell>
        </row>
        <row r="402">
          <cell r="A402">
            <v>646000</v>
          </cell>
          <cell r="B402" t="str">
            <v>BUDGET C E KOMAX EPINAY</v>
          </cell>
          <cell r="C402">
            <v>4020</v>
          </cell>
          <cell r="D402" t="str">
            <v>B18</v>
          </cell>
          <cell r="E402" t="e">
            <v>#N/A</v>
          </cell>
          <cell r="F402">
            <v>0</v>
          </cell>
        </row>
        <row r="403">
          <cell r="A403">
            <v>647100</v>
          </cell>
          <cell r="B403" t="str">
            <v>OEUVRES SOCIALES</v>
          </cell>
          <cell r="C403">
            <v>4020</v>
          </cell>
          <cell r="D403" t="str">
            <v>B18</v>
          </cell>
          <cell r="E403" t="e">
            <v>#N/A</v>
          </cell>
          <cell r="F403">
            <v>0</v>
          </cell>
        </row>
        <row r="404">
          <cell r="A404">
            <v>647200</v>
          </cell>
          <cell r="B404" t="str">
            <v>VERSEMENT AU C E</v>
          </cell>
          <cell r="C404">
            <v>4020</v>
          </cell>
          <cell r="D404" t="str">
            <v>B18</v>
          </cell>
          <cell r="E404">
            <v>4339.5200000000004</v>
          </cell>
          <cell r="F404">
            <v>4339.5200000000004</v>
          </cell>
        </row>
        <row r="405">
          <cell r="A405">
            <v>647500</v>
          </cell>
          <cell r="B405" t="str">
            <v>Médecine du travail pharm</v>
          </cell>
          <cell r="C405">
            <v>4020</v>
          </cell>
          <cell r="D405" t="str">
            <v>B18</v>
          </cell>
          <cell r="E405">
            <v>862.98</v>
          </cell>
          <cell r="F405">
            <v>862.98</v>
          </cell>
        </row>
        <row r="406">
          <cell r="A406">
            <v>647510</v>
          </cell>
          <cell r="B406" t="str">
            <v>Chardes tickets restaur</v>
          </cell>
          <cell r="C406">
            <v>4050</v>
          </cell>
          <cell r="D406" t="str">
            <v>B18</v>
          </cell>
          <cell r="E406">
            <v>5381.51</v>
          </cell>
          <cell r="F406">
            <v>5381.51</v>
          </cell>
        </row>
        <row r="407">
          <cell r="A407">
            <v>654000</v>
          </cell>
          <cell r="B407" t="str">
            <v>Créances devenues irréc</v>
          </cell>
          <cell r="C407">
            <v>6820</v>
          </cell>
          <cell r="D407" t="str">
            <v>B11</v>
          </cell>
          <cell r="E407">
            <v>1472.68</v>
          </cell>
          <cell r="F407">
            <v>1472.68</v>
          </cell>
        </row>
        <row r="408">
          <cell r="A408">
            <v>654400</v>
          </cell>
          <cell r="B408" t="str">
            <v>PERTES S/CREANCES IRRECOUVRABLES EX</v>
          </cell>
          <cell r="C408">
            <v>6820</v>
          </cell>
          <cell r="D408" t="str">
            <v>B11</v>
          </cell>
          <cell r="E408" t="e">
            <v>#N/A</v>
          </cell>
          <cell r="F408">
            <v>0</v>
          </cell>
        </row>
        <row r="409">
          <cell r="A409">
            <v>658000</v>
          </cell>
          <cell r="B409" t="str">
            <v>Rompus Perte : écart de TVA et sur règlement</v>
          </cell>
          <cell r="C409">
            <v>6820</v>
          </cell>
          <cell r="D409" t="str">
            <v>B11</v>
          </cell>
          <cell r="E409">
            <v>18.809999999999999</v>
          </cell>
          <cell r="F409">
            <v>18.809999999999999</v>
          </cell>
        </row>
        <row r="410">
          <cell r="A410">
            <v>661100</v>
          </cell>
          <cell r="B410" t="str">
            <v>Intérêts des emprunts Société Générale</v>
          </cell>
          <cell r="C410">
            <v>7100</v>
          </cell>
          <cell r="D410" t="str">
            <v>B114</v>
          </cell>
          <cell r="E410" t="e">
            <v>#N/A</v>
          </cell>
          <cell r="F410">
            <v>0</v>
          </cell>
        </row>
        <row r="411">
          <cell r="A411">
            <v>661150</v>
          </cell>
          <cell r="B411" t="str">
            <v>INTERETS DES EMPRUNTS BE</v>
          </cell>
          <cell r="C411">
            <v>7100</v>
          </cell>
          <cell r="D411" t="str">
            <v>B114</v>
          </cell>
          <cell r="E411" t="e">
            <v>#N/A</v>
          </cell>
          <cell r="F411">
            <v>0</v>
          </cell>
        </row>
        <row r="412">
          <cell r="A412">
            <v>661160</v>
          </cell>
          <cell r="B412" t="str">
            <v>Intérêts des emprunts</v>
          </cell>
          <cell r="C412">
            <v>7100</v>
          </cell>
          <cell r="D412" t="str">
            <v>B114</v>
          </cell>
          <cell r="E412" t="e">
            <v>#N/A</v>
          </cell>
          <cell r="F412">
            <v>0</v>
          </cell>
        </row>
        <row r="413">
          <cell r="A413">
            <v>661170</v>
          </cell>
          <cell r="B413" t="str">
            <v>INTERETS KOMAX AG holding LT</v>
          </cell>
          <cell r="C413" t="str">
            <v>7100IC</v>
          </cell>
          <cell r="D413" t="str">
            <v>B114</v>
          </cell>
          <cell r="E413" t="e">
            <v>#N/A</v>
          </cell>
          <cell r="F413">
            <v>0</v>
          </cell>
        </row>
        <row r="414">
          <cell r="A414">
            <v>661510</v>
          </cell>
          <cell r="B414" t="str">
            <v>INTERETS KOMAX AG holding CT</v>
          </cell>
          <cell r="C414" t="str">
            <v>7100IC</v>
          </cell>
          <cell r="D414" t="str">
            <v>B114</v>
          </cell>
          <cell r="E414">
            <v>27200</v>
          </cell>
          <cell r="F414">
            <v>27200</v>
          </cell>
        </row>
        <row r="415">
          <cell r="A415">
            <v>661600</v>
          </cell>
          <cell r="B415" t="str">
            <v>Intérêts bancaires</v>
          </cell>
          <cell r="C415">
            <v>7100</v>
          </cell>
          <cell r="D415" t="str">
            <v>B114</v>
          </cell>
          <cell r="E415">
            <v>2.2799999999999998</v>
          </cell>
          <cell r="F415">
            <v>2.2799999999999998</v>
          </cell>
        </row>
        <row r="416">
          <cell r="A416">
            <v>661810</v>
          </cell>
          <cell r="B416" t="str">
            <v>Intérêts moratoires KOMAX AG</v>
          </cell>
          <cell r="C416" t="str">
            <v>7100IC</v>
          </cell>
          <cell r="D416" t="str">
            <v>B114</v>
          </cell>
          <cell r="E416" t="e">
            <v>#N/A</v>
          </cell>
          <cell r="F416">
            <v>0</v>
          </cell>
        </row>
        <row r="417">
          <cell r="A417">
            <v>665000</v>
          </cell>
          <cell r="B417" t="str">
            <v>Escomptes accordés</v>
          </cell>
          <cell r="C417">
            <v>6810</v>
          </cell>
          <cell r="D417" t="str">
            <v>B13</v>
          </cell>
          <cell r="E417">
            <v>2418.34</v>
          </cell>
          <cell r="F417">
            <v>2418.34</v>
          </cell>
        </row>
        <row r="418">
          <cell r="A418">
            <v>666000</v>
          </cell>
          <cell r="B418" t="str">
            <v>Perte de Change</v>
          </cell>
          <cell r="C418">
            <v>7100</v>
          </cell>
          <cell r="D418" t="str">
            <v>B114</v>
          </cell>
          <cell r="E418">
            <v>538.97</v>
          </cell>
          <cell r="F418">
            <v>538.97</v>
          </cell>
        </row>
        <row r="419">
          <cell r="A419">
            <v>666181</v>
          </cell>
          <cell r="B419" t="str">
            <v xml:space="preserve">Intérêts moratoires </v>
          </cell>
          <cell r="C419">
            <v>7100</v>
          </cell>
          <cell r="D419" t="str">
            <v>B114</v>
          </cell>
          <cell r="E419" t="e">
            <v>#N/A</v>
          </cell>
          <cell r="F419">
            <v>0</v>
          </cell>
        </row>
        <row r="420">
          <cell r="A420">
            <v>668000</v>
          </cell>
          <cell r="B420" t="str">
            <v>Ecart arrondi</v>
          </cell>
          <cell r="C420">
            <v>7100</v>
          </cell>
          <cell r="D420" t="str">
            <v>B114</v>
          </cell>
          <cell r="E420">
            <v>-1</v>
          </cell>
          <cell r="F420">
            <v>-1</v>
          </cell>
        </row>
        <row r="421">
          <cell r="A421">
            <v>668100</v>
          </cell>
          <cell r="B421" t="str">
            <v>COMMISSION MOUVEMENT NON SOUMIS TVA</v>
          </cell>
          <cell r="C421">
            <v>7100</v>
          </cell>
          <cell r="D421" t="str">
            <v>B114</v>
          </cell>
          <cell r="E421" t="e">
            <v>#N/A</v>
          </cell>
          <cell r="F421">
            <v>0</v>
          </cell>
        </row>
        <row r="422">
          <cell r="A422">
            <v>671000</v>
          </cell>
          <cell r="B422" t="str">
            <v>Charges excep diverses : assurance en 2001</v>
          </cell>
          <cell r="C422">
            <v>4900</v>
          </cell>
          <cell r="D422" t="str">
            <v>B112</v>
          </cell>
          <cell r="E422">
            <v>618.82000000000005</v>
          </cell>
          <cell r="F422">
            <v>618.82000000000005</v>
          </cell>
        </row>
        <row r="423">
          <cell r="A423">
            <v>671200</v>
          </cell>
          <cell r="B423" t="str">
            <v>PENALITES AMENDES FISC</v>
          </cell>
          <cell r="C423">
            <v>4900</v>
          </cell>
          <cell r="D423" t="str">
            <v>B112</v>
          </cell>
          <cell r="E423">
            <v>687.5</v>
          </cell>
          <cell r="F423">
            <v>687.5</v>
          </cell>
        </row>
        <row r="424">
          <cell r="A424">
            <v>671800</v>
          </cell>
          <cell r="B424" t="str">
            <v>AUTRES CHARGES EXEPTION S/OPERAT GE</v>
          </cell>
          <cell r="C424">
            <v>7100</v>
          </cell>
          <cell r="D424" t="str">
            <v>B114</v>
          </cell>
          <cell r="E424" t="e">
            <v>#N/A</v>
          </cell>
          <cell r="F424">
            <v>0</v>
          </cell>
        </row>
        <row r="425">
          <cell r="A425">
            <v>675200</v>
          </cell>
          <cell r="B425" t="str">
            <v>Valeurs cpt immo cédées</v>
          </cell>
          <cell r="C425">
            <v>7700</v>
          </cell>
          <cell r="D425" t="str">
            <v>B115</v>
          </cell>
          <cell r="E425">
            <v>4139.3</v>
          </cell>
          <cell r="F425">
            <v>4139.3</v>
          </cell>
        </row>
        <row r="426">
          <cell r="A426">
            <v>675201</v>
          </cell>
          <cell r="B426" t="str">
            <v>Valeurs cpt immo cédées</v>
          </cell>
          <cell r="C426">
            <v>6295</v>
          </cell>
          <cell r="D426" t="str">
            <v>B12</v>
          </cell>
          <cell r="E426" t="e">
            <v>#N/A</v>
          </cell>
          <cell r="F426">
            <v>0</v>
          </cell>
        </row>
        <row r="427">
          <cell r="A427">
            <v>681000</v>
          </cell>
          <cell r="B427" t="str">
            <v>Dot aux amort corporel</v>
          </cell>
          <cell r="C427">
            <v>4700</v>
          </cell>
          <cell r="D427" t="str">
            <v>B111</v>
          </cell>
          <cell r="E427" t="e">
            <v>#N/A</v>
          </cell>
          <cell r="F427">
            <v>0</v>
          </cell>
        </row>
        <row r="428">
          <cell r="A428">
            <v>681100</v>
          </cell>
          <cell r="B428" t="str">
            <v>Dot aux amort corporel</v>
          </cell>
          <cell r="C428">
            <v>4700</v>
          </cell>
          <cell r="D428" t="str">
            <v>B111</v>
          </cell>
          <cell r="E428">
            <v>17594.07</v>
          </cell>
          <cell r="F428">
            <v>17594.07</v>
          </cell>
        </row>
        <row r="429">
          <cell r="A429">
            <v>681200</v>
          </cell>
          <cell r="B429" t="str">
            <v>Dot aux amort ???</v>
          </cell>
          <cell r="C429">
            <v>4700</v>
          </cell>
          <cell r="D429" t="str">
            <v>B111</v>
          </cell>
          <cell r="E429" t="e">
            <v>#N/A</v>
          </cell>
          <cell r="F429">
            <v>0</v>
          </cell>
        </row>
        <row r="430">
          <cell r="A430">
            <v>681300</v>
          </cell>
          <cell r="B430" t="str">
            <v>Dot aux amort incorporel</v>
          </cell>
          <cell r="C430">
            <v>4720</v>
          </cell>
          <cell r="D430" t="str">
            <v>B111</v>
          </cell>
          <cell r="E430">
            <v>402.44</v>
          </cell>
          <cell r="F430">
            <v>402.44</v>
          </cell>
        </row>
        <row r="431">
          <cell r="A431">
            <v>681500</v>
          </cell>
          <cell r="B431" t="str">
            <v>Dotations aux prov garantie</v>
          </cell>
          <cell r="C431">
            <v>4821</v>
          </cell>
          <cell r="D431" t="str">
            <v>B112</v>
          </cell>
          <cell r="E431">
            <v>118.62</v>
          </cell>
          <cell r="F431">
            <v>118.62</v>
          </cell>
        </row>
        <row r="432">
          <cell r="A432">
            <v>681730</v>
          </cell>
          <cell r="B432" t="str">
            <v>Dotation aux prov stock</v>
          </cell>
          <cell r="C432">
            <v>3021</v>
          </cell>
          <cell r="D432" t="str">
            <v>B16</v>
          </cell>
          <cell r="E432" t="e">
            <v>#N/A</v>
          </cell>
          <cell r="F432">
            <v>0</v>
          </cell>
        </row>
        <row r="433">
          <cell r="A433">
            <v>681740</v>
          </cell>
          <cell r="B433" t="str">
            <v>Dotation aux prov CL Douteux</v>
          </cell>
          <cell r="C433">
            <v>6821</v>
          </cell>
          <cell r="D433" t="str">
            <v>B11</v>
          </cell>
          <cell r="E433">
            <v>541.30999999999995</v>
          </cell>
          <cell r="F433">
            <v>541.30999999999995</v>
          </cell>
        </row>
        <row r="434">
          <cell r="A434">
            <v>687100</v>
          </cell>
          <cell r="B434" t="str">
            <v>DOTATIONS AMORT EXEPTION IMMO</v>
          </cell>
          <cell r="C434">
            <v>4700</v>
          </cell>
          <cell r="D434" t="str">
            <v>B111</v>
          </cell>
          <cell r="E434">
            <v>81.209999999999994</v>
          </cell>
          <cell r="F434">
            <v>81.209999999999994</v>
          </cell>
        </row>
        <row r="435">
          <cell r="A435">
            <v>695000</v>
          </cell>
          <cell r="B435" t="str">
            <v>Impôt société : contributions redressée en 2001 10% et 15%</v>
          </cell>
          <cell r="C435">
            <v>7910</v>
          </cell>
          <cell r="D435" t="str">
            <v>B117</v>
          </cell>
          <cell r="E435" t="e">
            <v>#N/A</v>
          </cell>
          <cell r="F435">
            <v>0</v>
          </cell>
        </row>
        <row r="436">
          <cell r="A436">
            <v>697000</v>
          </cell>
          <cell r="B436" t="str">
            <v>IFA</v>
          </cell>
          <cell r="C436">
            <v>7910</v>
          </cell>
          <cell r="D436" t="str">
            <v>B117</v>
          </cell>
          <cell r="E436" t="e">
            <v>#N/A</v>
          </cell>
          <cell r="F436">
            <v>0</v>
          </cell>
        </row>
        <row r="437">
          <cell r="A437">
            <v>706000</v>
          </cell>
          <cell r="B437" t="str">
            <v>MO Facturée FR</v>
          </cell>
          <cell r="C437">
            <v>6060</v>
          </cell>
          <cell r="D437" t="str">
            <v>B11</v>
          </cell>
          <cell r="E437" t="e">
            <v>#N/A</v>
          </cell>
          <cell r="F437">
            <v>0</v>
          </cell>
        </row>
        <row r="438">
          <cell r="A438">
            <v>706100</v>
          </cell>
          <cell r="B438" t="str">
            <v>Locations de matériel FR</v>
          </cell>
          <cell r="C438">
            <v>6060</v>
          </cell>
          <cell r="D438" t="str">
            <v>B11</v>
          </cell>
          <cell r="E438">
            <v>-56456.55</v>
          </cell>
          <cell r="F438">
            <v>-56456.55</v>
          </cell>
        </row>
        <row r="439">
          <cell r="A439">
            <v>706120</v>
          </cell>
          <cell r="B439" t="str">
            <v>M.O.D. SAV CEE</v>
          </cell>
          <cell r="C439">
            <v>6060</v>
          </cell>
          <cell r="D439" t="str">
            <v>B11</v>
          </cell>
          <cell r="E439">
            <v>-8011.94</v>
          </cell>
          <cell r="F439">
            <v>-8011.94</v>
          </cell>
        </row>
        <row r="440">
          <cell r="A440">
            <v>706190</v>
          </cell>
          <cell r="B440" t="str">
            <v>M.O.D. SAV EXPORT</v>
          </cell>
          <cell r="C440">
            <v>6060</v>
          </cell>
          <cell r="D440" t="str">
            <v>B11</v>
          </cell>
          <cell r="E440">
            <v>-103.4</v>
          </cell>
          <cell r="F440">
            <v>-103.4</v>
          </cell>
        </row>
        <row r="441">
          <cell r="A441">
            <v>706456</v>
          </cell>
          <cell r="B441" t="str">
            <v>FORMATION FRANCE</v>
          </cell>
          <cell r="C441">
            <v>6060</v>
          </cell>
          <cell r="D441" t="str">
            <v>B11</v>
          </cell>
          <cell r="E441">
            <v>-11776.93</v>
          </cell>
          <cell r="F441">
            <v>-11776.93</v>
          </cell>
        </row>
        <row r="442">
          <cell r="A442">
            <v>706459</v>
          </cell>
          <cell r="B442" t="str">
            <v>FORMATION EXPORT</v>
          </cell>
          <cell r="C442">
            <v>6060</v>
          </cell>
          <cell r="D442" t="str">
            <v>B11</v>
          </cell>
          <cell r="E442">
            <v>1830</v>
          </cell>
          <cell r="F442">
            <v>1830</v>
          </cell>
        </row>
        <row r="443">
          <cell r="A443">
            <v>706900</v>
          </cell>
          <cell r="B443" t="str">
            <v>MO facturée export</v>
          </cell>
          <cell r="C443">
            <v>6060</v>
          </cell>
          <cell r="D443" t="str">
            <v>B11</v>
          </cell>
          <cell r="E443" t="e">
            <v>#N/A</v>
          </cell>
          <cell r="F443">
            <v>0</v>
          </cell>
        </row>
        <row r="444">
          <cell r="A444">
            <v>707000</v>
          </cell>
          <cell r="B444" t="str">
            <v>Ventes FRA</v>
          </cell>
          <cell r="C444">
            <v>6010</v>
          </cell>
          <cell r="D444" t="str">
            <v>B11</v>
          </cell>
          <cell r="E444">
            <v>-57883.92</v>
          </cell>
          <cell r="F444">
            <v>-57883.92</v>
          </cell>
        </row>
        <row r="445">
          <cell r="A445">
            <v>707010</v>
          </cell>
          <cell r="B445" t="str">
            <v>Ventes CUT &amp; STRIP FRA</v>
          </cell>
          <cell r="C445">
            <v>6010</v>
          </cell>
          <cell r="D445" t="str">
            <v>B11</v>
          </cell>
          <cell r="E445">
            <v>-75380.13</v>
          </cell>
          <cell r="F445">
            <v>-75380.13</v>
          </cell>
        </row>
        <row r="446">
          <cell r="A446">
            <v>707020</v>
          </cell>
          <cell r="B446" t="str">
            <v>Ventes CRIMP TO CRIMP FRA</v>
          </cell>
          <cell r="C446">
            <v>6020</v>
          </cell>
          <cell r="D446" t="str">
            <v>B11</v>
          </cell>
          <cell r="E446">
            <v>-541561.73</v>
          </cell>
          <cell r="F446">
            <v>-541561.73</v>
          </cell>
        </row>
        <row r="447">
          <cell r="A447">
            <v>707040</v>
          </cell>
          <cell r="B447" t="str">
            <v>Ventes ACCESSORIES FRA</v>
          </cell>
          <cell r="C447">
            <v>6040</v>
          </cell>
          <cell r="D447" t="str">
            <v>B11</v>
          </cell>
          <cell r="E447">
            <v>-1060607.1000000001</v>
          </cell>
          <cell r="F447">
            <v>-1060607.1000000001</v>
          </cell>
        </row>
        <row r="448">
          <cell r="A448">
            <v>707050</v>
          </cell>
          <cell r="B448" t="str">
            <v>Ventes SPARE PARTS FRA</v>
          </cell>
          <cell r="C448">
            <v>6050</v>
          </cell>
          <cell r="D448" t="str">
            <v>B11</v>
          </cell>
          <cell r="E448">
            <v>-586200.75</v>
          </cell>
          <cell r="F448">
            <v>-586200.75</v>
          </cell>
        </row>
        <row r="449">
          <cell r="A449">
            <v>707210</v>
          </cell>
          <cell r="B449" t="str">
            <v>Ventes CUT &amp; STRIP CEE</v>
          </cell>
          <cell r="C449">
            <v>6010</v>
          </cell>
          <cell r="D449" t="str">
            <v>B11</v>
          </cell>
          <cell r="E449" t="e">
            <v>#N/A</v>
          </cell>
          <cell r="F449">
            <v>0</v>
          </cell>
        </row>
        <row r="450">
          <cell r="A450">
            <v>707220</v>
          </cell>
          <cell r="B450" t="str">
            <v>Ventes CRIMP TO CRIMP CEE</v>
          </cell>
          <cell r="C450">
            <v>6020</v>
          </cell>
          <cell r="D450" t="str">
            <v>B11</v>
          </cell>
          <cell r="E450" t="e">
            <v>#N/A</v>
          </cell>
          <cell r="F450">
            <v>0</v>
          </cell>
        </row>
        <row r="451">
          <cell r="A451">
            <v>707240</v>
          </cell>
          <cell r="B451" t="str">
            <v>Ventes ACCESSORIES CEE</v>
          </cell>
          <cell r="C451">
            <v>6040</v>
          </cell>
          <cell r="D451" t="str">
            <v>B11</v>
          </cell>
          <cell r="E451" t="e">
            <v>#N/A</v>
          </cell>
          <cell r="F451">
            <v>0</v>
          </cell>
        </row>
        <row r="452">
          <cell r="A452">
            <v>707245</v>
          </cell>
          <cell r="B452" t="str">
            <v>Ventes ACCESSORIES CEE</v>
          </cell>
          <cell r="C452" t="str">
            <v>6040IC</v>
          </cell>
          <cell r="D452" t="str">
            <v>B11</v>
          </cell>
          <cell r="E452" t="e">
            <v>#N/A</v>
          </cell>
          <cell r="F452">
            <v>0</v>
          </cell>
        </row>
        <row r="453">
          <cell r="A453">
            <v>707250</v>
          </cell>
          <cell r="B453" t="str">
            <v>Ventes SPARE PARTS CEE</v>
          </cell>
          <cell r="C453">
            <v>6050</v>
          </cell>
          <cell r="D453" t="str">
            <v>B11</v>
          </cell>
          <cell r="E453">
            <v>-3133.89</v>
          </cell>
          <cell r="F453">
            <v>-3133.89</v>
          </cell>
        </row>
        <row r="454">
          <cell r="A454">
            <v>707900</v>
          </cell>
          <cell r="B454" t="str">
            <v>Ventes EXP</v>
          </cell>
          <cell r="C454">
            <v>6010</v>
          </cell>
          <cell r="D454" t="str">
            <v>B11</v>
          </cell>
          <cell r="E454" t="e">
            <v>#N/A</v>
          </cell>
          <cell r="F454">
            <v>0</v>
          </cell>
        </row>
        <row r="455">
          <cell r="A455">
            <v>707910</v>
          </cell>
          <cell r="B455" t="str">
            <v>Ventes CUT &amp; STRIP EXP</v>
          </cell>
          <cell r="C455">
            <v>6010</v>
          </cell>
          <cell r="D455" t="str">
            <v>B11</v>
          </cell>
          <cell r="E455">
            <v>-19998.400000000001</v>
          </cell>
          <cell r="F455">
            <v>-19998.400000000001</v>
          </cell>
        </row>
        <row r="456">
          <cell r="A456">
            <v>707920</v>
          </cell>
          <cell r="B456" t="str">
            <v>Ventes CRIMP TO CRIMP EXP</v>
          </cell>
          <cell r="C456">
            <v>6020</v>
          </cell>
          <cell r="D456" t="str">
            <v>B11</v>
          </cell>
          <cell r="E456">
            <v>37830</v>
          </cell>
          <cell r="F456">
            <v>37830</v>
          </cell>
        </row>
        <row r="457">
          <cell r="A457">
            <v>707940</v>
          </cell>
          <cell r="B457" t="str">
            <v>Ventes ACCESSORIES EXP</v>
          </cell>
          <cell r="C457">
            <v>6040</v>
          </cell>
          <cell r="D457" t="str">
            <v>B11</v>
          </cell>
          <cell r="E457">
            <v>-122341.71</v>
          </cell>
          <cell r="F457">
            <v>-122341.71</v>
          </cell>
        </row>
        <row r="458">
          <cell r="A458">
            <v>707950</v>
          </cell>
          <cell r="B458" t="str">
            <v>Ventes SPARE PARTS EXP</v>
          </cell>
          <cell r="C458">
            <v>6050</v>
          </cell>
          <cell r="D458" t="str">
            <v>B11</v>
          </cell>
          <cell r="E458">
            <v>-86011.55</v>
          </cell>
          <cell r="F458">
            <v>-86011.55</v>
          </cell>
        </row>
        <row r="459">
          <cell r="A459">
            <v>708200</v>
          </cell>
          <cell r="B459" t="str">
            <v>Commissions</v>
          </cell>
          <cell r="C459">
            <v>6119</v>
          </cell>
          <cell r="D459" t="str">
            <v>B11</v>
          </cell>
          <cell r="E459" t="e">
            <v>#N/A</v>
          </cell>
          <cell r="F459">
            <v>0</v>
          </cell>
        </row>
        <row r="460">
          <cell r="A460">
            <v>708210</v>
          </cell>
          <cell r="B460" t="str">
            <v>Commissions C&amp;S</v>
          </cell>
          <cell r="C460">
            <v>6119</v>
          </cell>
          <cell r="D460" t="str">
            <v>B11</v>
          </cell>
          <cell r="E460" t="e">
            <v>#N/A</v>
          </cell>
          <cell r="F460">
            <v>0</v>
          </cell>
        </row>
        <row r="461">
          <cell r="A461">
            <v>708211</v>
          </cell>
          <cell r="B461" t="str">
            <v>Commissions C&amp;S Komax AG</v>
          </cell>
          <cell r="C461" t="str">
            <v>6119IC</v>
          </cell>
          <cell r="D461" t="str">
            <v>B11</v>
          </cell>
          <cell r="E461" t="e">
            <v>#N/A</v>
          </cell>
          <cell r="F461">
            <v>0</v>
          </cell>
        </row>
        <row r="462">
          <cell r="A462">
            <v>708220</v>
          </cell>
          <cell r="B462" t="str">
            <v>Commissions CTC</v>
          </cell>
          <cell r="C462">
            <v>6129</v>
          </cell>
          <cell r="D462" t="str">
            <v>B11</v>
          </cell>
          <cell r="E462" t="e">
            <v>#N/A</v>
          </cell>
          <cell r="F462">
            <v>0</v>
          </cell>
        </row>
        <row r="463">
          <cell r="A463">
            <v>708221</v>
          </cell>
          <cell r="B463" t="str">
            <v>Commissions CTC Komax AG</v>
          </cell>
          <cell r="C463" t="str">
            <v>6129IC</v>
          </cell>
          <cell r="D463" t="str">
            <v>B11</v>
          </cell>
          <cell r="E463" t="e">
            <v>#N/A</v>
          </cell>
          <cell r="F463">
            <v>0</v>
          </cell>
        </row>
        <row r="464">
          <cell r="A464">
            <v>708240</v>
          </cell>
          <cell r="B464" t="str">
            <v>Commissions A</v>
          </cell>
          <cell r="C464">
            <v>6149</v>
          </cell>
          <cell r="D464" t="str">
            <v>B11</v>
          </cell>
          <cell r="E464" t="e">
            <v>#N/A</v>
          </cell>
          <cell r="F464">
            <v>0</v>
          </cell>
        </row>
        <row r="465">
          <cell r="A465">
            <v>708241</v>
          </cell>
          <cell r="B465" t="str">
            <v>Commissions A Komax AG</v>
          </cell>
          <cell r="C465" t="str">
            <v>6149IC</v>
          </cell>
          <cell r="D465" t="str">
            <v>B11</v>
          </cell>
          <cell r="E465" t="e">
            <v>#N/A</v>
          </cell>
          <cell r="F465">
            <v>0</v>
          </cell>
        </row>
        <row r="466">
          <cell r="A466">
            <v>708250</v>
          </cell>
          <cell r="B466" t="str">
            <v>Commissions SP</v>
          </cell>
          <cell r="C466">
            <v>6159</v>
          </cell>
          <cell r="D466" t="str">
            <v>B11</v>
          </cell>
          <cell r="E466" t="e">
            <v>#N/A</v>
          </cell>
          <cell r="F466">
            <v>0</v>
          </cell>
        </row>
        <row r="467">
          <cell r="A467">
            <v>708251</v>
          </cell>
          <cell r="B467" t="str">
            <v>Commissions SP Komax AG</v>
          </cell>
          <cell r="C467" t="str">
            <v>6159IC</v>
          </cell>
          <cell r="D467" t="str">
            <v>B11</v>
          </cell>
          <cell r="E467" t="e">
            <v>#N/A</v>
          </cell>
          <cell r="F467">
            <v>0</v>
          </cell>
        </row>
        <row r="468">
          <cell r="A468">
            <v>708500</v>
          </cell>
          <cell r="B468" t="str">
            <v>Ports embal fact FR</v>
          </cell>
          <cell r="C468">
            <v>6220</v>
          </cell>
          <cell r="D468" t="str">
            <v>B12</v>
          </cell>
          <cell r="E468">
            <v>-23871.27</v>
          </cell>
          <cell r="F468">
            <v>-23871.27</v>
          </cell>
        </row>
        <row r="469">
          <cell r="A469">
            <v>708590</v>
          </cell>
          <cell r="B469" t="str">
            <v>Ports embal fact export</v>
          </cell>
          <cell r="C469">
            <v>6220</v>
          </cell>
          <cell r="D469" t="str">
            <v>B12</v>
          </cell>
          <cell r="E469">
            <v>-2746.97</v>
          </cell>
          <cell r="F469">
            <v>-2746.97</v>
          </cell>
        </row>
        <row r="470">
          <cell r="A470">
            <v>708800</v>
          </cell>
          <cell r="B470" t="str">
            <v>REFACT A KOMAX HOLDING AG</v>
          </cell>
          <cell r="C470">
            <v>6220</v>
          </cell>
          <cell r="D470" t="str">
            <v>B12</v>
          </cell>
          <cell r="E470" t="e">
            <v>#N/A</v>
          </cell>
          <cell r="F470">
            <v>0</v>
          </cell>
        </row>
        <row r="471">
          <cell r="A471">
            <v>740000</v>
          </cell>
          <cell r="B471" t="str">
            <v>Subvention contrat qualif</v>
          </cell>
          <cell r="C471">
            <v>4020</v>
          </cell>
          <cell r="D471" t="str">
            <v>B18</v>
          </cell>
          <cell r="E471">
            <v>-1646.4</v>
          </cell>
          <cell r="F471">
            <v>-1646.4</v>
          </cell>
        </row>
        <row r="472">
          <cell r="A472">
            <v>758100</v>
          </cell>
          <cell r="B472" t="str">
            <v>Produits divers</v>
          </cell>
          <cell r="C472">
            <v>6290</v>
          </cell>
          <cell r="D472" t="str">
            <v>B12</v>
          </cell>
          <cell r="E472">
            <v>-361.23</v>
          </cell>
          <cell r="F472">
            <v>-361.23</v>
          </cell>
        </row>
        <row r="473">
          <cell r="A473">
            <v>758200</v>
          </cell>
          <cell r="B473" t="str">
            <v>Locations machines FR</v>
          </cell>
          <cell r="C473">
            <v>6290</v>
          </cell>
          <cell r="D473" t="str">
            <v>B12</v>
          </cell>
          <cell r="E473" t="e">
            <v>#N/A</v>
          </cell>
          <cell r="F473">
            <v>0</v>
          </cell>
        </row>
        <row r="474">
          <cell r="A474">
            <v>766000</v>
          </cell>
          <cell r="B474" t="str">
            <v>Profits de change</v>
          </cell>
          <cell r="C474">
            <v>7000</v>
          </cell>
          <cell r="D474" t="str">
            <v>B114</v>
          </cell>
          <cell r="E474">
            <v>-3139.21</v>
          </cell>
          <cell r="F474">
            <v>-3139.21</v>
          </cell>
        </row>
        <row r="475">
          <cell r="A475">
            <v>767020</v>
          </cell>
          <cell r="B475" t="str">
            <v>PRODUIT VENTE SICAV MONEPLUS SG</v>
          </cell>
          <cell r="C475">
            <v>7000</v>
          </cell>
          <cell r="D475" t="str">
            <v>B114</v>
          </cell>
          <cell r="E475">
            <v>-20749.09</v>
          </cell>
          <cell r="F475">
            <v>-20749.09</v>
          </cell>
        </row>
        <row r="476">
          <cell r="A476">
            <v>767120</v>
          </cell>
          <cell r="B476" t="str">
            <v>PRODUIT SUR VENTE SICAV</v>
          </cell>
          <cell r="C476">
            <v>7000</v>
          </cell>
          <cell r="D476" t="str">
            <v>B114</v>
          </cell>
          <cell r="E476" t="e">
            <v>#N/A</v>
          </cell>
          <cell r="F476">
            <v>0</v>
          </cell>
        </row>
        <row r="477">
          <cell r="A477">
            <v>767130</v>
          </cell>
          <cell r="B477" t="str">
            <v>PRODUIT VENTE SICAV MONEPRIME BPC</v>
          </cell>
          <cell r="C477">
            <v>7000</v>
          </cell>
          <cell r="D477" t="str">
            <v>B114</v>
          </cell>
          <cell r="E477" t="e">
            <v>#N/A</v>
          </cell>
          <cell r="F477">
            <v>0</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seas"/>
      <sheetName val="nov"/>
      <sheetName val="Sheet1"/>
      <sheetName val="Sheet2"/>
      <sheetName val="CMCQTYP"/>
    </sheetNames>
    <sheetDataSet>
      <sheetData sheetId="0" refreshError="1"/>
      <sheetData sheetId="1" refreshError="1"/>
      <sheetData sheetId="2"/>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D"/>
      <sheetName val="Overseas"/>
      <sheetName val="TRC_Summary"/>
      <sheetName val="TRC"/>
      <sheetName val="WBS_SUMMARY"/>
      <sheetName val="wbs"/>
      <sheetName val="Sheet1"/>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LDEC05"/>
      <sheetName val="DEP.Calcu."/>
    </sheetNames>
    <sheetDataSet>
      <sheetData sheetId="0"/>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Mo"/>
      <sheetName val="YTD IS"/>
      <sheetName val="Spending"/>
      <sheetName val="HBL Graphs"/>
      <sheetName val="Sum_IS"/>
      <sheetName val="Old IS"/>
      <sheetName val="BS"/>
      <sheetName val="IS_Bus_Unit"/>
      <sheetName val="IS_Rev_Type"/>
      <sheetName val="Drafting"/>
      <sheetName val="AEC"/>
      <sheetName val="NASD"/>
      <sheetName val="Newco"/>
      <sheetName val="PSD"/>
      <sheetName val="AMD"/>
      <sheetName val="Lat_Am"/>
      <sheetName val="D.U."/>
      <sheetName val="G&amp;A"/>
      <sheetName val="IT"/>
      <sheetName val="Mktg"/>
      <sheetName val="Fcst_Summ"/>
      <sheetName val="Forecast"/>
      <sheetName val="GT1 RD"/>
    </sheetNames>
    <sheetDataSet>
      <sheetData sheetId="0"/>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sheetName val="INSURANCE"/>
      <sheetName val="Info Recd from DDD 200404"/>
      <sheetName val="Original Sheet By Ajay - 170404"/>
      <sheetName val="FOR UPLOAD"/>
      <sheetName val="FOR UPLOAD (2)"/>
      <sheetName val="FOR UPLOAD (3)"/>
      <sheetName val="FOR UPLOAD (4)"/>
      <sheetName val="FOR UPLOAD (5)"/>
      <sheetName val="COST CTR PLANNING FORMAT"/>
      <sheetName val="Sheet1"/>
      <sheetName val="PNLZP-1"/>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Ex"/>
      <sheetName val="Vista-EX"/>
      <sheetName val="Psycan-Ex"/>
      <sheetName val="Mind-Ex"/>
      <sheetName val="wbs"/>
    </sheetNames>
    <sheetDataSet>
      <sheetData sheetId="0"/>
      <sheetData sheetId="1"/>
      <sheetData sheetId="2"/>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l-EXCL"/>
      <sheetName val="pL-iNCL"/>
      <sheetName val="Sheet3"/>
      <sheetName val="P&amp;L"/>
      <sheetName val="BS"/>
      <sheetName val="VARIANCE ANALYSIS "/>
      <sheetName val="cash flow"/>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GROUPINGS"/>
      <sheetName val="SIF P&amp;L BS"/>
      <sheetName val="SIF P&amp;L"/>
      <sheetName val="SIF Workings"/>
      <sheetName val="SIF Results Back up"/>
      <sheetName val="PROVISIONS"/>
      <sheetName val="P &amp; L Approach(OB)"/>
      <sheetName val="P &amp; L Approach(CB) "/>
      <sheetName val="AS-22"/>
      <sheetName val="Nagar provisions"/>
      <sheetName val="CL PROVISION"/>
      <sheetName val="SIF R20&amp;R30 "/>
      <sheetName val="SIF-Sent to France"/>
      <sheetName val="sch-IV"/>
      <sheetName val="TBM ANALYSIS"/>
      <sheetName val="Ref"/>
      <sheetName val="facto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l-EXCL"/>
      <sheetName val="pL-iNCL"/>
      <sheetName val="Sheet3"/>
      <sheetName val="P&amp;L"/>
      <sheetName val="BS"/>
      <sheetName val="VARIANCE ANALYSIS "/>
      <sheetName val="cash flow"/>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GROUPINGS"/>
      <sheetName val="SIF P&amp;L BS"/>
      <sheetName val="SIF P&amp;L"/>
      <sheetName val="SIF Workings"/>
      <sheetName val="SIF Results Back up"/>
      <sheetName val="PROVISIONS"/>
      <sheetName val="P &amp; L Approach(OB)"/>
      <sheetName val="P &amp; L Approach(CB) "/>
      <sheetName val="AS-22"/>
      <sheetName val="Nagar provisions"/>
      <sheetName val="CL PROVISION"/>
      <sheetName val="SIF R20&amp;R30 "/>
      <sheetName val="SIF-Sent to France"/>
      <sheetName val="sch-IV"/>
      <sheetName val="TBM ANALYSIS"/>
      <sheetName val="Ref"/>
      <sheetName val="facto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ssumptions"/>
      <sheetName val="Observations"/>
      <sheetName val="2008-09 (r)"/>
      <sheetName val="Sheet4"/>
      <sheetName val="summ 08-09"/>
      <sheetName val="Ori vs Rev"/>
      <sheetName val="NC"/>
      <sheetName val="incentives"/>
      <sheetName val="revised r &amp; d"/>
      <sheetName val="R &amp; D 07-08"/>
      <sheetName val="Sheet2"/>
      <sheetName val="Sheet3"/>
      <sheetName val="working-revised"/>
      <sheetName val="Sheet1"/>
      <sheetName val="2008-09"/>
      <sheetName val="API"/>
      <sheetName val="Ank "/>
      <sheetName val="PTL"/>
      <sheetName val="Dabhasa "/>
      <sheetName val="LLC"/>
      <sheetName val="GCM"/>
      <sheetName val="Final-working"/>
      <sheetName val="revised saving-R &amp; D"/>
      <sheetName val=" Exp Ankleshwar"/>
      <sheetName val="exp dbh"/>
      <sheetName val="ahmedabad-mkt"/>
      <sheetName val="s n d"/>
      <sheetName val="factory -ank"/>
      <sheetName val="exp patal"/>
      <sheetName val="exp dabhasa"/>
      <sheetName val="interest"/>
      <sheetName val="api interest"/>
      <sheetName val="Dep "/>
      <sheetName val="us exp"/>
      <sheetName val="Sales-GC g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ow r="2">
          <cell r="J2" t="str">
            <v>2007-08</v>
          </cell>
        </row>
        <row r="3">
          <cell r="J3" t="str">
            <v xml:space="preserve">Proposed </v>
          </cell>
          <cell r="L3" t="str">
            <v xml:space="preserve">Approved </v>
          </cell>
          <cell r="N3" t="str">
            <v>Break Up</v>
          </cell>
        </row>
        <row r="4">
          <cell r="D4" t="str">
            <v>budget</v>
          </cell>
          <cell r="I4" t="str">
            <v>likely 06-07</v>
          </cell>
          <cell r="J4" t="str">
            <v xml:space="preserve">budget </v>
          </cell>
          <cell r="K4" t="str">
            <v>growth %</v>
          </cell>
          <cell r="L4" t="str">
            <v>Budget</v>
          </cell>
          <cell r="N4" t="str">
            <v>april</v>
          </cell>
          <cell r="O4" t="str">
            <v>may</v>
          </cell>
          <cell r="P4" t="str">
            <v>june</v>
          </cell>
          <cell r="Q4" t="str">
            <v>july</v>
          </cell>
          <cell r="R4" t="str">
            <v>aug</v>
          </cell>
          <cell r="S4" t="str">
            <v>sept</v>
          </cell>
          <cell r="T4" t="str">
            <v>oct</v>
          </cell>
          <cell r="U4" t="str">
            <v>nov</v>
          </cell>
          <cell r="V4" t="str">
            <v>dec</v>
          </cell>
        </row>
        <row r="5">
          <cell r="D5">
            <v>39052</v>
          </cell>
          <cell r="E5">
            <v>39083</v>
          </cell>
          <cell r="F5">
            <v>39114</v>
          </cell>
          <cell r="G5">
            <v>39142</v>
          </cell>
          <cell r="H5" t="str">
            <v>Total</v>
          </cell>
          <cell r="I5" t="str">
            <v>toal exp</v>
          </cell>
          <cell r="J5" t="str">
            <v xml:space="preserve">I </v>
          </cell>
        </row>
        <row r="6">
          <cell r="D6" t="str">
            <v>b</v>
          </cell>
          <cell r="E6" t="str">
            <v>b</v>
          </cell>
          <cell r="F6" t="str">
            <v>b</v>
          </cell>
          <cell r="G6" t="str">
            <v>b</v>
          </cell>
          <cell r="H6" t="str">
            <v>b</v>
          </cell>
        </row>
        <row r="7">
          <cell r="D7">
            <v>0.04</v>
          </cell>
          <cell r="E7">
            <v>0.04</v>
          </cell>
          <cell r="F7">
            <v>0.04</v>
          </cell>
          <cell r="G7">
            <v>0.06</v>
          </cell>
          <cell r="H7">
            <v>0.5</v>
          </cell>
          <cell r="I7">
            <v>0.38999999999999996</v>
          </cell>
          <cell r="J7">
            <v>0.5</v>
          </cell>
          <cell r="K7">
            <v>0</v>
          </cell>
          <cell r="L7">
            <v>0.5</v>
          </cell>
          <cell r="N7">
            <v>0</v>
          </cell>
          <cell r="O7">
            <v>0</v>
          </cell>
          <cell r="P7">
            <v>0.05</v>
          </cell>
          <cell r="Q7">
            <v>0.05</v>
          </cell>
          <cell r="R7">
            <v>0</v>
          </cell>
          <cell r="S7">
            <v>0.05</v>
          </cell>
          <cell r="T7">
            <v>0.1</v>
          </cell>
          <cell r="U7">
            <v>0.05</v>
          </cell>
          <cell r="V7">
            <v>0</v>
          </cell>
        </row>
        <row r="8">
          <cell r="D8">
            <v>3.12</v>
          </cell>
          <cell r="E8">
            <v>0.08</v>
          </cell>
          <cell r="F8">
            <v>0.08</v>
          </cell>
          <cell r="G8">
            <v>0.08</v>
          </cell>
          <cell r="H8">
            <v>4</v>
          </cell>
          <cell r="I8">
            <v>3.97</v>
          </cell>
          <cell r="J8">
            <v>9.4670000000000005</v>
          </cell>
          <cell r="K8">
            <v>1.3667500000000001</v>
          </cell>
          <cell r="L8">
            <v>8</v>
          </cell>
          <cell r="N8">
            <v>0.6</v>
          </cell>
          <cell r="O8">
            <v>0.1</v>
          </cell>
          <cell r="P8">
            <v>0.1</v>
          </cell>
          <cell r="Q8">
            <v>0.1</v>
          </cell>
          <cell r="R8">
            <v>0.1</v>
          </cell>
          <cell r="S8">
            <v>0.1</v>
          </cell>
          <cell r="T8">
            <v>0.1</v>
          </cell>
          <cell r="U8">
            <v>0.1</v>
          </cell>
          <cell r="V8">
            <v>6.4</v>
          </cell>
        </row>
        <row r="9">
          <cell r="D9">
            <v>0.04</v>
          </cell>
          <cell r="E9">
            <v>0.04</v>
          </cell>
          <cell r="F9">
            <v>0.04</v>
          </cell>
          <cell r="G9">
            <v>0.06</v>
          </cell>
          <cell r="H9">
            <v>0.5</v>
          </cell>
          <cell r="I9">
            <v>0.32</v>
          </cell>
          <cell r="J9">
            <v>0.25</v>
          </cell>
          <cell r="K9">
            <v>-0.5</v>
          </cell>
          <cell r="L9">
            <v>0.25</v>
          </cell>
          <cell r="N9">
            <v>0.05</v>
          </cell>
          <cell r="O9">
            <v>0</v>
          </cell>
          <cell r="P9">
            <v>0.05</v>
          </cell>
          <cell r="Q9">
            <v>0</v>
          </cell>
          <cell r="R9">
            <v>0.05</v>
          </cell>
          <cell r="S9">
            <v>0</v>
          </cell>
          <cell r="T9">
            <v>0.05</v>
          </cell>
          <cell r="U9">
            <v>0</v>
          </cell>
          <cell r="V9">
            <v>0</v>
          </cell>
        </row>
        <row r="10">
          <cell r="D10">
            <v>0.04</v>
          </cell>
          <cell r="E10">
            <v>0.04</v>
          </cell>
          <cell r="F10">
            <v>0.04</v>
          </cell>
          <cell r="G10">
            <v>0.06</v>
          </cell>
          <cell r="H10">
            <v>0.5</v>
          </cell>
          <cell r="I10">
            <v>0.39999999999999997</v>
          </cell>
          <cell r="J10">
            <v>0.5</v>
          </cell>
          <cell r="K10">
            <v>0</v>
          </cell>
          <cell r="L10">
            <v>0.5</v>
          </cell>
          <cell r="N10">
            <v>0.04</v>
          </cell>
          <cell r="O10">
            <v>0.04</v>
          </cell>
          <cell r="P10">
            <v>0.04</v>
          </cell>
          <cell r="Q10">
            <v>0.04</v>
          </cell>
          <cell r="R10">
            <v>0.04</v>
          </cell>
          <cell r="S10">
            <v>0.04</v>
          </cell>
          <cell r="T10">
            <v>0.04</v>
          </cell>
          <cell r="U10">
            <v>0.04</v>
          </cell>
          <cell r="V10">
            <v>0.04</v>
          </cell>
        </row>
        <row r="11">
          <cell r="D11">
            <v>0.87</v>
          </cell>
          <cell r="E11">
            <v>0.87</v>
          </cell>
          <cell r="F11">
            <v>0.85</v>
          </cell>
          <cell r="G11">
            <v>0.85</v>
          </cell>
          <cell r="H11">
            <v>17.3</v>
          </cell>
          <cell r="I11">
            <v>15.129999999999997</v>
          </cell>
          <cell r="J11">
            <v>67.537374999999997</v>
          </cell>
          <cell r="K11">
            <v>2.9038945086705201</v>
          </cell>
          <cell r="L11">
            <v>30</v>
          </cell>
          <cell r="M11">
            <v>2.5</v>
          </cell>
          <cell r="N11">
            <v>2.5</v>
          </cell>
          <cell r="O11">
            <v>2.5</v>
          </cell>
          <cell r="P11">
            <v>2.5</v>
          </cell>
          <cell r="Q11">
            <v>2.5</v>
          </cell>
          <cell r="R11">
            <v>2.5</v>
          </cell>
          <cell r="S11">
            <v>2.5</v>
          </cell>
          <cell r="T11">
            <v>2.5</v>
          </cell>
          <cell r="U11">
            <v>2.5</v>
          </cell>
          <cell r="V11">
            <v>2.5</v>
          </cell>
        </row>
        <row r="12">
          <cell r="D12">
            <v>1.3</v>
          </cell>
          <cell r="E12">
            <v>1.3</v>
          </cell>
          <cell r="F12">
            <v>1.31</v>
          </cell>
          <cell r="G12">
            <v>1.31</v>
          </cell>
          <cell r="H12">
            <v>15.700000000000001</v>
          </cell>
          <cell r="I12">
            <v>20.27</v>
          </cell>
          <cell r="J12">
            <v>29.322199999999999</v>
          </cell>
          <cell r="K12">
            <v>0.86765605095541387</v>
          </cell>
          <cell r="L12">
            <v>29.16</v>
          </cell>
          <cell r="M12">
            <v>2.4300000000000002</v>
          </cell>
          <cell r="N12">
            <v>2.4300000000000002</v>
          </cell>
          <cell r="O12">
            <v>2.4300000000000002</v>
          </cell>
          <cell r="P12">
            <v>2.4300000000000002</v>
          </cell>
          <cell r="Q12">
            <v>2.4300000000000002</v>
          </cell>
          <cell r="R12">
            <v>2.4300000000000002</v>
          </cell>
          <cell r="S12">
            <v>2.4300000000000002</v>
          </cell>
          <cell r="T12">
            <v>2.4300000000000002</v>
          </cell>
          <cell r="U12">
            <v>2.4300000000000002</v>
          </cell>
          <cell r="V12">
            <v>2.4300000000000002</v>
          </cell>
        </row>
        <row r="13">
          <cell r="D13">
            <v>3.67</v>
          </cell>
          <cell r="E13">
            <v>3.67</v>
          </cell>
          <cell r="F13">
            <v>3.65</v>
          </cell>
          <cell r="G13">
            <v>3.65</v>
          </cell>
          <cell r="H13">
            <v>44</v>
          </cell>
          <cell r="I13">
            <v>49.910000000000004</v>
          </cell>
          <cell r="J13">
            <v>80.561040000000006</v>
          </cell>
          <cell r="K13">
            <v>0.83093272727272738</v>
          </cell>
          <cell r="L13">
            <v>63</v>
          </cell>
          <cell r="M13">
            <v>5.25</v>
          </cell>
          <cell r="N13">
            <v>5.25</v>
          </cell>
          <cell r="O13">
            <v>5.25</v>
          </cell>
          <cell r="P13">
            <v>5.25</v>
          </cell>
          <cell r="Q13">
            <v>5.25</v>
          </cell>
          <cell r="R13">
            <v>5.25</v>
          </cell>
          <cell r="S13">
            <v>5.25</v>
          </cell>
          <cell r="T13">
            <v>5.25</v>
          </cell>
          <cell r="U13">
            <v>5.25</v>
          </cell>
          <cell r="V13">
            <v>5.25</v>
          </cell>
        </row>
        <row r="14">
          <cell r="D14">
            <v>0.12</v>
          </cell>
          <cell r="E14">
            <v>0.12</v>
          </cell>
          <cell r="F14">
            <v>0.12</v>
          </cell>
          <cell r="G14">
            <v>0.12</v>
          </cell>
          <cell r="H14">
            <v>1.44</v>
          </cell>
          <cell r="I14">
            <v>1.2600000000000002</v>
          </cell>
          <cell r="J14">
            <v>2</v>
          </cell>
          <cell r="K14">
            <v>0.38888888888888884</v>
          </cell>
          <cell r="L14">
            <v>1.5</v>
          </cell>
          <cell r="M14">
            <v>0.125</v>
          </cell>
          <cell r="N14">
            <v>0.125</v>
          </cell>
          <cell r="O14">
            <v>0.125</v>
          </cell>
          <cell r="P14">
            <v>0.125</v>
          </cell>
          <cell r="Q14">
            <v>0.125</v>
          </cell>
          <cell r="R14">
            <v>0.125</v>
          </cell>
          <cell r="S14">
            <v>0.125</v>
          </cell>
          <cell r="T14">
            <v>0.125</v>
          </cell>
          <cell r="U14">
            <v>0.125</v>
          </cell>
          <cell r="V14">
            <v>0.125</v>
          </cell>
        </row>
        <row r="15">
          <cell r="D15">
            <v>1.42</v>
          </cell>
          <cell r="E15">
            <v>0</v>
          </cell>
          <cell r="F15">
            <v>0</v>
          </cell>
          <cell r="G15">
            <v>1.25</v>
          </cell>
          <cell r="H15">
            <v>26</v>
          </cell>
          <cell r="I15">
            <v>26</v>
          </cell>
          <cell r="J15">
            <v>33.840000000000003</v>
          </cell>
          <cell r="K15">
            <v>0.30153846153846176</v>
          </cell>
          <cell r="L15">
            <v>26</v>
          </cell>
          <cell r="N15">
            <v>4.6500000000000004</v>
          </cell>
          <cell r="O15">
            <v>0.23</v>
          </cell>
          <cell r="R15">
            <v>0.17</v>
          </cell>
          <cell r="S15">
            <v>17.13</v>
          </cell>
          <cell r="U15">
            <v>1.1499999999999999</v>
          </cell>
          <cell r="V15">
            <v>1.42</v>
          </cell>
        </row>
        <row r="16">
          <cell r="D16">
            <v>0.4</v>
          </cell>
          <cell r="E16">
            <v>0</v>
          </cell>
          <cell r="F16">
            <v>0</v>
          </cell>
          <cell r="G16">
            <v>0.64</v>
          </cell>
          <cell r="H16">
            <v>2</v>
          </cell>
          <cell r="I16">
            <v>1.87</v>
          </cell>
          <cell r="J16">
            <v>2</v>
          </cell>
          <cell r="K16">
            <v>0</v>
          </cell>
          <cell r="L16">
            <v>2</v>
          </cell>
          <cell r="N16">
            <v>0.1</v>
          </cell>
          <cell r="O16">
            <v>0.1</v>
          </cell>
          <cell r="P16">
            <v>0.1</v>
          </cell>
          <cell r="Q16">
            <v>0.1</v>
          </cell>
          <cell r="R16">
            <v>0.1</v>
          </cell>
          <cell r="S16">
            <v>0.1</v>
          </cell>
          <cell r="T16">
            <v>0.1</v>
          </cell>
          <cell r="U16">
            <v>0.1</v>
          </cell>
        </row>
        <row r="17">
          <cell r="D17">
            <v>1.08</v>
          </cell>
          <cell r="E17">
            <v>1.08</v>
          </cell>
          <cell r="F17">
            <v>1.08</v>
          </cell>
          <cell r="G17">
            <v>1.1200000000000001</v>
          </cell>
          <cell r="H17">
            <v>13</v>
          </cell>
          <cell r="I17">
            <v>13.850000000000001</v>
          </cell>
          <cell r="J17">
            <v>17.684000000000001</v>
          </cell>
          <cell r="K17">
            <v>0.36030769230769244</v>
          </cell>
          <cell r="L17">
            <v>15</v>
          </cell>
          <cell r="N17">
            <v>1</v>
          </cell>
          <cell r="O17">
            <v>1</v>
          </cell>
          <cell r="P17">
            <v>1</v>
          </cell>
          <cell r="Q17">
            <v>1</v>
          </cell>
          <cell r="R17">
            <v>1</v>
          </cell>
          <cell r="S17">
            <v>1</v>
          </cell>
          <cell r="T17">
            <v>1</v>
          </cell>
          <cell r="U17">
            <v>4</v>
          </cell>
          <cell r="V17">
            <v>1</v>
          </cell>
        </row>
        <row r="18">
          <cell r="D18">
            <v>7</v>
          </cell>
          <cell r="E18">
            <v>7</v>
          </cell>
          <cell r="F18">
            <v>7</v>
          </cell>
          <cell r="G18">
            <v>7</v>
          </cell>
          <cell r="H18">
            <v>80</v>
          </cell>
          <cell r="I18">
            <v>82.1</v>
          </cell>
          <cell r="J18">
            <v>147.54</v>
          </cell>
          <cell r="K18">
            <v>0.84424999999999994</v>
          </cell>
          <cell r="L18">
            <v>105</v>
          </cell>
          <cell r="M18">
            <v>8.75</v>
          </cell>
          <cell r="N18">
            <v>8.75</v>
          </cell>
          <cell r="O18">
            <v>8.75</v>
          </cell>
          <cell r="P18">
            <v>8.75</v>
          </cell>
          <cell r="Q18">
            <v>8.75</v>
          </cell>
          <cell r="R18">
            <v>8.75</v>
          </cell>
          <cell r="S18">
            <v>8.75</v>
          </cell>
          <cell r="T18">
            <v>8.75</v>
          </cell>
          <cell r="U18">
            <v>8.75</v>
          </cell>
          <cell r="V18">
            <v>8.75</v>
          </cell>
        </row>
        <row r="19">
          <cell r="D19">
            <v>0.16</v>
          </cell>
          <cell r="E19">
            <v>0.16</v>
          </cell>
          <cell r="F19">
            <v>0.16</v>
          </cell>
          <cell r="G19">
            <v>0.16</v>
          </cell>
          <cell r="H19">
            <v>2</v>
          </cell>
          <cell r="I19">
            <v>1.8099999999999996</v>
          </cell>
          <cell r="J19">
            <v>1.5</v>
          </cell>
          <cell r="K19">
            <v>-0.25</v>
          </cell>
          <cell r="L19">
            <v>1.5</v>
          </cell>
          <cell r="N19">
            <v>0.125</v>
          </cell>
          <cell r="O19">
            <v>0.125</v>
          </cell>
          <cell r="P19">
            <v>0.125</v>
          </cell>
          <cell r="Q19">
            <v>0.125</v>
          </cell>
          <cell r="R19">
            <v>0.125</v>
          </cell>
          <cell r="S19">
            <v>0.125</v>
          </cell>
          <cell r="T19">
            <v>0.125</v>
          </cell>
          <cell r="U19">
            <v>0.125</v>
          </cell>
          <cell r="V19">
            <v>0.125</v>
          </cell>
        </row>
        <row r="20">
          <cell r="D20">
            <v>24</v>
          </cell>
          <cell r="E20">
            <v>26</v>
          </cell>
          <cell r="F20">
            <v>26.5</v>
          </cell>
          <cell r="G20">
            <v>27.17</v>
          </cell>
          <cell r="H20">
            <v>286.67</v>
          </cell>
          <cell r="I20">
            <v>281.49</v>
          </cell>
          <cell r="J20">
            <v>349.92257564102567</v>
          </cell>
          <cell r="K20">
            <v>0.2206459540273682</v>
          </cell>
          <cell r="L20">
            <v>325</v>
          </cell>
          <cell r="M20">
            <v>27.083333333333332</v>
          </cell>
          <cell r="N20">
            <v>25</v>
          </cell>
          <cell r="O20">
            <v>27</v>
          </cell>
          <cell r="P20">
            <v>27</v>
          </cell>
          <cell r="Q20">
            <v>27</v>
          </cell>
          <cell r="R20">
            <v>26.5</v>
          </cell>
          <cell r="S20">
            <v>26.5</v>
          </cell>
          <cell r="T20">
            <v>26.5</v>
          </cell>
          <cell r="U20">
            <v>27</v>
          </cell>
          <cell r="V20">
            <v>28</v>
          </cell>
        </row>
        <row r="21">
          <cell r="D21">
            <v>0.34</v>
          </cell>
          <cell r="F21">
            <v>0.34</v>
          </cell>
          <cell r="H21">
            <v>2</v>
          </cell>
          <cell r="I21">
            <v>1.9000000000000001</v>
          </cell>
          <cell r="J21">
            <v>2</v>
          </cell>
          <cell r="K21">
            <v>0</v>
          </cell>
          <cell r="L21">
            <v>2</v>
          </cell>
          <cell r="N21">
            <v>0.16</v>
          </cell>
          <cell r="O21">
            <v>0.16</v>
          </cell>
          <cell r="P21">
            <v>0.16</v>
          </cell>
          <cell r="Q21">
            <v>0.16</v>
          </cell>
          <cell r="R21">
            <v>0.16</v>
          </cell>
          <cell r="S21">
            <v>0.16</v>
          </cell>
          <cell r="T21">
            <v>0.16</v>
          </cell>
          <cell r="U21">
            <v>0.16</v>
          </cell>
          <cell r="V21">
            <v>0.16</v>
          </cell>
        </row>
        <row r="22">
          <cell r="D22">
            <v>4</v>
          </cell>
          <cell r="E22">
            <v>4</v>
          </cell>
          <cell r="F22">
            <v>4</v>
          </cell>
          <cell r="G22">
            <v>4</v>
          </cell>
          <cell r="H22">
            <v>48</v>
          </cell>
          <cell r="I22">
            <v>47.85</v>
          </cell>
          <cell r="J22">
            <v>94.754000000000005</v>
          </cell>
          <cell r="K22">
            <v>0.97404166666666669</v>
          </cell>
          <cell r="L22">
            <v>66</v>
          </cell>
          <cell r="N22">
            <v>5.5</v>
          </cell>
          <cell r="O22">
            <v>5.5</v>
          </cell>
          <cell r="P22">
            <v>5.5</v>
          </cell>
          <cell r="Q22">
            <v>5.5</v>
          </cell>
          <cell r="R22">
            <v>5.5</v>
          </cell>
          <cell r="S22">
            <v>5.5</v>
          </cell>
          <cell r="T22">
            <v>5.5</v>
          </cell>
          <cell r="U22">
            <v>5.5</v>
          </cell>
          <cell r="V22">
            <v>5.5</v>
          </cell>
        </row>
        <row r="23">
          <cell r="D23">
            <v>2.92</v>
          </cell>
          <cell r="E23">
            <v>2.92</v>
          </cell>
          <cell r="F23">
            <v>2.9</v>
          </cell>
          <cell r="G23">
            <v>2.9</v>
          </cell>
          <cell r="H23">
            <v>35</v>
          </cell>
          <cell r="I23">
            <v>34.11</v>
          </cell>
          <cell r="J23">
            <v>47.7</v>
          </cell>
          <cell r="K23">
            <v>0.36285714285714299</v>
          </cell>
          <cell r="L23">
            <v>45</v>
          </cell>
          <cell r="N23">
            <v>3.75</v>
          </cell>
          <cell r="O23">
            <v>3.75</v>
          </cell>
          <cell r="P23">
            <v>3.75</v>
          </cell>
          <cell r="Q23">
            <v>3.75</v>
          </cell>
          <cell r="R23">
            <v>3.75</v>
          </cell>
          <cell r="S23">
            <v>3.75</v>
          </cell>
          <cell r="T23">
            <v>3.75</v>
          </cell>
          <cell r="U23">
            <v>3.75</v>
          </cell>
          <cell r="V23">
            <v>3.75</v>
          </cell>
        </row>
        <row r="24">
          <cell r="D24">
            <v>0.65</v>
          </cell>
          <cell r="E24">
            <v>0.06</v>
          </cell>
          <cell r="F24">
            <v>0.06</v>
          </cell>
          <cell r="G24">
            <v>0.06</v>
          </cell>
          <cell r="H24">
            <v>1.9000000000000001</v>
          </cell>
          <cell r="I24">
            <v>1.7800000000000002</v>
          </cell>
          <cell r="J24">
            <v>3.65</v>
          </cell>
          <cell r="K24">
            <v>0.92105263157894712</v>
          </cell>
          <cell r="L24">
            <v>3.65</v>
          </cell>
          <cell r="N24">
            <v>0.44999999999999996</v>
          </cell>
          <cell r="O24">
            <v>0.2</v>
          </cell>
          <cell r="P24">
            <v>0.2</v>
          </cell>
          <cell r="Q24">
            <v>0.8</v>
          </cell>
          <cell r="R24">
            <v>0.6</v>
          </cell>
          <cell r="S24">
            <v>0.2</v>
          </cell>
          <cell r="T24">
            <v>0.2</v>
          </cell>
          <cell r="U24">
            <v>0.2</v>
          </cell>
          <cell r="V24">
            <v>0.2</v>
          </cell>
        </row>
        <row r="25">
          <cell r="D25">
            <v>4.7300000000000004</v>
          </cell>
          <cell r="E25">
            <v>4.7300000000000004</v>
          </cell>
          <cell r="F25">
            <v>4.7</v>
          </cell>
          <cell r="G25">
            <v>4.7</v>
          </cell>
          <cell r="H25">
            <v>56.7</v>
          </cell>
          <cell r="I25">
            <v>63.220000000000013</v>
          </cell>
          <cell r="J25">
            <v>88.757249999999999</v>
          </cell>
          <cell r="K25">
            <v>0.56538359788359771</v>
          </cell>
          <cell r="L25">
            <v>75</v>
          </cell>
          <cell r="M25">
            <v>6.25</v>
          </cell>
          <cell r="N25">
            <v>6.25</v>
          </cell>
          <cell r="O25">
            <v>6.25</v>
          </cell>
          <cell r="P25">
            <v>6.25</v>
          </cell>
          <cell r="Q25">
            <v>6.25</v>
          </cell>
          <cell r="R25">
            <v>6.25</v>
          </cell>
          <cell r="S25">
            <v>6.25</v>
          </cell>
          <cell r="T25">
            <v>6.25</v>
          </cell>
          <cell r="U25">
            <v>6.25</v>
          </cell>
          <cell r="V25">
            <v>6.25</v>
          </cell>
        </row>
        <row r="26">
          <cell r="D26">
            <v>0.59</v>
          </cell>
          <cell r="E26">
            <v>0.59</v>
          </cell>
          <cell r="F26">
            <v>0.59</v>
          </cell>
          <cell r="G26">
            <v>0.54</v>
          </cell>
          <cell r="H26">
            <v>7.0299999999999994</v>
          </cell>
          <cell r="I26">
            <v>6.81</v>
          </cell>
          <cell r="J26">
            <v>9</v>
          </cell>
          <cell r="K26">
            <v>0.28022759601706992</v>
          </cell>
          <cell r="L26">
            <v>9</v>
          </cell>
          <cell r="N26">
            <v>0.75</v>
          </cell>
          <cell r="O26">
            <v>0.75</v>
          </cell>
          <cell r="P26">
            <v>0.75</v>
          </cell>
          <cell r="Q26">
            <v>0.75</v>
          </cell>
          <cell r="R26">
            <v>0.75</v>
          </cell>
          <cell r="S26">
            <v>0.75</v>
          </cell>
          <cell r="T26">
            <v>0.75</v>
          </cell>
          <cell r="U26">
            <v>0.75</v>
          </cell>
          <cell r="V26">
            <v>0.75</v>
          </cell>
        </row>
        <row r="27">
          <cell r="D27">
            <v>0.42</v>
          </cell>
          <cell r="E27">
            <v>0.42</v>
          </cell>
          <cell r="F27">
            <v>0.4</v>
          </cell>
          <cell r="G27">
            <v>0.4</v>
          </cell>
          <cell r="H27">
            <v>5</v>
          </cell>
          <cell r="I27">
            <v>4.34</v>
          </cell>
          <cell r="J27">
            <v>0.68500000000000005</v>
          </cell>
          <cell r="K27">
            <v>-0.86299999999999999</v>
          </cell>
          <cell r="L27">
            <v>0.69</v>
          </cell>
          <cell r="M27">
            <v>5.7499999999999996E-2</v>
          </cell>
          <cell r="N27">
            <v>5.7500000000000002E-2</v>
          </cell>
          <cell r="O27">
            <v>5.7500000000000002E-2</v>
          </cell>
          <cell r="P27">
            <v>5.7500000000000002E-2</v>
          </cell>
          <cell r="Q27">
            <v>5.7500000000000002E-2</v>
          </cell>
          <cell r="R27">
            <v>5.7500000000000002E-2</v>
          </cell>
          <cell r="S27">
            <v>5.7500000000000002E-2</v>
          </cell>
          <cell r="T27">
            <v>5.7500000000000002E-2</v>
          </cell>
          <cell r="U27">
            <v>5.7500000000000002E-2</v>
          </cell>
          <cell r="V27">
            <v>5.7500000000000002E-2</v>
          </cell>
        </row>
        <row r="28">
          <cell r="D28">
            <v>3.41</v>
          </cell>
          <cell r="E28">
            <v>3.41</v>
          </cell>
          <cell r="F28">
            <v>3.39</v>
          </cell>
          <cell r="G28">
            <v>3.39</v>
          </cell>
          <cell r="H28">
            <v>40.880000000000003</v>
          </cell>
          <cell r="I28">
            <v>38.799999999999997</v>
          </cell>
          <cell r="J28">
            <v>50.09</v>
          </cell>
          <cell r="K28">
            <v>0.22529354207436403</v>
          </cell>
          <cell r="L28">
            <v>47.09</v>
          </cell>
          <cell r="M28">
            <v>3.9241666666666668</v>
          </cell>
          <cell r="N28">
            <v>3.9241666666666668</v>
          </cell>
          <cell r="O28">
            <v>3.9241666666666668</v>
          </cell>
          <cell r="P28">
            <v>3.9241666666666668</v>
          </cell>
          <cell r="Q28">
            <v>3.9241666666666668</v>
          </cell>
          <cell r="R28">
            <v>3.9241666666666668</v>
          </cell>
          <cell r="S28">
            <v>3.9241666666666668</v>
          </cell>
          <cell r="T28">
            <v>3.9241666666666668</v>
          </cell>
          <cell r="U28">
            <v>3.9241666666666668</v>
          </cell>
          <cell r="V28">
            <v>3.9241666666666668</v>
          </cell>
        </row>
        <row r="29">
          <cell r="D29">
            <v>0.03</v>
          </cell>
          <cell r="E29">
            <v>0.02</v>
          </cell>
          <cell r="F29">
            <v>0.02</v>
          </cell>
          <cell r="G29">
            <v>0.02</v>
          </cell>
          <cell r="H29">
            <v>0.9</v>
          </cell>
          <cell r="I29">
            <v>0.19999999999999998</v>
          </cell>
          <cell r="J29">
            <v>0.216</v>
          </cell>
          <cell r="K29">
            <v>-0.76</v>
          </cell>
          <cell r="L29">
            <v>0.22</v>
          </cell>
          <cell r="N29">
            <v>0.05</v>
          </cell>
          <cell r="V29">
            <v>0.15</v>
          </cell>
        </row>
        <row r="30">
          <cell r="D30">
            <v>0.63</v>
          </cell>
          <cell r="E30">
            <v>0.63</v>
          </cell>
          <cell r="F30">
            <v>0.63</v>
          </cell>
          <cell r="G30">
            <v>0.63</v>
          </cell>
          <cell r="H30">
            <v>7.1099999999999994</v>
          </cell>
          <cell r="I30">
            <v>7.3299999999999992</v>
          </cell>
          <cell r="J30">
            <v>9</v>
          </cell>
          <cell r="K30">
            <v>0.26582278481012667</v>
          </cell>
          <cell r="L30">
            <v>8</v>
          </cell>
          <cell r="M30">
            <v>0.66666666666666663</v>
          </cell>
          <cell r="N30">
            <v>0.66666666666666663</v>
          </cell>
          <cell r="O30">
            <v>0.66666666666666663</v>
          </cell>
          <cell r="P30">
            <v>0.66666666666666663</v>
          </cell>
          <cell r="Q30">
            <v>0.66666666666666663</v>
          </cell>
          <cell r="R30">
            <v>0.66666666666666663</v>
          </cell>
          <cell r="S30">
            <v>0.66666666666666663</v>
          </cell>
          <cell r="T30">
            <v>0.66666666666666663</v>
          </cell>
          <cell r="U30">
            <v>0.66666666666666663</v>
          </cell>
          <cell r="V30">
            <v>0.66666666666666663</v>
          </cell>
        </row>
        <row r="31">
          <cell r="D31">
            <v>0.24</v>
          </cell>
          <cell r="E31">
            <v>0.24</v>
          </cell>
          <cell r="F31">
            <v>0.24</v>
          </cell>
          <cell r="G31">
            <v>0.25</v>
          </cell>
          <cell r="H31">
            <v>2.96</v>
          </cell>
          <cell r="I31">
            <v>2.6500000000000004</v>
          </cell>
          <cell r="J31">
            <v>0.65</v>
          </cell>
          <cell r="K31">
            <v>-0.78040540540540537</v>
          </cell>
          <cell r="L31">
            <v>0.65</v>
          </cell>
          <cell r="M31">
            <v>5.4166666666666669E-2</v>
          </cell>
          <cell r="N31">
            <v>5.4166666666666669E-2</v>
          </cell>
          <cell r="O31">
            <v>5.4166666666666669E-2</v>
          </cell>
          <cell r="P31">
            <v>5.4166666666666669E-2</v>
          </cell>
          <cell r="Q31">
            <v>5.4166666666666669E-2</v>
          </cell>
          <cell r="R31">
            <v>5.4166666666666669E-2</v>
          </cell>
          <cell r="S31">
            <v>5.4166666666666669E-2</v>
          </cell>
          <cell r="T31">
            <v>5.4166666666666669E-2</v>
          </cell>
          <cell r="U31">
            <v>5.4166666666666669E-2</v>
          </cell>
          <cell r="V31">
            <v>5.4166666666666669E-2</v>
          </cell>
        </row>
        <row r="32">
          <cell r="D32">
            <v>0.3</v>
          </cell>
          <cell r="E32">
            <v>0.3</v>
          </cell>
          <cell r="F32">
            <v>0.3</v>
          </cell>
          <cell r="G32">
            <v>0.3</v>
          </cell>
          <cell r="H32">
            <v>3.6466599999999998</v>
          </cell>
          <cell r="I32">
            <v>3.4699999999999993</v>
          </cell>
          <cell r="J32">
            <v>6.45</v>
          </cell>
          <cell r="K32">
            <v>0.76874180757186039</v>
          </cell>
          <cell r="L32">
            <v>6.45</v>
          </cell>
          <cell r="M32">
            <v>0.53749999999999998</v>
          </cell>
          <cell r="N32">
            <v>0.53749999999999998</v>
          </cell>
          <cell r="O32">
            <v>0.53749999999999998</v>
          </cell>
          <cell r="P32">
            <v>0.53749999999999998</v>
          </cell>
          <cell r="Q32">
            <v>0.53749999999999998</v>
          </cell>
          <cell r="R32">
            <v>0.53749999999999998</v>
          </cell>
          <cell r="S32">
            <v>0.53749999999999998</v>
          </cell>
          <cell r="T32">
            <v>0.53749999999999998</v>
          </cell>
          <cell r="U32">
            <v>0.53749999999999998</v>
          </cell>
          <cell r="V32">
            <v>0.53749999999999998</v>
          </cell>
        </row>
        <row r="33">
          <cell r="D33">
            <v>0.18</v>
          </cell>
          <cell r="E33">
            <v>0.18</v>
          </cell>
          <cell r="F33">
            <v>0.18</v>
          </cell>
          <cell r="G33">
            <v>0.18</v>
          </cell>
          <cell r="H33">
            <v>2.0999999999999996</v>
          </cell>
          <cell r="I33">
            <v>2.06</v>
          </cell>
          <cell r="J33">
            <v>3</v>
          </cell>
          <cell r="K33">
            <v>0.42857142857142883</v>
          </cell>
          <cell r="L33">
            <v>3</v>
          </cell>
          <cell r="M33">
            <v>0.25</v>
          </cell>
          <cell r="N33">
            <v>0.25</v>
          </cell>
          <cell r="O33">
            <v>0.25</v>
          </cell>
          <cell r="P33">
            <v>0.25</v>
          </cell>
          <cell r="Q33">
            <v>0.25</v>
          </cell>
          <cell r="R33">
            <v>0.25</v>
          </cell>
          <cell r="S33">
            <v>0.25</v>
          </cell>
          <cell r="T33">
            <v>0.25</v>
          </cell>
          <cell r="U33">
            <v>0.25</v>
          </cell>
          <cell r="V33">
            <v>0.25</v>
          </cell>
        </row>
        <row r="34">
          <cell r="D34">
            <v>1.08</v>
          </cell>
          <cell r="E34">
            <v>1.08</v>
          </cell>
          <cell r="F34">
            <v>1.1000000000000001</v>
          </cell>
          <cell r="G34">
            <v>1.1000000000000001</v>
          </cell>
          <cell r="H34">
            <v>13</v>
          </cell>
          <cell r="I34">
            <v>10.91</v>
          </cell>
          <cell r="J34">
            <v>16.2</v>
          </cell>
          <cell r="K34">
            <v>0.24615384615384617</v>
          </cell>
          <cell r="L34">
            <v>15</v>
          </cell>
          <cell r="M34">
            <v>1.25</v>
          </cell>
          <cell r="N34">
            <v>1.25</v>
          </cell>
          <cell r="O34">
            <v>1.25</v>
          </cell>
          <cell r="P34">
            <v>1.25</v>
          </cell>
          <cell r="Q34">
            <v>1.25</v>
          </cell>
          <cell r="R34">
            <v>1.25</v>
          </cell>
          <cell r="S34">
            <v>1.25</v>
          </cell>
          <cell r="T34">
            <v>1.25</v>
          </cell>
          <cell r="U34">
            <v>1.25</v>
          </cell>
          <cell r="V34">
            <v>1.25</v>
          </cell>
        </row>
        <row r="35">
          <cell r="D35">
            <v>0.42</v>
          </cell>
          <cell r="E35">
            <v>0.42</v>
          </cell>
          <cell r="F35">
            <v>0.4</v>
          </cell>
          <cell r="G35">
            <v>0.4</v>
          </cell>
          <cell r="H35">
            <v>5</v>
          </cell>
          <cell r="I35">
            <v>4.42</v>
          </cell>
          <cell r="J35">
            <v>6.3</v>
          </cell>
          <cell r="K35">
            <v>0.26</v>
          </cell>
          <cell r="L35">
            <v>6.3</v>
          </cell>
          <cell r="M35">
            <v>0.52500000000000002</v>
          </cell>
          <cell r="N35">
            <v>0.52500000000000002</v>
          </cell>
          <cell r="O35">
            <v>0.52500000000000002</v>
          </cell>
          <cell r="P35">
            <v>0.52500000000000002</v>
          </cell>
          <cell r="Q35">
            <v>0.52500000000000002</v>
          </cell>
          <cell r="R35">
            <v>0.52500000000000002</v>
          </cell>
          <cell r="S35">
            <v>0.52500000000000002</v>
          </cell>
          <cell r="T35">
            <v>0.52500000000000002</v>
          </cell>
          <cell r="U35">
            <v>0.52500000000000002</v>
          </cell>
          <cell r="V35">
            <v>0.52500000000000002</v>
          </cell>
        </row>
        <row r="36">
          <cell r="D36">
            <v>0.33</v>
          </cell>
          <cell r="E36">
            <v>0.33</v>
          </cell>
          <cell r="F36">
            <v>0.35</v>
          </cell>
          <cell r="G36">
            <v>0.35</v>
          </cell>
          <cell r="H36">
            <v>4</v>
          </cell>
          <cell r="I36">
            <v>3.3800000000000003</v>
          </cell>
          <cell r="J36">
            <v>6.9</v>
          </cell>
          <cell r="K36">
            <v>0.72500000000000009</v>
          </cell>
          <cell r="L36">
            <v>6.9</v>
          </cell>
          <cell r="M36">
            <v>0.57500000000000007</v>
          </cell>
          <cell r="N36">
            <v>0.57499999999999996</v>
          </cell>
          <cell r="O36">
            <v>0.57499999999999996</v>
          </cell>
          <cell r="P36">
            <v>0.57499999999999996</v>
          </cell>
          <cell r="Q36">
            <v>0.57499999999999996</v>
          </cell>
          <cell r="R36">
            <v>0.57499999999999996</v>
          </cell>
          <cell r="S36">
            <v>0.57499999999999996</v>
          </cell>
          <cell r="T36">
            <v>0.57499999999999996</v>
          </cell>
          <cell r="U36">
            <v>0.57499999999999996</v>
          </cell>
          <cell r="V36">
            <v>0.57499999999999996</v>
          </cell>
        </row>
        <row r="37">
          <cell r="D37">
            <v>63.53</v>
          </cell>
          <cell r="E37">
            <v>59.73</v>
          </cell>
          <cell r="F37">
            <v>60.47</v>
          </cell>
          <cell r="G37">
            <v>62.75</v>
          </cell>
          <cell r="H37">
            <v>728.83666000000005</v>
          </cell>
          <cell r="I37">
            <v>732</v>
          </cell>
          <cell r="J37">
            <v>1087.9764406410256</v>
          </cell>
          <cell r="K37">
            <v>0.49275756880975985</v>
          </cell>
          <cell r="L37">
            <v>902.36</v>
          </cell>
          <cell r="N37">
            <v>75.37</v>
          </cell>
          <cell r="O37">
            <v>72.099999999999994</v>
          </cell>
          <cell r="P37">
            <v>71.97</v>
          </cell>
          <cell r="Q37">
            <v>72.52</v>
          </cell>
          <cell r="R37">
            <v>71.990000000000009</v>
          </cell>
          <cell r="S37">
            <v>88.55</v>
          </cell>
          <cell r="T37">
            <v>71.52</v>
          </cell>
          <cell r="U37">
            <v>76.070000000000007</v>
          </cell>
          <cell r="V37">
            <v>80.64</v>
          </cell>
        </row>
      </sheetData>
      <sheetData sheetId="31"/>
      <sheetData sheetId="32"/>
      <sheetData sheetId="33" refreshError="1"/>
      <sheetData sheetId="34" refreshError="1"/>
      <sheetData sheetId="3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Ratio"/>
      <sheetName val="Sheet2"/>
      <sheetName val="1-(RS) Lacs"/>
      <sheetName val="FDR RS 100.10 CRORE-Feb10"/>
      <sheetName val="A&amp;L"/>
      <sheetName val="CHL Format"/>
      <sheetName val="SEBI-Draft_SEPT"/>
      <sheetName val="TB_Nutralite_July"/>
      <sheetName val="TB_CPD_July10"/>
      <sheetName val="1-(RS) In Lacs"/>
      <sheetName val="Related Party"/>
      <sheetName val="CPD "/>
      <sheetName val="Nutra"/>
      <sheetName val="FDR Jul.10"/>
      <sheetName val="Format FSV_Main"/>
      <sheetName val="1-(Tho)"/>
      <sheetName val="Pending Entries"/>
      <sheetName val="Carnation + CPD_asis"/>
      <sheetName val="SEBI-Draft"/>
      <sheetName val="TB_Nutralite_June"/>
      <sheetName val="Nutralite_Prov "/>
      <sheetName val="TB_CPD_June"/>
      <sheetName val="CPD_Prov"/>
      <sheetName val="O_S"/>
      <sheetName val="Reco of Profit"/>
      <sheetName val="3. Related Party Trns"/>
      <sheetName val=" WC"/>
      <sheetName val="Prov_ZWL_May10"/>
      <sheetName val="Sheet7"/>
      <sheetName val="Sheet6"/>
      <sheetName val="Provision"/>
      <sheetName val="Reco"/>
      <sheetName val="TB_ZWL"/>
      <sheetName val="TB_Nutralite"/>
      <sheetName val="TB_CPd"/>
      <sheetName val="Computation"/>
      <sheetName val="Int 234B&amp;C"/>
      <sheetName val="MAT working"/>
      <sheetName val="Dep_0910"/>
      <sheetName val="9"/>
      <sheetName val="10"/>
      <sheetName val="Deferred Tax (2)"/>
      <sheetName val="Leave Encashment"/>
      <sheetName val="Sheet1"/>
      <sheetName val="Sheet4"/>
      <sheetName val="Sheet5"/>
      <sheetName val="Reco of Stock"/>
      <sheetName val="Loan &amp; Adv"/>
      <sheetName val="Advance details"/>
      <sheetName val="Craditors"/>
      <sheetName val="17040460"/>
      <sheetName val="Loan&amp;Adv"/>
      <sheetName val="1-(RS)_Consolidated"/>
      <sheetName val="1_Lacs (Conso)"/>
      <sheetName val="1-(RS) Lacs_Consolidated (2)"/>
      <sheetName val="Sheet2 (2)"/>
      <sheetName val="Related Party_ZWL"/>
      <sheetName val="Related Party_ZWS"/>
      <sheetName val=" WC Oct 11"/>
      <sheetName val="Nutralite_Oct11"/>
      <sheetName val="CPD_Oct 11"/>
      <sheetName val="Sikkim_Oct 11"/>
      <sheetName val="H - S Bs"/>
      <sheetName val="ZWL_BS"/>
      <sheetName val="ZWS_BS"/>
      <sheetName val="Provisions_Final"/>
      <sheetName val="Interest_ZWL"/>
      <sheetName val="Interest_ZWS"/>
      <sheetName val="April to Sep-2011"/>
      <sheetName val="Prov_Aug11"/>
      <sheetName val="Nutralite"/>
      <sheetName val="Sikk"/>
      <sheetName val="CPD"/>
      <sheetName val=" WC "/>
      <sheetName val="TB_Nutralite_June11"/>
      <sheetName val="TB_CPD_June11"/>
      <sheetName val="FEB.11 Prov "/>
      <sheetName val="TB Nutra FEB11"/>
      <sheetName val="Nutra Provision"/>
      <sheetName val="TB CPD FEB11"/>
      <sheetName val="CPD Provision"/>
      <sheetName val="Profit Reco"/>
      <sheetName val="exp dabha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ow r="7">
          <cell r="J7" t="str">
            <v>ZWL</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S Working- Yash"/>
      <sheetName val="Result "/>
      <sheetName val="BS"/>
      <sheetName val="Newspaper"/>
      <sheetName val="Regulation 33 - Balance Sheet_"/>
      <sheetName val="Regulation 33 - Results"/>
      <sheetName val="Current Non Current of Loan Q2 "/>
      <sheetName val="Debtors Creditors Q2"/>
      <sheetName val="Lease Liab Q2"/>
      <sheetName val="Gratuity Provision "/>
      <sheetName val="Regulation 33 - Balance Sheet"/>
      <sheetName val="Cashflow"/>
      <sheetName val="EPS Working (2)"/>
      <sheetName val="Standalone - Cashflow- Before M"/>
      <sheetName val="TB-30-09-2021"/>
      <sheetName val="TB - F.Y. 2022-23 (Half Yearly)"/>
      <sheetName val="Sheet1"/>
      <sheetName val="DTA-DTL LMIL Q2 2022-23"/>
      <sheetName val="Result Working Final - LSIPL"/>
      <sheetName val="Main Working Sheet - Final"/>
      <sheetName val="Adjustment Working F.Y. 2021-22"/>
      <sheetName val="Half yearly P&amp;L - 2020-21"/>
      <sheetName val="LMIL - P&amp;L - Q2 (FY 2022-23)"/>
      <sheetName val="LMIL - BS SUMIF Formula"/>
      <sheetName val="Working File Q2 P&amp;L"/>
      <sheetName val="Working File Q2 BS"/>
      <sheetName val="q2_FY2020-21"/>
      <sheetName val="Analytic review"/>
      <sheetName val="Latim Sourcing_profit"/>
      <sheetName val="Provision for Tax"/>
      <sheetName val="Latim Metals - TB"/>
      <sheetName val="EPS Working"/>
      <sheetName val="Q2 FY 21-22"/>
      <sheetName val="DTA DTL_ OLD"/>
      <sheetName val="IT PROVISION_"/>
      <sheetName val="latim metal IND AS 116"/>
      <sheetName val="LATIM SOURCING IND AS 116"/>
      <sheetName val="Trial Balance LS"/>
      <sheetName val="BS Q2 21-22"/>
      <sheetName val="PNL Q2 21-22"/>
      <sheetName val="INDAS 116 METALS"/>
      <sheetName val="DTA DTL"/>
      <sheetName val="Def Tax"/>
    </sheetNames>
    <sheetDataSet>
      <sheetData sheetId="0"/>
      <sheetData sheetId="1"/>
      <sheetData sheetId="2"/>
      <sheetData sheetId="3"/>
      <sheetData sheetId="4"/>
      <sheetData sheetId="5">
        <row r="36">
          <cell r="K36">
            <v>260.77532006964867</v>
          </cell>
          <cell r="N36">
            <v>422.84532006964838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spaper"/>
      <sheetName val="Regulation 33 - Results"/>
      <sheetName val="Regulation 33 - Balance Sheet"/>
      <sheetName val="TB-30-09-2021"/>
      <sheetName val="q2_FY2020-21"/>
      <sheetName val="Adjustment Working"/>
      <sheetName val="Consolidated - Cashflow"/>
      <sheetName val="Sheet1"/>
      <sheetName val="Standalone - Cashflow"/>
      <sheetName val="Analytic review"/>
      <sheetName val="Latim Sourcing_profit"/>
      <sheetName val="Provision for Tax"/>
      <sheetName val="Latim Metals - TB"/>
      <sheetName val="EPS Working"/>
      <sheetName val="Q2 FY 21-22"/>
      <sheetName val="BS Q2 21-22"/>
      <sheetName val="PNL Q2 21-22"/>
      <sheetName val="INDAS 116 METALS"/>
      <sheetName val="DTA DTL"/>
      <sheetName val="Def Tax"/>
    </sheetNames>
    <sheetDataSet>
      <sheetData sheetId="0"/>
      <sheetData sheetId="1">
        <row r="40">
          <cell r="H40">
            <v>318.63655066999979</v>
          </cell>
        </row>
      </sheetData>
      <sheetData sheetId="2"/>
      <sheetData sheetId="3"/>
      <sheetData sheetId="4"/>
      <sheetData sheetId="5"/>
      <sheetData sheetId="6"/>
      <sheetData sheetId="7"/>
      <sheetData sheetId="8"/>
      <sheetData sheetId="9"/>
      <sheetData sheetId="10"/>
      <sheetData sheetId="11"/>
      <sheetData sheetId="12">
        <row r="10">
          <cell r="F10">
            <v>1073.346</v>
          </cell>
        </row>
        <row r="11">
          <cell r="F11">
            <v>24.9</v>
          </cell>
        </row>
        <row r="12">
          <cell r="F12">
            <v>858.24300000000005</v>
          </cell>
        </row>
        <row r="15">
          <cell r="F15">
            <v>37.207999999999998</v>
          </cell>
        </row>
        <row r="17">
          <cell r="E17">
            <v>3.5139999999999998</v>
          </cell>
        </row>
        <row r="18">
          <cell r="F18">
            <v>0.64100000000000001</v>
          </cell>
        </row>
        <row r="19">
          <cell r="F19">
            <v>28.74</v>
          </cell>
        </row>
        <row r="20">
          <cell r="F20">
            <v>619.745</v>
          </cell>
        </row>
        <row r="21">
          <cell r="F21">
            <v>49.640999999999998</v>
          </cell>
        </row>
        <row r="22">
          <cell r="F22">
            <v>0.15</v>
          </cell>
        </row>
        <row r="23">
          <cell r="F23">
            <v>63.188000000000002</v>
          </cell>
        </row>
        <row r="25">
          <cell r="E25">
            <v>0.83099999999999996</v>
          </cell>
        </row>
        <row r="26">
          <cell r="E26">
            <v>4.2999999999999997E-2</v>
          </cell>
        </row>
        <row r="27">
          <cell r="E27">
            <v>1.4E-2</v>
          </cell>
        </row>
        <row r="28">
          <cell r="E28">
            <v>13.159000000000001</v>
          </cell>
        </row>
        <row r="29">
          <cell r="E29">
            <v>3.476</v>
          </cell>
        </row>
        <row r="30">
          <cell r="E30">
            <v>48.381999999999998</v>
          </cell>
        </row>
        <row r="32">
          <cell r="E32">
            <v>565.60599999999999</v>
          </cell>
        </row>
        <row r="35">
          <cell r="E35">
            <v>6</v>
          </cell>
        </row>
        <row r="36">
          <cell r="E36">
            <v>36.999000000000002</v>
          </cell>
        </row>
        <row r="37">
          <cell r="F37">
            <v>87.679000000000002</v>
          </cell>
        </row>
        <row r="38">
          <cell r="E38">
            <v>422.04400000000004</v>
          </cell>
        </row>
        <row r="39">
          <cell r="E39">
            <v>3.121</v>
          </cell>
        </row>
        <row r="40">
          <cell r="E40">
            <v>3.8940000000000001</v>
          </cell>
        </row>
        <row r="41">
          <cell r="E41">
            <v>10.571</v>
          </cell>
        </row>
        <row r="42">
          <cell r="E42">
            <v>253.00800000000001</v>
          </cell>
        </row>
        <row r="43">
          <cell r="E43">
            <v>418.74799999999999</v>
          </cell>
        </row>
        <row r="44">
          <cell r="E44">
            <v>655.20100000000002</v>
          </cell>
        </row>
        <row r="45">
          <cell r="E45">
            <v>0.98799999999999999</v>
          </cell>
        </row>
        <row r="46">
          <cell r="E46">
            <v>0.34399999999999997</v>
          </cell>
        </row>
        <row r="48">
          <cell r="E48">
            <v>336.69600000000003</v>
          </cell>
        </row>
      </sheetData>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spaper"/>
      <sheetName val="Regulation 33 - Results"/>
      <sheetName val="Other Expense"/>
      <sheetName val="P&amp;l Q3"/>
      <sheetName val="PUR-SALE"/>
      <sheetName val="Working"/>
      <sheetName val="EPS Working"/>
      <sheetName val="Regulation 33 - Balance Sheet"/>
      <sheetName val="Cashflow"/>
      <sheetName val="Working File Q2 P&amp;L"/>
      <sheetName val="Working File Q2 BS"/>
    </sheetNames>
    <sheetDataSet>
      <sheetData sheetId="0" refreshError="1"/>
      <sheetData sheetId="1">
        <row r="42">
          <cell r="M42">
            <v>98.510000000000801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l Balance - Umergaon"/>
      <sheetName val="Trial Balance - Jaipur"/>
      <sheetName val="Trial Balance - H.O."/>
      <sheetName val="Trial Balance - Cochin"/>
      <sheetName val="Trial Balance - Chennai"/>
      <sheetName val="Result Working Final - LSIPL"/>
      <sheetName val="Consolidated"/>
    </sheetNames>
    <sheetDataSet>
      <sheetData sheetId="0">
        <row r="57">
          <cell r="F57">
            <v>574982387.5</v>
          </cell>
        </row>
        <row r="66">
          <cell r="F66">
            <v>13428414.66</v>
          </cell>
        </row>
        <row r="78">
          <cell r="F78">
            <v>437</v>
          </cell>
        </row>
        <row r="79">
          <cell r="F79">
            <v>3675550</v>
          </cell>
        </row>
        <row r="80">
          <cell r="F80">
            <v>45977</v>
          </cell>
        </row>
        <row r="82">
          <cell r="F82">
            <v>21000</v>
          </cell>
        </row>
        <row r="83">
          <cell r="F83">
            <v>1060719.1000000001</v>
          </cell>
        </row>
        <row r="84">
          <cell r="F84">
            <v>25045.3</v>
          </cell>
        </row>
        <row r="85">
          <cell r="F85">
            <v>25</v>
          </cell>
        </row>
        <row r="86">
          <cell r="F86">
            <v>492339</v>
          </cell>
        </row>
        <row r="87">
          <cell r="F87">
            <v>5697939</v>
          </cell>
        </row>
        <row r="88">
          <cell r="F88">
            <v>429496</v>
          </cell>
        </row>
        <row r="89">
          <cell r="F89">
            <v>716214.25</v>
          </cell>
        </row>
        <row r="90">
          <cell r="F90">
            <v>29185</v>
          </cell>
        </row>
        <row r="91">
          <cell r="F91">
            <v>86073.95</v>
          </cell>
        </row>
        <row r="92">
          <cell r="F92">
            <v>124241.09</v>
          </cell>
        </row>
        <row r="93">
          <cell r="F93">
            <v>920426</v>
          </cell>
        </row>
        <row r="94">
          <cell r="F94">
            <v>4993678.42</v>
          </cell>
        </row>
        <row r="95">
          <cell r="F95">
            <v>184299</v>
          </cell>
        </row>
        <row r="96">
          <cell r="F96">
            <v>3642880.5</v>
          </cell>
        </row>
        <row r="97">
          <cell r="F97">
            <v>17868</v>
          </cell>
        </row>
        <row r="98">
          <cell r="F98">
            <v>67000</v>
          </cell>
        </row>
        <row r="99">
          <cell r="F99">
            <v>2333685</v>
          </cell>
        </row>
        <row r="100">
          <cell r="F100">
            <v>3110245.41</v>
          </cell>
        </row>
        <row r="101">
          <cell r="F101">
            <v>797</v>
          </cell>
        </row>
        <row r="102">
          <cell r="F102">
            <v>99101.5</v>
          </cell>
        </row>
        <row r="103">
          <cell r="F103">
            <v>305603.26</v>
          </cell>
        </row>
        <row r="104">
          <cell r="F104">
            <v>6000</v>
          </cell>
        </row>
        <row r="105">
          <cell r="F105">
            <v>953.7</v>
          </cell>
        </row>
        <row r="106">
          <cell r="F106">
            <v>889737</v>
          </cell>
        </row>
        <row r="107">
          <cell r="F107">
            <v>2871667</v>
          </cell>
        </row>
        <row r="108">
          <cell r="F108">
            <v>1450</v>
          </cell>
        </row>
        <row r="109">
          <cell r="F109">
            <v>6000</v>
          </cell>
        </row>
        <row r="110">
          <cell r="F110">
            <v>-13250</v>
          </cell>
        </row>
        <row r="111">
          <cell r="F111">
            <v>4660.46</v>
          </cell>
        </row>
        <row r="112">
          <cell r="F112">
            <v>-321.05</v>
          </cell>
        </row>
        <row r="113">
          <cell r="F113">
            <v>191732</v>
          </cell>
        </row>
        <row r="114">
          <cell r="F114">
            <v>7026</v>
          </cell>
        </row>
      </sheetData>
      <sheetData sheetId="1"/>
      <sheetData sheetId="2">
        <row r="63">
          <cell r="F63">
            <v>88165513.349999994</v>
          </cell>
        </row>
        <row r="66">
          <cell r="F66">
            <v>86421734.849999994</v>
          </cell>
        </row>
        <row r="67">
          <cell r="F67">
            <v>899</v>
          </cell>
        </row>
        <row r="69">
          <cell r="F69">
            <v>99014.58</v>
          </cell>
        </row>
        <row r="70">
          <cell r="F70">
            <v>1001062.87</v>
          </cell>
        </row>
        <row r="71">
          <cell r="F71">
            <v>1033955</v>
          </cell>
        </row>
        <row r="72">
          <cell r="F72">
            <v>872193</v>
          </cell>
        </row>
        <row r="73">
          <cell r="F73">
            <v>707365</v>
          </cell>
        </row>
        <row r="74">
          <cell r="F74">
            <v>287303.69</v>
          </cell>
        </row>
        <row r="76">
          <cell r="F76">
            <v>98378.948000000004</v>
          </cell>
        </row>
        <row r="77">
          <cell r="F77">
            <v>15174.5</v>
          </cell>
        </row>
        <row r="78">
          <cell r="F78">
            <v>16854</v>
          </cell>
        </row>
        <row r="79">
          <cell r="F79">
            <v>11716933.390000001</v>
          </cell>
        </row>
        <row r="80">
          <cell r="F80">
            <v>673636</v>
          </cell>
        </row>
        <row r="81">
          <cell r="F81">
            <v>12004.928</v>
          </cell>
        </row>
        <row r="82">
          <cell r="F82">
            <v>114715.48</v>
          </cell>
        </row>
        <row r="83">
          <cell r="F83">
            <v>220093.72</v>
          </cell>
        </row>
        <row r="84">
          <cell r="F84">
            <v>3299634.5</v>
          </cell>
        </row>
        <row r="85">
          <cell r="F85">
            <v>23404</v>
          </cell>
        </row>
        <row r="86">
          <cell r="F86">
            <v>8335.35</v>
          </cell>
        </row>
        <row r="87">
          <cell r="F87">
            <v>100000</v>
          </cell>
        </row>
        <row r="88">
          <cell r="F88">
            <v>3653</v>
          </cell>
        </row>
        <row r="89">
          <cell r="F89">
            <v>97998</v>
          </cell>
        </row>
        <row r="90">
          <cell r="F90">
            <v>166670.79999999999</v>
          </cell>
        </row>
        <row r="91">
          <cell r="F91">
            <v>72311.75</v>
          </cell>
        </row>
        <row r="92">
          <cell r="F92">
            <v>5000</v>
          </cell>
        </row>
        <row r="93">
          <cell r="F93">
            <v>177272</v>
          </cell>
        </row>
        <row r="94">
          <cell r="F94">
            <v>-8009</v>
          </cell>
        </row>
        <row r="95">
          <cell r="F95">
            <v>3000</v>
          </cell>
        </row>
      </sheetData>
      <sheetData sheetId="3">
        <row r="35">
          <cell r="F35">
            <v>68653</v>
          </cell>
        </row>
        <row r="36">
          <cell r="F36">
            <v>24252698.829999998</v>
          </cell>
        </row>
        <row r="38">
          <cell r="F38">
            <v>28503219.5</v>
          </cell>
        </row>
        <row r="40">
          <cell r="F40">
            <v>282925</v>
          </cell>
        </row>
        <row r="42">
          <cell r="F42">
            <v>137763</v>
          </cell>
        </row>
        <row r="43">
          <cell r="F43">
            <v>14635.281999999999</v>
          </cell>
        </row>
        <row r="44">
          <cell r="F44">
            <v>10800</v>
          </cell>
        </row>
        <row r="45">
          <cell r="F45">
            <v>51859</v>
          </cell>
        </row>
        <row r="46">
          <cell r="F46">
            <v>440</v>
          </cell>
        </row>
        <row r="47">
          <cell r="F47">
            <v>132475.20000000001</v>
          </cell>
        </row>
        <row r="48">
          <cell r="F48">
            <v>150</v>
          </cell>
        </row>
        <row r="49">
          <cell r="F49">
            <v>600</v>
          </cell>
        </row>
        <row r="50">
          <cell r="F50">
            <v>150</v>
          </cell>
        </row>
        <row r="51">
          <cell r="F51">
            <v>1298</v>
          </cell>
        </row>
        <row r="52">
          <cell r="F52">
            <v>19192</v>
          </cell>
        </row>
      </sheetData>
      <sheetData sheetId="4">
        <row r="31">
          <cell r="F31">
            <v>6609432</v>
          </cell>
        </row>
        <row r="32">
          <cell r="F32">
            <v>26491788</v>
          </cell>
        </row>
        <row r="34">
          <cell r="F34">
            <v>91908.08</v>
          </cell>
        </row>
        <row r="35">
          <cell r="F35">
            <v>51000</v>
          </cell>
        </row>
        <row r="37">
          <cell r="F37">
            <v>613950</v>
          </cell>
        </row>
        <row r="39">
          <cell r="F39">
            <v>107304.4</v>
          </cell>
        </row>
        <row r="40">
          <cell r="F40">
            <v>3.18</v>
          </cell>
        </row>
        <row r="41">
          <cell r="F41">
            <v>93382</v>
          </cell>
        </row>
      </sheetData>
      <sheetData sheetId="5"/>
      <sheetData sheetId="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Calculation"/>
      <sheetName val="Amortisation of Liability &amp; ROU"/>
      <sheetName val="Impact on Profit &amp; Loss"/>
      <sheetName val="Entries"/>
    </sheetNames>
    <sheetDataSet>
      <sheetData sheetId="0">
        <row r="3">
          <cell r="G3">
            <v>195000</v>
          </cell>
        </row>
        <row r="4">
          <cell r="G4">
            <v>195000</v>
          </cell>
        </row>
        <row r="5">
          <cell r="B5">
            <v>0.08</v>
          </cell>
          <cell r="G5">
            <v>195000</v>
          </cell>
        </row>
        <row r="6">
          <cell r="G6">
            <v>195000</v>
          </cell>
        </row>
        <row r="7">
          <cell r="G7">
            <v>195000</v>
          </cell>
        </row>
        <row r="8">
          <cell r="G8">
            <v>195000</v>
          </cell>
        </row>
        <row r="9">
          <cell r="G9">
            <v>195000</v>
          </cell>
        </row>
        <row r="10">
          <cell r="G10">
            <v>195000</v>
          </cell>
        </row>
        <row r="11">
          <cell r="G11">
            <v>195000</v>
          </cell>
        </row>
        <row r="12">
          <cell r="G12">
            <v>200000</v>
          </cell>
        </row>
        <row r="13">
          <cell r="G13">
            <v>200000</v>
          </cell>
        </row>
        <row r="14">
          <cell r="G14">
            <v>200000</v>
          </cell>
        </row>
        <row r="15">
          <cell r="G15">
            <v>100000</v>
          </cell>
        </row>
        <row r="16">
          <cell r="G16">
            <v>100000</v>
          </cell>
        </row>
        <row r="17">
          <cell r="G17">
            <v>100000</v>
          </cell>
        </row>
        <row r="18">
          <cell r="G18">
            <v>100000</v>
          </cell>
        </row>
        <row r="19">
          <cell r="G19">
            <v>100000</v>
          </cell>
        </row>
        <row r="20">
          <cell r="G20">
            <v>100000</v>
          </cell>
        </row>
        <row r="21">
          <cell r="G21">
            <v>200000</v>
          </cell>
        </row>
        <row r="22">
          <cell r="G22">
            <v>200000</v>
          </cell>
        </row>
        <row r="23">
          <cell r="G23">
            <v>200000</v>
          </cell>
        </row>
        <row r="24">
          <cell r="G24">
            <v>205000</v>
          </cell>
        </row>
        <row r="25">
          <cell r="G25">
            <v>205000</v>
          </cell>
        </row>
        <row r="26">
          <cell r="G26">
            <v>205000</v>
          </cell>
        </row>
        <row r="27">
          <cell r="G27">
            <v>205000</v>
          </cell>
        </row>
        <row r="28">
          <cell r="G28">
            <v>205000</v>
          </cell>
        </row>
        <row r="29">
          <cell r="G29">
            <v>205000</v>
          </cell>
        </row>
        <row r="30">
          <cell r="G30">
            <v>205000</v>
          </cell>
        </row>
        <row r="31">
          <cell r="G31">
            <v>205000</v>
          </cell>
        </row>
        <row r="32">
          <cell r="G32">
            <v>205000</v>
          </cell>
        </row>
        <row r="33">
          <cell r="G33">
            <v>205000</v>
          </cell>
        </row>
        <row r="34">
          <cell r="G34">
            <v>205000</v>
          </cell>
        </row>
        <row r="35">
          <cell r="G35">
            <v>205000</v>
          </cell>
        </row>
        <row r="40">
          <cell r="I40">
            <v>-541315.87874876708</v>
          </cell>
        </row>
      </sheetData>
      <sheetData sheetId="1" refreshError="1"/>
      <sheetData sheetId="2" refreshError="1"/>
      <sheetData sheetId="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Calculation"/>
      <sheetName val="Amortisation of Liability &amp; ROU"/>
      <sheetName val="Impact on Profit &amp; Loss"/>
      <sheetName val="Entries"/>
    </sheetNames>
    <sheetDataSet>
      <sheetData sheetId="0" refreshError="1">
        <row r="3">
          <cell r="G3">
            <v>715500</v>
          </cell>
        </row>
        <row r="4">
          <cell r="G4">
            <v>715500</v>
          </cell>
        </row>
        <row r="5">
          <cell r="B5">
            <v>0.08</v>
          </cell>
          <cell r="G5">
            <v>715500</v>
          </cell>
        </row>
        <row r="6">
          <cell r="G6">
            <v>715500</v>
          </cell>
        </row>
        <row r="7">
          <cell r="G7">
            <v>715500</v>
          </cell>
        </row>
        <row r="8">
          <cell r="G8">
            <v>715500</v>
          </cell>
        </row>
        <row r="9">
          <cell r="G9">
            <v>715500</v>
          </cell>
        </row>
        <row r="10">
          <cell r="G10">
            <v>715500</v>
          </cell>
        </row>
        <row r="11">
          <cell r="G11">
            <v>715500</v>
          </cell>
        </row>
        <row r="12">
          <cell r="G12">
            <v>715500</v>
          </cell>
        </row>
        <row r="13">
          <cell r="G13">
            <v>715500</v>
          </cell>
        </row>
        <row r="14">
          <cell r="G14">
            <v>736965</v>
          </cell>
        </row>
        <row r="15">
          <cell r="G15">
            <v>0</v>
          </cell>
        </row>
        <row r="16">
          <cell r="G16">
            <v>0</v>
          </cell>
        </row>
        <row r="17">
          <cell r="G17">
            <v>0</v>
          </cell>
        </row>
        <row r="18">
          <cell r="G18">
            <v>0</v>
          </cell>
        </row>
        <row r="19">
          <cell r="G19">
            <v>0</v>
          </cell>
        </row>
        <row r="20">
          <cell r="G20">
            <v>0</v>
          </cell>
        </row>
        <row r="21">
          <cell r="G21">
            <v>758430</v>
          </cell>
        </row>
        <row r="22">
          <cell r="G22">
            <v>758430</v>
          </cell>
        </row>
        <row r="23">
          <cell r="G23">
            <v>758430</v>
          </cell>
        </row>
        <row r="24">
          <cell r="G24">
            <v>758430</v>
          </cell>
        </row>
        <row r="25">
          <cell r="G25">
            <v>758430</v>
          </cell>
        </row>
        <row r="26">
          <cell r="G26">
            <v>781182.9</v>
          </cell>
        </row>
        <row r="27">
          <cell r="G27">
            <v>803935.8</v>
          </cell>
        </row>
        <row r="28">
          <cell r="G28">
            <v>803935.8</v>
          </cell>
        </row>
        <row r="29">
          <cell r="G29">
            <v>803935.8</v>
          </cell>
        </row>
        <row r="30">
          <cell r="G30">
            <v>803935.8</v>
          </cell>
        </row>
        <row r="31">
          <cell r="G31">
            <v>803935.8</v>
          </cell>
        </row>
        <row r="32">
          <cell r="G32">
            <v>803935.8</v>
          </cell>
        </row>
        <row r="33">
          <cell r="G33">
            <v>803935.8</v>
          </cell>
        </row>
        <row r="34">
          <cell r="G34">
            <v>803935.8</v>
          </cell>
        </row>
        <row r="35">
          <cell r="G35">
            <v>803935.8</v>
          </cell>
        </row>
        <row r="36">
          <cell r="G36">
            <v>803935.8</v>
          </cell>
        </row>
        <row r="37">
          <cell r="G37">
            <v>803935.8</v>
          </cell>
        </row>
        <row r="38">
          <cell r="G38">
            <v>401968</v>
          </cell>
        </row>
        <row r="39">
          <cell r="I39">
            <v>19772634.34080749</v>
          </cell>
        </row>
      </sheetData>
      <sheetData sheetId="1" refreshError="1"/>
      <sheetData sheetId="2" refreshError="1"/>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Calculation"/>
      <sheetName val="Amortisation of Liability &amp; ROU"/>
      <sheetName val="Impact on Profit &amp; Loss"/>
      <sheetName val="Entries"/>
    </sheetNames>
    <sheetDataSet>
      <sheetData sheetId="0">
        <row r="3">
          <cell r="G3">
            <v>195000</v>
          </cell>
        </row>
        <row r="4">
          <cell r="G4">
            <v>195000</v>
          </cell>
        </row>
        <row r="5">
          <cell r="G5">
            <v>195000</v>
          </cell>
        </row>
        <row r="6">
          <cell r="G6">
            <v>195000</v>
          </cell>
        </row>
        <row r="7">
          <cell r="G7">
            <v>195000</v>
          </cell>
        </row>
        <row r="8">
          <cell r="G8">
            <v>195000</v>
          </cell>
        </row>
        <row r="9">
          <cell r="G9">
            <v>195000</v>
          </cell>
        </row>
        <row r="10">
          <cell r="G10">
            <v>195000</v>
          </cell>
        </row>
        <row r="11">
          <cell r="G11">
            <v>195000</v>
          </cell>
        </row>
        <row r="12">
          <cell r="G12">
            <v>200000</v>
          </cell>
        </row>
        <row r="13">
          <cell r="G13">
            <v>200000</v>
          </cell>
        </row>
        <row r="14">
          <cell r="G14">
            <v>200000</v>
          </cell>
        </row>
        <row r="15">
          <cell r="G15">
            <v>200000</v>
          </cell>
        </row>
        <row r="16">
          <cell r="G16">
            <v>200000</v>
          </cell>
        </row>
        <row r="17">
          <cell r="G17">
            <v>200000</v>
          </cell>
        </row>
        <row r="18">
          <cell r="G18">
            <v>200000</v>
          </cell>
        </row>
        <row r="19">
          <cell r="G19">
            <v>200000</v>
          </cell>
        </row>
        <row r="20">
          <cell r="G20">
            <v>200000</v>
          </cell>
        </row>
        <row r="21">
          <cell r="G21">
            <v>200000</v>
          </cell>
        </row>
        <row r="22">
          <cell r="G22">
            <v>200000</v>
          </cell>
        </row>
        <row r="23">
          <cell r="G23">
            <v>200000</v>
          </cell>
        </row>
        <row r="24">
          <cell r="G24">
            <v>205000</v>
          </cell>
        </row>
        <row r="25">
          <cell r="G25">
            <v>205000</v>
          </cell>
        </row>
        <row r="26">
          <cell r="G26">
            <v>205000</v>
          </cell>
        </row>
        <row r="27">
          <cell r="G27">
            <v>205000</v>
          </cell>
        </row>
        <row r="28">
          <cell r="G28">
            <v>205000</v>
          </cell>
        </row>
        <row r="29">
          <cell r="G29">
            <v>205000</v>
          </cell>
        </row>
        <row r="30">
          <cell r="G30">
            <v>205000</v>
          </cell>
        </row>
        <row r="31">
          <cell r="G31">
            <v>205000</v>
          </cell>
        </row>
        <row r="32">
          <cell r="G32">
            <v>205000</v>
          </cell>
        </row>
        <row r="33">
          <cell r="G33">
            <v>205000</v>
          </cell>
        </row>
        <row r="34">
          <cell r="G34">
            <v>205000</v>
          </cell>
        </row>
        <row r="35">
          <cell r="G35">
            <v>205000</v>
          </cell>
        </row>
      </sheetData>
      <sheetData sheetId="1">
        <row r="4">
          <cell r="C4">
            <v>179191.19231148041</v>
          </cell>
          <cell r="I4">
            <v>39422.062308525688</v>
          </cell>
        </row>
        <row r="5">
          <cell r="C5">
            <v>179191.19231148041</v>
          </cell>
          <cell r="I5">
            <v>38384.876057249196</v>
          </cell>
        </row>
        <row r="6">
          <cell r="C6">
            <v>179191.19231148041</v>
          </cell>
          <cell r="I6">
            <v>37340.775230964195</v>
          </cell>
        </row>
        <row r="7">
          <cell r="C7">
            <v>179191.19231148041</v>
          </cell>
          <cell r="I7">
            <v>36289.713732503958</v>
          </cell>
        </row>
        <row r="8">
          <cell r="C8">
            <v>179191.19231148041</v>
          </cell>
          <cell r="I8">
            <v>35231.64515738732</v>
          </cell>
        </row>
        <row r="9">
          <cell r="C9">
            <v>179191.19231148041</v>
          </cell>
          <cell r="I9">
            <v>34166.522791769901</v>
          </cell>
        </row>
        <row r="10">
          <cell r="C10">
            <v>179191.19231148041</v>
          </cell>
          <cell r="I10">
            <v>33094.299610381706</v>
          </cell>
        </row>
        <row r="11">
          <cell r="C11">
            <v>179191.19231148041</v>
          </cell>
          <cell r="I11">
            <v>32014.928274450915</v>
          </cell>
        </row>
        <row r="12">
          <cell r="C12">
            <v>179191.19231148041</v>
          </cell>
          <cell r="I12">
            <v>30928.361129613924</v>
          </cell>
        </row>
        <row r="13">
          <cell r="C13">
            <v>179191.19231148041</v>
          </cell>
          <cell r="I13">
            <v>29834.550203811348</v>
          </cell>
        </row>
        <row r="14">
          <cell r="C14">
            <v>179191.19231148041</v>
          </cell>
          <cell r="I14">
            <v>28700.113871836758</v>
          </cell>
        </row>
        <row r="15">
          <cell r="C15">
            <v>179191.19231148041</v>
          </cell>
          <cell r="I15">
            <v>27558.114630982338</v>
          </cell>
        </row>
        <row r="16">
          <cell r="C16">
            <v>179191.19231148041</v>
          </cell>
          <cell r="I16">
            <v>26408.502061855554</v>
          </cell>
        </row>
        <row r="17">
          <cell r="C17">
            <v>179191.19231148041</v>
          </cell>
          <cell r="I17">
            <v>25251.225408934592</v>
          </cell>
        </row>
        <row r="18">
          <cell r="C18">
            <v>179191.19231148041</v>
          </cell>
          <cell r="I18">
            <v>24086.233578327487</v>
          </cell>
        </row>
        <row r="19">
          <cell r="C19">
            <v>179191.19231148041</v>
          </cell>
          <cell r="I19">
            <v>22913.475135516335</v>
          </cell>
        </row>
        <row r="20">
          <cell r="C20">
            <v>179191.19231148041</v>
          </cell>
          <cell r="I20">
            <v>21732.898303086444</v>
          </cell>
        </row>
        <row r="21">
          <cell r="C21">
            <v>179191.19231148041</v>
          </cell>
          <cell r="D21">
            <v>2687867.8846722022</v>
          </cell>
          <cell r="I21">
            <v>20544.450958440353</v>
          </cell>
          <cell r="K21">
            <v>2902212.0947244936</v>
          </cell>
        </row>
        <row r="22">
          <cell r="C22">
            <v>179191.19231148041</v>
          </cell>
          <cell r="I22">
            <v>19348.080631496625</v>
          </cell>
        </row>
        <row r="23">
          <cell r="C23">
            <v>179191.19231148041</v>
          </cell>
          <cell r="I23">
            <v>18143.734502373271</v>
          </cell>
        </row>
        <row r="24">
          <cell r="C24">
            <v>179191.19231148041</v>
          </cell>
          <cell r="I24">
            <v>16931.35939905576</v>
          </cell>
        </row>
        <row r="25">
          <cell r="C25">
            <v>179191.19231148041</v>
          </cell>
          <cell r="I25">
            <v>15710.901795049462</v>
          </cell>
        </row>
        <row r="26">
          <cell r="C26">
            <v>179191.19231148041</v>
          </cell>
          <cell r="I26">
            <v>14448.974473683127</v>
          </cell>
        </row>
        <row r="27">
          <cell r="C27">
            <v>179191.19231148041</v>
          </cell>
          <cell r="I27">
            <v>13178.634303507681</v>
          </cell>
        </row>
        <row r="28">
          <cell r="C28">
            <v>179191.19231148041</v>
          </cell>
          <cell r="I28">
            <v>11899.825198864399</v>
          </cell>
        </row>
        <row r="29">
          <cell r="C29">
            <v>179191.19231148041</v>
          </cell>
          <cell r="I29">
            <v>10612.490700190161</v>
          </cell>
        </row>
        <row r="30">
          <cell r="C30">
            <v>179191.19231148041</v>
          </cell>
          <cell r="I30">
            <v>9316.5739715247619</v>
          </cell>
        </row>
        <row r="31">
          <cell r="C31">
            <v>179191.19231148041</v>
          </cell>
          <cell r="I31">
            <v>8012.0177980015942</v>
          </cell>
        </row>
        <row r="32">
          <cell r="C32">
            <v>179191.19231148041</v>
          </cell>
          <cell r="I32">
            <v>6698.7645833216047</v>
          </cell>
        </row>
        <row r="33">
          <cell r="C33">
            <v>179191.19231148041</v>
          </cell>
          <cell r="I33">
            <v>5376.7563472104157</v>
          </cell>
        </row>
        <row r="34">
          <cell r="C34">
            <v>179191.19231148041</v>
          </cell>
          <cell r="I34">
            <v>4045.9347228584852</v>
          </cell>
        </row>
        <row r="35">
          <cell r="C35">
            <v>179191.19231148041</v>
          </cell>
          <cell r="I35">
            <v>2706.2409543442081</v>
          </cell>
        </row>
        <row r="36">
          <cell r="C36">
            <v>179191.19231148041</v>
          </cell>
          <cell r="I36">
            <v>1357.6158940398363</v>
          </cell>
        </row>
      </sheetData>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000A0-307A-47CD-93C3-BA9AE3DD9D7E}">
  <dimension ref="A1:AT62"/>
  <sheetViews>
    <sheetView showGridLines="0" topLeftCell="A21" zoomScale="80" zoomScaleNormal="80" workbookViewId="0">
      <selection activeCell="Z45" sqref="Z45"/>
    </sheetView>
  </sheetViews>
  <sheetFormatPr defaultRowHeight="14.5"/>
  <cols>
    <col min="1" max="1" width="10.54296875" bestFit="1" customWidth="1"/>
    <col min="2" max="2" width="30.26953125" bestFit="1" customWidth="1"/>
    <col min="3" max="3" width="16.453125" bestFit="1" customWidth="1"/>
    <col min="4" max="4" width="18.54296875" bestFit="1" customWidth="1"/>
    <col min="5" max="5" width="24.81640625" customWidth="1"/>
    <col min="6" max="6" width="16.453125" bestFit="1" customWidth="1"/>
    <col min="7" max="7" width="2.453125" hidden="1" customWidth="1"/>
    <col min="8" max="9" width="2.54296875" hidden="1" customWidth="1"/>
    <col min="10" max="10" width="3.26953125" hidden="1" customWidth="1"/>
    <col min="11" max="11" width="2.7265625" hidden="1" customWidth="1"/>
    <col min="12" max="12" width="4.26953125" hidden="1" customWidth="1"/>
    <col min="13" max="13" width="3.7265625" hidden="1" customWidth="1"/>
    <col min="14" max="14" width="15.54296875" hidden="1" customWidth="1"/>
    <col min="15" max="15" width="2.26953125" hidden="1" customWidth="1"/>
    <col min="16" max="16" width="2.7265625" hidden="1" customWidth="1"/>
    <col min="17" max="17" width="5.453125" hidden="1" customWidth="1"/>
    <col min="18" max="18" width="0.453125" hidden="1" customWidth="1"/>
    <col min="19" max="19" width="17.1796875" hidden="1" customWidth="1"/>
    <col min="20" max="20" width="8.81640625" hidden="1" customWidth="1"/>
    <col min="21" max="21" width="12.26953125" hidden="1" customWidth="1"/>
    <col min="22" max="22" width="27.1796875" hidden="1" customWidth="1"/>
    <col min="23" max="23" width="12.26953125" hidden="1" customWidth="1"/>
    <col min="24" max="24" width="13.54296875" bestFit="1" customWidth="1"/>
    <col min="25" max="25" width="16.453125" bestFit="1" customWidth="1"/>
    <col min="26" max="26" width="16.453125" customWidth="1"/>
    <col min="27" max="27" width="10.7265625" bestFit="1" customWidth="1"/>
    <col min="28" max="28" width="10.26953125" customWidth="1"/>
    <col min="29" max="29" width="28.7265625" customWidth="1"/>
    <col min="30" max="30" width="16.81640625" customWidth="1"/>
    <col min="31" max="31" width="16.54296875" customWidth="1"/>
    <col min="32" max="32" width="20.1796875" bestFit="1" customWidth="1"/>
    <col min="33" max="33" width="24.26953125" customWidth="1"/>
    <col min="34" max="34" width="43" bestFit="1" customWidth="1"/>
    <col min="38" max="38" width="14" customWidth="1"/>
    <col min="40" max="40" width="15" customWidth="1"/>
    <col min="41" max="41" width="12.26953125" bestFit="1" customWidth="1"/>
    <col min="42" max="42" width="16.26953125" bestFit="1" customWidth="1"/>
    <col min="43" max="43" width="17" customWidth="1"/>
    <col min="44" max="45" width="8.81640625" hidden="1" customWidth="1"/>
    <col min="46" max="46" width="1.26953125" customWidth="1"/>
  </cols>
  <sheetData>
    <row r="1" spans="7:46" hidden="1">
      <c r="V1" s="82" t="s">
        <v>1944</v>
      </c>
      <c r="W1" s="82"/>
      <c r="AA1" s="669">
        <v>45320</v>
      </c>
      <c r="AB1" s="82" t="s">
        <v>1945</v>
      </c>
      <c r="AH1" t="s">
        <v>1946</v>
      </c>
    </row>
    <row r="2" spans="7:46" ht="51" hidden="1" customHeight="1">
      <c r="AB2" s="82" t="s">
        <v>1947</v>
      </c>
      <c r="AL2" s="1140" t="s">
        <v>1948</v>
      </c>
      <c r="AM2" s="1140"/>
      <c r="AN2" s="1140"/>
      <c r="AO2" s="1140"/>
      <c r="AP2" s="1140"/>
      <c r="AQ2" s="1140"/>
      <c r="AR2" s="1140"/>
      <c r="AS2" s="1140"/>
      <c r="AT2" s="1140"/>
    </row>
    <row r="3" spans="7:46" hidden="1">
      <c r="G3" s="1141" t="s">
        <v>1949</v>
      </c>
      <c r="H3" s="1141"/>
      <c r="I3" s="1141"/>
      <c r="J3" s="1141"/>
      <c r="K3" s="1141"/>
      <c r="L3" s="1141"/>
      <c r="M3" s="1141"/>
      <c r="N3" s="1141"/>
      <c r="V3" s="82" t="s">
        <v>1950</v>
      </c>
      <c r="W3" s="82"/>
      <c r="AA3" s="669">
        <v>45330</v>
      </c>
      <c r="AB3" s="82" t="s">
        <v>1951</v>
      </c>
      <c r="AI3" s="82" t="s">
        <v>1952</v>
      </c>
      <c r="AL3" s="843">
        <f>((AE7*AE9)+(AE8*AE6))/(AE7+AE8)</f>
        <v>14.606666666666667</v>
      </c>
    </row>
    <row r="4" spans="7:46" hidden="1">
      <c r="AB4" s="82" t="s">
        <v>1953</v>
      </c>
    </row>
    <row r="5" spans="7:46" hidden="1">
      <c r="G5" s="82" t="s">
        <v>1954</v>
      </c>
      <c r="H5" t="s">
        <v>1955</v>
      </c>
      <c r="AB5" s="82"/>
    </row>
    <row r="6" spans="7:46" hidden="1">
      <c r="G6" s="82"/>
      <c r="AB6" s="82" t="s">
        <v>1956</v>
      </c>
      <c r="AE6" s="82">
        <v>8.5</v>
      </c>
    </row>
    <row r="7" spans="7:46" hidden="1">
      <c r="G7" s="82"/>
      <c r="AB7" s="82" t="s">
        <v>1957</v>
      </c>
      <c r="AE7" s="883">
        <v>88314300</v>
      </c>
    </row>
    <row r="8" spans="7:46" ht="34.9" hidden="1" customHeight="1">
      <c r="G8" s="82"/>
      <c r="U8" s="989"/>
      <c r="V8" s="989"/>
      <c r="W8" s="989"/>
      <c r="X8" s="989"/>
      <c r="AB8" s="82" t="s">
        <v>1958</v>
      </c>
      <c r="AE8" s="883">
        <f>88314300/2</f>
        <v>44157150</v>
      </c>
      <c r="AF8">
        <v>44157150</v>
      </c>
    </row>
    <row r="9" spans="7:46" hidden="1">
      <c r="G9" s="82"/>
      <c r="AB9" s="82" t="s">
        <v>1959</v>
      </c>
      <c r="AE9" s="990">
        <v>17.66</v>
      </c>
      <c r="AF9" t="s">
        <v>1960</v>
      </c>
    </row>
    <row r="10" spans="7:46" hidden="1">
      <c r="G10" s="82"/>
      <c r="X10" s="82" t="s">
        <v>1961</v>
      </c>
      <c r="AA10" s="669">
        <v>45320</v>
      </c>
      <c r="AB10" s="82" t="s">
        <v>1962</v>
      </c>
      <c r="AE10" s="830">
        <f>AL3</f>
        <v>14.606666666666667</v>
      </c>
    </row>
    <row r="11" spans="7:46" ht="15" hidden="1" thickBot="1">
      <c r="G11" s="82" t="s">
        <v>1963</v>
      </c>
      <c r="H11" t="s">
        <v>1964</v>
      </c>
      <c r="AB11" s="82" t="s">
        <v>1965</v>
      </c>
      <c r="AE11" s="991">
        <f>AE9/AE10</f>
        <v>1.209036969420356</v>
      </c>
    </row>
    <row r="12" spans="7:46" hidden="1">
      <c r="G12" s="82"/>
    </row>
    <row r="13" spans="7:46" hidden="1">
      <c r="G13" s="82"/>
      <c r="H13" t="s">
        <v>1966</v>
      </c>
      <c r="AB13" s="82" t="s">
        <v>1967</v>
      </c>
      <c r="AD13" s="830">
        <f>AE7</f>
        <v>88314300</v>
      </c>
      <c r="AE13" s="830"/>
    </row>
    <row r="14" spans="7:46" hidden="1">
      <c r="G14" s="82"/>
      <c r="L14" s="1140" t="s">
        <v>1968</v>
      </c>
      <c r="M14" s="1140"/>
      <c r="N14" s="1140"/>
      <c r="O14" s="1140"/>
      <c r="P14" s="1140"/>
      <c r="Q14" s="1140"/>
      <c r="R14" s="1140"/>
      <c r="S14" s="1140"/>
      <c r="T14" s="1140"/>
      <c r="AB14" s="82" t="s">
        <v>1969</v>
      </c>
      <c r="AD14" s="885">
        <f>AE11</f>
        <v>1.209036969420356</v>
      </c>
      <c r="AE14" s="830"/>
    </row>
    <row r="15" spans="7:46" hidden="1">
      <c r="G15" s="82"/>
      <c r="J15" s="82" t="s">
        <v>1965</v>
      </c>
      <c r="L15" s="883" t="e">
        <f>#REF!/#REF!</f>
        <v>#REF!</v>
      </c>
      <c r="M15">
        <v>1.04</v>
      </c>
      <c r="X15" s="830"/>
      <c r="Y15" s="830"/>
      <c r="Z15" s="830"/>
      <c r="AB15" s="82" t="s">
        <v>1970</v>
      </c>
      <c r="AD15" s="885">
        <f>AD13*AD14</f>
        <v>106775253.62848015</v>
      </c>
      <c r="AE15" s="830"/>
      <c r="AF15" s="82"/>
    </row>
    <row r="16" spans="7:46" hidden="1">
      <c r="G16" s="82"/>
      <c r="X16" s="830"/>
      <c r="AB16" s="992"/>
      <c r="AD16" s="830"/>
      <c r="AE16" s="830"/>
      <c r="AF16" s="885"/>
    </row>
    <row r="17" spans="1:43" hidden="1">
      <c r="G17" s="82" t="s">
        <v>1971</v>
      </c>
      <c r="H17" t="s">
        <v>1972</v>
      </c>
      <c r="X17" s="830"/>
      <c r="AB17" s="82" t="s">
        <v>1973</v>
      </c>
      <c r="AD17" s="843">
        <f>AD15-AD13</f>
        <v>18460953.628480151</v>
      </c>
      <c r="AE17" s="830"/>
      <c r="AF17" s="830"/>
    </row>
    <row r="18" spans="1:43" hidden="1">
      <c r="G18" s="82"/>
      <c r="AB18" s="82"/>
      <c r="AD18" s="830"/>
      <c r="AE18" s="830"/>
      <c r="AF18" s="843"/>
    </row>
    <row r="19" spans="1:43" hidden="1">
      <c r="G19" s="82"/>
      <c r="H19" t="s">
        <v>1974</v>
      </c>
      <c r="J19" s="82" t="s">
        <v>1975</v>
      </c>
      <c r="AB19" s="82" t="s">
        <v>1976</v>
      </c>
      <c r="AD19" s="843">
        <f>AE8-AD17</f>
        <v>25696196.371519849</v>
      </c>
    </row>
    <row r="20" spans="1:43" hidden="1">
      <c r="G20" s="82"/>
      <c r="J20" s="883" t="e">
        <f>75100000/AF18</f>
        <v>#DIV/0!</v>
      </c>
      <c r="S20">
        <v>8.5</v>
      </c>
      <c r="AB20" s="82"/>
      <c r="AD20" s="843"/>
    </row>
    <row r="21" spans="1:43">
      <c r="G21" s="82"/>
      <c r="J21" s="883"/>
      <c r="AB21" s="82"/>
      <c r="AD21" s="843"/>
    </row>
    <row r="22" spans="1:43">
      <c r="G22" s="82"/>
      <c r="J22" s="883"/>
      <c r="AB22" s="82"/>
      <c r="AD22" s="843"/>
    </row>
    <row r="23" spans="1:43">
      <c r="B23" s="82" t="s">
        <v>1977</v>
      </c>
      <c r="G23" s="82"/>
      <c r="S23" t="e">
        <f>#REF!-S20</f>
        <v>#REF!</v>
      </c>
    </row>
    <row r="24" spans="1:43" ht="15" thickBot="1">
      <c r="B24" s="115">
        <v>45473</v>
      </c>
      <c r="G24" s="82"/>
      <c r="V24" s="830"/>
      <c r="W24" s="993"/>
      <c r="Y24" s="830"/>
      <c r="Z24" s="830"/>
      <c r="AB24" s="82" t="s">
        <v>1978</v>
      </c>
      <c r="AK24" s="82" t="s">
        <v>1979</v>
      </c>
    </row>
    <row r="25" spans="1:43">
      <c r="B25" s="994" t="s">
        <v>0</v>
      </c>
      <c r="C25" s="995" t="s">
        <v>1980</v>
      </c>
      <c r="D25" s="995" t="s">
        <v>1981</v>
      </c>
      <c r="E25" s="995" t="s">
        <v>1982</v>
      </c>
      <c r="F25" s="995" t="s">
        <v>1983</v>
      </c>
      <c r="G25" s="995"/>
      <c r="H25" s="995"/>
      <c r="I25" s="995"/>
      <c r="J25" s="995"/>
      <c r="K25" s="995"/>
      <c r="L25" s="995"/>
      <c r="M25" s="995"/>
      <c r="N25" s="995"/>
      <c r="O25" s="995"/>
      <c r="P25" s="995"/>
      <c r="Q25" s="995"/>
      <c r="R25" s="995"/>
      <c r="S25" s="995"/>
      <c r="T25" s="995"/>
      <c r="U25" s="995"/>
      <c r="V25" s="995"/>
      <c r="W25" s="995"/>
      <c r="X25" s="995"/>
      <c r="Y25" s="996" t="s">
        <v>1984</v>
      </c>
      <c r="AB25" s="997" t="s">
        <v>0</v>
      </c>
      <c r="AC25" s="995"/>
      <c r="AD25" s="995"/>
      <c r="AE25" s="995" t="s">
        <v>1985</v>
      </c>
      <c r="AF25" s="995" t="s">
        <v>1986</v>
      </c>
      <c r="AG25" s="995" t="s">
        <v>1987</v>
      </c>
      <c r="AH25" s="996" t="s">
        <v>1988</v>
      </c>
      <c r="AK25" s="997" t="s">
        <v>0</v>
      </c>
      <c r="AL25" s="995"/>
      <c r="AM25" s="995"/>
      <c r="AN25" s="995" t="s">
        <v>1985</v>
      </c>
      <c r="AO25" s="995" t="s">
        <v>1986</v>
      </c>
      <c r="AP25" s="995" t="s">
        <v>1987</v>
      </c>
      <c r="AQ25" s="996" t="s">
        <v>1988</v>
      </c>
    </row>
    <row r="26" spans="1:43">
      <c r="B26" s="998" t="s">
        <v>662</v>
      </c>
      <c r="C26" s="999">
        <f>AE26+AE27+(AE28*AF28)</f>
        <v>119623351.81424007</v>
      </c>
      <c r="D26">
        <v>1</v>
      </c>
      <c r="E26" s="115">
        <v>45383</v>
      </c>
      <c r="F26">
        <v>91</v>
      </c>
      <c r="Y26" s="1000">
        <f>C26*D26*F26/F26</f>
        <v>119623351.81424007</v>
      </c>
      <c r="Z26" s="830"/>
      <c r="AB26" s="998" t="s">
        <v>1989</v>
      </c>
      <c r="AE26" s="830">
        <f>AD13</f>
        <v>88314300</v>
      </c>
      <c r="AF26" s="830">
        <v>1</v>
      </c>
      <c r="AG26" s="1001">
        <v>1</v>
      </c>
      <c r="AH26" s="1000">
        <f>AE26*AG26*AF26</f>
        <v>88314300</v>
      </c>
      <c r="AK26" s="998" t="s">
        <v>1989</v>
      </c>
      <c r="AN26" s="830">
        <f>AE26</f>
        <v>88314300</v>
      </c>
      <c r="AO26" s="830">
        <v>1</v>
      </c>
      <c r="AP26" s="1001">
        <v>1</v>
      </c>
      <c r="AQ26" s="1000">
        <f>AN26*AP26*AO26</f>
        <v>88314300</v>
      </c>
    </row>
    <row r="27" spans="1:43" ht="15" thickBot="1">
      <c r="B27" s="998" t="s">
        <v>1990</v>
      </c>
      <c r="C27" s="830">
        <f>(41735439-8658)*AE28/(AE27+AE28)</f>
        <v>24281901.312186211</v>
      </c>
      <c r="D27">
        <f>0.5</f>
        <v>0.5</v>
      </c>
      <c r="E27" s="115">
        <v>45426</v>
      </c>
      <c r="F27">
        <v>47</v>
      </c>
      <c r="Y27" s="1000">
        <f>C27*D27*F27/$F$26</f>
        <v>6270600.8883118238</v>
      </c>
      <c r="Z27" s="830"/>
      <c r="AB27" s="998" t="s">
        <v>1991</v>
      </c>
      <c r="AE27" s="830">
        <f>AD17</f>
        <v>18460953.628480151</v>
      </c>
      <c r="AF27" s="830">
        <v>1</v>
      </c>
      <c r="AG27" s="1001">
        <v>1</v>
      </c>
      <c r="AH27" s="1000">
        <f>AE27*AG27*AF27</f>
        <v>18460953.628480151</v>
      </c>
      <c r="AK27" s="998" t="s">
        <v>1991</v>
      </c>
      <c r="AN27" s="830">
        <f>AE27</f>
        <v>18460953.628480151</v>
      </c>
      <c r="AO27" s="830">
        <v>1</v>
      </c>
      <c r="AP27" s="1001">
        <v>1</v>
      </c>
      <c r="AQ27" s="1000">
        <f>AN27*AP27*AO27</f>
        <v>18460953.628480151</v>
      </c>
    </row>
    <row r="28" spans="1:43" ht="15" thickBot="1">
      <c r="B28" s="998" t="s">
        <v>1992</v>
      </c>
      <c r="C28" s="999">
        <f>8658*$AE$28/($AE$28+$AE$27)</f>
        <v>5038.3158375171142</v>
      </c>
      <c r="D28">
        <f>0.5</f>
        <v>0.5</v>
      </c>
      <c r="E28" s="115">
        <v>45439</v>
      </c>
      <c r="F28">
        <v>34</v>
      </c>
      <c r="Y28" s="1000">
        <f>C28*D28*F28/$F$26</f>
        <v>941.22383777792254</v>
      </c>
      <c r="Z28" s="830"/>
      <c r="AB28" s="998" t="s">
        <v>1993</v>
      </c>
      <c r="AE28" s="830">
        <f>AD19</f>
        <v>25696196.371519849</v>
      </c>
      <c r="AF28" s="830">
        <v>0.5</v>
      </c>
      <c r="AG28" s="1001" t="s">
        <v>1994</v>
      </c>
      <c r="AH28" s="1000">
        <f>AE28*AF28*(54/365)</f>
        <v>1900814.5261124272</v>
      </c>
      <c r="AK28" s="1002" t="s">
        <v>1995</v>
      </c>
      <c r="AL28" s="1003"/>
      <c r="AM28" s="1003"/>
      <c r="AN28" s="1003"/>
      <c r="AO28" s="1003"/>
      <c r="AP28" s="1003"/>
      <c r="AQ28" s="1004">
        <f>SUM(AQ26:AQ27)</f>
        <v>106775253.62848015</v>
      </c>
    </row>
    <row r="29" spans="1:43" ht="21.5" thickBot="1">
      <c r="B29" s="1005" t="s">
        <v>1996</v>
      </c>
      <c r="C29" s="1006"/>
      <c r="D29" s="1006"/>
      <c r="E29" s="1006"/>
      <c r="F29" s="1006"/>
      <c r="G29" s="1006"/>
      <c r="H29" s="1006"/>
      <c r="I29" s="1006"/>
      <c r="J29" s="1006"/>
      <c r="K29" s="1006"/>
      <c r="L29" s="1006"/>
      <c r="M29" s="1006"/>
      <c r="N29" s="1006"/>
      <c r="O29" s="1006"/>
      <c r="P29" s="1006"/>
      <c r="Q29" s="1006"/>
      <c r="R29" s="1006"/>
      <c r="S29" s="1006"/>
      <c r="T29" s="1006"/>
      <c r="U29" s="1006"/>
      <c r="V29" s="1006"/>
      <c r="W29" s="1006"/>
      <c r="X29" s="1006"/>
      <c r="Y29" s="1007">
        <f>SUM(Y26:Y28)</f>
        <v>125894893.92638966</v>
      </c>
      <c r="Z29" s="830"/>
      <c r="AB29" s="1008" t="s">
        <v>1995</v>
      </c>
      <c r="AC29" s="1003"/>
      <c r="AD29" s="1003"/>
      <c r="AE29" s="1009">
        <f>SUM(AE26:AE28)</f>
        <v>132471450</v>
      </c>
      <c r="AF29" s="1003"/>
      <c r="AG29" s="1003"/>
      <c r="AH29" s="1010">
        <f>SUM(AH26:AH28)</f>
        <v>108676068.15459257</v>
      </c>
      <c r="AK29" s="82" t="s">
        <v>1997</v>
      </c>
      <c r="AQ29" s="830">
        <f>AQ28/100000</f>
        <v>1067.7525362848014</v>
      </c>
    </row>
    <row r="30" spans="1:43">
      <c r="N30" s="830"/>
      <c r="Q30" s="830"/>
      <c r="X30" s="655" t="s">
        <v>2045</v>
      </c>
      <c r="Y30" s="1022">
        <f>Y29</f>
        <v>125894893.92638966</v>
      </c>
      <c r="Z30" s="830"/>
      <c r="AH30" s="830">
        <f>AH29/100000</f>
        <v>1086.7606815459258</v>
      </c>
    </row>
    <row r="31" spans="1:43" ht="15" thickBot="1">
      <c r="A31" s="115"/>
      <c r="C31" s="885">
        <v>41735439</v>
      </c>
      <c r="D31" s="830">
        <f>C31*AE28/(AE27+AE28)</f>
        <v>24286939.628023729</v>
      </c>
      <c r="N31" s="830"/>
      <c r="Q31" s="830"/>
      <c r="X31" s="305" t="s">
        <v>2046</v>
      </c>
      <c r="Y31" s="844">
        <f>Y26</f>
        <v>119623351.81424007</v>
      </c>
      <c r="Z31" s="830"/>
      <c r="AL31" s="1011"/>
      <c r="AQ31" s="1011">
        <v>44986</v>
      </c>
    </row>
    <row r="32" spans="1:43">
      <c r="A32" s="115"/>
      <c r="C32" s="885">
        <f>SUM(C27:C28)*0.5</f>
        <v>12143469.814011864</v>
      </c>
      <c r="D32" s="830"/>
      <c r="E32" s="885"/>
      <c r="F32" s="885"/>
      <c r="G32" s="885"/>
      <c r="H32" s="885"/>
      <c r="I32" s="885"/>
      <c r="J32" s="885"/>
      <c r="K32" s="885"/>
      <c r="L32" s="885"/>
      <c r="M32" s="885"/>
      <c r="N32" s="885"/>
      <c r="O32" s="885"/>
      <c r="P32" s="885"/>
      <c r="Q32" s="885"/>
      <c r="R32" s="885"/>
      <c r="S32" s="885"/>
      <c r="T32" s="885"/>
      <c r="U32" s="885"/>
      <c r="V32" s="885"/>
      <c r="W32" s="885"/>
      <c r="X32" s="885"/>
      <c r="Y32" s="830"/>
      <c r="Z32" s="830"/>
      <c r="AB32" s="1137" t="s">
        <v>1998</v>
      </c>
      <c r="AC32" s="1138"/>
      <c r="AD32" s="1138"/>
      <c r="AE32" s="1139"/>
      <c r="AG32" s="1137" t="s">
        <v>1999</v>
      </c>
      <c r="AH32" s="1138"/>
      <c r="AI32" s="1138"/>
      <c r="AJ32" s="1139"/>
    </row>
    <row r="33" spans="1:36">
      <c r="A33" s="115"/>
      <c r="C33" s="843"/>
      <c r="D33" s="830">
        <f>AE26</f>
        <v>88314300</v>
      </c>
      <c r="E33">
        <v>1</v>
      </c>
      <c r="F33" s="830">
        <f>D33*E33</f>
        <v>88314300</v>
      </c>
      <c r="P33" s="830"/>
      <c r="Q33" s="844"/>
      <c r="Z33" s="830"/>
      <c r="AB33" s="1012" t="s">
        <v>2000</v>
      </c>
      <c r="AE33" s="1013">
        <f>765.24</f>
        <v>765.24</v>
      </c>
      <c r="AG33" s="1012" t="s">
        <v>2000</v>
      </c>
      <c r="AJ33" s="1013">
        <v>320.04000000000002</v>
      </c>
    </row>
    <row r="34" spans="1:36">
      <c r="A34" s="115"/>
      <c r="B34" t="s">
        <v>2008</v>
      </c>
      <c r="C34" s="843">
        <f>162.07/1258.95</f>
        <v>0.12873426267921681</v>
      </c>
      <c r="D34" s="885">
        <f>41735439+580887</f>
        <v>42316326</v>
      </c>
      <c r="E34">
        <v>1</v>
      </c>
      <c r="F34" s="830">
        <f>D34*E34</f>
        <v>42316326</v>
      </c>
      <c r="P34" s="830"/>
      <c r="Q34" s="844"/>
      <c r="Y34" s="830"/>
      <c r="Z34" s="830"/>
      <c r="AB34" s="1012" t="s">
        <v>2001</v>
      </c>
      <c r="AE34" s="1013">
        <f>-83</f>
        <v>-83</v>
      </c>
      <c r="AG34" s="1012" t="s">
        <v>2001</v>
      </c>
      <c r="AJ34" s="1013">
        <f>-83</f>
        <v>-83</v>
      </c>
    </row>
    <row r="35" spans="1:36">
      <c r="D35" s="830">
        <f>(D33/2)-D34</f>
        <v>1840824</v>
      </c>
      <c r="E35">
        <v>0.5</v>
      </c>
      <c r="F35" s="830">
        <f>D35*E35</f>
        <v>920412</v>
      </c>
      <c r="P35" s="830"/>
      <c r="Q35" s="842"/>
      <c r="Z35" s="830"/>
      <c r="AB35" s="1012" t="s">
        <v>2002</v>
      </c>
      <c r="AE35" s="1000">
        <f>SUM(AE33:AE34)</f>
        <v>682.24</v>
      </c>
      <c r="AG35" s="1012" t="s">
        <v>2002</v>
      </c>
      <c r="AJ35" s="1000">
        <f>SUM(AJ33:AJ34)</f>
        <v>237.04000000000002</v>
      </c>
    </row>
    <row r="36" spans="1:36">
      <c r="C36" s="885"/>
      <c r="D36" s="830" t="s">
        <v>2007</v>
      </c>
      <c r="F36" s="830">
        <f>SUM(F33:F35)</f>
        <v>131551038</v>
      </c>
      <c r="Z36" s="830"/>
      <c r="AB36" s="998"/>
      <c r="AE36" s="1014"/>
      <c r="AG36" s="998"/>
      <c r="AJ36" s="1014"/>
    </row>
    <row r="37" spans="1:36" ht="15" thickBot="1">
      <c r="C37" s="885"/>
      <c r="F37" s="830"/>
      <c r="Q37" s="830"/>
      <c r="Z37" s="830"/>
      <c r="AB37" s="1015" t="s">
        <v>2003</v>
      </c>
      <c r="AC37" s="1016"/>
      <c r="AD37" s="1016"/>
      <c r="AE37" s="1017">
        <f>AE35/AH30</f>
        <v>0.62777390789433807</v>
      </c>
      <c r="AG37" s="1015" t="s">
        <v>2003</v>
      </c>
      <c r="AH37" s="1016"/>
      <c r="AI37" s="1016"/>
      <c r="AJ37" s="1017">
        <f>AJ35/AH30</f>
        <v>0.21811609862698447</v>
      </c>
    </row>
    <row r="38" spans="1:36" ht="15" thickBot="1">
      <c r="C38" s="885"/>
      <c r="F38" s="830"/>
      <c r="Q38" s="830"/>
      <c r="X38" s="830"/>
      <c r="Z38" s="830">
        <f>X38*Y38</f>
        <v>0</v>
      </c>
      <c r="AB38" s="1015" t="s">
        <v>2004</v>
      </c>
      <c r="AC38" s="1016"/>
      <c r="AD38" s="1016"/>
      <c r="AE38" s="1018">
        <f>AE37</f>
        <v>0.62777390789433807</v>
      </c>
      <c r="AG38" s="1015" t="s">
        <v>2004</v>
      </c>
      <c r="AH38" s="1016"/>
      <c r="AI38" s="1016"/>
      <c r="AJ38" s="1019">
        <f>AJ37</f>
        <v>0.21811609862698447</v>
      </c>
    </row>
    <row r="39" spans="1:36" ht="15" thickBot="1">
      <c r="B39" s="82" t="s">
        <v>2047</v>
      </c>
      <c r="G39" s="82"/>
      <c r="S39" t="e">
        <f>#REF!-S36</f>
        <v>#REF!</v>
      </c>
      <c r="X39" s="830"/>
      <c r="Z39" s="830">
        <f>(X39*Y39)*53/92</f>
        <v>0</v>
      </c>
    </row>
    <row r="40" spans="1:36" ht="15" thickBot="1">
      <c r="B40" s="115">
        <v>45565</v>
      </c>
      <c r="C40" t="s">
        <v>2048</v>
      </c>
      <c r="D40">
        <f>B40-B24</f>
        <v>92</v>
      </c>
      <c r="G40" s="82"/>
      <c r="V40" s="830"/>
      <c r="W40" s="993"/>
      <c r="Y40" s="830"/>
      <c r="Z40" s="830"/>
      <c r="AB40" s="1137" t="s">
        <v>2005</v>
      </c>
      <c r="AC40" s="1138"/>
      <c r="AD40" s="1138"/>
      <c r="AE40" s="1139"/>
      <c r="AG40" s="1137" t="s">
        <v>2006</v>
      </c>
      <c r="AH40" s="1138"/>
      <c r="AI40" s="1138"/>
      <c r="AJ40" s="1139"/>
    </row>
    <row r="41" spans="1:36">
      <c r="B41" s="994" t="s">
        <v>0</v>
      </c>
      <c r="C41" s="995" t="s">
        <v>1980</v>
      </c>
      <c r="D41" s="995" t="s">
        <v>1981</v>
      </c>
      <c r="E41" s="995" t="s">
        <v>2049</v>
      </c>
      <c r="F41" s="995" t="s">
        <v>1982</v>
      </c>
      <c r="G41" s="995" t="s">
        <v>1983</v>
      </c>
      <c r="H41" s="995"/>
      <c r="I41" s="995"/>
      <c r="J41" s="995"/>
      <c r="K41" s="995"/>
      <c r="L41" s="995"/>
      <c r="M41" s="995"/>
      <c r="N41" s="995"/>
      <c r="O41" s="995"/>
      <c r="P41" s="995"/>
      <c r="Q41" s="995"/>
      <c r="R41" s="995"/>
      <c r="S41" s="995"/>
      <c r="T41" s="995"/>
      <c r="U41" s="995"/>
      <c r="V41" s="995"/>
      <c r="W41" s="995"/>
      <c r="X41" s="995" t="s">
        <v>405</v>
      </c>
      <c r="Y41" s="996" t="s">
        <v>1984</v>
      </c>
      <c r="Z41" s="830"/>
      <c r="AB41" s="1012" t="s">
        <v>2000</v>
      </c>
      <c r="AE41" s="1013">
        <f>-749.93</f>
        <v>-749.93</v>
      </c>
      <c r="AG41" s="1012" t="s">
        <v>2000</v>
      </c>
      <c r="AJ41" s="1013">
        <v>182.91</v>
      </c>
    </row>
    <row r="42" spans="1:36">
      <c r="B42" s="998" t="s">
        <v>662</v>
      </c>
      <c r="C42" s="999">
        <f>C26</f>
        <v>119623351.81424007</v>
      </c>
      <c r="D42">
        <v>1</v>
      </c>
      <c r="E42" t="s">
        <v>2050</v>
      </c>
      <c r="F42" s="115"/>
      <c r="G42">
        <v>91</v>
      </c>
      <c r="Y42" s="1000">
        <f>C42*D42</f>
        <v>119623351.81424007</v>
      </c>
      <c r="Z42" s="830"/>
      <c r="AB42" s="1012" t="s">
        <v>2001</v>
      </c>
      <c r="AE42" s="1013"/>
      <c r="AG42" s="1012" t="s">
        <v>2001</v>
      </c>
      <c r="AJ42" s="1013"/>
    </row>
    <row r="43" spans="1:36">
      <c r="B43" s="998" t="s">
        <v>2051</v>
      </c>
      <c r="C43" s="830">
        <f>(41735439)*$AE$28/($AE$28+$AE$27)</f>
        <v>24286939.628023729</v>
      </c>
      <c r="D43">
        <f>0.5</f>
        <v>0.5</v>
      </c>
      <c r="E43" t="s">
        <v>2050</v>
      </c>
      <c r="F43" s="115"/>
      <c r="G43">
        <v>47</v>
      </c>
      <c r="Y43" s="1000">
        <f>C43*D43</f>
        <v>12143469.814011864</v>
      </c>
      <c r="Z43" s="830"/>
      <c r="AB43" s="1012" t="s">
        <v>2002</v>
      </c>
      <c r="AE43" s="1000">
        <f>SUM(AE41:AE42)</f>
        <v>-749.93</v>
      </c>
      <c r="AG43" s="1012" t="s">
        <v>2002</v>
      </c>
      <c r="AJ43" s="1000">
        <f>SUM(AJ41:AJ42)</f>
        <v>182.91</v>
      </c>
    </row>
    <row r="44" spans="1:36" ht="15" thickBot="1">
      <c r="B44" s="998" t="s">
        <v>2052</v>
      </c>
      <c r="C44" s="830">
        <f>(580887)*$AE$28/($AE$28+$AE$27)</f>
        <v>338033.28388863528</v>
      </c>
      <c r="D44">
        <f>0.5</f>
        <v>0.5</v>
      </c>
      <c r="E44" t="s">
        <v>2053</v>
      </c>
      <c r="F44" s="115">
        <v>45512</v>
      </c>
      <c r="G44">
        <v>34</v>
      </c>
      <c r="X44">
        <f>B40-F44</f>
        <v>53</v>
      </c>
      <c r="Y44" s="1000">
        <f>C44*D44*X44/D40</f>
        <v>97368.28285922647</v>
      </c>
      <c r="Z44" s="830"/>
      <c r="AB44" s="998"/>
      <c r="AE44" s="1014"/>
      <c r="AG44" s="998"/>
      <c r="AJ44" s="1014"/>
    </row>
    <row r="45" spans="1:36" ht="15" thickBot="1">
      <c r="B45" s="1005" t="s">
        <v>2054</v>
      </c>
      <c r="C45" s="1006"/>
      <c r="D45" s="1006"/>
      <c r="E45" s="1006"/>
      <c r="F45" s="1006"/>
      <c r="G45" s="1006"/>
      <c r="H45" s="1006"/>
      <c r="I45" s="1006"/>
      <c r="J45" s="1006"/>
      <c r="K45" s="1006"/>
      <c r="L45" s="1006"/>
      <c r="M45" s="1006"/>
      <c r="N45" s="1006"/>
      <c r="O45" s="1006"/>
      <c r="P45" s="1006"/>
      <c r="Q45" s="1006"/>
      <c r="R45" s="1006"/>
      <c r="S45" s="1006"/>
      <c r="T45" s="1006"/>
      <c r="U45" s="1006"/>
      <c r="V45" s="1006"/>
      <c r="W45" s="1006"/>
      <c r="X45" s="1006">
        <f>D40</f>
        <v>92</v>
      </c>
      <c r="Y45" s="1007">
        <f>SUM(Y42:Y44)</f>
        <v>131864189.91111116</v>
      </c>
      <c r="Z45" s="830">
        <f>Y45/100000</f>
        <v>1318.6418991111116</v>
      </c>
      <c r="AB45" s="1015" t="s">
        <v>2009</v>
      </c>
      <c r="AC45" s="1016"/>
      <c r="AD45" s="1016"/>
      <c r="AE45" s="1017">
        <f>AE43/AQ29</f>
        <v>-0.70234438647118447</v>
      </c>
      <c r="AG45" s="1015" t="s">
        <v>2003</v>
      </c>
      <c r="AH45" s="1016"/>
      <c r="AI45" s="1016"/>
      <c r="AJ45" s="1017">
        <f>AJ43/AQ29</f>
        <v>0.17130373732140913</v>
      </c>
    </row>
    <row r="46" spans="1:36" ht="15" thickBot="1">
      <c r="C46" s="885"/>
      <c r="F46" s="830"/>
      <c r="Q46" s="830"/>
      <c r="Z46" s="830"/>
      <c r="AB46" s="1015" t="s">
        <v>2010</v>
      </c>
      <c r="AC46" s="1016"/>
      <c r="AD46" s="1016"/>
      <c r="AE46" s="1020">
        <f>AE45</f>
        <v>-0.70234438647118447</v>
      </c>
      <c r="AG46" s="1015" t="s">
        <v>2004</v>
      </c>
      <c r="AH46" s="1016"/>
      <c r="AI46" s="1016"/>
      <c r="AJ46" s="1019">
        <f>AJ45</f>
        <v>0.17130373732140913</v>
      </c>
    </row>
    <row r="47" spans="1:36" ht="15" thickBot="1">
      <c r="B47" s="82" t="s">
        <v>2055</v>
      </c>
      <c r="G47" s="82"/>
      <c r="S47" t="e">
        <f>#REF!-S44</f>
        <v>#REF!</v>
      </c>
      <c r="Z47" s="830"/>
    </row>
    <row r="48" spans="1:36" ht="15" thickBot="1">
      <c r="B48" s="115">
        <v>45565</v>
      </c>
      <c r="C48" t="s">
        <v>2056</v>
      </c>
      <c r="D48">
        <f>D40+F26</f>
        <v>183</v>
      </c>
      <c r="G48" s="82"/>
      <c r="V48" s="830"/>
      <c r="W48" s="993"/>
      <c r="Y48" s="830"/>
      <c r="Z48" s="830"/>
      <c r="AB48" s="1137" t="s">
        <v>2060</v>
      </c>
      <c r="AC48" s="1138"/>
      <c r="AD48" s="1138"/>
      <c r="AE48" s="1139"/>
      <c r="AG48" s="1137" t="s">
        <v>2011</v>
      </c>
      <c r="AH48" s="1138"/>
      <c r="AI48" s="1138"/>
      <c r="AJ48" s="1139"/>
    </row>
    <row r="49" spans="2:36">
      <c r="B49" s="994" t="s">
        <v>0</v>
      </c>
      <c r="C49" s="995" t="s">
        <v>1980</v>
      </c>
      <c r="D49" s="995" t="s">
        <v>1981</v>
      </c>
      <c r="E49" s="995" t="s">
        <v>2049</v>
      </c>
      <c r="F49" s="995" t="s">
        <v>1982</v>
      </c>
      <c r="G49" s="995" t="s">
        <v>1983</v>
      </c>
      <c r="H49" s="995"/>
      <c r="I49" s="995"/>
      <c r="J49" s="995"/>
      <c r="K49" s="995"/>
      <c r="L49" s="995"/>
      <c r="M49" s="995"/>
      <c r="N49" s="995"/>
      <c r="O49" s="995"/>
      <c r="P49" s="995"/>
      <c r="Q49" s="995"/>
      <c r="R49" s="995"/>
      <c r="S49" s="995"/>
      <c r="T49" s="995"/>
      <c r="U49" s="995"/>
      <c r="V49" s="995"/>
      <c r="W49" s="995"/>
      <c r="X49" s="995" t="s">
        <v>405</v>
      </c>
      <c r="Y49" s="996" t="s">
        <v>1984</v>
      </c>
      <c r="Z49" s="830"/>
      <c r="AB49" s="1012" t="s">
        <v>2000</v>
      </c>
      <c r="AE49" s="1013">
        <f>+'Regulation 33 - Results'!K36</f>
        <v>65.153779950001336</v>
      </c>
      <c r="AG49" s="1012" t="s">
        <v>2000</v>
      </c>
      <c r="AJ49" s="1013">
        <v>18.14</v>
      </c>
    </row>
    <row r="50" spans="2:36">
      <c r="B50" s="998" t="s">
        <v>662</v>
      </c>
      <c r="C50" s="999">
        <f>C26</f>
        <v>119623351.81424007</v>
      </c>
      <c r="D50">
        <v>1</v>
      </c>
      <c r="E50" t="s">
        <v>2050</v>
      </c>
      <c r="F50" s="115"/>
      <c r="G50">
        <v>91</v>
      </c>
      <c r="Y50" s="1000">
        <f>C50*D50</f>
        <v>119623351.81424007</v>
      </c>
      <c r="AB50" s="1012" t="s">
        <v>2001</v>
      </c>
      <c r="AE50" s="1013"/>
      <c r="AG50" s="1012" t="s">
        <v>2001</v>
      </c>
      <c r="AJ50" s="1013"/>
    </row>
    <row r="51" spans="2:36">
      <c r="B51" s="998" t="s">
        <v>2051</v>
      </c>
      <c r="C51" s="830">
        <f>(41735439-8658)*$AE$28/($AE$28+$AE$27)</f>
        <v>24281901.312186211</v>
      </c>
      <c r="D51">
        <f>0.5</f>
        <v>0.5</v>
      </c>
      <c r="E51" t="s">
        <v>2053</v>
      </c>
      <c r="F51" s="115">
        <v>45426</v>
      </c>
      <c r="G51">
        <v>47</v>
      </c>
      <c r="X51">
        <f>$B$48-F51</f>
        <v>139</v>
      </c>
      <c r="Y51" s="1000">
        <f>C51*D51*X51/X54</f>
        <v>9221814.9792182595</v>
      </c>
      <c r="AB51" s="1012" t="s">
        <v>2002</v>
      </c>
      <c r="AE51" s="1000">
        <f>SUM(AE49:AE50)</f>
        <v>65.153779950001336</v>
      </c>
      <c r="AG51" s="1012" t="s">
        <v>2002</v>
      </c>
      <c r="AJ51" s="1000">
        <f>SUM(AJ49:AJ50)</f>
        <v>18.14</v>
      </c>
    </row>
    <row r="52" spans="2:36">
      <c r="B52" s="998" t="s">
        <v>2051</v>
      </c>
      <c r="C52" s="999">
        <f>8658*$AE$28/($AE$28+$AE$27)</f>
        <v>5038.3158375171142</v>
      </c>
      <c r="D52">
        <f>0.5</f>
        <v>0.5</v>
      </c>
      <c r="E52" t="s">
        <v>2053</v>
      </c>
      <c r="F52" s="115">
        <v>45439</v>
      </c>
      <c r="G52">
        <v>47</v>
      </c>
      <c r="X52">
        <f>$B$48-F52</f>
        <v>126</v>
      </c>
      <c r="Y52" s="1000">
        <f>C52*D52*X52/X54</f>
        <v>1734.5021735714656</v>
      </c>
      <c r="AB52" s="998"/>
      <c r="AE52" s="1014"/>
      <c r="AG52" s="998"/>
      <c r="AJ52" s="1014"/>
    </row>
    <row r="53" spans="2:36" ht="15" thickBot="1">
      <c r="B53" s="998" t="s">
        <v>2052</v>
      </c>
      <c r="C53" s="830">
        <f>(580887)*$AE$28/($AE$28+$AE$27)</f>
        <v>338033.28388863528</v>
      </c>
      <c r="D53">
        <f>0.5</f>
        <v>0.5</v>
      </c>
      <c r="E53" t="s">
        <v>2053</v>
      </c>
      <c r="F53" s="115">
        <v>45512</v>
      </c>
      <c r="G53">
        <v>34</v>
      </c>
      <c r="X53">
        <f>$B$48-F53</f>
        <v>53</v>
      </c>
      <c r="Y53" s="1000">
        <f>C53*D53*X53/X54</f>
        <v>48950.174989337895</v>
      </c>
      <c r="AB53" s="1015" t="s">
        <v>2009</v>
      </c>
      <c r="AC53" s="1016"/>
      <c r="AD53" s="1016"/>
      <c r="AE53" s="1017">
        <f>AE49/Z45</f>
        <v>4.9409760143311922E-2</v>
      </c>
      <c r="AG53" s="1015" t="s">
        <v>2003</v>
      </c>
      <c r="AH53" s="1016"/>
      <c r="AI53" s="1016"/>
      <c r="AJ53" s="1017">
        <f>AJ51/AQ29</f>
        <v>1.6988955196601398E-2</v>
      </c>
    </row>
    <row r="54" spans="2:36" ht="15" thickBot="1">
      <c r="B54" s="1005" t="s">
        <v>2057</v>
      </c>
      <c r="C54" s="1006"/>
      <c r="D54" s="1006"/>
      <c r="E54" s="1006"/>
      <c r="F54" s="1006"/>
      <c r="G54" s="1006"/>
      <c r="H54" s="1006"/>
      <c r="I54" s="1006"/>
      <c r="J54" s="1006"/>
      <c r="K54" s="1006"/>
      <c r="L54" s="1006"/>
      <c r="M54" s="1006"/>
      <c r="N54" s="1006"/>
      <c r="O54" s="1006"/>
      <c r="P54" s="1006"/>
      <c r="Q54" s="1006"/>
      <c r="R54" s="1006"/>
      <c r="S54" s="1006"/>
      <c r="T54" s="1006"/>
      <c r="U54" s="1006"/>
      <c r="V54" s="1006"/>
      <c r="W54" s="1006"/>
      <c r="X54" s="1006">
        <f>D48</f>
        <v>183</v>
      </c>
      <c r="Y54" s="1007">
        <f>SUM(Y50:Y53)</f>
        <v>128895851.47062124</v>
      </c>
      <c r="Z54" s="830">
        <f>Y54/100000</f>
        <v>1288.9585147062123</v>
      </c>
      <c r="AB54" s="1015" t="s">
        <v>2010</v>
      </c>
      <c r="AC54" s="1016"/>
      <c r="AD54" s="1016"/>
      <c r="AE54" s="1020">
        <f>AE53</f>
        <v>4.9409760143311922E-2</v>
      </c>
      <c r="AG54" s="1015" t="s">
        <v>2004</v>
      </c>
      <c r="AH54" s="1016"/>
      <c r="AI54" s="1016"/>
      <c r="AJ54" s="1019">
        <f>AJ53</f>
        <v>1.6988955196601398E-2</v>
      </c>
    </row>
    <row r="55" spans="2:36" ht="15" thickBot="1">
      <c r="F55" s="830"/>
    </row>
    <row r="56" spans="2:36">
      <c r="AB56" s="1137" t="s">
        <v>2061</v>
      </c>
      <c r="AC56" s="1138"/>
      <c r="AD56" s="1138"/>
      <c r="AE56" s="1139"/>
    </row>
    <row r="57" spans="2:36">
      <c r="AB57" s="1012" t="s">
        <v>2000</v>
      </c>
      <c r="AE57" s="1013">
        <f>+'Regulation 33 - Results'!N36</f>
        <v>488.01910001964541</v>
      </c>
    </row>
    <row r="58" spans="2:36">
      <c r="B58" t="s">
        <v>2058</v>
      </c>
      <c r="E58" s="830">
        <f>D35</f>
        <v>1840824</v>
      </c>
      <c r="AB58" s="1012" t="s">
        <v>2001</v>
      </c>
      <c r="AE58" s="1013"/>
    </row>
    <row r="59" spans="2:36">
      <c r="B59" t="s">
        <v>2059</v>
      </c>
      <c r="E59" s="885">
        <v>1840824</v>
      </c>
      <c r="AB59" s="1012" t="s">
        <v>2002</v>
      </c>
      <c r="AE59" s="1000">
        <f>SUM(AE57:AE58)</f>
        <v>488.01910001964541</v>
      </c>
    </row>
    <row r="60" spans="2:36">
      <c r="E60" s="830">
        <f>E58-E59</f>
        <v>0</v>
      </c>
      <c r="AB60" s="998"/>
      <c r="AE60" s="1014"/>
    </row>
    <row r="61" spans="2:36" ht="15" thickBot="1">
      <c r="AB61" s="1015" t="s">
        <v>2009</v>
      </c>
      <c r="AC61" s="1016"/>
      <c r="AD61" s="1016"/>
      <c r="AE61" s="1017">
        <f>AE57/Z54</f>
        <v>0.37861505583899868</v>
      </c>
    </row>
    <row r="62" spans="2:36" ht="15" thickBot="1">
      <c r="AB62" s="1015" t="s">
        <v>2010</v>
      </c>
      <c r="AC62" s="1016"/>
      <c r="AD62" s="1016"/>
      <c r="AE62" s="1020">
        <f>AE61</f>
        <v>0.37861505583899868</v>
      </c>
    </row>
  </sheetData>
  <mergeCells count="10">
    <mergeCell ref="AG48:AJ48"/>
    <mergeCell ref="AB48:AE48"/>
    <mergeCell ref="AB56:AE56"/>
    <mergeCell ref="AL2:AT2"/>
    <mergeCell ref="G3:N3"/>
    <mergeCell ref="L14:T14"/>
    <mergeCell ref="AB32:AE32"/>
    <mergeCell ref="AG32:AJ32"/>
    <mergeCell ref="AB40:AE40"/>
    <mergeCell ref="AG40:AJ4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C1B49-5E04-49AB-894D-C187ED2146FF}">
  <sheetPr>
    <tabColor theme="3" tint="-0.499984740745262"/>
  </sheetPr>
  <dimension ref="A1:F25"/>
  <sheetViews>
    <sheetView workbookViewId="0">
      <selection activeCell="J44" sqref="J44"/>
    </sheetView>
  </sheetViews>
  <sheetFormatPr defaultRowHeight="14.5"/>
  <cols>
    <col min="1" max="1" width="37" bestFit="1" customWidth="1"/>
    <col min="2" max="2" width="14.1796875" bestFit="1" customWidth="1"/>
    <col min="3" max="3" width="13.54296875" bestFit="1" customWidth="1"/>
    <col min="4" max="4" width="34.26953125" bestFit="1" customWidth="1"/>
    <col min="5" max="6" width="13.54296875" bestFit="1" customWidth="1"/>
  </cols>
  <sheetData>
    <row r="1" spans="1:6" ht="15.5">
      <c r="A1" s="1173" t="s">
        <v>398</v>
      </c>
      <c r="B1" s="1173"/>
      <c r="C1" s="1173"/>
      <c r="D1" s="306"/>
      <c r="E1" s="306"/>
      <c r="F1" s="306"/>
    </row>
    <row r="2" spans="1:6">
      <c r="A2" s="1174" t="s">
        <v>2086</v>
      </c>
      <c r="B2" s="1174"/>
      <c r="C2" s="1174"/>
      <c r="D2" s="306"/>
      <c r="E2" s="306"/>
      <c r="F2" s="306"/>
    </row>
    <row r="3" spans="1:6">
      <c r="A3" s="307" t="s">
        <v>325</v>
      </c>
      <c r="B3" s="1175" t="s">
        <v>1378</v>
      </c>
      <c r="C3" s="1176"/>
      <c r="D3" s="597" t="s">
        <v>325</v>
      </c>
      <c r="E3" s="1175" t="s">
        <v>1378</v>
      </c>
      <c r="F3" s="1175"/>
    </row>
    <row r="4" spans="1:6">
      <c r="A4" s="598" t="s">
        <v>0</v>
      </c>
      <c r="B4" s="1177" t="s">
        <v>2086</v>
      </c>
      <c r="C4" s="1178"/>
      <c r="D4" s="599" t="s">
        <v>0</v>
      </c>
      <c r="E4" s="1177" t="s">
        <v>2086</v>
      </c>
      <c r="F4" s="1177"/>
    </row>
    <row r="5" spans="1:6">
      <c r="A5" s="311" t="s">
        <v>356</v>
      </c>
      <c r="B5" s="330"/>
      <c r="C5" s="600">
        <v>151260347.257</v>
      </c>
      <c r="D5" s="601" t="s">
        <v>370</v>
      </c>
      <c r="E5" s="338"/>
      <c r="F5" s="602">
        <v>136098751.84999999</v>
      </c>
    </row>
    <row r="6" spans="1:6">
      <c r="A6" s="342" t="s">
        <v>2108</v>
      </c>
      <c r="B6" s="323">
        <v>950681.68</v>
      </c>
      <c r="C6" s="603"/>
      <c r="D6" s="604" t="s">
        <v>766</v>
      </c>
      <c r="E6" s="323">
        <v>65429379.600000001</v>
      </c>
      <c r="F6" s="605"/>
    </row>
    <row r="7" spans="1:6">
      <c r="A7" s="342" t="s">
        <v>611</v>
      </c>
      <c r="B7" s="323">
        <v>148147227.63299999</v>
      </c>
      <c r="C7" s="603"/>
      <c r="D7" s="604" t="s">
        <v>771</v>
      </c>
      <c r="E7" s="591">
        <v>70669372.25</v>
      </c>
      <c r="F7" s="605"/>
    </row>
    <row r="8" spans="1:6">
      <c r="A8" s="342" t="s">
        <v>2099</v>
      </c>
      <c r="B8" s="591">
        <v>2162437.9440000001</v>
      </c>
      <c r="C8" s="603"/>
      <c r="D8" s="607" t="s">
        <v>486</v>
      </c>
      <c r="E8" s="338"/>
      <c r="F8" s="602">
        <v>61003454.129000001</v>
      </c>
    </row>
    <row r="9" spans="1:6">
      <c r="A9" s="311" t="s">
        <v>372</v>
      </c>
      <c r="B9" s="338"/>
      <c r="C9" s="606">
        <v>54794024.409000002</v>
      </c>
      <c r="D9" s="608" t="s">
        <v>611</v>
      </c>
      <c r="E9" s="591">
        <v>61003454.129000001</v>
      </c>
      <c r="F9" s="605"/>
    </row>
    <row r="10" spans="1:6">
      <c r="A10" s="342" t="s">
        <v>2107</v>
      </c>
      <c r="B10" s="591">
        <v>54794024.409000002</v>
      </c>
      <c r="C10" s="603"/>
      <c r="D10" s="804" t="s">
        <v>1103</v>
      </c>
      <c r="E10" s="338"/>
      <c r="F10" s="805">
        <v>9428936.7870000005</v>
      </c>
    </row>
    <row r="11" spans="1:6">
      <c r="A11" s="311" t="s">
        <v>777</v>
      </c>
      <c r="B11" s="338"/>
      <c r="C11" s="606">
        <v>476771.1</v>
      </c>
      <c r="D11" s="338"/>
      <c r="E11" s="313">
        <v>206531142.766</v>
      </c>
      <c r="F11" s="306"/>
    </row>
    <row r="12" spans="1:6">
      <c r="A12" s="480" t="s">
        <v>782</v>
      </c>
      <c r="B12" s="323">
        <v>402771.1</v>
      </c>
      <c r="C12" s="603"/>
      <c r="D12" s="607" t="s">
        <v>374</v>
      </c>
      <c r="E12" s="338"/>
      <c r="F12" s="602">
        <v>426540.09499999997</v>
      </c>
    </row>
    <row r="13" spans="1:6">
      <c r="A13" s="480" t="s">
        <v>783</v>
      </c>
      <c r="B13" s="591">
        <v>74000</v>
      </c>
      <c r="C13" s="603"/>
      <c r="D13" s="604" t="s">
        <v>791</v>
      </c>
      <c r="E13" s="591">
        <v>426540.09499999997</v>
      </c>
      <c r="F13" s="605"/>
    </row>
    <row r="14" spans="1:6">
      <c r="A14" s="338"/>
      <c r="B14" s="313">
        <v>206531142.766</v>
      </c>
      <c r="C14" s="306"/>
      <c r="D14" s="804" t="s">
        <v>1108</v>
      </c>
      <c r="E14" s="338"/>
      <c r="F14" s="805">
        <v>9426865.0810000002</v>
      </c>
    </row>
    <row r="15" spans="1:6">
      <c r="A15" s="609" t="s">
        <v>1101</v>
      </c>
      <c r="B15" s="338"/>
      <c r="C15" s="610">
        <v>9428936.7870000005</v>
      </c>
      <c r="D15" s="306"/>
      <c r="E15" s="306"/>
      <c r="F15" s="306"/>
    </row>
    <row r="16" spans="1:6">
      <c r="A16" s="311" t="s">
        <v>380</v>
      </c>
      <c r="B16" s="338"/>
      <c r="C16" s="606">
        <v>424468.38900000002</v>
      </c>
      <c r="D16" s="306"/>
      <c r="E16" s="306"/>
      <c r="F16" s="306"/>
    </row>
    <row r="17" spans="1:6">
      <c r="A17" s="342" t="s">
        <v>600</v>
      </c>
      <c r="B17" s="323">
        <v>-84784</v>
      </c>
      <c r="C17" s="603"/>
      <c r="D17" s="306"/>
      <c r="E17" s="306"/>
      <c r="F17" s="306"/>
    </row>
    <row r="18" spans="1:6">
      <c r="A18" s="342" t="s">
        <v>811</v>
      </c>
      <c r="B18" s="323">
        <v>445.50099999999998</v>
      </c>
      <c r="C18" s="603"/>
      <c r="D18" s="306"/>
      <c r="E18" s="306"/>
      <c r="F18" s="306"/>
    </row>
    <row r="19" spans="1:6">
      <c r="A19" s="480" t="s">
        <v>601</v>
      </c>
      <c r="B19" s="323">
        <v>3224</v>
      </c>
      <c r="C19" s="603"/>
      <c r="D19" s="306"/>
      <c r="E19" s="306"/>
      <c r="F19" s="306"/>
    </row>
    <row r="20" spans="1:6">
      <c r="A20" s="480" t="s">
        <v>391</v>
      </c>
      <c r="B20" s="323">
        <v>80924.888000000006</v>
      </c>
      <c r="C20" s="603"/>
      <c r="D20" s="306"/>
      <c r="E20" s="306"/>
      <c r="F20" s="306"/>
    </row>
    <row r="21" spans="1:6">
      <c r="A21" s="480" t="s">
        <v>1065</v>
      </c>
      <c r="B21" s="323">
        <v>333372</v>
      </c>
      <c r="C21" s="603"/>
      <c r="D21" s="306"/>
      <c r="E21" s="306"/>
      <c r="F21" s="306"/>
    </row>
    <row r="22" spans="1:6">
      <c r="A22" s="480" t="s">
        <v>2106</v>
      </c>
      <c r="B22" s="323">
        <v>50000</v>
      </c>
      <c r="C22" s="603"/>
      <c r="D22" s="306"/>
      <c r="E22" s="306"/>
      <c r="F22" s="306"/>
    </row>
    <row r="23" spans="1:6">
      <c r="A23" s="480" t="s">
        <v>605</v>
      </c>
      <c r="B23" s="323">
        <v>36</v>
      </c>
      <c r="C23" s="603"/>
      <c r="D23" s="306"/>
      <c r="E23" s="306"/>
      <c r="F23" s="306"/>
    </row>
    <row r="24" spans="1:6">
      <c r="A24" s="480" t="s">
        <v>2105</v>
      </c>
      <c r="B24" s="323">
        <v>41250</v>
      </c>
      <c r="C24" s="603"/>
      <c r="D24" s="306"/>
      <c r="E24" s="306"/>
      <c r="F24" s="306"/>
    </row>
    <row r="25" spans="1:6">
      <c r="A25" s="344" t="s">
        <v>194</v>
      </c>
      <c r="B25" s="611"/>
      <c r="C25" s="612">
        <v>9853405.1760000009</v>
      </c>
      <c r="D25" s="613" t="s">
        <v>194</v>
      </c>
      <c r="E25" s="611"/>
      <c r="F25" s="313">
        <v>9853405.1760000009</v>
      </c>
    </row>
  </sheetData>
  <mergeCells count="6">
    <mergeCell ref="A1:C1"/>
    <mergeCell ref="A2:C2"/>
    <mergeCell ref="B3:C3"/>
    <mergeCell ref="B4:C4"/>
    <mergeCell ref="E3:F3"/>
    <mergeCell ref="E4:F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1FA6E-D93C-41AA-8D22-F300D3F93701}">
  <sheetPr>
    <tabColor rgb="FF002060"/>
  </sheetPr>
  <dimension ref="A1:AT81"/>
  <sheetViews>
    <sheetView showGridLines="0" topLeftCell="X53" zoomScale="80" zoomScaleNormal="80" workbookViewId="0">
      <selection activeCell="J44" sqref="J44"/>
    </sheetView>
  </sheetViews>
  <sheetFormatPr defaultRowHeight="14.5"/>
  <cols>
    <col min="1" max="1" width="10.54296875" bestFit="1" customWidth="1"/>
    <col min="2" max="2" width="30.26953125" bestFit="1" customWidth="1"/>
    <col min="3" max="3" width="16.453125" bestFit="1" customWidth="1"/>
    <col min="4" max="4" width="18.54296875" bestFit="1" customWidth="1"/>
    <col min="5" max="5" width="24.7265625" customWidth="1"/>
    <col min="6" max="6" width="16.453125" bestFit="1" customWidth="1"/>
    <col min="7" max="7" width="2.453125" hidden="1" customWidth="1"/>
    <col min="8" max="9" width="2.54296875" hidden="1" customWidth="1"/>
    <col min="10" max="10" width="3.26953125" hidden="1" customWidth="1"/>
    <col min="11" max="11" width="2.7265625" hidden="1" customWidth="1"/>
    <col min="12" max="12" width="4.26953125" hidden="1" customWidth="1"/>
    <col min="13" max="13" width="3.7265625" hidden="1" customWidth="1"/>
    <col min="14" max="14" width="15.54296875" hidden="1" customWidth="1"/>
    <col min="15" max="15" width="2.26953125" hidden="1" customWidth="1"/>
    <col min="16" max="16" width="2.7265625" hidden="1" customWidth="1"/>
    <col min="17" max="17" width="5.453125" hidden="1" customWidth="1"/>
    <col min="18" max="18" width="0.453125" hidden="1" customWidth="1"/>
    <col min="19" max="19" width="17.26953125" hidden="1" customWidth="1"/>
    <col min="20" max="20" width="8.7265625" hidden="1" customWidth="1"/>
    <col min="21" max="21" width="12.26953125" hidden="1" customWidth="1"/>
    <col min="22" max="22" width="27.26953125" hidden="1" customWidth="1"/>
    <col min="23" max="23" width="12.26953125" hidden="1" customWidth="1"/>
    <col min="24" max="24" width="13.54296875" bestFit="1" customWidth="1"/>
    <col min="25" max="25" width="16.453125" bestFit="1" customWidth="1"/>
    <col min="26" max="26" width="16.453125" customWidth="1"/>
    <col min="27" max="27" width="10.7265625" bestFit="1" customWidth="1"/>
    <col min="28" max="28" width="10.26953125" customWidth="1"/>
    <col min="29" max="29" width="28.7265625" customWidth="1"/>
    <col min="30" max="30" width="16.7265625" customWidth="1"/>
    <col min="31" max="31" width="16.54296875" customWidth="1"/>
    <col min="32" max="32" width="20.26953125" bestFit="1" customWidth="1"/>
    <col min="33" max="33" width="24.26953125" customWidth="1"/>
    <col min="34" max="34" width="43" bestFit="1" customWidth="1"/>
    <col min="38" max="38" width="14" customWidth="1"/>
    <col min="40" max="40" width="15" customWidth="1"/>
    <col min="41" max="41" width="12.26953125" bestFit="1" customWidth="1"/>
    <col min="42" max="42" width="16.26953125" bestFit="1" customWidth="1"/>
    <col min="43" max="43" width="17" customWidth="1"/>
    <col min="44" max="45" width="8.7265625" hidden="1" customWidth="1"/>
    <col min="46" max="46" width="1.26953125" customWidth="1"/>
  </cols>
  <sheetData>
    <row r="1" spans="7:46" hidden="1">
      <c r="V1" s="82" t="s">
        <v>1944</v>
      </c>
      <c r="W1" s="82"/>
      <c r="AA1" s="669">
        <v>45320</v>
      </c>
      <c r="AB1" s="82" t="s">
        <v>1945</v>
      </c>
      <c r="AH1" t="s">
        <v>1946</v>
      </c>
    </row>
    <row r="2" spans="7:46" ht="51" hidden="1" customHeight="1">
      <c r="AB2" s="82" t="s">
        <v>1947</v>
      </c>
      <c r="AL2" s="1140" t="s">
        <v>1948</v>
      </c>
      <c r="AM2" s="1140"/>
      <c r="AN2" s="1140"/>
      <c r="AO2" s="1140"/>
      <c r="AP2" s="1140"/>
      <c r="AQ2" s="1140"/>
      <c r="AR2" s="1140"/>
      <c r="AS2" s="1140"/>
      <c r="AT2" s="1140"/>
    </row>
    <row r="3" spans="7:46" hidden="1">
      <c r="G3" s="1141" t="s">
        <v>1949</v>
      </c>
      <c r="H3" s="1141"/>
      <c r="I3" s="1141"/>
      <c r="J3" s="1141"/>
      <c r="K3" s="1141"/>
      <c r="L3" s="1141"/>
      <c r="M3" s="1141"/>
      <c r="N3" s="1141"/>
      <c r="V3" s="82" t="s">
        <v>1950</v>
      </c>
      <c r="W3" s="82"/>
      <c r="AA3" s="669">
        <v>45330</v>
      </c>
      <c r="AB3" s="82" t="s">
        <v>1951</v>
      </c>
      <c r="AI3" s="82" t="s">
        <v>1952</v>
      </c>
      <c r="AL3" s="843">
        <f>((AE7*AE9)+(AE8*AE6))/(AE7+AE8)</f>
        <v>14.606666666666667</v>
      </c>
    </row>
    <row r="4" spans="7:46" hidden="1">
      <c r="AB4" s="82" t="s">
        <v>1953</v>
      </c>
    </row>
    <row r="5" spans="7:46" hidden="1">
      <c r="G5" s="82" t="s">
        <v>1954</v>
      </c>
      <c r="H5" t="s">
        <v>1955</v>
      </c>
      <c r="AB5" s="82"/>
    </row>
    <row r="6" spans="7:46" hidden="1">
      <c r="G6" s="82"/>
      <c r="AB6" s="82" t="s">
        <v>1956</v>
      </c>
      <c r="AE6" s="82">
        <v>8.5</v>
      </c>
    </row>
    <row r="7" spans="7:46" hidden="1">
      <c r="G7" s="82"/>
      <c r="AB7" s="82" t="s">
        <v>1957</v>
      </c>
      <c r="AE7" s="883">
        <v>88314300</v>
      </c>
    </row>
    <row r="8" spans="7:46" ht="34.9" hidden="1" customHeight="1">
      <c r="G8" s="82"/>
      <c r="U8" s="989"/>
      <c r="V8" s="989"/>
      <c r="W8" s="989"/>
      <c r="X8" s="989"/>
      <c r="AB8" s="82" t="s">
        <v>1958</v>
      </c>
      <c r="AE8" s="883">
        <f>88314300/2</f>
        <v>44157150</v>
      </c>
      <c r="AF8">
        <v>44157150</v>
      </c>
    </row>
    <row r="9" spans="7:46" hidden="1">
      <c r="G9" s="82"/>
      <c r="AB9" s="82" t="s">
        <v>1959</v>
      </c>
      <c r="AE9" s="990">
        <v>17.66</v>
      </c>
      <c r="AF9" t="s">
        <v>1960</v>
      </c>
    </row>
    <row r="10" spans="7:46" hidden="1">
      <c r="G10" s="82"/>
      <c r="X10" s="82" t="s">
        <v>1961</v>
      </c>
      <c r="AA10" s="669">
        <v>45320</v>
      </c>
      <c r="AB10" s="82" t="s">
        <v>1962</v>
      </c>
      <c r="AE10" s="830">
        <f>AL3</f>
        <v>14.606666666666667</v>
      </c>
    </row>
    <row r="11" spans="7:46" ht="15" hidden="1" thickBot="1">
      <c r="G11" s="82" t="s">
        <v>1963</v>
      </c>
      <c r="H11" t="s">
        <v>1964</v>
      </c>
      <c r="AB11" s="82" t="s">
        <v>1965</v>
      </c>
      <c r="AE11" s="991">
        <f>AE9/AE10</f>
        <v>1.209036969420356</v>
      </c>
    </row>
    <row r="12" spans="7:46" hidden="1">
      <c r="G12" s="82"/>
    </row>
    <row r="13" spans="7:46" hidden="1">
      <c r="G13" s="82"/>
      <c r="H13" t="s">
        <v>1966</v>
      </c>
      <c r="AB13" s="82" t="s">
        <v>1967</v>
      </c>
      <c r="AD13" s="830">
        <f>AE7</f>
        <v>88314300</v>
      </c>
      <c r="AE13" s="830"/>
    </row>
    <row r="14" spans="7:46" hidden="1">
      <c r="G14" s="82"/>
      <c r="L14" s="1140" t="s">
        <v>1968</v>
      </c>
      <c r="M14" s="1140"/>
      <c r="N14" s="1140"/>
      <c r="O14" s="1140"/>
      <c r="P14" s="1140"/>
      <c r="Q14" s="1140"/>
      <c r="R14" s="1140"/>
      <c r="S14" s="1140"/>
      <c r="T14" s="1140"/>
      <c r="AB14" s="82" t="s">
        <v>1969</v>
      </c>
      <c r="AD14" s="885">
        <f>AE11</f>
        <v>1.209036969420356</v>
      </c>
      <c r="AE14" s="830"/>
    </row>
    <row r="15" spans="7:46" hidden="1">
      <c r="G15" s="82"/>
      <c r="J15" s="82" t="s">
        <v>1965</v>
      </c>
      <c r="L15" s="883" t="e">
        <f>#REF!/#REF!</f>
        <v>#REF!</v>
      </c>
      <c r="M15">
        <v>1.04</v>
      </c>
      <c r="X15" s="830"/>
      <c r="Y15" s="830"/>
      <c r="Z15" s="830"/>
      <c r="AB15" s="82" t="s">
        <v>1970</v>
      </c>
      <c r="AD15" s="885">
        <f>AD13*AD14</f>
        <v>106775253.62848015</v>
      </c>
      <c r="AE15" s="830"/>
      <c r="AF15" s="82"/>
    </row>
    <row r="16" spans="7:46" hidden="1">
      <c r="G16" s="82"/>
      <c r="X16" s="830"/>
      <c r="AB16" s="992"/>
      <c r="AD16" s="830"/>
      <c r="AE16" s="830"/>
      <c r="AF16" s="885"/>
    </row>
    <row r="17" spans="1:43" hidden="1">
      <c r="G17" s="82" t="s">
        <v>1971</v>
      </c>
      <c r="H17" t="s">
        <v>1972</v>
      </c>
      <c r="X17" s="830"/>
      <c r="AB17" s="82" t="s">
        <v>1973</v>
      </c>
      <c r="AD17" s="843">
        <f>AD15-AD13</f>
        <v>18460953.628480151</v>
      </c>
      <c r="AE17" s="830"/>
      <c r="AF17" s="830"/>
    </row>
    <row r="18" spans="1:43" hidden="1">
      <c r="G18" s="82"/>
      <c r="AB18" s="82"/>
      <c r="AD18" s="830"/>
      <c r="AE18" s="830"/>
      <c r="AF18" s="843"/>
    </row>
    <row r="19" spans="1:43" hidden="1">
      <c r="G19" s="82"/>
      <c r="H19" t="s">
        <v>1974</v>
      </c>
      <c r="J19" s="82" t="s">
        <v>1975</v>
      </c>
      <c r="AB19" s="82" t="s">
        <v>1976</v>
      </c>
      <c r="AD19" s="843">
        <f>AE8-AD17</f>
        <v>25696196.371519849</v>
      </c>
    </row>
    <row r="20" spans="1:43" hidden="1">
      <c r="G20" s="82"/>
      <c r="J20" s="883" t="e">
        <f>75100000/AF18</f>
        <v>#DIV/0!</v>
      </c>
      <c r="S20">
        <v>8.5</v>
      </c>
      <c r="AB20" s="82"/>
      <c r="AD20" s="843"/>
    </row>
    <row r="21" spans="1:43">
      <c r="G21" s="82"/>
      <c r="J21" s="883"/>
      <c r="AB21" s="82"/>
      <c r="AD21" s="843"/>
    </row>
    <row r="22" spans="1:43">
      <c r="G22" s="82"/>
      <c r="J22" s="883"/>
      <c r="AB22" s="82"/>
      <c r="AD22" s="843"/>
    </row>
    <row r="23" spans="1:43">
      <c r="B23" s="82" t="s">
        <v>1977</v>
      </c>
      <c r="G23" s="82"/>
      <c r="S23" t="e">
        <f>#REF!-S20</f>
        <v>#REF!</v>
      </c>
    </row>
    <row r="24" spans="1:43" ht="15" thickBot="1">
      <c r="B24" s="115">
        <v>45473</v>
      </c>
      <c r="G24" s="82"/>
      <c r="V24" s="830"/>
      <c r="W24" s="993"/>
      <c r="Y24" s="830"/>
      <c r="Z24" s="830"/>
      <c r="AB24" s="82" t="s">
        <v>1978</v>
      </c>
      <c r="AK24" s="82" t="s">
        <v>1979</v>
      </c>
    </row>
    <row r="25" spans="1:43">
      <c r="B25" s="994" t="s">
        <v>0</v>
      </c>
      <c r="C25" s="995" t="s">
        <v>1980</v>
      </c>
      <c r="D25" s="995" t="s">
        <v>1981</v>
      </c>
      <c r="E25" s="995" t="s">
        <v>1982</v>
      </c>
      <c r="F25" s="995" t="s">
        <v>1983</v>
      </c>
      <c r="G25" s="995"/>
      <c r="H25" s="995"/>
      <c r="I25" s="995"/>
      <c r="J25" s="995"/>
      <c r="K25" s="995"/>
      <c r="L25" s="995"/>
      <c r="M25" s="995"/>
      <c r="N25" s="995"/>
      <c r="O25" s="995"/>
      <c r="P25" s="995"/>
      <c r="Q25" s="995"/>
      <c r="R25" s="995"/>
      <c r="S25" s="995"/>
      <c r="T25" s="995"/>
      <c r="U25" s="995"/>
      <c r="V25" s="995"/>
      <c r="W25" s="995"/>
      <c r="X25" s="995"/>
      <c r="Y25" s="996" t="s">
        <v>1984</v>
      </c>
      <c r="AB25" s="997" t="s">
        <v>0</v>
      </c>
      <c r="AC25" s="995"/>
      <c r="AD25" s="995"/>
      <c r="AE25" s="995" t="s">
        <v>1985</v>
      </c>
      <c r="AF25" s="995" t="s">
        <v>1986</v>
      </c>
      <c r="AG25" s="995" t="s">
        <v>1987</v>
      </c>
      <c r="AH25" s="996" t="s">
        <v>1988</v>
      </c>
      <c r="AK25" s="997" t="s">
        <v>0</v>
      </c>
      <c r="AL25" s="995"/>
      <c r="AM25" s="995"/>
      <c r="AN25" s="995" t="s">
        <v>1985</v>
      </c>
      <c r="AO25" s="995" t="s">
        <v>1986</v>
      </c>
      <c r="AP25" s="995" t="s">
        <v>1987</v>
      </c>
      <c r="AQ25" s="996" t="s">
        <v>1988</v>
      </c>
    </row>
    <row r="26" spans="1:43">
      <c r="B26" s="998" t="s">
        <v>662</v>
      </c>
      <c r="C26" s="999">
        <f>AE26+AE27+(AE28*AF28)</f>
        <v>119623351.81424007</v>
      </c>
      <c r="D26">
        <v>1</v>
      </c>
      <c r="E26" s="115">
        <v>45383</v>
      </c>
      <c r="F26">
        <v>91</v>
      </c>
      <c r="Y26" s="1000">
        <f>C26*D26*F26/F26</f>
        <v>119623351.81424007</v>
      </c>
      <c r="Z26" s="830"/>
      <c r="AB26" s="998" t="s">
        <v>1989</v>
      </c>
      <c r="AE26" s="830">
        <f>AD13</f>
        <v>88314300</v>
      </c>
      <c r="AF26" s="830">
        <v>1</v>
      </c>
      <c r="AG26" s="1001">
        <v>1</v>
      </c>
      <c r="AH26" s="1000">
        <f>AE26*AG26*AF26</f>
        <v>88314300</v>
      </c>
      <c r="AK26" s="998" t="s">
        <v>1989</v>
      </c>
      <c r="AN26" s="830">
        <f>AE26</f>
        <v>88314300</v>
      </c>
      <c r="AO26" s="830">
        <v>1</v>
      </c>
      <c r="AP26" s="1001">
        <v>1</v>
      </c>
      <c r="AQ26" s="1000">
        <f>AN26*AP26*AO26</f>
        <v>88314300</v>
      </c>
    </row>
    <row r="27" spans="1:43" ht="15" thickBot="1">
      <c r="B27" s="998" t="s">
        <v>1990</v>
      </c>
      <c r="C27" s="830">
        <f>(41735439-8658)*AE28/(AE27+AE28)</f>
        <v>24281901.312186211</v>
      </c>
      <c r="D27">
        <f>0.5</f>
        <v>0.5</v>
      </c>
      <c r="E27" s="115">
        <v>45426</v>
      </c>
      <c r="F27">
        <v>47</v>
      </c>
      <c r="Y27" s="1000">
        <f>C27*D27*F27/$F$26</f>
        <v>6270600.8883118238</v>
      </c>
      <c r="Z27" s="830"/>
      <c r="AB27" s="998" t="s">
        <v>1991</v>
      </c>
      <c r="AE27" s="830">
        <f>AD17</f>
        <v>18460953.628480151</v>
      </c>
      <c r="AF27" s="830">
        <v>1</v>
      </c>
      <c r="AG27" s="1001">
        <v>1</v>
      </c>
      <c r="AH27" s="1000">
        <f>AE27*AG27*AF27</f>
        <v>18460953.628480151</v>
      </c>
      <c r="AK27" s="998" t="s">
        <v>1991</v>
      </c>
      <c r="AN27" s="830">
        <f>AE27</f>
        <v>18460953.628480151</v>
      </c>
      <c r="AO27" s="830">
        <v>1</v>
      </c>
      <c r="AP27" s="1001">
        <v>1</v>
      </c>
      <c r="AQ27" s="1000">
        <f>AN27*AP27*AO27</f>
        <v>18460953.628480151</v>
      </c>
    </row>
    <row r="28" spans="1:43" ht="15" thickBot="1">
      <c r="B28" s="998" t="s">
        <v>1992</v>
      </c>
      <c r="C28" s="999">
        <f>8658*$AE$28/($AE$28+$AE$27)</f>
        <v>5038.3158375171142</v>
      </c>
      <c r="D28">
        <f>0.5</f>
        <v>0.5</v>
      </c>
      <c r="E28" s="115">
        <v>45439</v>
      </c>
      <c r="F28">
        <v>34</v>
      </c>
      <c r="Y28" s="1000">
        <f>C28*D28*F28/$F$26</f>
        <v>941.22383777792254</v>
      </c>
      <c r="Z28" s="830"/>
      <c r="AB28" s="998" t="s">
        <v>1993</v>
      </c>
      <c r="AE28" s="830">
        <f>AD19</f>
        <v>25696196.371519849</v>
      </c>
      <c r="AF28" s="830">
        <v>0.5</v>
      </c>
      <c r="AG28" s="1001" t="s">
        <v>1994</v>
      </c>
      <c r="AH28" s="1000">
        <f>AE28*AF28*(54/365)</f>
        <v>1900814.5261124272</v>
      </c>
      <c r="AK28" s="1002" t="s">
        <v>1995</v>
      </c>
      <c r="AL28" s="1003"/>
      <c r="AM28" s="1003"/>
      <c r="AN28" s="1003"/>
      <c r="AO28" s="1003"/>
      <c r="AP28" s="1003"/>
      <c r="AQ28" s="1004">
        <f>SUM(AQ26:AQ27)</f>
        <v>106775253.62848015</v>
      </c>
    </row>
    <row r="29" spans="1:43" ht="21.5" thickBot="1">
      <c r="B29" s="1005" t="s">
        <v>1996</v>
      </c>
      <c r="C29" s="1006"/>
      <c r="D29" s="1006"/>
      <c r="E29" s="1006"/>
      <c r="F29" s="1006"/>
      <c r="G29" s="1006"/>
      <c r="H29" s="1006"/>
      <c r="I29" s="1006"/>
      <c r="J29" s="1006"/>
      <c r="K29" s="1006"/>
      <c r="L29" s="1006"/>
      <c r="M29" s="1006"/>
      <c r="N29" s="1006"/>
      <c r="O29" s="1006"/>
      <c r="P29" s="1006"/>
      <c r="Q29" s="1006"/>
      <c r="R29" s="1006"/>
      <c r="S29" s="1006"/>
      <c r="T29" s="1006"/>
      <c r="U29" s="1006"/>
      <c r="V29" s="1006"/>
      <c r="W29" s="1006"/>
      <c r="X29" s="1006"/>
      <c r="Y29" s="1007">
        <f>SUM(Y26:Y28)</f>
        <v>125894893.92638966</v>
      </c>
      <c r="Z29" s="830"/>
      <c r="AB29" s="1008" t="s">
        <v>1995</v>
      </c>
      <c r="AC29" s="1003"/>
      <c r="AD29" s="1003"/>
      <c r="AE29" s="1009">
        <f>SUM(AE26:AE28)</f>
        <v>132471450</v>
      </c>
      <c r="AF29" s="1003"/>
      <c r="AG29" s="1003"/>
      <c r="AH29" s="1010">
        <f>SUM(AH26:AH28)</f>
        <v>108676068.15459257</v>
      </c>
      <c r="AK29" s="82" t="s">
        <v>1997</v>
      </c>
      <c r="AQ29" s="830">
        <f>AQ28/100000</f>
        <v>1067.7525362848014</v>
      </c>
    </row>
    <row r="30" spans="1:43">
      <c r="N30" s="830"/>
      <c r="Q30" s="830"/>
      <c r="X30" s="655" t="s">
        <v>2045</v>
      </c>
      <c r="Y30" s="1022">
        <f>Y29</f>
        <v>125894893.92638966</v>
      </c>
      <c r="Z30" s="830"/>
      <c r="AH30" s="830">
        <f>AH29/100000</f>
        <v>1086.7606815459258</v>
      </c>
    </row>
    <row r="31" spans="1:43" ht="15" thickBot="1">
      <c r="A31" s="115"/>
      <c r="C31" s="885">
        <v>41735439</v>
      </c>
      <c r="D31" s="830">
        <f>C31*AE28/(AE27+AE28)</f>
        <v>24286939.628023729</v>
      </c>
      <c r="N31" s="830"/>
      <c r="Q31" s="830"/>
      <c r="X31" s="305" t="s">
        <v>2046</v>
      </c>
      <c r="Y31" s="844">
        <f>Y26</f>
        <v>119623351.81424007</v>
      </c>
      <c r="Z31" s="830"/>
      <c r="AL31" s="1011"/>
      <c r="AQ31" s="1011">
        <v>44986</v>
      </c>
    </row>
    <row r="32" spans="1:43">
      <c r="A32" s="115"/>
      <c r="C32" s="885">
        <f>SUM(C27:C28)*0.5</f>
        <v>12143469.814011864</v>
      </c>
      <c r="D32" s="830"/>
      <c r="E32" s="885"/>
      <c r="F32" s="885"/>
      <c r="G32" s="885"/>
      <c r="H32" s="885"/>
      <c r="I32" s="885"/>
      <c r="J32" s="885"/>
      <c r="K32" s="885"/>
      <c r="L32" s="885"/>
      <c r="M32" s="885"/>
      <c r="N32" s="885"/>
      <c r="O32" s="885"/>
      <c r="P32" s="885"/>
      <c r="Q32" s="885"/>
      <c r="R32" s="885"/>
      <c r="S32" s="885"/>
      <c r="T32" s="885"/>
      <c r="U32" s="885"/>
      <c r="V32" s="885"/>
      <c r="W32" s="885"/>
      <c r="X32" s="885"/>
      <c r="Y32" s="830"/>
      <c r="Z32" s="830"/>
      <c r="AB32" s="1137" t="s">
        <v>1998</v>
      </c>
      <c r="AC32" s="1138"/>
      <c r="AD32" s="1138"/>
      <c r="AE32" s="1139"/>
      <c r="AG32" s="1137" t="s">
        <v>1999</v>
      </c>
      <c r="AH32" s="1138"/>
      <c r="AI32" s="1138"/>
      <c r="AJ32" s="1139"/>
    </row>
    <row r="33" spans="1:36">
      <c r="A33" s="115"/>
      <c r="C33" s="843"/>
      <c r="D33" s="830">
        <f>AE26</f>
        <v>88314300</v>
      </c>
      <c r="E33">
        <v>1</v>
      </c>
      <c r="F33" s="830">
        <f>D33*E33</f>
        <v>88314300</v>
      </c>
      <c r="P33" s="830"/>
      <c r="Q33" s="844"/>
      <c r="Z33" s="830"/>
      <c r="AB33" s="1012" t="s">
        <v>2000</v>
      </c>
      <c r="AE33" s="1013">
        <f>765.24</f>
        <v>765.24</v>
      </c>
      <c r="AG33" s="1012" t="s">
        <v>2000</v>
      </c>
      <c r="AJ33" s="1013">
        <v>320.04000000000002</v>
      </c>
    </row>
    <row r="34" spans="1:36">
      <c r="A34" s="115"/>
      <c r="B34" t="s">
        <v>2008</v>
      </c>
      <c r="C34" s="843">
        <f>162.07/1258.95</f>
        <v>0.12873426267921681</v>
      </c>
      <c r="D34" s="885">
        <f>41735439+580887</f>
        <v>42316326</v>
      </c>
      <c r="E34">
        <v>1</v>
      </c>
      <c r="F34" s="830">
        <f>D34*E34</f>
        <v>42316326</v>
      </c>
      <c r="P34" s="830"/>
      <c r="Q34" s="844"/>
      <c r="Y34" s="830"/>
      <c r="Z34" s="830"/>
      <c r="AB34" s="1012" t="s">
        <v>2001</v>
      </c>
      <c r="AE34" s="1013">
        <f>-83</f>
        <v>-83</v>
      </c>
      <c r="AG34" s="1012" t="s">
        <v>2001</v>
      </c>
      <c r="AJ34" s="1013">
        <f>-83</f>
        <v>-83</v>
      </c>
    </row>
    <row r="35" spans="1:36">
      <c r="D35" s="830">
        <f>(D33/2)-D34</f>
        <v>1840824</v>
      </c>
      <c r="E35">
        <v>0.5</v>
      </c>
      <c r="F35" s="830">
        <f>D35*E35</f>
        <v>920412</v>
      </c>
      <c r="P35" s="830"/>
      <c r="Q35" s="842"/>
      <c r="Z35" s="830"/>
      <c r="AB35" s="1012" t="s">
        <v>2002</v>
      </c>
      <c r="AE35" s="1000">
        <f>SUM(AE33:AE34)</f>
        <v>682.24</v>
      </c>
      <c r="AG35" s="1012" t="s">
        <v>2002</v>
      </c>
      <c r="AJ35" s="1000">
        <f>SUM(AJ33:AJ34)</f>
        <v>237.04000000000002</v>
      </c>
    </row>
    <row r="36" spans="1:36">
      <c r="C36" s="885"/>
      <c r="D36" s="830" t="s">
        <v>2007</v>
      </c>
      <c r="F36" s="830">
        <f>SUM(F33:F35)</f>
        <v>131551038</v>
      </c>
      <c r="Z36" s="830"/>
      <c r="AB36" s="998"/>
      <c r="AE36" s="1014"/>
      <c r="AG36" s="998"/>
      <c r="AJ36" s="1014"/>
    </row>
    <row r="37" spans="1:36" ht="15" thickBot="1">
      <c r="C37" s="885"/>
      <c r="F37" s="830"/>
      <c r="Q37" s="830"/>
      <c r="Z37" s="830"/>
      <c r="AB37" s="1015" t="s">
        <v>2003</v>
      </c>
      <c r="AC37" s="1016"/>
      <c r="AD37" s="1016"/>
      <c r="AE37" s="1017">
        <f>AE35/AH30</f>
        <v>0.62777390789433807</v>
      </c>
      <c r="AG37" s="1015" t="s">
        <v>2003</v>
      </c>
      <c r="AH37" s="1016"/>
      <c r="AI37" s="1016"/>
      <c r="AJ37" s="1017">
        <f>AJ35/AH30</f>
        <v>0.21811609862698447</v>
      </c>
    </row>
    <row r="38" spans="1:36" ht="15" thickBot="1">
      <c r="C38" s="885"/>
      <c r="F38" s="830"/>
      <c r="Q38" s="830"/>
      <c r="X38" s="830"/>
      <c r="Z38" s="830">
        <f>X38*Y38</f>
        <v>0</v>
      </c>
      <c r="AB38" s="1015" t="s">
        <v>2004</v>
      </c>
      <c r="AC38" s="1016"/>
      <c r="AD38" s="1016"/>
      <c r="AE38" s="1018">
        <f>AE37</f>
        <v>0.62777390789433807</v>
      </c>
      <c r="AG38" s="1015" t="s">
        <v>2004</v>
      </c>
      <c r="AH38" s="1016"/>
      <c r="AI38" s="1016"/>
      <c r="AJ38" s="1019">
        <f>AJ37</f>
        <v>0.21811609862698447</v>
      </c>
    </row>
    <row r="39" spans="1:36" ht="15" thickBot="1">
      <c r="B39" s="82" t="s">
        <v>2047</v>
      </c>
      <c r="G39" s="82"/>
      <c r="S39" t="e">
        <f>#REF!-S36</f>
        <v>#REF!</v>
      </c>
      <c r="X39" s="830"/>
      <c r="Z39" s="830">
        <f>(X39*Y39)*53/92</f>
        <v>0</v>
      </c>
    </row>
    <row r="40" spans="1:36" ht="15" thickBot="1">
      <c r="B40" s="115">
        <v>45565</v>
      </c>
      <c r="C40" t="s">
        <v>2048</v>
      </c>
      <c r="D40">
        <f>B40-B24</f>
        <v>92</v>
      </c>
      <c r="G40" s="82"/>
      <c r="V40" s="830"/>
      <c r="W40" s="993"/>
      <c r="Y40" s="830"/>
      <c r="Z40" s="830"/>
      <c r="AB40" s="1137" t="s">
        <v>2005</v>
      </c>
      <c r="AC40" s="1138"/>
      <c r="AD40" s="1138"/>
      <c r="AE40" s="1139"/>
      <c r="AG40" s="1137" t="s">
        <v>2006</v>
      </c>
      <c r="AH40" s="1138"/>
      <c r="AI40" s="1138"/>
      <c r="AJ40" s="1139"/>
    </row>
    <row r="41" spans="1:36">
      <c r="B41" s="994" t="s">
        <v>0</v>
      </c>
      <c r="C41" s="995" t="s">
        <v>1980</v>
      </c>
      <c r="D41" s="995" t="s">
        <v>1981</v>
      </c>
      <c r="E41" s="995" t="s">
        <v>2049</v>
      </c>
      <c r="F41" s="995" t="s">
        <v>1982</v>
      </c>
      <c r="G41" s="995" t="s">
        <v>1983</v>
      </c>
      <c r="H41" s="995"/>
      <c r="I41" s="995"/>
      <c r="J41" s="995"/>
      <c r="K41" s="995"/>
      <c r="L41" s="995"/>
      <c r="M41" s="995"/>
      <c r="N41" s="995"/>
      <c r="O41" s="995"/>
      <c r="P41" s="995"/>
      <c r="Q41" s="995"/>
      <c r="R41" s="995"/>
      <c r="S41" s="995"/>
      <c r="T41" s="995"/>
      <c r="U41" s="995"/>
      <c r="V41" s="995"/>
      <c r="W41" s="995"/>
      <c r="X41" s="995" t="s">
        <v>405</v>
      </c>
      <c r="Y41" s="996" t="s">
        <v>1984</v>
      </c>
      <c r="Z41" s="830"/>
      <c r="AB41" s="1012" t="s">
        <v>2000</v>
      </c>
      <c r="AE41" s="1013">
        <f>-749.93</f>
        <v>-749.93</v>
      </c>
      <c r="AG41" s="1012" t="s">
        <v>2000</v>
      </c>
      <c r="AJ41" s="1013">
        <v>182.91</v>
      </c>
    </row>
    <row r="42" spans="1:36">
      <c r="B42" s="998" t="s">
        <v>662</v>
      </c>
      <c r="C42" s="999">
        <f>C26</f>
        <v>119623351.81424007</v>
      </c>
      <c r="D42">
        <v>1</v>
      </c>
      <c r="E42" t="s">
        <v>2050</v>
      </c>
      <c r="F42" s="115"/>
      <c r="G42">
        <v>91</v>
      </c>
      <c r="Y42" s="1000">
        <f>C42*D42</f>
        <v>119623351.81424007</v>
      </c>
      <c r="Z42" s="830"/>
      <c r="AB42" s="1012" t="s">
        <v>2001</v>
      </c>
      <c r="AE42" s="1013"/>
      <c r="AG42" s="1012" t="s">
        <v>2001</v>
      </c>
      <c r="AJ42" s="1013"/>
    </row>
    <row r="43" spans="1:36">
      <c r="B43" s="998" t="s">
        <v>2051</v>
      </c>
      <c r="C43" s="830">
        <f>(41735439)*$AE$28/($AE$28+$AE$27)</f>
        <v>24286939.628023729</v>
      </c>
      <c r="D43">
        <f>0.5</f>
        <v>0.5</v>
      </c>
      <c r="E43" t="s">
        <v>2050</v>
      </c>
      <c r="F43" s="115"/>
      <c r="G43">
        <v>47</v>
      </c>
      <c r="Y43" s="1000">
        <f>C43*D43</f>
        <v>12143469.814011864</v>
      </c>
      <c r="Z43" s="830"/>
      <c r="AB43" s="1012" t="s">
        <v>2002</v>
      </c>
      <c r="AE43" s="1000">
        <f>SUM(AE41:AE42)</f>
        <v>-749.93</v>
      </c>
      <c r="AG43" s="1012" t="s">
        <v>2002</v>
      </c>
      <c r="AJ43" s="1000">
        <f>SUM(AJ41:AJ42)</f>
        <v>182.91</v>
      </c>
    </row>
    <row r="44" spans="1:36" ht="15" thickBot="1">
      <c r="B44" s="998" t="s">
        <v>2052</v>
      </c>
      <c r="C44" s="830">
        <f>(580887)*$AE$28/($AE$28+$AE$27)</f>
        <v>338033.28388863528</v>
      </c>
      <c r="D44">
        <f>0.5</f>
        <v>0.5</v>
      </c>
      <c r="E44" t="s">
        <v>2053</v>
      </c>
      <c r="F44" s="115">
        <v>45512</v>
      </c>
      <c r="G44">
        <v>34</v>
      </c>
      <c r="X44">
        <f>B40-F44</f>
        <v>53</v>
      </c>
      <c r="Y44" s="1000">
        <f>C44*D44*X44/D40</f>
        <v>97368.28285922647</v>
      </c>
      <c r="Z44" s="830"/>
      <c r="AB44" s="998"/>
      <c r="AE44" s="1014"/>
      <c r="AG44" s="998"/>
      <c r="AJ44" s="1014"/>
    </row>
    <row r="45" spans="1:36" ht="15" thickBot="1">
      <c r="B45" s="1005" t="s">
        <v>2054</v>
      </c>
      <c r="C45" s="1006"/>
      <c r="D45" s="1006"/>
      <c r="E45" s="1006"/>
      <c r="F45" s="1006"/>
      <c r="G45" s="1006"/>
      <c r="H45" s="1006"/>
      <c r="I45" s="1006"/>
      <c r="J45" s="1006"/>
      <c r="K45" s="1006"/>
      <c r="L45" s="1006"/>
      <c r="M45" s="1006"/>
      <c r="N45" s="1006"/>
      <c r="O45" s="1006"/>
      <c r="P45" s="1006"/>
      <c r="Q45" s="1006"/>
      <c r="R45" s="1006"/>
      <c r="S45" s="1006"/>
      <c r="T45" s="1006"/>
      <c r="U45" s="1006"/>
      <c r="V45" s="1006"/>
      <c r="W45" s="1006"/>
      <c r="X45" s="1006">
        <f>D40</f>
        <v>92</v>
      </c>
      <c r="Y45" s="1007">
        <f>SUM(Y42:Y44)</f>
        <v>131864189.91111116</v>
      </c>
      <c r="Z45" s="830">
        <f>Y45/100000</f>
        <v>1318.6418991111116</v>
      </c>
      <c r="AB45" s="1015" t="s">
        <v>2009</v>
      </c>
      <c r="AC45" s="1016"/>
      <c r="AD45" s="1016"/>
      <c r="AE45" s="1017">
        <f>AE43/AQ29</f>
        <v>-0.70234438647118447</v>
      </c>
      <c r="AG45" s="1015" t="s">
        <v>2003</v>
      </c>
      <c r="AH45" s="1016"/>
      <c r="AI45" s="1016"/>
      <c r="AJ45" s="1017">
        <f>AJ43/AQ29</f>
        <v>0.17130373732140913</v>
      </c>
    </row>
    <row r="46" spans="1:36" ht="15" thickBot="1">
      <c r="C46" s="885"/>
      <c r="F46" s="830"/>
      <c r="Q46" s="830"/>
      <c r="Z46" s="830"/>
      <c r="AB46" s="1015" t="s">
        <v>2010</v>
      </c>
      <c r="AC46" s="1016"/>
      <c r="AD46" s="1016"/>
      <c r="AE46" s="1020">
        <f>AE45</f>
        <v>-0.70234438647118447</v>
      </c>
      <c r="AG46" s="1015" t="s">
        <v>2004</v>
      </c>
      <c r="AH46" s="1016"/>
      <c r="AI46" s="1016"/>
      <c r="AJ46" s="1019">
        <f>AJ45</f>
        <v>0.17130373732140913</v>
      </c>
    </row>
    <row r="47" spans="1:36" ht="15" thickBot="1">
      <c r="B47" s="82" t="s">
        <v>2055</v>
      </c>
      <c r="G47" s="82"/>
      <c r="S47" t="e">
        <f>#REF!-S44</f>
        <v>#REF!</v>
      </c>
      <c r="Z47" s="830"/>
    </row>
    <row r="48" spans="1:36" ht="15" thickBot="1">
      <c r="B48" s="115">
        <v>45565</v>
      </c>
      <c r="C48" t="s">
        <v>2056</v>
      </c>
      <c r="D48">
        <f>D40+F26</f>
        <v>183</v>
      </c>
      <c r="G48" s="82"/>
      <c r="V48" s="830"/>
      <c r="W48" s="993"/>
      <c r="Y48" s="830"/>
      <c r="Z48" s="830"/>
      <c r="AB48" s="1137" t="s">
        <v>2060</v>
      </c>
      <c r="AC48" s="1138"/>
      <c r="AD48" s="1138"/>
      <c r="AE48" s="1139"/>
      <c r="AG48" s="1137" t="s">
        <v>2011</v>
      </c>
      <c r="AH48" s="1138"/>
      <c r="AI48" s="1138"/>
      <c r="AJ48" s="1139"/>
    </row>
    <row r="49" spans="2:36">
      <c r="B49" s="994" t="s">
        <v>0</v>
      </c>
      <c r="C49" s="995" t="s">
        <v>1980</v>
      </c>
      <c r="D49" s="995" t="s">
        <v>1981</v>
      </c>
      <c r="E49" s="995" t="s">
        <v>2049</v>
      </c>
      <c r="F49" s="995" t="s">
        <v>1982</v>
      </c>
      <c r="G49" s="995" t="s">
        <v>1983</v>
      </c>
      <c r="H49" s="995"/>
      <c r="I49" s="995"/>
      <c r="J49" s="995"/>
      <c r="K49" s="995"/>
      <c r="L49" s="995"/>
      <c r="M49" s="995"/>
      <c r="N49" s="995"/>
      <c r="O49" s="995"/>
      <c r="P49" s="995"/>
      <c r="Q49" s="995"/>
      <c r="R49" s="995"/>
      <c r="S49" s="995"/>
      <c r="T49" s="995"/>
      <c r="U49" s="995"/>
      <c r="V49" s="995"/>
      <c r="W49" s="995"/>
      <c r="X49" s="995" t="s">
        <v>405</v>
      </c>
      <c r="Y49" s="996" t="s">
        <v>1984</v>
      </c>
      <c r="Z49" s="830"/>
      <c r="AB49" s="1012" t="s">
        <v>2000</v>
      </c>
      <c r="AE49" s="1013">
        <f>+'[88]Regulation 33 - Results'!K36</f>
        <v>260.77532006964867</v>
      </c>
      <c r="AG49" s="1012" t="s">
        <v>2000</v>
      </c>
      <c r="AJ49" s="1013">
        <v>18.14</v>
      </c>
    </row>
    <row r="50" spans="2:36">
      <c r="B50" s="998" t="s">
        <v>662</v>
      </c>
      <c r="C50" s="999">
        <f>C26</f>
        <v>119623351.81424007</v>
      </c>
      <c r="D50">
        <v>1</v>
      </c>
      <c r="E50" t="s">
        <v>2050</v>
      </c>
      <c r="F50" s="115"/>
      <c r="G50">
        <v>91</v>
      </c>
      <c r="Y50" s="1000">
        <f>C50*D50</f>
        <v>119623351.81424007</v>
      </c>
      <c r="AB50" s="1012" t="s">
        <v>2001</v>
      </c>
      <c r="AE50" s="1013"/>
      <c r="AG50" s="1012" t="s">
        <v>2001</v>
      </c>
      <c r="AJ50" s="1013"/>
    </row>
    <row r="51" spans="2:36">
      <c r="B51" s="998" t="s">
        <v>2051</v>
      </c>
      <c r="C51" s="830">
        <f>(41735439-8658)*$AE$28/($AE$28+$AE$27)</f>
        <v>24281901.312186211</v>
      </c>
      <c r="D51">
        <f>0.5</f>
        <v>0.5</v>
      </c>
      <c r="E51" t="s">
        <v>2053</v>
      </c>
      <c r="F51" s="115">
        <v>45426</v>
      </c>
      <c r="G51">
        <v>47</v>
      </c>
      <c r="X51">
        <f>$B$48-F51</f>
        <v>139</v>
      </c>
      <c r="Y51" s="1000">
        <f>C51*D51*X51/X54</f>
        <v>9221814.9792182595</v>
      </c>
      <c r="AB51" s="1012" t="s">
        <v>2002</v>
      </c>
      <c r="AE51" s="1000">
        <f>SUM(AE49:AE50)</f>
        <v>260.77532006964867</v>
      </c>
      <c r="AG51" s="1012" t="s">
        <v>2002</v>
      </c>
      <c r="AJ51" s="1000">
        <f>SUM(AJ49:AJ50)</f>
        <v>18.14</v>
      </c>
    </row>
    <row r="52" spans="2:36">
      <c r="B52" s="998" t="s">
        <v>2051</v>
      </c>
      <c r="C52" s="999">
        <f>8658*$AE$28/($AE$28+$AE$27)</f>
        <v>5038.3158375171142</v>
      </c>
      <c r="D52">
        <f>0.5</f>
        <v>0.5</v>
      </c>
      <c r="E52" t="s">
        <v>2053</v>
      </c>
      <c r="F52" s="115">
        <v>45439</v>
      </c>
      <c r="G52">
        <v>47</v>
      </c>
      <c r="X52">
        <f>$B$48-F52</f>
        <v>126</v>
      </c>
      <c r="Y52" s="1000">
        <f>C52*D52*X52/X54</f>
        <v>1734.5021735714656</v>
      </c>
      <c r="AB52" s="998"/>
      <c r="AE52" s="1014"/>
      <c r="AG52" s="998"/>
      <c r="AJ52" s="1014"/>
    </row>
    <row r="53" spans="2:36" ht="15" thickBot="1">
      <c r="B53" s="998" t="s">
        <v>2052</v>
      </c>
      <c r="C53" s="830">
        <f>(580887)*$AE$28/($AE$28+$AE$27)</f>
        <v>338033.28388863528</v>
      </c>
      <c r="D53">
        <f>0.5</f>
        <v>0.5</v>
      </c>
      <c r="E53" t="s">
        <v>2053</v>
      </c>
      <c r="F53" s="115">
        <v>45512</v>
      </c>
      <c r="G53">
        <v>34</v>
      </c>
      <c r="X53">
        <f>$B$48-F53</f>
        <v>53</v>
      </c>
      <c r="Y53" s="1000">
        <f>C53*D53*X53/X54</f>
        <v>48950.174989337895</v>
      </c>
      <c r="AB53" s="1015" t="s">
        <v>2009</v>
      </c>
      <c r="AC53" s="1016"/>
      <c r="AD53" s="1016"/>
      <c r="AE53" s="1017">
        <f>AE49/Z45</f>
        <v>0.19776052940941413</v>
      </c>
      <c r="AG53" s="1015" t="s">
        <v>2003</v>
      </c>
      <c r="AH53" s="1016"/>
      <c r="AI53" s="1016"/>
      <c r="AJ53" s="1017">
        <f>AJ51/AQ29</f>
        <v>1.6988955196601398E-2</v>
      </c>
    </row>
    <row r="54" spans="2:36" ht="15" thickBot="1">
      <c r="B54" s="1005" t="s">
        <v>2057</v>
      </c>
      <c r="C54" s="1006"/>
      <c r="D54" s="1006"/>
      <c r="E54" s="1006"/>
      <c r="F54" s="1006"/>
      <c r="G54" s="1006"/>
      <c r="H54" s="1006"/>
      <c r="I54" s="1006"/>
      <c r="J54" s="1006"/>
      <c r="K54" s="1006"/>
      <c r="L54" s="1006"/>
      <c r="M54" s="1006"/>
      <c r="N54" s="1006"/>
      <c r="O54" s="1006"/>
      <c r="P54" s="1006"/>
      <c r="Q54" s="1006"/>
      <c r="R54" s="1006"/>
      <c r="S54" s="1006"/>
      <c r="T54" s="1006"/>
      <c r="U54" s="1006"/>
      <c r="V54" s="1006"/>
      <c r="W54" s="1006"/>
      <c r="X54" s="1006">
        <f>D48</f>
        <v>183</v>
      </c>
      <c r="Y54" s="1007">
        <f>SUM(Y50:Y53)</f>
        <v>128895851.47062124</v>
      </c>
      <c r="Z54" s="830">
        <f>Y54/100000</f>
        <v>1288.9585147062123</v>
      </c>
      <c r="AB54" s="1015" t="s">
        <v>2010</v>
      </c>
      <c r="AC54" s="1016"/>
      <c r="AD54" s="1016"/>
      <c r="AE54" s="1020">
        <f>AE53</f>
        <v>0.19776052940941413</v>
      </c>
      <c r="AG54" s="1015" t="s">
        <v>2004</v>
      </c>
      <c r="AH54" s="1016"/>
      <c r="AI54" s="1016"/>
      <c r="AJ54" s="1019">
        <f>AJ53</f>
        <v>1.6988955196601398E-2</v>
      </c>
    </row>
    <row r="55" spans="2:36" ht="15" thickBot="1">
      <c r="F55" s="830"/>
    </row>
    <row r="56" spans="2:36">
      <c r="AB56" s="1137" t="s">
        <v>2061</v>
      </c>
      <c r="AC56" s="1138"/>
      <c r="AD56" s="1138"/>
      <c r="AE56" s="1139"/>
    </row>
    <row r="57" spans="2:36">
      <c r="AB57" s="1012" t="s">
        <v>2000</v>
      </c>
      <c r="AE57" s="1013">
        <f>+'[88]Regulation 33 - Results'!N36</f>
        <v>422.84532006964838</v>
      </c>
    </row>
    <row r="58" spans="2:36">
      <c r="B58" t="s">
        <v>2058</v>
      </c>
      <c r="E58" s="830">
        <f>D35</f>
        <v>1840824</v>
      </c>
      <c r="AB58" s="1012" t="s">
        <v>2001</v>
      </c>
      <c r="AE58" s="1013"/>
    </row>
    <row r="59" spans="2:36">
      <c r="B59" t="s">
        <v>2059</v>
      </c>
      <c r="E59" s="885">
        <v>1840824</v>
      </c>
      <c r="AB59" s="1012" t="s">
        <v>2002</v>
      </c>
      <c r="AE59" s="1000">
        <f>SUM(AE57:AE58)</f>
        <v>422.84532006964838</v>
      </c>
    </row>
    <row r="60" spans="2:36">
      <c r="E60" s="830">
        <f>E58-E59</f>
        <v>0</v>
      </c>
      <c r="AB60" s="998"/>
      <c r="AE60" s="1014"/>
    </row>
    <row r="61" spans="2:36" ht="15" thickBot="1">
      <c r="AB61" s="1015" t="s">
        <v>2009</v>
      </c>
      <c r="AC61" s="1016"/>
      <c r="AD61" s="1016"/>
      <c r="AE61" s="1017">
        <f>AE57/Z54</f>
        <v>0.32805192350665063</v>
      </c>
    </row>
    <row r="62" spans="2:36" ht="15" thickBot="1">
      <c r="AB62" s="1015" t="s">
        <v>2010</v>
      </c>
      <c r="AC62" s="1016"/>
      <c r="AD62" s="1016"/>
      <c r="AE62" s="1020">
        <f>AE61</f>
        <v>0.32805192350665063</v>
      </c>
    </row>
    <row r="63" spans="2:36" ht="15" thickBot="1">
      <c r="B63" s="115">
        <v>45565</v>
      </c>
      <c r="C63" s="115">
        <v>45382</v>
      </c>
    </row>
    <row r="64" spans="2:36">
      <c r="B64" s="771" t="s">
        <v>2118</v>
      </c>
      <c r="C64" s="270"/>
      <c r="D64" s="270"/>
      <c r="E64" s="270"/>
      <c r="F64" s="270"/>
      <c r="G64" s="771"/>
      <c r="H64" s="270"/>
      <c r="I64" s="270"/>
      <c r="J64" s="270"/>
      <c r="K64" s="270"/>
      <c r="L64" s="270"/>
      <c r="M64" s="270"/>
      <c r="N64" s="270"/>
      <c r="O64" s="270"/>
      <c r="P64" s="270"/>
      <c r="Q64" s="270"/>
      <c r="R64" s="270"/>
      <c r="S64" s="270" t="e">
        <f>#REF!-S61</f>
        <v>#REF!</v>
      </c>
      <c r="T64" s="270"/>
      <c r="U64" s="270"/>
      <c r="V64" s="270"/>
      <c r="W64" s="270"/>
      <c r="X64" s="1065"/>
      <c r="Y64" s="270"/>
      <c r="AB64" s="1179" t="s">
        <v>2117</v>
      </c>
      <c r="AC64" s="1180"/>
      <c r="AD64" s="1180"/>
      <c r="AE64" s="1181"/>
      <c r="AF64" s="1054"/>
      <c r="AG64" s="1179" t="s">
        <v>2116</v>
      </c>
      <c r="AH64" s="1180"/>
      <c r="AI64" s="1180"/>
      <c r="AJ64" s="1181"/>
    </row>
    <row r="65" spans="2:36" ht="15" thickBot="1">
      <c r="B65" s="1066">
        <v>45657</v>
      </c>
      <c r="C65" s="270" t="s">
        <v>2048</v>
      </c>
      <c r="D65" s="270">
        <f>B65-B63</f>
        <v>92</v>
      </c>
      <c r="E65" s="270"/>
      <c r="F65" s="270"/>
      <c r="G65" s="771"/>
      <c r="H65" s="270"/>
      <c r="I65" s="270"/>
      <c r="J65" s="270"/>
      <c r="K65" s="270"/>
      <c r="L65" s="270"/>
      <c r="M65" s="270"/>
      <c r="N65" s="270"/>
      <c r="O65" s="270"/>
      <c r="P65" s="270"/>
      <c r="Q65" s="270"/>
      <c r="R65" s="270"/>
      <c r="S65" s="270"/>
      <c r="T65" s="270"/>
      <c r="U65" s="270"/>
      <c r="V65" s="1065"/>
      <c r="W65" s="1065"/>
      <c r="X65" s="270"/>
      <c r="Y65" s="1065"/>
      <c r="AB65" s="1055" t="s">
        <v>2000</v>
      </c>
      <c r="AC65" s="270"/>
      <c r="AD65" s="270"/>
      <c r="AE65" s="1056">
        <f>65.15+422.85+0.02</f>
        <v>488.02</v>
      </c>
      <c r="AF65" s="270"/>
      <c r="AG65" s="1055" t="s">
        <v>2000</v>
      </c>
      <c r="AH65" s="270"/>
      <c r="AI65" s="270"/>
      <c r="AJ65" s="1056">
        <f>6515378/100000</f>
        <v>65.153779999999998</v>
      </c>
    </row>
    <row r="66" spans="2:36">
      <c r="B66" s="1067" t="s">
        <v>0</v>
      </c>
      <c r="C66" s="1054" t="s">
        <v>1980</v>
      </c>
      <c r="D66" s="1054" t="s">
        <v>1981</v>
      </c>
      <c r="E66" s="1054" t="s">
        <v>2049</v>
      </c>
      <c r="F66" s="1054" t="s">
        <v>1982</v>
      </c>
      <c r="G66" s="1054" t="s">
        <v>1983</v>
      </c>
      <c r="H66" s="1054"/>
      <c r="I66" s="1054"/>
      <c r="J66" s="1054"/>
      <c r="K66" s="1054"/>
      <c r="L66" s="1054"/>
      <c r="M66" s="1054"/>
      <c r="N66" s="1054"/>
      <c r="O66" s="1054"/>
      <c r="P66" s="1054"/>
      <c r="Q66" s="1054"/>
      <c r="R66" s="1054"/>
      <c r="S66" s="1054"/>
      <c r="T66" s="1054"/>
      <c r="U66" s="1054"/>
      <c r="V66" s="1054"/>
      <c r="W66" s="1054"/>
      <c r="X66" s="1054" t="s">
        <v>405</v>
      </c>
      <c r="Y66" s="1068" t="s">
        <v>1984</v>
      </c>
      <c r="AB66" s="1055" t="s">
        <v>2001</v>
      </c>
      <c r="AC66" s="270"/>
      <c r="AD66" s="270"/>
      <c r="AE66" s="1056"/>
      <c r="AF66" s="270"/>
      <c r="AG66" s="1055" t="s">
        <v>2001</v>
      </c>
      <c r="AH66" s="270"/>
      <c r="AI66" s="270"/>
      <c r="AJ66" s="1056"/>
    </row>
    <row r="67" spans="2:36">
      <c r="B67" s="1058" t="s">
        <v>662</v>
      </c>
      <c r="C67" s="1069">
        <f>C26</f>
        <v>119623351.81424007</v>
      </c>
      <c r="D67" s="270">
        <v>1</v>
      </c>
      <c r="E67" s="270" t="s">
        <v>2050</v>
      </c>
      <c r="F67" s="1066"/>
      <c r="G67" s="270">
        <v>91</v>
      </c>
      <c r="H67" s="270"/>
      <c r="I67" s="270"/>
      <c r="J67" s="270"/>
      <c r="K67" s="270"/>
      <c r="L67" s="270"/>
      <c r="M67" s="270"/>
      <c r="N67" s="270"/>
      <c r="O67" s="270"/>
      <c r="P67" s="270"/>
      <c r="Q67" s="270"/>
      <c r="R67" s="270"/>
      <c r="S67" s="270"/>
      <c r="T67" s="270"/>
      <c r="U67" s="270"/>
      <c r="V67" s="270"/>
      <c r="W67" s="270"/>
      <c r="X67" s="270"/>
      <c r="Y67" s="1057">
        <f>C67*D67</f>
        <v>119623351.81424007</v>
      </c>
      <c r="AB67" s="1055" t="s">
        <v>2002</v>
      </c>
      <c r="AC67" s="270"/>
      <c r="AD67" s="270"/>
      <c r="AE67" s="1057">
        <f>SUM(AE65:AE66)</f>
        <v>488.02</v>
      </c>
      <c r="AF67" s="270"/>
      <c r="AG67" s="1055" t="s">
        <v>2002</v>
      </c>
      <c r="AH67" s="270"/>
      <c r="AI67" s="270"/>
      <c r="AJ67" s="1057">
        <f>SUM(AJ65:AJ66)</f>
        <v>65.153779999999998</v>
      </c>
    </row>
    <row r="68" spans="2:36">
      <c r="B68" s="1058" t="s">
        <v>2051</v>
      </c>
      <c r="C68" s="1065">
        <f>(41735439)*$AE$28/($AE$28+$AE$27)</f>
        <v>24286939.628023729</v>
      </c>
      <c r="D68" s="270">
        <f>0.5</f>
        <v>0.5</v>
      </c>
      <c r="E68" s="270" t="s">
        <v>2050</v>
      </c>
      <c r="F68" s="1066"/>
      <c r="G68" s="270">
        <v>47</v>
      </c>
      <c r="H68" s="270"/>
      <c r="I68" s="270"/>
      <c r="J68" s="270"/>
      <c r="K68" s="270"/>
      <c r="L68" s="270"/>
      <c r="M68" s="270"/>
      <c r="N68" s="270"/>
      <c r="O68" s="270"/>
      <c r="P68" s="270"/>
      <c r="Q68" s="270"/>
      <c r="R68" s="270"/>
      <c r="S68" s="270"/>
      <c r="T68" s="270"/>
      <c r="U68" s="270"/>
      <c r="V68" s="270"/>
      <c r="W68" s="270"/>
      <c r="X68" s="270"/>
      <c r="Y68" s="1057">
        <f>C68*D68</f>
        <v>12143469.814011864</v>
      </c>
      <c r="AB68" s="1058"/>
      <c r="AC68" s="270"/>
      <c r="AD68" s="270"/>
      <c r="AE68" s="1059"/>
      <c r="AF68" s="270"/>
      <c r="AG68" s="1058"/>
      <c r="AH68" s="270"/>
      <c r="AI68" s="270"/>
      <c r="AJ68" s="1059"/>
    </row>
    <row r="69" spans="2:36" ht="15" thickBot="1">
      <c r="B69" s="1058" t="s">
        <v>2052</v>
      </c>
      <c r="C69" s="1065">
        <f>(580887)*$AE$28/($AE$28+$AE$27)</f>
        <v>338033.28388863528</v>
      </c>
      <c r="D69" s="270">
        <f>0.5</f>
        <v>0.5</v>
      </c>
      <c r="E69" s="270" t="s">
        <v>2053</v>
      </c>
      <c r="F69" s="1066"/>
      <c r="G69" s="270"/>
      <c r="H69" s="270"/>
      <c r="I69" s="270"/>
      <c r="J69" s="270"/>
      <c r="K69" s="270"/>
      <c r="L69" s="270"/>
      <c r="M69" s="270"/>
      <c r="N69" s="270"/>
      <c r="O69" s="270"/>
      <c r="P69" s="270"/>
      <c r="Q69" s="270"/>
      <c r="R69" s="270"/>
      <c r="S69" s="270"/>
      <c r="T69" s="270"/>
      <c r="U69" s="270"/>
      <c r="V69" s="270"/>
      <c r="W69" s="270"/>
      <c r="X69" s="270"/>
      <c r="Y69" s="1057">
        <f>C69*D69</f>
        <v>169016.64194431764</v>
      </c>
      <c r="AB69" s="1060" t="s">
        <v>2119</v>
      </c>
      <c r="AC69" s="1061"/>
      <c r="AD69" s="1061"/>
      <c r="AE69" s="1062">
        <f>AE65/Y81</f>
        <v>0.3756517871515998</v>
      </c>
      <c r="AF69" s="270"/>
      <c r="AG69" s="1060" t="s">
        <v>2121</v>
      </c>
      <c r="AH69" s="1061"/>
      <c r="AI69" s="1061"/>
      <c r="AJ69" s="1062">
        <f>AJ65/Y71</f>
        <v>4.9382927985472128E-2</v>
      </c>
    </row>
    <row r="70" spans="2:36" ht="15" thickBot="1">
      <c r="B70" s="1070" t="s">
        <v>2115</v>
      </c>
      <c r="C70" s="1071"/>
      <c r="D70" s="1071"/>
      <c r="E70" s="1071"/>
      <c r="F70" s="1071"/>
      <c r="G70" s="1071"/>
      <c r="H70" s="1071"/>
      <c r="I70" s="1071"/>
      <c r="J70" s="1071"/>
      <c r="K70" s="1071"/>
      <c r="L70" s="1071"/>
      <c r="M70" s="1071"/>
      <c r="N70" s="1071"/>
      <c r="O70" s="1071"/>
      <c r="P70" s="1071"/>
      <c r="Q70" s="1071"/>
      <c r="R70" s="1071"/>
      <c r="S70" s="1071"/>
      <c r="T70" s="1071"/>
      <c r="U70" s="1071"/>
      <c r="V70" s="1071"/>
      <c r="W70" s="1071"/>
      <c r="X70" s="1071">
        <f>D65</f>
        <v>92</v>
      </c>
      <c r="Y70" s="1072">
        <f>SUM(Y67:Y69)</f>
        <v>131935838.27019626</v>
      </c>
      <c r="AB70" s="1060" t="s">
        <v>2120</v>
      </c>
      <c r="AC70" s="1061"/>
      <c r="AD70" s="1061"/>
      <c r="AE70" s="1063">
        <f>AE69</f>
        <v>0.3756517871515998</v>
      </c>
      <c r="AF70" s="270"/>
      <c r="AG70" s="1060" t="s">
        <v>2122</v>
      </c>
      <c r="AH70" s="1061"/>
      <c r="AI70" s="1061"/>
      <c r="AJ70" s="1063">
        <f>AJ69</f>
        <v>4.9382927985472128E-2</v>
      </c>
    </row>
    <row r="71" spans="2:36" ht="15" thickBot="1">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1065">
        <f>Y70/100000</f>
        <v>1319.3583827019627</v>
      </c>
      <c r="AB71" s="1058"/>
      <c r="AC71" s="270"/>
      <c r="AD71" s="270"/>
      <c r="AE71" s="270"/>
      <c r="AF71" s="270"/>
      <c r="AG71" s="270"/>
      <c r="AH71" s="270"/>
      <c r="AI71" s="270"/>
      <c r="AJ71" s="1059"/>
    </row>
    <row r="72" spans="2:36">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AB72" s="1179" t="s">
        <v>2114</v>
      </c>
      <c r="AC72" s="1180"/>
      <c r="AD72" s="1180"/>
      <c r="AE72" s="1181"/>
      <c r="AF72" s="270"/>
      <c r="AG72" s="270"/>
      <c r="AH72" s="270"/>
      <c r="AI72" s="270"/>
      <c r="AJ72" s="1059"/>
    </row>
    <row r="73" spans="2:36">
      <c r="B73" s="771" t="s">
        <v>2113</v>
      </c>
      <c r="C73" s="270"/>
      <c r="D73" s="270"/>
      <c r="E73" s="270"/>
      <c r="F73" s="270"/>
      <c r="G73" s="771"/>
      <c r="H73" s="270"/>
      <c r="I73" s="270"/>
      <c r="J73" s="270"/>
      <c r="K73" s="270"/>
      <c r="L73" s="270"/>
      <c r="M73" s="270"/>
      <c r="N73" s="270"/>
      <c r="O73" s="270"/>
      <c r="P73" s="270"/>
      <c r="Q73" s="270"/>
      <c r="R73" s="270"/>
      <c r="S73" s="270" t="e">
        <f>#REF!-S70</f>
        <v>#REF!</v>
      </c>
      <c r="T73" s="270"/>
      <c r="U73" s="270"/>
      <c r="V73" s="270"/>
      <c r="W73" s="270"/>
      <c r="X73" s="270"/>
      <c r="Y73" s="270"/>
      <c r="AB73" s="1055" t="s">
        <v>2000</v>
      </c>
      <c r="AC73" s="270"/>
      <c r="AD73" s="270"/>
      <c r="AE73" s="1056">
        <f>445.2</f>
        <v>445.2</v>
      </c>
      <c r="AF73" s="270"/>
      <c r="AG73" s="270"/>
      <c r="AH73" s="270"/>
      <c r="AI73" s="270"/>
      <c r="AJ73" s="1059"/>
    </row>
    <row r="74" spans="2:36" ht="15" thickBot="1">
      <c r="B74" s="1066">
        <v>45657</v>
      </c>
      <c r="C74" s="270" t="s">
        <v>2056</v>
      </c>
      <c r="D74" s="270">
        <f>B74-C63</f>
        <v>275</v>
      </c>
      <c r="E74" s="270"/>
      <c r="F74" s="270"/>
      <c r="G74" s="771"/>
      <c r="H74" s="270"/>
      <c r="I74" s="270"/>
      <c r="J74" s="270"/>
      <c r="K74" s="270"/>
      <c r="L74" s="270"/>
      <c r="M74" s="270"/>
      <c r="N74" s="270"/>
      <c r="O74" s="270"/>
      <c r="P74" s="270"/>
      <c r="Q74" s="270"/>
      <c r="R74" s="270"/>
      <c r="S74" s="270"/>
      <c r="T74" s="270"/>
      <c r="U74" s="270"/>
      <c r="V74" s="1065"/>
      <c r="W74" s="1065"/>
      <c r="X74" s="270"/>
      <c r="Y74" s="1065"/>
      <c r="AB74" s="1055" t="s">
        <v>2001</v>
      </c>
      <c r="AC74" s="270"/>
      <c r="AD74" s="270"/>
      <c r="AE74" s="1056"/>
      <c r="AF74" s="270"/>
      <c r="AG74" s="270"/>
      <c r="AH74" s="270"/>
      <c r="AI74" s="270"/>
      <c r="AJ74" s="1059"/>
    </row>
    <row r="75" spans="2:36">
      <c r="B75" s="1067" t="s">
        <v>0</v>
      </c>
      <c r="C75" s="1054" t="s">
        <v>1980</v>
      </c>
      <c r="D75" s="1054" t="s">
        <v>1981</v>
      </c>
      <c r="E75" s="1054" t="s">
        <v>2049</v>
      </c>
      <c r="F75" s="1054" t="s">
        <v>1982</v>
      </c>
      <c r="G75" s="1054" t="s">
        <v>1983</v>
      </c>
      <c r="H75" s="1054"/>
      <c r="I75" s="1054"/>
      <c r="J75" s="1054"/>
      <c r="K75" s="1054"/>
      <c r="L75" s="1054"/>
      <c r="M75" s="1054"/>
      <c r="N75" s="1054"/>
      <c r="O75" s="1054"/>
      <c r="P75" s="1054"/>
      <c r="Q75" s="1054"/>
      <c r="R75" s="1054"/>
      <c r="S75" s="1054"/>
      <c r="T75" s="1054"/>
      <c r="U75" s="1054"/>
      <c r="V75" s="1054"/>
      <c r="W75" s="1054"/>
      <c r="X75" s="1054" t="s">
        <v>405</v>
      </c>
      <c r="Y75" s="1068" t="s">
        <v>1984</v>
      </c>
      <c r="AB75" s="1055" t="s">
        <v>2002</v>
      </c>
      <c r="AC75" s="270"/>
      <c r="AD75" s="270"/>
      <c r="AE75" s="1057">
        <f>SUM(AE73:AE74)</f>
        <v>445.2</v>
      </c>
      <c r="AF75" s="270"/>
      <c r="AG75" s="270"/>
      <c r="AH75" s="270"/>
      <c r="AI75" s="270"/>
      <c r="AJ75" s="1059"/>
    </row>
    <row r="76" spans="2:36">
      <c r="B76" s="1058" t="s">
        <v>662</v>
      </c>
      <c r="C76" s="1069">
        <f>C67</f>
        <v>119623351.81424007</v>
      </c>
      <c r="D76" s="270">
        <v>1</v>
      </c>
      <c r="E76" s="270" t="s">
        <v>2050</v>
      </c>
      <c r="F76" s="1066"/>
      <c r="G76" s="270">
        <v>91</v>
      </c>
      <c r="H76" s="270"/>
      <c r="I76" s="270"/>
      <c r="J76" s="270"/>
      <c r="K76" s="270"/>
      <c r="L76" s="270"/>
      <c r="M76" s="270"/>
      <c r="N76" s="270"/>
      <c r="O76" s="270"/>
      <c r="P76" s="270"/>
      <c r="Q76" s="270"/>
      <c r="R76" s="270"/>
      <c r="S76" s="270"/>
      <c r="T76" s="270"/>
      <c r="U76" s="270"/>
      <c r="V76" s="270"/>
      <c r="W76" s="270"/>
      <c r="X76" s="270"/>
      <c r="Y76" s="1057">
        <f>C76*D76</f>
        <v>119623351.81424007</v>
      </c>
      <c r="AB76" s="1058"/>
      <c r="AC76" s="270"/>
      <c r="AD76" s="270"/>
      <c r="AE76" s="1059"/>
      <c r="AF76" s="270"/>
      <c r="AG76" s="270"/>
      <c r="AH76" s="270"/>
      <c r="AI76" s="270"/>
      <c r="AJ76" s="1059"/>
    </row>
    <row r="77" spans="2:36" ht="15" thickBot="1">
      <c r="B77" s="1058" t="s">
        <v>2051</v>
      </c>
      <c r="C77" s="1065">
        <f>(41735439-8658)*$AE$28/($AE$28+$AE$27)</f>
        <v>24281901.312186211</v>
      </c>
      <c r="D77" s="270">
        <f>0.5</f>
        <v>0.5</v>
      </c>
      <c r="E77" s="270" t="s">
        <v>2053</v>
      </c>
      <c r="F77" s="1066">
        <v>45426</v>
      </c>
      <c r="G77" s="270">
        <v>47</v>
      </c>
      <c r="H77" s="270"/>
      <c r="I77" s="270"/>
      <c r="J77" s="270"/>
      <c r="K77" s="270"/>
      <c r="L77" s="270"/>
      <c r="M77" s="270"/>
      <c r="N77" s="270"/>
      <c r="O77" s="270"/>
      <c r="P77" s="270"/>
      <c r="Q77" s="270"/>
      <c r="R77" s="270"/>
      <c r="S77" s="270"/>
      <c r="T77" s="270"/>
      <c r="U77" s="270"/>
      <c r="V77" s="270"/>
      <c r="W77" s="270"/>
      <c r="X77" s="270">
        <f>$B$74-F77</f>
        <v>231</v>
      </c>
      <c r="Y77" s="1057">
        <f>C77*D77*X77/X80</f>
        <v>10198398.55111821</v>
      </c>
      <c r="AB77" s="1060" t="s">
        <v>2123</v>
      </c>
      <c r="AC77" s="1061"/>
      <c r="AD77" s="1061"/>
      <c r="AE77" s="1062">
        <f>AE75/AQ29</f>
        <v>0.41695054319332647</v>
      </c>
      <c r="AF77" s="270"/>
      <c r="AG77" s="270"/>
      <c r="AH77" s="270"/>
      <c r="AI77" s="270"/>
      <c r="AJ77" s="1059"/>
    </row>
    <row r="78" spans="2:36" ht="15" thickBot="1">
      <c r="B78" s="1058" t="s">
        <v>2051</v>
      </c>
      <c r="C78" s="1069">
        <f>8658*$AE$28/($AE$28+$AE$27)</f>
        <v>5038.3158375171142</v>
      </c>
      <c r="D78" s="270">
        <f>0.5</f>
        <v>0.5</v>
      </c>
      <c r="E78" s="270" t="s">
        <v>2053</v>
      </c>
      <c r="F78" s="1066">
        <v>45439</v>
      </c>
      <c r="G78" s="270">
        <v>47</v>
      </c>
      <c r="H78" s="270"/>
      <c r="I78" s="270"/>
      <c r="J78" s="270"/>
      <c r="K78" s="270"/>
      <c r="L78" s="270"/>
      <c r="M78" s="270"/>
      <c r="N78" s="270"/>
      <c r="O78" s="270"/>
      <c r="P78" s="270"/>
      <c r="Q78" s="270"/>
      <c r="R78" s="270"/>
      <c r="S78" s="270"/>
      <c r="T78" s="270"/>
      <c r="U78" s="270"/>
      <c r="V78" s="270"/>
      <c r="W78" s="270"/>
      <c r="X78" s="270">
        <f>$B$74-F78</f>
        <v>218</v>
      </c>
      <c r="Y78" s="1057">
        <f>C78*D78*X78/X80</f>
        <v>1997.0051865067833</v>
      </c>
      <c r="AB78" s="1060" t="s">
        <v>2124</v>
      </c>
      <c r="AC78" s="1061"/>
      <c r="AD78" s="1061"/>
      <c r="AE78" s="1063">
        <f>AE77</f>
        <v>0.41695054319332647</v>
      </c>
      <c r="AF78" s="1061"/>
      <c r="AG78" s="1061"/>
      <c r="AH78" s="1061"/>
      <c r="AI78" s="1061"/>
      <c r="AJ78" s="1064"/>
    </row>
    <row r="79" spans="2:36" ht="15" thickBot="1">
      <c r="B79" s="1058" t="s">
        <v>2052</v>
      </c>
      <c r="C79" s="1065">
        <f>(580887)*$AE$28/($AE$28+$AE$27)</f>
        <v>338033.28388863528</v>
      </c>
      <c r="D79" s="270">
        <f>0.5</f>
        <v>0.5</v>
      </c>
      <c r="E79" s="270" t="s">
        <v>2053</v>
      </c>
      <c r="F79" s="1066">
        <v>45512</v>
      </c>
      <c r="G79" s="270">
        <v>34</v>
      </c>
      <c r="H79" s="270"/>
      <c r="I79" s="270"/>
      <c r="J79" s="270"/>
      <c r="K79" s="270"/>
      <c r="L79" s="270"/>
      <c r="M79" s="270"/>
      <c r="N79" s="270"/>
      <c r="O79" s="270"/>
      <c r="P79" s="270"/>
      <c r="Q79" s="270"/>
      <c r="R79" s="270"/>
      <c r="S79" s="270"/>
      <c r="T79" s="270"/>
      <c r="U79" s="270"/>
      <c r="V79" s="270"/>
      <c r="W79" s="270"/>
      <c r="X79" s="270">
        <f>$B$74-F79</f>
        <v>145</v>
      </c>
      <c r="Y79" s="1057">
        <f>C79*D79*X79/X80</f>
        <v>89117.865752458398</v>
      </c>
    </row>
    <row r="80" spans="2:36" ht="15" thickBot="1">
      <c r="B80" s="1070" t="s">
        <v>2112</v>
      </c>
      <c r="C80" s="1071"/>
      <c r="D80" s="1071"/>
      <c r="E80" s="1071"/>
      <c r="F80" s="1071"/>
      <c r="G80" s="1071"/>
      <c r="H80" s="1071"/>
      <c r="I80" s="1071"/>
      <c r="J80" s="1071"/>
      <c r="K80" s="1071"/>
      <c r="L80" s="1071"/>
      <c r="M80" s="1071"/>
      <c r="N80" s="1071"/>
      <c r="O80" s="1071"/>
      <c r="P80" s="1071"/>
      <c r="Q80" s="1071"/>
      <c r="R80" s="1071"/>
      <c r="S80" s="1071"/>
      <c r="T80" s="1071"/>
      <c r="U80" s="1071"/>
      <c r="V80" s="1071"/>
      <c r="W80" s="1071"/>
      <c r="X80" s="1071">
        <f>D74</f>
        <v>275</v>
      </c>
      <c r="Y80" s="1072">
        <f>SUM(Y76:Y79)</f>
        <v>129912865.23629725</v>
      </c>
    </row>
    <row r="81" spans="2:25">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1065">
        <f>Y80/100000</f>
        <v>1299.1286523629724</v>
      </c>
    </row>
  </sheetData>
  <mergeCells count="13">
    <mergeCell ref="AB56:AE56"/>
    <mergeCell ref="AB64:AE64"/>
    <mergeCell ref="AG64:AJ64"/>
    <mergeCell ref="AB72:AE72"/>
    <mergeCell ref="AL2:AT2"/>
    <mergeCell ref="AB48:AE48"/>
    <mergeCell ref="AG48:AJ48"/>
    <mergeCell ref="G3:N3"/>
    <mergeCell ref="L14:T14"/>
    <mergeCell ref="AB32:AE32"/>
    <mergeCell ref="AG32:AJ32"/>
    <mergeCell ref="AB40:AE40"/>
    <mergeCell ref="AG40:AJ4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A389-BBC0-49E1-AAF6-4C0F99A31AE5}">
  <dimension ref="A1:U93"/>
  <sheetViews>
    <sheetView showGridLines="0" topLeftCell="D82" workbookViewId="0">
      <selection activeCell="J44" sqref="J44"/>
    </sheetView>
  </sheetViews>
  <sheetFormatPr defaultColWidth="9.1796875" defaultRowHeight="14.5"/>
  <cols>
    <col min="1" max="1" width="17" style="1073" hidden="1" customWidth="1"/>
    <col min="2" max="2" width="15.26953125" style="1073" hidden="1" customWidth="1"/>
    <col min="3" max="3" width="5.1796875" style="1073" hidden="1" customWidth="1"/>
    <col min="4" max="4" width="5.1796875" style="1073" customWidth="1"/>
    <col min="5" max="5" width="34.81640625" style="1073" bestFit="1" customWidth="1"/>
    <col min="6" max="6" width="15.81640625" style="1073" bestFit="1" customWidth="1"/>
    <col min="7" max="7" width="4.81640625" style="1073" bestFit="1" customWidth="1"/>
    <col min="8" max="8" width="22.7265625" style="1073" bestFit="1" customWidth="1"/>
    <col min="9" max="9" width="15.81640625" style="1073" bestFit="1" customWidth="1"/>
    <col min="10" max="10" width="6" style="1073" bestFit="1" customWidth="1"/>
    <col min="11" max="11" width="22.7265625" style="1073" bestFit="1" customWidth="1"/>
    <col min="12" max="12" width="15.81640625" style="1073" bestFit="1" customWidth="1"/>
    <col min="13" max="13" width="6" style="1073" bestFit="1" customWidth="1"/>
    <col min="14" max="14" width="22.7265625" style="1073" bestFit="1" customWidth="1"/>
    <col min="15" max="15" width="15.81640625" style="1073" bestFit="1" customWidth="1"/>
    <col min="16" max="16" width="5.453125" style="1073" bestFit="1" customWidth="1"/>
    <col min="17" max="17" width="22.7265625" style="1073" bestFit="1" customWidth="1"/>
    <col min="18" max="18" width="14.81640625" style="1073" bestFit="1" customWidth="1"/>
    <col min="19" max="19" width="5.7265625" style="1073" bestFit="1" customWidth="1"/>
    <col min="20" max="16384" width="9.1796875" style="1073"/>
  </cols>
  <sheetData>
    <row r="1" spans="1:19" ht="15" thickBot="1">
      <c r="A1" s="1090" t="s">
        <v>2153</v>
      </c>
      <c r="E1" s="1090" t="s">
        <v>2152</v>
      </c>
    </row>
    <row r="2" spans="1:19" ht="15" thickBot="1">
      <c r="A2" s="1187" t="s">
        <v>2151</v>
      </c>
      <c r="B2" s="1187"/>
      <c r="C2" s="1187"/>
      <c r="D2" s="1136"/>
      <c r="E2" s="1184" t="s">
        <v>2144</v>
      </c>
      <c r="F2" s="1185"/>
      <c r="G2" s="1185"/>
      <c r="H2" s="1185"/>
      <c r="I2" s="1185"/>
      <c r="J2" s="1185"/>
      <c r="K2" s="1185"/>
      <c r="L2" s="1185"/>
      <c r="M2" s="1185"/>
      <c r="N2" s="1185"/>
      <c r="O2" s="1185"/>
      <c r="P2" s="1185"/>
      <c r="Q2" s="1185"/>
      <c r="R2" s="1185"/>
      <c r="S2" s="1186"/>
    </row>
    <row r="3" spans="1:19">
      <c r="A3" s="1187"/>
      <c r="B3" s="1187"/>
      <c r="C3" s="1187"/>
      <c r="D3" s="1136"/>
      <c r="E3" s="1189" t="s">
        <v>621</v>
      </c>
      <c r="F3" s="1190"/>
      <c r="G3" s="1191"/>
      <c r="H3" s="1188" t="s">
        <v>1325</v>
      </c>
      <c r="I3" s="1182"/>
      <c r="J3" s="1192"/>
      <c r="K3" s="1189" t="s">
        <v>625</v>
      </c>
      <c r="L3" s="1190"/>
      <c r="M3" s="1191"/>
      <c r="N3" s="1188" t="s">
        <v>622</v>
      </c>
      <c r="O3" s="1182"/>
      <c r="P3" s="1135"/>
      <c r="Q3" s="1182" t="s">
        <v>1326</v>
      </c>
      <c r="R3" s="1182"/>
      <c r="S3" s="1183"/>
    </row>
    <row r="4" spans="1:19">
      <c r="A4" s="1087" t="s">
        <v>2139</v>
      </c>
      <c r="B4" s="1087" t="s">
        <v>617</v>
      </c>
      <c r="C4" s="1134"/>
      <c r="E4" s="1088" t="s">
        <v>2139</v>
      </c>
      <c r="F4" s="1087" t="s">
        <v>617</v>
      </c>
      <c r="G4" s="1078"/>
      <c r="H4" s="1133" t="s">
        <v>2139</v>
      </c>
      <c r="I4" s="1087" t="s">
        <v>617</v>
      </c>
      <c r="J4" s="1134"/>
      <c r="K4" s="1088" t="s">
        <v>2139</v>
      </c>
      <c r="L4" s="1087" t="s">
        <v>617</v>
      </c>
      <c r="M4" s="1078"/>
      <c r="N4" s="1133" t="s">
        <v>2139</v>
      </c>
      <c r="O4" s="1087" t="s">
        <v>617</v>
      </c>
      <c r="P4" s="1079"/>
      <c r="Q4" s="1087" t="s">
        <v>2139</v>
      </c>
      <c r="R4" s="1087" t="s">
        <v>617</v>
      </c>
      <c r="S4" s="1078"/>
    </row>
    <row r="5" spans="1:19" s="1121" customFormat="1">
      <c r="A5" s="1128" t="s">
        <v>2138</v>
      </c>
      <c r="B5" s="1128">
        <v>126304246</v>
      </c>
      <c r="C5" s="1127"/>
      <c r="D5" s="1122"/>
      <c r="E5" s="1083" t="s">
        <v>2138</v>
      </c>
      <c r="F5" s="1080">
        <v>0</v>
      </c>
      <c r="G5" s="1084"/>
      <c r="H5" s="1130" t="s">
        <v>2138</v>
      </c>
      <c r="I5" s="1080"/>
      <c r="J5" s="1131"/>
      <c r="K5" s="1093" t="s">
        <v>2138</v>
      </c>
      <c r="L5" s="1080"/>
      <c r="M5" s="1084"/>
      <c r="N5" s="1130" t="s">
        <v>2138</v>
      </c>
      <c r="O5" s="1080">
        <v>0</v>
      </c>
      <c r="P5" s="1080"/>
      <c r="Q5" s="1080" t="s">
        <v>2138</v>
      </c>
      <c r="R5" s="1080">
        <v>0</v>
      </c>
      <c r="S5" s="1129" t="s">
        <v>2133</v>
      </c>
    </row>
    <row r="6" spans="1:19" s="1121" customFormat="1">
      <c r="A6" s="1128" t="s">
        <v>2137</v>
      </c>
      <c r="B6" s="1128">
        <v>5233504</v>
      </c>
      <c r="C6" s="1127"/>
      <c r="D6" s="1122"/>
      <c r="E6" s="1083" t="s">
        <v>2137</v>
      </c>
      <c r="F6" s="1080"/>
      <c r="G6" s="1084"/>
      <c r="H6" s="1130" t="s">
        <v>2137</v>
      </c>
      <c r="I6" s="1080"/>
      <c r="J6" s="1131"/>
      <c r="K6" s="1093" t="s">
        <v>2137</v>
      </c>
      <c r="L6" s="1080"/>
      <c r="M6" s="1084"/>
      <c r="N6" s="1130" t="s">
        <v>2137</v>
      </c>
      <c r="O6" s="1080">
        <v>0</v>
      </c>
      <c r="P6" s="1080"/>
      <c r="Q6" s="1080" t="s">
        <v>2137</v>
      </c>
      <c r="R6" s="1080">
        <v>0</v>
      </c>
      <c r="S6" s="1129" t="s">
        <v>2133</v>
      </c>
    </row>
    <row r="7" spans="1:19" s="1121" customFormat="1">
      <c r="A7" s="1128" t="s">
        <v>2136</v>
      </c>
      <c r="B7" s="1128">
        <v>14470684</v>
      </c>
      <c r="C7" s="1127"/>
      <c r="D7" s="1122"/>
      <c r="E7" s="1083" t="s">
        <v>2136</v>
      </c>
      <c r="F7" s="1080"/>
      <c r="G7" s="1084"/>
      <c r="H7" s="1130" t="s">
        <v>2136</v>
      </c>
      <c r="I7" s="1080"/>
      <c r="J7" s="1131"/>
      <c r="K7" s="1093" t="s">
        <v>2136</v>
      </c>
      <c r="L7" s="1080"/>
      <c r="M7" s="1084"/>
      <c r="N7" s="1130" t="s">
        <v>2136</v>
      </c>
      <c r="O7" s="1080">
        <v>0</v>
      </c>
      <c r="P7" s="1080"/>
      <c r="Q7" s="1080" t="s">
        <v>2136</v>
      </c>
      <c r="R7" s="1080">
        <v>0</v>
      </c>
      <c r="S7" s="1129" t="s">
        <v>2133</v>
      </c>
    </row>
    <row r="8" spans="1:19" s="1121" customFormat="1">
      <c r="A8" s="1128" t="s">
        <v>2135</v>
      </c>
      <c r="B8" s="1128">
        <v>38677126</v>
      </c>
      <c r="C8" s="1127"/>
      <c r="D8" s="1122"/>
      <c r="E8" s="1083" t="s">
        <v>2135</v>
      </c>
      <c r="F8" s="1080"/>
      <c r="G8" s="1084"/>
      <c r="H8" s="1130" t="s">
        <v>2135</v>
      </c>
      <c r="I8" s="1080"/>
      <c r="J8" s="1131"/>
      <c r="K8" s="1093" t="s">
        <v>2135</v>
      </c>
      <c r="L8" s="1080"/>
      <c r="M8" s="1084"/>
      <c r="N8" s="1130" t="s">
        <v>2135</v>
      </c>
      <c r="O8" s="1080">
        <v>0</v>
      </c>
      <c r="P8" s="1080"/>
      <c r="Q8" s="1080" t="s">
        <v>2135</v>
      </c>
      <c r="R8" s="1080">
        <v>0</v>
      </c>
      <c r="S8" s="1129" t="s">
        <v>2133</v>
      </c>
    </row>
    <row r="9" spans="1:19" s="1121" customFormat="1">
      <c r="A9" s="1128" t="s">
        <v>2134</v>
      </c>
      <c r="B9" s="1128">
        <v>0</v>
      </c>
      <c r="C9" s="1127"/>
      <c r="D9" s="1122"/>
      <c r="E9" s="1083" t="s">
        <v>2134</v>
      </c>
      <c r="F9" s="1080"/>
      <c r="G9" s="1084"/>
      <c r="H9" s="1130" t="s">
        <v>2134</v>
      </c>
      <c r="I9" s="1080"/>
      <c r="J9" s="1131"/>
      <c r="K9" s="1093" t="s">
        <v>2134</v>
      </c>
      <c r="L9" s="1080"/>
      <c r="M9" s="1084"/>
      <c r="N9" s="1130" t="s">
        <v>2134</v>
      </c>
      <c r="O9" s="1080">
        <v>0</v>
      </c>
      <c r="P9" s="1080"/>
      <c r="Q9" s="1080" t="s">
        <v>2134</v>
      </c>
      <c r="R9" s="1080">
        <v>0</v>
      </c>
      <c r="S9" s="1129" t="s">
        <v>2133</v>
      </c>
    </row>
    <row r="10" spans="1:19" s="1121" customFormat="1">
      <c r="A10" s="1128" t="s">
        <v>2143</v>
      </c>
      <c r="B10" s="1128">
        <v>0</v>
      </c>
      <c r="C10" s="1127"/>
      <c r="D10" s="1122"/>
      <c r="E10" s="1083" t="s">
        <v>2143</v>
      </c>
      <c r="F10" s="1080">
        <v>0</v>
      </c>
      <c r="G10" s="1084"/>
      <c r="H10" s="1130" t="s">
        <v>2143</v>
      </c>
      <c r="I10" s="1080"/>
      <c r="J10" s="1131"/>
      <c r="K10" s="1093" t="s">
        <v>2143</v>
      </c>
      <c r="L10" s="1080"/>
      <c r="M10" s="1084"/>
      <c r="N10" s="1130" t="s">
        <v>2143</v>
      </c>
      <c r="O10" s="1080">
        <v>0</v>
      </c>
      <c r="P10" s="1080"/>
      <c r="Q10" s="1080" t="s">
        <v>2143</v>
      </c>
      <c r="R10" s="1080">
        <v>0</v>
      </c>
      <c r="S10" s="1129" t="s">
        <v>2133</v>
      </c>
    </row>
    <row r="11" spans="1:19">
      <c r="A11" s="1128"/>
      <c r="B11" s="1128"/>
      <c r="C11" s="1127"/>
      <c r="D11" s="1122"/>
      <c r="E11" s="1083" t="s">
        <v>2127</v>
      </c>
      <c r="F11" s="1132">
        <v>342679557</v>
      </c>
      <c r="G11" s="1084" t="s">
        <v>2146</v>
      </c>
      <c r="H11" s="1130"/>
      <c r="I11" s="1080"/>
      <c r="J11" s="1131"/>
      <c r="K11" s="1093"/>
      <c r="L11" s="1080"/>
      <c r="M11" s="1084"/>
      <c r="N11" s="1130"/>
      <c r="O11" s="1080"/>
      <c r="P11" s="1080"/>
      <c r="Q11" s="1080"/>
      <c r="R11" s="1080"/>
      <c r="S11" s="1129"/>
    </row>
    <row r="12" spans="1:19">
      <c r="A12" s="1128"/>
      <c r="B12" s="1128"/>
      <c r="C12" s="1127"/>
      <c r="D12" s="1122"/>
      <c r="E12" s="1083" t="s">
        <v>2129</v>
      </c>
      <c r="F12" s="1080"/>
      <c r="G12" s="1084"/>
      <c r="H12" s="1130"/>
      <c r="I12" s="1080"/>
      <c r="J12" s="1131"/>
      <c r="K12" s="1093"/>
      <c r="L12" s="1080"/>
      <c r="M12" s="1084"/>
      <c r="N12" s="1130"/>
      <c r="O12" s="1080"/>
      <c r="P12" s="1080"/>
      <c r="Q12" s="1080"/>
      <c r="R12" s="1080"/>
      <c r="S12" s="1129"/>
    </row>
    <row r="13" spans="1:19" ht="15" thickBot="1">
      <c r="A13" s="1128"/>
      <c r="B13" s="1128"/>
      <c r="C13" s="1127"/>
      <c r="D13" s="1122"/>
      <c r="E13" s="1126" t="s">
        <v>2131</v>
      </c>
      <c r="F13" s="1076"/>
      <c r="G13" s="1091"/>
      <c r="H13" s="1124"/>
      <c r="I13" s="1076"/>
      <c r="J13" s="1125"/>
      <c r="K13" s="1092"/>
      <c r="L13" s="1076"/>
      <c r="M13" s="1091"/>
      <c r="N13" s="1124"/>
      <c r="O13" s="1076"/>
      <c r="P13" s="1076"/>
      <c r="Q13" s="1076"/>
      <c r="R13" s="1076"/>
      <c r="S13" s="1123"/>
    </row>
    <row r="14" spans="1:19" s="1121" customFormat="1">
      <c r="D14" s="1122"/>
    </row>
    <row r="15" spans="1:19" s="1121" customFormat="1">
      <c r="D15" s="1122"/>
      <c r="E15" s="1089"/>
      <c r="F15" s="1089"/>
      <c r="G15" s="1089"/>
      <c r="H15" s="1089"/>
      <c r="I15" s="1089"/>
      <c r="J15" s="1089"/>
      <c r="K15" s="1089"/>
      <c r="L15" s="1089"/>
      <c r="M15" s="1089"/>
      <c r="N15" s="1089"/>
      <c r="O15" s="1089"/>
      <c r="P15" s="1089"/>
      <c r="Q15" s="1089"/>
      <c r="R15" s="1089"/>
      <c r="S15" s="1089"/>
    </row>
    <row r="16" spans="1:19" s="1121" customFormat="1" ht="15" thickBot="1">
      <c r="D16" s="1122"/>
      <c r="E16" s="1089"/>
      <c r="F16" s="1089"/>
      <c r="G16" s="1089"/>
      <c r="H16" s="1089"/>
      <c r="I16" s="1089"/>
      <c r="J16" s="1089"/>
      <c r="K16" s="1089"/>
      <c r="L16" s="1089"/>
      <c r="M16" s="1089"/>
      <c r="N16" s="1089"/>
      <c r="O16" s="1089"/>
      <c r="P16" s="1090"/>
      <c r="Q16" s="1089"/>
      <c r="R16" s="1089"/>
      <c r="S16" s="1089"/>
    </row>
    <row r="17" spans="4:19" s="1121" customFormat="1">
      <c r="D17" s="1122"/>
      <c r="E17" s="1193" t="s">
        <v>2140</v>
      </c>
      <c r="F17" s="1194"/>
      <c r="G17" s="1194"/>
      <c r="H17" s="1194"/>
      <c r="I17" s="1194"/>
      <c r="J17" s="1194"/>
      <c r="K17" s="1194"/>
      <c r="L17" s="1194"/>
      <c r="M17" s="1194"/>
      <c r="N17" s="1194"/>
      <c r="O17" s="1194"/>
      <c r="P17" s="1194"/>
      <c r="Q17" s="1194"/>
      <c r="R17" s="1194"/>
      <c r="S17" s="1195"/>
    </row>
    <row r="18" spans="4:19" s="1121" customFormat="1">
      <c r="D18" s="1122"/>
      <c r="E18" s="1196" t="s">
        <v>621</v>
      </c>
      <c r="F18" s="1197"/>
      <c r="G18" s="1197"/>
      <c r="H18" s="1197" t="s">
        <v>1325</v>
      </c>
      <c r="I18" s="1197"/>
      <c r="J18" s="1197"/>
      <c r="K18" s="1197" t="s">
        <v>625</v>
      </c>
      <c r="L18" s="1197"/>
      <c r="M18" s="1197"/>
      <c r="N18" s="1197" t="s">
        <v>622</v>
      </c>
      <c r="O18" s="1197"/>
      <c r="P18" s="1197"/>
      <c r="Q18" s="1197" t="s">
        <v>1326</v>
      </c>
      <c r="R18" s="1197"/>
      <c r="S18" s="1198"/>
    </row>
    <row r="19" spans="4:19" s="1121" customFormat="1">
      <c r="D19" s="1122"/>
      <c r="E19" s="1088" t="s">
        <v>2139</v>
      </c>
      <c r="F19" s="1087" t="s">
        <v>617</v>
      </c>
      <c r="G19" s="1079"/>
      <c r="H19" s="1087" t="s">
        <v>2139</v>
      </c>
      <c r="I19" s="1087" t="s">
        <v>617</v>
      </c>
      <c r="J19" s="1079"/>
      <c r="K19" s="1087" t="s">
        <v>2139</v>
      </c>
      <c r="L19" s="1087" t="s">
        <v>617</v>
      </c>
      <c r="M19" s="1079"/>
      <c r="N19" s="1087" t="s">
        <v>2139</v>
      </c>
      <c r="O19" s="1087" t="s">
        <v>617</v>
      </c>
      <c r="P19" s="1079"/>
      <c r="Q19" s="1087" t="s">
        <v>2139</v>
      </c>
      <c r="R19" s="1087" t="s">
        <v>617</v>
      </c>
      <c r="S19" s="1078"/>
    </row>
    <row r="20" spans="4:19">
      <c r="E20" s="1093" t="s">
        <v>2138</v>
      </c>
      <c r="F20" s="1120">
        <v>342679557</v>
      </c>
      <c r="G20" s="1080" t="s">
        <v>2147</v>
      </c>
      <c r="H20" s="1080" t="s">
        <v>2138</v>
      </c>
      <c r="I20" s="1080">
        <v>0</v>
      </c>
      <c r="J20" s="1080">
        <v>0</v>
      </c>
      <c r="K20" s="1080" t="s">
        <v>2138</v>
      </c>
      <c r="L20" s="1080"/>
      <c r="M20" s="1080"/>
      <c r="N20" s="1080" t="s">
        <v>2138</v>
      </c>
      <c r="O20" s="1080">
        <v>0</v>
      </c>
      <c r="P20" s="1080"/>
      <c r="Q20" s="1080" t="s">
        <v>2138</v>
      </c>
      <c r="R20" s="1080">
        <v>0</v>
      </c>
      <c r="S20" s="1084" t="s">
        <v>2133</v>
      </c>
    </row>
    <row r="21" spans="4:19">
      <c r="E21" s="1093" t="s">
        <v>2137</v>
      </c>
      <c r="F21" s="1080"/>
      <c r="G21" s="1080"/>
      <c r="H21" s="1080" t="s">
        <v>2137</v>
      </c>
      <c r="I21" s="1080">
        <v>0</v>
      </c>
      <c r="J21" s="1080">
        <v>0</v>
      </c>
      <c r="K21" s="1080" t="s">
        <v>2137</v>
      </c>
      <c r="L21" s="1080"/>
      <c r="M21" s="1080"/>
      <c r="N21" s="1080" t="s">
        <v>2137</v>
      </c>
      <c r="O21" s="1080">
        <v>0</v>
      </c>
      <c r="P21" s="1080"/>
      <c r="Q21" s="1080" t="s">
        <v>2137</v>
      </c>
      <c r="R21" s="1080">
        <v>0</v>
      </c>
      <c r="S21" s="1084" t="s">
        <v>2133</v>
      </c>
    </row>
    <row r="22" spans="4:19">
      <c r="E22" s="1093" t="s">
        <v>2136</v>
      </c>
      <c r="F22" s="1080"/>
      <c r="G22" s="1080"/>
      <c r="H22" s="1080" t="s">
        <v>2136</v>
      </c>
      <c r="I22" s="1080"/>
      <c r="J22" s="1080"/>
      <c r="K22" s="1080" t="s">
        <v>2136</v>
      </c>
      <c r="L22" s="1080"/>
      <c r="M22" s="1080"/>
      <c r="N22" s="1080" t="s">
        <v>2136</v>
      </c>
      <c r="O22" s="1080">
        <v>0</v>
      </c>
      <c r="P22" s="1080"/>
      <c r="Q22" s="1080" t="s">
        <v>2136</v>
      </c>
      <c r="R22" s="1080">
        <v>0</v>
      </c>
      <c r="S22" s="1084" t="s">
        <v>2133</v>
      </c>
    </row>
    <row r="23" spans="4:19">
      <c r="E23" s="1093" t="s">
        <v>2135</v>
      </c>
      <c r="F23" s="1080"/>
      <c r="G23" s="1080"/>
      <c r="H23" s="1080" t="s">
        <v>2135</v>
      </c>
      <c r="I23" s="1080">
        <v>0</v>
      </c>
      <c r="J23" s="1080">
        <v>0</v>
      </c>
      <c r="K23" s="1080" t="s">
        <v>2135</v>
      </c>
      <c r="L23" s="1080"/>
      <c r="M23" s="1080"/>
      <c r="N23" s="1080" t="s">
        <v>2135</v>
      </c>
      <c r="O23" s="1080">
        <v>0</v>
      </c>
      <c r="P23" s="1080"/>
      <c r="Q23" s="1080" t="s">
        <v>2135</v>
      </c>
      <c r="R23" s="1080">
        <v>0</v>
      </c>
      <c r="S23" s="1084" t="s">
        <v>2133</v>
      </c>
    </row>
    <row r="24" spans="4:19">
      <c r="E24" s="1093" t="s">
        <v>2134</v>
      </c>
      <c r="F24" s="1080"/>
      <c r="G24" s="1080"/>
      <c r="H24" s="1080" t="s">
        <v>2134</v>
      </c>
      <c r="I24" s="1080"/>
      <c r="J24" s="1080"/>
      <c r="K24" s="1080" t="s">
        <v>2134</v>
      </c>
      <c r="L24" s="1080"/>
      <c r="M24" s="1080"/>
      <c r="N24" s="1080" t="s">
        <v>2134</v>
      </c>
      <c r="O24" s="1080">
        <v>0</v>
      </c>
      <c r="P24" s="1080"/>
      <c r="Q24" s="1080" t="s">
        <v>2134</v>
      </c>
      <c r="R24" s="1080">
        <v>0</v>
      </c>
      <c r="S24" s="1084" t="s">
        <v>2133</v>
      </c>
    </row>
    <row r="25" spans="4:19">
      <c r="E25" s="1093" t="s">
        <v>2130</v>
      </c>
      <c r="F25" s="1120">
        <v>25372964</v>
      </c>
      <c r="G25" s="1080" t="s">
        <v>2147</v>
      </c>
      <c r="H25" s="1080" t="s">
        <v>2130</v>
      </c>
      <c r="I25" s="1080"/>
      <c r="J25" s="1080"/>
      <c r="K25" s="1080" t="s">
        <v>2130</v>
      </c>
      <c r="L25" s="1080"/>
      <c r="M25" s="1080"/>
      <c r="N25" s="1080" t="s">
        <v>2130</v>
      </c>
      <c r="O25" s="1080"/>
      <c r="P25" s="1080"/>
      <c r="Q25" s="1080" t="s">
        <v>2130</v>
      </c>
      <c r="R25" s="1080">
        <v>0</v>
      </c>
      <c r="S25" s="1084" t="s">
        <v>2133</v>
      </c>
    </row>
    <row r="26" spans="4:19">
      <c r="E26" s="1093" t="s">
        <v>2127</v>
      </c>
      <c r="F26" s="1080"/>
      <c r="G26" s="1080"/>
      <c r="H26" s="1080" t="s">
        <v>2127</v>
      </c>
      <c r="I26" s="1120">
        <v>25372964.300000001</v>
      </c>
      <c r="J26" s="1080" t="s">
        <v>2146</v>
      </c>
      <c r="K26" s="1080" t="s">
        <v>2127</v>
      </c>
      <c r="L26" s="1080"/>
      <c r="M26" s="1080"/>
      <c r="N26" s="1080" t="s">
        <v>2127</v>
      </c>
      <c r="O26" s="1080"/>
      <c r="P26" s="1080"/>
      <c r="Q26" s="1080" t="s">
        <v>2127</v>
      </c>
      <c r="R26" s="1080"/>
      <c r="S26" s="1084"/>
    </row>
    <row r="27" spans="4:19">
      <c r="E27" s="1093" t="s">
        <v>2129</v>
      </c>
      <c r="F27" s="1080"/>
      <c r="G27" s="1080"/>
      <c r="H27" s="1080" t="s">
        <v>2129</v>
      </c>
      <c r="I27" s="1080"/>
      <c r="J27" s="1080"/>
      <c r="K27" s="1080" t="s">
        <v>2129</v>
      </c>
      <c r="L27" s="1080"/>
      <c r="M27" s="1080"/>
      <c r="N27" s="1080" t="s">
        <v>2129</v>
      </c>
      <c r="O27" s="1080"/>
      <c r="P27" s="1080"/>
      <c r="Q27" s="1080" t="s">
        <v>2129</v>
      </c>
      <c r="R27" s="1080"/>
      <c r="S27" s="1084"/>
    </row>
    <row r="28" spans="4:19">
      <c r="E28" s="1093" t="s">
        <v>2131</v>
      </c>
      <c r="F28" s="1080"/>
      <c r="G28" s="1080"/>
      <c r="H28" s="1080" t="s">
        <v>2131</v>
      </c>
      <c r="I28" s="1080"/>
      <c r="J28" s="1080"/>
      <c r="K28" s="1080" t="s">
        <v>2131</v>
      </c>
      <c r="L28" s="1080"/>
      <c r="M28" s="1080"/>
      <c r="N28" s="1080" t="s">
        <v>2131</v>
      </c>
      <c r="O28" s="1080"/>
      <c r="P28" s="1080"/>
      <c r="Q28" s="1080" t="s">
        <v>2131</v>
      </c>
      <c r="R28" s="1080"/>
      <c r="S28" s="1084"/>
    </row>
    <row r="29" spans="4:19" ht="15" thickBot="1">
      <c r="E29" s="1077"/>
      <c r="F29" s="1075"/>
      <c r="G29" s="1075"/>
      <c r="H29" s="1076" t="s">
        <v>2137</v>
      </c>
      <c r="I29" s="1076"/>
      <c r="J29" s="1076"/>
      <c r="K29" s="1075"/>
      <c r="L29" s="1075"/>
      <c r="M29" s="1075"/>
      <c r="N29" s="1075"/>
      <c r="O29" s="1075"/>
      <c r="P29" s="1075"/>
      <c r="Q29" s="1075"/>
      <c r="R29" s="1075"/>
      <c r="S29" s="1074"/>
    </row>
    <row r="32" spans="4:19" ht="15" thickBot="1">
      <c r="E32" s="1090" t="s">
        <v>2150</v>
      </c>
    </row>
    <row r="33" spans="5:19">
      <c r="E33" s="1193" t="s">
        <v>2144</v>
      </c>
      <c r="F33" s="1194"/>
      <c r="G33" s="1194"/>
      <c r="H33" s="1194"/>
      <c r="I33" s="1194"/>
      <c r="J33" s="1194"/>
      <c r="K33" s="1194"/>
      <c r="L33" s="1194"/>
      <c r="M33" s="1194"/>
      <c r="N33" s="1194"/>
      <c r="O33" s="1194"/>
      <c r="P33" s="1194"/>
      <c r="Q33" s="1194"/>
      <c r="R33" s="1194"/>
      <c r="S33" s="1195"/>
    </row>
    <row r="34" spans="5:19">
      <c r="E34" s="1199" t="s">
        <v>621</v>
      </c>
      <c r="F34" s="1200"/>
      <c r="G34" s="1200"/>
      <c r="H34" s="1200" t="s">
        <v>1325</v>
      </c>
      <c r="I34" s="1200"/>
      <c r="J34" s="1200"/>
      <c r="K34" s="1200" t="s">
        <v>625</v>
      </c>
      <c r="L34" s="1200"/>
      <c r="M34" s="1200"/>
      <c r="N34" s="1200" t="s">
        <v>622</v>
      </c>
      <c r="O34" s="1200"/>
      <c r="P34" s="1094"/>
      <c r="Q34" s="1200" t="s">
        <v>1326</v>
      </c>
      <c r="R34" s="1200"/>
      <c r="S34" s="1201"/>
    </row>
    <row r="35" spans="5:19">
      <c r="E35" s="1088" t="s">
        <v>2139</v>
      </c>
      <c r="F35" s="1087" t="s">
        <v>617</v>
      </c>
      <c r="G35" s="1079"/>
      <c r="H35" s="1087" t="s">
        <v>2139</v>
      </c>
      <c r="I35" s="1087" t="s">
        <v>617</v>
      </c>
      <c r="J35" s="1079"/>
      <c r="K35" s="1087" t="s">
        <v>2139</v>
      </c>
      <c r="L35" s="1087" t="s">
        <v>617</v>
      </c>
      <c r="M35" s="1079"/>
      <c r="N35" s="1087" t="s">
        <v>2139</v>
      </c>
      <c r="O35" s="1087" t="s">
        <v>617</v>
      </c>
      <c r="P35" s="1079"/>
      <c r="Q35" s="1087" t="s">
        <v>2139</v>
      </c>
      <c r="R35" s="1087" t="s">
        <v>617</v>
      </c>
      <c r="S35" s="1078"/>
    </row>
    <row r="36" spans="5:19">
      <c r="E36" s="1093" t="s">
        <v>2138</v>
      </c>
      <c r="F36" s="1080"/>
      <c r="G36" s="1080"/>
      <c r="H36" s="1080" t="s">
        <v>2138</v>
      </c>
      <c r="I36" s="1080">
        <f>622705782.976-114368758.35</f>
        <v>508337024.62599993</v>
      </c>
      <c r="J36" s="1080" t="s">
        <v>2146</v>
      </c>
      <c r="K36" s="1080" t="s">
        <v>2138</v>
      </c>
      <c r="L36" s="1118">
        <v>471701428</v>
      </c>
      <c r="M36" s="1080" t="s">
        <v>2147</v>
      </c>
      <c r="N36" s="1080" t="s">
        <v>2138</v>
      </c>
      <c r="O36" s="1118">
        <v>84558418.159999996</v>
      </c>
      <c r="P36" s="1080" t="s">
        <v>2147</v>
      </c>
      <c r="Q36" s="1080" t="s">
        <v>2138</v>
      </c>
      <c r="R36" s="1119">
        <v>25685859</v>
      </c>
      <c r="S36" s="1084" t="s">
        <v>2147</v>
      </c>
    </row>
    <row r="37" spans="5:19">
      <c r="E37" s="1093" t="s">
        <v>2137</v>
      </c>
      <c r="F37" s="1080">
        <f>622705782.97-114368758.21</f>
        <v>508337024.76000005</v>
      </c>
      <c r="G37" s="1080" t="s">
        <v>2147</v>
      </c>
      <c r="H37" s="1080" t="s">
        <v>2137</v>
      </c>
      <c r="I37" s="1080"/>
      <c r="J37" s="1080"/>
      <c r="K37" s="1080" t="s">
        <v>2137</v>
      </c>
      <c r="L37" s="1118">
        <v>450232244.574</v>
      </c>
      <c r="M37" s="1080" t="s">
        <v>2146</v>
      </c>
      <c r="N37" s="1080" t="s">
        <v>2137</v>
      </c>
      <c r="O37" s="1118">
        <v>15116603.766000001</v>
      </c>
      <c r="P37" s="1080" t="s">
        <v>2146</v>
      </c>
      <c r="Q37" s="1080" t="s">
        <v>2137</v>
      </c>
      <c r="R37" s="1118">
        <v>25639580.52</v>
      </c>
      <c r="S37" s="1084" t="s">
        <v>2146</v>
      </c>
    </row>
    <row r="38" spans="5:19">
      <c r="E38" s="1093" t="s">
        <v>2136</v>
      </c>
      <c r="F38" s="1118">
        <v>471701428</v>
      </c>
      <c r="G38" s="1080" t="s">
        <v>2146</v>
      </c>
      <c r="H38" s="1080" t="s">
        <v>2136</v>
      </c>
      <c r="I38" s="1118">
        <v>450232244.574</v>
      </c>
      <c r="J38" s="1080" t="s">
        <v>2147</v>
      </c>
      <c r="K38" s="1080" t="s">
        <v>2136</v>
      </c>
      <c r="L38" s="1080"/>
      <c r="M38" s="1080"/>
      <c r="N38" s="1080" t="s">
        <v>2136</v>
      </c>
      <c r="O38" s="1118">
        <v>10741342</v>
      </c>
      <c r="P38" s="1080" t="s">
        <v>2146</v>
      </c>
      <c r="Q38" s="1080" t="s">
        <v>2136</v>
      </c>
      <c r="R38" s="1080">
        <v>0</v>
      </c>
      <c r="S38" s="1084" t="s">
        <v>2133</v>
      </c>
    </row>
    <row r="39" spans="5:19">
      <c r="E39" s="1093" t="s">
        <v>2135</v>
      </c>
      <c r="F39" s="1118">
        <v>84558418.159999996</v>
      </c>
      <c r="G39" s="1080" t="s">
        <v>2146</v>
      </c>
      <c r="H39" s="1080" t="s">
        <v>2135</v>
      </c>
      <c r="I39" s="1118">
        <v>15116603.766000001</v>
      </c>
      <c r="J39" s="1080" t="s">
        <v>2147</v>
      </c>
      <c r="K39" s="1080" t="s">
        <v>2135</v>
      </c>
      <c r="L39" s="1118">
        <v>10741342</v>
      </c>
      <c r="M39" s="1080" t="s">
        <v>2147</v>
      </c>
      <c r="N39" s="1080" t="s">
        <v>2135</v>
      </c>
      <c r="O39" s="1080"/>
      <c r="P39" s="1080"/>
      <c r="Q39" s="1080" t="s">
        <v>2135</v>
      </c>
      <c r="R39" s="1080">
        <v>0</v>
      </c>
      <c r="S39" s="1084" t="s">
        <v>2133</v>
      </c>
    </row>
    <row r="40" spans="5:19">
      <c r="E40" s="1093" t="s">
        <v>2134</v>
      </c>
      <c r="F40" s="1119">
        <v>25685859</v>
      </c>
      <c r="G40" s="1080" t="s">
        <v>2146</v>
      </c>
      <c r="H40" s="1080" t="s">
        <v>2134</v>
      </c>
      <c r="I40" s="1118">
        <v>25639580.52</v>
      </c>
      <c r="J40" s="1080" t="s">
        <v>2147</v>
      </c>
      <c r="K40" s="1080" t="s">
        <v>2134</v>
      </c>
      <c r="L40" s="1080"/>
      <c r="M40" s="1080"/>
      <c r="N40" s="1080" t="s">
        <v>2134</v>
      </c>
      <c r="O40" s="1080"/>
      <c r="P40" s="1080"/>
      <c r="Q40" s="1080" t="s">
        <v>2134</v>
      </c>
      <c r="R40" s="1080">
        <v>0</v>
      </c>
      <c r="S40" s="1084" t="s">
        <v>2133</v>
      </c>
    </row>
    <row r="41" spans="5:19">
      <c r="E41" s="1093" t="s">
        <v>2143</v>
      </c>
      <c r="F41" s="1113">
        <v>34615524.289999999</v>
      </c>
      <c r="G41" s="1080" t="s">
        <v>2146</v>
      </c>
      <c r="H41" s="1080" t="s">
        <v>2143</v>
      </c>
      <c r="I41" s="1111">
        <v>100833181.346</v>
      </c>
      <c r="J41" s="1080" t="s">
        <v>2147</v>
      </c>
      <c r="K41" s="1080" t="s">
        <v>2143</v>
      </c>
      <c r="L41" s="1080"/>
      <c r="M41" s="1080"/>
      <c r="N41" s="1080" t="s">
        <v>2143</v>
      </c>
      <c r="O41" s="1108">
        <v>17558952</v>
      </c>
      <c r="P41" s="1080" t="s">
        <v>2147</v>
      </c>
      <c r="Q41" s="1080" t="s">
        <v>2143</v>
      </c>
      <c r="R41" s="1080">
        <v>0</v>
      </c>
      <c r="S41" s="1084" t="s">
        <v>2133</v>
      </c>
    </row>
    <row r="42" spans="5:19">
      <c r="E42" s="1093" t="s">
        <v>2127</v>
      </c>
      <c r="F42" s="1117">
        <v>108224204.69</v>
      </c>
      <c r="G42" s="1080" t="s">
        <v>2147</v>
      </c>
      <c r="H42" s="1080" t="s">
        <v>2127</v>
      </c>
      <c r="I42" s="1112">
        <v>33975212</v>
      </c>
      <c r="J42" s="1080" t="s">
        <v>2147</v>
      </c>
      <c r="K42" s="1080" t="s">
        <v>2127</v>
      </c>
      <c r="L42" s="1080"/>
      <c r="M42" s="1080"/>
      <c r="N42" s="1080" t="s">
        <v>2127</v>
      </c>
      <c r="O42" s="1080"/>
      <c r="P42" s="1080"/>
      <c r="Q42" s="1080" t="s">
        <v>2127</v>
      </c>
      <c r="R42" s="1080"/>
      <c r="S42" s="1084"/>
    </row>
    <row r="43" spans="5:19">
      <c r="E43" s="1093" t="s">
        <v>2129</v>
      </c>
      <c r="F43" s="1080"/>
      <c r="G43" s="1080"/>
      <c r="H43" s="1080" t="s">
        <v>2129</v>
      </c>
      <c r="I43" s="1080"/>
      <c r="J43" s="1080"/>
      <c r="K43" s="1080" t="s">
        <v>2129</v>
      </c>
      <c r="L43" s="1080"/>
      <c r="M43" s="1080"/>
      <c r="N43" s="1080" t="s">
        <v>2129</v>
      </c>
      <c r="O43" s="1107">
        <v>44014766.408</v>
      </c>
      <c r="P43" s="1080" t="s">
        <v>2146</v>
      </c>
      <c r="Q43" s="1080" t="s">
        <v>2129</v>
      </c>
      <c r="R43" s="1080"/>
      <c r="S43" s="1084"/>
    </row>
    <row r="44" spans="5:19">
      <c r="E44" s="1093" t="s">
        <v>2131</v>
      </c>
      <c r="F44" s="1080"/>
      <c r="G44" s="1080"/>
      <c r="H44" s="1080" t="s">
        <v>2131</v>
      </c>
      <c r="I44" s="1080"/>
      <c r="J44" s="1080"/>
      <c r="K44" s="1080" t="s">
        <v>2131</v>
      </c>
      <c r="L44" s="1109">
        <v>32210513.967999998</v>
      </c>
      <c r="M44" s="1080" t="s">
        <v>2146</v>
      </c>
      <c r="N44" s="1080" t="s">
        <v>2131</v>
      </c>
      <c r="O44" s="1080"/>
      <c r="P44" s="1080"/>
      <c r="Q44" s="1080" t="s">
        <v>2131</v>
      </c>
      <c r="R44" s="1080"/>
      <c r="S44" s="1084"/>
    </row>
    <row r="45" spans="5:19" ht="15" thickBot="1">
      <c r="E45" s="1092"/>
      <c r="F45" s="1076"/>
      <c r="G45" s="1076"/>
      <c r="H45" s="1076" t="s">
        <v>2148</v>
      </c>
      <c r="I45" s="1115">
        <v>32244657.649999999</v>
      </c>
      <c r="J45" s="1076" t="s">
        <v>2147</v>
      </c>
      <c r="K45" s="1076" t="s">
        <v>2149</v>
      </c>
      <c r="L45" s="1116">
        <v>210</v>
      </c>
      <c r="M45" s="1076" t="s">
        <v>2147</v>
      </c>
      <c r="N45" s="1076" t="s">
        <v>2148</v>
      </c>
      <c r="O45" s="1115">
        <v>32244658</v>
      </c>
      <c r="P45" s="1076" t="s">
        <v>2146</v>
      </c>
      <c r="Q45" s="1076"/>
      <c r="R45" s="1076"/>
      <c r="S45" s="1091"/>
    </row>
    <row r="46" spans="5:19">
      <c r="E46" s="1089"/>
      <c r="F46" s="1089"/>
      <c r="G46" s="1089"/>
      <c r="H46" s="1089"/>
      <c r="I46" s="1089"/>
      <c r="J46" s="1089"/>
      <c r="K46" s="1089"/>
      <c r="L46" s="1089"/>
      <c r="M46" s="1089"/>
      <c r="N46" s="1089"/>
      <c r="O46" s="1089"/>
      <c r="P46" s="1089"/>
      <c r="Q46" s="1089"/>
      <c r="R46" s="1089"/>
      <c r="S46" s="1089"/>
    </row>
    <row r="47" spans="5:19" ht="15" thickBot="1">
      <c r="E47" s="1089"/>
      <c r="F47" s="1089"/>
      <c r="G47" s="1089"/>
      <c r="H47" s="1089"/>
      <c r="I47" s="1089"/>
      <c r="J47" s="1089"/>
      <c r="K47" s="1089"/>
      <c r="L47" s="1089"/>
      <c r="M47" s="1089"/>
      <c r="N47" s="1089"/>
      <c r="O47" s="1089"/>
      <c r="P47" s="1090"/>
      <c r="Q47" s="1089"/>
      <c r="R47" s="1089"/>
      <c r="S47" s="1089"/>
    </row>
    <row r="48" spans="5:19">
      <c r="E48" s="1193" t="s">
        <v>2140</v>
      </c>
      <c r="F48" s="1194"/>
      <c r="G48" s="1194"/>
      <c r="H48" s="1194"/>
      <c r="I48" s="1194"/>
      <c r="J48" s="1194"/>
      <c r="K48" s="1194"/>
      <c r="L48" s="1194"/>
      <c r="M48" s="1194"/>
      <c r="N48" s="1194"/>
      <c r="O48" s="1194"/>
      <c r="P48" s="1194"/>
      <c r="Q48" s="1194"/>
      <c r="R48" s="1194"/>
      <c r="S48" s="1195"/>
    </row>
    <row r="49" spans="5:19">
      <c r="E49" s="1199" t="s">
        <v>621</v>
      </c>
      <c r="F49" s="1200"/>
      <c r="G49" s="1200"/>
      <c r="H49" s="1200" t="s">
        <v>1325</v>
      </c>
      <c r="I49" s="1200"/>
      <c r="J49" s="1200"/>
      <c r="K49" s="1200" t="s">
        <v>625</v>
      </c>
      <c r="L49" s="1200"/>
      <c r="M49" s="1200"/>
      <c r="N49" s="1200" t="s">
        <v>622</v>
      </c>
      <c r="O49" s="1200"/>
      <c r="P49" s="1200"/>
      <c r="Q49" s="1200" t="s">
        <v>1326</v>
      </c>
      <c r="R49" s="1200"/>
      <c r="S49" s="1201"/>
    </row>
    <row r="50" spans="5:19">
      <c r="E50" s="1088" t="s">
        <v>2139</v>
      </c>
      <c r="F50" s="1087" t="s">
        <v>617</v>
      </c>
      <c r="G50" s="1079"/>
      <c r="H50" s="1087" t="s">
        <v>2139</v>
      </c>
      <c r="I50" s="1087" t="s">
        <v>617</v>
      </c>
      <c r="J50" s="1079"/>
      <c r="K50" s="1087" t="s">
        <v>2139</v>
      </c>
      <c r="L50" s="1087" t="s">
        <v>617</v>
      </c>
      <c r="M50" s="1079"/>
      <c r="N50" s="1087" t="s">
        <v>2139</v>
      </c>
      <c r="O50" s="1087" t="s">
        <v>617</v>
      </c>
      <c r="P50" s="1079"/>
      <c r="Q50" s="1087" t="s">
        <v>2139</v>
      </c>
      <c r="R50" s="1087" t="s">
        <v>617</v>
      </c>
      <c r="S50" s="1078"/>
    </row>
    <row r="51" spans="5:19">
      <c r="E51" s="1093" t="s">
        <v>2138</v>
      </c>
      <c r="F51" s="1114">
        <v>108224204.69</v>
      </c>
      <c r="G51" s="1080" t="s">
        <v>2146</v>
      </c>
      <c r="H51" s="1080" t="s">
        <v>2138</v>
      </c>
      <c r="I51" s="1113">
        <v>34615524.289999999</v>
      </c>
      <c r="J51" s="1080" t="s">
        <v>2147</v>
      </c>
      <c r="K51" s="1080" t="s">
        <v>2138</v>
      </c>
      <c r="L51" s="1080"/>
      <c r="M51" s="1080"/>
      <c r="N51" s="1080" t="s">
        <v>2138</v>
      </c>
      <c r="O51" s="1080">
        <v>0</v>
      </c>
      <c r="P51" s="1080"/>
      <c r="Q51" s="1081" t="s">
        <v>2138</v>
      </c>
      <c r="R51" s="1081">
        <v>0</v>
      </c>
      <c r="S51" s="1100" t="s">
        <v>2133</v>
      </c>
    </row>
    <row r="52" spans="5:19">
      <c r="E52" s="1093" t="s">
        <v>2137</v>
      </c>
      <c r="F52" s="1112">
        <v>33975212</v>
      </c>
      <c r="G52" s="1080" t="s">
        <v>2146</v>
      </c>
      <c r="H52" s="1080" t="s">
        <v>2137</v>
      </c>
      <c r="I52" s="1111">
        <v>100833181.346</v>
      </c>
      <c r="J52" s="1080" t="s">
        <v>2146</v>
      </c>
      <c r="K52" s="1080" t="s">
        <v>2137</v>
      </c>
      <c r="L52" s="1080"/>
      <c r="M52" s="1080"/>
      <c r="N52" s="1080" t="s">
        <v>2137</v>
      </c>
      <c r="O52" s="1080">
        <v>0</v>
      </c>
      <c r="P52" s="1080"/>
      <c r="Q52" s="1081" t="s">
        <v>2137</v>
      </c>
      <c r="R52" s="1081">
        <v>0</v>
      </c>
      <c r="S52" s="1100" t="s">
        <v>2133</v>
      </c>
    </row>
    <row r="53" spans="5:19">
      <c r="E53" s="1093" t="s">
        <v>2136</v>
      </c>
      <c r="F53" s="1080"/>
      <c r="G53" s="1080"/>
      <c r="H53" s="1080" t="s">
        <v>2136</v>
      </c>
      <c r="I53" s="1110">
        <v>210</v>
      </c>
      <c r="J53" s="1080" t="s">
        <v>2146</v>
      </c>
      <c r="K53" s="1080" t="s">
        <v>2136</v>
      </c>
      <c r="L53" s="1109">
        <v>32210513.967999998</v>
      </c>
      <c r="M53" s="1080" t="s">
        <v>2147</v>
      </c>
      <c r="N53" s="1080" t="s">
        <v>2136</v>
      </c>
      <c r="O53" s="1080">
        <v>0</v>
      </c>
      <c r="P53" s="1080"/>
      <c r="Q53" s="1081" t="s">
        <v>2136</v>
      </c>
      <c r="R53" s="1081">
        <v>0</v>
      </c>
      <c r="S53" s="1100" t="s">
        <v>2133</v>
      </c>
    </row>
    <row r="54" spans="5:19">
      <c r="E54" s="1093" t="s">
        <v>2135</v>
      </c>
      <c r="F54" s="1080"/>
      <c r="G54" s="1080"/>
      <c r="H54" s="1080" t="s">
        <v>2135</v>
      </c>
      <c r="I54" s="1108">
        <v>17558952</v>
      </c>
      <c r="J54" s="1080" t="s">
        <v>2146</v>
      </c>
      <c r="K54" s="1080" t="s">
        <v>2135</v>
      </c>
      <c r="L54" s="1080"/>
      <c r="M54" s="1080"/>
      <c r="N54" s="1080" t="s">
        <v>2135</v>
      </c>
      <c r="O54" s="1107">
        <v>44014752.807999998</v>
      </c>
      <c r="P54" s="1080" t="s">
        <v>2147</v>
      </c>
      <c r="Q54" s="1081" t="s">
        <v>2135</v>
      </c>
      <c r="R54" s="1081">
        <v>0</v>
      </c>
      <c r="S54" s="1100" t="s">
        <v>2133</v>
      </c>
    </row>
    <row r="55" spans="5:19">
      <c r="E55" s="1093" t="s">
        <v>2134</v>
      </c>
      <c r="F55" s="1080"/>
      <c r="G55" s="1080"/>
      <c r="H55" s="1080" t="s">
        <v>2134</v>
      </c>
      <c r="I55" s="1080"/>
      <c r="J55" s="1080"/>
      <c r="K55" s="1080" t="s">
        <v>2134</v>
      </c>
      <c r="L55" s="1080"/>
      <c r="M55" s="1080"/>
      <c r="N55" s="1080" t="s">
        <v>2134</v>
      </c>
      <c r="O55" s="1080">
        <v>0</v>
      </c>
      <c r="P55" s="1080"/>
      <c r="Q55" s="1081" t="s">
        <v>2134</v>
      </c>
      <c r="R55" s="1081">
        <v>0</v>
      </c>
      <c r="S55" s="1100" t="s">
        <v>2133</v>
      </c>
    </row>
    <row r="56" spans="5:19">
      <c r="E56" s="1093" t="s">
        <v>2130</v>
      </c>
      <c r="F56" s="1105">
        <v>288269005.34600002</v>
      </c>
      <c r="G56" s="1080" t="s">
        <v>2147</v>
      </c>
      <c r="H56" s="1080" t="s">
        <v>2130</v>
      </c>
      <c r="I56" s="1080"/>
      <c r="J56" s="1080"/>
      <c r="K56" s="1080" t="s">
        <v>2130</v>
      </c>
      <c r="L56" s="1106">
        <v>42669173.431000002</v>
      </c>
      <c r="M56" s="1080" t="s">
        <v>2146</v>
      </c>
      <c r="N56" s="1080" t="s">
        <v>2130</v>
      </c>
      <c r="O56" s="1102">
        <v>123232845.01199999</v>
      </c>
      <c r="P56" s="1080" t="s">
        <v>2147</v>
      </c>
      <c r="Q56" s="1081" t="s">
        <v>2130</v>
      </c>
      <c r="R56" s="1081">
        <v>0</v>
      </c>
      <c r="S56" s="1100" t="s">
        <v>2133</v>
      </c>
    </row>
    <row r="57" spans="5:19">
      <c r="E57" s="1093" t="s">
        <v>2127</v>
      </c>
      <c r="F57" s="1080"/>
      <c r="G57" s="1080"/>
      <c r="H57" s="1080" t="s">
        <v>2127</v>
      </c>
      <c r="I57" s="1105">
        <v>288269006.19599998</v>
      </c>
      <c r="J57" s="1080" t="s">
        <v>2146</v>
      </c>
      <c r="K57" s="1080" t="s">
        <v>2127</v>
      </c>
      <c r="L57" s="1104">
        <v>4915646</v>
      </c>
      <c r="M57" s="1080" t="s">
        <v>2147</v>
      </c>
      <c r="N57" s="1080" t="s">
        <v>2127</v>
      </c>
      <c r="O57" s="1103">
        <v>31166080.675000001</v>
      </c>
      <c r="P57" s="1080" t="s">
        <v>2146</v>
      </c>
      <c r="Q57" s="1081" t="s">
        <v>2127</v>
      </c>
      <c r="R57" s="1081"/>
      <c r="S57" s="1100"/>
    </row>
    <row r="58" spans="5:19">
      <c r="E58" s="1093" t="s">
        <v>2129</v>
      </c>
      <c r="F58" s="1103">
        <v>31166080.675000001</v>
      </c>
      <c r="G58" s="1080" t="s">
        <v>2147</v>
      </c>
      <c r="H58" s="1080" t="s">
        <v>2129</v>
      </c>
      <c r="I58" s="1102">
        <v>123232845.01199999</v>
      </c>
      <c r="J58" s="1080" t="s">
        <v>2146</v>
      </c>
      <c r="K58" s="1080" t="s">
        <v>2129</v>
      </c>
      <c r="L58" s="1101">
        <v>48287504</v>
      </c>
      <c r="M58" s="1080" t="s">
        <v>2147</v>
      </c>
      <c r="N58" s="1080" t="s">
        <v>2129</v>
      </c>
      <c r="O58" s="1080"/>
      <c r="P58" s="1080"/>
      <c r="Q58" s="1081" t="s">
        <v>2129</v>
      </c>
      <c r="R58" s="1081"/>
      <c r="S58" s="1100"/>
    </row>
    <row r="59" spans="5:19" ht="15" thickBot="1">
      <c r="E59" s="1092" t="s">
        <v>2131</v>
      </c>
      <c r="F59" s="1099">
        <v>4915646</v>
      </c>
      <c r="G59" s="1076" t="s">
        <v>2146</v>
      </c>
      <c r="H59" s="1076" t="s">
        <v>2131</v>
      </c>
      <c r="I59" s="1098">
        <v>42669173.431000002</v>
      </c>
      <c r="J59" s="1076" t="s">
        <v>2147</v>
      </c>
      <c r="K59" s="1076" t="s">
        <v>2131</v>
      </c>
      <c r="L59" s="1076"/>
      <c r="M59" s="1076"/>
      <c r="N59" s="1076" t="s">
        <v>2131</v>
      </c>
      <c r="O59" s="1097">
        <v>48287504</v>
      </c>
      <c r="P59" s="1076" t="s">
        <v>2146</v>
      </c>
      <c r="Q59" s="1096" t="s">
        <v>2131</v>
      </c>
      <c r="R59" s="1096"/>
      <c r="S59" s="1095"/>
    </row>
    <row r="61" spans="5:19" ht="15" thickBot="1">
      <c r="E61" s="1090" t="s">
        <v>2145</v>
      </c>
    </row>
    <row r="62" spans="5:19">
      <c r="E62" s="1193" t="s">
        <v>2144</v>
      </c>
      <c r="F62" s="1194"/>
      <c r="G62" s="1194"/>
      <c r="H62" s="1194"/>
      <c r="I62" s="1194"/>
      <c r="J62" s="1194"/>
      <c r="K62" s="1194"/>
      <c r="L62" s="1194"/>
      <c r="M62" s="1194"/>
      <c r="N62" s="1194"/>
      <c r="O62" s="1194"/>
      <c r="P62" s="1194"/>
      <c r="Q62" s="1194"/>
      <c r="R62" s="1194"/>
      <c r="S62" s="1195"/>
    </row>
    <row r="63" spans="5:19">
      <c r="E63" s="1196" t="s">
        <v>621</v>
      </c>
      <c r="F63" s="1197"/>
      <c r="G63" s="1197"/>
      <c r="H63" s="1197" t="s">
        <v>1325</v>
      </c>
      <c r="I63" s="1197"/>
      <c r="J63" s="1197"/>
      <c r="K63" s="1197" t="s">
        <v>625</v>
      </c>
      <c r="L63" s="1197"/>
      <c r="M63" s="1197"/>
      <c r="N63" s="1197" t="s">
        <v>622</v>
      </c>
      <c r="O63" s="1197"/>
      <c r="P63" s="1094"/>
      <c r="Q63" s="1197" t="s">
        <v>1326</v>
      </c>
      <c r="R63" s="1197"/>
      <c r="S63" s="1198"/>
    </row>
    <row r="64" spans="5:19">
      <c r="E64" s="1088" t="s">
        <v>2139</v>
      </c>
      <c r="F64" s="1087" t="s">
        <v>617</v>
      </c>
      <c r="G64" s="1079"/>
      <c r="H64" s="1087" t="s">
        <v>2139</v>
      </c>
      <c r="I64" s="1087" t="s">
        <v>617</v>
      </c>
      <c r="J64" s="1079"/>
      <c r="K64" s="1087" t="s">
        <v>2139</v>
      </c>
      <c r="L64" s="1087" t="s">
        <v>617</v>
      </c>
      <c r="M64" s="1079"/>
      <c r="N64" s="1087" t="s">
        <v>2139</v>
      </c>
      <c r="O64" s="1087" t="s">
        <v>617</v>
      </c>
      <c r="P64" s="1079"/>
      <c r="Q64" s="1087" t="s">
        <v>2139</v>
      </c>
      <c r="R64" s="1087" t="s">
        <v>617</v>
      </c>
      <c r="S64" s="1078"/>
    </row>
    <row r="65" spans="5:19">
      <c r="E65" s="1093" t="s">
        <v>2138</v>
      </c>
      <c r="F65" s="1080"/>
      <c r="G65" s="1080"/>
      <c r="H65" s="1080" t="s">
        <v>2138</v>
      </c>
      <c r="I65" s="1080"/>
      <c r="J65" s="1080"/>
      <c r="K65" s="1080" t="s">
        <v>2138</v>
      </c>
      <c r="L65" s="1080"/>
      <c r="M65" s="1080"/>
      <c r="N65" s="1080" t="s">
        <v>2138</v>
      </c>
      <c r="O65" s="1080"/>
      <c r="P65" s="1080"/>
      <c r="Q65" s="1080" t="s">
        <v>2138</v>
      </c>
      <c r="R65" s="1080">
        <v>0</v>
      </c>
      <c r="S65" s="1084" t="s">
        <v>2141</v>
      </c>
    </row>
    <row r="66" spans="5:19">
      <c r="E66" s="1093" t="s">
        <v>2137</v>
      </c>
      <c r="F66" s="1080"/>
      <c r="G66" s="1080"/>
      <c r="H66" s="1080" t="s">
        <v>2137</v>
      </c>
      <c r="I66" s="1080"/>
      <c r="J66" s="1080"/>
      <c r="K66" s="1080" t="s">
        <v>2137</v>
      </c>
      <c r="L66" s="1080"/>
      <c r="M66" s="1080"/>
      <c r="N66" s="1080" t="s">
        <v>2137</v>
      </c>
      <c r="O66" s="1080"/>
      <c r="P66" s="1080"/>
      <c r="Q66" s="1080" t="s">
        <v>2137</v>
      </c>
      <c r="R66" s="1080">
        <v>0</v>
      </c>
      <c r="S66" s="1084" t="s">
        <v>2141</v>
      </c>
    </row>
    <row r="67" spans="5:19">
      <c r="E67" s="1093" t="s">
        <v>2136</v>
      </c>
      <c r="F67" s="1080"/>
      <c r="G67" s="1080"/>
      <c r="H67" s="1080" t="s">
        <v>2136</v>
      </c>
      <c r="I67" s="1080"/>
      <c r="J67" s="1080"/>
      <c r="K67" s="1080" t="s">
        <v>2136</v>
      </c>
      <c r="L67" s="1080"/>
      <c r="M67" s="1080"/>
      <c r="N67" s="1080" t="s">
        <v>2136</v>
      </c>
      <c r="O67" s="1080"/>
      <c r="P67" s="1080"/>
      <c r="Q67" s="1080" t="s">
        <v>2136</v>
      </c>
      <c r="R67" s="1080">
        <v>0</v>
      </c>
      <c r="S67" s="1084" t="s">
        <v>2141</v>
      </c>
    </row>
    <row r="68" spans="5:19">
      <c r="E68" s="1093" t="s">
        <v>2135</v>
      </c>
      <c r="F68" s="1080"/>
      <c r="G68" s="1080"/>
      <c r="H68" s="1080" t="s">
        <v>2135</v>
      </c>
      <c r="I68" s="1080"/>
      <c r="J68" s="1080"/>
      <c r="K68" s="1080" t="s">
        <v>2135</v>
      </c>
      <c r="L68" s="1080"/>
      <c r="M68" s="1080"/>
      <c r="N68" s="1080" t="s">
        <v>2135</v>
      </c>
      <c r="O68" s="1080"/>
      <c r="P68" s="1080"/>
      <c r="Q68" s="1080" t="s">
        <v>2135</v>
      </c>
      <c r="R68" s="1080">
        <v>0</v>
      </c>
      <c r="S68" s="1084" t="s">
        <v>2141</v>
      </c>
    </row>
    <row r="69" spans="5:19">
      <c r="E69" s="1093" t="s">
        <v>2134</v>
      </c>
      <c r="F69" s="1080"/>
      <c r="G69" s="1080"/>
      <c r="H69" s="1080" t="s">
        <v>2134</v>
      </c>
      <c r="I69" s="1080"/>
      <c r="J69" s="1080"/>
      <c r="K69" s="1080" t="s">
        <v>2134</v>
      </c>
      <c r="L69" s="1080"/>
      <c r="M69" s="1080"/>
      <c r="N69" s="1080" t="s">
        <v>2134</v>
      </c>
      <c r="O69" s="1080"/>
      <c r="P69" s="1080"/>
      <c r="Q69" s="1080" t="s">
        <v>2134</v>
      </c>
      <c r="R69" s="1080">
        <v>0</v>
      </c>
      <c r="S69" s="1084" t="s">
        <v>2141</v>
      </c>
    </row>
    <row r="70" spans="5:19">
      <c r="E70" s="1093" t="s">
        <v>2142</v>
      </c>
      <c r="F70" s="1080"/>
      <c r="G70" s="1080"/>
      <c r="H70" s="1080" t="s">
        <v>2130</v>
      </c>
      <c r="I70" s="1080"/>
      <c r="J70" s="1080"/>
      <c r="K70" s="1080" t="s">
        <v>2143</v>
      </c>
      <c r="L70" s="1080"/>
      <c r="M70" s="1080"/>
      <c r="N70" s="1080" t="s">
        <v>2130</v>
      </c>
      <c r="O70" s="1080"/>
      <c r="P70" s="1080"/>
      <c r="Q70" s="1080" t="s">
        <v>2143</v>
      </c>
      <c r="R70" s="1080">
        <v>0</v>
      </c>
      <c r="S70" s="1084" t="s">
        <v>2141</v>
      </c>
    </row>
    <row r="71" spans="5:19">
      <c r="E71" s="1093" t="s">
        <v>2142</v>
      </c>
      <c r="F71" s="1080"/>
      <c r="G71" s="1080"/>
      <c r="H71" s="1080"/>
      <c r="I71" s="1080"/>
      <c r="J71" s="1080"/>
      <c r="K71" s="1080"/>
      <c r="L71" s="1080"/>
      <c r="M71" s="1080"/>
      <c r="N71" s="1080" t="s">
        <v>2130</v>
      </c>
      <c r="O71" s="1080"/>
      <c r="P71" s="1080"/>
      <c r="Q71" s="1080"/>
      <c r="R71" s="1080">
        <v>0</v>
      </c>
      <c r="S71" s="1084" t="s">
        <v>2141</v>
      </c>
    </row>
    <row r="72" spans="5:19">
      <c r="E72" s="1093" t="s">
        <v>2127</v>
      </c>
      <c r="F72" s="1080"/>
      <c r="G72" s="1080"/>
      <c r="H72" s="1080" t="s">
        <v>2127</v>
      </c>
      <c r="I72" s="1080"/>
      <c r="J72" s="1080"/>
      <c r="K72" s="1080" t="s">
        <v>2127</v>
      </c>
      <c r="L72" s="1080"/>
      <c r="M72" s="1080"/>
      <c r="N72" s="1080" t="s">
        <v>2127</v>
      </c>
      <c r="O72" s="1080"/>
      <c r="P72" s="1080"/>
      <c r="Q72" s="1080" t="s">
        <v>2127</v>
      </c>
      <c r="R72" s="1080">
        <v>0</v>
      </c>
      <c r="S72" s="1084" t="s">
        <v>2141</v>
      </c>
    </row>
    <row r="73" spans="5:19">
      <c r="E73" s="1093" t="s">
        <v>2129</v>
      </c>
      <c r="F73" s="1080"/>
      <c r="G73" s="1080"/>
      <c r="H73" s="1080" t="s">
        <v>2129</v>
      </c>
      <c r="I73" s="1080"/>
      <c r="J73" s="1080"/>
      <c r="K73" s="1080" t="s">
        <v>2129</v>
      </c>
      <c r="L73" s="1080"/>
      <c r="M73" s="1080"/>
      <c r="N73" s="1080" t="s">
        <v>2129</v>
      </c>
      <c r="O73" s="1080"/>
      <c r="P73" s="1080"/>
      <c r="Q73" s="1080" t="s">
        <v>2129</v>
      </c>
      <c r="R73" s="1080">
        <v>0</v>
      </c>
      <c r="S73" s="1084" t="s">
        <v>2141</v>
      </c>
    </row>
    <row r="74" spans="5:19" ht="15" thickBot="1">
      <c r="E74" s="1092" t="s">
        <v>2131</v>
      </c>
      <c r="F74" s="1076"/>
      <c r="G74" s="1076"/>
      <c r="H74" s="1076" t="s">
        <v>2131</v>
      </c>
      <c r="I74" s="1076"/>
      <c r="J74" s="1076"/>
      <c r="K74" s="1076" t="s">
        <v>2131</v>
      </c>
      <c r="L74" s="1076"/>
      <c r="M74" s="1076"/>
      <c r="N74" s="1076" t="s">
        <v>2131</v>
      </c>
      <c r="O74" s="1076"/>
      <c r="P74" s="1076"/>
      <c r="Q74" s="1076" t="s">
        <v>2131</v>
      </c>
      <c r="R74" s="1076">
        <v>0</v>
      </c>
      <c r="S74" s="1091" t="s">
        <v>2141</v>
      </c>
    </row>
    <row r="75" spans="5:19" ht="15" thickBot="1">
      <c r="E75" s="1089"/>
      <c r="F75" s="1089"/>
      <c r="G75" s="1089"/>
      <c r="H75" s="1089"/>
      <c r="I75" s="1089"/>
      <c r="J75" s="1089"/>
      <c r="K75" s="1089"/>
      <c r="L75" s="1089"/>
      <c r="M75" s="1089"/>
      <c r="N75" s="1089"/>
      <c r="O75" s="1089"/>
      <c r="P75" s="1090"/>
      <c r="Q75" s="1089"/>
      <c r="R75" s="1089"/>
      <c r="S75" s="1089"/>
    </row>
    <row r="76" spans="5:19">
      <c r="E76" s="1193" t="s">
        <v>2140</v>
      </c>
      <c r="F76" s="1194"/>
      <c r="G76" s="1194"/>
      <c r="H76" s="1194"/>
      <c r="I76" s="1194"/>
      <c r="J76" s="1194"/>
      <c r="K76" s="1194"/>
      <c r="L76" s="1194"/>
      <c r="M76" s="1194"/>
      <c r="N76" s="1194"/>
      <c r="O76" s="1194"/>
      <c r="P76" s="1194"/>
      <c r="Q76" s="1194"/>
      <c r="R76" s="1194"/>
      <c r="S76" s="1195"/>
    </row>
    <row r="77" spans="5:19">
      <c r="E77" s="1196" t="s">
        <v>621</v>
      </c>
      <c r="F77" s="1197"/>
      <c r="G77" s="1197"/>
      <c r="H77" s="1197" t="s">
        <v>1325</v>
      </c>
      <c r="I77" s="1197"/>
      <c r="J77" s="1197"/>
      <c r="K77" s="1197" t="s">
        <v>625</v>
      </c>
      <c r="L77" s="1197"/>
      <c r="M77" s="1197"/>
      <c r="N77" s="1202" t="s">
        <v>622</v>
      </c>
      <c r="O77" s="1203"/>
      <c r="P77" s="1204"/>
      <c r="Q77" s="1197" t="s">
        <v>1326</v>
      </c>
      <c r="R77" s="1197"/>
      <c r="S77" s="1198"/>
    </row>
    <row r="78" spans="5:19">
      <c r="E78" s="1088" t="s">
        <v>2139</v>
      </c>
      <c r="F78" s="1087" t="s">
        <v>617</v>
      </c>
      <c r="G78" s="1079"/>
      <c r="H78" s="1087" t="s">
        <v>2139</v>
      </c>
      <c r="I78" s="1087" t="s">
        <v>617</v>
      </c>
      <c r="J78" s="1079"/>
      <c r="K78" s="1087" t="s">
        <v>2139</v>
      </c>
      <c r="L78" s="1087" t="s">
        <v>617</v>
      </c>
      <c r="M78" s="1079"/>
      <c r="N78" s="1087" t="s">
        <v>2139</v>
      </c>
      <c r="O78" s="1087" t="s">
        <v>617</v>
      </c>
      <c r="P78" s="1079"/>
      <c r="Q78" s="1087" t="s">
        <v>2139</v>
      </c>
      <c r="R78" s="1087" t="s">
        <v>617</v>
      </c>
      <c r="S78" s="1078"/>
    </row>
    <row r="79" spans="5:19">
      <c r="E79" s="1083" t="s">
        <v>2138</v>
      </c>
      <c r="F79" s="1080"/>
      <c r="G79" s="1080"/>
      <c r="H79" s="1080" t="s">
        <v>2138</v>
      </c>
      <c r="I79" s="1080"/>
      <c r="J79" s="1080"/>
      <c r="K79" s="1080" t="s">
        <v>2138</v>
      </c>
      <c r="L79" s="1080"/>
      <c r="M79" s="1080"/>
      <c r="N79" s="1080" t="s">
        <v>2138</v>
      </c>
      <c r="O79" s="1080"/>
      <c r="P79" s="1080"/>
      <c r="Q79" s="1080" t="s">
        <v>2138</v>
      </c>
      <c r="R79" s="1080">
        <v>0</v>
      </c>
      <c r="S79" s="1084" t="s">
        <v>2133</v>
      </c>
    </row>
    <row r="80" spans="5:19">
      <c r="E80" s="1083"/>
      <c r="F80" s="1080"/>
      <c r="G80" s="1080"/>
      <c r="H80" s="1080" t="s">
        <v>2138</v>
      </c>
      <c r="I80" s="1080"/>
      <c r="J80" s="1080"/>
      <c r="K80" s="1080"/>
      <c r="L80" s="1080"/>
      <c r="M80" s="1080"/>
      <c r="N80" s="1080"/>
      <c r="O80" s="1080"/>
      <c r="P80" s="1080"/>
      <c r="Q80" s="1080"/>
      <c r="R80" s="1080"/>
      <c r="S80" s="1084"/>
    </row>
    <row r="81" spans="5:21">
      <c r="E81" s="1083" t="s">
        <v>2137</v>
      </c>
      <c r="F81" s="1080"/>
      <c r="G81" s="1080"/>
      <c r="H81" s="1080" t="s">
        <v>2137</v>
      </c>
      <c r="I81" s="1080"/>
      <c r="J81" s="1080"/>
      <c r="K81" s="1080" t="s">
        <v>2137</v>
      </c>
      <c r="L81" s="1080"/>
      <c r="M81" s="1080"/>
      <c r="N81" s="1080" t="s">
        <v>2137</v>
      </c>
      <c r="O81" s="1080"/>
      <c r="P81" s="1080"/>
      <c r="Q81" s="1080" t="s">
        <v>2137</v>
      </c>
      <c r="R81" s="1080">
        <v>0</v>
      </c>
      <c r="S81" s="1084" t="s">
        <v>2133</v>
      </c>
    </row>
    <row r="82" spans="5:21">
      <c r="E82" s="1083" t="s">
        <v>2136</v>
      </c>
      <c r="F82" s="1080"/>
      <c r="G82" s="1080"/>
      <c r="H82" s="1080" t="s">
        <v>2136</v>
      </c>
      <c r="I82" s="1080"/>
      <c r="J82" s="1080"/>
      <c r="K82" s="1080" t="s">
        <v>2136</v>
      </c>
      <c r="L82" s="1080"/>
      <c r="M82" s="1080"/>
      <c r="N82" s="1080" t="s">
        <v>2136</v>
      </c>
      <c r="O82" s="1080"/>
      <c r="P82" s="1080"/>
      <c r="Q82" s="1080" t="s">
        <v>2136</v>
      </c>
      <c r="R82" s="1080">
        <v>0</v>
      </c>
      <c r="S82" s="1084" t="s">
        <v>2133</v>
      </c>
    </row>
    <row r="83" spans="5:21">
      <c r="E83" s="1083" t="s">
        <v>2135</v>
      </c>
      <c r="F83" s="1080"/>
      <c r="G83" s="1080"/>
      <c r="H83" s="1080" t="s">
        <v>2135</v>
      </c>
      <c r="I83" s="1080"/>
      <c r="J83" s="1080"/>
      <c r="K83" s="1080" t="s">
        <v>2135</v>
      </c>
      <c r="L83" s="1080"/>
      <c r="M83" s="1080"/>
      <c r="N83" s="1080" t="s">
        <v>2135</v>
      </c>
      <c r="O83" s="1080"/>
      <c r="P83" s="1080"/>
      <c r="Q83" s="1080" t="s">
        <v>2135</v>
      </c>
      <c r="R83" s="1080">
        <v>0</v>
      </c>
      <c r="S83" s="1084" t="s">
        <v>2133</v>
      </c>
    </row>
    <row r="84" spans="5:21">
      <c r="E84" s="1083"/>
      <c r="F84" s="1080"/>
      <c r="G84" s="1080"/>
      <c r="H84" s="1080" t="s">
        <v>2135</v>
      </c>
      <c r="I84" s="1080"/>
      <c r="J84" s="1080"/>
      <c r="K84" s="1080"/>
      <c r="L84" s="1080"/>
      <c r="M84" s="1080"/>
      <c r="N84" s="1080"/>
      <c r="O84" s="1080"/>
      <c r="P84" s="1080"/>
      <c r="Q84" s="1080"/>
      <c r="R84" s="1080"/>
      <c r="S84" s="1084"/>
      <c r="U84" s="1086"/>
    </row>
    <row r="85" spans="5:21">
      <c r="E85" s="1083" t="s">
        <v>2134</v>
      </c>
      <c r="F85" s="1080"/>
      <c r="G85" s="1080"/>
      <c r="H85" s="1080" t="s">
        <v>2134</v>
      </c>
      <c r="I85" s="1080"/>
      <c r="J85" s="1080"/>
      <c r="K85" s="1080" t="s">
        <v>2134</v>
      </c>
      <c r="L85" s="1080"/>
      <c r="M85" s="1080"/>
      <c r="N85" s="1080" t="s">
        <v>2134</v>
      </c>
      <c r="O85" s="1080"/>
      <c r="P85" s="1080"/>
      <c r="Q85" s="1080" t="s">
        <v>2134</v>
      </c>
      <c r="R85" s="1080">
        <v>0</v>
      </c>
      <c r="S85" s="1084" t="s">
        <v>2133</v>
      </c>
    </row>
    <row r="86" spans="5:21">
      <c r="E86" s="1083" t="s">
        <v>2130</v>
      </c>
      <c r="F86" s="1080"/>
      <c r="G86" s="1080"/>
      <c r="H86" s="1080" t="s">
        <v>2130</v>
      </c>
      <c r="I86" s="1080"/>
      <c r="J86" s="1080"/>
      <c r="K86" s="1080" t="s">
        <v>2130</v>
      </c>
      <c r="L86" s="1080"/>
      <c r="M86" s="1080"/>
      <c r="N86" s="1080" t="s">
        <v>2130</v>
      </c>
      <c r="O86" s="1080"/>
      <c r="P86" s="1080"/>
      <c r="Q86" s="1080" t="s">
        <v>2130</v>
      </c>
      <c r="R86" s="1080">
        <v>0</v>
      </c>
      <c r="S86" s="1084" t="s">
        <v>2133</v>
      </c>
    </row>
    <row r="87" spans="5:21">
      <c r="E87" s="1083" t="s">
        <v>2127</v>
      </c>
      <c r="F87" s="1080"/>
      <c r="G87" s="1080"/>
      <c r="H87" s="1080" t="s">
        <v>2127</v>
      </c>
      <c r="I87" s="1080"/>
      <c r="J87" s="1080"/>
      <c r="K87" s="1080" t="s">
        <v>2127</v>
      </c>
      <c r="L87" s="1080"/>
      <c r="M87" s="1080"/>
      <c r="N87" s="1080" t="s">
        <v>2127</v>
      </c>
      <c r="O87" s="1081">
        <v>28009648</v>
      </c>
      <c r="P87" s="1080" t="s">
        <v>2132</v>
      </c>
      <c r="Q87" s="1080" t="s">
        <v>2127</v>
      </c>
      <c r="R87" s="1080"/>
      <c r="S87" s="1084"/>
    </row>
    <row r="88" spans="5:21">
      <c r="E88" s="1083" t="s">
        <v>2129</v>
      </c>
      <c r="F88" s="1081">
        <v>28009648</v>
      </c>
      <c r="G88" s="1080" t="s">
        <v>2128</v>
      </c>
      <c r="H88" s="1080" t="s">
        <v>2129</v>
      </c>
      <c r="I88" s="1080"/>
      <c r="J88" s="1080"/>
      <c r="K88" s="1080" t="s">
        <v>2129</v>
      </c>
      <c r="L88" s="1085">
        <v>30429283.600000001</v>
      </c>
      <c r="M88" s="1080" t="s">
        <v>2128</v>
      </c>
      <c r="N88" s="1080" t="s">
        <v>2129</v>
      </c>
      <c r="O88" s="1080"/>
      <c r="P88" s="1080"/>
      <c r="Q88" s="1080" t="s">
        <v>2129</v>
      </c>
      <c r="R88" s="1080"/>
      <c r="S88" s="1084"/>
    </row>
    <row r="89" spans="5:21">
      <c r="E89" s="1083" t="s">
        <v>2131</v>
      </c>
      <c r="F89" s="1080"/>
      <c r="G89" s="1080"/>
      <c r="H89" s="1080" t="s">
        <v>2131</v>
      </c>
      <c r="I89" s="1080"/>
      <c r="J89" s="1080"/>
      <c r="K89" s="1080" t="s">
        <v>2131</v>
      </c>
      <c r="L89" s="1080"/>
      <c r="M89" s="1080"/>
      <c r="N89" s="1080" t="s">
        <v>2131</v>
      </c>
      <c r="O89" s="1085">
        <v>30429283.600000001</v>
      </c>
      <c r="P89" s="1080" t="s">
        <v>2132</v>
      </c>
      <c r="Q89" s="1080" t="s">
        <v>2131</v>
      </c>
      <c r="R89" s="1080"/>
      <c r="S89" s="1084"/>
    </row>
    <row r="90" spans="5:21">
      <c r="E90" s="1083" t="s">
        <v>2130</v>
      </c>
      <c r="F90" s="1081">
        <v>8577</v>
      </c>
      <c r="G90" s="1079" t="s">
        <v>2132</v>
      </c>
      <c r="H90" s="1080" t="s">
        <v>2131</v>
      </c>
      <c r="I90" s="1080"/>
      <c r="J90" s="1080"/>
      <c r="K90" s="1080" t="s">
        <v>2130</v>
      </c>
      <c r="L90" s="1080"/>
      <c r="M90" s="1079"/>
      <c r="N90" s="1080" t="s">
        <v>2130</v>
      </c>
      <c r="O90" s="1080"/>
      <c r="P90" s="1079"/>
      <c r="Q90" s="1079"/>
      <c r="R90" s="1079"/>
      <c r="S90" s="1078"/>
    </row>
    <row r="91" spans="5:21">
      <c r="E91" s="1083" t="s">
        <v>2130</v>
      </c>
      <c r="F91" s="1080"/>
      <c r="G91" s="1079"/>
      <c r="H91" s="1080" t="s">
        <v>2129</v>
      </c>
      <c r="I91" s="1080"/>
      <c r="J91" s="1080"/>
      <c r="K91" s="1079"/>
      <c r="L91" s="1079"/>
      <c r="M91" s="1079"/>
      <c r="N91" s="1079"/>
      <c r="O91" s="1079"/>
      <c r="P91" s="1079"/>
      <c r="Q91" s="1079"/>
      <c r="R91" s="1079"/>
      <c r="S91" s="1078"/>
    </row>
    <row r="92" spans="5:21">
      <c r="E92" s="1082"/>
      <c r="F92" s="1079"/>
      <c r="G92" s="1079"/>
      <c r="H92" s="1080" t="s">
        <v>2127</v>
      </c>
      <c r="I92" s="1081">
        <v>8577</v>
      </c>
      <c r="J92" s="1080" t="s">
        <v>2128</v>
      </c>
      <c r="K92" s="1079"/>
      <c r="L92" s="1079"/>
      <c r="M92" s="1079"/>
      <c r="N92" s="1079"/>
      <c r="O92" s="1079"/>
      <c r="P92" s="1079"/>
      <c r="Q92" s="1079"/>
      <c r="R92" s="1079"/>
      <c r="S92" s="1078"/>
    </row>
    <row r="93" spans="5:21" ht="15" thickBot="1">
      <c r="E93" s="1077"/>
      <c r="F93" s="1075"/>
      <c r="G93" s="1075"/>
      <c r="H93" s="1076" t="s">
        <v>2127</v>
      </c>
      <c r="I93" s="1076"/>
      <c r="J93" s="1076"/>
      <c r="K93" s="1075"/>
      <c r="L93" s="1075"/>
      <c r="M93" s="1075"/>
      <c r="N93" s="1075"/>
      <c r="O93" s="1075"/>
      <c r="P93" s="1075"/>
      <c r="Q93" s="1075"/>
      <c r="R93" s="1075"/>
      <c r="S93" s="1074"/>
    </row>
  </sheetData>
  <mergeCells count="37">
    <mergeCell ref="E76:S76"/>
    <mergeCell ref="E77:G77"/>
    <mergeCell ref="H77:J77"/>
    <mergeCell ref="K77:M77"/>
    <mergeCell ref="Q77:S77"/>
    <mergeCell ref="N77:P77"/>
    <mergeCell ref="E62:S62"/>
    <mergeCell ref="E63:G63"/>
    <mergeCell ref="H63:J63"/>
    <mergeCell ref="K63:M63"/>
    <mergeCell ref="N63:O63"/>
    <mergeCell ref="Q63:S63"/>
    <mergeCell ref="E48:S48"/>
    <mergeCell ref="E49:G49"/>
    <mergeCell ref="H49:J49"/>
    <mergeCell ref="K49:M49"/>
    <mergeCell ref="Q49:S49"/>
    <mergeCell ref="N49:P49"/>
    <mergeCell ref="E33:S33"/>
    <mergeCell ref="E34:G34"/>
    <mergeCell ref="H34:J34"/>
    <mergeCell ref="K34:M34"/>
    <mergeCell ref="N34:O34"/>
    <mergeCell ref="Q34:S34"/>
    <mergeCell ref="E17:S17"/>
    <mergeCell ref="E18:G18"/>
    <mergeCell ref="H18:J18"/>
    <mergeCell ref="K18:M18"/>
    <mergeCell ref="Q18:S18"/>
    <mergeCell ref="N18:P18"/>
    <mergeCell ref="Q3:S3"/>
    <mergeCell ref="E2:S2"/>
    <mergeCell ref="A2:C3"/>
    <mergeCell ref="N3:O3"/>
    <mergeCell ref="E3:G3"/>
    <mergeCell ref="H3:J3"/>
    <mergeCell ref="K3:M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0A9-54B6-4EEE-B1DC-EE1859419B20}">
  <sheetPr>
    <tabColor rgb="FF92D050"/>
  </sheetPr>
  <dimension ref="C4:F9"/>
  <sheetViews>
    <sheetView workbookViewId="0">
      <selection activeCell="E9" sqref="E9"/>
    </sheetView>
  </sheetViews>
  <sheetFormatPr defaultRowHeight="14.5"/>
  <cols>
    <col min="3" max="3" width="25.81640625" customWidth="1"/>
    <col min="4" max="4" width="21.7265625" customWidth="1"/>
    <col min="5" max="5" width="23.1796875" customWidth="1"/>
    <col min="6" max="6" width="15.81640625" bestFit="1" customWidth="1"/>
  </cols>
  <sheetData>
    <row r="4" spans="3:6">
      <c r="D4" t="s">
        <v>2023</v>
      </c>
      <c r="E4" t="s">
        <v>2024</v>
      </c>
      <c r="F4" t="s">
        <v>194</v>
      </c>
    </row>
    <row r="5" spans="3:6">
      <c r="C5" t="s">
        <v>2025</v>
      </c>
      <c r="D5" s="830">
        <f>F5-E5</f>
        <v>13797658</v>
      </c>
      <c r="E5" s="41">
        <v>335998096</v>
      </c>
      <c r="F5" s="41">
        <v>349795754</v>
      </c>
    </row>
    <row r="6" spans="3:6">
      <c r="C6" t="s">
        <v>2026</v>
      </c>
      <c r="D6" s="830">
        <f>F6-E6</f>
        <v>305841</v>
      </c>
      <c r="E6" s="41">
        <v>1523584</v>
      </c>
      <c r="F6" s="41">
        <v>1829425</v>
      </c>
    </row>
    <row r="7" spans="3:6">
      <c r="C7" t="s">
        <v>2027</v>
      </c>
      <c r="D7" s="830">
        <f>F7-E7</f>
        <v>218877.27999999997</v>
      </c>
      <c r="E7" s="41">
        <v>257930.38</v>
      </c>
      <c r="F7" s="41">
        <v>476807.66</v>
      </c>
    </row>
    <row r="8" spans="3:6">
      <c r="C8" t="s">
        <v>2037</v>
      </c>
      <c r="D8" s="41">
        <v>-695756.09</v>
      </c>
      <c r="E8" s="41">
        <f>F8-D8</f>
        <v>-7165235.6600000001</v>
      </c>
      <c r="F8" s="41">
        <v>-7860991.75</v>
      </c>
    </row>
    <row r="9" spans="3:6">
      <c r="C9" t="s">
        <v>194</v>
      </c>
      <c r="D9" s="830">
        <f>SUM(D5:D8)</f>
        <v>13626620.189999999</v>
      </c>
      <c r="E9" s="830">
        <f>SUM(E5:E8)</f>
        <v>330614374.71999997</v>
      </c>
      <c r="F9" s="830">
        <f>SUM(F5:F8)</f>
        <v>344240994.91000003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274DB-0563-4193-8D35-A9DDEB6165FC}">
  <sheetPr>
    <tabColor rgb="FF92D050"/>
  </sheetPr>
  <dimension ref="D3:S18"/>
  <sheetViews>
    <sheetView workbookViewId="0">
      <selection activeCell="E17" sqref="E17"/>
    </sheetView>
  </sheetViews>
  <sheetFormatPr defaultRowHeight="14.5"/>
  <cols>
    <col min="4" max="4" width="23.1796875" bestFit="1" customWidth="1"/>
    <col min="5" max="5" width="19.453125" customWidth="1"/>
    <col min="7" max="7" width="23.81640625" customWidth="1"/>
    <col min="8" max="8" width="15.1796875" customWidth="1"/>
    <col min="10" max="10" width="23.1796875" bestFit="1" customWidth="1"/>
    <col min="11" max="11" width="12.1796875" bestFit="1" customWidth="1"/>
    <col min="13" max="13" width="23.1796875" bestFit="1" customWidth="1"/>
    <col min="14" max="14" width="15.81640625" bestFit="1" customWidth="1"/>
    <col min="15" max="15" width="24.7265625" customWidth="1"/>
    <col min="16" max="18" width="30.1796875" customWidth="1"/>
    <col min="19" max="19" width="15.26953125" bestFit="1" customWidth="1"/>
  </cols>
  <sheetData>
    <row r="3" spans="4:19">
      <c r="H3" s="830"/>
    </row>
    <row r="5" spans="4:19">
      <c r="E5" t="s">
        <v>2033</v>
      </c>
      <c r="G5" t="s">
        <v>622</v>
      </c>
      <c r="J5" t="s">
        <v>625</v>
      </c>
      <c r="M5" t="s">
        <v>1327</v>
      </c>
      <c r="P5" t="s">
        <v>1925</v>
      </c>
      <c r="S5" t="s">
        <v>194</v>
      </c>
    </row>
    <row r="7" spans="4:19">
      <c r="D7" t="s">
        <v>2028</v>
      </c>
      <c r="E7" t="s">
        <v>2029</v>
      </c>
      <c r="G7" t="s">
        <v>2028</v>
      </c>
      <c r="H7" t="s">
        <v>617</v>
      </c>
      <c r="J7" t="s">
        <v>2028</v>
      </c>
      <c r="K7" t="s">
        <v>617</v>
      </c>
      <c r="M7" t="s">
        <v>2028</v>
      </c>
      <c r="N7" t="s">
        <v>617</v>
      </c>
      <c r="P7" t="s">
        <v>2034</v>
      </c>
      <c r="Q7" t="s">
        <v>617</v>
      </c>
    </row>
    <row r="8" spans="4:19">
      <c r="D8" t="s">
        <v>2030</v>
      </c>
      <c r="E8" s="41">
        <v>37255308.799999997</v>
      </c>
      <c r="G8" t="s">
        <v>2030</v>
      </c>
      <c r="H8" s="41">
        <v>33415945</v>
      </c>
      <c r="J8" t="s">
        <v>2030</v>
      </c>
      <c r="K8" s="41">
        <v>245527.3</v>
      </c>
      <c r="M8" t="s">
        <v>2030</v>
      </c>
      <c r="N8" s="41">
        <v>281760389.61000001</v>
      </c>
      <c r="O8" s="41"/>
      <c r="P8" t="s">
        <v>2030</v>
      </c>
      <c r="Q8" s="41">
        <v>342680872</v>
      </c>
      <c r="R8" s="41"/>
      <c r="S8" s="830">
        <f>+E8+H8+K8+N8+Q8</f>
        <v>695358042.71000004</v>
      </c>
    </row>
    <row r="9" spans="4:19">
      <c r="D9" t="s">
        <v>2031</v>
      </c>
      <c r="E9" s="41">
        <v>285400</v>
      </c>
      <c r="G9" t="s">
        <v>2031</v>
      </c>
      <c r="H9" s="41">
        <v>4484</v>
      </c>
      <c r="J9" t="s">
        <v>2031</v>
      </c>
      <c r="M9" t="s">
        <v>2031</v>
      </c>
      <c r="N9" s="41">
        <v>4686892</v>
      </c>
      <c r="O9" s="41"/>
      <c r="P9" t="s">
        <v>2031</v>
      </c>
      <c r="Q9" s="41">
        <v>1315</v>
      </c>
      <c r="R9" s="41"/>
      <c r="S9" s="830">
        <f t="shared" ref="S9:S12" si="0">+E9+H9+K9+N9+Q9</f>
        <v>4978091</v>
      </c>
    </row>
    <row r="10" spans="4:19">
      <c r="D10" t="s">
        <v>342</v>
      </c>
      <c r="E10" s="41">
        <f>3349358.2-E11</f>
        <v>2699639.2</v>
      </c>
      <c r="G10" t="s">
        <v>2035</v>
      </c>
      <c r="H10" s="41">
        <f>85396729.385-H11</f>
        <v>83314061.385000005</v>
      </c>
      <c r="J10" t="s">
        <v>342</v>
      </c>
      <c r="K10" s="41">
        <v>26421</v>
      </c>
      <c r="M10" t="s">
        <v>342</v>
      </c>
      <c r="N10" s="41">
        <f>560408449.083-N11</f>
        <v>516796032.08299994</v>
      </c>
      <c r="O10" s="41"/>
      <c r="P10" t="s">
        <v>342</v>
      </c>
      <c r="Q10" s="41"/>
      <c r="R10" s="41"/>
      <c r="S10" s="830">
        <f t="shared" si="0"/>
        <v>602836153.66799998</v>
      </c>
    </row>
    <row r="11" spans="4:19">
      <c r="D11" t="s">
        <v>2036</v>
      </c>
      <c r="E11" s="41">
        <v>649719</v>
      </c>
      <c r="G11" t="s">
        <v>2036</v>
      </c>
      <c r="H11" s="41">
        <v>2082668</v>
      </c>
      <c r="J11" t="s">
        <v>2036</v>
      </c>
      <c r="K11" s="41">
        <v>0</v>
      </c>
      <c r="M11" t="s">
        <v>2036</v>
      </c>
      <c r="N11" s="41">
        <v>43612417</v>
      </c>
      <c r="O11" s="41"/>
      <c r="P11" t="s">
        <v>2036</v>
      </c>
      <c r="Q11" s="41">
        <v>0</v>
      </c>
      <c r="R11" s="41"/>
      <c r="S11" s="830">
        <f t="shared" si="0"/>
        <v>46344804</v>
      </c>
    </row>
    <row r="12" spans="4:19">
      <c r="D12" t="s">
        <v>2032</v>
      </c>
      <c r="E12" s="41">
        <v>58366529.649999999</v>
      </c>
      <c r="G12" t="s">
        <v>2032</v>
      </c>
      <c r="H12" s="41">
        <v>0</v>
      </c>
      <c r="J12" t="s">
        <v>2032</v>
      </c>
      <c r="M12" t="s">
        <v>2032</v>
      </c>
      <c r="N12" s="41">
        <v>1130329.6000000001</v>
      </c>
      <c r="O12" s="41"/>
      <c r="P12" t="s">
        <v>2032</v>
      </c>
      <c r="Q12" s="41"/>
      <c r="R12" s="41"/>
      <c r="S12" s="830">
        <f t="shared" si="0"/>
        <v>59496859.25</v>
      </c>
    </row>
    <row r="15" spans="4:19">
      <c r="N15" s="830">
        <f>N10+N11-N12</f>
        <v>559278119.48299992</v>
      </c>
    </row>
    <row r="17" spans="5:5">
      <c r="E17" s="830">
        <f>E12-E11-E10</f>
        <v>55017171.449999996</v>
      </c>
    </row>
    <row r="18" spans="5:5">
      <c r="E18" s="8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908F6-757C-437E-8889-ABCB93E618E0}">
  <sheetPr>
    <tabColor rgb="FF92D050"/>
  </sheetPr>
  <dimension ref="E6:H11"/>
  <sheetViews>
    <sheetView workbookViewId="0">
      <selection activeCell="H9" sqref="H9"/>
    </sheetView>
  </sheetViews>
  <sheetFormatPr defaultRowHeight="14.5"/>
  <cols>
    <col min="5" max="5" width="10" bestFit="1" customWidth="1"/>
    <col min="6" max="6" width="14.26953125" bestFit="1" customWidth="1"/>
    <col min="7" max="8" width="14.81640625" bestFit="1" customWidth="1"/>
  </cols>
  <sheetData>
    <row r="6" spans="5:8">
      <c r="F6" t="s">
        <v>1325</v>
      </c>
    </row>
    <row r="7" spans="5:8">
      <c r="F7" t="s">
        <v>2023</v>
      </c>
      <c r="G7" t="s">
        <v>2039</v>
      </c>
      <c r="H7" t="s">
        <v>194</v>
      </c>
    </row>
    <row r="8" spans="5:8">
      <c r="E8" t="s">
        <v>2038</v>
      </c>
      <c r="F8" s="41">
        <v>969421</v>
      </c>
      <c r="G8">
        <v>0</v>
      </c>
      <c r="H8" s="41">
        <v>969421</v>
      </c>
    </row>
    <row r="9" spans="5:8">
      <c r="E9" t="s">
        <v>2038</v>
      </c>
      <c r="F9" s="830">
        <f>H9-G9</f>
        <v>9819806.5100000016</v>
      </c>
      <c r="G9" s="41">
        <v>17787326</v>
      </c>
      <c r="H9" s="41">
        <v>27607132.510000002</v>
      </c>
    </row>
    <row r="11" spans="5:8">
      <c r="E11" t="s">
        <v>194</v>
      </c>
      <c r="F11" s="830">
        <f>F8+F9</f>
        <v>10789227.510000002</v>
      </c>
      <c r="G11" s="830">
        <f>G8+G9</f>
        <v>17787326</v>
      </c>
      <c r="H11" s="41">
        <f>+G11+F11</f>
        <v>28576553.510000002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A474-BBFC-4B0C-B53D-D8B479825EB1}">
  <sheetPr>
    <tabColor rgb="FF92D050"/>
  </sheetPr>
  <dimension ref="D5:E7"/>
  <sheetViews>
    <sheetView workbookViewId="0">
      <selection activeCell="K9" sqref="K9"/>
    </sheetView>
  </sheetViews>
  <sheetFormatPr defaultRowHeight="14.5"/>
  <cols>
    <col min="4" max="4" width="43.1796875" customWidth="1"/>
  </cols>
  <sheetData>
    <row r="5" spans="4:5">
      <c r="D5" t="s">
        <v>2040</v>
      </c>
      <c r="E5">
        <v>2192344</v>
      </c>
    </row>
    <row r="7" spans="4:5">
      <c r="D7" t="s">
        <v>2041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B68"/>
  <sheetViews>
    <sheetView view="pageBreakPreview" topLeftCell="A54" zoomScale="115" zoomScaleSheetLayoutView="115" workbookViewId="0">
      <selection activeCell="A69" sqref="A69"/>
    </sheetView>
  </sheetViews>
  <sheetFormatPr defaultColWidth="9.1796875" defaultRowHeight="14.5"/>
  <cols>
    <col min="1" max="1" width="47.7265625" customWidth="1"/>
    <col min="2" max="2" width="19.1796875" style="41" hidden="1" customWidth="1"/>
    <col min="3" max="3" width="15.1796875" style="826" hidden="1" customWidth="1"/>
    <col min="4" max="4" width="13.81640625" style="41" hidden="1" customWidth="1"/>
    <col min="5" max="6" width="15.54296875" hidden="1" customWidth="1"/>
    <col min="7" max="7" width="16.26953125" style="506" customWidth="1"/>
    <col min="8" max="8" width="16.26953125" customWidth="1"/>
    <col min="9" max="11" width="12.81640625" customWidth="1"/>
    <col min="12" max="12" width="12.54296875" bestFit="1" customWidth="1"/>
    <col min="13" max="13" width="0" hidden="1" customWidth="1"/>
    <col min="14" max="14" width="28.453125" hidden="1" customWidth="1"/>
    <col min="15" max="15" width="19.1796875" hidden="1" customWidth="1"/>
    <col min="16" max="17" width="8.81640625" hidden="1" customWidth="1"/>
    <col min="18" max="18" width="10.1796875" hidden="1" customWidth="1"/>
    <col min="19" max="22" width="8.81640625" hidden="1" customWidth="1"/>
    <col min="23" max="23" width="31.54296875" hidden="1" customWidth="1"/>
    <col min="24" max="24" width="0" hidden="1" customWidth="1"/>
    <col min="25" max="25" width="45" hidden="1" customWidth="1"/>
    <col min="26" max="27" width="10.54296875" hidden="1" customWidth="1"/>
    <col min="28" max="28" width="0" hidden="1" customWidth="1"/>
    <col min="29" max="29" width="10.1796875" hidden="1" customWidth="1"/>
    <col min="30" max="33" width="0" hidden="1" customWidth="1"/>
    <col min="34" max="35" width="10.7265625" hidden="1" customWidth="1"/>
    <col min="36" max="40" width="0" hidden="1" customWidth="1"/>
    <col min="41" max="41" width="15.26953125" bestFit="1" customWidth="1"/>
    <col min="43" max="43" width="37.81640625" bestFit="1" customWidth="1"/>
    <col min="44" max="44" width="10.54296875" customWidth="1"/>
    <col min="45" max="45" width="10.7265625" customWidth="1"/>
    <col min="46" max="46" width="10.54296875" bestFit="1" customWidth="1"/>
    <col min="47" max="47" width="9.81640625" bestFit="1" customWidth="1"/>
    <col min="48" max="48" width="10.7265625" customWidth="1"/>
    <col min="49" max="49" width="10.54296875" bestFit="1" customWidth="1"/>
    <col min="54" max="54" width="14.7265625" bestFit="1" customWidth="1"/>
  </cols>
  <sheetData>
    <row r="1" spans="1:46">
      <c r="A1" s="1141" t="s">
        <v>1</v>
      </c>
      <c r="B1" s="1141"/>
      <c r="C1" s="1205"/>
      <c r="D1" s="1205"/>
      <c r="E1" s="1141"/>
      <c r="F1" s="1141"/>
      <c r="G1" s="1141"/>
      <c r="H1" s="1141"/>
      <c r="I1" s="863"/>
      <c r="J1" s="863"/>
      <c r="K1" s="863"/>
      <c r="L1" s="443"/>
    </row>
    <row r="2" spans="1:46">
      <c r="A2" s="1141" t="s">
        <v>1933</v>
      </c>
      <c r="B2" s="1141"/>
      <c r="C2" s="1205"/>
      <c r="D2" s="1205"/>
      <c r="E2" s="1141"/>
      <c r="F2" s="1141"/>
      <c r="G2" s="1141"/>
      <c r="H2" s="1141"/>
      <c r="I2" s="863"/>
      <c r="J2" s="863"/>
      <c r="K2" s="863"/>
      <c r="L2" s="443"/>
    </row>
    <row r="3" spans="1:46">
      <c r="A3" s="863"/>
      <c r="B3" s="863"/>
      <c r="C3" s="863"/>
      <c r="D3" s="863"/>
      <c r="E3" s="863"/>
      <c r="F3" s="863"/>
      <c r="G3" s="863"/>
      <c r="H3" s="863" t="s">
        <v>1342</v>
      </c>
      <c r="I3" s="863"/>
      <c r="J3" s="863"/>
      <c r="K3" s="863"/>
      <c r="L3" s="443"/>
    </row>
    <row r="4" spans="1:46" ht="43.4" customHeight="1">
      <c r="A4" s="1154"/>
      <c r="B4" s="1158" t="s">
        <v>569</v>
      </c>
      <c r="C4" s="1206" t="s">
        <v>1097</v>
      </c>
      <c r="D4" s="1158" t="s">
        <v>1095</v>
      </c>
      <c r="E4" s="1152" t="s">
        <v>316</v>
      </c>
      <c r="F4" s="1152" t="s">
        <v>421</v>
      </c>
      <c r="G4" s="1155" t="s">
        <v>2021</v>
      </c>
      <c r="H4" s="1152" t="s">
        <v>2017</v>
      </c>
      <c r="I4" s="876"/>
      <c r="J4" s="876"/>
      <c r="K4" s="981"/>
      <c r="L4" s="783"/>
      <c r="N4" s="266"/>
      <c r="Y4" s="42">
        <f>+'Regulation 33 - Balance Sheet'!H14-'Regulation 33 - Balance Sheet'!G14+'Regulation 33 - Balance Sheet'!H13-'Regulation 33 - Balance Sheet'!G13+'Regulation 33 - Balance Sheet'!H24-'Regulation 33 - Balance Sheet'!G24+'Regulation 33 - Balance Sheet'!H27-'Regulation 33 - Balance Sheet'!G27+'Regulation 33 - Balance Sheet'!H28-'Regulation 33 - Balance Sheet'!G28+'Regulation 33 - Balance Sheet'!H26-'Regulation 33 - Balance Sheet'!G26</f>
        <v>-460.54210985000032</v>
      </c>
      <c r="AH4" s="115">
        <v>44287</v>
      </c>
      <c r="AI4" s="115">
        <v>44509</v>
      </c>
      <c r="AJ4">
        <f>AI4-AH4+1</f>
        <v>223</v>
      </c>
    </row>
    <row r="5" spans="1:46">
      <c r="A5" s="1154"/>
      <c r="B5" s="1159"/>
      <c r="C5" s="1207"/>
      <c r="D5" s="1159"/>
      <c r="E5" s="1152"/>
      <c r="F5" s="1152"/>
      <c r="G5" s="1155"/>
      <c r="H5" s="1152"/>
      <c r="I5" s="876"/>
      <c r="J5" s="876"/>
      <c r="K5" s="876"/>
      <c r="L5" s="783"/>
      <c r="N5" s="266"/>
      <c r="Y5" s="42">
        <f>+'Regulation 33 - Balance Sheet'!G55-'Regulation 33 - Balance Sheet'!H55+'Regulation 33 - Balance Sheet'!G56-'Regulation 33 - Balance Sheet'!H56+'Regulation 33 - Balance Sheet'!G54-'Regulation 33 - Balance Sheet'!H54+'Regulation 33 - Balance Sheet'!G53-'Regulation 33 - Balance Sheet'!H53+'Regulation 33 - Balance Sheet'!G42-'Regulation 33 - Balance Sheet'!H42+'Regulation 33 - Balance Sheet'!G43-'Regulation 33 - Balance Sheet'!H43</f>
        <v>13.219110849999964</v>
      </c>
    </row>
    <row r="6" spans="1:46">
      <c r="A6" s="50" t="s">
        <v>94</v>
      </c>
      <c r="B6" s="481"/>
      <c r="C6" s="822"/>
      <c r="D6" s="481"/>
      <c r="E6" s="51"/>
      <c r="F6" s="114"/>
      <c r="G6" s="794"/>
      <c r="H6" s="114"/>
      <c r="M6" s="42"/>
      <c r="AQ6" t="s">
        <v>1082</v>
      </c>
    </row>
    <row r="7" spans="1:46" ht="14.5" customHeight="1">
      <c r="A7" s="52" t="s">
        <v>70</v>
      </c>
      <c r="B7" s="482"/>
      <c r="C7" s="823"/>
      <c r="D7" s="482"/>
      <c r="E7" s="75"/>
      <c r="F7" s="60"/>
      <c r="G7" s="794"/>
      <c r="H7" s="60"/>
      <c r="M7" s="42"/>
      <c r="AA7" s="115">
        <v>43921</v>
      </c>
      <c r="AQ7" t="s">
        <v>70</v>
      </c>
    </row>
    <row r="8" spans="1:46">
      <c r="A8" s="53" t="s">
        <v>71</v>
      </c>
      <c r="B8" s="483">
        <f>SUMIF('TB-30-09-2021'!B:B,'Regulation 33 - Balance Sheet'!A8,'TB-30-09-2021'!G:G)</f>
        <v>1428106.1</v>
      </c>
      <c r="C8" s="829">
        <v>22.424142200000002</v>
      </c>
      <c r="D8" s="544">
        <v>11.11</v>
      </c>
      <c r="E8" s="76">
        <f>'[89]Latim Metals - TB'!E25+'[89]Latim Metals - TB'!E26+'[89]Latim Metals - TB'!E27+'[89]Latim Metals - TB'!E28+'[89]Latim Metals - TB'!E29</f>
        <v>17.523</v>
      </c>
      <c r="F8" s="120">
        <v>20.41</v>
      </c>
      <c r="G8" s="794">
        <f>+BS!B7/100000</f>
        <v>1663.6563100000001</v>
      </c>
      <c r="H8" s="549">
        <v>1714.63</v>
      </c>
      <c r="I8" s="777">
        <f>H8-G8</f>
        <v>50.973690000000033</v>
      </c>
      <c r="J8" s="528"/>
      <c r="K8" s="528"/>
      <c r="L8" s="778">
        <f>D8-C8</f>
        <v>-11.314142200000003</v>
      </c>
      <c r="N8" s="41">
        <v>2170.8825735</v>
      </c>
      <c r="O8" s="42">
        <v>217088257.34999999</v>
      </c>
      <c r="Y8" s="524" t="s">
        <v>71</v>
      </c>
      <c r="Z8" s="506">
        <v>1755.0682649</v>
      </c>
      <c r="AO8" s="519">
        <f>H8-G8</f>
        <v>50.973690000000033</v>
      </c>
      <c r="AQ8" t="s">
        <v>71</v>
      </c>
      <c r="AT8" s="41">
        <v>1652.8555921000002</v>
      </c>
    </row>
    <row r="9" spans="1:46">
      <c r="A9" s="53" t="s">
        <v>428</v>
      </c>
      <c r="B9" s="483">
        <f>SUMIF('TB-30-09-2021'!B:B,'Regulation 33 - Balance Sheet'!A9,'TB-30-09-2021'!G:G)</f>
        <v>488362.88</v>
      </c>
      <c r="C9" s="829">
        <v>62.713459999999998</v>
      </c>
      <c r="D9" s="546">
        <v>0</v>
      </c>
      <c r="E9" s="579">
        <f>'[89]Latim Metals - TB'!E30</f>
        <v>48.381999999999998</v>
      </c>
      <c r="F9" s="580">
        <v>0</v>
      </c>
      <c r="G9" s="794">
        <f>+BS!B8/100000</f>
        <v>258.92291479999994</v>
      </c>
      <c r="H9" s="580">
        <v>322.06</v>
      </c>
      <c r="I9" s="778">
        <f t="shared" ref="I9:I13" si="0">H9-G9</f>
        <v>63.137085200000058</v>
      </c>
      <c r="J9" s="784"/>
      <c r="K9" s="784">
        <f>+D9-C9</f>
        <v>-62.713459999999998</v>
      </c>
      <c r="L9" s="778">
        <f>D9-C9</f>
        <v>-62.713459999999998</v>
      </c>
      <c r="N9" s="41">
        <v>87.976072699999989</v>
      </c>
      <c r="O9" s="42">
        <v>8797607.2699999996</v>
      </c>
      <c r="Y9" s="524" t="s">
        <v>428</v>
      </c>
      <c r="Z9" s="506">
        <v>117.7091358478814</v>
      </c>
      <c r="AA9" s="575">
        <f>15806655.3852869/100000</f>
        <v>158.06655385286899</v>
      </c>
      <c r="AO9" s="519">
        <f t="shared" ref="AO9:AO28" si="1">H9-G9</f>
        <v>63.137085200000058</v>
      </c>
      <c r="AQ9" t="s">
        <v>428</v>
      </c>
      <c r="AT9" s="41">
        <v>30.633641900000001</v>
      </c>
    </row>
    <row r="10" spans="1:46">
      <c r="A10" s="53" t="s">
        <v>1323</v>
      </c>
      <c r="B10" s="483">
        <f>SUMIF('TB-30-09-2021'!B:B,'Regulation 33 - Balance Sheet'!A10,'TB-30-09-2021'!G:G)</f>
        <v>0</v>
      </c>
      <c r="C10" s="829">
        <v>0</v>
      </c>
      <c r="D10" s="544">
        <v>0</v>
      </c>
      <c r="E10" s="76">
        <v>0</v>
      </c>
      <c r="F10" s="120">
        <v>0</v>
      </c>
      <c r="G10" s="794">
        <f>+BS!B9/100000</f>
        <v>0.36975999999999998</v>
      </c>
      <c r="H10" s="549">
        <v>0.37</v>
      </c>
      <c r="I10" s="777">
        <f t="shared" si="0"/>
        <v>2.4000000000001798E-4</v>
      </c>
      <c r="J10" s="528"/>
      <c r="K10" s="528"/>
      <c r="L10" s="778">
        <f>D10-C10</f>
        <v>0</v>
      </c>
      <c r="N10" s="41">
        <v>1.2760000000000001E-2</v>
      </c>
      <c r="O10" s="42">
        <v>1276</v>
      </c>
      <c r="Y10" s="524" t="s">
        <v>524</v>
      </c>
      <c r="Z10" s="506"/>
      <c r="AO10" s="519">
        <f t="shared" si="1"/>
        <v>2.4000000000001798E-4</v>
      </c>
      <c r="AQ10" t="s">
        <v>525</v>
      </c>
      <c r="AT10" s="41">
        <v>6.0889623999999998</v>
      </c>
    </row>
    <row r="11" spans="1:46">
      <c r="A11" s="53" t="s">
        <v>1324</v>
      </c>
      <c r="B11" s="483"/>
      <c r="C11" s="829"/>
      <c r="D11" s="544"/>
      <c r="E11" s="76"/>
      <c r="F11" s="120"/>
      <c r="G11" s="794"/>
      <c r="H11" s="549"/>
      <c r="I11" s="528">
        <f t="shared" si="0"/>
        <v>0</v>
      </c>
      <c r="J11" s="528"/>
      <c r="K11" s="528"/>
      <c r="L11" s="784"/>
      <c r="N11" s="41"/>
      <c r="Y11" s="524" t="s">
        <v>525</v>
      </c>
      <c r="Z11" s="506">
        <v>4.6889624000000003</v>
      </c>
      <c r="AO11" s="42">
        <f t="shared" si="1"/>
        <v>0</v>
      </c>
      <c r="AQ11" t="s">
        <v>526</v>
      </c>
      <c r="AT11" s="41"/>
    </row>
    <row r="12" spans="1:46">
      <c r="A12" s="54" t="s">
        <v>72</v>
      </c>
      <c r="B12" s="483">
        <f>SUMIF('TB-30-09-2021'!B:B,'Regulation 33 - Balance Sheet'!A12,'TB-30-09-2021'!G:G)</f>
        <v>56560560</v>
      </c>
      <c r="C12" s="829">
        <v>565.60559999999998</v>
      </c>
      <c r="D12" s="544">
        <v>565.61</v>
      </c>
      <c r="E12" s="76">
        <f>'[89]Latim Metals - TB'!E32</f>
        <v>565.60599999999999</v>
      </c>
      <c r="F12" s="120">
        <v>565.61</v>
      </c>
      <c r="G12" s="794">
        <f>+BS!B11/100000</f>
        <v>204.36371030000001</v>
      </c>
      <c r="H12" s="549">
        <v>111.53</v>
      </c>
      <c r="I12" s="778">
        <f t="shared" si="0"/>
        <v>-92.833710300000007</v>
      </c>
      <c r="J12" s="528"/>
      <c r="K12" s="528"/>
      <c r="L12" s="784">
        <f>D12-C12</f>
        <v>4.400000000032378E-3</v>
      </c>
      <c r="N12" s="41">
        <v>111.79</v>
      </c>
      <c r="Y12" s="524" t="s">
        <v>526</v>
      </c>
      <c r="Z12" s="506"/>
      <c r="AO12" s="789">
        <f t="shared" si="1"/>
        <v>-92.833710300000007</v>
      </c>
      <c r="AP12" s="42"/>
      <c r="AQ12" t="s">
        <v>72</v>
      </c>
      <c r="AT12" s="41">
        <v>141.23925259999999</v>
      </c>
    </row>
    <row r="13" spans="1:46">
      <c r="A13" s="54" t="s">
        <v>73</v>
      </c>
      <c r="B13" s="483">
        <f>SUMIF('TB-30-09-2021'!B:B,'Regulation 33 - Balance Sheet'!A13,'TB-30-09-2021'!G:G)</f>
        <v>600000</v>
      </c>
      <c r="C13" s="829">
        <v>0</v>
      </c>
      <c r="D13" s="544">
        <v>6</v>
      </c>
      <c r="E13" s="76">
        <f>'[89]Latim Metals - TB'!E35</f>
        <v>6</v>
      </c>
      <c r="F13" s="120">
        <v>4.5</v>
      </c>
      <c r="G13" s="794">
        <f>+BS!B12/100000</f>
        <v>142.30981080000001</v>
      </c>
      <c r="H13" s="549">
        <v>139.13</v>
      </c>
      <c r="I13" s="778">
        <f t="shared" si="0"/>
        <v>-3.1798108000000127</v>
      </c>
      <c r="J13" s="528">
        <f>H13-G13</f>
        <v>-3.1798108000000127</v>
      </c>
      <c r="K13" s="528"/>
      <c r="L13" s="778">
        <f>D13-C13</f>
        <v>6</v>
      </c>
      <c r="N13" s="41">
        <v>119.91067000000001</v>
      </c>
      <c r="O13" s="82" t="s">
        <v>110</v>
      </c>
      <c r="S13" s="41">
        <v>8.0538399999999992</v>
      </c>
      <c r="Y13" s="525" t="s">
        <v>72</v>
      </c>
      <c r="Z13" s="506">
        <v>116.96455149999998</v>
      </c>
      <c r="AO13" s="790">
        <f t="shared" si="1"/>
        <v>-3.1798108000000127</v>
      </c>
      <c r="AQ13" t="s">
        <v>73</v>
      </c>
      <c r="AT13" s="41">
        <v>123.31010000000001</v>
      </c>
    </row>
    <row r="14" spans="1:46" hidden="1">
      <c r="A14" s="53" t="s">
        <v>74</v>
      </c>
      <c r="B14" s="483">
        <f>SUMIF('TB-30-09-2021'!B:B,'Regulation 33 - Balance Sheet'!A14,'TB-30-09-2021'!G:G)</f>
        <v>0</v>
      </c>
      <c r="C14" s="829">
        <v>0</v>
      </c>
      <c r="D14" s="544"/>
      <c r="E14" s="76">
        <v>0</v>
      </c>
      <c r="F14" s="120">
        <v>1.35</v>
      </c>
      <c r="G14" s="794"/>
      <c r="H14" s="549">
        <v>0</v>
      </c>
      <c r="I14" s="528"/>
      <c r="J14" s="528"/>
      <c r="K14" s="528"/>
      <c r="L14" s="784"/>
      <c r="N14" s="41">
        <v>8.0538399999999992</v>
      </c>
      <c r="P14" s="42"/>
      <c r="Y14" s="525" t="s">
        <v>73</v>
      </c>
      <c r="Z14" s="506">
        <v>123.96</v>
      </c>
      <c r="AO14" s="42">
        <f t="shared" si="1"/>
        <v>0</v>
      </c>
      <c r="AQ14" t="s">
        <v>528</v>
      </c>
      <c r="AT14" s="41">
        <v>0</v>
      </c>
    </row>
    <row r="15" spans="1:46" hidden="1">
      <c r="A15" s="55" t="s">
        <v>74</v>
      </c>
      <c r="B15" s="485"/>
      <c r="C15" s="829">
        <v>6</v>
      </c>
      <c r="D15" s="485">
        <v>0</v>
      </c>
      <c r="E15" s="77"/>
      <c r="F15" s="60"/>
      <c r="G15" s="794">
        <f>+'Working File Q2 BS'!AW16</f>
        <v>0</v>
      </c>
      <c r="H15" s="549">
        <v>0</v>
      </c>
      <c r="I15" s="528">
        <f>D15-C15</f>
        <v>-6</v>
      </c>
      <c r="J15" s="528">
        <f>H15-G15</f>
        <v>0</v>
      </c>
      <c r="K15" s="528"/>
      <c r="L15" s="784"/>
      <c r="N15" s="41"/>
      <c r="Y15" s="524" t="s">
        <v>527</v>
      </c>
      <c r="Z15" s="506"/>
      <c r="AO15" s="42">
        <f t="shared" si="1"/>
        <v>0</v>
      </c>
      <c r="AT15" s="41"/>
    </row>
    <row r="16" spans="1:46" hidden="1">
      <c r="A16" s="55" t="s">
        <v>1096</v>
      </c>
      <c r="B16" s="485"/>
      <c r="C16" s="829">
        <v>2.5287902999999998</v>
      </c>
      <c r="D16" s="485">
        <v>2.83</v>
      </c>
      <c r="E16" s="77"/>
      <c r="F16" s="60"/>
      <c r="G16" s="794">
        <v>0</v>
      </c>
      <c r="H16" s="549">
        <v>0</v>
      </c>
      <c r="I16" s="528"/>
      <c r="J16" s="528">
        <f>H16-G16</f>
        <v>0</v>
      </c>
      <c r="K16" s="528"/>
      <c r="L16" s="784"/>
      <c r="N16" s="41"/>
      <c r="Y16" s="524"/>
      <c r="Z16" s="506"/>
      <c r="AO16" s="42">
        <f t="shared" si="1"/>
        <v>0</v>
      </c>
      <c r="AT16" s="41"/>
    </row>
    <row r="17" spans="1:49">
      <c r="A17" s="55"/>
      <c r="B17" s="485"/>
      <c r="C17" s="829"/>
      <c r="D17" s="485"/>
      <c r="E17" s="77"/>
      <c r="F17" s="60"/>
      <c r="G17" s="794"/>
      <c r="H17" s="549"/>
      <c r="I17" s="528"/>
      <c r="J17" s="528"/>
      <c r="K17" s="528"/>
      <c r="L17" s="784"/>
      <c r="N17" s="41"/>
      <c r="Y17" s="524"/>
      <c r="Z17" s="506"/>
      <c r="AO17" s="42"/>
      <c r="AT17" s="41"/>
    </row>
    <row r="18" spans="1:49">
      <c r="A18" s="56" t="s">
        <v>75</v>
      </c>
      <c r="B18" s="486"/>
      <c r="C18" s="829">
        <v>0</v>
      </c>
      <c r="D18" s="545"/>
      <c r="E18" s="76"/>
      <c r="F18" s="60"/>
      <c r="G18" s="794"/>
      <c r="H18" s="549"/>
      <c r="I18" s="528"/>
      <c r="J18" s="528"/>
      <c r="K18" s="528"/>
      <c r="L18" s="784"/>
      <c r="N18" s="41"/>
      <c r="Y18" s="524" t="s">
        <v>528</v>
      </c>
      <c r="Z18" s="506">
        <v>0</v>
      </c>
      <c r="AO18" s="42">
        <f t="shared" si="1"/>
        <v>0</v>
      </c>
      <c r="AQ18" t="s">
        <v>75</v>
      </c>
      <c r="AT18" s="41"/>
    </row>
    <row r="19" spans="1:49">
      <c r="A19" s="57" t="s">
        <v>76</v>
      </c>
      <c r="B19" s="483">
        <f>SUMIF('TB-30-09-2021'!B:B,'Regulation 33 - Balance Sheet'!A19,'TB-30-09-2021'!G:G)+'TB-30-09-2021'!I82</f>
        <v>369507238.21500003</v>
      </c>
      <c r="C19" s="829">
        <v>3698.1820269899999</v>
      </c>
      <c r="D19" s="544">
        <v>3400.26</v>
      </c>
      <c r="E19" s="76">
        <f>'[89]Latim Metals - TB'!E42+'[89]Latim Metals - TB'!E43+'[89]Latim Metals - TB'!E44</f>
        <v>1326.9569999999999</v>
      </c>
      <c r="F19" s="76">
        <v>1326.9569999999999</v>
      </c>
      <c r="G19" s="794">
        <f>+BS!B17/100000</f>
        <v>7755.7528355499999</v>
      </c>
      <c r="H19" s="549">
        <v>7373.85</v>
      </c>
      <c r="I19" s="778">
        <f>H19-G19</f>
        <v>-381.90283554999951</v>
      </c>
      <c r="J19" s="528">
        <f>H19-G19</f>
        <v>-381.90283554999951</v>
      </c>
      <c r="K19" s="528"/>
      <c r="L19" s="777">
        <f>D19-C19</f>
        <v>-297.92202698999972</v>
      </c>
      <c r="N19" s="41">
        <v>5909.7711042033543</v>
      </c>
      <c r="Z19" s="526"/>
      <c r="AO19" s="519">
        <f t="shared" si="1"/>
        <v>-381.90283554999951</v>
      </c>
      <c r="AQ19" t="s">
        <v>76</v>
      </c>
      <c r="AT19" s="41">
        <v>5203.7719881599996</v>
      </c>
    </row>
    <row r="20" spans="1:49">
      <c r="A20" s="57" t="s">
        <v>77</v>
      </c>
      <c r="B20" s="483"/>
      <c r="C20" s="829"/>
      <c r="D20" s="546"/>
      <c r="E20" s="76"/>
      <c r="F20" s="120"/>
      <c r="G20" s="794"/>
      <c r="H20" s="549"/>
      <c r="I20" s="528">
        <f t="shared" ref="I20:I29" si="2">D20-C20</f>
        <v>0</v>
      </c>
      <c r="J20" s="528"/>
      <c r="K20" s="528"/>
      <c r="L20" s="784"/>
      <c r="N20" s="41"/>
      <c r="X20" s="3"/>
      <c r="Y20" s="82" t="s">
        <v>75</v>
      </c>
      <c r="Z20" s="506"/>
      <c r="AO20" s="42">
        <f t="shared" si="1"/>
        <v>0</v>
      </c>
      <c r="AQ20" t="s">
        <v>77</v>
      </c>
      <c r="AT20" s="41">
        <v>0</v>
      </c>
    </row>
    <row r="21" spans="1:49">
      <c r="A21" s="54" t="s">
        <v>1079</v>
      </c>
      <c r="B21" s="483">
        <f>SUMIF('TB-30-09-2021'!B:B,'Regulation 33 - Balance Sheet'!A21,'TB-30-09-2021'!G:G)</f>
        <v>0</v>
      </c>
      <c r="C21" s="829">
        <v>0</v>
      </c>
      <c r="D21" s="547">
        <v>0</v>
      </c>
      <c r="E21" s="76">
        <v>0</v>
      </c>
      <c r="F21" s="120">
        <v>0</v>
      </c>
      <c r="G21" s="794">
        <f>+BS!B19/100000</f>
        <v>105.6054225</v>
      </c>
      <c r="H21" s="549">
        <v>101.79</v>
      </c>
      <c r="I21" s="777">
        <f>H21-G21</f>
        <v>-3.8154224999999968</v>
      </c>
      <c r="J21" s="528"/>
      <c r="K21" s="528"/>
      <c r="L21" s="784">
        <f>D21-C21</f>
        <v>0</v>
      </c>
      <c r="N21" s="41">
        <v>7.5054614999999991</v>
      </c>
      <c r="X21" s="3"/>
      <c r="Y21" s="524" t="s">
        <v>76</v>
      </c>
      <c r="Z21" s="506">
        <v>4819.9057599999996</v>
      </c>
      <c r="AO21" s="519">
        <f t="shared" si="1"/>
        <v>-3.8154224999999968</v>
      </c>
      <c r="AQ21" t="s">
        <v>72</v>
      </c>
      <c r="AT21" s="41">
        <v>0</v>
      </c>
    </row>
    <row r="22" spans="1:49">
      <c r="A22" s="54" t="s">
        <v>97</v>
      </c>
      <c r="B22" s="483">
        <f>SUMIF('TB-30-09-2021'!B:B,'Regulation 33 - Balance Sheet'!A22,'TB-30-09-2021'!G:G)</f>
        <v>529838</v>
      </c>
      <c r="C22" s="829">
        <v>23.08297</v>
      </c>
      <c r="D22" s="548">
        <v>182.26</v>
      </c>
      <c r="E22" s="76">
        <f>'[89]Latim Metals - TB'!E38</f>
        <v>422.04400000000004</v>
      </c>
      <c r="F22" s="120">
        <v>0</v>
      </c>
      <c r="G22" s="794">
        <f>+BS!B20/100000</f>
        <v>3273.0420671000002</v>
      </c>
      <c r="H22" s="549">
        <v>1860.1</v>
      </c>
      <c r="I22" s="777">
        <f>H22-G22</f>
        <v>-1412.9420671000003</v>
      </c>
      <c r="J22" s="528">
        <f>H22-G22</f>
        <v>-1412.9420671000003</v>
      </c>
      <c r="K22" s="528"/>
      <c r="L22" s="777">
        <f>D22-C22</f>
        <v>159.17703</v>
      </c>
      <c r="N22" s="41">
        <v>3154.1719201000001</v>
      </c>
      <c r="R22" s="3"/>
      <c r="S22" s="3"/>
      <c r="X22" s="3"/>
      <c r="Y22" s="524" t="s">
        <v>77</v>
      </c>
      <c r="Z22" s="506"/>
      <c r="AO22" s="519">
        <f t="shared" si="1"/>
        <v>-1412.9420671000003</v>
      </c>
      <c r="AQ22" t="s">
        <v>97</v>
      </c>
      <c r="AT22" s="41">
        <f>2662.4172738+15.42</f>
        <v>2677.8372738000003</v>
      </c>
    </row>
    <row r="23" spans="1:49">
      <c r="A23" s="58" t="s">
        <v>98</v>
      </c>
      <c r="B23" s="483">
        <f>SUMIF('TB-30-09-2021'!B:B,'Regulation 33 - Balance Sheet'!A23,'TB-30-09-2021'!G:G)</f>
        <v>64979863.288000003</v>
      </c>
      <c r="C23" s="829">
        <v>11.14741248</v>
      </c>
      <c r="D23" s="544">
        <v>49.75</v>
      </c>
      <c r="E23" s="76">
        <f>'[89]Latim Metals - TB'!E39+'[89]Latim Metals - TB'!E40</f>
        <v>7.0150000000000006</v>
      </c>
      <c r="F23" s="120">
        <v>4.29</v>
      </c>
      <c r="G23" s="794">
        <f>+BS!B21/100000</f>
        <v>114.60726148000001</v>
      </c>
      <c r="H23" s="565">
        <v>79.709999999999994</v>
      </c>
      <c r="I23" s="777">
        <f t="shared" ref="I23:I27" si="3">H23-G23</f>
        <v>-34.897261480000012</v>
      </c>
      <c r="J23" s="528">
        <f>H23-G23</f>
        <v>-34.897261480000012</v>
      </c>
      <c r="K23" s="877"/>
      <c r="L23" s="778">
        <f>D23-C23</f>
        <v>38.60258752</v>
      </c>
      <c r="M23" s="42">
        <f>+G23-H23</f>
        <v>34.897261480000012</v>
      </c>
      <c r="N23" s="41">
        <v>180.2805329</v>
      </c>
      <c r="O23" s="82" t="s">
        <v>109</v>
      </c>
      <c r="R23" s="3"/>
      <c r="S23" s="3"/>
      <c r="X23" s="3"/>
      <c r="Y23" s="527" t="s">
        <v>72</v>
      </c>
      <c r="Z23" s="506">
        <v>5.0999999999999996</v>
      </c>
      <c r="AO23" s="519">
        <f t="shared" si="1"/>
        <v>-34.897261480000012</v>
      </c>
      <c r="AQ23" t="s">
        <v>98</v>
      </c>
      <c r="AT23" s="41">
        <v>169.6267225</v>
      </c>
    </row>
    <row r="24" spans="1:49">
      <c r="A24" s="54" t="s">
        <v>285</v>
      </c>
      <c r="B24" s="483">
        <f>SUMIF('TB-30-09-2021'!B:B,'Regulation 33 - Balance Sheet'!A24,'TB-30-09-2021'!G:G)</f>
        <v>0</v>
      </c>
      <c r="C24" s="829">
        <v>0</v>
      </c>
      <c r="D24" s="544">
        <v>0</v>
      </c>
      <c r="E24" s="76">
        <v>0</v>
      </c>
      <c r="F24" s="120">
        <v>0</v>
      </c>
      <c r="G24" s="794">
        <f>+BS!B22/100000</f>
        <v>36.200000000000003</v>
      </c>
      <c r="H24" s="549">
        <v>36.200000000000003</v>
      </c>
      <c r="I24" s="881">
        <f t="shared" si="3"/>
        <v>0</v>
      </c>
      <c r="J24" s="528"/>
      <c r="K24" s="528"/>
      <c r="L24" s="778">
        <f>D24-C24</f>
        <v>0</v>
      </c>
      <c r="N24" s="41"/>
      <c r="O24">
        <v>1907962</v>
      </c>
      <c r="R24" s="1150"/>
      <c r="S24" s="3"/>
      <c r="X24" s="3"/>
      <c r="Y24" s="525" t="s">
        <v>97</v>
      </c>
      <c r="Z24" s="506">
        <v>5174.9119275000003</v>
      </c>
      <c r="AO24" s="519">
        <f t="shared" si="1"/>
        <v>0</v>
      </c>
      <c r="AQ24" t="s">
        <v>529</v>
      </c>
      <c r="AT24" s="41">
        <v>211.59610000000001</v>
      </c>
    </row>
    <row r="25" spans="1:49" hidden="1">
      <c r="A25" s="54" t="s">
        <v>286</v>
      </c>
      <c r="B25" s="483">
        <f>SUMIF('TB-30-09-2021'!B:B,'Regulation 33 - Balance Sheet'!A25,'TB-30-09-2021'!G:G)</f>
        <v>0</v>
      </c>
      <c r="C25" s="829">
        <v>0</v>
      </c>
      <c r="D25" s="547">
        <v>0</v>
      </c>
      <c r="E25" s="76">
        <f>'[89]Latim Metals - TB'!E36</f>
        <v>36.999000000000002</v>
      </c>
      <c r="F25" s="120">
        <v>45.73</v>
      </c>
      <c r="G25" s="794"/>
      <c r="H25" s="549">
        <v>0</v>
      </c>
      <c r="I25" s="881">
        <f t="shared" si="3"/>
        <v>0</v>
      </c>
      <c r="J25" s="528"/>
      <c r="K25" s="528"/>
      <c r="L25" s="784"/>
      <c r="N25" s="41"/>
      <c r="P25" s="42">
        <v>0</v>
      </c>
      <c r="Q25" s="42">
        <v>0</v>
      </c>
      <c r="R25" s="1150"/>
      <c r="S25" s="3"/>
      <c r="X25" s="3"/>
      <c r="Y25" s="525" t="s">
        <v>98</v>
      </c>
      <c r="Z25" s="506">
        <v>4.3499403999999995</v>
      </c>
      <c r="AC25" s="42"/>
      <c r="AO25" s="42">
        <f t="shared" si="1"/>
        <v>0</v>
      </c>
      <c r="AT25" s="41"/>
    </row>
    <row r="26" spans="1:49">
      <c r="A26" s="54" t="s">
        <v>530</v>
      </c>
      <c r="B26" s="483">
        <f>SUMIF('TB-30-09-2021'!B:B,'Regulation 33 - Balance Sheet'!A26,'TB-30-09-2021'!G:G)</f>
        <v>0</v>
      </c>
      <c r="C26" s="829">
        <v>51.330002500000006</v>
      </c>
      <c r="D26" s="547">
        <v>0</v>
      </c>
      <c r="E26" s="76">
        <v>0</v>
      </c>
      <c r="F26" s="120">
        <v>0</v>
      </c>
      <c r="G26" s="794">
        <f>+BS!B23/100000</f>
        <v>114.51315</v>
      </c>
      <c r="H26" s="549">
        <v>17.63</v>
      </c>
      <c r="I26" s="777">
        <f t="shared" si="3"/>
        <v>-96.883150000000001</v>
      </c>
      <c r="J26" s="528">
        <f>H26-G26</f>
        <v>-96.883150000000001</v>
      </c>
      <c r="K26" s="528"/>
      <c r="L26" s="777">
        <f>D26-C26</f>
        <v>-51.330002500000006</v>
      </c>
      <c r="N26" s="41">
        <v>10.83445</v>
      </c>
      <c r="R26" s="3"/>
      <c r="S26" s="3"/>
      <c r="X26" s="3"/>
      <c r="Y26" s="525" t="s">
        <v>529</v>
      </c>
      <c r="Z26" s="506">
        <v>488.0948788</v>
      </c>
      <c r="AO26" s="519">
        <f t="shared" si="1"/>
        <v>-96.883150000000001</v>
      </c>
      <c r="AQ26" t="s">
        <v>530</v>
      </c>
      <c r="AT26" s="41">
        <v>94.524109600000003</v>
      </c>
    </row>
    <row r="27" spans="1:49">
      <c r="A27" s="53" t="s">
        <v>78</v>
      </c>
      <c r="B27" s="483">
        <f>SUMIF('TB-30-09-2021'!B:B,'Regulation 33 - Balance Sheet'!A27,'TB-30-09-2021'!G:G)</f>
        <v>333396.41000000003</v>
      </c>
      <c r="C27" s="829">
        <v>164.23128328999999</v>
      </c>
      <c r="D27" s="544">
        <v>267.52</v>
      </c>
      <c r="E27" s="76">
        <f>'[89]Latim Metals - TB'!E17+'[89]Latim Metals - TB'!E41+'[89]Latim Metals - TB'!E45+'[89]Latim Metals - TB'!E46</f>
        <v>15.416999999999998</v>
      </c>
      <c r="F27" s="120">
        <v>7.93</v>
      </c>
      <c r="G27" s="794">
        <f>+BS!B24/100000</f>
        <v>1112.3691490500003</v>
      </c>
      <c r="H27" s="549">
        <v>751.89</v>
      </c>
      <c r="I27" s="777">
        <f t="shared" si="3"/>
        <v>-360.47914905000027</v>
      </c>
      <c r="J27" s="528">
        <f>H27-G27</f>
        <v>-360.47914905000027</v>
      </c>
      <c r="K27" s="528"/>
      <c r="L27" s="777">
        <f t="shared" ref="L27:L28" si="4">D27-C27</f>
        <v>103.28871670999999</v>
      </c>
      <c r="N27" s="41">
        <v>881.64058666000005</v>
      </c>
      <c r="T27" s="269">
        <v>19665716</v>
      </c>
      <c r="U27" s="269" t="s">
        <v>244</v>
      </c>
      <c r="V27" s="270"/>
      <c r="W27" s="270"/>
      <c r="Y27" s="525" t="s">
        <v>530</v>
      </c>
      <c r="Z27" s="506">
        <v>11.980613400000001</v>
      </c>
      <c r="AO27" s="519">
        <f t="shared" si="1"/>
        <v>-360.47914905000027</v>
      </c>
      <c r="AQ27" t="s">
        <v>531</v>
      </c>
      <c r="AT27" s="41">
        <v>382.27511412000001</v>
      </c>
    </row>
    <row r="28" spans="1:49" hidden="1">
      <c r="A28" s="53" t="s">
        <v>424</v>
      </c>
      <c r="B28" s="483">
        <f>SUMIF('TB-30-09-2021'!B:B,'Regulation 33 - Balance Sheet'!A28,'TB-30-09-2021'!G:G)+(-'Regulation 33 - Results'!E34*100000)</f>
        <v>21671.560000000005</v>
      </c>
      <c r="C28" s="829">
        <v>0</v>
      </c>
      <c r="D28" s="544">
        <v>0</v>
      </c>
      <c r="E28" s="76">
        <v>0</v>
      </c>
      <c r="F28" s="120">
        <v>0</v>
      </c>
      <c r="G28" s="794">
        <v>0</v>
      </c>
      <c r="H28" s="549">
        <v>0</v>
      </c>
      <c r="I28" s="528">
        <f t="shared" si="2"/>
        <v>0</v>
      </c>
      <c r="J28" s="528">
        <f>H28-G28</f>
        <v>0</v>
      </c>
      <c r="K28" s="528"/>
      <c r="L28" s="784">
        <f t="shared" si="4"/>
        <v>0</v>
      </c>
      <c r="N28" s="41"/>
      <c r="T28" s="269"/>
      <c r="U28" s="269"/>
      <c r="V28" s="270"/>
      <c r="W28" s="270"/>
      <c r="Y28" s="524" t="s">
        <v>531</v>
      </c>
      <c r="Z28" s="506">
        <v>42.99</v>
      </c>
      <c r="AO28" s="42">
        <f t="shared" si="1"/>
        <v>0</v>
      </c>
      <c r="AQ28" t="s">
        <v>532</v>
      </c>
      <c r="AT28" s="41">
        <v>704.77646613999991</v>
      </c>
    </row>
    <row r="29" spans="1:49">
      <c r="A29" s="58"/>
      <c r="B29" s="488"/>
      <c r="C29" s="824"/>
      <c r="D29" s="548"/>
      <c r="E29" s="76"/>
      <c r="F29" s="60"/>
      <c r="G29" s="794"/>
      <c r="H29" s="60"/>
      <c r="I29" s="528">
        <f t="shared" si="2"/>
        <v>0</v>
      </c>
      <c r="J29" s="528"/>
      <c r="N29" s="41"/>
      <c r="Y29" s="524" t="s">
        <v>532</v>
      </c>
      <c r="Z29" s="506">
        <v>1558.4596369799999</v>
      </c>
      <c r="AT29" s="41"/>
    </row>
    <row r="30" spans="1:49" ht="15" thickBot="1">
      <c r="A30" s="56" t="s">
        <v>79</v>
      </c>
      <c r="B30" s="78">
        <f>SUM(B7:B29)</f>
        <v>494449036.45300007</v>
      </c>
      <c r="C30" s="78">
        <f>SUM(C8:C29)-0.01</f>
        <v>4607.2356877599996</v>
      </c>
      <c r="D30" s="78">
        <f>SUM(D8:D29)</f>
        <v>4485.34</v>
      </c>
      <c r="E30" s="78">
        <f>SUM(E8:E28)</f>
        <v>2445.9429999999993</v>
      </c>
      <c r="F30" s="78">
        <f>SUM(F8:F28)</f>
        <v>1976.7769999999998</v>
      </c>
      <c r="G30" s="78">
        <f>SUM(G8:G29)</f>
        <v>14781.71239158</v>
      </c>
      <c r="H30" s="78">
        <f>SUM(H8:H28)</f>
        <v>12508.89</v>
      </c>
      <c r="I30" s="878"/>
      <c r="J30" s="878"/>
      <c r="K30" s="878"/>
      <c r="L30" s="438">
        <f>AO30*2</f>
        <v>-1.6310000000885339E-2</v>
      </c>
      <c r="N30" s="78">
        <v>12642.829971563355</v>
      </c>
      <c r="P30" s="42"/>
      <c r="Y30" s="525"/>
      <c r="Z30" s="526"/>
      <c r="AC30" s="42"/>
      <c r="AO30" s="830">
        <f>+C30-C59</f>
        <v>-8.1550000004426693E-3</v>
      </c>
      <c r="AQ30" t="s">
        <v>79</v>
      </c>
      <c r="AT30" s="41">
        <f>SUM(AT8:AT28)</f>
        <v>11398.53532332</v>
      </c>
      <c r="AV30" s="42">
        <f>+AT30+C30</f>
        <v>16005.77101108</v>
      </c>
      <c r="AW30" s="42">
        <f>+AV30-G30</f>
        <v>1224.0586194999996</v>
      </c>
    </row>
    <row r="31" spans="1:49" ht="15" thickTop="1">
      <c r="A31" s="55"/>
      <c r="B31" s="485"/>
      <c r="C31" s="824"/>
      <c r="D31" s="485"/>
      <c r="E31" s="76"/>
      <c r="F31" s="60"/>
      <c r="G31" s="794"/>
      <c r="H31" s="60"/>
      <c r="N31" s="41"/>
      <c r="Y31" s="82" t="s">
        <v>79</v>
      </c>
      <c r="Z31" s="528">
        <f>SUM(Z8:Z30)</f>
        <v>14224.18367172788</v>
      </c>
      <c r="AA31" s="42"/>
      <c r="AB31" s="42"/>
      <c r="AO31" s="830">
        <f>AO30/2</f>
        <v>-4.0775000002213346E-3</v>
      </c>
      <c r="AT31" s="41"/>
    </row>
    <row r="32" spans="1:49">
      <c r="A32" s="59" t="s">
        <v>80</v>
      </c>
      <c r="B32" s="489"/>
      <c r="C32" s="824"/>
      <c r="D32" s="489"/>
      <c r="E32" s="76"/>
      <c r="F32" s="60"/>
      <c r="G32" s="794"/>
      <c r="H32" s="60"/>
      <c r="N32" s="41"/>
      <c r="Z32" s="506"/>
      <c r="AO32" s="830"/>
      <c r="AQ32" t="s">
        <v>80</v>
      </c>
      <c r="AT32" s="41"/>
    </row>
    <row r="33" spans="1:54">
      <c r="A33" s="56" t="s">
        <v>81</v>
      </c>
      <c r="B33" s="486"/>
      <c r="C33" s="824"/>
      <c r="D33" s="545"/>
      <c r="E33" s="76"/>
      <c r="F33" s="60"/>
      <c r="G33" s="794"/>
      <c r="H33" s="60"/>
      <c r="L33" s="830">
        <f>AO33*100000</f>
        <v>-815.50000004426693</v>
      </c>
      <c r="N33" s="41"/>
      <c r="Y33" s="529" t="s">
        <v>80</v>
      </c>
      <c r="Z33" s="530"/>
      <c r="AO33" s="830">
        <f>C30-C59</f>
        <v>-8.1550000004426693E-3</v>
      </c>
      <c r="AQ33" t="s">
        <v>81</v>
      </c>
      <c r="AT33" s="41"/>
    </row>
    <row r="34" spans="1:54">
      <c r="A34" s="53" t="s">
        <v>82</v>
      </c>
      <c r="B34" s="483">
        <f>SUMIF('TB-30-09-2021'!B:B,'Regulation 33 - Balance Sheet'!A34,'TB-30-09-2021'!G:G)</f>
        <v>88314300</v>
      </c>
      <c r="C34" s="829">
        <v>883.14300000000003</v>
      </c>
      <c r="D34" s="544">
        <v>883.14</v>
      </c>
      <c r="E34" s="76">
        <f>'[89]Latim Metals - TB'!F11+'[89]Latim Metals - TB'!F12</f>
        <v>883.14300000000003</v>
      </c>
      <c r="F34" s="120">
        <v>883.14</v>
      </c>
      <c r="G34" s="794">
        <f>BS!B31/100000</f>
        <v>1315.5103799999999</v>
      </c>
      <c r="H34" s="549">
        <v>1103.93</v>
      </c>
      <c r="I34" s="778">
        <f>G34-H34</f>
        <v>211.58037999999988</v>
      </c>
      <c r="J34" s="778"/>
      <c r="K34" s="528"/>
      <c r="L34" s="784">
        <f>+C34-D34</f>
        <v>3.0000000000427463E-3</v>
      </c>
      <c r="N34" s="41">
        <v>202.00200000000001</v>
      </c>
      <c r="Y34" s="82" t="s">
        <v>81</v>
      </c>
      <c r="Z34" s="506"/>
      <c r="AQ34" t="s">
        <v>82</v>
      </c>
      <c r="AT34" s="41">
        <v>202.00200000000001</v>
      </c>
    </row>
    <row r="35" spans="1:54">
      <c r="A35" s="53" t="s">
        <v>83</v>
      </c>
      <c r="B35" s="483" t="e">
        <f>SUMIF('TB-30-09-2021'!B:B,'Regulation 33 - Balance Sheet'!A35,'TB-30-09-2021'!G:G)+31824676-'Regulation 33 - Results'!#REF!+(-'Regulation 33 - Results'!E34*100000)</f>
        <v>#REF!</v>
      </c>
      <c r="C35" s="829">
        <v>1314.96968586</v>
      </c>
      <c r="D35" s="544">
        <v>1516.4</v>
      </c>
      <c r="E35" s="76">
        <f>'[89]Latim Metals - TB'!F10-'[89]Latim Metals - TB'!E48+'[89]Regulation 33 - Results'!H40</f>
        <v>1055.2865506699998</v>
      </c>
      <c r="F35" s="120">
        <v>736.66</v>
      </c>
      <c r="G35" s="794">
        <f>+BS!B32/100000</f>
        <v>6234.0172198</v>
      </c>
      <c r="H35" s="549">
        <v>4224.33</v>
      </c>
      <c r="I35" s="778">
        <f>G35-H35</f>
        <v>2009.6872198000001</v>
      </c>
      <c r="J35" s="778">
        <f>I35-1798.45</f>
        <v>211.23721980000005</v>
      </c>
      <c r="K35" s="528"/>
      <c r="L35" s="785">
        <f>+G35-H35</f>
        <v>2009.6872198000001</v>
      </c>
      <c r="M35" s="42"/>
      <c r="N35" s="41">
        <v>756.55076947935606</v>
      </c>
      <c r="Y35" s="524" t="s">
        <v>82</v>
      </c>
      <c r="Z35" s="506">
        <v>202.00200000000001</v>
      </c>
      <c r="AC35" s="41"/>
      <c r="AO35" s="519">
        <f>G35-H35</f>
        <v>2009.6872198000001</v>
      </c>
      <c r="AP35" s="42">
        <f>+C35-D35</f>
        <v>-201.43031414000006</v>
      </c>
      <c r="AQ35" t="s">
        <v>83</v>
      </c>
      <c r="AT35" s="41">
        <v>1202.4364528199999</v>
      </c>
      <c r="AV35" s="42">
        <f>+AU35-AT35</f>
        <v>-1202.4364528199999</v>
      </c>
      <c r="AW35" s="42">
        <f>+AT35-AU35</f>
        <v>1202.4364528199999</v>
      </c>
      <c r="AX35" s="42">
        <f>+C35-D35</f>
        <v>-201.43031414000006</v>
      </c>
      <c r="AY35" s="42">
        <f>+AX35-'Regulation 33 - Results'!H36</f>
        <v>-1.1388150000101405E-2</v>
      </c>
      <c r="AZ35" s="42">
        <f>-AY35</f>
        <v>1.1388150000101405E-2</v>
      </c>
      <c r="BB35" s="830">
        <f>AZ35*100000</f>
        <v>1138.8150000101405</v>
      </c>
    </row>
    <row r="36" spans="1:54">
      <c r="A36" s="60"/>
      <c r="B36" s="549"/>
      <c r="C36" s="824"/>
      <c r="D36" s="549"/>
      <c r="E36" s="79"/>
      <c r="F36" s="60"/>
      <c r="G36" s="794"/>
      <c r="H36" s="549"/>
      <c r="I36" s="528"/>
      <c r="J36" s="528"/>
      <c r="K36" s="528"/>
      <c r="L36" s="784">
        <f>+L35-'Regulation 33 - Results'!N36</f>
        <v>1521.6681197803546</v>
      </c>
      <c r="N36" s="41"/>
      <c r="Y36" s="524" t="s">
        <v>83</v>
      </c>
      <c r="Z36" s="506">
        <f>-229.12422241853-1.27</f>
        <v>-230.39422241853001</v>
      </c>
      <c r="AP36" s="42"/>
      <c r="AT36" s="41">
        <v>0</v>
      </c>
    </row>
    <row r="37" spans="1:54">
      <c r="A37" s="56" t="s">
        <v>84</v>
      </c>
      <c r="B37" s="545"/>
      <c r="C37" s="824"/>
      <c r="D37" s="545"/>
      <c r="E37" s="80"/>
      <c r="F37" s="60"/>
      <c r="G37" s="794"/>
      <c r="H37" s="549"/>
      <c r="I37" s="528"/>
      <c r="J37" s="528"/>
      <c r="K37" s="528"/>
      <c r="L37" s="784">
        <f>D35+'Regulation 33 - Results'!H40-44.16</f>
        <v>1270.8210740100001</v>
      </c>
      <c r="M37" s="42"/>
      <c r="N37" s="41"/>
      <c r="Z37" s="526"/>
      <c r="AE37" s="42"/>
      <c r="AO37" s="42"/>
      <c r="AP37" s="42">
        <f>301.77-AP35</f>
        <v>503.20031414000005</v>
      </c>
      <c r="AQ37" t="s">
        <v>84</v>
      </c>
      <c r="AT37" s="41">
        <v>0</v>
      </c>
    </row>
    <row r="38" spans="1:54">
      <c r="A38" s="61" t="s">
        <v>85</v>
      </c>
      <c r="B38" s="550"/>
      <c r="C38" s="824"/>
      <c r="D38" s="550"/>
      <c r="E38" s="75"/>
      <c r="F38" s="60"/>
      <c r="G38" s="794"/>
      <c r="H38" s="549"/>
      <c r="I38" s="528"/>
      <c r="J38" s="528"/>
      <c r="K38" s="528"/>
      <c r="L38" s="784"/>
      <c r="N38" s="41"/>
      <c r="Y38" s="82" t="s">
        <v>84</v>
      </c>
      <c r="Z38" s="526"/>
      <c r="AC38" s="42"/>
      <c r="AP38" s="42">
        <f>AP37-44.16</f>
        <v>459.04031414000008</v>
      </c>
      <c r="AQ38" t="s">
        <v>85</v>
      </c>
      <c r="AT38" s="41">
        <v>0</v>
      </c>
    </row>
    <row r="39" spans="1:54">
      <c r="A39" s="62" t="s">
        <v>86</v>
      </c>
      <c r="B39" s="779"/>
      <c r="C39" s="824"/>
      <c r="D39" s="552"/>
      <c r="E39" s="76"/>
      <c r="F39" s="60"/>
      <c r="G39" s="794"/>
      <c r="H39" s="549"/>
      <c r="I39" s="528"/>
      <c r="J39" s="528"/>
      <c r="K39" s="528"/>
      <c r="L39" s="784"/>
      <c r="M39" s="42"/>
      <c r="N39" s="41"/>
      <c r="Y39" s="531" t="s">
        <v>85</v>
      </c>
      <c r="Z39" s="526"/>
      <c r="AQ39" t="s">
        <v>86</v>
      </c>
      <c r="AT39" s="41">
        <v>0</v>
      </c>
    </row>
    <row r="40" spans="1:54">
      <c r="A40" s="63" t="s">
        <v>87</v>
      </c>
      <c r="B40" s="483">
        <f>SUMIF('TB-30-09-2021'!B:B,'Regulation 33 - Balance Sheet'!A40,'TB-30-09-2021'!G:G)</f>
        <v>537338</v>
      </c>
      <c r="C40" s="829">
        <v>6.7870900000000001</v>
      </c>
      <c r="D40" s="553">
        <v>42.3</v>
      </c>
      <c r="E40" s="76">
        <v>0</v>
      </c>
      <c r="F40" s="120">
        <v>0</v>
      </c>
      <c r="G40" s="794">
        <f>+BS!B37/100000</f>
        <v>3306.1437472000002</v>
      </c>
      <c r="H40" s="549">
        <v>3335.5</v>
      </c>
      <c r="I40" s="778">
        <f>G40-H40</f>
        <v>-29.356252799999766</v>
      </c>
      <c r="J40" s="528">
        <f>G40-H40</f>
        <v>-29.356252799999766</v>
      </c>
      <c r="K40" s="528">
        <f>+C40-D40</f>
        <v>-35.512909999999998</v>
      </c>
      <c r="L40" s="778">
        <f>+C40-D40</f>
        <v>-35.512909999999998</v>
      </c>
      <c r="N40" s="41"/>
      <c r="Y40" s="532" t="s">
        <v>86</v>
      </c>
      <c r="Z40" s="526"/>
      <c r="AA40" t="s">
        <v>538</v>
      </c>
      <c r="AO40" s="519">
        <f>G40-H40</f>
        <v>-29.356252799999766</v>
      </c>
      <c r="AQ40" t="s">
        <v>87</v>
      </c>
      <c r="AR40" s="830">
        <f>G40-H40</f>
        <v>-29.356252799999766</v>
      </c>
      <c r="AT40" s="41">
        <v>1412.1644568000002</v>
      </c>
    </row>
    <row r="41" spans="1:54">
      <c r="A41" s="63" t="s">
        <v>429</v>
      </c>
      <c r="B41" s="483">
        <f>SUMIF('TB-30-09-2021'!B:B,'Regulation 33 - Balance Sheet'!A41,'TB-30-09-2021'!G:G)</f>
        <v>606891.79</v>
      </c>
      <c r="C41" s="829">
        <v>41.252250000000004</v>
      </c>
      <c r="D41" s="554">
        <v>0</v>
      </c>
      <c r="E41" s="438">
        <v>0</v>
      </c>
      <c r="F41" s="120">
        <v>0</v>
      </c>
      <c r="G41" s="794">
        <f>+BS!B38/100000</f>
        <v>177.87325999999999</v>
      </c>
      <c r="H41" s="556">
        <v>230</v>
      </c>
      <c r="I41" s="778">
        <f t="shared" ref="I41:I58" si="5">G41-H41</f>
        <v>-52.126740000000012</v>
      </c>
      <c r="J41" s="528">
        <f t="shared" ref="J41:J57" si="6">G41-H41</f>
        <v>-52.126740000000012</v>
      </c>
      <c r="K41" s="528">
        <f>+C41-D41</f>
        <v>41.252250000000004</v>
      </c>
      <c r="L41" s="778">
        <f t="shared" ref="L41:L44" si="7">+C41-D41</f>
        <v>41.252250000000004</v>
      </c>
      <c r="N41" s="41"/>
      <c r="Y41" s="439" t="s">
        <v>87</v>
      </c>
      <c r="Z41" s="506">
        <v>1726.8446768000001</v>
      </c>
      <c r="AO41" s="791">
        <f t="shared" ref="AO41:AO44" si="8">G41-H41</f>
        <v>-52.126740000000012</v>
      </c>
      <c r="AQ41" t="s">
        <v>429</v>
      </c>
      <c r="AT41" s="41">
        <v>43.2677829</v>
      </c>
    </row>
    <row r="42" spans="1:54">
      <c r="A42" s="62" t="s">
        <v>88</v>
      </c>
      <c r="B42" s="483" t="e">
        <f>SUMIF('TB-30-09-2021'!B:B,'Regulation 33 - Balance Sheet'!A42,'TB-30-09-2021'!G:G)+'Regulation 33 - Results'!#REF!-('Regulation 33 - Results'!H32*100000)</f>
        <v>#REF!</v>
      </c>
      <c r="C42" s="829">
        <v>0</v>
      </c>
      <c r="D42" s="551">
        <v>0</v>
      </c>
      <c r="E42" s="41">
        <v>0</v>
      </c>
      <c r="F42" s="120">
        <v>7.91</v>
      </c>
      <c r="G42" s="794">
        <f>+BS!B39/100000</f>
        <v>21.923439999999999</v>
      </c>
      <c r="H42" s="549">
        <v>23.07</v>
      </c>
      <c r="I42" s="778">
        <f t="shared" si="5"/>
        <v>-1.1465600000000009</v>
      </c>
      <c r="J42" s="528">
        <f t="shared" si="6"/>
        <v>-1.1465600000000009</v>
      </c>
      <c r="K42" s="528"/>
      <c r="L42" s="778">
        <f t="shared" si="7"/>
        <v>0</v>
      </c>
      <c r="N42" s="41">
        <v>32.828940000000003</v>
      </c>
      <c r="Y42" s="439" t="s">
        <v>429</v>
      </c>
      <c r="Z42" s="506">
        <v>129.92138081218897</v>
      </c>
      <c r="AA42">
        <f>16930626/100000</f>
        <v>169.30626000000001</v>
      </c>
      <c r="AB42" s="42"/>
      <c r="AO42" s="780">
        <f t="shared" si="8"/>
        <v>-1.1465600000000009</v>
      </c>
      <c r="AQ42" t="s">
        <v>88</v>
      </c>
      <c r="AT42" s="41">
        <v>414.70993230000005</v>
      </c>
    </row>
    <row r="43" spans="1:54">
      <c r="A43" s="62" t="s">
        <v>99</v>
      </c>
      <c r="B43" s="483">
        <f>SUMIF('TB-30-09-2021'!B:B,'Regulation 33 - Balance Sheet'!A43,'TB-30-09-2021'!G:G)</f>
        <v>0</v>
      </c>
      <c r="C43" s="829">
        <v>0</v>
      </c>
      <c r="D43" s="552">
        <v>0</v>
      </c>
      <c r="E43" s="76">
        <v>0</v>
      </c>
      <c r="F43" s="120">
        <v>0</v>
      </c>
      <c r="G43" s="794">
        <f>+BS!B40/100000</f>
        <v>96.841269999999994</v>
      </c>
      <c r="H43" s="549">
        <v>93.18</v>
      </c>
      <c r="I43" s="778">
        <f t="shared" si="5"/>
        <v>3.6612699999999876</v>
      </c>
      <c r="J43" s="528">
        <f t="shared" si="6"/>
        <v>3.6612699999999876</v>
      </c>
      <c r="K43" s="528"/>
      <c r="L43" s="784">
        <f t="shared" si="7"/>
        <v>0</v>
      </c>
      <c r="M43" s="42"/>
      <c r="N43" s="41">
        <v>131.86373606400008</v>
      </c>
      <c r="Y43" s="532" t="s">
        <v>88</v>
      </c>
      <c r="Z43" s="506">
        <f>159.73+1.27+56.87637+47.71722</f>
        <v>265.59359000000001</v>
      </c>
      <c r="AO43" s="42">
        <f t="shared" si="8"/>
        <v>3.6612699999999876</v>
      </c>
      <c r="AQ43" t="s">
        <v>99</v>
      </c>
      <c r="AT43" s="41">
        <v>60.580750599999995</v>
      </c>
      <c r="AU43" s="782"/>
    </row>
    <row r="44" spans="1:54" hidden="1">
      <c r="A44" s="62" t="s">
        <v>489</v>
      </c>
      <c r="B44" s="483">
        <f>SUMIF('TB-30-09-2021'!B:B,'Regulation 33 - Balance Sheet'!A44,'TB-30-09-2021'!G:G)</f>
        <v>1454609.7310000001</v>
      </c>
      <c r="C44" s="829">
        <v>0</v>
      </c>
      <c r="D44" s="549">
        <v>0</v>
      </c>
      <c r="E44" s="79"/>
      <c r="F44" s="60"/>
      <c r="G44" s="794">
        <f>+'Main Working Sheet - Final'!K44</f>
        <v>0</v>
      </c>
      <c r="H44" s="549">
        <v>0</v>
      </c>
      <c r="I44" s="528">
        <f t="shared" si="5"/>
        <v>0</v>
      </c>
      <c r="J44" s="528">
        <f t="shared" si="6"/>
        <v>0</v>
      </c>
      <c r="K44" s="528"/>
      <c r="L44" s="784">
        <f t="shared" si="7"/>
        <v>0</v>
      </c>
      <c r="N44" s="41"/>
      <c r="S44">
        <v>6.36</v>
      </c>
      <c r="Y44" s="532" t="s">
        <v>99</v>
      </c>
      <c r="Z44" s="506">
        <v>73.069999999999993</v>
      </c>
      <c r="AO44" s="780">
        <f t="shared" si="8"/>
        <v>0</v>
      </c>
      <c r="AT44" s="41">
        <v>0</v>
      </c>
    </row>
    <row r="45" spans="1:54">
      <c r="A45" s="61" t="s">
        <v>89</v>
      </c>
      <c r="B45" s="538"/>
      <c r="C45" s="824"/>
      <c r="D45" s="557"/>
      <c r="E45" s="76"/>
      <c r="F45" s="60"/>
      <c r="G45" s="794"/>
      <c r="H45" s="549"/>
      <c r="I45" s="528">
        <f t="shared" si="5"/>
        <v>0</v>
      </c>
      <c r="J45" s="528">
        <f t="shared" si="6"/>
        <v>0</v>
      </c>
      <c r="K45" s="528"/>
      <c r="L45" s="784"/>
      <c r="N45" s="41"/>
      <c r="Z45" s="526"/>
      <c r="AQ45" t="s">
        <v>89</v>
      </c>
      <c r="AT45" s="41">
        <v>0</v>
      </c>
    </row>
    <row r="46" spans="1:54">
      <c r="A46" s="62" t="s">
        <v>86</v>
      </c>
      <c r="B46" s="539"/>
      <c r="C46" s="824"/>
      <c r="D46" s="552"/>
      <c r="E46" s="76"/>
      <c r="F46" s="60"/>
      <c r="G46" s="794"/>
      <c r="H46" s="549"/>
      <c r="I46" s="528">
        <f t="shared" si="5"/>
        <v>0</v>
      </c>
      <c r="J46" s="528">
        <f t="shared" si="6"/>
        <v>0</v>
      </c>
      <c r="K46" s="528"/>
      <c r="L46" s="784"/>
      <c r="N46" s="41"/>
      <c r="Y46" s="531" t="s">
        <v>89</v>
      </c>
      <c r="Z46" s="526"/>
      <c r="AC46" s="42"/>
      <c r="AQ46" t="s">
        <v>86</v>
      </c>
      <c r="AT46" s="41">
        <v>0</v>
      </c>
    </row>
    <row r="47" spans="1:54">
      <c r="A47" s="64" t="s">
        <v>1077</v>
      </c>
      <c r="B47" s="483">
        <f>SUMIF('TB-30-09-2021'!B:B,'Regulation 33 - Balance Sheet'!A47,'TB-30-09-2021'!G:G)</f>
        <v>0</v>
      </c>
      <c r="C47" s="829">
        <v>1755.3199908000001</v>
      </c>
      <c r="D47" s="559">
        <v>0</v>
      </c>
      <c r="E47" s="267">
        <f>'[89]Latim Metals - TB'!F15</f>
        <v>37.207999999999998</v>
      </c>
      <c r="F47" s="120">
        <v>0</v>
      </c>
      <c r="G47" s="794">
        <f>+BS!B44/100000</f>
        <v>378.71146189999996</v>
      </c>
      <c r="H47" s="549">
        <v>1240.6600000000001</v>
      </c>
      <c r="I47" s="778">
        <f t="shared" si="5"/>
        <v>-861.94853810000018</v>
      </c>
      <c r="J47" s="528">
        <f t="shared" si="6"/>
        <v>-861.94853810000018</v>
      </c>
      <c r="K47" s="528">
        <f>+C47-D47</f>
        <v>1755.3199908000001</v>
      </c>
      <c r="L47" s="784">
        <f t="shared" ref="L47" si="9">+C47-D47</f>
        <v>1755.3199908000001</v>
      </c>
      <c r="N47" s="41">
        <v>6402.2448386000005</v>
      </c>
      <c r="Y47" s="532" t="s">
        <v>86</v>
      </c>
      <c r="Z47" s="526"/>
      <c r="AC47" s="42"/>
      <c r="AQ47" t="s">
        <v>87</v>
      </c>
      <c r="AR47" s="830">
        <f>G47-H47</f>
        <v>-861.94853810000018</v>
      </c>
      <c r="AT47" s="41">
        <v>1640.8937399000001</v>
      </c>
    </row>
    <row r="48" spans="1:54" hidden="1">
      <c r="A48" s="439" t="s">
        <v>1078</v>
      </c>
      <c r="B48" s="483">
        <f>SUMIF('TB-30-09-2021'!B:B,'Regulation 33 - Balance Sheet'!A48,'TB-30-09-2021'!G:G)</f>
        <v>0</v>
      </c>
      <c r="C48" s="824"/>
      <c r="D48" s="561">
        <v>0</v>
      </c>
      <c r="E48" s="267">
        <v>0</v>
      </c>
      <c r="F48" s="120">
        <v>0</v>
      </c>
      <c r="G48" s="794"/>
      <c r="H48" s="549">
        <v>0</v>
      </c>
      <c r="I48" s="528">
        <f t="shared" si="5"/>
        <v>0</v>
      </c>
      <c r="J48" s="528">
        <f t="shared" si="6"/>
        <v>0</v>
      </c>
      <c r="K48" s="528"/>
      <c r="L48" s="784"/>
      <c r="N48" s="41"/>
      <c r="Y48" s="533" t="s">
        <v>87</v>
      </c>
      <c r="Z48" s="506">
        <v>1690.6303718000001</v>
      </c>
      <c r="AC48" s="42"/>
      <c r="AQ48" t="s">
        <v>429</v>
      </c>
      <c r="AT48" s="41">
        <v>0</v>
      </c>
    </row>
    <row r="49" spans="1:49">
      <c r="A49" s="980" t="s">
        <v>429</v>
      </c>
      <c r="B49" s="483"/>
      <c r="C49" s="873">
        <v>23.33775</v>
      </c>
      <c r="D49" s="560">
        <v>0</v>
      </c>
      <c r="E49" s="267"/>
      <c r="F49" s="120"/>
      <c r="G49" s="794">
        <f>+BS!B45/100000</f>
        <v>107.89227509999999</v>
      </c>
      <c r="H49" s="549">
        <v>112.93</v>
      </c>
      <c r="I49" s="778">
        <f t="shared" si="5"/>
        <v>-5.0377249000000148</v>
      </c>
      <c r="J49" s="528">
        <f t="shared" si="6"/>
        <v>-5.0377249000000148</v>
      </c>
      <c r="K49" s="528">
        <f>+C49-D49</f>
        <v>23.33775</v>
      </c>
      <c r="L49" s="784"/>
      <c r="N49" s="41"/>
      <c r="Y49" s="533"/>
      <c r="Z49" s="506"/>
      <c r="AC49" s="42"/>
      <c r="AT49" s="41"/>
    </row>
    <row r="50" spans="1:49">
      <c r="A50" s="63" t="s">
        <v>431</v>
      </c>
      <c r="B50" s="483">
        <f>SUMIF('TB-30-09-2021'!B:B,'Regulation 33 - Balance Sheet'!A50,'TB-30-09-2021'!G:G)</f>
        <v>0</v>
      </c>
      <c r="C50" s="829"/>
      <c r="D50" s="562"/>
      <c r="E50" s="76"/>
      <c r="F50" s="120"/>
      <c r="G50" s="794"/>
      <c r="H50" s="549"/>
      <c r="I50" s="528">
        <f t="shared" si="5"/>
        <v>0</v>
      </c>
      <c r="J50" s="528">
        <f t="shared" si="6"/>
        <v>0</v>
      </c>
      <c r="K50" s="528"/>
      <c r="L50" s="784"/>
      <c r="N50" s="41">
        <v>5027.0934572999995</v>
      </c>
      <c r="Y50" s="439" t="s">
        <v>429</v>
      </c>
      <c r="Z50" s="526"/>
      <c r="AC50" s="42"/>
      <c r="AQ50" t="s">
        <v>431</v>
      </c>
      <c r="AT50" s="41">
        <v>0</v>
      </c>
    </row>
    <row r="51" spans="1:49">
      <c r="A51" s="428" t="s">
        <v>422</v>
      </c>
      <c r="B51" s="483">
        <f>SUMIF('TB-30-09-2021'!B:B,'Regulation 33 - Balance Sheet'!A51,'TB-30-09-2021'!G:G)</f>
        <v>0</v>
      </c>
      <c r="C51" s="829">
        <v>0</v>
      </c>
      <c r="D51" s="564">
        <v>0</v>
      </c>
      <c r="E51" s="76">
        <v>0</v>
      </c>
      <c r="F51" s="120">
        <v>0</v>
      </c>
      <c r="G51" s="794">
        <f>+BS!B47/100000</f>
        <v>463.44803999999999</v>
      </c>
      <c r="H51" s="556">
        <v>1093.02</v>
      </c>
      <c r="I51" s="778">
        <f t="shared" si="5"/>
        <v>-629.57195999999999</v>
      </c>
      <c r="J51" s="528">
        <f t="shared" si="6"/>
        <v>-629.57195999999999</v>
      </c>
      <c r="K51" s="528"/>
      <c r="L51" s="784">
        <f t="shared" ref="L51:L56" si="10">+C51-D51</f>
        <v>0</v>
      </c>
      <c r="N51" s="41"/>
      <c r="Y51" s="439" t="s">
        <v>431</v>
      </c>
      <c r="Z51" s="506">
        <v>10139.56977111</v>
      </c>
      <c r="AO51" s="519">
        <f t="shared" ref="AO51:AO57" si="11">G51-H51</f>
        <v>-629.57195999999999</v>
      </c>
      <c r="AQ51" t="s">
        <v>533</v>
      </c>
      <c r="AT51" s="41">
        <v>0</v>
      </c>
    </row>
    <row r="52" spans="1:49">
      <c r="A52" s="428" t="s">
        <v>1308</v>
      </c>
      <c r="B52" s="483">
        <f>SUMIF('TB-30-09-2021'!B:B,'Regulation 33 - Balance Sheet'!A52,'TB-30-09-2021'!G:G)</f>
        <v>0</v>
      </c>
      <c r="C52" s="829">
        <v>325.46634610000001</v>
      </c>
      <c r="D52" s="553">
        <v>1765.25</v>
      </c>
      <c r="E52" s="76">
        <f>'[89]Latim Metals - TB'!F20</f>
        <v>619.745</v>
      </c>
      <c r="F52" s="120">
        <v>320.08999999999997</v>
      </c>
      <c r="G52" s="794">
        <f>+BS!B48/100000</f>
        <v>2347.8363267</v>
      </c>
      <c r="H52" s="556">
        <v>772.86</v>
      </c>
      <c r="I52" s="778">
        <f t="shared" si="5"/>
        <v>1574.9763266999998</v>
      </c>
      <c r="J52" s="528">
        <f t="shared" si="6"/>
        <v>1574.9763266999998</v>
      </c>
      <c r="K52" s="528"/>
      <c r="L52" s="777">
        <f t="shared" si="10"/>
        <v>-1439.7836539</v>
      </c>
      <c r="N52" s="41"/>
      <c r="Y52" s="534" t="s">
        <v>533</v>
      </c>
      <c r="Z52" s="526"/>
      <c r="AO52" s="519">
        <f t="shared" si="11"/>
        <v>1574.9763266999998</v>
      </c>
      <c r="AQ52" t="s">
        <v>534</v>
      </c>
      <c r="AT52" s="41">
        <v>5786.1221211399998</v>
      </c>
    </row>
    <row r="53" spans="1:49">
      <c r="A53" s="63" t="s">
        <v>430</v>
      </c>
      <c r="B53" s="483">
        <f>SUMIF('TB-30-09-2021'!B:B,'Regulation 33 - Balance Sheet'!A53,'TB-30-09-2021'!G:G)</f>
        <v>42622321.32</v>
      </c>
      <c r="C53" s="829">
        <v>55.53022</v>
      </c>
      <c r="D53" s="544">
        <v>102.12</v>
      </c>
      <c r="E53" s="76">
        <f>'[89]Latim Metals - TB'!F23+'[89]Latim Metals - TB'!F37</f>
        <v>150.86700000000002</v>
      </c>
      <c r="F53" s="120">
        <v>1.41</v>
      </c>
      <c r="G53" s="794">
        <f>+BS!B49/100000</f>
        <v>32.661279999999998</v>
      </c>
      <c r="H53" s="566">
        <v>190.19</v>
      </c>
      <c r="I53" s="777">
        <f t="shared" si="5"/>
        <v>-157.52871999999999</v>
      </c>
      <c r="J53" s="528">
        <f t="shared" si="6"/>
        <v>-157.52871999999999</v>
      </c>
      <c r="K53" s="42"/>
      <c r="L53" s="778">
        <f t="shared" si="10"/>
        <v>-46.589780000000005</v>
      </c>
      <c r="N53" s="41">
        <v>0</v>
      </c>
      <c r="Y53" s="534" t="s">
        <v>534</v>
      </c>
      <c r="Z53" s="526"/>
      <c r="AO53" s="780">
        <f t="shared" si="11"/>
        <v>-157.52871999999999</v>
      </c>
      <c r="AQ53" t="s">
        <v>430</v>
      </c>
      <c r="AT53" s="41">
        <v>0</v>
      </c>
    </row>
    <row r="54" spans="1:49">
      <c r="A54" s="62" t="s">
        <v>91</v>
      </c>
      <c r="B54" s="483">
        <f>SUMIF('TB-30-09-2021'!B:B,'Regulation 33 - Balance Sheet'!A54,'TB-30-09-2021'!G:G)</f>
        <v>682511</v>
      </c>
      <c r="C54" s="829">
        <v>168.18751</v>
      </c>
      <c r="D54" s="544">
        <v>32.869999999999997</v>
      </c>
      <c r="E54" s="76">
        <f>'[89]Latim Metals - TB'!F18+'[89]Latim Metals - TB'!F21+'[89]Latim Metals - TB'!F22</f>
        <v>50.431999999999995</v>
      </c>
      <c r="F54" s="120">
        <v>0.67</v>
      </c>
      <c r="G54" s="794">
        <f>+BS!B50/100000</f>
        <v>206.01452035</v>
      </c>
      <c r="H54" s="549">
        <v>84.56</v>
      </c>
      <c r="I54" s="777">
        <f t="shared" si="5"/>
        <v>121.45452035</v>
      </c>
      <c r="J54" s="528">
        <f t="shared" si="6"/>
        <v>121.45452035</v>
      </c>
      <c r="K54" s="528"/>
      <c r="L54" s="778">
        <f t="shared" si="10"/>
        <v>135.31751</v>
      </c>
      <c r="N54" s="41">
        <v>127.83320856000003</v>
      </c>
      <c r="Y54" s="439" t="s">
        <v>430</v>
      </c>
      <c r="Z54" s="526"/>
      <c r="AO54" s="519">
        <f t="shared" si="11"/>
        <v>121.45452035</v>
      </c>
      <c r="AQ54" t="s">
        <v>88</v>
      </c>
      <c r="AT54" s="41">
        <v>621.10454000000004</v>
      </c>
    </row>
    <row r="55" spans="1:49">
      <c r="A55" s="62" t="s">
        <v>100</v>
      </c>
      <c r="B55" s="483">
        <f>SUMIF('TB-30-09-2021'!B:B,'Regulation 33 - Balance Sheet'!A55,'TB-30-09-2021'!G:G)</f>
        <v>0</v>
      </c>
      <c r="C55" s="829">
        <v>33.24</v>
      </c>
      <c r="D55" s="551">
        <v>0</v>
      </c>
      <c r="E55" s="76">
        <v>0</v>
      </c>
      <c r="F55" s="120">
        <v>0</v>
      </c>
      <c r="G55" s="794">
        <f>+BS!B51/100000</f>
        <v>51.4386005</v>
      </c>
      <c r="H55" s="549">
        <v>4.66</v>
      </c>
      <c r="I55" s="777">
        <f t="shared" si="5"/>
        <v>46.778600499999996</v>
      </c>
      <c r="J55" s="528">
        <f t="shared" si="6"/>
        <v>46.778600499999996</v>
      </c>
      <c r="K55" s="528"/>
      <c r="L55" s="784">
        <f t="shared" si="10"/>
        <v>33.24</v>
      </c>
      <c r="N55" s="41">
        <v>11.76643</v>
      </c>
      <c r="Y55" s="535" t="s">
        <v>88</v>
      </c>
      <c r="Z55" s="506">
        <v>0</v>
      </c>
      <c r="AO55" s="519">
        <f t="shared" si="11"/>
        <v>46.778600499999996</v>
      </c>
      <c r="AQ55" t="s">
        <v>535</v>
      </c>
      <c r="AT55" s="41">
        <v>0</v>
      </c>
    </row>
    <row r="56" spans="1:49" hidden="1">
      <c r="A56" s="62" t="s">
        <v>432</v>
      </c>
      <c r="B56" s="483">
        <f>SUMIF('TB-30-09-2021'!B:B,'Regulation 33 - Balance Sheet'!A56,'TB-30-09-2021'!G:G)+('Regulation 33 - Results'!H32*100000)</f>
        <v>0</v>
      </c>
      <c r="C56" s="829">
        <v>0</v>
      </c>
      <c r="D56" s="551">
        <v>143.25</v>
      </c>
      <c r="E56" s="76">
        <f>'[89]Latim Metals - TB'!F19</f>
        <v>28.74</v>
      </c>
      <c r="F56" s="120">
        <v>26.9</v>
      </c>
      <c r="G56" s="794">
        <f>+'Main Working Sheet - Final'!K57</f>
        <v>0</v>
      </c>
      <c r="H56" s="549">
        <v>0</v>
      </c>
      <c r="I56" s="528">
        <f t="shared" si="5"/>
        <v>0</v>
      </c>
      <c r="J56" s="528">
        <f t="shared" si="6"/>
        <v>0</v>
      </c>
      <c r="K56" s="528"/>
      <c r="L56" s="784">
        <f t="shared" si="10"/>
        <v>-143.25</v>
      </c>
      <c r="N56" s="41">
        <v>-49.353409999999997</v>
      </c>
      <c r="Y56" s="532" t="s">
        <v>535</v>
      </c>
      <c r="Z56" s="506">
        <v>0</v>
      </c>
      <c r="AO56" s="42">
        <f t="shared" si="11"/>
        <v>0</v>
      </c>
      <c r="AP56" s="42"/>
      <c r="AQ56" t="s">
        <v>536</v>
      </c>
      <c r="AT56" s="41">
        <v>15.248710000000001</v>
      </c>
    </row>
    <row r="57" spans="1:49">
      <c r="A57" s="62" t="s">
        <v>432</v>
      </c>
      <c r="B57" s="120"/>
      <c r="C57" s="824"/>
      <c r="D57" s="549"/>
      <c r="E57" s="75"/>
      <c r="F57" s="60"/>
      <c r="G57" s="794">
        <f>+BS!B52/100000+0.006</f>
        <v>41.406570000000002</v>
      </c>
      <c r="H57" s="120">
        <v>0</v>
      </c>
      <c r="I57" s="528">
        <f t="shared" si="5"/>
        <v>41.406570000000002</v>
      </c>
      <c r="J57" s="528">
        <f t="shared" si="6"/>
        <v>41.406570000000002</v>
      </c>
      <c r="Y57" s="532" t="s">
        <v>536</v>
      </c>
      <c r="Z57" s="506">
        <v>326.44791542000002</v>
      </c>
      <c r="AO57" s="519">
        <f t="shared" si="11"/>
        <v>41.406570000000002</v>
      </c>
      <c r="AT57" s="41"/>
    </row>
    <row r="58" spans="1:49">
      <c r="A58" s="60"/>
      <c r="B58" s="120"/>
      <c r="C58" s="824"/>
      <c r="D58" s="549"/>
      <c r="E58" s="75"/>
      <c r="F58" s="60"/>
      <c r="G58" s="794"/>
      <c r="H58" s="60"/>
      <c r="I58" s="528">
        <f t="shared" si="5"/>
        <v>0</v>
      </c>
      <c r="J58" s="528"/>
      <c r="Y58" s="532"/>
      <c r="Z58" s="506"/>
      <c r="AT58" s="41"/>
    </row>
    <row r="59" spans="1:49" ht="15" thickBot="1">
      <c r="A59" s="65" t="s">
        <v>92</v>
      </c>
      <c r="B59" s="78" t="e">
        <f>SUM(B31:B57)</f>
        <v>#REF!</v>
      </c>
      <c r="C59" s="78">
        <f>SUM(C31:C57)+0.01</f>
        <v>4607.24384276</v>
      </c>
      <c r="D59" s="78">
        <f>SUM(D31:D57)+0.01</f>
        <v>4485.34</v>
      </c>
      <c r="E59" s="78">
        <f>SUM(E34:E56)</f>
        <v>2825.4215506699998</v>
      </c>
      <c r="F59" s="78">
        <f>SUM(F34:F56)</f>
        <v>1976.7800000000002</v>
      </c>
      <c r="G59" s="78">
        <f>SUM(G31:G57)-0.006</f>
        <v>14781.71239155</v>
      </c>
      <c r="H59" s="78">
        <f>SUM(H34:H57)</f>
        <v>12508.890000000001</v>
      </c>
      <c r="I59" s="878"/>
      <c r="J59" s="878"/>
      <c r="K59" s="878"/>
      <c r="L59" s="438"/>
      <c r="N59" s="78">
        <v>12642.829970003355</v>
      </c>
      <c r="P59" s="271">
        <v>-1.5599998732795939E-6</v>
      </c>
      <c r="Q59" s="42">
        <v>-7.7999993663979694E-7</v>
      </c>
      <c r="Z59" s="42">
        <f>SUM(Z35:Z57)</f>
        <v>14323.685483523659</v>
      </c>
      <c r="AQ59" t="s">
        <v>92</v>
      </c>
      <c r="AT59" s="41">
        <f>SUM(AT34:AT56)</f>
        <v>11398.53048646</v>
      </c>
      <c r="AV59" s="42">
        <f>+C59+AT59</f>
        <v>16005.774329219999</v>
      </c>
      <c r="AW59" s="42">
        <f>+AV59-G59</f>
        <v>1224.0619376699997</v>
      </c>
    </row>
    <row r="60" spans="1:49" ht="15" thickTop="1">
      <c r="B60" s="41" t="e">
        <f>+B30-B59</f>
        <v>#REF!</v>
      </c>
      <c r="C60" s="825">
        <f>+C59-C30</f>
        <v>8.1550000004426693E-3</v>
      </c>
      <c r="G60" s="795">
        <f>+G59-G30</f>
        <v>-3.0000592232681811E-8</v>
      </c>
      <c r="H60" s="780"/>
      <c r="I60" s="780"/>
      <c r="J60" s="780"/>
      <c r="K60" s="780"/>
      <c r="L60" s="574"/>
      <c r="Q60" s="42">
        <v>-3.1199997465591878E-6</v>
      </c>
      <c r="Z60" s="42">
        <f>+Z59-Z31</f>
        <v>99.501811795778849</v>
      </c>
      <c r="AT60" s="41">
        <f>AT59-AT30</f>
        <v>-4.8368600000685547E-3</v>
      </c>
    </row>
    <row r="61" spans="1:49">
      <c r="AO61" s="42"/>
    </row>
    <row r="62" spans="1:49">
      <c r="A62" s="82"/>
      <c r="B62" s="497"/>
      <c r="C62" s="827"/>
      <c r="D62" s="497"/>
      <c r="E62" s="82"/>
      <c r="F62" s="355"/>
      <c r="G62" s="977"/>
      <c r="H62" s="449" t="s">
        <v>56</v>
      </c>
      <c r="I62" s="449"/>
      <c r="J62" s="449"/>
      <c r="K62" s="449"/>
      <c r="L62" s="786"/>
    </row>
    <row r="63" spans="1:49">
      <c r="A63" s="82"/>
      <c r="B63" s="497"/>
      <c r="C63" s="827"/>
      <c r="D63" s="497"/>
      <c r="E63" s="82"/>
      <c r="F63" s="82"/>
      <c r="G63" s="977"/>
      <c r="H63" s="450"/>
      <c r="I63" s="450"/>
      <c r="J63" s="450"/>
      <c r="K63" s="450"/>
      <c r="L63" s="787"/>
    </row>
    <row r="64" spans="1:49">
      <c r="B64" s="498"/>
      <c r="C64" s="828"/>
      <c r="D64" s="498"/>
      <c r="E64" s="82"/>
      <c r="F64" s="82"/>
      <c r="G64" s="977"/>
      <c r="H64" s="450"/>
      <c r="I64" s="450"/>
      <c r="J64" s="450"/>
      <c r="K64" s="450"/>
      <c r="L64" s="787"/>
    </row>
    <row r="65" spans="1:12">
      <c r="B65" s="498"/>
      <c r="C65" s="828"/>
      <c r="D65" s="498"/>
      <c r="E65" s="82"/>
      <c r="F65" s="82"/>
      <c r="G65" s="977"/>
      <c r="H65" s="450"/>
      <c r="I65" s="450"/>
      <c r="J65" s="450"/>
      <c r="K65" s="450"/>
      <c r="L65" s="787"/>
    </row>
    <row r="66" spans="1:12">
      <c r="A66" s="82"/>
      <c r="B66" s="497"/>
      <c r="C66" s="827"/>
      <c r="D66" s="497"/>
      <c r="E66" s="82"/>
      <c r="F66" s="355"/>
      <c r="G66" s="977"/>
      <c r="H66" s="449" t="s">
        <v>57</v>
      </c>
      <c r="I66" s="449"/>
      <c r="J66" s="449"/>
      <c r="K66" s="449"/>
      <c r="L66" s="786"/>
    </row>
    <row r="67" spans="1:12">
      <c r="A67" s="355" t="s">
        <v>55</v>
      </c>
      <c r="B67" s="497"/>
      <c r="C67" s="827"/>
      <c r="D67" s="497"/>
      <c r="E67" s="82"/>
      <c r="F67" s="355"/>
      <c r="G67" s="977"/>
      <c r="H67" s="449" t="s">
        <v>58</v>
      </c>
      <c r="I67" s="449"/>
      <c r="J67" s="449"/>
      <c r="K67" s="449"/>
      <c r="L67" s="786"/>
    </row>
    <row r="68" spans="1:12">
      <c r="A68" s="355" t="s">
        <v>2155</v>
      </c>
      <c r="B68" s="497"/>
      <c r="C68" s="827"/>
      <c r="D68" s="497"/>
      <c r="E68" s="82"/>
      <c r="F68" s="355"/>
      <c r="G68" s="977"/>
      <c r="H68" s="449" t="s">
        <v>59</v>
      </c>
      <c r="I68" s="449"/>
      <c r="J68" s="449"/>
      <c r="K68" s="449"/>
      <c r="L68" s="786"/>
    </row>
  </sheetData>
  <mergeCells count="11">
    <mergeCell ref="A1:H1"/>
    <mergeCell ref="A2:H2"/>
    <mergeCell ref="A4:A5"/>
    <mergeCell ref="R24:R25"/>
    <mergeCell ref="B4:B5"/>
    <mergeCell ref="C4:C5"/>
    <mergeCell ref="D4:D5"/>
    <mergeCell ref="E4:E5"/>
    <mergeCell ref="F4:F5"/>
    <mergeCell ref="G4:G5"/>
    <mergeCell ref="H4:H5"/>
  </mergeCells>
  <pageMargins left="0.7" right="0.7" top="0.75" bottom="0.75" header="0.3" footer="0.3"/>
  <pageSetup paperSize="9" scale="67" orientation="portrait" r:id="rId1"/>
  <colBreaks count="1" manualBreakCount="1">
    <brk id="11"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J60"/>
  <sheetViews>
    <sheetView view="pageBreakPreview" zoomScale="140" zoomScaleNormal="140" zoomScaleSheetLayoutView="140" workbookViewId="0">
      <selection activeCell="D50" sqref="D50"/>
    </sheetView>
  </sheetViews>
  <sheetFormatPr defaultColWidth="9.453125" defaultRowHeight="14.5"/>
  <cols>
    <col min="1" max="1" width="56.453125" customWidth="1"/>
    <col min="2" max="2" width="17.54296875" style="443" customWidth="1"/>
    <col min="3" max="3" width="17.54296875" customWidth="1"/>
    <col min="4" max="4" width="19.81640625" bestFit="1" customWidth="1"/>
    <col min="5" max="5" width="50.453125" bestFit="1" customWidth="1"/>
    <col min="6" max="6" width="9.453125" style="41"/>
    <col min="8" max="8" width="54" bestFit="1" customWidth="1"/>
    <col min="9" max="9" width="10.453125" style="41" bestFit="1" customWidth="1"/>
  </cols>
  <sheetData>
    <row r="1" spans="1:9">
      <c r="A1" s="1141" t="s">
        <v>1</v>
      </c>
      <c r="B1" s="1141"/>
      <c r="C1" s="1141"/>
    </row>
    <row r="2" spans="1:9" s="441" customFormat="1">
      <c r="A2" s="1208" t="s">
        <v>2018</v>
      </c>
      <c r="B2" s="1208"/>
      <c r="C2" s="1208"/>
      <c r="F2" s="478"/>
      <c r="I2" s="478"/>
    </row>
    <row r="3" spans="1:9" s="441" customFormat="1">
      <c r="A3" s="444"/>
      <c r="B3" s="445"/>
      <c r="C3" s="444"/>
      <c r="E3" s="788">
        <v>563575</v>
      </c>
      <c r="F3" s="478"/>
      <c r="I3" s="478"/>
    </row>
    <row r="4" spans="1:9" s="441" customFormat="1">
      <c r="B4" s="446"/>
      <c r="C4" s="451" t="s">
        <v>1350</v>
      </c>
      <c r="D4" s="982"/>
      <c r="E4" s="441">
        <v>31852818.09</v>
      </c>
      <c r="F4" s="478"/>
      <c r="I4" s="478"/>
    </row>
    <row r="5" spans="1:9" s="441" customFormat="1" ht="43.5">
      <c r="A5" s="462" t="s">
        <v>0</v>
      </c>
      <c r="B5" s="463" t="s">
        <v>2020</v>
      </c>
      <c r="C5" s="567" t="s">
        <v>1934</v>
      </c>
      <c r="D5" s="788"/>
      <c r="E5" s="788"/>
      <c r="F5" s="478"/>
      <c r="I5" s="478"/>
    </row>
    <row r="6" spans="1:9" s="441" customFormat="1">
      <c r="A6" s="59" t="s">
        <v>433</v>
      </c>
      <c r="B6" s="464"/>
      <c r="C6" s="468"/>
      <c r="E6" s="441" t="s">
        <v>433</v>
      </c>
      <c r="F6" s="478"/>
      <c r="H6" s="441" t="s">
        <v>433</v>
      </c>
      <c r="I6" s="478"/>
    </row>
    <row r="7" spans="1:9">
      <c r="A7" s="452" t="s">
        <v>463</v>
      </c>
      <c r="B7" s="465">
        <f>+'Regulation 33 - Results'!N30</f>
        <v>537.84467931964537</v>
      </c>
      <c r="C7" s="469">
        <v>272.48</v>
      </c>
      <c r="D7" s="42"/>
      <c r="E7" t="s">
        <v>434</v>
      </c>
      <c r="F7" s="41">
        <v>-60.843314349999993</v>
      </c>
      <c r="H7" t="s">
        <v>463</v>
      </c>
      <c r="I7" s="41">
        <v>-959.17</v>
      </c>
    </row>
    <row r="8" spans="1:9">
      <c r="A8" s="453" t="s">
        <v>435</v>
      </c>
      <c r="B8" s="465"/>
      <c r="C8" s="470"/>
      <c r="E8" t="s">
        <v>435</v>
      </c>
      <c r="H8" t="s">
        <v>435</v>
      </c>
    </row>
    <row r="9" spans="1:9">
      <c r="A9" s="454" t="s">
        <v>437</v>
      </c>
      <c r="B9" s="465">
        <f>+('Regulation 33 - Results'!N23)-(5003970/100000)-(1308658/100000)</f>
        <v>141.55943669999999</v>
      </c>
      <c r="C9" s="469">
        <v>69.44</v>
      </c>
      <c r="E9" t="s">
        <v>436</v>
      </c>
      <c r="F9" s="41">
        <v>1.34877</v>
      </c>
      <c r="H9" t="s">
        <v>437</v>
      </c>
      <c r="I9" s="41">
        <v>228.07737</v>
      </c>
    </row>
    <row r="10" spans="1:9">
      <c r="A10" t="s">
        <v>2067</v>
      </c>
      <c r="B10" s="465">
        <f>-(159736.63/100000)</f>
        <v>-1.5973663</v>
      </c>
      <c r="C10" s="469">
        <v>0</v>
      </c>
      <c r="E10" t="s">
        <v>437</v>
      </c>
      <c r="F10" s="41">
        <v>13.63625</v>
      </c>
      <c r="H10" t="s">
        <v>469</v>
      </c>
      <c r="I10" s="41">
        <v>-42.93</v>
      </c>
    </row>
    <row r="11" spans="1:9">
      <c r="A11" t="s">
        <v>2068</v>
      </c>
      <c r="B11" s="465">
        <f>-91907.48/100000</f>
        <v>-0.91907479999999997</v>
      </c>
      <c r="C11" s="469">
        <v>-15.68</v>
      </c>
    </row>
    <row r="12" spans="1:9">
      <c r="A12" t="s">
        <v>1369</v>
      </c>
      <c r="B12" s="465">
        <f>((1696016+5003970-6023970)/100000)+((1308658+100426-1488376)/100000)</f>
        <v>5.9672400000000003</v>
      </c>
      <c r="C12" s="469">
        <v>8.1</v>
      </c>
    </row>
    <row r="13" spans="1:9">
      <c r="A13" t="s">
        <v>1370</v>
      </c>
      <c r="B13" s="465">
        <f>-(9283870.91+381347)/100000</f>
        <v>-96.652179099999998</v>
      </c>
      <c r="C13" s="469">
        <v>-3.58</v>
      </c>
    </row>
    <row r="14" spans="1:9">
      <c r="A14" s="454" t="s">
        <v>439</v>
      </c>
      <c r="B14" s="465">
        <f>-(92939+110073)/100000</f>
        <v>-2.0301200000000001</v>
      </c>
      <c r="C14" s="469">
        <v>-2.96</v>
      </c>
      <c r="E14" t="s">
        <v>438</v>
      </c>
      <c r="F14" s="41">
        <v>6.1057134000000008</v>
      </c>
      <c r="H14" t="s">
        <v>439</v>
      </c>
      <c r="I14" s="41">
        <v>-3.4241700000000002</v>
      </c>
    </row>
    <row r="15" spans="1:9">
      <c r="A15" s="454" t="s">
        <v>457</v>
      </c>
      <c r="B15" s="465">
        <f>+('Regulation 33 - Results'!N22)-(1696016/100000)-(100426/100000)-(348831.14/100000)</f>
        <v>362.20194191000007</v>
      </c>
      <c r="C15" s="469">
        <v>326.8</v>
      </c>
      <c r="E15" t="s">
        <v>439</v>
      </c>
      <c r="F15" s="41">
        <v>-1.4997799999999999</v>
      </c>
      <c r="H15" t="s">
        <v>470</v>
      </c>
      <c r="I15" s="41">
        <v>330.141547</v>
      </c>
    </row>
    <row r="16" spans="1:9" hidden="1">
      <c r="A16" s="455" t="s">
        <v>464</v>
      </c>
      <c r="B16" s="465">
        <v>0</v>
      </c>
      <c r="C16" s="469">
        <v>0</v>
      </c>
      <c r="H16" t="s">
        <v>464</v>
      </c>
      <c r="I16" s="41">
        <v>0</v>
      </c>
    </row>
    <row r="17" spans="1:10">
      <c r="A17" s="455"/>
      <c r="B17" s="465"/>
      <c r="C17" s="471"/>
      <c r="E17" t="s">
        <v>440</v>
      </c>
      <c r="F17" s="41">
        <v>-41.252360949999996</v>
      </c>
      <c r="H17" t="s">
        <v>440</v>
      </c>
      <c r="I17" s="41">
        <v>-447.30525299999994</v>
      </c>
    </row>
    <row r="18" spans="1:10">
      <c r="A18" s="456" t="s">
        <v>1364</v>
      </c>
      <c r="B18" s="880">
        <f>SUM(B7:B15)+0.006</f>
        <v>946.38055772964537</v>
      </c>
      <c r="C18" s="469">
        <f>+SUM(C7:C15)</f>
        <v>654.60000000000014</v>
      </c>
    </row>
    <row r="19" spans="1:10">
      <c r="A19" s="456"/>
      <c r="B19" s="465"/>
      <c r="C19" s="472"/>
      <c r="E19" s="82" t="s">
        <v>441</v>
      </c>
      <c r="H19" t="s">
        <v>441</v>
      </c>
    </row>
    <row r="20" spans="1:10">
      <c r="A20" s="457" t="s">
        <v>441</v>
      </c>
      <c r="B20" s="465"/>
      <c r="C20" s="473"/>
      <c r="E20" t="s">
        <v>442</v>
      </c>
      <c r="F20" s="41">
        <v>-422.04400000000004</v>
      </c>
      <c r="H20" t="s">
        <v>442</v>
      </c>
      <c r="I20" s="41">
        <v>482.56706544999986</v>
      </c>
    </row>
    <row r="21" spans="1:10">
      <c r="A21" s="455" t="s">
        <v>442</v>
      </c>
      <c r="B21" s="465">
        <f>+'Regulation 33 - Balance Sheet'!J22</f>
        <v>-1412.9420671000003</v>
      </c>
      <c r="C21" s="986">
        <v>-1241.8900000000001</v>
      </c>
      <c r="E21" t="s">
        <v>443</v>
      </c>
      <c r="F21" s="41">
        <v>5.5480400000000003</v>
      </c>
      <c r="H21" t="s">
        <v>443</v>
      </c>
      <c r="I21" s="41">
        <v>-9.5532231699999439</v>
      </c>
    </row>
    <row r="22" spans="1:10">
      <c r="A22" s="455" t="s">
        <v>443</v>
      </c>
      <c r="B22" s="465">
        <f>+'Regulation 33 - Balance Sheet'!J26+'Regulation 33 - Balance Sheet'!J27+'Regulation 33 - Balance Sheet'!J13</f>
        <v>-460.54210985000032</v>
      </c>
      <c r="C22" s="986">
        <v>-536.16</v>
      </c>
      <c r="E22" t="s">
        <v>444</v>
      </c>
      <c r="F22" s="41">
        <v>3.0000000001564331E-3</v>
      </c>
      <c r="H22" t="s">
        <v>444</v>
      </c>
      <c r="I22" s="41">
        <v>897.74929468699986</v>
      </c>
    </row>
    <row r="23" spans="1:10">
      <c r="A23" s="455" t="s">
        <v>444</v>
      </c>
      <c r="B23" s="465">
        <f>+'Regulation 33 - Balance Sheet'!J19</f>
        <v>-381.90283554999951</v>
      </c>
      <c r="C23" s="986">
        <v>-2909.54</v>
      </c>
      <c r="E23" t="s">
        <v>445</v>
      </c>
      <c r="F23" s="41">
        <v>299.65500000000003</v>
      </c>
      <c r="G23" s="442"/>
      <c r="H23" s="442" t="s">
        <v>465</v>
      </c>
      <c r="I23" s="41">
        <v>1773.3896857399998</v>
      </c>
    </row>
    <row r="24" spans="1:10">
      <c r="A24" s="455" t="s">
        <v>465</v>
      </c>
      <c r="B24" s="465">
        <f>+'Regulation 33 - Balance Sheet'!J52+'Regulation 33 - Balance Sheet'!J51</f>
        <v>945.40436669999985</v>
      </c>
      <c r="C24" s="986">
        <v>3492.22</v>
      </c>
      <c r="E24" t="s">
        <v>446</v>
      </c>
      <c r="F24" s="41">
        <v>108.02600000000001</v>
      </c>
      <c r="G24" s="442"/>
      <c r="H24" s="442" t="s">
        <v>466</v>
      </c>
      <c r="I24" s="41">
        <v>-257.82399393424919</v>
      </c>
    </row>
    <row r="25" spans="1:10" ht="29">
      <c r="A25" s="455" t="s">
        <v>466</v>
      </c>
      <c r="B25" s="465">
        <f>+'Regulation 33 - Balance Sheet'!J53+'Regulation 33 - Balance Sheet'!J54+'Regulation 33 - Balance Sheet'!J55</f>
        <v>10.704400849999999</v>
      </c>
      <c r="C25" s="986">
        <v>-48.13</v>
      </c>
      <c r="E25" t="s">
        <v>447</v>
      </c>
      <c r="F25" s="41">
        <v>20.83</v>
      </c>
    </row>
    <row r="26" spans="1:10">
      <c r="A26" s="455" t="s">
        <v>1084</v>
      </c>
      <c r="B26" s="465">
        <f>+'Regulation 33 - Balance Sheet'!J42</f>
        <v>-1.1465600000000009</v>
      </c>
      <c r="C26" s="987">
        <v>0.97</v>
      </c>
      <c r="E26" s="82" t="s">
        <v>448</v>
      </c>
      <c r="F26" s="41">
        <v>-29.234320949999798</v>
      </c>
      <c r="H26" t="s">
        <v>448</v>
      </c>
      <c r="I26" s="41">
        <v>2439.0235757727501</v>
      </c>
      <c r="J26" s="42"/>
    </row>
    <row r="27" spans="1:10">
      <c r="A27" s="456" t="s">
        <v>1365</v>
      </c>
      <c r="B27" s="880">
        <f>SUM(B18:B26)</f>
        <v>-354.04424722035475</v>
      </c>
      <c r="C27" s="469">
        <f>+SUM(C18:C26)</f>
        <v>-587.92999999999995</v>
      </c>
    </row>
    <row r="28" spans="1:10">
      <c r="A28" s="458"/>
      <c r="B28" s="465"/>
      <c r="C28" s="473"/>
      <c r="E28" t="s">
        <v>449</v>
      </c>
      <c r="F28" s="41">
        <v>-26.9</v>
      </c>
      <c r="H28" t="s">
        <v>471</v>
      </c>
      <c r="I28" s="41">
        <v>0</v>
      </c>
    </row>
    <row r="29" spans="1:10">
      <c r="A29" s="458" t="s">
        <v>449</v>
      </c>
      <c r="B29" s="465">
        <f>(1300216/100000)</f>
        <v>13.00216</v>
      </c>
      <c r="C29" s="475">
        <v>0</v>
      </c>
      <c r="E29" t="s">
        <v>450</v>
      </c>
      <c r="F29" s="41">
        <v>-56.134320949999797</v>
      </c>
    </row>
    <row r="30" spans="1:10">
      <c r="A30" s="456" t="s">
        <v>1366</v>
      </c>
      <c r="B30" s="880">
        <f>B27-B29</f>
        <v>-367.04640722035475</v>
      </c>
      <c r="C30" s="469">
        <v>-587.92999999999995</v>
      </c>
      <c r="H30" t="s">
        <v>450</v>
      </c>
      <c r="I30" s="41">
        <v>2439.0135757727498</v>
      </c>
    </row>
    <row r="31" spans="1:10">
      <c r="A31" s="456"/>
      <c r="B31" s="465"/>
      <c r="C31" s="472"/>
      <c r="E31" t="s">
        <v>451</v>
      </c>
    </row>
    <row r="32" spans="1:10">
      <c r="A32" s="59" t="s">
        <v>451</v>
      </c>
      <c r="B32" s="465"/>
      <c r="C32" s="59"/>
      <c r="E32" t="s">
        <v>452</v>
      </c>
      <c r="F32" s="41">
        <v>0</v>
      </c>
      <c r="H32" t="s">
        <v>451</v>
      </c>
    </row>
    <row r="33" spans="1:9">
      <c r="A33" s="458" t="s">
        <v>472</v>
      </c>
      <c r="B33" s="465">
        <f>-(2276981+130000-347456)/100000+0.15</f>
        <v>-20.445250000000001</v>
      </c>
      <c r="C33" s="469">
        <v>-347.58</v>
      </c>
      <c r="E33" t="s">
        <v>453</v>
      </c>
      <c r="F33" s="41">
        <v>1.4997799999999999</v>
      </c>
      <c r="H33" t="s">
        <v>467</v>
      </c>
      <c r="I33" s="41">
        <v>0</v>
      </c>
    </row>
    <row r="34" spans="1:9" hidden="1">
      <c r="A34" s="458" t="s">
        <v>472</v>
      </c>
      <c r="B34" s="465">
        <v>0</v>
      </c>
      <c r="C34" s="469"/>
      <c r="E34" t="s">
        <v>454</v>
      </c>
      <c r="F34" s="41">
        <v>1.4997799999999999</v>
      </c>
      <c r="H34" t="s">
        <v>468</v>
      </c>
      <c r="I34" s="41">
        <v>0</v>
      </c>
    </row>
    <row r="35" spans="1:9" hidden="1">
      <c r="A35" s="458" t="s">
        <v>473</v>
      </c>
      <c r="B35" s="465">
        <v>0</v>
      </c>
      <c r="C35" s="469">
        <v>0</v>
      </c>
    </row>
    <row r="36" spans="1:9">
      <c r="A36" s="458" t="s">
        <v>2069</v>
      </c>
      <c r="B36" s="465">
        <f>20091907.48/100000</f>
        <v>200.9190748</v>
      </c>
      <c r="C36" s="469">
        <v>19.16</v>
      </c>
    </row>
    <row r="37" spans="1:9">
      <c r="A37" s="458" t="s">
        <v>2070</v>
      </c>
      <c r="B37" s="465">
        <f>-(20000000/100000)</f>
        <v>-200</v>
      </c>
      <c r="C37" s="469">
        <v>0</v>
      </c>
    </row>
    <row r="38" spans="1:9">
      <c r="A38" s="458" t="s">
        <v>453</v>
      </c>
      <c r="B38" s="465">
        <f>-B14</f>
        <v>2.0301200000000001</v>
      </c>
      <c r="C38" s="475">
        <v>2.96</v>
      </c>
      <c r="E38" t="s">
        <v>455</v>
      </c>
      <c r="H38" t="s">
        <v>453</v>
      </c>
      <c r="I38" s="41">
        <v>3.4241700000000002</v>
      </c>
    </row>
    <row r="39" spans="1:9">
      <c r="A39" s="456" t="s">
        <v>1367</v>
      </c>
      <c r="B39" s="880">
        <f>SUM(B33:B38)</f>
        <v>-17.496055200000011</v>
      </c>
      <c r="C39" s="898">
        <f>+SUM(C33:C38)</f>
        <v>-325.45999999999998</v>
      </c>
      <c r="E39" t="s">
        <v>456</v>
      </c>
      <c r="F39" s="41">
        <v>0</v>
      </c>
      <c r="H39" t="s">
        <v>454</v>
      </c>
      <c r="I39" s="41">
        <v>-93.74566999999999</v>
      </c>
    </row>
    <row r="40" spans="1:9">
      <c r="A40" s="459"/>
      <c r="B40" s="465"/>
      <c r="C40" s="472"/>
      <c r="E40" t="s">
        <v>462</v>
      </c>
      <c r="F40" s="41">
        <v>63.465549999999993</v>
      </c>
    </row>
    <row r="41" spans="1:9">
      <c r="A41" s="460" t="s">
        <v>455</v>
      </c>
      <c r="B41" s="465"/>
      <c r="C41" s="59"/>
      <c r="E41" t="s">
        <v>457</v>
      </c>
      <c r="F41" s="41">
        <v>-6.1057134000000008</v>
      </c>
      <c r="H41" t="s">
        <v>455</v>
      </c>
    </row>
    <row r="42" spans="1:9" hidden="1">
      <c r="A42" s="458" t="s">
        <v>1083</v>
      </c>
      <c r="B42" s="465">
        <v>0</v>
      </c>
      <c r="C42" s="469">
        <v>0</v>
      </c>
      <c r="F42" s="479"/>
    </row>
    <row r="43" spans="1:9">
      <c r="A43" s="458" t="s">
        <v>2071</v>
      </c>
      <c r="B43" s="465">
        <f>179844806.4/100000-0.02</f>
        <v>1798.4280640000002</v>
      </c>
      <c r="C43" s="469">
        <v>0</v>
      </c>
      <c r="F43" s="479"/>
    </row>
    <row r="44" spans="1:9">
      <c r="A44" s="458" t="s">
        <v>1363</v>
      </c>
      <c r="B44" s="465">
        <f>(1829425)/100000</f>
        <v>18.294250000000002</v>
      </c>
      <c r="C44" s="469">
        <v>1995.69</v>
      </c>
      <c r="F44" s="479"/>
    </row>
    <row r="45" spans="1:9">
      <c r="A45" s="458" t="s">
        <v>2022</v>
      </c>
      <c r="B45" s="465">
        <f>-(7559348.94+20390000+63010372)/100000</f>
        <v>-909.5972094</v>
      </c>
      <c r="C45" s="469">
        <v>-714.24</v>
      </c>
      <c r="E45" t="s">
        <v>458</v>
      </c>
      <c r="F45" s="41">
        <v>57.359836599999994</v>
      </c>
      <c r="H45" t="s">
        <v>457</v>
      </c>
      <c r="I45" s="41">
        <v>-330.141547</v>
      </c>
    </row>
    <row r="46" spans="1:9">
      <c r="A46" s="458" t="s">
        <v>457</v>
      </c>
      <c r="B46" s="465">
        <f>-B15</f>
        <v>-362.20194191000007</v>
      </c>
      <c r="C46" s="469">
        <v>-326.8</v>
      </c>
    </row>
    <row r="47" spans="1:9">
      <c r="A47" s="458"/>
      <c r="B47" s="465"/>
      <c r="C47" s="477"/>
      <c r="E47" t="s">
        <v>459</v>
      </c>
      <c r="F47" s="41">
        <v>2.7252956500001986</v>
      </c>
      <c r="H47" t="s">
        <v>458</v>
      </c>
      <c r="I47" s="41">
        <v>-2306.5130333604266</v>
      </c>
    </row>
    <row r="48" spans="1:9" ht="15" thickBot="1">
      <c r="A48" s="456" t="s">
        <v>1368</v>
      </c>
      <c r="B48" s="879">
        <f>SUM(B42:B47)-0.01</f>
        <v>544.91316269000004</v>
      </c>
      <c r="C48" s="476">
        <f>+SUM(C42:C46)</f>
        <v>954.65000000000009</v>
      </c>
      <c r="E48" t="s">
        <v>460</v>
      </c>
      <c r="F48" s="41">
        <v>4.29</v>
      </c>
    </row>
    <row r="49" spans="1:9" ht="15" thickTop="1">
      <c r="A49" s="459"/>
      <c r="B49" s="465"/>
      <c r="C49" s="470"/>
      <c r="E49" t="s">
        <v>461</v>
      </c>
      <c r="F49" s="41">
        <v>7.0150000000000006</v>
      </c>
      <c r="H49" t="s">
        <v>459</v>
      </c>
      <c r="I49" s="41">
        <v>38.754872412323493</v>
      </c>
    </row>
    <row r="50" spans="1:9" ht="15" thickBot="1">
      <c r="A50" s="456" t="s">
        <v>459</v>
      </c>
      <c r="B50" s="879">
        <f>B48+B39+B30</f>
        <v>160.37070026964528</v>
      </c>
      <c r="C50" s="476">
        <f>+C30+C39+C48</f>
        <v>41.260000000000218</v>
      </c>
      <c r="E50" s="42"/>
    </row>
    <row r="51" spans="1:9" ht="15" thickTop="1">
      <c r="A51" s="459" t="s">
        <v>460</v>
      </c>
      <c r="B51" s="465">
        <f>+'Regulation 33 - Balance Sheet'!H23</f>
        <v>79.709999999999994</v>
      </c>
      <c r="C51" s="469">
        <v>97.45</v>
      </c>
      <c r="E51" s="830">
        <f>423.99-B52</f>
        <v>183.90929973035475</v>
      </c>
      <c r="H51" t="s">
        <v>460</v>
      </c>
      <c r="I51" s="41">
        <v>-7.7498594999999995</v>
      </c>
    </row>
    <row r="52" spans="1:9">
      <c r="A52" s="461" t="s">
        <v>461</v>
      </c>
      <c r="B52" s="466">
        <f>+B50+B51</f>
        <v>240.08070026964526</v>
      </c>
      <c r="C52" s="475">
        <v>138.71</v>
      </c>
      <c r="D52" s="42">
        <f>B50+B51-B52</f>
        <v>0</v>
      </c>
      <c r="E52" s="42">
        <f>B51-B52</f>
        <v>-160.37070026964528</v>
      </c>
      <c r="F52" s="41">
        <f>C51-C52</f>
        <v>-41.260000000000005</v>
      </c>
      <c r="H52" t="s">
        <v>461</v>
      </c>
      <c r="I52" s="41">
        <v>30.989996600000001</v>
      </c>
    </row>
    <row r="53" spans="1:9">
      <c r="A53" s="448"/>
      <c r="B53" s="796"/>
      <c r="C53" s="796"/>
      <c r="D53" s="576"/>
      <c r="E53" s="42">
        <f>E52-B48</f>
        <v>-705.28386295964538</v>
      </c>
    </row>
    <row r="54" spans="1:9">
      <c r="A54" s="82"/>
      <c r="B54" s="82"/>
      <c r="C54" s="449" t="s">
        <v>56</v>
      </c>
      <c r="E54" s="42">
        <f>221.82+B29</f>
        <v>234.82216</v>
      </c>
    </row>
    <row r="55" spans="1:9">
      <c r="A55" s="82"/>
      <c r="B55" s="82"/>
      <c r="C55" s="450"/>
      <c r="E55" s="42">
        <f>B52-'Regulation 33 - Balance Sheet'!G23</f>
        <v>125.47343878964526</v>
      </c>
    </row>
    <row r="56" spans="1:9">
      <c r="A56" s="355"/>
      <c r="B56" s="82"/>
      <c r="C56" s="450"/>
    </row>
    <row r="57" spans="1:9">
      <c r="A57" s="355"/>
      <c r="B57" s="82"/>
      <c r="C57" s="450"/>
    </row>
    <row r="58" spans="1:9">
      <c r="A58" s="82"/>
      <c r="B58" s="82"/>
      <c r="C58" s="449" t="s">
        <v>57</v>
      </c>
    </row>
    <row r="59" spans="1:9">
      <c r="A59" s="355" t="s">
        <v>55</v>
      </c>
      <c r="B59" s="82"/>
      <c r="C59" s="449" t="s">
        <v>58</v>
      </c>
    </row>
    <row r="60" spans="1:9">
      <c r="A60" s="355" t="str">
        <f>+'Regulation 33 - Balance Sheet'!A68</f>
        <v>Date: 14th February 2025</v>
      </c>
      <c r="B60" s="82"/>
      <c r="C60" s="449" t="s">
        <v>59</v>
      </c>
    </row>
  </sheetData>
  <mergeCells count="2">
    <mergeCell ref="A1:C1"/>
    <mergeCell ref="A2:C2"/>
  </mergeCells>
  <pageMargins left="0.7" right="0.7" top="0.75" bottom="0.75" header="0.3" footer="0.3"/>
  <pageSetup paperSize="9" scale="5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F5144-BBA6-4060-8899-F206BDFFAEF5}">
  <dimension ref="A1:AS82"/>
  <sheetViews>
    <sheetView showGridLines="0" topLeftCell="A21" zoomScale="80" zoomScaleNormal="80" workbookViewId="0">
      <selection activeCell="AH59" sqref="AH59"/>
    </sheetView>
  </sheetViews>
  <sheetFormatPr defaultRowHeight="14.5"/>
  <cols>
    <col min="1" max="1" width="10.54296875" bestFit="1" customWidth="1"/>
    <col min="2" max="2" width="30.26953125" bestFit="1" customWidth="1"/>
    <col min="3" max="3" width="16.453125" bestFit="1" customWidth="1"/>
    <col min="4" max="4" width="18.54296875" bestFit="1" customWidth="1"/>
    <col min="5" max="5" width="21.7265625" customWidth="1"/>
    <col min="6" max="6" width="16.453125" bestFit="1" customWidth="1"/>
    <col min="7" max="7" width="2.453125" hidden="1" customWidth="1"/>
    <col min="8" max="9" width="2.54296875" hidden="1" customWidth="1"/>
    <col min="10" max="10" width="3.26953125" hidden="1" customWidth="1"/>
    <col min="11" max="11" width="2.7265625" hidden="1" customWidth="1"/>
    <col min="12" max="12" width="4.26953125" hidden="1" customWidth="1"/>
    <col min="13" max="13" width="3.7265625" hidden="1" customWidth="1"/>
    <col min="14" max="14" width="15.54296875" hidden="1" customWidth="1"/>
    <col min="15" max="15" width="2.26953125" hidden="1" customWidth="1"/>
    <col min="16" max="16" width="2.7265625" hidden="1" customWidth="1"/>
    <col min="17" max="17" width="5.453125" hidden="1" customWidth="1"/>
    <col min="18" max="18" width="0.453125" hidden="1" customWidth="1"/>
    <col min="19" max="19" width="17.1796875" hidden="1" customWidth="1"/>
    <col min="20" max="20" width="8.81640625" hidden="1" customWidth="1"/>
    <col min="21" max="21" width="12.26953125" hidden="1" customWidth="1"/>
    <col min="22" max="22" width="27.1796875" hidden="1" customWidth="1"/>
    <col min="23" max="23" width="12.26953125" hidden="1" customWidth="1"/>
    <col min="24" max="24" width="21.26953125" bestFit="1" customWidth="1"/>
    <col min="25" max="25" width="16.453125" bestFit="1" customWidth="1"/>
    <col min="26" max="26" width="10.7265625" bestFit="1" customWidth="1"/>
    <col min="27" max="27" width="10.26953125" customWidth="1"/>
    <col min="28" max="28" width="28.7265625" customWidth="1"/>
    <col min="29" max="29" width="16.81640625" customWidth="1"/>
    <col min="30" max="30" width="16.54296875" customWidth="1"/>
    <col min="31" max="31" width="20.1796875" bestFit="1" customWidth="1"/>
    <col min="32" max="32" width="24.26953125" customWidth="1"/>
    <col min="33" max="33" width="43" bestFit="1" customWidth="1"/>
    <col min="37" max="37" width="14" customWidth="1"/>
    <col min="38" max="38" width="44.81640625" customWidth="1"/>
    <col min="39" max="39" width="15" customWidth="1"/>
    <col min="40" max="40" width="12.26953125" bestFit="1" customWidth="1"/>
    <col min="41" max="41" width="16.26953125" bestFit="1" customWidth="1"/>
    <col min="42" max="42" width="17" customWidth="1"/>
    <col min="43" max="44" width="8.81640625" hidden="1" customWidth="1"/>
    <col min="45" max="45" width="1.26953125" customWidth="1"/>
  </cols>
  <sheetData>
    <row r="1" spans="7:45" hidden="1">
      <c r="V1" s="82" t="s">
        <v>1944</v>
      </c>
      <c r="W1" s="82"/>
      <c r="Z1" s="669">
        <v>45320</v>
      </c>
      <c r="AA1" s="82" t="s">
        <v>1945</v>
      </c>
      <c r="AG1" t="s">
        <v>1946</v>
      </c>
    </row>
    <row r="2" spans="7:45" ht="51" hidden="1" customHeight="1">
      <c r="AA2" s="82" t="s">
        <v>1947</v>
      </c>
      <c r="AK2" s="1140" t="s">
        <v>1948</v>
      </c>
      <c r="AL2" s="1140"/>
      <c r="AM2" s="1140"/>
      <c r="AN2" s="1140"/>
      <c r="AO2" s="1140"/>
      <c r="AP2" s="1140"/>
      <c r="AQ2" s="1140"/>
      <c r="AR2" s="1140"/>
      <c r="AS2" s="1140"/>
    </row>
    <row r="3" spans="7:45" hidden="1">
      <c r="G3" s="1141" t="s">
        <v>1949</v>
      </c>
      <c r="H3" s="1141"/>
      <c r="I3" s="1141"/>
      <c r="J3" s="1141"/>
      <c r="K3" s="1141"/>
      <c r="L3" s="1141"/>
      <c r="M3" s="1141"/>
      <c r="N3" s="1141"/>
      <c r="V3" s="82" t="s">
        <v>1950</v>
      </c>
      <c r="W3" s="82"/>
      <c r="Z3" s="669">
        <v>45330</v>
      </c>
      <c r="AA3" s="82" t="s">
        <v>1951</v>
      </c>
      <c r="AH3" s="82" t="s">
        <v>1952</v>
      </c>
      <c r="AK3" s="843">
        <f>((AD7*AD9)+(AD8*AD6))/(AD7+AD8)</f>
        <v>14.606666666666667</v>
      </c>
    </row>
    <row r="4" spans="7:45" hidden="1">
      <c r="AA4" s="82" t="s">
        <v>1953</v>
      </c>
    </row>
    <row r="5" spans="7:45" hidden="1">
      <c r="G5" s="82" t="s">
        <v>1954</v>
      </c>
      <c r="H5" t="s">
        <v>1955</v>
      </c>
      <c r="AA5" s="82"/>
    </row>
    <row r="6" spans="7:45" hidden="1">
      <c r="G6" s="82"/>
      <c r="AA6" s="82" t="s">
        <v>1956</v>
      </c>
      <c r="AD6" s="82">
        <v>8.5</v>
      </c>
    </row>
    <row r="7" spans="7:45" hidden="1">
      <c r="G7" s="82"/>
      <c r="AA7" s="82" t="s">
        <v>1957</v>
      </c>
      <c r="AD7" s="883">
        <v>88314300</v>
      </c>
    </row>
    <row r="8" spans="7:45" ht="34.9" hidden="1" customHeight="1">
      <c r="G8" s="82"/>
      <c r="U8" s="989"/>
      <c r="V8" s="989"/>
      <c r="W8" s="989"/>
      <c r="X8" s="989"/>
      <c r="AA8" s="82" t="s">
        <v>1958</v>
      </c>
      <c r="AD8" s="883">
        <f>88314300/2</f>
        <v>44157150</v>
      </c>
      <c r="AE8">
        <v>44157150</v>
      </c>
    </row>
    <row r="9" spans="7:45" hidden="1">
      <c r="G9" s="82"/>
      <c r="AA9" s="82" t="s">
        <v>1959</v>
      </c>
      <c r="AD9" s="990">
        <v>17.66</v>
      </c>
      <c r="AE9" t="s">
        <v>1960</v>
      </c>
    </row>
    <row r="10" spans="7:45" hidden="1">
      <c r="G10" s="82"/>
      <c r="X10" s="82" t="s">
        <v>1961</v>
      </c>
      <c r="Z10" s="669">
        <v>45320</v>
      </c>
      <c r="AA10" s="82" t="s">
        <v>1962</v>
      </c>
      <c r="AD10" s="830">
        <f>AK3</f>
        <v>14.606666666666667</v>
      </c>
    </row>
    <row r="11" spans="7:45" ht="15" hidden="1" thickBot="1">
      <c r="G11" s="82" t="s">
        <v>1963</v>
      </c>
      <c r="H11" t="s">
        <v>1964</v>
      </c>
      <c r="AA11" s="82" t="s">
        <v>1965</v>
      </c>
      <c r="AD11" s="991">
        <f>AD9/AD10</f>
        <v>1.209036969420356</v>
      </c>
    </row>
    <row r="12" spans="7:45" hidden="1">
      <c r="G12" s="82"/>
    </row>
    <row r="13" spans="7:45" hidden="1">
      <c r="G13" s="82"/>
      <c r="H13" t="s">
        <v>1966</v>
      </c>
      <c r="AA13" s="82" t="s">
        <v>1967</v>
      </c>
      <c r="AC13" s="830">
        <f>AD7</f>
        <v>88314300</v>
      </c>
      <c r="AD13" s="830"/>
    </row>
    <row r="14" spans="7:45" hidden="1">
      <c r="G14" s="82"/>
      <c r="L14" s="1140" t="s">
        <v>1968</v>
      </c>
      <c r="M14" s="1140"/>
      <c r="N14" s="1140"/>
      <c r="O14" s="1140"/>
      <c r="P14" s="1140"/>
      <c r="Q14" s="1140"/>
      <c r="R14" s="1140"/>
      <c r="S14" s="1140"/>
      <c r="T14" s="1140"/>
      <c r="AA14" s="82" t="s">
        <v>1969</v>
      </c>
      <c r="AC14" s="885">
        <f>AD11</f>
        <v>1.209036969420356</v>
      </c>
      <c r="AD14" s="830"/>
    </row>
    <row r="15" spans="7:45" hidden="1">
      <c r="G15" s="82"/>
      <c r="J15" s="82" t="s">
        <v>1965</v>
      </c>
      <c r="L15" s="883" t="e">
        <f>#REF!/#REF!</f>
        <v>#REF!</v>
      </c>
      <c r="M15">
        <v>1.04</v>
      </c>
      <c r="X15" s="830"/>
      <c r="Y15" s="830"/>
      <c r="AA15" s="82" t="s">
        <v>1970</v>
      </c>
      <c r="AC15" s="885">
        <f>AC13*AC14</f>
        <v>106775253.62848015</v>
      </c>
      <c r="AD15" s="830"/>
      <c r="AE15" s="82"/>
    </row>
    <row r="16" spans="7:45" hidden="1">
      <c r="G16" s="82"/>
      <c r="X16" s="830"/>
      <c r="AA16" s="992"/>
      <c r="AC16" s="830"/>
      <c r="AD16" s="830"/>
      <c r="AE16" s="885"/>
    </row>
    <row r="17" spans="1:42" hidden="1">
      <c r="G17" s="82" t="s">
        <v>1971</v>
      </c>
      <c r="H17" t="s">
        <v>1972</v>
      </c>
      <c r="X17" s="830"/>
      <c r="AA17" s="82" t="s">
        <v>1973</v>
      </c>
      <c r="AC17" s="843">
        <f>AC15-AC13</f>
        <v>18460953.628480151</v>
      </c>
      <c r="AD17" s="830"/>
      <c r="AE17" s="830"/>
    </row>
    <row r="18" spans="1:42" hidden="1">
      <c r="G18" s="82"/>
      <c r="AA18" s="82"/>
      <c r="AC18" s="830"/>
      <c r="AD18" s="830"/>
      <c r="AE18" s="843"/>
    </row>
    <row r="19" spans="1:42" hidden="1">
      <c r="G19" s="82"/>
      <c r="H19" t="s">
        <v>1974</v>
      </c>
      <c r="J19" s="82" t="s">
        <v>1975</v>
      </c>
      <c r="AA19" s="82" t="s">
        <v>1976</v>
      </c>
      <c r="AC19" s="843">
        <f>AD8-AC17</f>
        <v>25696196.371519849</v>
      </c>
    </row>
    <row r="20" spans="1:42" hidden="1">
      <c r="G20" s="82"/>
      <c r="J20" s="883" t="e">
        <f>75100000/AE18</f>
        <v>#DIV/0!</v>
      </c>
      <c r="S20">
        <v>8.5</v>
      </c>
      <c r="AA20" s="82"/>
      <c r="AC20" s="843"/>
    </row>
    <row r="21" spans="1:42">
      <c r="G21" s="82"/>
      <c r="J21" s="883"/>
      <c r="AA21" s="82"/>
      <c r="AC21" s="843"/>
    </row>
    <row r="22" spans="1:42">
      <c r="G22" s="82"/>
      <c r="J22" s="883"/>
      <c r="AA22" s="82"/>
      <c r="AC22" s="843"/>
    </row>
    <row r="23" spans="1:42">
      <c r="B23" s="82" t="s">
        <v>1977</v>
      </c>
      <c r="G23" s="82"/>
      <c r="S23" t="e">
        <f>#REF!-S20</f>
        <v>#REF!</v>
      </c>
    </row>
    <row r="24" spans="1:42" ht="15" thickBot="1">
      <c r="G24" s="82"/>
      <c r="V24" s="830"/>
      <c r="W24" s="993"/>
      <c r="Y24" s="830"/>
      <c r="AA24" s="82" t="s">
        <v>1978</v>
      </c>
      <c r="AJ24" s="82" t="s">
        <v>1979</v>
      </c>
    </row>
    <row r="25" spans="1:42">
      <c r="B25" s="994" t="s">
        <v>0</v>
      </c>
      <c r="C25" s="995" t="s">
        <v>1980</v>
      </c>
      <c r="D25" s="995" t="s">
        <v>1981</v>
      </c>
      <c r="E25" s="995" t="s">
        <v>1982</v>
      </c>
      <c r="F25" s="995" t="s">
        <v>1983</v>
      </c>
      <c r="G25" s="995"/>
      <c r="H25" s="995"/>
      <c r="I25" s="995"/>
      <c r="J25" s="995"/>
      <c r="K25" s="995"/>
      <c r="L25" s="995"/>
      <c r="M25" s="995"/>
      <c r="N25" s="995"/>
      <c r="O25" s="995"/>
      <c r="P25" s="995"/>
      <c r="Q25" s="995"/>
      <c r="R25" s="995"/>
      <c r="S25" s="995"/>
      <c r="T25" s="995"/>
      <c r="U25" s="995"/>
      <c r="V25" s="995"/>
      <c r="W25" s="995"/>
      <c r="X25" s="995"/>
      <c r="Y25" s="996" t="s">
        <v>1984</v>
      </c>
      <c r="AA25" s="997" t="s">
        <v>0</v>
      </c>
      <c r="AB25" s="995"/>
      <c r="AC25" s="995"/>
      <c r="AD25" s="995" t="s">
        <v>1985</v>
      </c>
      <c r="AE25" s="995" t="s">
        <v>1986</v>
      </c>
      <c r="AF25" s="995" t="s">
        <v>1987</v>
      </c>
      <c r="AG25" s="996" t="s">
        <v>1988</v>
      </c>
      <c r="AJ25" s="997" t="s">
        <v>0</v>
      </c>
      <c r="AK25" s="995"/>
      <c r="AL25" s="995"/>
      <c r="AM25" s="995" t="s">
        <v>1985</v>
      </c>
      <c r="AN25" s="995" t="s">
        <v>1986</v>
      </c>
      <c r="AO25" s="995" t="s">
        <v>1987</v>
      </c>
      <c r="AP25" s="996" t="s">
        <v>1988</v>
      </c>
    </row>
    <row r="26" spans="1:42">
      <c r="B26" s="998" t="s">
        <v>662</v>
      </c>
      <c r="C26" s="999">
        <f>AD26+AD27+(AD28*AE28)</f>
        <v>119623351.81424007</v>
      </c>
      <c r="D26">
        <v>1</v>
      </c>
      <c r="E26" s="115">
        <v>45383</v>
      </c>
      <c r="F26">
        <v>91</v>
      </c>
      <c r="Y26" s="1000">
        <f>C26*D26*F26/F26</f>
        <v>119623351.81424007</v>
      </c>
      <c r="AA26" s="998" t="s">
        <v>1989</v>
      </c>
      <c r="AD26" s="830">
        <f>AC13</f>
        <v>88314300</v>
      </c>
      <c r="AE26" s="830">
        <v>1</v>
      </c>
      <c r="AF26" s="1001">
        <v>1</v>
      </c>
      <c r="AG26" s="1000">
        <f>AD26*AF26*AE26</f>
        <v>88314300</v>
      </c>
      <c r="AJ26" s="998" t="s">
        <v>1989</v>
      </c>
      <c r="AM26" s="830">
        <f>AD26</f>
        <v>88314300</v>
      </c>
      <c r="AN26" s="830">
        <v>1</v>
      </c>
      <c r="AO26" s="1001">
        <v>1</v>
      </c>
      <c r="AP26" s="1000">
        <f>AM26*AO26*AN26</f>
        <v>88314300</v>
      </c>
    </row>
    <row r="27" spans="1:42" ht="15" thickBot="1">
      <c r="B27" s="998" t="s">
        <v>1990</v>
      </c>
      <c r="C27" s="830">
        <f>(41735439-8658)*AD28/(AD27+AD28)</f>
        <v>24281901.312186211</v>
      </c>
      <c r="D27">
        <f>0.5</f>
        <v>0.5</v>
      </c>
      <c r="E27" s="115">
        <v>45426</v>
      </c>
      <c r="F27">
        <v>47</v>
      </c>
      <c r="Y27" s="1000">
        <f>C27*D27*F27/$F$26</f>
        <v>6270600.8883118238</v>
      </c>
      <c r="AA27" s="998" t="s">
        <v>1991</v>
      </c>
      <c r="AD27" s="830">
        <f>AC17</f>
        <v>18460953.628480151</v>
      </c>
      <c r="AE27" s="830">
        <v>1</v>
      </c>
      <c r="AF27" s="1001">
        <v>1</v>
      </c>
      <c r="AG27" s="1000">
        <f>AD27*AF27*AE27</f>
        <v>18460953.628480151</v>
      </c>
      <c r="AJ27" s="998" t="s">
        <v>1991</v>
      </c>
      <c r="AM27" s="830">
        <f>AD27</f>
        <v>18460953.628480151</v>
      </c>
      <c r="AN27" s="830">
        <v>1</v>
      </c>
      <c r="AO27" s="1001">
        <v>1</v>
      </c>
      <c r="AP27" s="1000">
        <f>AM27*AO27*AN27</f>
        <v>18460953.628480151</v>
      </c>
    </row>
    <row r="28" spans="1:42" ht="15" thickBot="1">
      <c r="B28" s="998" t="s">
        <v>1992</v>
      </c>
      <c r="C28" s="999">
        <f>8658*AD28/(AD28+AD27)</f>
        <v>5038.3158375171142</v>
      </c>
      <c r="D28">
        <f>0.5</f>
        <v>0.5</v>
      </c>
      <c r="E28" s="115">
        <v>45439</v>
      </c>
      <c r="F28">
        <v>34</v>
      </c>
      <c r="Y28" s="1000">
        <f>C28*D28*F28/$F$26</f>
        <v>941.22383777792254</v>
      </c>
      <c r="AA28" s="998" t="s">
        <v>1993</v>
      </c>
      <c r="AD28" s="830">
        <f>AC19</f>
        <v>25696196.371519849</v>
      </c>
      <c r="AE28" s="830">
        <v>0.5</v>
      </c>
      <c r="AF28" s="1001" t="s">
        <v>1994</v>
      </c>
      <c r="AG28" s="1000">
        <f>AD28*AE28*(54/365)</f>
        <v>1900814.5261124272</v>
      </c>
      <c r="AJ28" s="1002" t="s">
        <v>1995</v>
      </c>
      <c r="AK28" s="1003"/>
      <c r="AL28" s="1003"/>
      <c r="AM28" s="1003"/>
      <c r="AN28" s="1003"/>
      <c r="AO28" s="1003"/>
      <c r="AP28" s="1004">
        <f>SUM(AP26:AP27)</f>
        <v>106775253.62848015</v>
      </c>
    </row>
    <row r="29" spans="1:42" ht="21.5" thickBot="1">
      <c r="B29" s="1005" t="s">
        <v>1996</v>
      </c>
      <c r="C29" s="1006"/>
      <c r="D29" s="1006"/>
      <c r="E29" s="1006"/>
      <c r="F29" s="1006"/>
      <c r="G29" s="1006"/>
      <c r="H29" s="1006"/>
      <c r="I29" s="1006"/>
      <c r="J29" s="1006"/>
      <c r="K29" s="1006"/>
      <c r="L29" s="1006"/>
      <c r="M29" s="1006"/>
      <c r="N29" s="1006"/>
      <c r="O29" s="1006"/>
      <c r="P29" s="1006"/>
      <c r="Q29" s="1006"/>
      <c r="R29" s="1006"/>
      <c r="S29" s="1006"/>
      <c r="T29" s="1006"/>
      <c r="U29" s="1006"/>
      <c r="V29" s="1006"/>
      <c r="W29" s="1006"/>
      <c r="X29" s="1006"/>
      <c r="Y29" s="1007">
        <f>SUM(Y26:Y28)</f>
        <v>125894893.92638966</v>
      </c>
      <c r="AA29" s="1008" t="s">
        <v>1995</v>
      </c>
      <c r="AB29" s="1003"/>
      <c r="AC29" s="1003"/>
      <c r="AD29" s="1009">
        <f>SUM(AD26:AD28)</f>
        <v>132471450</v>
      </c>
      <c r="AE29" s="1003"/>
      <c r="AF29" s="1003"/>
      <c r="AG29" s="1010">
        <f>SUM(AG26:AG28)</f>
        <v>108676068.15459257</v>
      </c>
      <c r="AJ29" s="82" t="s">
        <v>1997</v>
      </c>
      <c r="AP29" s="830">
        <f>AP28/100000</f>
        <v>1067.7525362848014</v>
      </c>
    </row>
    <row r="30" spans="1:42">
      <c r="N30" s="830"/>
      <c r="Q30" s="830"/>
      <c r="AG30" s="830">
        <f>AG29/100000</f>
        <v>1086.7606815459258</v>
      </c>
    </row>
    <row r="31" spans="1:42" ht="15" thickBot="1">
      <c r="A31" s="115"/>
      <c r="N31" s="830"/>
      <c r="Q31" s="830"/>
      <c r="AK31" s="1011"/>
      <c r="AP31" s="1011">
        <v>44986</v>
      </c>
    </row>
    <row r="32" spans="1:42">
      <c r="A32" s="115"/>
      <c r="C32" s="830"/>
      <c r="D32" s="885"/>
      <c r="E32" s="885"/>
      <c r="F32" s="885"/>
      <c r="O32" s="830"/>
      <c r="W32" s="830"/>
      <c r="Y32" s="830">
        <v>125894893.92639001</v>
      </c>
      <c r="AA32" s="1137" t="s">
        <v>1998</v>
      </c>
      <c r="AB32" s="1138"/>
      <c r="AC32" s="1138"/>
      <c r="AD32" s="1139"/>
      <c r="AF32" s="1137" t="s">
        <v>1999</v>
      </c>
      <c r="AG32" s="1138"/>
      <c r="AH32" s="1138"/>
      <c r="AI32" s="1139"/>
    </row>
    <row r="33" spans="1:35">
      <c r="A33" s="115"/>
      <c r="C33" s="830"/>
      <c r="D33" s="885"/>
      <c r="E33" s="885"/>
      <c r="F33" s="885"/>
      <c r="U33" s="885"/>
      <c r="Y33" s="830"/>
      <c r="AA33" s="1012" t="s">
        <v>2000</v>
      </c>
      <c r="AD33" s="1013">
        <f>765.24</f>
        <v>765.24</v>
      </c>
      <c r="AF33" s="1012" t="s">
        <v>2000</v>
      </c>
      <c r="AI33" s="1013">
        <v>320.04000000000002</v>
      </c>
    </row>
    <row r="34" spans="1:35">
      <c r="A34" s="115"/>
      <c r="C34" s="830"/>
      <c r="D34" s="885"/>
      <c r="E34" s="885"/>
      <c r="F34" s="885"/>
      <c r="Y34" s="830"/>
      <c r="AA34" s="1012" t="s">
        <v>2001</v>
      </c>
      <c r="AD34" s="1013">
        <f>-83</f>
        <v>-83</v>
      </c>
      <c r="AF34" s="1012" t="s">
        <v>2001</v>
      </c>
      <c r="AI34" s="1013">
        <f>-83</f>
        <v>-83</v>
      </c>
    </row>
    <row r="35" spans="1:35">
      <c r="R35" s="830"/>
      <c r="U35" s="830"/>
      <c r="Y35" s="843"/>
      <c r="AA35" s="1012" t="s">
        <v>2002</v>
      </c>
      <c r="AD35" s="1000">
        <f>SUM(AD33:AD34)</f>
        <v>682.24</v>
      </c>
      <c r="AF35" s="1012" t="s">
        <v>2002</v>
      </c>
      <c r="AI35" s="1000">
        <f>SUM(AI33:AI34)</f>
        <v>237.04000000000002</v>
      </c>
    </row>
    <row r="36" spans="1:35">
      <c r="C36" s="885"/>
      <c r="R36" s="830"/>
      <c r="AA36" s="998"/>
      <c r="AD36" s="1014"/>
      <c r="AF36" s="998"/>
      <c r="AI36" s="1014"/>
    </row>
    <row r="37" spans="1:35" ht="15" thickBot="1">
      <c r="C37" s="885"/>
      <c r="R37" s="830"/>
      <c r="Y37" s="883"/>
      <c r="AA37" s="1015" t="s">
        <v>2003</v>
      </c>
      <c r="AB37" s="1016"/>
      <c r="AC37" s="1016"/>
      <c r="AD37" s="1017">
        <f>AD35/AG30</f>
        <v>0.62777390789433807</v>
      </c>
      <c r="AF37" s="1015" t="s">
        <v>2003</v>
      </c>
      <c r="AG37" s="1016"/>
      <c r="AH37" s="1016"/>
      <c r="AI37" s="1017">
        <f>AI35/AG30</f>
        <v>0.21811609862698447</v>
      </c>
    </row>
    <row r="38" spans="1:35" ht="15" thickBot="1">
      <c r="P38" s="830"/>
      <c r="Q38" s="844"/>
      <c r="AA38" s="1015" t="s">
        <v>2004</v>
      </c>
      <c r="AB38" s="1016"/>
      <c r="AC38" s="1016"/>
      <c r="AD38" s="1018">
        <f>AD37</f>
        <v>0.62777390789433807</v>
      </c>
      <c r="AF38" s="1015" t="s">
        <v>2004</v>
      </c>
      <c r="AG38" s="1016"/>
      <c r="AH38" s="1016"/>
      <c r="AI38" s="1019">
        <f>AI37</f>
        <v>0.21811609862698447</v>
      </c>
    </row>
    <row r="39" spans="1:35" ht="15" thickBot="1">
      <c r="C39" s="843"/>
      <c r="D39" s="830">
        <f>AD26</f>
        <v>88314300</v>
      </c>
      <c r="E39">
        <v>1</v>
      </c>
      <c r="F39" s="830">
        <f>D39*E39</f>
        <v>88314300</v>
      </c>
      <c r="P39" s="830"/>
      <c r="Q39" s="844"/>
    </row>
    <row r="40" spans="1:35">
      <c r="D40" s="885">
        <v>41735439</v>
      </c>
      <c r="E40">
        <v>1</v>
      </c>
      <c r="F40" s="830">
        <f>D40*E40</f>
        <v>41735439</v>
      </c>
      <c r="P40" s="830"/>
      <c r="Q40" s="844"/>
      <c r="AA40" s="1137" t="s">
        <v>2005</v>
      </c>
      <c r="AB40" s="1138"/>
      <c r="AC40" s="1138"/>
      <c r="AD40" s="1139"/>
      <c r="AF40" s="1137" t="s">
        <v>2006</v>
      </c>
      <c r="AG40" s="1138"/>
      <c r="AH40" s="1138"/>
      <c r="AI40" s="1139"/>
    </row>
    <row r="41" spans="1:35">
      <c r="D41" s="830">
        <f>(D39/2)-D40</f>
        <v>2421711</v>
      </c>
      <c r="E41">
        <v>0.5</v>
      </c>
      <c r="F41" s="830">
        <f>D41*E41</f>
        <v>1210855.5</v>
      </c>
      <c r="P41" s="830"/>
      <c r="Q41" s="842"/>
      <c r="AA41" s="1012" t="s">
        <v>2000</v>
      </c>
      <c r="AD41" s="1013">
        <f>-749.93</f>
        <v>-749.93</v>
      </c>
      <c r="AF41" s="1012" t="s">
        <v>2000</v>
      </c>
      <c r="AI41" s="1013">
        <v>182.91</v>
      </c>
    </row>
    <row r="42" spans="1:35">
      <c r="C42" s="885"/>
      <c r="D42" s="830" t="s">
        <v>2007</v>
      </c>
      <c r="F42" s="830">
        <f>SUM(F39:F41)</f>
        <v>131260594.5</v>
      </c>
      <c r="AA42" s="1012" t="s">
        <v>2001</v>
      </c>
      <c r="AD42" s="1013"/>
      <c r="AF42" s="1012" t="s">
        <v>2001</v>
      </c>
      <c r="AI42" s="1013"/>
    </row>
    <row r="43" spans="1:35">
      <c r="C43" s="885"/>
      <c r="F43" s="830"/>
      <c r="Q43" s="830"/>
      <c r="AA43" s="1012" t="s">
        <v>2002</v>
      </c>
      <c r="AD43" s="1000">
        <f>SUM(AD41:AD42)</f>
        <v>-749.93</v>
      </c>
      <c r="AF43" s="1012" t="s">
        <v>2002</v>
      </c>
      <c r="AI43" s="1000">
        <f>SUM(AI41:AI42)</f>
        <v>182.91</v>
      </c>
    </row>
    <row r="44" spans="1:35">
      <c r="C44" s="885"/>
      <c r="AA44" s="998"/>
      <c r="AD44" s="1014"/>
      <c r="AF44" s="998"/>
      <c r="AI44" s="1014"/>
    </row>
    <row r="45" spans="1:35" ht="15" thickBot="1">
      <c r="B45" t="s">
        <v>2008</v>
      </c>
      <c r="C45" s="843">
        <f>162.07/1258.95</f>
        <v>0.12873426267921681</v>
      </c>
      <c r="F45" s="830"/>
      <c r="AA45" s="1015" t="s">
        <v>2009</v>
      </c>
      <c r="AB45" s="1016"/>
      <c r="AC45" s="1016"/>
      <c r="AD45" s="1017">
        <f>AD43/AP29</f>
        <v>-0.70234438647118447</v>
      </c>
      <c r="AF45" s="1015" t="s">
        <v>2003</v>
      </c>
      <c r="AG45" s="1016"/>
      <c r="AH45" s="1016"/>
      <c r="AI45" s="1017">
        <f>AI43/AP29</f>
        <v>0.17130373732140913</v>
      </c>
    </row>
    <row r="46" spans="1:35" ht="15" thickBot="1">
      <c r="F46" s="830"/>
      <c r="AA46" s="1015" t="s">
        <v>2010</v>
      </c>
      <c r="AB46" s="1016"/>
      <c r="AC46" s="1016"/>
      <c r="AD46" s="1020">
        <f>AD45</f>
        <v>-0.70234438647118447</v>
      </c>
      <c r="AF46" s="1015" t="s">
        <v>2004</v>
      </c>
      <c r="AG46" s="1016"/>
      <c r="AH46" s="1016"/>
      <c r="AI46" s="1019">
        <f>AI45</f>
        <v>0.17130373732140913</v>
      </c>
    </row>
    <row r="47" spans="1:35" ht="15" thickBot="1"/>
    <row r="48" spans="1:35">
      <c r="AF48" s="1137" t="s">
        <v>2011</v>
      </c>
      <c r="AG48" s="1138"/>
      <c r="AH48" s="1138"/>
      <c r="AI48" s="1139"/>
    </row>
    <row r="49" spans="32:35">
      <c r="AF49" s="1012" t="s">
        <v>2000</v>
      </c>
      <c r="AI49" s="1013">
        <v>18.14</v>
      </c>
    </row>
    <row r="50" spans="32:35">
      <c r="AF50" s="1012" t="s">
        <v>2001</v>
      </c>
      <c r="AI50" s="1013"/>
    </row>
    <row r="51" spans="32:35">
      <c r="AF51" s="1012" t="s">
        <v>2002</v>
      </c>
      <c r="AI51" s="1000">
        <f>SUM(AI49:AI50)</f>
        <v>18.14</v>
      </c>
    </row>
    <row r="52" spans="32:35">
      <c r="AF52" s="998"/>
      <c r="AI52" s="1014"/>
    </row>
    <row r="53" spans="32:35" ht="15" thickBot="1">
      <c r="AF53" s="1015" t="s">
        <v>2003</v>
      </c>
      <c r="AG53" s="1016"/>
      <c r="AH53" s="1016"/>
      <c r="AI53" s="1017">
        <f>AI51/AP29</f>
        <v>1.6988955196601398E-2</v>
      </c>
    </row>
    <row r="54" spans="32:35" ht="15" thickBot="1">
      <c r="AF54" s="1015" t="s">
        <v>2004</v>
      </c>
      <c r="AG54" s="1016"/>
      <c r="AH54" s="1016"/>
      <c r="AI54" s="1019">
        <f>AI53</f>
        <v>1.6988955196601398E-2</v>
      </c>
    </row>
    <row r="56" spans="32:35" ht="15" thickBot="1"/>
    <row r="57" spans="32:35">
      <c r="AF57" s="1137" t="s">
        <v>2012</v>
      </c>
      <c r="AG57" s="1138"/>
      <c r="AH57" s="1138"/>
      <c r="AI57" s="1139"/>
    </row>
    <row r="58" spans="32:35">
      <c r="AF58" s="1012" t="s">
        <v>2000</v>
      </c>
      <c r="AI58" s="1013">
        <f>+'[90]Regulation 33 - Results'!M42</f>
        <v>98.510000000000801</v>
      </c>
    </row>
    <row r="59" spans="32:35">
      <c r="AF59" s="1012" t="s">
        <v>2001</v>
      </c>
      <c r="AI59" s="1013"/>
    </row>
    <row r="60" spans="32:35">
      <c r="AF60" s="1012" t="s">
        <v>2002</v>
      </c>
      <c r="AI60" s="1000">
        <f>SUM(AI58:AI59)</f>
        <v>98.510000000000801</v>
      </c>
    </row>
    <row r="61" spans="32:35">
      <c r="AF61" s="998"/>
      <c r="AI61" s="1014"/>
    </row>
    <row r="62" spans="32:35" ht="15" thickBot="1">
      <c r="AF62" s="1015" t="s">
        <v>2013</v>
      </c>
      <c r="AG62" s="1016"/>
      <c r="AH62" s="1016"/>
      <c r="AI62" s="1017">
        <f>AI60/AP29</f>
        <v>9.2259204874157522E-2</v>
      </c>
    </row>
    <row r="63" spans="32:35" ht="15" thickBot="1">
      <c r="AF63" s="1015" t="s">
        <v>2014</v>
      </c>
      <c r="AG63" s="1016"/>
      <c r="AH63" s="1016"/>
      <c r="AI63" s="1019">
        <f>AI62</f>
        <v>9.2259204874157522E-2</v>
      </c>
    </row>
    <row r="65" spans="32:35" ht="15" thickBot="1"/>
    <row r="66" spans="32:35">
      <c r="AF66" s="1137" t="s">
        <v>2015</v>
      </c>
      <c r="AG66" s="1138"/>
      <c r="AH66" s="1138"/>
      <c r="AI66" s="1139"/>
    </row>
    <row r="67" spans="32:35">
      <c r="AF67" s="1012" t="s">
        <v>2000</v>
      </c>
      <c r="AI67" s="1013">
        <f>+'Regulation 33 - Results'!M36</f>
        <v>182.90999999999826</v>
      </c>
    </row>
    <row r="68" spans="32:35">
      <c r="AF68" s="1012" t="s">
        <v>2001</v>
      </c>
      <c r="AI68" s="1013"/>
    </row>
    <row r="69" spans="32:35">
      <c r="AF69" s="1012" t="s">
        <v>2002</v>
      </c>
      <c r="AI69" s="1000">
        <f>SUM(AI67:AI68)</f>
        <v>182.90999999999826</v>
      </c>
    </row>
    <row r="70" spans="32:35">
      <c r="AF70" s="998"/>
      <c r="AI70" s="1014"/>
    </row>
    <row r="71" spans="32:35" ht="15" thickBot="1">
      <c r="AF71" s="1015" t="s">
        <v>2013</v>
      </c>
      <c r="AG71" s="1016"/>
      <c r="AH71" s="1016"/>
      <c r="AI71" s="1017">
        <f>AI69/AP29</f>
        <v>0.17130373732140752</v>
      </c>
    </row>
    <row r="72" spans="32:35" ht="15" thickBot="1">
      <c r="AF72" s="1015" t="s">
        <v>2014</v>
      </c>
      <c r="AG72" s="1016"/>
      <c r="AH72" s="1016"/>
      <c r="AI72" s="1019">
        <f>AI71</f>
        <v>0.17130373732140752</v>
      </c>
    </row>
    <row r="75" spans="32:35" ht="15" thickBot="1"/>
    <row r="76" spans="32:35">
      <c r="AF76" s="1137" t="s">
        <v>2016</v>
      </c>
      <c r="AG76" s="1138"/>
      <c r="AH76" s="1138"/>
      <c r="AI76" s="1139"/>
    </row>
    <row r="77" spans="32:35">
      <c r="AF77" s="1012" t="s">
        <v>2000</v>
      </c>
      <c r="AI77" s="1013">
        <f>+'Regulation 33 - Results'!O40</f>
        <v>445.20000000000147</v>
      </c>
    </row>
    <row r="78" spans="32:35">
      <c r="AF78" s="1012" t="s">
        <v>2001</v>
      </c>
      <c r="AI78" s="1013"/>
    </row>
    <row r="79" spans="32:35">
      <c r="AF79" s="1012" t="s">
        <v>2002</v>
      </c>
      <c r="AI79" s="1000">
        <f>SUM(AI77:AI78)</f>
        <v>445.20000000000147</v>
      </c>
    </row>
    <row r="80" spans="32:35">
      <c r="AF80" s="998"/>
      <c r="AI80" s="1014"/>
    </row>
    <row r="81" spans="32:35" ht="15" thickBot="1">
      <c r="AF81" s="1015" t="s">
        <v>2013</v>
      </c>
      <c r="AG81" s="1016"/>
      <c r="AH81" s="1016"/>
      <c r="AI81" s="1017">
        <f>AI79/AP29</f>
        <v>0.41695054319332786</v>
      </c>
    </row>
    <row r="82" spans="32:35" ht="15" thickBot="1">
      <c r="AF82" s="1015" t="s">
        <v>2014</v>
      </c>
      <c r="AG82" s="1016"/>
      <c r="AH82" s="1016"/>
      <c r="AI82" s="1019">
        <f>AI81</f>
        <v>0.41695054319332786</v>
      </c>
    </row>
  </sheetData>
  <mergeCells count="11">
    <mergeCell ref="AF48:AI48"/>
    <mergeCell ref="AF57:AI57"/>
    <mergeCell ref="AF66:AI66"/>
    <mergeCell ref="AF76:AI76"/>
    <mergeCell ref="AK2:AS2"/>
    <mergeCell ref="G3:N3"/>
    <mergeCell ref="L14:T14"/>
    <mergeCell ref="AA32:AD32"/>
    <mergeCell ref="AF32:AI32"/>
    <mergeCell ref="AA40:AD40"/>
    <mergeCell ref="AF40:AI40"/>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2AFE-4387-48DF-877A-0208D3B31A80}">
  <dimension ref="D5:S43"/>
  <sheetViews>
    <sheetView topLeftCell="A17" workbookViewId="0">
      <selection activeCell="H29" sqref="H29"/>
    </sheetView>
  </sheetViews>
  <sheetFormatPr defaultRowHeight="14.5"/>
  <cols>
    <col min="7" max="7" width="22" customWidth="1"/>
    <col min="8" max="8" width="15.453125" customWidth="1"/>
    <col min="9" max="9" width="15.1796875" customWidth="1"/>
    <col min="10" max="10" width="16.7265625" customWidth="1"/>
    <col min="18" max="18" width="14.453125" bestFit="1" customWidth="1"/>
  </cols>
  <sheetData>
    <row r="5" spans="4:10">
      <c r="H5" t="s">
        <v>317</v>
      </c>
    </row>
    <row r="6" spans="4:10">
      <c r="H6" t="s">
        <v>1942</v>
      </c>
      <c r="I6" t="s">
        <v>1939</v>
      </c>
      <c r="J6" t="s">
        <v>1376</v>
      </c>
    </row>
    <row r="7" spans="4:10">
      <c r="E7" t="s">
        <v>7</v>
      </c>
      <c r="H7" t="s">
        <v>1940</v>
      </c>
      <c r="I7" t="s">
        <v>1940</v>
      </c>
      <c r="J7" t="s">
        <v>1940</v>
      </c>
    </row>
    <row r="8" spans="4:10">
      <c r="D8">
        <v>-1</v>
      </c>
      <c r="E8" t="s">
        <v>8</v>
      </c>
      <c r="H8">
        <v>-3</v>
      </c>
      <c r="I8">
        <v>-4</v>
      </c>
      <c r="J8">
        <v>-5</v>
      </c>
    </row>
    <row r="10" spans="4:10">
      <c r="D10">
        <v>1</v>
      </c>
      <c r="E10" t="s">
        <v>1330</v>
      </c>
    </row>
    <row r="11" spans="4:10">
      <c r="D11" t="s">
        <v>10</v>
      </c>
      <c r="E11" t="s">
        <v>11</v>
      </c>
      <c r="H11">
        <v>632986161.60299993</v>
      </c>
      <c r="I11">
        <v>7552.64</v>
      </c>
      <c r="J11">
        <v>9772.32</v>
      </c>
    </row>
    <row r="12" spans="4:10">
      <c r="D12" t="s">
        <v>12</v>
      </c>
      <c r="E12" t="s">
        <v>13</v>
      </c>
      <c r="H12">
        <v>18609417.505999997</v>
      </c>
      <c r="I12">
        <v>98.49</v>
      </c>
      <c r="J12">
        <v>40.26</v>
      </c>
    </row>
    <row r="13" spans="4:10">
      <c r="E13" t="s">
        <v>14</v>
      </c>
      <c r="H13">
        <v>651595579.10899997</v>
      </c>
      <c r="I13">
        <v>7651.13</v>
      </c>
      <c r="J13">
        <v>9812.58</v>
      </c>
    </row>
    <row r="14" spans="4:10">
      <c r="D14">
        <v>2</v>
      </c>
      <c r="E14" t="s">
        <v>15</v>
      </c>
    </row>
    <row r="15" spans="4:10">
      <c r="E15" t="s">
        <v>16</v>
      </c>
      <c r="F15" t="s">
        <v>17</v>
      </c>
      <c r="H15">
        <v>497864352.61289412</v>
      </c>
      <c r="I15">
        <v>4242.17</v>
      </c>
      <c r="J15">
        <v>7374.28</v>
      </c>
    </row>
    <row r="16" spans="4:10">
      <c r="E16" t="s">
        <v>18</v>
      </c>
      <c r="F16" t="s">
        <v>19</v>
      </c>
      <c r="H16">
        <v>198269730.71000001</v>
      </c>
      <c r="I16">
        <v>1027.58</v>
      </c>
      <c r="J16">
        <v>3238.97</v>
      </c>
    </row>
    <row r="17" spans="4:19">
      <c r="E17" t="s">
        <v>20</v>
      </c>
      <c r="F17" t="s">
        <v>21</v>
      </c>
      <c r="H17">
        <v>-118080293.96485919</v>
      </c>
      <c r="I17">
        <v>1601.44</v>
      </c>
      <c r="J17">
        <v>-1652.32</v>
      </c>
    </row>
    <row r="18" spans="4:19">
      <c r="E18" t="s">
        <v>22</v>
      </c>
      <c r="F18" t="s">
        <v>23</v>
      </c>
      <c r="H18">
        <v>7466747</v>
      </c>
      <c r="I18">
        <v>69.540000000000006</v>
      </c>
      <c r="J18">
        <v>102.5</v>
      </c>
    </row>
    <row r="19" spans="4:19">
      <c r="E19" t="s">
        <v>24</v>
      </c>
      <c r="F19" t="s">
        <v>25</v>
      </c>
      <c r="H19">
        <v>12192216.890000001</v>
      </c>
      <c r="I19">
        <v>118.4</v>
      </c>
      <c r="J19">
        <v>212.13</v>
      </c>
    </row>
    <row r="20" spans="4:19">
      <c r="E20" t="s">
        <v>26</v>
      </c>
      <c r="F20" t="s">
        <v>27</v>
      </c>
      <c r="H20">
        <v>6815190.9400000004</v>
      </c>
      <c r="I20">
        <v>67.989999999999995</v>
      </c>
      <c r="J20">
        <v>66.5</v>
      </c>
    </row>
    <row r="21" spans="4:19">
      <c r="E21" t="s">
        <v>64</v>
      </c>
      <c r="F21" t="s">
        <v>28</v>
      </c>
      <c r="H21">
        <v>20811619.254000001</v>
      </c>
      <c r="I21">
        <v>305.64999999999998</v>
      </c>
      <c r="J21">
        <v>302.41000000000003</v>
      </c>
    </row>
    <row r="22" spans="4:19">
      <c r="E22" t="s">
        <v>29</v>
      </c>
      <c r="H22">
        <v>625339563.44203484</v>
      </c>
      <c r="I22">
        <v>7432.7699999999995</v>
      </c>
      <c r="J22">
        <v>9644.4699999999993</v>
      </c>
    </row>
    <row r="23" spans="4:19">
      <c r="D23">
        <v>3</v>
      </c>
      <c r="E23" t="s">
        <v>30</v>
      </c>
      <c r="H23">
        <v>26256015.666965127</v>
      </c>
      <c r="I23">
        <v>218.36000000000058</v>
      </c>
      <c r="J23">
        <v>168.11000000000058</v>
      </c>
      <c r="R23" s="1021">
        <f>4449336.982</f>
        <v>4449336.9819999998</v>
      </c>
      <c r="S23" t="s">
        <v>2042</v>
      </c>
    </row>
    <row r="24" spans="4:19">
      <c r="R24">
        <v>5001747.449</v>
      </c>
      <c r="S24" t="s">
        <v>2043</v>
      </c>
    </row>
    <row r="25" spans="4:19">
      <c r="R25" s="1021">
        <v>-21063391.344999999</v>
      </c>
      <c r="S25" t="s">
        <v>2044</v>
      </c>
    </row>
    <row r="26" spans="4:19">
      <c r="E26" t="s">
        <v>31</v>
      </c>
      <c r="H26">
        <v>0</v>
      </c>
      <c r="I26">
        <v>0</v>
      </c>
      <c r="J26">
        <v>0</v>
      </c>
      <c r="R26">
        <v>-16061644.4</v>
      </c>
    </row>
    <row r="27" spans="4:19">
      <c r="D27">
        <v>4</v>
      </c>
      <c r="E27" t="s">
        <v>32</v>
      </c>
      <c r="H27">
        <v>26256015.666965127</v>
      </c>
      <c r="I27">
        <v>218.36000000000058</v>
      </c>
      <c r="J27">
        <v>168.11000000000058</v>
      </c>
      <c r="R27">
        <f>+R26-R24</f>
        <v>-21063391.848999999</v>
      </c>
    </row>
    <row r="28" spans="4:19">
      <c r="D28">
        <v>5</v>
      </c>
      <c r="E28" t="s">
        <v>33</v>
      </c>
    </row>
    <row r="29" spans="4:19">
      <c r="E29" t="s">
        <v>34</v>
      </c>
      <c r="F29" t="s">
        <v>35</v>
      </c>
      <c r="H29">
        <v>63907</v>
      </c>
      <c r="I29">
        <v>53.76</v>
      </c>
      <c r="J29">
        <v>0</v>
      </c>
    </row>
    <row r="30" spans="4:19">
      <c r="E30" t="s">
        <v>18</v>
      </c>
      <c r="F30" t="s">
        <v>488</v>
      </c>
      <c r="I30">
        <v>0</v>
      </c>
      <c r="J30">
        <v>0</v>
      </c>
    </row>
    <row r="31" spans="4:19">
      <c r="E31" t="s">
        <v>18</v>
      </c>
      <c r="F31" t="s">
        <v>36</v>
      </c>
      <c r="H31">
        <v>113576.66</v>
      </c>
      <c r="I31">
        <v>2.5299999999999998</v>
      </c>
      <c r="J31">
        <v>4.34</v>
      </c>
      <c r="R31">
        <f>26142439.01</f>
        <v>26142439.010000002</v>
      </c>
    </row>
    <row r="32" spans="4:19">
      <c r="E32" t="s">
        <v>20</v>
      </c>
      <c r="F32" t="s">
        <v>488</v>
      </c>
      <c r="H32">
        <v>0</v>
      </c>
      <c r="I32">
        <v>0</v>
      </c>
      <c r="J32">
        <v>0</v>
      </c>
      <c r="R32">
        <f>R31-R26</f>
        <v>42204083.410000004</v>
      </c>
    </row>
    <row r="33" spans="4:10">
      <c r="D33">
        <v>6</v>
      </c>
      <c r="E33" t="s">
        <v>1331</v>
      </c>
      <c r="H33">
        <v>26078532.006965127</v>
      </c>
      <c r="I33">
        <v>162.07000000000059</v>
      </c>
      <c r="J33">
        <v>163.77000000000058</v>
      </c>
    </row>
    <row r="34" spans="4:10">
      <c r="D34">
        <v>7</v>
      </c>
      <c r="E34" t="s">
        <v>1332</v>
      </c>
    </row>
    <row r="35" spans="4:10">
      <c r="E35" t="s">
        <v>1093</v>
      </c>
      <c r="H35">
        <v>0</v>
      </c>
      <c r="I35">
        <v>0</v>
      </c>
      <c r="J35">
        <v>0</v>
      </c>
    </row>
    <row r="36" spans="4:10">
      <c r="E36" t="s">
        <v>406</v>
      </c>
      <c r="H36">
        <v>0</v>
      </c>
      <c r="I36">
        <v>0</v>
      </c>
      <c r="J36">
        <v>0</v>
      </c>
    </row>
    <row r="37" spans="4:10">
      <c r="D37">
        <v>8</v>
      </c>
      <c r="E37" t="s">
        <v>40</v>
      </c>
      <c r="H37">
        <v>0</v>
      </c>
      <c r="I37">
        <v>162.07000000000059</v>
      </c>
      <c r="J37">
        <v>163.77000000000058</v>
      </c>
    </row>
    <row r="38" spans="4:10">
      <c r="D38">
        <v>9</v>
      </c>
      <c r="E38" t="s">
        <v>1937</v>
      </c>
      <c r="H38">
        <v>883.14</v>
      </c>
      <c r="I38">
        <v>1312.61</v>
      </c>
      <c r="J38">
        <v>883.14</v>
      </c>
    </row>
    <row r="39" spans="4:10">
      <c r="D39">
        <v>10</v>
      </c>
      <c r="E39" t="s">
        <v>312</v>
      </c>
      <c r="H39">
        <v>0</v>
      </c>
      <c r="I39">
        <v>0</v>
      </c>
      <c r="J39">
        <v>0</v>
      </c>
    </row>
    <row r="40" spans="4:10">
      <c r="D40" t="s">
        <v>1936</v>
      </c>
      <c r="E40" t="s">
        <v>47</v>
      </c>
    </row>
    <row r="41" spans="4:10">
      <c r="E41" t="s">
        <v>1932</v>
      </c>
    </row>
    <row r="42" spans="4:10">
      <c r="E42" t="s">
        <v>34</v>
      </c>
      <c r="F42" t="s">
        <v>49</v>
      </c>
      <c r="H42">
        <v>0</v>
      </c>
      <c r="I42">
        <v>0.13</v>
      </c>
      <c r="J42">
        <v>0.15337823553183136</v>
      </c>
    </row>
    <row r="43" spans="4:10">
      <c r="E43" t="s">
        <v>18</v>
      </c>
      <c r="F43" t="s">
        <v>50</v>
      </c>
      <c r="H43">
        <v>0</v>
      </c>
      <c r="I43">
        <v>0.13</v>
      </c>
      <c r="J43">
        <v>0.15337823553183136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J54"/>
  <sheetViews>
    <sheetView view="pageBreakPreview" topLeftCell="A8" zoomScaleNormal="140" zoomScaleSheetLayoutView="100" workbookViewId="0">
      <selection activeCell="H38" sqref="H38"/>
    </sheetView>
  </sheetViews>
  <sheetFormatPr defaultColWidth="9.453125" defaultRowHeight="14.5"/>
  <cols>
    <col min="1" max="1" width="63.54296875" customWidth="1"/>
    <col min="2" max="2" width="17.81640625" style="443" customWidth="1"/>
    <col min="3" max="3" width="17.81640625" customWidth="1"/>
    <col min="4" max="4" width="13" bestFit="1" customWidth="1"/>
    <col min="6" max="6" width="11.54296875" style="41" bestFit="1" customWidth="1"/>
    <col min="7" max="7" width="14.54296875" bestFit="1" customWidth="1"/>
  </cols>
  <sheetData>
    <row r="1" spans="1:6">
      <c r="A1" s="1141" t="s">
        <v>1</v>
      </c>
      <c r="B1" s="1141"/>
      <c r="C1" s="1141"/>
    </row>
    <row r="2" spans="1:6" s="441" customFormat="1">
      <c r="A2" s="1208" t="s">
        <v>1351</v>
      </c>
      <c r="B2" s="1208"/>
      <c r="C2" s="1208"/>
      <c r="F2" s="478"/>
    </row>
    <row r="3" spans="1:6" s="441" customFormat="1">
      <c r="A3" s="444"/>
      <c r="B3" s="445"/>
      <c r="C3" s="444"/>
      <c r="F3" s="478"/>
    </row>
    <row r="4" spans="1:6" s="441" customFormat="1">
      <c r="B4" s="446"/>
      <c r="C4" s="451" t="s">
        <v>1350</v>
      </c>
      <c r="F4" s="478"/>
    </row>
    <row r="5" spans="1:6" s="441" customFormat="1" ht="29">
      <c r="A5" s="462" t="s">
        <v>0</v>
      </c>
      <c r="B5" s="463" t="s">
        <v>1098</v>
      </c>
      <c r="C5" s="567" t="s">
        <v>571</v>
      </c>
      <c r="F5" s="478"/>
    </row>
    <row r="6" spans="1:6" s="441" customFormat="1">
      <c r="A6" s="59" t="s">
        <v>433</v>
      </c>
      <c r="B6" s="464"/>
      <c r="C6" s="468"/>
      <c r="F6" s="478"/>
    </row>
    <row r="7" spans="1:6">
      <c r="A7" s="452" t="s">
        <v>434</v>
      </c>
      <c r="B7" s="465">
        <f>+'Regulation 33 - Results'!H30</f>
        <v>-201.11859748999996</v>
      </c>
      <c r="C7" s="469">
        <v>400.28</v>
      </c>
      <c r="D7" s="42"/>
    </row>
    <row r="8" spans="1:6">
      <c r="A8" s="453" t="s">
        <v>435</v>
      </c>
      <c r="B8" s="465"/>
      <c r="C8" s="470"/>
    </row>
    <row r="9" spans="1:6">
      <c r="A9" s="454" t="s">
        <v>437</v>
      </c>
      <c r="B9" s="465">
        <f>(+'Regulation 33 - Results'!H23)-(1254268/100000)</f>
        <v>1.1158184999999996</v>
      </c>
      <c r="C9" s="469">
        <v>8.9499999999999993</v>
      </c>
    </row>
    <row r="10" spans="1:6">
      <c r="A10" s="455" t="s">
        <v>438</v>
      </c>
      <c r="B10" s="465">
        <f>(+'Regulation 33 - Results'!H22)-(283386/100000)</f>
        <v>16.490320000000001</v>
      </c>
      <c r="C10" s="469">
        <v>7.93</v>
      </c>
    </row>
    <row r="11" spans="1:6">
      <c r="A11" s="455" t="s">
        <v>1349</v>
      </c>
      <c r="B11" s="465">
        <v>0</v>
      </c>
      <c r="C11" s="469">
        <v>0</v>
      </c>
    </row>
    <row r="12" spans="1:6">
      <c r="A12" s="455" t="s">
        <v>572</v>
      </c>
      <c r="B12" s="465">
        <f>(283386+1254268-1350000)/100000</f>
        <v>1.8765400000000001</v>
      </c>
      <c r="C12" s="469">
        <v>0</v>
      </c>
      <c r="D12" s="830"/>
    </row>
    <row r="13" spans="1:6">
      <c r="A13" s="455" t="s">
        <v>1352</v>
      </c>
      <c r="B13" s="465">
        <v>0</v>
      </c>
      <c r="C13" s="469">
        <v>0.05</v>
      </c>
    </row>
    <row r="14" spans="1:6">
      <c r="A14" s="455"/>
      <c r="B14" s="465"/>
      <c r="C14" s="471"/>
    </row>
    <row r="15" spans="1:6">
      <c r="A15" s="456" t="s">
        <v>1364</v>
      </c>
      <c r="B15" s="880">
        <f>SUM(B7:B14)</f>
        <v>-181.63591898999996</v>
      </c>
      <c r="C15" s="472">
        <v>417.2</v>
      </c>
    </row>
    <row r="16" spans="1:6">
      <c r="A16" s="456"/>
      <c r="B16" s="465"/>
      <c r="C16" s="472"/>
      <c r="E16" s="82"/>
    </row>
    <row r="17" spans="1:10">
      <c r="A17" s="457" t="s">
        <v>441</v>
      </c>
      <c r="B17" s="465"/>
      <c r="C17" s="473"/>
    </row>
    <row r="18" spans="1:10">
      <c r="A18" s="455" t="s">
        <v>442</v>
      </c>
      <c r="B18" s="465">
        <f>+'Regulation 33 - Balance Sheet'!I22</f>
        <v>-1412.9420671000003</v>
      </c>
      <c r="C18" s="469">
        <v>54.71</v>
      </c>
    </row>
    <row r="19" spans="1:10">
      <c r="A19" s="455" t="s">
        <v>443</v>
      </c>
      <c r="B19" s="465">
        <v>51.96</v>
      </c>
      <c r="C19" s="469">
        <v>204.74</v>
      </c>
    </row>
    <row r="20" spans="1:10">
      <c r="A20" s="455" t="s">
        <v>444</v>
      </c>
      <c r="B20" s="465">
        <f>+'Regulation 33 - Balance Sheet'!I19</f>
        <v>-381.90283554999951</v>
      </c>
      <c r="C20" s="469">
        <v>-2263.7399999999998</v>
      </c>
      <c r="F20" s="41">
        <v>273635</v>
      </c>
      <c r="G20" s="442"/>
      <c r="H20" s="442"/>
    </row>
    <row r="21" spans="1:10">
      <c r="A21" s="455" t="s">
        <v>445</v>
      </c>
      <c r="B21" s="465">
        <f>+'Regulation 33 - Balance Sheet'!I52</f>
        <v>1574.9763266999998</v>
      </c>
      <c r="C21" s="469">
        <v>1842.96</v>
      </c>
      <c r="F21" s="41">
        <v>962</v>
      </c>
      <c r="G21" s="442"/>
      <c r="H21" s="442"/>
    </row>
    <row r="22" spans="1:10">
      <c r="A22" s="455" t="s">
        <v>446</v>
      </c>
      <c r="B22" s="465">
        <f>+'Regulation 33 - Balance Sheet'!I53+'Regulation 33 - Balance Sheet'!I54+'Regulation 33 - Balance Sheet'!I49+'Regulation 33 - Balance Sheet'!I47-110</f>
        <v>-1013.0604626500002</v>
      </c>
      <c r="C22" s="469">
        <v>251.82</v>
      </c>
    </row>
    <row r="23" spans="1:10">
      <c r="A23" s="455" t="s">
        <v>573</v>
      </c>
      <c r="B23" s="465">
        <f>+'Regulation 33 - Balance Sheet'!I40+'Regulation 33 - Balance Sheet'!I41</f>
        <v>-81.482992799999778</v>
      </c>
      <c r="C23" s="469">
        <v>20.62</v>
      </c>
    </row>
    <row r="24" spans="1:10">
      <c r="A24" s="455" t="s">
        <v>447</v>
      </c>
      <c r="B24" s="465">
        <v>0</v>
      </c>
      <c r="C24" s="474">
        <v>-11</v>
      </c>
      <c r="E24" s="82"/>
      <c r="J24" s="42"/>
    </row>
    <row r="25" spans="1:10">
      <c r="A25" s="456" t="s">
        <v>1365</v>
      </c>
      <c r="B25" s="880">
        <f>SUM(B15:B24)</f>
        <v>-1444.0879503899998</v>
      </c>
      <c r="C25" s="465">
        <v>517.29999999999995</v>
      </c>
    </row>
    <row r="26" spans="1:10">
      <c r="A26" s="458"/>
      <c r="B26" s="465"/>
      <c r="C26" s="473"/>
    </row>
    <row r="27" spans="1:10">
      <c r="A27" s="458" t="s">
        <v>449</v>
      </c>
      <c r="B27" s="465">
        <v>0</v>
      </c>
      <c r="C27" s="475">
        <v>-100.65</v>
      </c>
    </row>
    <row r="28" spans="1:10">
      <c r="A28" s="456" t="s">
        <v>1366</v>
      </c>
      <c r="B28" s="882">
        <f>B25-B27</f>
        <v>-1444.0879503899998</v>
      </c>
      <c r="C28" s="472">
        <v>416.65</v>
      </c>
    </row>
    <row r="29" spans="1:10">
      <c r="A29" s="456"/>
      <c r="B29" s="465"/>
      <c r="C29" s="472"/>
    </row>
    <row r="30" spans="1:10">
      <c r="A30" s="59" t="s">
        <v>451</v>
      </c>
      <c r="B30" s="465"/>
      <c r="C30" s="59"/>
    </row>
    <row r="31" spans="1:10">
      <c r="A31" s="458" t="s">
        <v>1080</v>
      </c>
      <c r="B31" s="465">
        <f>-1244814.94/100000</f>
        <v>-12.4481494</v>
      </c>
      <c r="C31" s="469">
        <v>-0.92</v>
      </c>
    </row>
    <row r="32" spans="1:10">
      <c r="A32" s="458" t="s">
        <v>453</v>
      </c>
      <c r="B32" s="465">
        <v>0</v>
      </c>
      <c r="C32" s="469">
        <v>0.05</v>
      </c>
    </row>
    <row r="33" spans="1:7" hidden="1">
      <c r="A33" s="458" t="s">
        <v>537</v>
      </c>
      <c r="B33" s="465">
        <v>0</v>
      </c>
      <c r="C33" s="469"/>
    </row>
    <row r="34" spans="1:7" ht="15" thickBot="1">
      <c r="A34" s="456" t="s">
        <v>1367</v>
      </c>
      <c r="B34" s="879">
        <f>SUM(B31:B33)</f>
        <v>-12.4481494</v>
      </c>
      <c r="C34" s="467">
        <v>-0.87</v>
      </c>
    </row>
    <row r="35" spans="1:7" ht="15" thickTop="1">
      <c r="A35" s="459"/>
      <c r="B35" s="465"/>
      <c r="C35" s="472"/>
    </row>
    <row r="36" spans="1:7">
      <c r="A36" s="460" t="s">
        <v>455</v>
      </c>
      <c r="B36" s="465"/>
      <c r="C36" s="59"/>
    </row>
    <row r="37" spans="1:7">
      <c r="A37" s="458" t="s">
        <v>1081</v>
      </c>
      <c r="B37" s="465">
        <v>0</v>
      </c>
      <c r="C37" s="469">
        <v>-44.157150000000001</v>
      </c>
      <c r="F37" s="479"/>
    </row>
    <row r="38" spans="1:7">
      <c r="A38" s="458" t="s">
        <v>462</v>
      </c>
      <c r="B38" s="465">
        <f>850000/100000</f>
        <v>8.5</v>
      </c>
      <c r="C38" s="469">
        <v>3.66</v>
      </c>
    </row>
    <row r="39" spans="1:7">
      <c r="A39" s="458" t="s">
        <v>457</v>
      </c>
      <c r="B39" s="465">
        <f>-B10</f>
        <v>-16.490320000000001</v>
      </c>
      <c r="C39" s="469">
        <v>-7.93</v>
      </c>
    </row>
    <row r="40" spans="1:7">
      <c r="A40" s="458"/>
      <c r="B40" s="465"/>
      <c r="C40" s="477"/>
    </row>
    <row r="41" spans="1:7" ht="15" thickBot="1">
      <c r="A41" s="456" t="s">
        <v>1368</v>
      </c>
      <c r="B41" s="879">
        <f>SUM(B37:B40)</f>
        <v>-7.9903200000000005</v>
      </c>
      <c r="C41" s="467">
        <v>-48.42</v>
      </c>
    </row>
    <row r="42" spans="1:7" ht="15" thickTop="1">
      <c r="A42" s="459"/>
      <c r="B42" s="465"/>
      <c r="C42" s="470"/>
    </row>
    <row r="43" spans="1:7" ht="15" thickBot="1">
      <c r="A43" s="456" t="s">
        <v>459</v>
      </c>
      <c r="B43" s="879">
        <f>B34+B41+B28+0.01</f>
        <v>-1464.5164197899999</v>
      </c>
      <c r="C43" s="467">
        <v>367.36</v>
      </c>
      <c r="G43" s="830"/>
    </row>
    <row r="44" spans="1:7" ht="15" thickTop="1">
      <c r="A44" s="459" t="s">
        <v>460</v>
      </c>
      <c r="B44" s="465">
        <f>'Regulation 33 - Balance Sheet'!D23</f>
        <v>49.75</v>
      </c>
      <c r="C44" s="472">
        <v>282.44</v>
      </c>
      <c r="F44" s="41">
        <f>B43+B44-B45</f>
        <v>-1425.9138322699998</v>
      </c>
    </row>
    <row r="45" spans="1:7">
      <c r="A45" s="461" t="s">
        <v>461</v>
      </c>
      <c r="B45" s="466">
        <f>'Regulation 33 - Balance Sheet'!C23</f>
        <v>11.14741248</v>
      </c>
      <c r="C45" s="466">
        <v>649.79999999999995</v>
      </c>
      <c r="D45" s="42"/>
      <c r="E45" s="42"/>
      <c r="G45" s="42"/>
    </row>
    <row r="46" spans="1:7">
      <c r="A46" s="448"/>
      <c r="B46" s="569"/>
      <c r="C46" s="448"/>
    </row>
    <row r="47" spans="1:7">
      <c r="A47" s="447"/>
      <c r="B47" s="543"/>
      <c r="C47" s="447"/>
    </row>
    <row r="48" spans="1:7">
      <c r="A48" s="82"/>
      <c r="B48" s="82"/>
      <c r="C48" s="449" t="s">
        <v>56</v>
      </c>
      <c r="E48" s="42">
        <f>B45-B44</f>
        <v>-38.60258752</v>
      </c>
      <c r="F48" s="41">
        <f>E48-B43</f>
        <v>1425.9138322699998</v>
      </c>
    </row>
    <row r="49" spans="1:3">
      <c r="A49" s="82"/>
      <c r="B49" s="82"/>
      <c r="C49" s="450"/>
    </row>
    <row r="50" spans="1:3">
      <c r="A50" s="355"/>
      <c r="B50" s="82"/>
      <c r="C50" s="450"/>
    </row>
    <row r="51" spans="1:3">
      <c r="A51" s="355"/>
      <c r="B51" s="82"/>
      <c r="C51" s="450"/>
    </row>
    <row r="52" spans="1:3">
      <c r="A52" s="82"/>
      <c r="B52" s="82"/>
      <c r="C52" s="449" t="s">
        <v>57</v>
      </c>
    </row>
    <row r="53" spans="1:3">
      <c r="A53" s="355" t="s">
        <v>55</v>
      </c>
      <c r="B53" s="82"/>
      <c r="C53" s="449" t="s">
        <v>58</v>
      </c>
    </row>
    <row r="54" spans="1:3">
      <c r="A54" s="355" t="str">
        <f>+'Regulation 33 - Balance Sheet'!A68</f>
        <v>Date: 14th February 2025</v>
      </c>
      <c r="B54" s="82"/>
      <c r="C54" s="449" t="s">
        <v>59</v>
      </c>
    </row>
  </sheetData>
  <mergeCells count="2">
    <mergeCell ref="A2:C2"/>
    <mergeCell ref="A1:C1"/>
  </mergeCells>
  <pageMargins left="0.7" right="0.7" top="0.75" bottom="0.75" header="0.3" footer="0.3"/>
  <pageSetup paperSize="9" scale="56"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308"/>
  <sheetViews>
    <sheetView topLeftCell="B2" zoomScaleNormal="100" workbookViewId="0">
      <selection activeCell="B13" sqref="B13"/>
    </sheetView>
  </sheetViews>
  <sheetFormatPr defaultColWidth="8.81640625" defaultRowHeight="14.5"/>
  <cols>
    <col min="2" max="2" width="41.7265625" bestFit="1" customWidth="1"/>
    <col min="3" max="3" width="54" bestFit="1" customWidth="1"/>
    <col min="4" max="4" width="15.81640625" bestFit="1" customWidth="1"/>
    <col min="5" max="6" width="15.1796875" bestFit="1" customWidth="1"/>
    <col min="7" max="7" width="16.453125" bestFit="1" customWidth="1"/>
    <col min="8" max="8" width="12.54296875" bestFit="1" customWidth="1"/>
    <col min="9" max="9" width="15.7265625" bestFit="1" customWidth="1"/>
    <col min="10" max="10" width="10" bestFit="1" customWidth="1"/>
  </cols>
  <sheetData>
    <row r="1" spans="2:8" ht="15.65" customHeight="1">
      <c r="C1" s="748" t="s">
        <v>575</v>
      </c>
      <c r="D1" s="748"/>
      <c r="E1" s="748"/>
      <c r="F1" s="748"/>
      <c r="G1" s="748"/>
    </row>
    <row r="2" spans="2:8" ht="15.65" customHeight="1">
      <c r="C2" s="748" t="s">
        <v>323</v>
      </c>
      <c r="D2" s="748"/>
      <c r="E2" s="748"/>
      <c r="F2" s="748"/>
      <c r="G2" s="748"/>
    </row>
    <row r="3" spans="2:8" ht="15" customHeight="1" thickBot="1">
      <c r="C3" s="749" t="s">
        <v>576</v>
      </c>
      <c r="D3" s="749"/>
      <c r="E3" s="749"/>
      <c r="F3" s="749"/>
      <c r="G3" s="749"/>
    </row>
    <row r="4" spans="2:8" ht="15" thickBot="1">
      <c r="B4" s="750" t="s">
        <v>869</v>
      </c>
      <c r="C4" s="750" t="s">
        <v>0</v>
      </c>
      <c r="D4" s="751" t="s">
        <v>870</v>
      </c>
      <c r="E4" s="752" t="s">
        <v>330</v>
      </c>
      <c r="F4" s="753" t="s">
        <v>331</v>
      </c>
      <c r="G4" s="754" t="s">
        <v>871</v>
      </c>
    </row>
    <row r="5" spans="2:8">
      <c r="C5" s="311" t="s">
        <v>332</v>
      </c>
      <c r="D5" s="590">
        <v>195648925</v>
      </c>
      <c r="E5" s="591">
        <v>6905715</v>
      </c>
      <c r="F5" s="591">
        <v>2490000</v>
      </c>
      <c r="G5" s="590">
        <v>191233210</v>
      </c>
      <c r="H5">
        <v>11672659.199999999</v>
      </c>
    </row>
    <row r="6" spans="2:8">
      <c r="B6" t="s">
        <v>83</v>
      </c>
      <c r="C6" s="316" t="s">
        <v>333</v>
      </c>
      <c r="D6" s="755">
        <v>107334625</v>
      </c>
      <c r="E6" s="691">
        <v>4415715</v>
      </c>
      <c r="F6" s="690"/>
      <c r="G6" s="755">
        <v>102918910</v>
      </c>
    </row>
    <row r="7" spans="2:8">
      <c r="C7" s="756" t="s">
        <v>872</v>
      </c>
      <c r="D7" s="588">
        <v>9000</v>
      </c>
      <c r="E7" s="338"/>
      <c r="F7" s="338"/>
      <c r="G7" s="588">
        <v>9000</v>
      </c>
    </row>
    <row r="8" spans="2:8">
      <c r="C8" s="757" t="s">
        <v>873</v>
      </c>
      <c r="D8" s="588">
        <v>1381000</v>
      </c>
      <c r="E8" s="338"/>
      <c r="F8" s="338"/>
      <c r="G8" s="588">
        <v>1381000</v>
      </c>
    </row>
    <row r="9" spans="2:8">
      <c r="C9" s="757" t="s">
        <v>874</v>
      </c>
      <c r="D9" s="339"/>
      <c r="E9" s="323">
        <v>4415715</v>
      </c>
      <c r="F9" s="338"/>
      <c r="G9" s="592">
        <v>4415715</v>
      </c>
    </row>
    <row r="10" spans="2:8">
      <c r="C10" s="757" t="s">
        <v>875</v>
      </c>
      <c r="D10" s="588">
        <v>105944625</v>
      </c>
      <c r="E10" s="338"/>
      <c r="F10" s="338"/>
      <c r="G10" s="588">
        <v>105944625</v>
      </c>
    </row>
    <row r="11" spans="2:8">
      <c r="B11" s="53" t="s">
        <v>82</v>
      </c>
      <c r="C11" s="321" t="s">
        <v>334</v>
      </c>
      <c r="D11" s="589">
        <v>2490000</v>
      </c>
      <c r="E11" s="325">
        <v>2490000</v>
      </c>
      <c r="F11" s="339"/>
      <c r="G11" s="338"/>
    </row>
    <row r="12" spans="2:8">
      <c r="B12" s="53" t="s">
        <v>82</v>
      </c>
      <c r="C12" s="321" t="s">
        <v>335</v>
      </c>
      <c r="D12" s="589">
        <v>85824300</v>
      </c>
      <c r="E12" s="339"/>
      <c r="F12" s="325">
        <v>2490000</v>
      </c>
      <c r="G12" s="589">
        <v>88314300</v>
      </c>
    </row>
    <row r="13" spans="2:8">
      <c r="C13" s="311" t="s">
        <v>336</v>
      </c>
      <c r="D13" s="590">
        <v>171075</v>
      </c>
      <c r="E13" s="591">
        <v>11273897</v>
      </c>
      <c r="F13" s="591">
        <v>11640160</v>
      </c>
      <c r="G13" s="590">
        <v>537338</v>
      </c>
    </row>
    <row r="14" spans="2:8">
      <c r="C14" s="316" t="s">
        <v>338</v>
      </c>
      <c r="D14" s="755">
        <v>171075</v>
      </c>
      <c r="E14" s="691">
        <v>11273897</v>
      </c>
      <c r="F14" s="691">
        <v>11640160</v>
      </c>
      <c r="G14" s="755">
        <v>537338</v>
      </c>
    </row>
    <row r="15" spans="2:8">
      <c r="B15" s="63" t="s">
        <v>87</v>
      </c>
      <c r="C15" s="756" t="s">
        <v>876</v>
      </c>
      <c r="D15" s="588">
        <v>171075</v>
      </c>
      <c r="E15" s="323">
        <v>11273897</v>
      </c>
      <c r="F15" s="323">
        <v>11640160</v>
      </c>
      <c r="G15" s="588">
        <v>537338</v>
      </c>
    </row>
    <row r="16" spans="2:8">
      <c r="C16" s="311" t="s">
        <v>339</v>
      </c>
      <c r="D16" s="590">
        <v>16536525.293</v>
      </c>
      <c r="E16" s="591">
        <v>471053950.40700001</v>
      </c>
      <c r="F16" s="591">
        <v>676124129.66400003</v>
      </c>
      <c r="G16" s="590">
        <v>221606704.55000001</v>
      </c>
    </row>
    <row r="17" spans="2:7">
      <c r="B17" s="62" t="s">
        <v>489</v>
      </c>
      <c r="C17" s="316" t="s">
        <v>340</v>
      </c>
      <c r="D17" s="758">
        <v>964143.65300000005</v>
      </c>
      <c r="E17" s="691">
        <v>117763529.383</v>
      </c>
      <c r="F17" s="691">
        <v>119385489.767</v>
      </c>
      <c r="G17" s="755">
        <v>657816.73100000003</v>
      </c>
    </row>
    <row r="18" spans="2:7">
      <c r="C18" s="316" t="s">
        <v>877</v>
      </c>
      <c r="D18" s="759">
        <v>1080025.523</v>
      </c>
      <c r="E18" s="587">
        <v>116770105.513</v>
      </c>
      <c r="F18" s="587">
        <v>117953461.767</v>
      </c>
      <c r="G18" s="760">
        <v>103330.731</v>
      </c>
    </row>
    <row r="19" spans="2:7">
      <c r="C19" s="761" t="s">
        <v>878</v>
      </c>
      <c r="D19" s="758">
        <v>1086445.423</v>
      </c>
      <c r="E19" s="691">
        <v>53649218.722999997</v>
      </c>
      <c r="F19" s="691">
        <v>54735663.876999997</v>
      </c>
      <c r="G19" s="758">
        <v>0.26900000000000002</v>
      </c>
    </row>
    <row r="20" spans="2:7">
      <c r="C20" s="761" t="s">
        <v>879</v>
      </c>
      <c r="D20" s="759">
        <v>41580</v>
      </c>
      <c r="E20" s="587">
        <v>13050</v>
      </c>
      <c r="F20" s="587">
        <v>54630</v>
      </c>
      <c r="G20" s="611"/>
    </row>
    <row r="21" spans="2:7">
      <c r="C21" s="762" t="s">
        <v>880</v>
      </c>
      <c r="D21" s="594">
        <v>20790</v>
      </c>
      <c r="E21" s="325">
        <v>6525</v>
      </c>
      <c r="F21" s="325">
        <v>27315</v>
      </c>
      <c r="G21" s="338"/>
    </row>
    <row r="22" spans="2:7">
      <c r="C22" s="762" t="s">
        <v>881</v>
      </c>
      <c r="D22" s="594">
        <v>20790</v>
      </c>
      <c r="E22" s="325">
        <v>6525</v>
      </c>
      <c r="F22" s="325">
        <v>27315</v>
      </c>
      <c r="G22" s="338"/>
    </row>
    <row r="23" spans="2:7">
      <c r="C23" s="763" t="s">
        <v>882</v>
      </c>
      <c r="D23" s="592">
        <v>59240.826999999997</v>
      </c>
      <c r="E23" s="323">
        <v>960256.80900000001</v>
      </c>
      <c r="F23" s="323">
        <v>1019497.6360000001</v>
      </c>
      <c r="G23" s="339"/>
    </row>
    <row r="24" spans="2:7">
      <c r="C24" s="764" t="s">
        <v>883</v>
      </c>
      <c r="D24" s="592">
        <v>926383.5</v>
      </c>
      <c r="E24" s="323">
        <v>51715655.104999997</v>
      </c>
      <c r="F24" s="323">
        <v>52642038.604999997</v>
      </c>
      <c r="G24" s="339"/>
    </row>
    <row r="25" spans="2:7">
      <c r="C25" s="765" t="s">
        <v>884</v>
      </c>
      <c r="D25" s="592">
        <v>59241.095999999998</v>
      </c>
      <c r="E25" s="323">
        <v>960256.80900000001</v>
      </c>
      <c r="F25" s="323">
        <v>1019497.6360000001</v>
      </c>
      <c r="G25" s="592">
        <v>0.26900000000000002</v>
      </c>
    </row>
    <row r="26" spans="2:7">
      <c r="C26" s="761" t="s">
        <v>885</v>
      </c>
      <c r="D26" s="708"/>
      <c r="E26" s="703">
        <v>61655116.890000001</v>
      </c>
      <c r="F26" s="703">
        <v>61655116.890000001</v>
      </c>
      <c r="G26" s="708"/>
    </row>
    <row r="27" spans="2:7">
      <c r="C27" s="765" t="s">
        <v>886</v>
      </c>
      <c r="D27" s="339"/>
      <c r="E27" s="323">
        <v>786950.55</v>
      </c>
      <c r="F27" s="323">
        <v>786950.55</v>
      </c>
      <c r="G27" s="339"/>
    </row>
    <row r="28" spans="2:7">
      <c r="C28" s="756" t="s">
        <v>887</v>
      </c>
      <c r="D28" s="339"/>
      <c r="E28" s="323">
        <v>60081215.789999999</v>
      </c>
      <c r="F28" s="323">
        <v>60081215.789999999</v>
      </c>
      <c r="G28" s="339"/>
    </row>
    <row r="29" spans="2:7">
      <c r="C29" s="765" t="s">
        <v>888</v>
      </c>
      <c r="D29" s="339"/>
      <c r="E29" s="323">
        <v>786950.55</v>
      </c>
      <c r="F29" s="323">
        <v>786950.55</v>
      </c>
      <c r="G29" s="339"/>
    </row>
    <row r="30" spans="2:7">
      <c r="C30" s="761" t="s">
        <v>889</v>
      </c>
      <c r="D30" s="766">
        <v>6419.9</v>
      </c>
      <c r="E30" s="703">
        <v>24175.9</v>
      </c>
      <c r="F30" s="703">
        <v>14278</v>
      </c>
      <c r="G30" s="767">
        <v>3478</v>
      </c>
    </row>
    <row r="31" spans="2:7">
      <c r="C31" s="764" t="s">
        <v>890</v>
      </c>
      <c r="D31" s="588">
        <v>3209.95</v>
      </c>
      <c r="E31" s="323">
        <v>12087.95</v>
      </c>
      <c r="F31" s="323">
        <v>7139</v>
      </c>
      <c r="G31" s="592">
        <v>1739</v>
      </c>
    </row>
    <row r="32" spans="2:7">
      <c r="C32" s="757" t="s">
        <v>891</v>
      </c>
      <c r="D32" s="588">
        <v>3209.95</v>
      </c>
      <c r="E32" s="323">
        <v>12087.95</v>
      </c>
      <c r="F32" s="323">
        <v>7139</v>
      </c>
      <c r="G32" s="592">
        <v>1739</v>
      </c>
    </row>
    <row r="33" spans="3:7">
      <c r="C33" s="761" t="s">
        <v>892</v>
      </c>
      <c r="D33" s="708"/>
      <c r="E33" s="703">
        <v>1441594</v>
      </c>
      <c r="F33" s="703">
        <v>1548403</v>
      </c>
      <c r="G33" s="766">
        <v>106809</v>
      </c>
    </row>
    <row r="34" spans="3:7">
      <c r="C34" s="764" t="s">
        <v>893</v>
      </c>
      <c r="D34" s="339"/>
      <c r="E34" s="323">
        <v>1441594</v>
      </c>
      <c r="F34" s="323">
        <v>1548403</v>
      </c>
      <c r="G34" s="588">
        <v>106809</v>
      </c>
    </row>
    <row r="35" spans="3:7">
      <c r="C35" s="316" t="s">
        <v>894</v>
      </c>
      <c r="D35" s="768">
        <v>23565.87</v>
      </c>
      <c r="E35" s="591">
        <v>341513.87</v>
      </c>
      <c r="F35" s="591">
        <v>331634</v>
      </c>
      <c r="G35" s="768">
        <v>13686</v>
      </c>
    </row>
    <row r="36" spans="3:7">
      <c r="C36" s="765" t="s">
        <v>895</v>
      </c>
      <c r="D36" s="338"/>
      <c r="E36" s="325">
        <v>317948</v>
      </c>
      <c r="F36" s="325">
        <v>331634</v>
      </c>
      <c r="G36" s="589">
        <v>13686</v>
      </c>
    </row>
    <row r="37" spans="3:7">
      <c r="C37" s="764" t="s">
        <v>896</v>
      </c>
      <c r="D37" s="589">
        <v>23565.87</v>
      </c>
      <c r="E37" s="325">
        <v>23565.87</v>
      </c>
      <c r="F37" s="339"/>
      <c r="G37" s="338"/>
    </row>
    <row r="38" spans="3:7">
      <c r="C38" s="316" t="s">
        <v>897</v>
      </c>
      <c r="D38" s="768">
        <v>91416</v>
      </c>
      <c r="E38" s="591">
        <v>651910</v>
      </c>
      <c r="F38" s="591">
        <v>1095594</v>
      </c>
      <c r="G38" s="768">
        <v>535100</v>
      </c>
    </row>
    <row r="39" spans="3:7">
      <c r="C39" s="769" t="s">
        <v>898</v>
      </c>
      <c r="D39" s="755">
        <v>1015</v>
      </c>
      <c r="E39" s="691">
        <v>29677</v>
      </c>
      <c r="F39" s="691">
        <v>32577</v>
      </c>
      <c r="G39" s="755">
        <v>3915</v>
      </c>
    </row>
    <row r="40" spans="3:7">
      <c r="C40" s="765" t="s">
        <v>899</v>
      </c>
      <c r="D40" s="588">
        <v>1015</v>
      </c>
      <c r="E40" s="323">
        <v>29677</v>
      </c>
      <c r="F40" s="323">
        <v>32577</v>
      </c>
      <c r="G40" s="588">
        <v>3915</v>
      </c>
    </row>
    <row r="41" spans="3:7">
      <c r="C41" s="761" t="s">
        <v>900</v>
      </c>
      <c r="D41" s="766">
        <v>8272</v>
      </c>
      <c r="E41" s="703">
        <v>73592</v>
      </c>
      <c r="F41" s="703">
        <v>74712</v>
      </c>
      <c r="G41" s="766">
        <v>9392</v>
      </c>
    </row>
    <row r="42" spans="3:7">
      <c r="C42" s="764" t="s">
        <v>901</v>
      </c>
      <c r="D42" s="588">
        <v>8272</v>
      </c>
      <c r="E42" s="323">
        <v>73592</v>
      </c>
      <c r="F42" s="323">
        <v>74712</v>
      </c>
      <c r="G42" s="588">
        <v>9392</v>
      </c>
    </row>
    <row r="43" spans="3:7">
      <c r="C43" s="761" t="s">
        <v>902</v>
      </c>
      <c r="D43" s="766">
        <v>23363</v>
      </c>
      <c r="E43" s="703">
        <v>81683</v>
      </c>
      <c r="F43" s="703">
        <v>68100</v>
      </c>
      <c r="G43" s="766">
        <v>9780</v>
      </c>
    </row>
    <row r="44" spans="3:7">
      <c r="C44" s="763" t="s">
        <v>903</v>
      </c>
      <c r="D44" s="588">
        <v>18863</v>
      </c>
      <c r="E44" s="323">
        <v>66683</v>
      </c>
      <c r="F44" s="323">
        <v>55100</v>
      </c>
      <c r="G44" s="588">
        <v>7280</v>
      </c>
    </row>
    <row r="45" spans="3:7">
      <c r="C45" s="763" t="s">
        <v>904</v>
      </c>
      <c r="D45" s="588">
        <v>4500</v>
      </c>
      <c r="E45" s="323">
        <v>15000</v>
      </c>
      <c r="F45" s="323">
        <v>13000</v>
      </c>
      <c r="G45" s="588">
        <v>2500</v>
      </c>
    </row>
    <row r="46" spans="3:7">
      <c r="C46" s="761" t="s">
        <v>905</v>
      </c>
      <c r="D46" s="766">
        <v>4858</v>
      </c>
      <c r="E46" s="703">
        <v>110550</v>
      </c>
      <c r="F46" s="703">
        <v>126192</v>
      </c>
      <c r="G46" s="766">
        <v>20500</v>
      </c>
    </row>
    <row r="47" spans="3:7">
      <c r="C47" s="764" t="s">
        <v>905</v>
      </c>
      <c r="D47" s="588">
        <v>4858</v>
      </c>
      <c r="E47" s="323">
        <v>110550</v>
      </c>
      <c r="F47" s="323">
        <v>126192</v>
      </c>
      <c r="G47" s="588">
        <v>20500</v>
      </c>
    </row>
    <row r="48" spans="3:7">
      <c r="C48" s="761" t="s">
        <v>906</v>
      </c>
      <c r="D48" s="766">
        <v>34900</v>
      </c>
      <c r="E48" s="703">
        <v>337400</v>
      </c>
      <c r="F48" s="703">
        <v>392500</v>
      </c>
      <c r="G48" s="766">
        <v>90000</v>
      </c>
    </row>
    <row r="49" spans="2:7">
      <c r="C49" s="764" t="s">
        <v>906</v>
      </c>
      <c r="D49" s="588">
        <v>34900</v>
      </c>
      <c r="E49" s="323">
        <v>84900</v>
      </c>
      <c r="F49" s="323">
        <v>60000</v>
      </c>
      <c r="G49" s="588">
        <v>10000</v>
      </c>
    </row>
    <row r="50" spans="2:7">
      <c r="C50" s="765" t="s">
        <v>907</v>
      </c>
      <c r="D50" s="339"/>
      <c r="E50" s="323">
        <v>105000</v>
      </c>
      <c r="F50" s="323">
        <v>145000</v>
      </c>
      <c r="G50" s="588">
        <v>40000</v>
      </c>
    </row>
    <row r="51" spans="2:7">
      <c r="C51" s="765" t="s">
        <v>908</v>
      </c>
      <c r="D51" s="339"/>
      <c r="E51" s="323">
        <v>42500</v>
      </c>
      <c r="F51" s="323">
        <v>42500</v>
      </c>
      <c r="G51" s="339"/>
    </row>
    <row r="52" spans="2:7">
      <c r="C52" s="765" t="s">
        <v>909</v>
      </c>
      <c r="D52" s="339"/>
      <c r="E52" s="323">
        <v>105000</v>
      </c>
      <c r="F52" s="323">
        <v>145000</v>
      </c>
      <c r="G52" s="588">
        <v>40000</v>
      </c>
    </row>
    <row r="53" spans="2:7">
      <c r="C53" s="764" t="s">
        <v>910</v>
      </c>
      <c r="D53" s="338"/>
      <c r="E53" s="339"/>
      <c r="F53" s="325">
        <v>401513</v>
      </c>
      <c r="G53" s="589">
        <v>401513</v>
      </c>
    </row>
    <row r="54" spans="2:7">
      <c r="C54" s="764" t="s">
        <v>911</v>
      </c>
      <c r="D54" s="589">
        <v>19008</v>
      </c>
      <c r="E54" s="325">
        <v>19008</v>
      </c>
      <c r="F54" s="339"/>
      <c r="G54" s="338"/>
    </row>
    <row r="55" spans="2:7">
      <c r="C55" s="757" t="s">
        <v>912</v>
      </c>
      <c r="D55" s="588">
        <v>900</v>
      </c>
      <c r="E55" s="338"/>
      <c r="F55" s="323">
        <v>4800</v>
      </c>
      <c r="G55" s="588">
        <v>5700</v>
      </c>
    </row>
    <row r="56" spans="2:7">
      <c r="B56" s="62" t="s">
        <v>88</v>
      </c>
      <c r="C56" s="316" t="s">
        <v>341</v>
      </c>
      <c r="D56" s="766">
        <v>10065447.550000001</v>
      </c>
      <c r="E56" s="703">
        <v>9500000</v>
      </c>
      <c r="F56" s="703">
        <v>8322445</v>
      </c>
      <c r="G56" s="766">
        <v>8887892.5500000007</v>
      </c>
    </row>
    <row r="57" spans="2:7">
      <c r="C57" s="757" t="s">
        <v>913</v>
      </c>
      <c r="D57" s="339"/>
      <c r="E57" s="338"/>
      <c r="F57" s="323">
        <v>8322445</v>
      </c>
      <c r="G57" s="588">
        <v>8322445</v>
      </c>
    </row>
    <row r="58" spans="2:7">
      <c r="C58" s="757" t="s">
        <v>914</v>
      </c>
      <c r="D58" s="588">
        <v>10065447.550000001</v>
      </c>
      <c r="E58" s="323">
        <v>9500000</v>
      </c>
      <c r="F58" s="338"/>
      <c r="G58" s="588">
        <v>565447.55000000005</v>
      </c>
    </row>
    <row r="59" spans="2:7">
      <c r="B59" s="428" t="s">
        <v>423</v>
      </c>
      <c r="C59" s="316" t="s">
        <v>342</v>
      </c>
      <c r="D59" s="588">
        <v>438219.85</v>
      </c>
      <c r="E59" s="325">
        <v>329875827.76800001</v>
      </c>
      <c r="F59" s="325">
        <v>534393567.39700001</v>
      </c>
      <c r="G59" s="588">
        <v>204955959.479</v>
      </c>
    </row>
    <row r="60" spans="2:7">
      <c r="B60" s="53" t="s">
        <v>91</v>
      </c>
      <c r="C60" s="321" t="s">
        <v>581</v>
      </c>
      <c r="D60" s="338"/>
      <c r="E60" s="339"/>
      <c r="F60" s="325">
        <v>184875</v>
      </c>
      <c r="G60" s="589">
        <v>184875</v>
      </c>
    </row>
    <row r="61" spans="2:7">
      <c r="C61" s="770" t="s">
        <v>582</v>
      </c>
      <c r="D61" s="589">
        <v>68761.755999999994</v>
      </c>
      <c r="E61" s="325">
        <v>68761.755999999994</v>
      </c>
      <c r="F61" s="339"/>
      <c r="G61" s="338"/>
    </row>
    <row r="62" spans="2:7">
      <c r="B62" s="62" t="s">
        <v>489</v>
      </c>
      <c r="C62" s="321" t="s">
        <v>583</v>
      </c>
      <c r="D62" s="338"/>
      <c r="E62" s="325">
        <v>6501486</v>
      </c>
      <c r="F62" s="325">
        <v>7298279</v>
      </c>
      <c r="G62" s="589">
        <v>796793</v>
      </c>
    </row>
    <row r="63" spans="2:7">
      <c r="B63" s="62" t="s">
        <v>91</v>
      </c>
      <c r="C63" s="321" t="s">
        <v>584</v>
      </c>
      <c r="D63" s="338"/>
      <c r="E63" s="325">
        <v>4385402.5</v>
      </c>
      <c r="F63" s="325">
        <v>4496913.5</v>
      </c>
      <c r="G63" s="589">
        <v>111511</v>
      </c>
    </row>
    <row r="64" spans="2:7">
      <c r="B64" s="439" t="s">
        <v>429</v>
      </c>
      <c r="C64" s="321" t="s">
        <v>343</v>
      </c>
      <c r="D64" s="589">
        <v>1784974.79</v>
      </c>
      <c r="E64" s="325">
        <v>1230000</v>
      </c>
      <c r="F64" s="325">
        <v>51917</v>
      </c>
      <c r="G64" s="589">
        <v>606891.79</v>
      </c>
    </row>
    <row r="65" spans="2:7">
      <c r="B65" s="62" t="s">
        <v>91</v>
      </c>
      <c r="C65" s="321" t="s">
        <v>344</v>
      </c>
      <c r="D65" s="589">
        <v>124425</v>
      </c>
      <c r="E65" s="325">
        <v>1728943</v>
      </c>
      <c r="F65" s="325">
        <v>1990643</v>
      </c>
      <c r="G65" s="589">
        <v>386125</v>
      </c>
    </row>
    <row r="66" spans="2:7">
      <c r="B66" s="63" t="s">
        <v>430</v>
      </c>
      <c r="C66" s="321" t="s">
        <v>345</v>
      </c>
      <c r="D66" s="589">
        <v>5018840</v>
      </c>
      <c r="E66" s="339"/>
      <c r="F66" s="339"/>
      <c r="G66" s="589">
        <v>5018840</v>
      </c>
    </row>
    <row r="67" spans="2:7">
      <c r="C67" s="311" t="s">
        <v>346</v>
      </c>
      <c r="D67" s="593">
        <v>2716646.86</v>
      </c>
      <c r="E67" s="591">
        <v>291275.37</v>
      </c>
      <c r="F67" s="591">
        <v>1091453.25</v>
      </c>
      <c r="G67" s="593">
        <v>1916468.98</v>
      </c>
    </row>
    <row r="68" spans="2:7">
      <c r="B68" s="53" t="s">
        <v>71</v>
      </c>
      <c r="C68" s="321" t="s">
        <v>347</v>
      </c>
      <c r="D68" s="594">
        <v>58773.32</v>
      </c>
      <c r="E68" s="339"/>
      <c r="F68" s="339"/>
      <c r="G68" s="594">
        <v>58773.32</v>
      </c>
    </row>
    <row r="69" spans="2:7">
      <c r="B69" s="53" t="s">
        <v>71</v>
      </c>
      <c r="C69" s="321" t="s">
        <v>585</v>
      </c>
      <c r="D69" s="338"/>
      <c r="E69" s="325">
        <v>23000</v>
      </c>
      <c r="F69" s="339"/>
      <c r="G69" s="594">
        <v>23000</v>
      </c>
    </row>
    <row r="70" spans="2:7">
      <c r="B70" s="53" t="s">
        <v>71</v>
      </c>
      <c r="C70" s="321" t="s">
        <v>348</v>
      </c>
      <c r="D70" s="594">
        <v>2236.33</v>
      </c>
      <c r="E70" s="339"/>
      <c r="F70" s="339"/>
      <c r="G70" s="594">
        <v>2236.33</v>
      </c>
    </row>
    <row r="71" spans="2:7">
      <c r="B71" s="53" t="s">
        <v>71</v>
      </c>
      <c r="C71" s="321" t="s">
        <v>349</v>
      </c>
      <c r="D71" s="594">
        <v>1350</v>
      </c>
      <c r="E71" s="339"/>
      <c r="F71" s="339"/>
      <c r="G71" s="594">
        <v>1350</v>
      </c>
    </row>
    <row r="72" spans="2:7">
      <c r="B72" s="53" t="s">
        <v>71</v>
      </c>
      <c r="C72" s="321" t="s">
        <v>586</v>
      </c>
      <c r="D72" s="338"/>
      <c r="E72" s="325">
        <v>41388</v>
      </c>
      <c r="F72" s="339"/>
      <c r="G72" s="594">
        <v>41388</v>
      </c>
    </row>
    <row r="73" spans="2:7">
      <c r="B73" s="53" t="s">
        <v>71</v>
      </c>
      <c r="C73" s="321" t="s">
        <v>350</v>
      </c>
      <c r="D73" s="594">
        <v>1119150.96</v>
      </c>
      <c r="E73" s="339"/>
      <c r="F73" s="339"/>
      <c r="G73" s="594">
        <v>1119150.96</v>
      </c>
    </row>
    <row r="74" spans="2:7">
      <c r="B74" s="53" t="s">
        <v>71</v>
      </c>
      <c r="C74" s="321" t="s">
        <v>351</v>
      </c>
      <c r="D74" s="594">
        <v>282848.64000000001</v>
      </c>
      <c r="E74" s="339"/>
      <c r="F74" s="339"/>
      <c r="G74" s="594">
        <v>282848.64000000001</v>
      </c>
    </row>
    <row r="75" spans="2:7">
      <c r="B75" s="53" t="s">
        <v>71</v>
      </c>
      <c r="C75" s="321" t="s">
        <v>587</v>
      </c>
      <c r="D75" s="338"/>
      <c r="E75" s="325">
        <v>12542.37</v>
      </c>
      <c r="F75" s="339"/>
      <c r="G75" s="594">
        <v>12542.37</v>
      </c>
    </row>
    <row r="76" spans="2:7">
      <c r="B76" s="53" t="s">
        <v>71</v>
      </c>
      <c r="C76" s="321" t="s">
        <v>588</v>
      </c>
      <c r="D76" s="338"/>
      <c r="E76" s="325">
        <v>17500</v>
      </c>
      <c r="F76" s="339"/>
      <c r="G76" s="594">
        <v>17500</v>
      </c>
    </row>
    <row r="77" spans="2:7">
      <c r="B77" s="53" t="s">
        <v>71</v>
      </c>
      <c r="C77" s="321" t="s">
        <v>481</v>
      </c>
      <c r="D77" s="589">
        <v>15957.27</v>
      </c>
      <c r="E77" s="339"/>
      <c r="F77" s="325">
        <v>114726.25</v>
      </c>
      <c r="G77" s="589">
        <v>-130683.52</v>
      </c>
    </row>
    <row r="78" spans="2:7">
      <c r="B78" s="53" t="s">
        <v>428</v>
      </c>
      <c r="C78" s="321" t="s">
        <v>352</v>
      </c>
      <c r="D78" s="594">
        <v>1268244.8799999999</v>
      </c>
      <c r="E78" s="325">
        <v>196845</v>
      </c>
      <c r="F78" s="325">
        <v>976727</v>
      </c>
      <c r="G78" s="594">
        <v>488362.88</v>
      </c>
    </row>
    <row r="79" spans="2:7">
      <c r="C79" s="311" t="s">
        <v>353</v>
      </c>
      <c r="D79" s="593">
        <v>56560560</v>
      </c>
      <c r="E79" s="595"/>
      <c r="F79" s="595"/>
      <c r="G79" s="593">
        <v>56560560</v>
      </c>
    </row>
    <row r="80" spans="2:7">
      <c r="B80" s="54" t="s">
        <v>72</v>
      </c>
      <c r="C80" s="321" t="s">
        <v>354</v>
      </c>
      <c r="D80" s="594">
        <v>56560560</v>
      </c>
      <c r="E80" s="339"/>
      <c r="F80" s="339"/>
      <c r="G80" s="594">
        <v>56560560</v>
      </c>
    </row>
    <row r="81" spans="2:9">
      <c r="C81" s="311" t="s">
        <v>355</v>
      </c>
      <c r="D81" s="593">
        <v>164751977.63299999</v>
      </c>
      <c r="E81" s="591">
        <v>1460533563.0799999</v>
      </c>
      <c r="F81" s="591">
        <v>1453262248.1819999</v>
      </c>
      <c r="G81" s="593">
        <v>172023292.53099999</v>
      </c>
    </row>
    <row r="82" spans="2:9">
      <c r="C82" s="316" t="s">
        <v>356</v>
      </c>
      <c r="D82" s="592">
        <v>10437206.743000001</v>
      </c>
      <c r="E82" s="339"/>
      <c r="F82" s="339"/>
      <c r="G82" s="592">
        <v>10437206.743000001</v>
      </c>
      <c r="H82" s="771" t="s">
        <v>915</v>
      </c>
      <c r="I82" s="508">
        <v>236811473.215</v>
      </c>
    </row>
    <row r="83" spans="2:9">
      <c r="B83" s="54" t="s">
        <v>73</v>
      </c>
      <c r="C83" s="316" t="s">
        <v>357</v>
      </c>
      <c r="D83" s="767">
        <v>639000</v>
      </c>
      <c r="E83" s="708"/>
      <c r="F83" s="703">
        <v>39000</v>
      </c>
      <c r="G83" s="767">
        <v>600000</v>
      </c>
    </row>
    <row r="84" spans="2:9">
      <c r="C84" s="756" t="s">
        <v>916</v>
      </c>
      <c r="D84" s="592">
        <v>39000</v>
      </c>
      <c r="E84" s="338"/>
      <c r="F84" s="323">
        <v>39000</v>
      </c>
      <c r="G84" s="339"/>
    </row>
    <row r="85" spans="2:9">
      <c r="C85" s="757" t="s">
        <v>917</v>
      </c>
      <c r="D85" s="592">
        <v>600000</v>
      </c>
      <c r="E85" s="338"/>
      <c r="F85" s="338"/>
      <c r="G85" s="592">
        <v>600000</v>
      </c>
    </row>
    <row r="86" spans="2:9">
      <c r="B86" s="63" t="s">
        <v>430</v>
      </c>
      <c r="C86" s="316" t="s">
        <v>358</v>
      </c>
      <c r="D86" s="766">
        <v>12957504.32</v>
      </c>
      <c r="E86" s="703">
        <v>356151292.17000002</v>
      </c>
      <c r="F86" s="703">
        <v>380797269.17000002</v>
      </c>
      <c r="G86" s="766">
        <v>37603481.32</v>
      </c>
    </row>
    <row r="87" spans="2:9">
      <c r="C87" s="772" t="s">
        <v>918</v>
      </c>
      <c r="D87" s="611"/>
      <c r="E87" s="587">
        <v>17500000</v>
      </c>
      <c r="F87" s="587">
        <v>9500000</v>
      </c>
      <c r="G87" s="759">
        <v>8000000</v>
      </c>
    </row>
    <row r="88" spans="2:9">
      <c r="C88" s="764" t="s">
        <v>919</v>
      </c>
      <c r="D88" s="338"/>
      <c r="E88" s="325">
        <v>8000000</v>
      </c>
      <c r="F88" s="339"/>
      <c r="G88" s="594">
        <v>8000000</v>
      </c>
    </row>
    <row r="89" spans="2:9">
      <c r="C89" s="764" t="s">
        <v>920</v>
      </c>
      <c r="D89" s="338"/>
      <c r="E89" s="325">
        <v>9500000</v>
      </c>
      <c r="F89" s="325">
        <v>9500000</v>
      </c>
      <c r="G89" s="338"/>
    </row>
    <row r="90" spans="2:9">
      <c r="C90" s="772" t="s">
        <v>921</v>
      </c>
      <c r="D90" s="773">
        <v>30000</v>
      </c>
      <c r="E90" s="591">
        <v>35000</v>
      </c>
      <c r="F90" s="591">
        <v>30000</v>
      </c>
      <c r="G90" s="773">
        <v>35000</v>
      </c>
    </row>
    <row r="91" spans="2:9">
      <c r="C91" s="764" t="s">
        <v>922</v>
      </c>
      <c r="D91" s="594">
        <v>30000</v>
      </c>
      <c r="E91" s="325">
        <v>35000</v>
      </c>
      <c r="F91" s="325">
        <v>30000</v>
      </c>
      <c r="G91" s="594">
        <v>35000</v>
      </c>
    </row>
    <row r="92" spans="2:9">
      <c r="C92" s="757" t="s">
        <v>923</v>
      </c>
      <c r="D92" s="339"/>
      <c r="E92" s="323">
        <v>1000000</v>
      </c>
      <c r="F92" s="338"/>
      <c r="G92" s="592">
        <v>1000000</v>
      </c>
    </row>
    <row r="93" spans="2:9">
      <c r="C93" s="757" t="s">
        <v>924</v>
      </c>
      <c r="D93" s="339"/>
      <c r="E93" s="323">
        <v>34300000</v>
      </c>
      <c r="F93" s="323">
        <v>34300000</v>
      </c>
      <c r="G93" s="339"/>
    </row>
    <row r="94" spans="2:9">
      <c r="C94" s="757" t="s">
        <v>925</v>
      </c>
      <c r="D94" s="588">
        <v>12987504.32</v>
      </c>
      <c r="E94" s="323">
        <v>273316292.17000002</v>
      </c>
      <c r="F94" s="323">
        <v>307967269.17000002</v>
      </c>
      <c r="G94" s="588">
        <v>47638481.32</v>
      </c>
    </row>
    <row r="95" spans="2:9">
      <c r="C95" s="757" t="s">
        <v>926</v>
      </c>
      <c r="D95" s="339"/>
      <c r="E95" s="323">
        <v>29000000</v>
      </c>
      <c r="F95" s="323">
        <v>29000000</v>
      </c>
      <c r="G95" s="339"/>
    </row>
    <row r="96" spans="2:9">
      <c r="C96" s="757" t="s">
        <v>927</v>
      </c>
      <c r="D96" s="339"/>
      <c r="E96" s="323">
        <v>1000000</v>
      </c>
      <c r="F96" s="338"/>
      <c r="G96" s="592">
        <v>1000000</v>
      </c>
    </row>
    <row r="97" spans="2:7">
      <c r="B97" s="54" t="s">
        <v>97</v>
      </c>
      <c r="C97" s="316" t="s">
        <v>359</v>
      </c>
      <c r="D97" s="592">
        <v>6002207</v>
      </c>
      <c r="E97" s="325">
        <v>412867629</v>
      </c>
      <c r="F97" s="325">
        <v>418339998</v>
      </c>
      <c r="G97" s="592">
        <v>529838</v>
      </c>
    </row>
    <row r="98" spans="2:7">
      <c r="B98" s="54" t="s">
        <v>98</v>
      </c>
      <c r="C98" s="316" t="s">
        <v>360</v>
      </c>
      <c r="D98" s="767">
        <v>63052</v>
      </c>
      <c r="E98" s="703">
        <v>26630</v>
      </c>
      <c r="F98" s="703">
        <v>26603</v>
      </c>
      <c r="G98" s="767">
        <v>63079</v>
      </c>
    </row>
    <row r="99" spans="2:7">
      <c r="C99" s="321" t="s">
        <v>928</v>
      </c>
      <c r="D99" s="592">
        <v>63052</v>
      </c>
      <c r="E99" s="323">
        <v>26630</v>
      </c>
      <c r="F99" s="323">
        <v>26603</v>
      </c>
      <c r="G99" s="592">
        <v>63079</v>
      </c>
    </row>
    <row r="100" spans="2:7">
      <c r="B100" s="54" t="s">
        <v>98</v>
      </c>
      <c r="C100" s="316" t="s">
        <v>361</v>
      </c>
      <c r="D100" s="767">
        <v>28180497.800000001</v>
      </c>
      <c r="E100" s="703">
        <v>639741413.5</v>
      </c>
      <c r="F100" s="703">
        <v>603005127.01199996</v>
      </c>
      <c r="G100" s="767">
        <v>64916784.288000003</v>
      </c>
    </row>
    <row r="101" spans="2:7">
      <c r="C101" s="757" t="s">
        <v>929</v>
      </c>
      <c r="D101" s="592">
        <v>299486.11</v>
      </c>
      <c r="E101" s="323">
        <v>50000</v>
      </c>
      <c r="F101" s="323">
        <v>339000</v>
      </c>
      <c r="G101" s="592">
        <v>10486.11</v>
      </c>
    </row>
    <row r="102" spans="2:7">
      <c r="C102" s="757" t="s">
        <v>930</v>
      </c>
      <c r="D102" s="592">
        <v>27733249.18</v>
      </c>
      <c r="E102" s="323">
        <v>631184367</v>
      </c>
      <c r="F102" s="323">
        <v>598682237.51199996</v>
      </c>
      <c r="G102" s="592">
        <v>60235378.667999998</v>
      </c>
    </row>
    <row r="103" spans="2:7">
      <c r="C103" s="757" t="s">
        <v>931</v>
      </c>
      <c r="D103" s="339"/>
      <c r="E103" s="323">
        <v>4496913.5</v>
      </c>
      <c r="F103" s="323">
        <v>3983889.5</v>
      </c>
      <c r="G103" s="592">
        <v>513024</v>
      </c>
    </row>
    <row r="104" spans="2:7">
      <c r="C104" s="757" t="s">
        <v>932</v>
      </c>
      <c r="D104" s="339"/>
      <c r="E104" s="323">
        <v>4010133</v>
      </c>
      <c r="F104" s="338"/>
      <c r="G104" s="592">
        <v>4010133</v>
      </c>
    </row>
    <row r="105" spans="2:7">
      <c r="C105" s="757" t="s">
        <v>933</v>
      </c>
      <c r="D105" s="592">
        <v>111439.91</v>
      </c>
      <c r="E105" s="338"/>
      <c r="F105" s="338"/>
      <c r="G105" s="592">
        <v>111439.91</v>
      </c>
    </row>
    <row r="106" spans="2:7">
      <c r="C106" s="757" t="s">
        <v>934</v>
      </c>
      <c r="D106" s="592">
        <v>27649</v>
      </c>
      <c r="E106" s="338"/>
      <c r="F106" s="338"/>
      <c r="G106" s="592">
        <v>27649</v>
      </c>
    </row>
    <row r="107" spans="2:7">
      <c r="C107" s="757" t="s">
        <v>935</v>
      </c>
      <c r="D107" s="592">
        <v>8673.6</v>
      </c>
      <c r="E107" s="338"/>
      <c r="F107" s="338"/>
      <c r="G107" s="592">
        <v>8673.6</v>
      </c>
    </row>
    <row r="108" spans="2:7">
      <c r="B108" s="53" t="s">
        <v>76</v>
      </c>
      <c r="C108" s="774" t="s">
        <v>590</v>
      </c>
      <c r="D108" s="767">
        <v>25300800</v>
      </c>
      <c r="E108" s="708"/>
      <c r="F108" s="708"/>
      <c r="G108" s="767">
        <v>25300800</v>
      </c>
    </row>
    <row r="109" spans="2:7">
      <c r="C109" s="757" t="s">
        <v>363</v>
      </c>
      <c r="D109" s="592">
        <v>25300800</v>
      </c>
      <c r="E109" s="338"/>
      <c r="F109" s="338"/>
      <c r="G109" s="592">
        <v>25300800</v>
      </c>
    </row>
    <row r="110" spans="2:7">
      <c r="B110" s="57" t="s">
        <v>76</v>
      </c>
      <c r="C110" s="774" t="s">
        <v>591</v>
      </c>
      <c r="D110" s="767">
        <v>41874840</v>
      </c>
      <c r="E110" s="708"/>
      <c r="F110" s="708"/>
      <c r="G110" s="767">
        <v>41874840</v>
      </c>
    </row>
    <row r="111" spans="2:7">
      <c r="C111" s="757" t="s">
        <v>364</v>
      </c>
      <c r="D111" s="592">
        <v>41874840</v>
      </c>
      <c r="E111" s="338"/>
      <c r="F111" s="338"/>
      <c r="G111" s="592">
        <v>41874840</v>
      </c>
    </row>
    <row r="112" spans="2:7">
      <c r="B112" s="53" t="s">
        <v>78</v>
      </c>
      <c r="C112" s="774" t="s">
        <v>362</v>
      </c>
      <c r="D112" s="766">
        <v>327498</v>
      </c>
      <c r="E112" s="703">
        <v>51225007</v>
      </c>
      <c r="F112" s="703">
        <v>50892109</v>
      </c>
      <c r="G112" s="767">
        <v>5400</v>
      </c>
    </row>
    <row r="113" spans="2:7">
      <c r="C113" s="756" t="s">
        <v>936</v>
      </c>
      <c r="D113" s="588">
        <v>327498</v>
      </c>
      <c r="E113" s="323">
        <v>49662326</v>
      </c>
      <c r="F113" s="323">
        <v>49334828</v>
      </c>
      <c r="G113" s="339"/>
    </row>
    <row r="114" spans="2:7">
      <c r="C114" s="757" t="s">
        <v>937</v>
      </c>
      <c r="D114" s="339"/>
      <c r="E114" s="323">
        <v>1520862</v>
      </c>
      <c r="F114" s="323">
        <v>1520862</v>
      </c>
      <c r="G114" s="339"/>
    </row>
    <row r="115" spans="2:7">
      <c r="C115" s="756" t="s">
        <v>751</v>
      </c>
      <c r="D115" s="339"/>
      <c r="E115" s="323">
        <v>41819</v>
      </c>
      <c r="F115" s="323">
        <v>36419</v>
      </c>
      <c r="G115" s="592">
        <v>5400</v>
      </c>
    </row>
    <row r="116" spans="2:7">
      <c r="B116" s="57" t="s">
        <v>78</v>
      </c>
      <c r="C116" s="774" t="s">
        <v>592</v>
      </c>
      <c r="D116" s="767">
        <v>4690.41</v>
      </c>
      <c r="E116" s="703">
        <v>9794</v>
      </c>
      <c r="F116" s="708"/>
      <c r="G116" s="767">
        <v>14484.41</v>
      </c>
    </row>
    <row r="117" spans="2:7">
      <c r="B117" s="57"/>
      <c r="C117" s="757" t="s">
        <v>752</v>
      </c>
      <c r="D117" s="339"/>
      <c r="E117" s="323">
        <v>9794</v>
      </c>
      <c r="F117" s="338"/>
      <c r="G117" s="592">
        <v>9794</v>
      </c>
    </row>
    <row r="118" spans="2:7">
      <c r="B118" s="57"/>
      <c r="C118" s="757" t="s">
        <v>753</v>
      </c>
      <c r="D118" s="592">
        <v>4690.41</v>
      </c>
      <c r="E118" s="338"/>
      <c r="F118" s="338"/>
      <c r="G118" s="592">
        <v>4690.41</v>
      </c>
    </row>
    <row r="119" spans="2:7">
      <c r="B119" s="57" t="s">
        <v>78</v>
      </c>
      <c r="C119" s="774" t="s">
        <v>593</v>
      </c>
      <c r="D119" s="708"/>
      <c r="E119" s="703">
        <v>70360</v>
      </c>
      <c r="F119" s="708"/>
      <c r="G119" s="767">
        <v>70360</v>
      </c>
    </row>
    <row r="120" spans="2:7">
      <c r="C120" s="757" t="s">
        <v>938</v>
      </c>
      <c r="D120" s="339"/>
      <c r="E120" s="323">
        <v>70360</v>
      </c>
      <c r="F120" s="338"/>
      <c r="G120" s="592">
        <v>70360</v>
      </c>
    </row>
    <row r="121" spans="2:7">
      <c r="B121" s="53" t="s">
        <v>424</v>
      </c>
      <c r="C121" s="775" t="s">
        <v>594</v>
      </c>
      <c r="D121" s="338"/>
      <c r="E121" s="325">
        <v>50704.41</v>
      </c>
      <c r="F121" s="339"/>
      <c r="G121" s="594">
        <v>50704.41</v>
      </c>
    </row>
    <row r="122" spans="2:7">
      <c r="B122" s="53" t="s">
        <v>76</v>
      </c>
      <c r="C122" s="321" t="s">
        <v>365</v>
      </c>
      <c r="D122" s="594">
        <v>65520125</v>
      </c>
      <c r="E122" s="339"/>
      <c r="F122" s="339"/>
      <c r="G122" s="594">
        <v>65520125</v>
      </c>
    </row>
    <row r="123" spans="2:7">
      <c r="B123" s="54" t="s">
        <v>287</v>
      </c>
      <c r="C123" s="776" t="s">
        <v>595</v>
      </c>
      <c r="D123" s="338"/>
      <c r="E123" s="325">
        <v>15621</v>
      </c>
      <c r="F123" s="325">
        <v>15621</v>
      </c>
      <c r="G123" s="338"/>
    </row>
    <row r="124" spans="2:7">
      <c r="B124" s="53" t="s">
        <v>78</v>
      </c>
      <c r="C124" s="776" t="s">
        <v>367</v>
      </c>
      <c r="D124" s="594">
        <v>14561</v>
      </c>
      <c r="E124" s="325">
        <v>375112</v>
      </c>
      <c r="F124" s="325">
        <v>146521</v>
      </c>
      <c r="G124" s="594">
        <v>243152</v>
      </c>
    </row>
    <row r="125" spans="2:7">
      <c r="C125" s="311" t="s">
        <v>368</v>
      </c>
      <c r="D125" s="590">
        <v>11672659.199999999</v>
      </c>
      <c r="E125" s="595"/>
      <c r="F125" s="595"/>
      <c r="G125" s="590">
        <v>11672659.199999999</v>
      </c>
    </row>
    <row r="126" spans="2:7">
      <c r="B126" s="53" t="s">
        <v>83</v>
      </c>
      <c r="C126" s="321" t="s">
        <v>369</v>
      </c>
      <c r="D126" s="589">
        <v>11672659.199999999</v>
      </c>
      <c r="E126" s="339"/>
      <c r="F126" s="339"/>
      <c r="G126" s="589">
        <v>11672659.199999999</v>
      </c>
    </row>
    <row r="127" spans="2:7">
      <c r="C127" s="311" t="s">
        <v>370</v>
      </c>
      <c r="D127" s="340"/>
      <c r="E127" s="591">
        <v>234318</v>
      </c>
      <c r="F127" s="591">
        <v>342528427.16399997</v>
      </c>
      <c r="G127" s="590">
        <v>342294109.16399997</v>
      </c>
    </row>
    <row r="128" spans="2:7">
      <c r="C128" s="321" t="s">
        <v>596</v>
      </c>
      <c r="D128" s="338"/>
      <c r="E128" s="325">
        <v>128916</v>
      </c>
      <c r="F128" s="339"/>
      <c r="G128" s="594">
        <v>128916</v>
      </c>
    </row>
    <row r="129" spans="3:7">
      <c r="C129" s="321" t="s">
        <v>371</v>
      </c>
      <c r="D129" s="338"/>
      <c r="E129" s="325">
        <v>40631</v>
      </c>
      <c r="F129" s="325">
        <v>333784532.16399997</v>
      </c>
      <c r="G129" s="589">
        <v>333743901.16399997</v>
      </c>
    </row>
    <row r="130" spans="3:7">
      <c r="C130" s="321" t="s">
        <v>597</v>
      </c>
      <c r="D130" s="338"/>
      <c r="E130" s="339"/>
      <c r="F130" s="325">
        <v>8743895</v>
      </c>
      <c r="G130" s="589">
        <v>8743895</v>
      </c>
    </row>
    <row r="131" spans="3:7">
      <c r="C131" s="321" t="s">
        <v>598</v>
      </c>
      <c r="D131" s="338"/>
      <c r="E131" s="325">
        <v>31927</v>
      </c>
      <c r="F131" s="339"/>
      <c r="G131" s="594">
        <v>31927</v>
      </c>
    </row>
    <row r="132" spans="3:7">
      <c r="C132" s="321" t="s">
        <v>599</v>
      </c>
      <c r="D132" s="338"/>
      <c r="E132" s="325">
        <v>32844</v>
      </c>
      <c r="F132" s="339"/>
      <c r="G132" s="594">
        <v>32844</v>
      </c>
    </row>
    <row r="133" spans="3:7">
      <c r="C133" s="311" t="s">
        <v>372</v>
      </c>
      <c r="D133" s="340"/>
      <c r="E133" s="591">
        <v>521214590.583</v>
      </c>
      <c r="F133" s="595"/>
      <c r="G133" s="593">
        <v>521214590.583</v>
      </c>
    </row>
    <row r="134" spans="3:7">
      <c r="C134" s="316" t="s">
        <v>373</v>
      </c>
      <c r="D134" s="690"/>
      <c r="E134" s="691">
        <v>521214590.583</v>
      </c>
      <c r="F134" s="690"/>
      <c r="G134" s="758">
        <v>521214590.583</v>
      </c>
    </row>
    <row r="135" spans="3:7">
      <c r="C135" s="761" t="s">
        <v>939</v>
      </c>
      <c r="D135" s="611"/>
      <c r="E135" s="587">
        <v>21397229.954999998</v>
      </c>
      <c r="F135" s="611"/>
      <c r="G135" s="759">
        <v>21397229.954999998</v>
      </c>
    </row>
    <row r="136" spans="3:7">
      <c r="C136" s="765" t="s">
        <v>940</v>
      </c>
      <c r="D136" s="338"/>
      <c r="E136" s="325">
        <v>44591</v>
      </c>
      <c r="F136" s="339"/>
      <c r="G136" s="594">
        <v>44591</v>
      </c>
    </row>
    <row r="137" spans="3:7">
      <c r="C137" s="764" t="s">
        <v>941</v>
      </c>
      <c r="D137" s="338"/>
      <c r="E137" s="325">
        <v>1652492</v>
      </c>
      <c r="F137" s="339"/>
      <c r="G137" s="594">
        <v>1652492</v>
      </c>
    </row>
    <row r="138" spans="3:7">
      <c r="C138" s="765" t="s">
        <v>942</v>
      </c>
      <c r="D138" s="338"/>
      <c r="E138" s="325">
        <v>83135</v>
      </c>
      <c r="F138" s="339"/>
      <c r="G138" s="594">
        <v>83135</v>
      </c>
    </row>
    <row r="139" spans="3:7">
      <c r="C139" s="757" t="s">
        <v>943</v>
      </c>
      <c r="D139" s="338"/>
      <c r="E139" s="325">
        <v>19512.259999999998</v>
      </c>
      <c r="F139" s="339"/>
      <c r="G139" s="594">
        <v>19512.259999999998</v>
      </c>
    </row>
    <row r="140" spans="3:7">
      <c r="C140" s="764" t="s">
        <v>944</v>
      </c>
      <c r="D140" s="338"/>
      <c r="E140" s="325">
        <v>6500</v>
      </c>
      <c r="F140" s="339"/>
      <c r="G140" s="594">
        <v>6500</v>
      </c>
    </row>
    <row r="141" spans="3:7">
      <c r="C141" s="765" t="s">
        <v>945</v>
      </c>
      <c r="D141" s="338"/>
      <c r="E141" s="325">
        <v>19443627.695</v>
      </c>
      <c r="F141" s="339"/>
      <c r="G141" s="594">
        <v>19443627.695</v>
      </c>
    </row>
    <row r="142" spans="3:7">
      <c r="C142" s="765" t="s">
        <v>946</v>
      </c>
      <c r="D142" s="338"/>
      <c r="E142" s="325">
        <v>147372</v>
      </c>
      <c r="F142" s="339"/>
      <c r="G142" s="594">
        <v>147372</v>
      </c>
    </row>
    <row r="143" spans="3:7">
      <c r="C143" s="761" t="s">
        <v>947</v>
      </c>
      <c r="D143" s="595"/>
      <c r="E143" s="591">
        <v>22109121.669</v>
      </c>
      <c r="F143" s="595"/>
      <c r="G143" s="773">
        <v>22109121.669</v>
      </c>
    </row>
    <row r="144" spans="3:7">
      <c r="C144" s="765" t="s">
        <v>948</v>
      </c>
      <c r="D144" s="338"/>
      <c r="E144" s="325">
        <v>45596</v>
      </c>
      <c r="F144" s="339"/>
      <c r="G144" s="594">
        <v>45596</v>
      </c>
    </row>
    <row r="145" spans="3:7">
      <c r="C145" s="764" t="s">
        <v>949</v>
      </c>
      <c r="D145" s="338"/>
      <c r="E145" s="325">
        <v>1688076</v>
      </c>
      <c r="F145" s="339"/>
      <c r="G145" s="594">
        <v>1688076</v>
      </c>
    </row>
    <row r="146" spans="3:7">
      <c r="C146" s="765" t="s">
        <v>950</v>
      </c>
      <c r="D146" s="338"/>
      <c r="E146" s="325">
        <v>84927</v>
      </c>
      <c r="F146" s="339"/>
      <c r="G146" s="594">
        <v>84927</v>
      </c>
    </row>
    <row r="147" spans="3:7">
      <c r="C147" s="757" t="s">
        <v>951</v>
      </c>
      <c r="D147" s="338"/>
      <c r="E147" s="325">
        <v>19932.259999999998</v>
      </c>
      <c r="F147" s="339"/>
      <c r="G147" s="594">
        <v>19932.259999999998</v>
      </c>
    </row>
    <row r="148" spans="3:7">
      <c r="C148" s="764" t="s">
        <v>952</v>
      </c>
      <c r="D148" s="338"/>
      <c r="E148" s="325">
        <v>6500</v>
      </c>
      <c r="F148" s="339"/>
      <c r="G148" s="594">
        <v>6500</v>
      </c>
    </row>
    <row r="149" spans="3:7">
      <c r="C149" s="765" t="s">
        <v>953</v>
      </c>
      <c r="D149" s="338"/>
      <c r="E149" s="325">
        <v>19862317.409000002</v>
      </c>
      <c r="F149" s="339"/>
      <c r="G149" s="594">
        <v>19862317.409000002</v>
      </c>
    </row>
    <row r="150" spans="3:7">
      <c r="C150" s="765" t="s">
        <v>954</v>
      </c>
      <c r="D150" s="338"/>
      <c r="E150" s="325">
        <v>401773</v>
      </c>
      <c r="F150" s="339"/>
      <c r="G150" s="594">
        <v>401773</v>
      </c>
    </row>
    <row r="151" spans="3:7">
      <c r="C151" s="761" t="s">
        <v>955</v>
      </c>
      <c r="D151" s="595"/>
      <c r="E151" s="591">
        <v>25496307.963</v>
      </c>
      <c r="F151" s="595"/>
      <c r="G151" s="773">
        <v>25496307.963</v>
      </c>
    </row>
    <row r="152" spans="3:7">
      <c r="C152" s="765" t="s">
        <v>956</v>
      </c>
      <c r="D152" s="338"/>
      <c r="E152" s="325">
        <v>53051</v>
      </c>
      <c r="F152" s="339"/>
      <c r="G152" s="594">
        <v>53051</v>
      </c>
    </row>
    <row r="153" spans="3:7">
      <c r="C153" s="764" t="s">
        <v>957</v>
      </c>
      <c r="D153" s="338"/>
      <c r="E153" s="325">
        <v>1965961</v>
      </c>
      <c r="F153" s="339"/>
      <c r="G153" s="594">
        <v>1965961</v>
      </c>
    </row>
    <row r="154" spans="3:7">
      <c r="C154" s="765" t="s">
        <v>958</v>
      </c>
      <c r="D154" s="338"/>
      <c r="E154" s="325">
        <v>98905</v>
      </c>
      <c r="F154" s="339"/>
      <c r="G154" s="594">
        <v>98905</v>
      </c>
    </row>
    <row r="155" spans="3:7">
      <c r="C155" s="757" t="s">
        <v>959</v>
      </c>
      <c r="D155" s="338"/>
      <c r="E155" s="325">
        <v>23212.26</v>
      </c>
      <c r="F155" s="339"/>
      <c r="G155" s="594">
        <v>23212.26</v>
      </c>
    </row>
    <row r="156" spans="3:7">
      <c r="C156" s="764" t="s">
        <v>960</v>
      </c>
      <c r="D156" s="338"/>
      <c r="E156" s="325">
        <v>6500</v>
      </c>
      <c r="F156" s="339"/>
      <c r="G156" s="594">
        <v>6500</v>
      </c>
    </row>
    <row r="157" spans="3:7">
      <c r="C157" s="765" t="s">
        <v>961</v>
      </c>
      <c r="D157" s="338"/>
      <c r="E157" s="325">
        <v>23131976.703000002</v>
      </c>
      <c r="F157" s="339"/>
      <c r="G157" s="594">
        <v>23131976.703000002</v>
      </c>
    </row>
    <row r="158" spans="3:7">
      <c r="C158" s="765" t="s">
        <v>962</v>
      </c>
      <c r="D158" s="338"/>
      <c r="E158" s="325">
        <v>216702</v>
      </c>
      <c r="F158" s="339"/>
      <c r="G158" s="594">
        <v>216702</v>
      </c>
    </row>
    <row r="159" spans="3:7">
      <c r="C159" s="761" t="s">
        <v>963</v>
      </c>
      <c r="D159" s="595"/>
      <c r="E159" s="591">
        <v>28993314.265999999</v>
      </c>
      <c r="F159" s="595"/>
      <c r="G159" s="773">
        <v>28993314.265999999</v>
      </c>
    </row>
    <row r="160" spans="3:7">
      <c r="C160" s="765" t="s">
        <v>964</v>
      </c>
      <c r="D160" s="338"/>
      <c r="E160" s="325">
        <v>49161</v>
      </c>
      <c r="F160" s="339"/>
      <c r="G160" s="594">
        <v>49161</v>
      </c>
    </row>
    <row r="161" spans="3:7">
      <c r="C161" s="764" t="s">
        <v>965</v>
      </c>
      <c r="D161" s="338"/>
      <c r="E161" s="325">
        <v>2194725</v>
      </c>
      <c r="F161" s="339"/>
      <c r="G161" s="594">
        <v>2194725</v>
      </c>
    </row>
    <row r="162" spans="3:7">
      <c r="C162" s="765" t="s">
        <v>966</v>
      </c>
      <c r="D162" s="338"/>
      <c r="E162" s="325">
        <v>87459.54</v>
      </c>
      <c r="F162" s="339"/>
      <c r="G162" s="594">
        <v>87459.54</v>
      </c>
    </row>
    <row r="163" spans="3:7">
      <c r="C163" s="757" t="s">
        <v>967</v>
      </c>
      <c r="D163" s="338"/>
      <c r="E163" s="325">
        <v>26665.26</v>
      </c>
      <c r="F163" s="339"/>
      <c r="G163" s="594">
        <v>26665.26</v>
      </c>
    </row>
    <row r="164" spans="3:7">
      <c r="C164" s="764" t="s">
        <v>968</v>
      </c>
      <c r="D164" s="338"/>
      <c r="E164" s="325">
        <v>6500</v>
      </c>
      <c r="F164" s="339"/>
      <c r="G164" s="594">
        <v>6500</v>
      </c>
    </row>
    <row r="165" spans="3:7">
      <c r="C165" s="765" t="s">
        <v>969</v>
      </c>
      <c r="D165" s="338"/>
      <c r="E165" s="325">
        <v>26401262.826000001</v>
      </c>
      <c r="F165" s="339"/>
      <c r="G165" s="594">
        <v>26401262.826000001</v>
      </c>
    </row>
    <row r="166" spans="3:7">
      <c r="C166" s="765" t="s">
        <v>970</v>
      </c>
      <c r="D166" s="338"/>
      <c r="E166" s="325">
        <v>227540.64</v>
      </c>
      <c r="F166" s="339"/>
      <c r="G166" s="594">
        <v>227540.64</v>
      </c>
    </row>
    <row r="167" spans="3:7">
      <c r="C167" s="761" t="s">
        <v>971</v>
      </c>
      <c r="D167" s="595"/>
      <c r="E167" s="591">
        <v>30399707.602000002</v>
      </c>
      <c r="F167" s="595"/>
      <c r="G167" s="773">
        <v>30399707.602000002</v>
      </c>
    </row>
    <row r="168" spans="3:7">
      <c r="C168" s="765" t="s">
        <v>972</v>
      </c>
      <c r="D168" s="338"/>
      <c r="E168" s="325">
        <v>51524</v>
      </c>
      <c r="F168" s="339"/>
      <c r="G168" s="594">
        <v>51524</v>
      </c>
    </row>
    <row r="169" spans="3:7">
      <c r="C169" s="764" t="s">
        <v>973</v>
      </c>
      <c r="D169" s="338"/>
      <c r="E169" s="325">
        <v>2303823</v>
      </c>
      <c r="F169" s="339"/>
      <c r="G169" s="594">
        <v>2303823</v>
      </c>
    </row>
    <row r="170" spans="3:7">
      <c r="C170" s="765" t="s">
        <v>974</v>
      </c>
      <c r="D170" s="338"/>
      <c r="E170" s="325">
        <v>91807.13</v>
      </c>
      <c r="F170" s="339"/>
      <c r="G170" s="594">
        <v>91807.13</v>
      </c>
    </row>
    <row r="171" spans="3:7">
      <c r="C171" s="757" t="s">
        <v>975</v>
      </c>
      <c r="D171" s="338"/>
      <c r="E171" s="325">
        <v>27990.26</v>
      </c>
      <c r="F171" s="339"/>
      <c r="G171" s="594">
        <v>27990.26</v>
      </c>
    </row>
    <row r="172" spans="3:7">
      <c r="C172" s="764" t="s">
        <v>976</v>
      </c>
      <c r="D172" s="338"/>
      <c r="E172" s="325">
        <v>6500</v>
      </c>
      <c r="F172" s="339"/>
      <c r="G172" s="594">
        <v>6500</v>
      </c>
    </row>
    <row r="173" spans="3:7">
      <c r="C173" s="765" t="s">
        <v>977</v>
      </c>
      <c r="D173" s="338"/>
      <c r="E173" s="325">
        <v>27713662.432</v>
      </c>
      <c r="F173" s="339"/>
      <c r="G173" s="594">
        <v>27713662.432</v>
      </c>
    </row>
    <row r="174" spans="3:7">
      <c r="C174" s="765" t="s">
        <v>978</v>
      </c>
      <c r="D174" s="338"/>
      <c r="E174" s="325">
        <v>204400.78</v>
      </c>
      <c r="F174" s="339"/>
      <c r="G174" s="594">
        <v>204400.78</v>
      </c>
    </row>
    <row r="175" spans="3:7">
      <c r="C175" s="761" t="s">
        <v>979</v>
      </c>
      <c r="D175" s="595"/>
      <c r="E175" s="591">
        <v>27413866.517000001</v>
      </c>
      <c r="F175" s="595"/>
      <c r="G175" s="773">
        <v>27413866.517000001</v>
      </c>
    </row>
    <row r="176" spans="3:7">
      <c r="C176" s="765" t="s">
        <v>980</v>
      </c>
      <c r="D176" s="338"/>
      <c r="E176" s="325">
        <v>56803</v>
      </c>
      <c r="F176" s="339"/>
      <c r="G176" s="594">
        <v>56803</v>
      </c>
    </row>
    <row r="177" spans="3:7">
      <c r="C177" s="764" t="s">
        <v>981</v>
      </c>
      <c r="D177" s="338"/>
      <c r="E177" s="325">
        <v>2081630</v>
      </c>
      <c r="F177" s="339"/>
      <c r="G177" s="594">
        <v>2081630</v>
      </c>
    </row>
    <row r="178" spans="3:7">
      <c r="C178" s="765" t="s">
        <v>982</v>
      </c>
      <c r="D178" s="338"/>
      <c r="E178" s="325">
        <v>87614.83</v>
      </c>
      <c r="F178" s="339"/>
      <c r="G178" s="594">
        <v>87614.83</v>
      </c>
    </row>
    <row r="179" spans="3:7">
      <c r="C179" s="757" t="s">
        <v>983</v>
      </c>
      <c r="D179" s="338"/>
      <c r="E179" s="325">
        <v>25291.26</v>
      </c>
      <c r="F179" s="339"/>
      <c r="G179" s="594">
        <v>25291.26</v>
      </c>
    </row>
    <row r="180" spans="3:7">
      <c r="C180" s="764" t="s">
        <v>984</v>
      </c>
      <c r="D180" s="338"/>
      <c r="E180" s="325">
        <v>6500</v>
      </c>
      <c r="F180" s="339"/>
      <c r="G180" s="594">
        <v>6500</v>
      </c>
    </row>
    <row r="181" spans="3:7">
      <c r="C181" s="765" t="s">
        <v>985</v>
      </c>
      <c r="D181" s="338"/>
      <c r="E181" s="325">
        <v>25040814.346999999</v>
      </c>
      <c r="F181" s="339"/>
      <c r="G181" s="594">
        <v>25040814.346999999</v>
      </c>
    </row>
    <row r="182" spans="3:7">
      <c r="C182" s="765" t="s">
        <v>986</v>
      </c>
      <c r="D182" s="338"/>
      <c r="E182" s="325">
        <v>115213.08</v>
      </c>
      <c r="F182" s="339"/>
      <c r="G182" s="594">
        <v>115213.08</v>
      </c>
    </row>
    <row r="183" spans="3:7">
      <c r="C183" s="761" t="s">
        <v>987</v>
      </c>
      <c r="D183" s="595"/>
      <c r="E183" s="591">
        <v>27354844.686999999</v>
      </c>
      <c r="F183" s="595"/>
      <c r="G183" s="773">
        <v>27354844.686999999</v>
      </c>
    </row>
    <row r="184" spans="3:7">
      <c r="C184" s="765" t="s">
        <v>988</v>
      </c>
      <c r="D184" s="338"/>
      <c r="E184" s="325">
        <v>49013</v>
      </c>
      <c r="F184" s="339"/>
      <c r="G184" s="594">
        <v>49013</v>
      </c>
    </row>
    <row r="185" spans="3:7">
      <c r="C185" s="764" t="s">
        <v>989</v>
      </c>
      <c r="D185" s="338"/>
      <c r="E185" s="325">
        <v>2071683</v>
      </c>
      <c r="F185" s="339"/>
      <c r="G185" s="594">
        <v>2071683</v>
      </c>
    </row>
    <row r="186" spans="3:7">
      <c r="C186" s="765" t="s">
        <v>990</v>
      </c>
      <c r="D186" s="338"/>
      <c r="E186" s="325">
        <v>87196.13</v>
      </c>
      <c r="F186" s="339"/>
      <c r="G186" s="594">
        <v>87196.13</v>
      </c>
    </row>
    <row r="187" spans="3:7">
      <c r="C187" s="757" t="s">
        <v>991</v>
      </c>
      <c r="D187" s="338"/>
      <c r="E187" s="325">
        <v>25170.26</v>
      </c>
      <c r="F187" s="339"/>
      <c r="G187" s="594">
        <v>25170.26</v>
      </c>
    </row>
    <row r="188" spans="3:7">
      <c r="C188" s="764" t="s">
        <v>992</v>
      </c>
      <c r="D188" s="338"/>
      <c r="E188" s="325">
        <v>6500</v>
      </c>
      <c r="F188" s="339"/>
      <c r="G188" s="594">
        <v>6500</v>
      </c>
    </row>
    <row r="189" spans="3:7">
      <c r="C189" s="765" t="s">
        <v>993</v>
      </c>
      <c r="D189" s="338"/>
      <c r="E189" s="325">
        <v>24921147.517000001</v>
      </c>
      <c r="F189" s="339"/>
      <c r="G189" s="594">
        <v>24921147.517000001</v>
      </c>
    </row>
    <row r="190" spans="3:7">
      <c r="C190" s="765" t="s">
        <v>994</v>
      </c>
      <c r="D190" s="338"/>
      <c r="E190" s="325">
        <v>194134.78</v>
      </c>
      <c r="F190" s="339"/>
      <c r="G190" s="594">
        <v>194134.78</v>
      </c>
    </row>
    <row r="191" spans="3:7">
      <c r="C191" s="761" t="s">
        <v>995</v>
      </c>
      <c r="D191" s="595"/>
      <c r="E191" s="591">
        <v>26017546.454999998</v>
      </c>
      <c r="F191" s="595"/>
      <c r="G191" s="773">
        <v>26017546.454999998</v>
      </c>
    </row>
    <row r="192" spans="3:7">
      <c r="C192" s="765" t="s">
        <v>996</v>
      </c>
      <c r="D192" s="338"/>
      <c r="E192" s="325">
        <v>52453</v>
      </c>
      <c r="F192" s="339"/>
      <c r="G192" s="594">
        <v>52453</v>
      </c>
    </row>
    <row r="193" spans="3:7">
      <c r="C193" s="764" t="s">
        <v>997</v>
      </c>
      <c r="D193" s="338"/>
      <c r="E193" s="325">
        <v>1973009</v>
      </c>
      <c r="F193" s="339"/>
      <c r="G193" s="594">
        <v>1973009</v>
      </c>
    </row>
    <row r="194" spans="3:7">
      <c r="C194" s="765" t="s">
        <v>998</v>
      </c>
      <c r="D194" s="338"/>
      <c r="E194" s="325">
        <v>83043.05</v>
      </c>
      <c r="F194" s="339"/>
      <c r="G194" s="594">
        <v>83043.05</v>
      </c>
    </row>
    <row r="195" spans="3:7">
      <c r="C195" s="757" t="s">
        <v>999</v>
      </c>
      <c r="D195" s="338"/>
      <c r="E195" s="325">
        <v>23972.26</v>
      </c>
      <c r="F195" s="339"/>
      <c r="G195" s="594">
        <v>23972.26</v>
      </c>
    </row>
    <row r="196" spans="3:7">
      <c r="C196" s="764" t="s">
        <v>1000</v>
      </c>
      <c r="D196" s="338"/>
      <c r="E196" s="325">
        <v>6500</v>
      </c>
      <c r="F196" s="339"/>
      <c r="G196" s="594">
        <v>6500</v>
      </c>
    </row>
    <row r="197" spans="3:7">
      <c r="C197" s="765" t="s">
        <v>1001</v>
      </c>
      <c r="D197" s="338"/>
      <c r="E197" s="325">
        <v>23734173.745000001</v>
      </c>
      <c r="F197" s="339"/>
      <c r="G197" s="594">
        <v>23734173.745000001</v>
      </c>
    </row>
    <row r="198" spans="3:7">
      <c r="C198" s="765" t="s">
        <v>1002</v>
      </c>
      <c r="D198" s="338"/>
      <c r="E198" s="325">
        <v>144395.4</v>
      </c>
      <c r="F198" s="339"/>
      <c r="G198" s="594">
        <v>144395.4</v>
      </c>
    </row>
    <row r="199" spans="3:7">
      <c r="C199" s="761" t="s">
        <v>1003</v>
      </c>
      <c r="D199" s="595"/>
      <c r="E199" s="591">
        <v>23906439.484000001</v>
      </c>
      <c r="F199" s="595"/>
      <c r="G199" s="773">
        <v>23906439.484000001</v>
      </c>
    </row>
    <row r="200" spans="3:7">
      <c r="C200" s="764" t="s">
        <v>1004</v>
      </c>
      <c r="D200" s="338"/>
      <c r="E200" s="325">
        <v>1780706</v>
      </c>
      <c r="F200" s="339"/>
      <c r="G200" s="594">
        <v>1780706</v>
      </c>
    </row>
    <row r="201" spans="3:7">
      <c r="C201" s="765" t="s">
        <v>1005</v>
      </c>
      <c r="D201" s="338"/>
      <c r="E201" s="325">
        <v>181060</v>
      </c>
      <c r="F201" s="339"/>
      <c r="G201" s="594">
        <v>181060</v>
      </c>
    </row>
    <row r="202" spans="3:7">
      <c r="C202" s="764" t="s">
        <v>1006</v>
      </c>
      <c r="D202" s="338"/>
      <c r="E202" s="325">
        <v>37686.5</v>
      </c>
      <c r="F202" s="339"/>
      <c r="G202" s="594">
        <v>37686.5</v>
      </c>
    </row>
    <row r="203" spans="3:7">
      <c r="C203" s="757" t="s">
        <v>1007</v>
      </c>
      <c r="D203" s="338"/>
      <c r="E203" s="325">
        <v>21406.26</v>
      </c>
      <c r="F203" s="339"/>
      <c r="G203" s="594">
        <v>21406.26</v>
      </c>
    </row>
    <row r="204" spans="3:7">
      <c r="C204" s="764" t="s">
        <v>1008</v>
      </c>
      <c r="D204" s="338"/>
      <c r="E204" s="325">
        <v>163415</v>
      </c>
      <c r="F204" s="339"/>
      <c r="G204" s="594">
        <v>163415</v>
      </c>
    </row>
    <row r="205" spans="3:7">
      <c r="C205" s="765" t="s">
        <v>1009</v>
      </c>
      <c r="D205" s="338"/>
      <c r="E205" s="325">
        <v>21578585.723999999</v>
      </c>
      <c r="F205" s="339"/>
      <c r="G205" s="594">
        <v>21578585.723999999</v>
      </c>
    </row>
    <row r="206" spans="3:7">
      <c r="C206" s="765" t="s">
        <v>1010</v>
      </c>
      <c r="D206" s="338"/>
      <c r="E206" s="325">
        <v>143580</v>
      </c>
      <c r="F206" s="339"/>
      <c r="G206" s="594">
        <v>143580</v>
      </c>
    </row>
    <row r="207" spans="3:7">
      <c r="C207" s="761" t="s">
        <v>1011</v>
      </c>
      <c r="D207" s="595"/>
      <c r="E207" s="591">
        <v>22081292.342999998</v>
      </c>
      <c r="F207" s="595"/>
      <c r="G207" s="773">
        <v>22081292.342999998</v>
      </c>
    </row>
    <row r="208" spans="3:7">
      <c r="C208" s="764" t="s">
        <v>1012</v>
      </c>
      <c r="D208" s="338"/>
      <c r="E208" s="325">
        <v>1653618</v>
      </c>
      <c r="F208" s="339"/>
      <c r="G208" s="594">
        <v>1653618</v>
      </c>
    </row>
    <row r="209" spans="3:7">
      <c r="C209" s="765" t="s">
        <v>1013</v>
      </c>
      <c r="D209" s="338"/>
      <c r="E209" s="325">
        <v>147500</v>
      </c>
      <c r="F209" s="339"/>
      <c r="G209" s="594">
        <v>147500</v>
      </c>
    </row>
    <row r="210" spans="3:7">
      <c r="C210" s="757" t="s">
        <v>1014</v>
      </c>
      <c r="D210" s="338"/>
      <c r="E210" s="325">
        <v>19905.259999999998</v>
      </c>
      <c r="F210" s="339"/>
      <c r="G210" s="594">
        <v>19905.259999999998</v>
      </c>
    </row>
    <row r="211" spans="3:7">
      <c r="C211" s="764" t="s">
        <v>1015</v>
      </c>
      <c r="D211" s="338"/>
      <c r="E211" s="325">
        <v>188770</v>
      </c>
      <c r="F211" s="339"/>
      <c r="G211" s="594">
        <v>188770</v>
      </c>
    </row>
    <row r="212" spans="3:7">
      <c r="C212" s="765" t="s">
        <v>1016</v>
      </c>
      <c r="D212" s="338"/>
      <c r="E212" s="325">
        <v>20006499.083000001</v>
      </c>
      <c r="F212" s="339"/>
      <c r="G212" s="594">
        <v>20006499.083000001</v>
      </c>
    </row>
    <row r="213" spans="3:7">
      <c r="C213" s="765" t="s">
        <v>1017</v>
      </c>
      <c r="D213" s="338"/>
      <c r="E213" s="325">
        <v>65000</v>
      </c>
      <c r="F213" s="339"/>
      <c r="G213" s="594">
        <v>65000</v>
      </c>
    </row>
    <row r="214" spans="3:7">
      <c r="C214" s="761" t="s">
        <v>1018</v>
      </c>
      <c r="D214" s="595"/>
      <c r="E214" s="591">
        <v>22507762.73</v>
      </c>
      <c r="F214" s="595"/>
      <c r="G214" s="773">
        <v>22507762.73</v>
      </c>
    </row>
    <row r="215" spans="3:7">
      <c r="C215" s="764" t="s">
        <v>1019</v>
      </c>
      <c r="D215" s="338"/>
      <c r="E215" s="325">
        <v>1661435</v>
      </c>
      <c r="F215" s="339"/>
      <c r="G215" s="594">
        <v>1661435</v>
      </c>
    </row>
    <row r="216" spans="3:7">
      <c r="C216" s="765" t="s">
        <v>1020</v>
      </c>
      <c r="D216" s="338"/>
      <c r="E216" s="325">
        <v>141634</v>
      </c>
      <c r="F216" s="339"/>
      <c r="G216" s="594">
        <v>141634</v>
      </c>
    </row>
    <row r="217" spans="3:7">
      <c r="C217" s="757" t="s">
        <v>1021</v>
      </c>
      <c r="D217" s="338"/>
      <c r="E217" s="325">
        <v>20514.259999999998</v>
      </c>
      <c r="F217" s="339"/>
      <c r="G217" s="594">
        <v>20514.259999999998</v>
      </c>
    </row>
    <row r="218" spans="3:7">
      <c r="C218" s="764" t="s">
        <v>1022</v>
      </c>
      <c r="D218" s="338"/>
      <c r="E218" s="325">
        <v>194636.02</v>
      </c>
      <c r="F218" s="339"/>
      <c r="G218" s="594">
        <v>194636.02</v>
      </c>
    </row>
    <row r="219" spans="3:7">
      <c r="C219" s="765" t="s">
        <v>1023</v>
      </c>
      <c r="D219" s="338"/>
      <c r="E219" s="325">
        <v>20424543.449999999</v>
      </c>
      <c r="F219" s="339"/>
      <c r="G219" s="594">
        <v>20424543.449999999</v>
      </c>
    </row>
    <row r="220" spans="3:7">
      <c r="C220" s="765" t="s">
        <v>1024</v>
      </c>
      <c r="D220" s="338"/>
      <c r="E220" s="325">
        <v>65000</v>
      </c>
      <c r="F220" s="339"/>
      <c r="G220" s="594">
        <v>65000</v>
      </c>
    </row>
    <row r="221" spans="3:7">
      <c r="C221" s="761" t="s">
        <v>1025</v>
      </c>
      <c r="D221" s="595"/>
      <c r="E221" s="591">
        <v>30458491.478999998</v>
      </c>
      <c r="F221" s="595"/>
      <c r="G221" s="773">
        <v>30458491.478999998</v>
      </c>
    </row>
    <row r="222" spans="3:7">
      <c r="C222" s="757" t="s">
        <v>1026</v>
      </c>
      <c r="D222" s="338"/>
      <c r="E222" s="325">
        <v>30595.26</v>
      </c>
      <c r="F222" s="339"/>
      <c r="G222" s="594">
        <v>30595.26</v>
      </c>
    </row>
    <row r="223" spans="3:7">
      <c r="C223" s="765" t="s">
        <v>1027</v>
      </c>
      <c r="D223" s="338"/>
      <c r="E223" s="325">
        <v>30427896.219000001</v>
      </c>
      <c r="F223" s="339"/>
      <c r="G223" s="594">
        <v>30427896.219000001</v>
      </c>
    </row>
    <row r="224" spans="3:7">
      <c r="C224" s="761" t="s">
        <v>1028</v>
      </c>
      <c r="D224" s="595"/>
      <c r="E224" s="591">
        <v>30803273.280000001</v>
      </c>
      <c r="F224" s="595"/>
      <c r="G224" s="773">
        <v>30803273.280000001</v>
      </c>
    </row>
    <row r="225" spans="3:7">
      <c r="C225" s="757" t="s">
        <v>1029</v>
      </c>
      <c r="D225" s="338"/>
      <c r="E225" s="325">
        <v>30941.26</v>
      </c>
      <c r="F225" s="339"/>
      <c r="G225" s="594">
        <v>30941.26</v>
      </c>
    </row>
    <row r="226" spans="3:7">
      <c r="C226" s="765" t="s">
        <v>1030</v>
      </c>
      <c r="D226" s="338"/>
      <c r="E226" s="325">
        <v>30772332.02</v>
      </c>
      <c r="F226" s="339"/>
      <c r="G226" s="594">
        <v>30772332.02</v>
      </c>
    </row>
    <row r="227" spans="3:7">
      <c r="C227" s="761" t="s">
        <v>1031</v>
      </c>
      <c r="D227" s="595"/>
      <c r="E227" s="591">
        <v>30781123.079999998</v>
      </c>
      <c r="F227" s="595"/>
      <c r="G227" s="773">
        <v>30781123.079999998</v>
      </c>
    </row>
    <row r="228" spans="3:7">
      <c r="C228" s="757" t="s">
        <v>1032</v>
      </c>
      <c r="D228" s="338"/>
      <c r="E228" s="325">
        <v>30919.26</v>
      </c>
      <c r="F228" s="339"/>
      <c r="G228" s="594">
        <v>30919.26</v>
      </c>
    </row>
    <row r="229" spans="3:7">
      <c r="C229" s="765" t="s">
        <v>1033</v>
      </c>
      <c r="D229" s="338"/>
      <c r="E229" s="325">
        <v>30750203.82</v>
      </c>
      <c r="F229" s="339"/>
      <c r="G229" s="594">
        <v>30750203.82</v>
      </c>
    </row>
    <row r="230" spans="3:7">
      <c r="C230" s="761" t="s">
        <v>1034</v>
      </c>
      <c r="D230" s="595"/>
      <c r="E230" s="591">
        <v>26545432.870000001</v>
      </c>
      <c r="F230" s="595"/>
      <c r="G230" s="773">
        <v>26545432.870000001</v>
      </c>
    </row>
    <row r="231" spans="3:7">
      <c r="C231" s="757" t="s">
        <v>1035</v>
      </c>
      <c r="D231" s="338"/>
      <c r="E231" s="325">
        <v>26665.26</v>
      </c>
      <c r="F231" s="339"/>
      <c r="G231" s="594">
        <v>26665.26</v>
      </c>
    </row>
    <row r="232" spans="3:7">
      <c r="C232" s="765" t="s">
        <v>1036</v>
      </c>
      <c r="D232" s="338"/>
      <c r="E232" s="325">
        <v>26518767.609999999</v>
      </c>
      <c r="F232" s="339"/>
      <c r="G232" s="594">
        <v>26518767.609999999</v>
      </c>
    </row>
    <row r="233" spans="3:7">
      <c r="C233" s="761" t="s">
        <v>1037</v>
      </c>
      <c r="D233" s="595"/>
      <c r="E233" s="591">
        <v>25980195.546999998</v>
      </c>
      <c r="F233" s="595"/>
      <c r="G233" s="773">
        <v>25980195.546999998</v>
      </c>
    </row>
    <row r="234" spans="3:7">
      <c r="C234" s="757" t="s">
        <v>1038</v>
      </c>
      <c r="D234" s="338"/>
      <c r="E234" s="325">
        <v>26097.26</v>
      </c>
      <c r="F234" s="339"/>
      <c r="G234" s="594">
        <v>26097.26</v>
      </c>
    </row>
    <row r="235" spans="3:7">
      <c r="C235" s="765" t="s">
        <v>1039</v>
      </c>
      <c r="D235" s="338"/>
      <c r="E235" s="325">
        <v>25954098.287</v>
      </c>
      <c r="F235" s="339"/>
      <c r="G235" s="594">
        <v>25954098.287</v>
      </c>
    </row>
    <row r="236" spans="3:7">
      <c r="C236" s="761" t="s">
        <v>1040</v>
      </c>
      <c r="D236" s="595"/>
      <c r="E236" s="591">
        <v>26087153.743000001</v>
      </c>
      <c r="F236" s="595"/>
      <c r="G236" s="773">
        <v>26087153.743000001</v>
      </c>
    </row>
    <row r="237" spans="3:7">
      <c r="C237" s="757" t="s">
        <v>1041</v>
      </c>
      <c r="D237" s="338"/>
      <c r="E237" s="325">
        <v>26205.26</v>
      </c>
      <c r="F237" s="339"/>
      <c r="G237" s="594">
        <v>26205.26</v>
      </c>
    </row>
    <row r="238" spans="3:7">
      <c r="C238" s="765" t="s">
        <v>1042</v>
      </c>
      <c r="D238" s="338"/>
      <c r="E238" s="325">
        <v>26060948.482999999</v>
      </c>
      <c r="F238" s="339"/>
      <c r="G238" s="594">
        <v>26060948.482999999</v>
      </c>
    </row>
    <row r="239" spans="3:7">
      <c r="C239" s="761" t="s">
        <v>1043</v>
      </c>
      <c r="D239" s="595"/>
      <c r="E239" s="591">
        <v>20375388.774</v>
      </c>
      <c r="F239" s="595"/>
      <c r="G239" s="773">
        <v>20375388.774</v>
      </c>
    </row>
    <row r="240" spans="3:7">
      <c r="C240" s="757" t="s">
        <v>1044</v>
      </c>
      <c r="D240" s="338"/>
      <c r="E240" s="325">
        <v>20469.259999999998</v>
      </c>
      <c r="F240" s="339"/>
      <c r="G240" s="594">
        <v>20469.259999999998</v>
      </c>
    </row>
    <row r="241" spans="3:7">
      <c r="C241" s="765" t="s">
        <v>1045</v>
      </c>
      <c r="D241" s="338"/>
      <c r="E241" s="325">
        <v>20354919.513999999</v>
      </c>
      <c r="F241" s="339"/>
      <c r="G241" s="594">
        <v>20354919.513999999</v>
      </c>
    </row>
    <row r="242" spans="3:7">
      <c r="C242" s="761" t="s">
        <v>1046</v>
      </c>
      <c r="D242" s="595"/>
      <c r="E242" s="591">
        <v>22018845.910999998</v>
      </c>
      <c r="F242" s="595"/>
      <c r="G242" s="773">
        <v>22018845.910999998</v>
      </c>
    </row>
    <row r="243" spans="3:7">
      <c r="C243" s="757" t="s">
        <v>1047</v>
      </c>
      <c r="D243" s="338"/>
      <c r="E243" s="325">
        <v>22119.26</v>
      </c>
      <c r="F243" s="339"/>
      <c r="G243" s="594">
        <v>22119.26</v>
      </c>
    </row>
    <row r="244" spans="3:7">
      <c r="C244" s="765" t="s">
        <v>1048</v>
      </c>
      <c r="D244" s="338"/>
      <c r="E244" s="325">
        <v>21996726.651000001</v>
      </c>
      <c r="F244" s="339"/>
      <c r="G244" s="594">
        <v>21996726.651000001</v>
      </c>
    </row>
    <row r="245" spans="3:7">
      <c r="C245" s="761" t="s">
        <v>1049</v>
      </c>
      <c r="D245" s="595"/>
      <c r="E245" s="591">
        <v>22187214.728</v>
      </c>
      <c r="F245" s="595"/>
      <c r="G245" s="773">
        <v>22187214.728</v>
      </c>
    </row>
    <row r="246" spans="3:7">
      <c r="C246" s="765" t="s">
        <v>1050</v>
      </c>
      <c r="D246" s="338"/>
      <c r="E246" s="325">
        <v>22187214.728</v>
      </c>
      <c r="F246" s="339"/>
      <c r="G246" s="594">
        <v>22187214.728</v>
      </c>
    </row>
    <row r="247" spans="3:7">
      <c r="C247" s="772" t="s">
        <v>1051</v>
      </c>
      <c r="D247" s="595"/>
      <c r="E247" s="591">
        <v>8300037.5</v>
      </c>
      <c r="F247" s="595"/>
      <c r="G247" s="773">
        <v>8300037.5</v>
      </c>
    </row>
    <row r="248" spans="3:7">
      <c r="C248" s="764" t="s">
        <v>1052</v>
      </c>
      <c r="D248" s="338"/>
      <c r="E248" s="325">
        <v>8300037.5</v>
      </c>
      <c r="F248" s="339"/>
      <c r="G248" s="594">
        <v>8300037.5</v>
      </c>
    </row>
    <row r="249" spans="3:7">
      <c r="C249" s="311" t="s">
        <v>374</v>
      </c>
      <c r="D249" s="340"/>
      <c r="E249" s="591">
        <v>4838632.2929999996</v>
      </c>
      <c r="F249" s="591">
        <v>4843667.2929999996</v>
      </c>
      <c r="G249" s="590">
        <v>5035</v>
      </c>
    </row>
    <row r="250" spans="3:7">
      <c r="C250" s="321" t="s">
        <v>484</v>
      </c>
      <c r="D250" s="338"/>
      <c r="E250" s="325">
        <v>2719</v>
      </c>
      <c r="F250" s="325">
        <v>100</v>
      </c>
      <c r="G250" s="594">
        <v>2619</v>
      </c>
    </row>
    <row r="251" spans="3:7">
      <c r="C251" s="321" t="s">
        <v>376</v>
      </c>
      <c r="D251" s="338"/>
      <c r="E251" s="325">
        <v>4763165.2929999996</v>
      </c>
      <c r="F251" s="325">
        <v>4763165.2929999996</v>
      </c>
      <c r="G251" s="338"/>
    </row>
    <row r="252" spans="3:7">
      <c r="C252" s="321" t="s">
        <v>377</v>
      </c>
      <c r="D252" s="338"/>
      <c r="E252" s="325">
        <v>72748</v>
      </c>
      <c r="F252" s="325">
        <v>80402</v>
      </c>
      <c r="G252" s="589">
        <v>7654</v>
      </c>
    </row>
    <row r="253" spans="3:7">
      <c r="C253" s="311" t="s">
        <v>380</v>
      </c>
      <c r="D253" s="340"/>
      <c r="E253" s="591">
        <v>15063969.218</v>
      </c>
      <c r="F253" s="591">
        <v>7632804.2319999998</v>
      </c>
      <c r="G253" s="593">
        <v>7431164.9859999996</v>
      </c>
    </row>
    <row r="254" spans="3:7">
      <c r="C254" s="316" t="s">
        <v>381</v>
      </c>
      <c r="D254" s="690"/>
      <c r="E254" s="691">
        <v>949216.46</v>
      </c>
      <c r="F254" s="691">
        <v>16766</v>
      </c>
      <c r="G254" s="758">
        <v>932450.46</v>
      </c>
    </row>
    <row r="255" spans="3:7">
      <c r="C255" s="761" t="s">
        <v>803</v>
      </c>
      <c r="D255" s="611"/>
      <c r="E255" s="587">
        <v>467705</v>
      </c>
      <c r="F255" s="611"/>
      <c r="G255" s="759">
        <v>467705</v>
      </c>
    </row>
    <row r="256" spans="3:7">
      <c r="C256" s="764" t="s">
        <v>1053</v>
      </c>
      <c r="D256" s="338"/>
      <c r="E256" s="325">
        <v>467705</v>
      </c>
      <c r="F256" s="339"/>
      <c r="G256" s="594">
        <v>467705</v>
      </c>
    </row>
    <row r="257" spans="3:7">
      <c r="C257" s="761" t="s">
        <v>1054</v>
      </c>
      <c r="D257" s="595"/>
      <c r="E257" s="591">
        <v>30953.439999999999</v>
      </c>
      <c r="F257" s="595"/>
      <c r="G257" s="773">
        <v>30953.439999999999</v>
      </c>
    </row>
    <row r="258" spans="3:7">
      <c r="C258" s="764" t="s">
        <v>1055</v>
      </c>
      <c r="D258" s="338"/>
      <c r="E258" s="325">
        <v>30953.439999999999</v>
      </c>
      <c r="F258" s="339"/>
      <c r="G258" s="594">
        <v>30953.439999999999</v>
      </c>
    </row>
    <row r="259" spans="3:7">
      <c r="C259" s="761" t="s">
        <v>1056</v>
      </c>
      <c r="D259" s="595"/>
      <c r="E259" s="591">
        <v>73788</v>
      </c>
      <c r="F259" s="591">
        <v>16766</v>
      </c>
      <c r="G259" s="773">
        <v>57022</v>
      </c>
    </row>
    <row r="260" spans="3:7">
      <c r="C260" s="764" t="s">
        <v>1057</v>
      </c>
      <c r="D260" s="338"/>
      <c r="E260" s="325">
        <v>34908</v>
      </c>
      <c r="F260" s="325">
        <v>16766</v>
      </c>
      <c r="G260" s="594">
        <v>18142</v>
      </c>
    </row>
    <row r="261" spans="3:7">
      <c r="C261" s="765" t="s">
        <v>1058</v>
      </c>
      <c r="D261" s="338"/>
      <c r="E261" s="325">
        <v>38880</v>
      </c>
      <c r="F261" s="339"/>
      <c r="G261" s="594">
        <v>38880</v>
      </c>
    </row>
    <row r="262" spans="3:7">
      <c r="C262" s="761" t="s">
        <v>1059</v>
      </c>
      <c r="D262" s="595"/>
      <c r="E262" s="591">
        <v>136629</v>
      </c>
      <c r="F262" s="595"/>
      <c r="G262" s="773">
        <v>136629</v>
      </c>
    </row>
    <row r="263" spans="3:7">
      <c r="C263" s="765" t="s">
        <v>1059</v>
      </c>
      <c r="D263" s="338"/>
      <c r="E263" s="325">
        <v>136629</v>
      </c>
      <c r="F263" s="339"/>
      <c r="G263" s="594">
        <v>136629</v>
      </c>
    </row>
    <row r="264" spans="3:7">
      <c r="C264" s="756" t="s">
        <v>828</v>
      </c>
      <c r="D264" s="339"/>
      <c r="E264" s="323">
        <v>214156.02</v>
      </c>
      <c r="F264" s="338"/>
      <c r="G264" s="592">
        <v>214156.02</v>
      </c>
    </row>
    <row r="265" spans="3:7">
      <c r="C265" s="756" t="s">
        <v>1060</v>
      </c>
      <c r="D265" s="339"/>
      <c r="E265" s="323">
        <v>25985</v>
      </c>
      <c r="F265" s="338"/>
      <c r="G265" s="592">
        <v>25985</v>
      </c>
    </row>
    <row r="266" spans="3:7">
      <c r="C266" s="316" t="s">
        <v>600</v>
      </c>
      <c r="D266" s="708"/>
      <c r="E266" s="703">
        <v>1083253</v>
      </c>
      <c r="F266" s="703">
        <v>285031</v>
      </c>
      <c r="G266" s="767">
        <v>798222</v>
      </c>
    </row>
    <row r="267" spans="3:7">
      <c r="C267" s="756" t="s">
        <v>600</v>
      </c>
      <c r="D267" s="339"/>
      <c r="E267" s="323">
        <v>969791</v>
      </c>
      <c r="F267" s="323">
        <v>228300</v>
      </c>
      <c r="G267" s="592">
        <v>741491</v>
      </c>
    </row>
    <row r="268" spans="3:7">
      <c r="C268" s="757" t="s">
        <v>387</v>
      </c>
      <c r="D268" s="339"/>
      <c r="E268" s="323">
        <v>113462</v>
      </c>
      <c r="F268" s="323">
        <v>56731</v>
      </c>
      <c r="G268" s="592">
        <v>56731</v>
      </c>
    </row>
    <row r="269" spans="3:7">
      <c r="C269" s="316" t="s">
        <v>382</v>
      </c>
      <c r="D269" s="708"/>
      <c r="E269" s="703">
        <v>1185634.24</v>
      </c>
      <c r="F269" s="703">
        <v>444613.17</v>
      </c>
      <c r="G269" s="767">
        <v>741021.07</v>
      </c>
    </row>
    <row r="270" spans="3:7">
      <c r="C270" s="756" t="s">
        <v>1061</v>
      </c>
      <c r="D270" s="339"/>
      <c r="E270" s="323">
        <v>3326.8</v>
      </c>
      <c r="F270" s="323">
        <v>45</v>
      </c>
      <c r="G270" s="592">
        <v>3281.8</v>
      </c>
    </row>
    <row r="271" spans="3:7">
      <c r="C271" s="757" t="s">
        <v>1062</v>
      </c>
      <c r="D271" s="339"/>
      <c r="E271" s="323">
        <v>42364.27</v>
      </c>
      <c r="F271" s="338"/>
      <c r="G271" s="592">
        <v>42364.27</v>
      </c>
    </row>
    <row r="272" spans="3:7">
      <c r="C272" s="756" t="s">
        <v>1063</v>
      </c>
      <c r="D272" s="339"/>
      <c r="E272" s="323">
        <v>1059642.17</v>
      </c>
      <c r="F272" s="323">
        <v>444568.17</v>
      </c>
      <c r="G272" s="592">
        <v>615074</v>
      </c>
    </row>
    <row r="273" spans="3:7">
      <c r="C273" s="757" t="s">
        <v>1064</v>
      </c>
      <c r="D273" s="339"/>
      <c r="E273" s="323">
        <v>42863</v>
      </c>
      <c r="F273" s="338"/>
      <c r="G273" s="592">
        <v>42863</v>
      </c>
    </row>
    <row r="274" spans="3:7">
      <c r="C274" s="757" t="s">
        <v>1065</v>
      </c>
      <c r="D274" s="339"/>
      <c r="E274" s="323">
        <v>37438</v>
      </c>
      <c r="F274" s="338"/>
      <c r="G274" s="592">
        <v>37438</v>
      </c>
    </row>
    <row r="275" spans="3:7">
      <c r="C275" s="316" t="s">
        <v>383</v>
      </c>
      <c r="D275" s="708"/>
      <c r="E275" s="703">
        <v>1055556.5</v>
      </c>
      <c r="F275" s="703">
        <v>424999</v>
      </c>
      <c r="G275" s="767">
        <v>630557.5</v>
      </c>
    </row>
    <row r="276" spans="3:7">
      <c r="C276" s="756" t="s">
        <v>1066</v>
      </c>
      <c r="D276" s="339"/>
      <c r="E276" s="323">
        <v>374999</v>
      </c>
      <c r="F276" s="323">
        <v>249999</v>
      </c>
      <c r="G276" s="592">
        <v>125000</v>
      </c>
    </row>
    <row r="277" spans="3:7">
      <c r="C277" s="757" t="s">
        <v>1067</v>
      </c>
      <c r="D277" s="339"/>
      <c r="E277" s="323">
        <v>678757.5</v>
      </c>
      <c r="F277" s="323">
        <v>175000</v>
      </c>
      <c r="G277" s="592">
        <v>503757.5</v>
      </c>
    </row>
    <row r="278" spans="3:7">
      <c r="C278" s="756" t="s">
        <v>1068</v>
      </c>
      <c r="D278" s="339"/>
      <c r="E278" s="323">
        <v>1800</v>
      </c>
      <c r="F278" s="338"/>
      <c r="G278" s="592">
        <v>1800</v>
      </c>
    </row>
    <row r="279" spans="3:7">
      <c r="C279" s="342" t="s">
        <v>384</v>
      </c>
      <c r="D279" s="708"/>
      <c r="E279" s="703">
        <v>1230000</v>
      </c>
      <c r="F279" s="703">
        <v>1230000</v>
      </c>
      <c r="G279" s="708"/>
    </row>
    <row r="280" spans="3:7">
      <c r="C280" s="757" t="s">
        <v>1069</v>
      </c>
      <c r="D280" s="339"/>
      <c r="E280" s="323">
        <v>1230000</v>
      </c>
      <c r="F280" s="323">
        <v>1230000</v>
      </c>
      <c r="G280" s="339"/>
    </row>
    <row r="281" spans="3:7">
      <c r="C281" s="316" t="s">
        <v>385</v>
      </c>
      <c r="D281" s="708"/>
      <c r="E281" s="703">
        <v>2696437</v>
      </c>
      <c r="F281" s="703">
        <v>263613</v>
      </c>
      <c r="G281" s="767">
        <v>2432824</v>
      </c>
    </row>
    <row r="282" spans="3:7">
      <c r="C282" s="756" t="s">
        <v>1070</v>
      </c>
      <c r="D282" s="339"/>
      <c r="E282" s="323">
        <v>212088</v>
      </c>
      <c r="F282" s="323">
        <v>27213</v>
      </c>
      <c r="G282" s="592">
        <v>184875</v>
      </c>
    </row>
    <row r="283" spans="3:7">
      <c r="C283" s="757" t="s">
        <v>1071</v>
      </c>
      <c r="D283" s="339"/>
      <c r="E283" s="323">
        <v>600000</v>
      </c>
      <c r="F283" s="338"/>
      <c r="G283" s="592">
        <v>600000</v>
      </c>
    </row>
    <row r="284" spans="3:7">
      <c r="C284" s="757" t="s">
        <v>1072</v>
      </c>
      <c r="D284" s="339"/>
      <c r="E284" s="323">
        <v>600000</v>
      </c>
      <c r="F284" s="338"/>
      <c r="G284" s="592">
        <v>600000</v>
      </c>
    </row>
    <row r="285" spans="3:7">
      <c r="C285" s="756" t="s">
        <v>1073</v>
      </c>
      <c r="D285" s="339"/>
      <c r="E285" s="323">
        <v>33004</v>
      </c>
      <c r="F285" s="338"/>
      <c r="G285" s="592">
        <v>33004</v>
      </c>
    </row>
    <row r="286" spans="3:7">
      <c r="C286" s="756" t="s">
        <v>1074</v>
      </c>
      <c r="D286" s="339"/>
      <c r="E286" s="323">
        <v>2100</v>
      </c>
      <c r="F286" s="338"/>
      <c r="G286" s="592">
        <v>2100</v>
      </c>
    </row>
    <row r="287" spans="3:7">
      <c r="C287" s="756" t="s">
        <v>1075</v>
      </c>
      <c r="D287" s="339"/>
      <c r="E287" s="323">
        <v>935425</v>
      </c>
      <c r="F287" s="323">
        <v>236400</v>
      </c>
      <c r="G287" s="592">
        <v>699025</v>
      </c>
    </row>
    <row r="288" spans="3:7">
      <c r="C288" s="757" t="s">
        <v>1076</v>
      </c>
      <c r="D288" s="339"/>
      <c r="E288" s="323">
        <v>300000</v>
      </c>
      <c r="F288" s="338"/>
      <c r="G288" s="592">
        <v>300000</v>
      </c>
    </row>
    <row r="289" spans="3:7">
      <c r="C289" s="756" t="s">
        <v>817</v>
      </c>
      <c r="D289" s="339"/>
      <c r="E289" s="323">
        <v>13820</v>
      </c>
      <c r="F289" s="338"/>
      <c r="G289" s="592">
        <v>13820</v>
      </c>
    </row>
    <row r="290" spans="3:7">
      <c r="C290" s="321" t="s">
        <v>601</v>
      </c>
      <c r="D290" s="338"/>
      <c r="E290" s="325">
        <v>39913</v>
      </c>
      <c r="F290" s="339"/>
      <c r="G290" s="594">
        <v>39913</v>
      </c>
    </row>
    <row r="291" spans="3:7">
      <c r="C291" s="321" t="s">
        <v>386</v>
      </c>
      <c r="D291" s="338"/>
      <c r="E291" s="325">
        <v>7602</v>
      </c>
      <c r="F291" s="339"/>
      <c r="G291" s="594">
        <v>7602</v>
      </c>
    </row>
    <row r="292" spans="3:7">
      <c r="C292" s="321" t="s">
        <v>388</v>
      </c>
      <c r="D292" s="338"/>
      <c r="E292" s="325">
        <v>114726.25</v>
      </c>
      <c r="F292" s="339"/>
      <c r="G292" s="594">
        <v>114726.25</v>
      </c>
    </row>
    <row r="293" spans="3:7">
      <c r="C293" s="321" t="s">
        <v>389</v>
      </c>
      <c r="D293" s="338"/>
      <c r="E293" s="325">
        <v>976727</v>
      </c>
      <c r="F293" s="325">
        <v>196845</v>
      </c>
      <c r="G293" s="594">
        <v>779882</v>
      </c>
    </row>
    <row r="294" spans="3:7">
      <c r="C294" s="321" t="s">
        <v>602</v>
      </c>
      <c r="D294" s="338"/>
      <c r="E294" s="325">
        <v>30000</v>
      </c>
      <c r="F294" s="339"/>
      <c r="G294" s="594">
        <v>30000</v>
      </c>
    </row>
    <row r="295" spans="3:7">
      <c r="C295" s="321" t="s">
        <v>603</v>
      </c>
      <c r="D295" s="338"/>
      <c r="E295" s="325">
        <v>85000</v>
      </c>
      <c r="F295" s="339"/>
      <c r="G295" s="594">
        <v>85000</v>
      </c>
    </row>
    <row r="296" spans="3:7">
      <c r="C296" s="321" t="s">
        <v>390</v>
      </c>
      <c r="D296" s="338"/>
      <c r="E296" s="325">
        <v>56880</v>
      </c>
      <c r="F296" s="339"/>
      <c r="G296" s="594">
        <v>56880</v>
      </c>
    </row>
    <row r="297" spans="3:7">
      <c r="C297" s="321" t="s">
        <v>604</v>
      </c>
      <c r="D297" s="338"/>
      <c r="E297" s="325">
        <v>2505.62</v>
      </c>
      <c r="F297" s="339"/>
      <c r="G297" s="594">
        <v>2505.62</v>
      </c>
    </row>
    <row r="298" spans="3:7">
      <c r="C298" s="321" t="s">
        <v>391</v>
      </c>
      <c r="D298" s="338"/>
      <c r="E298" s="325">
        <v>5018984.2209999999</v>
      </c>
      <c r="F298" s="325">
        <v>4763165.2929999996</v>
      </c>
      <c r="G298" s="594">
        <v>255818.92800000001</v>
      </c>
    </row>
    <row r="299" spans="3:7">
      <c r="C299" s="321" t="s">
        <v>392</v>
      </c>
      <c r="D299" s="338"/>
      <c r="E299" s="325">
        <v>51917</v>
      </c>
      <c r="F299" s="339"/>
      <c r="G299" s="594">
        <v>51917</v>
      </c>
    </row>
    <row r="300" spans="3:7">
      <c r="C300" s="321" t="s">
        <v>485</v>
      </c>
      <c r="D300" s="338"/>
      <c r="E300" s="325">
        <v>8363</v>
      </c>
      <c r="F300" s="339"/>
      <c r="G300" s="594">
        <v>8363</v>
      </c>
    </row>
    <row r="301" spans="3:7">
      <c r="C301" s="321" t="s">
        <v>605</v>
      </c>
      <c r="D301" s="338"/>
      <c r="E301" s="325">
        <v>2076</v>
      </c>
      <c r="F301" s="325">
        <v>7401</v>
      </c>
      <c r="G301" s="589">
        <v>5325</v>
      </c>
    </row>
    <row r="302" spans="3:7">
      <c r="C302" s="321" t="s">
        <v>394</v>
      </c>
      <c r="D302" s="338"/>
      <c r="E302" s="325">
        <v>2500</v>
      </c>
      <c r="F302" s="339"/>
      <c r="G302" s="594">
        <v>2500</v>
      </c>
    </row>
    <row r="303" spans="3:7">
      <c r="C303" s="321" t="s">
        <v>606</v>
      </c>
      <c r="D303" s="338"/>
      <c r="E303" s="325">
        <v>30.827000000000002</v>
      </c>
      <c r="F303" s="325">
        <v>70.769000000000005</v>
      </c>
      <c r="G303" s="589">
        <v>39.942</v>
      </c>
    </row>
    <row r="304" spans="3:7">
      <c r="C304" s="321" t="s">
        <v>607</v>
      </c>
      <c r="D304" s="338"/>
      <c r="E304" s="325">
        <v>2100</v>
      </c>
      <c r="F304" s="325">
        <v>300</v>
      </c>
      <c r="G304" s="594">
        <v>1800</v>
      </c>
    </row>
    <row r="305" spans="3:7">
      <c r="C305" s="321" t="s">
        <v>608</v>
      </c>
      <c r="D305" s="338"/>
      <c r="E305" s="325">
        <v>432645</v>
      </c>
      <c r="F305" s="339"/>
      <c r="G305" s="594">
        <v>432645</v>
      </c>
    </row>
    <row r="306" spans="3:7">
      <c r="C306" s="321" t="s">
        <v>609</v>
      </c>
      <c r="D306" s="338"/>
      <c r="E306" s="325">
        <v>31902.1</v>
      </c>
      <c r="F306" s="339"/>
      <c r="G306" s="594">
        <v>31902.1</v>
      </c>
    </row>
    <row r="307" spans="3:7">
      <c r="C307" s="343" t="s">
        <v>398</v>
      </c>
      <c r="D307" s="339"/>
      <c r="E307" s="323">
        <v>8322445</v>
      </c>
      <c r="F307" s="323">
        <v>119466.166</v>
      </c>
      <c r="G307" s="592">
        <v>8202978.8339999998</v>
      </c>
    </row>
    <row r="308" spans="3:7">
      <c r="C308" s="344" t="s">
        <v>399</v>
      </c>
      <c r="D308" s="596"/>
      <c r="E308" s="315">
        <v>2499732355.9510002</v>
      </c>
      <c r="F308" s="315">
        <v>2499732355.9510002</v>
      </c>
      <c r="G308" s="596"/>
    </row>
  </sheetData>
  <autoFilter ref="B4:G308" xr:uid="{00000000-0009-0000-0000-000006000000}"/>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76D34-151F-44B5-9089-80BE99EFBB99}">
  <sheetPr filterMode="1"/>
  <dimension ref="A1:F379"/>
  <sheetViews>
    <sheetView workbookViewId="0">
      <selection activeCell="C73" sqref="C73"/>
    </sheetView>
  </sheetViews>
  <sheetFormatPr defaultRowHeight="14.5"/>
  <cols>
    <col min="1" max="1" width="13.7265625" bestFit="1" customWidth="1"/>
    <col min="2" max="2" width="57.81640625" bestFit="1" customWidth="1"/>
    <col min="3" max="3" width="14.26953125" bestFit="1" customWidth="1"/>
    <col min="4" max="5" width="13.26953125" bestFit="1" customWidth="1"/>
    <col min="6" max="6" width="14.7265625" bestFit="1" customWidth="1"/>
  </cols>
  <sheetData>
    <row r="1" spans="1:6" ht="15.5">
      <c r="B1" s="1173" t="s">
        <v>321</v>
      </c>
      <c r="C1" s="1173"/>
      <c r="D1" s="1173"/>
      <c r="E1" s="306"/>
      <c r="F1" s="306"/>
    </row>
    <row r="2" spans="1:6">
      <c r="B2" s="1174" t="s">
        <v>475</v>
      </c>
      <c r="C2" s="1174"/>
      <c r="D2" s="1174"/>
      <c r="E2" s="306"/>
      <c r="F2" s="306"/>
    </row>
    <row r="3" spans="1:6">
      <c r="B3" s="1174" t="s">
        <v>476</v>
      </c>
      <c r="C3" s="1174"/>
      <c r="D3" s="1174"/>
      <c r="E3" s="306"/>
      <c r="F3" s="306"/>
    </row>
    <row r="4" spans="1:6">
      <c r="B4" s="1174" t="s">
        <v>477</v>
      </c>
      <c r="C4" s="1174"/>
      <c r="D4" s="1174"/>
      <c r="E4" s="306"/>
      <c r="F4" s="306"/>
    </row>
    <row r="5" spans="1:6">
      <c r="B5" s="1174" t="s">
        <v>478</v>
      </c>
      <c r="C5" s="1174"/>
      <c r="D5" s="1174"/>
      <c r="E5" s="306"/>
      <c r="F5" s="306"/>
    </row>
    <row r="6" spans="1:6">
      <c r="B6" s="1209" t="s">
        <v>322</v>
      </c>
      <c r="C6" s="1210"/>
      <c r="D6" s="1210"/>
      <c r="E6" s="306"/>
      <c r="F6" s="306"/>
    </row>
    <row r="7" spans="1:6" ht="15.5">
      <c r="B7" s="1211" t="s">
        <v>323</v>
      </c>
      <c r="C7" s="1211"/>
      <c r="D7" s="1211"/>
      <c r="E7" s="306"/>
      <c r="F7" s="306"/>
    </row>
    <row r="8" spans="1:6">
      <c r="B8" s="1174" t="s">
        <v>1118</v>
      </c>
      <c r="C8" s="1174"/>
      <c r="D8" s="1174"/>
      <c r="E8" s="306"/>
      <c r="F8" s="306"/>
    </row>
    <row r="9" spans="1:6">
      <c r="B9" s="798" t="s">
        <v>325</v>
      </c>
      <c r="C9" s="1212" t="s">
        <v>575</v>
      </c>
      <c r="D9" s="1175"/>
      <c r="E9" s="1175"/>
      <c r="F9" s="1175"/>
    </row>
    <row r="10" spans="1:6">
      <c r="B10" s="808" t="s">
        <v>0</v>
      </c>
      <c r="C10" s="1213" t="s">
        <v>1118</v>
      </c>
      <c r="D10" s="1214"/>
      <c r="E10" s="1214"/>
      <c r="F10" s="1214"/>
    </row>
    <row r="11" spans="1:6">
      <c r="B11" s="808" t="s">
        <v>325</v>
      </c>
      <c r="C11" s="582" t="s">
        <v>577</v>
      </c>
      <c r="D11" s="1215" t="s">
        <v>578</v>
      </c>
      <c r="E11" s="1216"/>
      <c r="F11" s="582" t="s">
        <v>579</v>
      </c>
    </row>
    <row r="12" spans="1:6">
      <c r="B12" s="809" t="s">
        <v>325</v>
      </c>
      <c r="C12" s="585" t="s">
        <v>580</v>
      </c>
      <c r="D12" s="310" t="s">
        <v>330</v>
      </c>
      <c r="E12" s="310" t="s">
        <v>331</v>
      </c>
      <c r="F12" s="585" t="s">
        <v>580</v>
      </c>
    </row>
    <row r="13" spans="1:6">
      <c r="B13" s="311" t="s">
        <v>332</v>
      </c>
      <c r="C13" s="586">
        <v>186817495</v>
      </c>
      <c r="D13" s="611"/>
      <c r="E13" s="611"/>
      <c r="F13" s="586">
        <v>186817495</v>
      </c>
    </row>
    <row r="14" spans="1:6" hidden="1">
      <c r="A14" t="s">
        <v>83</v>
      </c>
      <c r="B14" s="772" t="s">
        <v>1119</v>
      </c>
      <c r="C14" s="755">
        <v>98503195</v>
      </c>
      <c r="D14" s="690"/>
      <c r="E14" s="690"/>
      <c r="F14" s="755">
        <v>98503195</v>
      </c>
    </row>
    <row r="15" spans="1:6" hidden="1">
      <c r="B15" s="764" t="s">
        <v>872</v>
      </c>
      <c r="C15" s="588">
        <v>9000</v>
      </c>
      <c r="D15" s="338"/>
      <c r="E15" s="338"/>
      <c r="F15" s="588">
        <v>9000</v>
      </c>
    </row>
    <row r="16" spans="1:6" hidden="1">
      <c r="B16" s="764" t="s">
        <v>873</v>
      </c>
      <c r="C16" s="588">
        <v>1381000</v>
      </c>
      <c r="D16" s="338"/>
      <c r="E16" s="338"/>
      <c r="F16" s="588">
        <v>1381000</v>
      </c>
    </row>
    <row r="17" spans="1:6" hidden="1">
      <c r="B17" s="764" t="s">
        <v>874</v>
      </c>
      <c r="C17" s="592">
        <v>8831430</v>
      </c>
      <c r="D17" s="338"/>
      <c r="E17" s="338"/>
      <c r="F17" s="592">
        <v>8831430</v>
      </c>
    </row>
    <row r="18" spans="1:6" hidden="1">
      <c r="B18" s="764" t="s">
        <v>875</v>
      </c>
      <c r="C18" s="588">
        <v>105944625</v>
      </c>
      <c r="D18" s="338"/>
      <c r="E18" s="338"/>
      <c r="F18" s="588">
        <v>105944625</v>
      </c>
    </row>
    <row r="19" spans="1:6" hidden="1">
      <c r="A19" s="60" t="s">
        <v>82</v>
      </c>
      <c r="B19" s="756" t="s">
        <v>335</v>
      </c>
      <c r="C19" s="589">
        <v>88314300</v>
      </c>
      <c r="D19" s="339"/>
      <c r="E19" s="339"/>
      <c r="F19" s="589">
        <v>88314300</v>
      </c>
    </row>
    <row r="20" spans="1:6" hidden="1">
      <c r="B20" s="311" t="s">
        <v>336</v>
      </c>
      <c r="C20" s="590">
        <v>13865326.58</v>
      </c>
      <c r="D20" s="591">
        <v>37326693</v>
      </c>
      <c r="E20" s="591">
        <v>204335745</v>
      </c>
      <c r="F20" s="590">
        <v>180874378.58000001</v>
      </c>
    </row>
    <row r="21" spans="1:6" hidden="1">
      <c r="B21" s="772" t="s">
        <v>337</v>
      </c>
      <c r="C21" s="690"/>
      <c r="D21" s="690"/>
      <c r="E21" s="691">
        <v>850000</v>
      </c>
      <c r="F21" s="755">
        <v>850000</v>
      </c>
    </row>
    <row r="22" spans="1:6" hidden="1">
      <c r="A22" t="s">
        <v>87</v>
      </c>
      <c r="B22" s="764" t="s">
        <v>1120</v>
      </c>
      <c r="C22" s="339"/>
      <c r="D22" s="338"/>
      <c r="E22" s="323">
        <v>850000</v>
      </c>
      <c r="F22" s="588">
        <v>850000</v>
      </c>
    </row>
    <row r="23" spans="1:6" hidden="1">
      <c r="B23" s="772" t="s">
        <v>338</v>
      </c>
      <c r="C23" s="766">
        <v>13865326.58</v>
      </c>
      <c r="D23" s="703">
        <v>37326693</v>
      </c>
      <c r="E23" s="703">
        <v>203485745</v>
      </c>
      <c r="F23" s="766">
        <v>180024378.58000001</v>
      </c>
    </row>
    <row r="24" spans="1:6" hidden="1">
      <c r="A24" t="s">
        <v>1077</v>
      </c>
      <c r="B24" s="764" t="s">
        <v>925</v>
      </c>
      <c r="C24" s="588">
        <v>9634966.5800000001</v>
      </c>
      <c r="D24" s="323">
        <v>33982584</v>
      </c>
      <c r="E24" s="323">
        <v>203070037</v>
      </c>
      <c r="F24" s="588">
        <v>178722419.58000001</v>
      </c>
    </row>
    <row r="25" spans="1:6" hidden="1">
      <c r="A25" t="s">
        <v>1077</v>
      </c>
      <c r="B25" s="764" t="s">
        <v>876</v>
      </c>
      <c r="C25" s="588">
        <v>4230360</v>
      </c>
      <c r="D25" s="323">
        <v>3344109</v>
      </c>
      <c r="E25" s="323">
        <v>415708</v>
      </c>
      <c r="F25" s="588">
        <v>1301959</v>
      </c>
    </row>
    <row r="26" spans="1:6" hidden="1">
      <c r="B26" s="311" t="s">
        <v>339</v>
      </c>
      <c r="C26" s="590">
        <v>181799875.296</v>
      </c>
      <c r="D26" s="591">
        <v>609995656.92900002</v>
      </c>
      <c r="E26" s="591">
        <v>472513744.89399999</v>
      </c>
      <c r="F26" s="590">
        <v>44317963.261</v>
      </c>
    </row>
    <row r="27" spans="1:6" hidden="1">
      <c r="A27" t="s">
        <v>78</v>
      </c>
      <c r="B27" s="772" t="s">
        <v>340</v>
      </c>
      <c r="C27" s="755">
        <v>888077.39500000002</v>
      </c>
      <c r="D27" s="691">
        <v>121675137.544</v>
      </c>
      <c r="E27" s="691">
        <v>116886700.81999999</v>
      </c>
      <c r="F27" s="758">
        <f>3900359.329+116444+14325</f>
        <v>4031128.3289999999</v>
      </c>
    </row>
    <row r="28" spans="1:6" hidden="1">
      <c r="B28" s="772" t="s">
        <v>877</v>
      </c>
      <c r="C28" s="760">
        <v>183978.39499999999</v>
      </c>
      <c r="D28" s="587">
        <v>119988664.544</v>
      </c>
      <c r="E28" s="587">
        <v>115773557.81999999</v>
      </c>
      <c r="F28" s="759">
        <v>4031128.3289999999</v>
      </c>
    </row>
    <row r="29" spans="1:6" hidden="1">
      <c r="B29" s="810" t="s">
        <v>878</v>
      </c>
      <c r="C29" s="758">
        <v>395369.30499999999</v>
      </c>
      <c r="D29" s="691">
        <v>66442505.343999997</v>
      </c>
      <c r="E29" s="691">
        <v>62801346.32</v>
      </c>
      <c r="F29" s="758">
        <v>4036528.3289999999</v>
      </c>
    </row>
    <row r="30" spans="1:6" hidden="1">
      <c r="B30" s="810" t="s">
        <v>879</v>
      </c>
      <c r="C30" s="759">
        <v>3783.86</v>
      </c>
      <c r="D30" s="587">
        <v>1014187.164</v>
      </c>
      <c r="E30" s="587">
        <v>1016531.86</v>
      </c>
      <c r="F30" s="759">
        <v>1439.164</v>
      </c>
    </row>
    <row r="31" spans="1:6" hidden="1">
      <c r="B31" s="811" t="s">
        <v>880</v>
      </c>
      <c r="C31" s="594">
        <v>1891.93</v>
      </c>
      <c r="D31" s="325">
        <v>486233.58199999999</v>
      </c>
      <c r="E31" s="325">
        <v>487405.93</v>
      </c>
      <c r="F31" s="594">
        <v>719.58199999999999</v>
      </c>
    </row>
    <row r="32" spans="1:6" hidden="1">
      <c r="B32" s="811" t="s">
        <v>1121</v>
      </c>
      <c r="C32" s="338"/>
      <c r="D32" s="325">
        <v>41720</v>
      </c>
      <c r="E32" s="325">
        <v>41720</v>
      </c>
      <c r="F32" s="338"/>
    </row>
    <row r="33" spans="2:6" hidden="1">
      <c r="B33" s="811" t="s">
        <v>881</v>
      </c>
      <c r="C33" s="594">
        <v>1891.93</v>
      </c>
      <c r="D33" s="325">
        <v>486233.58199999999</v>
      </c>
      <c r="E33" s="325">
        <v>487405.93</v>
      </c>
      <c r="F33" s="594">
        <v>719.58199999999999</v>
      </c>
    </row>
    <row r="34" spans="2:6" hidden="1">
      <c r="B34" s="762" t="s">
        <v>882</v>
      </c>
      <c r="C34" s="592">
        <v>215167.58799999999</v>
      </c>
      <c r="D34" s="323">
        <v>1170339.7209999999</v>
      </c>
      <c r="E34" s="323">
        <v>116341.23</v>
      </c>
      <c r="F34" s="592">
        <v>1269166.0789999999</v>
      </c>
    </row>
    <row r="35" spans="2:6" hidden="1">
      <c r="B35" s="764" t="s">
        <v>1122</v>
      </c>
      <c r="C35" s="339"/>
      <c r="D35" s="323">
        <v>7790</v>
      </c>
      <c r="E35" s="323">
        <v>7790</v>
      </c>
      <c r="F35" s="339"/>
    </row>
    <row r="36" spans="2:6" hidden="1">
      <c r="B36" s="765" t="s">
        <v>883</v>
      </c>
      <c r="C36" s="339"/>
      <c r="D36" s="323">
        <v>63079848.737999998</v>
      </c>
      <c r="E36" s="323">
        <v>61544342</v>
      </c>
      <c r="F36" s="592">
        <v>1535506.7379999999</v>
      </c>
    </row>
    <row r="37" spans="2:6" hidden="1">
      <c r="B37" s="762" t="s">
        <v>884</v>
      </c>
      <c r="C37" s="592">
        <v>176417.85699999999</v>
      </c>
      <c r="D37" s="323">
        <v>1170339.7209999999</v>
      </c>
      <c r="E37" s="323">
        <v>116341.23</v>
      </c>
      <c r="F37" s="592">
        <v>1230416.348</v>
      </c>
    </row>
    <row r="38" spans="2:6" hidden="1">
      <c r="B38" s="769" t="s">
        <v>885</v>
      </c>
      <c r="C38" s="767">
        <v>22965.3</v>
      </c>
      <c r="D38" s="703">
        <v>52791262.200000003</v>
      </c>
      <c r="E38" s="703">
        <v>52814227.5</v>
      </c>
      <c r="F38" s="708"/>
    </row>
    <row r="39" spans="2:6" hidden="1">
      <c r="B39" s="812" t="s">
        <v>886</v>
      </c>
      <c r="C39" s="339"/>
      <c r="D39" s="323">
        <v>5877703.7549999999</v>
      </c>
      <c r="E39" s="323">
        <v>5877703.7549999999</v>
      </c>
      <c r="F39" s="339"/>
    </row>
    <row r="40" spans="2:6" hidden="1">
      <c r="B40" s="757" t="s">
        <v>887</v>
      </c>
      <c r="C40" s="592">
        <v>22965.3</v>
      </c>
      <c r="D40" s="323">
        <v>41035854.689999998</v>
      </c>
      <c r="E40" s="323">
        <v>41058819.990000002</v>
      </c>
      <c r="F40" s="339"/>
    </row>
    <row r="41" spans="2:6" hidden="1">
      <c r="B41" s="812" t="s">
        <v>888</v>
      </c>
      <c r="C41" s="339"/>
      <c r="D41" s="323">
        <v>5877703.7549999999</v>
      </c>
      <c r="E41" s="323">
        <v>5877703.7549999999</v>
      </c>
      <c r="F41" s="339"/>
    </row>
    <row r="42" spans="2:6" hidden="1">
      <c r="B42" s="810" t="s">
        <v>889</v>
      </c>
      <c r="C42" s="766">
        <v>10737</v>
      </c>
      <c r="D42" s="703">
        <v>163321</v>
      </c>
      <c r="E42" s="703">
        <v>157984</v>
      </c>
      <c r="F42" s="766">
        <v>5400</v>
      </c>
    </row>
    <row r="43" spans="2:6" hidden="1">
      <c r="B43" s="765" t="s">
        <v>890</v>
      </c>
      <c r="C43" s="588">
        <v>5368.5</v>
      </c>
      <c r="D43" s="323">
        <v>81660.5</v>
      </c>
      <c r="E43" s="323">
        <v>78992</v>
      </c>
      <c r="F43" s="588">
        <v>2700</v>
      </c>
    </row>
    <row r="44" spans="2:6" hidden="1">
      <c r="B44" s="765" t="s">
        <v>891</v>
      </c>
      <c r="C44" s="588">
        <v>5368.5</v>
      </c>
      <c r="D44" s="323">
        <v>81660.5</v>
      </c>
      <c r="E44" s="323">
        <v>78992</v>
      </c>
      <c r="F44" s="588">
        <v>2700</v>
      </c>
    </row>
    <row r="45" spans="2:6" hidden="1">
      <c r="B45" s="810" t="s">
        <v>892</v>
      </c>
      <c r="C45" s="766">
        <v>591576</v>
      </c>
      <c r="D45" s="703">
        <v>591576</v>
      </c>
      <c r="E45" s="708"/>
      <c r="F45" s="708"/>
    </row>
    <row r="46" spans="2:6" hidden="1">
      <c r="B46" s="765" t="s">
        <v>893</v>
      </c>
      <c r="C46" s="588">
        <v>591576</v>
      </c>
      <c r="D46" s="323">
        <v>591576</v>
      </c>
      <c r="E46" s="338"/>
      <c r="F46" s="339"/>
    </row>
    <row r="47" spans="2:6" hidden="1">
      <c r="B47" s="772" t="s">
        <v>894</v>
      </c>
      <c r="C47" s="768">
        <v>22700</v>
      </c>
      <c r="D47" s="591">
        <v>29218</v>
      </c>
      <c r="E47" s="591">
        <v>6518</v>
      </c>
      <c r="F47" s="595"/>
    </row>
    <row r="48" spans="2:6" hidden="1">
      <c r="B48" s="812" t="s">
        <v>895</v>
      </c>
      <c r="C48" s="589">
        <v>22700</v>
      </c>
      <c r="D48" s="325">
        <v>29218</v>
      </c>
      <c r="E48" s="325">
        <v>6518</v>
      </c>
      <c r="F48" s="338"/>
    </row>
    <row r="49" spans="2:6" hidden="1">
      <c r="B49" s="772" t="s">
        <v>897</v>
      </c>
      <c r="C49" s="768">
        <v>667024</v>
      </c>
      <c r="D49" s="591">
        <v>1642680</v>
      </c>
      <c r="E49" s="591">
        <v>1092100</v>
      </c>
      <c r="F49" s="768">
        <v>116444</v>
      </c>
    </row>
    <row r="50" spans="2:6" hidden="1">
      <c r="B50" s="813" t="s">
        <v>898</v>
      </c>
      <c r="C50" s="755">
        <v>16537</v>
      </c>
      <c r="D50" s="691">
        <v>29953</v>
      </c>
      <c r="E50" s="691">
        <v>13503</v>
      </c>
      <c r="F50" s="755">
        <v>87</v>
      </c>
    </row>
    <row r="51" spans="2:6" hidden="1">
      <c r="B51" s="812" t="s">
        <v>899</v>
      </c>
      <c r="C51" s="588">
        <v>16537</v>
      </c>
      <c r="D51" s="323">
        <v>29953</v>
      </c>
      <c r="E51" s="323">
        <v>13503</v>
      </c>
      <c r="F51" s="588">
        <v>87</v>
      </c>
    </row>
    <row r="52" spans="2:6" hidden="1">
      <c r="B52" s="769" t="s">
        <v>900</v>
      </c>
      <c r="C52" s="766">
        <v>21131</v>
      </c>
      <c r="D52" s="703">
        <v>377877</v>
      </c>
      <c r="E52" s="703">
        <v>360531</v>
      </c>
      <c r="F52" s="766">
        <v>3785</v>
      </c>
    </row>
    <row r="53" spans="2:6" hidden="1">
      <c r="B53" s="763" t="s">
        <v>901</v>
      </c>
      <c r="C53" s="588">
        <v>21131</v>
      </c>
      <c r="D53" s="323">
        <v>377877</v>
      </c>
      <c r="E53" s="323">
        <v>360531</v>
      </c>
      <c r="F53" s="588">
        <v>3785</v>
      </c>
    </row>
    <row r="54" spans="2:6" hidden="1">
      <c r="B54" s="769" t="s">
        <v>902</v>
      </c>
      <c r="C54" s="766">
        <v>33225</v>
      </c>
      <c r="D54" s="703">
        <v>269339</v>
      </c>
      <c r="E54" s="703">
        <v>274884</v>
      </c>
      <c r="F54" s="766">
        <v>38770</v>
      </c>
    </row>
    <row r="55" spans="2:6" hidden="1">
      <c r="B55" s="762" t="s">
        <v>903</v>
      </c>
      <c r="C55" s="588">
        <v>30725</v>
      </c>
      <c r="D55" s="323">
        <v>254339</v>
      </c>
      <c r="E55" s="323">
        <v>259884</v>
      </c>
      <c r="F55" s="588">
        <v>36270</v>
      </c>
    </row>
    <row r="56" spans="2:6" hidden="1">
      <c r="B56" s="814" t="s">
        <v>904</v>
      </c>
      <c r="C56" s="588">
        <v>2500</v>
      </c>
      <c r="D56" s="323">
        <v>15000</v>
      </c>
      <c r="E56" s="323">
        <v>15000</v>
      </c>
      <c r="F56" s="588">
        <v>2500</v>
      </c>
    </row>
    <row r="57" spans="2:6" hidden="1">
      <c r="B57" s="769" t="s">
        <v>905</v>
      </c>
      <c r="C57" s="708"/>
      <c r="D57" s="703">
        <v>112635</v>
      </c>
      <c r="E57" s="703">
        <v>135135</v>
      </c>
      <c r="F57" s="766">
        <v>22500</v>
      </c>
    </row>
    <row r="58" spans="2:6" hidden="1">
      <c r="B58" s="763" t="s">
        <v>905</v>
      </c>
      <c r="C58" s="339"/>
      <c r="D58" s="323">
        <v>112635</v>
      </c>
      <c r="E58" s="323">
        <v>135135</v>
      </c>
      <c r="F58" s="588">
        <v>22500</v>
      </c>
    </row>
    <row r="59" spans="2:6" hidden="1">
      <c r="B59" s="769" t="s">
        <v>906</v>
      </c>
      <c r="C59" s="766">
        <v>269830</v>
      </c>
      <c r="D59" s="703">
        <v>509830</v>
      </c>
      <c r="E59" s="703">
        <v>290000</v>
      </c>
      <c r="F59" s="766">
        <v>50000</v>
      </c>
    </row>
    <row r="60" spans="2:6" hidden="1">
      <c r="B60" s="763" t="s">
        <v>906</v>
      </c>
      <c r="C60" s="588">
        <v>25000</v>
      </c>
      <c r="D60" s="323">
        <v>75000</v>
      </c>
      <c r="E60" s="323">
        <v>60000</v>
      </c>
      <c r="F60" s="588">
        <v>10000</v>
      </c>
    </row>
    <row r="61" spans="2:6" hidden="1">
      <c r="B61" s="812" t="s">
        <v>907</v>
      </c>
      <c r="C61" s="588">
        <v>140000</v>
      </c>
      <c r="D61" s="323">
        <v>235000</v>
      </c>
      <c r="E61" s="323">
        <v>115000</v>
      </c>
      <c r="F61" s="588">
        <v>20000</v>
      </c>
    </row>
    <row r="62" spans="2:6" hidden="1">
      <c r="B62" s="812" t="s">
        <v>909</v>
      </c>
      <c r="C62" s="588">
        <v>104830</v>
      </c>
      <c r="D62" s="323">
        <v>199830</v>
      </c>
      <c r="E62" s="323">
        <v>115000</v>
      </c>
      <c r="F62" s="588">
        <v>20000</v>
      </c>
    </row>
    <row r="63" spans="2:6" hidden="1">
      <c r="B63" s="763" t="s">
        <v>1123</v>
      </c>
      <c r="C63" s="589">
        <v>2539</v>
      </c>
      <c r="D63" s="325">
        <v>19284</v>
      </c>
      <c r="E63" s="325">
        <v>18047</v>
      </c>
      <c r="F63" s="589">
        <v>1302</v>
      </c>
    </row>
    <row r="64" spans="2:6" hidden="1">
      <c r="B64" s="765" t="s">
        <v>911</v>
      </c>
      <c r="C64" s="589">
        <v>323762</v>
      </c>
      <c r="D64" s="325">
        <v>323762</v>
      </c>
      <c r="E64" s="339"/>
      <c r="F64" s="338"/>
    </row>
    <row r="65" spans="1:6" hidden="1">
      <c r="B65" s="764" t="s">
        <v>912</v>
      </c>
      <c r="C65" s="588">
        <v>14375</v>
      </c>
      <c r="D65" s="323">
        <v>14575</v>
      </c>
      <c r="E65" s="323">
        <v>14525</v>
      </c>
      <c r="F65" s="588">
        <v>14325</v>
      </c>
    </row>
    <row r="66" spans="1:6" hidden="1">
      <c r="A66" t="s">
        <v>100</v>
      </c>
      <c r="B66" s="316" t="s">
        <v>341</v>
      </c>
      <c r="C66" s="766">
        <v>14325184</v>
      </c>
      <c r="D66" s="703">
        <v>11000000</v>
      </c>
      <c r="E66" s="708"/>
      <c r="F66" s="766">
        <v>3325184</v>
      </c>
    </row>
    <row r="67" spans="1:6" hidden="1">
      <c r="B67" s="765" t="s">
        <v>913</v>
      </c>
      <c r="C67" s="588">
        <v>14325184</v>
      </c>
      <c r="D67" s="323">
        <v>11000000</v>
      </c>
      <c r="E67" s="338"/>
      <c r="F67" s="588">
        <v>3325184</v>
      </c>
    </row>
    <row r="68" spans="1:6" hidden="1">
      <c r="A68" s="672" t="str">
        <f>+'Regulation 33 - Balance Sheet'!A52</f>
        <v>- total outstanding other than to MSME</v>
      </c>
      <c r="B68" s="772" t="s">
        <v>342</v>
      </c>
      <c r="C68" s="588">
        <v>162918566.90099999</v>
      </c>
      <c r="D68" s="325">
        <v>472970419.38499999</v>
      </c>
      <c r="E68" s="325">
        <v>342932969.074</v>
      </c>
      <c r="F68" s="588">
        <v>32881116.59</v>
      </c>
    </row>
    <row r="69" spans="1:6">
      <c r="A69" t="s">
        <v>430</v>
      </c>
      <c r="B69" s="756" t="s">
        <v>581</v>
      </c>
      <c r="C69" s="589">
        <v>101175</v>
      </c>
      <c r="D69" s="325">
        <v>106250</v>
      </c>
      <c r="E69" s="325">
        <v>138600</v>
      </c>
      <c r="F69" s="589">
        <v>133525</v>
      </c>
    </row>
    <row r="70" spans="1:6">
      <c r="A70" t="s">
        <v>430</v>
      </c>
      <c r="B70" s="756" t="s">
        <v>1124</v>
      </c>
      <c r="C70" s="589">
        <v>230751</v>
      </c>
      <c r="D70" s="339"/>
      <c r="E70" s="339"/>
      <c r="F70" s="589">
        <v>230751</v>
      </c>
    </row>
    <row r="71" spans="1:6">
      <c r="A71" t="s">
        <v>430</v>
      </c>
      <c r="B71" s="756" t="s">
        <v>584</v>
      </c>
      <c r="C71" s="589">
        <v>244922</v>
      </c>
      <c r="D71" s="339"/>
      <c r="E71" s="339"/>
      <c r="F71" s="589">
        <v>244922</v>
      </c>
    </row>
    <row r="72" spans="1:6" s="270" customFormat="1" hidden="1">
      <c r="A72" s="270" t="s">
        <v>429</v>
      </c>
      <c r="B72" s="816" t="s">
        <v>343</v>
      </c>
      <c r="C72" s="817"/>
      <c r="D72" s="818">
        <v>1350000</v>
      </c>
      <c r="E72" s="818">
        <v>7809000</v>
      </c>
      <c r="F72" s="819">
        <v>6459000</v>
      </c>
    </row>
    <row r="73" spans="1:6">
      <c r="A73" t="s">
        <v>430</v>
      </c>
      <c r="B73" s="756" t="s">
        <v>344</v>
      </c>
      <c r="C73" s="589">
        <v>508059</v>
      </c>
      <c r="D73" s="325">
        <v>941584</v>
      </c>
      <c r="E73" s="325">
        <v>724428</v>
      </c>
      <c r="F73" s="589">
        <v>290903</v>
      </c>
    </row>
    <row r="74" spans="1:6">
      <c r="A74" t="s">
        <v>430</v>
      </c>
      <c r="B74" s="756" t="s">
        <v>1125</v>
      </c>
      <c r="C74" s="338"/>
      <c r="D74" s="325">
        <v>1952266</v>
      </c>
      <c r="E74" s="325">
        <v>2489947</v>
      </c>
      <c r="F74" s="589">
        <v>537681</v>
      </c>
    </row>
    <row r="75" spans="1:6">
      <c r="A75" t="s">
        <v>430</v>
      </c>
      <c r="B75" s="756" t="s">
        <v>345</v>
      </c>
      <c r="C75" s="589">
        <v>2583140</v>
      </c>
      <c r="D75" s="339"/>
      <c r="E75" s="325">
        <v>1532100</v>
      </c>
      <c r="F75" s="589">
        <v>4115240</v>
      </c>
    </row>
    <row r="76" spans="1:6" hidden="1">
      <c r="B76" s="311" t="s">
        <v>346</v>
      </c>
      <c r="C76" s="593">
        <v>1108845.1299999999</v>
      </c>
      <c r="D76" s="591">
        <v>8770428.9399999995</v>
      </c>
      <c r="E76" s="591">
        <v>1365513.85</v>
      </c>
      <c r="F76" s="593">
        <v>8513760.2200000007</v>
      </c>
    </row>
    <row r="77" spans="1:6" hidden="1">
      <c r="A77" t="str">
        <f>'Regulation 33 - Balance Sheet'!A8</f>
        <v>(a) Property, Plant and Equipment</v>
      </c>
      <c r="B77" s="316" t="s">
        <v>1126</v>
      </c>
      <c r="C77" s="690"/>
      <c r="D77" s="691">
        <v>1244814.94</v>
      </c>
      <c r="E77" s="690"/>
      <c r="F77" s="758">
        <v>1244814.94</v>
      </c>
    </row>
    <row r="78" spans="1:6" hidden="1">
      <c r="B78" s="764" t="s">
        <v>1127</v>
      </c>
      <c r="C78" s="339"/>
      <c r="D78" s="323">
        <v>1244814.94</v>
      </c>
      <c r="E78" s="338"/>
      <c r="F78" s="592">
        <v>1244814.94</v>
      </c>
    </row>
    <row r="79" spans="1:6" hidden="1">
      <c r="A79" t="s">
        <v>71</v>
      </c>
      <c r="B79" s="756" t="s">
        <v>347</v>
      </c>
      <c r="C79" s="594">
        <v>58773.32</v>
      </c>
      <c r="D79" s="339"/>
      <c r="E79" s="339"/>
      <c r="F79" s="594">
        <v>58773.32</v>
      </c>
    </row>
    <row r="80" spans="1:6" hidden="1">
      <c r="A80" t="s">
        <v>71</v>
      </c>
      <c r="B80" s="756" t="s">
        <v>585</v>
      </c>
      <c r="C80" s="594">
        <v>23000</v>
      </c>
      <c r="D80" s="339"/>
      <c r="E80" s="339"/>
      <c r="F80" s="594">
        <v>23000</v>
      </c>
    </row>
    <row r="81" spans="1:6" hidden="1">
      <c r="A81" t="s">
        <v>71</v>
      </c>
      <c r="B81" s="756" t="s">
        <v>348</v>
      </c>
      <c r="C81" s="594">
        <v>2236.33</v>
      </c>
      <c r="D81" s="339"/>
      <c r="E81" s="339"/>
      <c r="F81" s="594">
        <v>2236.33</v>
      </c>
    </row>
    <row r="82" spans="1:6" hidden="1">
      <c r="A82" t="s">
        <v>71</v>
      </c>
      <c r="B82" s="756" t="s">
        <v>349</v>
      </c>
      <c r="C82" s="594">
        <v>1350</v>
      </c>
      <c r="D82" s="339"/>
      <c r="E82" s="339"/>
      <c r="F82" s="594">
        <v>1350</v>
      </c>
    </row>
    <row r="83" spans="1:6" hidden="1">
      <c r="A83" t="s">
        <v>71</v>
      </c>
      <c r="B83" s="756" t="s">
        <v>586</v>
      </c>
      <c r="C83" s="594">
        <v>41388</v>
      </c>
      <c r="D83" s="339"/>
      <c r="E83" s="339"/>
      <c r="F83" s="594">
        <v>41388</v>
      </c>
    </row>
    <row r="84" spans="1:6" hidden="1">
      <c r="A84" t="s">
        <v>71</v>
      </c>
      <c r="B84" s="756" t="s">
        <v>350</v>
      </c>
      <c r="C84" s="594">
        <v>1119150.96</v>
      </c>
      <c r="D84" s="339"/>
      <c r="E84" s="339"/>
      <c r="F84" s="594">
        <v>1119150.96</v>
      </c>
    </row>
    <row r="85" spans="1:6" hidden="1">
      <c r="A85" t="s">
        <v>71</v>
      </c>
      <c r="B85" s="756" t="s">
        <v>351</v>
      </c>
      <c r="C85" s="594">
        <v>282848.64000000001</v>
      </c>
      <c r="D85" s="339"/>
      <c r="E85" s="339"/>
      <c r="F85" s="594">
        <v>282848.64000000001</v>
      </c>
    </row>
    <row r="86" spans="1:6" hidden="1">
      <c r="A86" t="s">
        <v>71</v>
      </c>
      <c r="B86" s="756" t="s">
        <v>587</v>
      </c>
      <c r="C86" s="594">
        <v>12542.37</v>
      </c>
      <c r="D86" s="339"/>
      <c r="E86" s="339"/>
      <c r="F86" s="594">
        <v>12542.37</v>
      </c>
    </row>
    <row r="87" spans="1:6" hidden="1">
      <c r="A87" t="s">
        <v>71</v>
      </c>
      <c r="B87" s="756" t="s">
        <v>588</v>
      </c>
      <c r="C87" s="594">
        <v>17500</v>
      </c>
      <c r="D87" s="339"/>
      <c r="E87" s="339"/>
      <c r="F87" s="594">
        <v>17500</v>
      </c>
    </row>
    <row r="88" spans="1:6" hidden="1">
      <c r="A88" t="s">
        <v>71</v>
      </c>
      <c r="B88" s="756" t="s">
        <v>481</v>
      </c>
      <c r="C88" s="589">
        <v>449944.49</v>
      </c>
      <c r="D88" s="339"/>
      <c r="E88" s="325">
        <v>111245.85</v>
      </c>
      <c r="F88" s="589">
        <v>-561190.34</v>
      </c>
    </row>
    <row r="89" spans="1:6" hidden="1">
      <c r="A89" t="s">
        <v>428</v>
      </c>
      <c r="B89" s="756" t="s">
        <v>352</v>
      </c>
      <c r="C89" s="338"/>
      <c r="D89" s="325">
        <v>7525614</v>
      </c>
      <c r="E89" s="325">
        <v>1254268</v>
      </c>
      <c r="F89" s="594">
        <v>6271346</v>
      </c>
    </row>
    <row r="90" spans="1:6" hidden="1">
      <c r="B90" s="311" t="s">
        <v>353</v>
      </c>
      <c r="C90" s="593">
        <v>56560560</v>
      </c>
      <c r="D90" s="595"/>
      <c r="E90" s="595"/>
      <c r="F90" s="593">
        <v>56560560</v>
      </c>
    </row>
    <row r="91" spans="1:6" hidden="1">
      <c r="A91" t="s">
        <v>72</v>
      </c>
      <c r="B91" s="756" t="s">
        <v>354</v>
      </c>
      <c r="C91" s="594">
        <v>56560560</v>
      </c>
      <c r="D91" s="339"/>
      <c r="E91" s="339"/>
      <c r="F91" s="594">
        <v>56560560</v>
      </c>
    </row>
    <row r="92" spans="1:6" hidden="1">
      <c r="B92" s="311" t="s">
        <v>355</v>
      </c>
      <c r="C92" s="593">
        <v>377948753.46700001</v>
      </c>
      <c r="D92" s="591">
        <v>968735871.40999997</v>
      </c>
      <c r="E92" s="591">
        <v>994365525.40999997</v>
      </c>
      <c r="F92" s="593">
        <v>352319099.46700001</v>
      </c>
    </row>
    <row r="93" spans="1:6" hidden="1">
      <c r="B93" s="772" t="s">
        <v>356</v>
      </c>
      <c r="C93" s="592">
        <v>71273052.809</v>
      </c>
      <c r="D93" s="339"/>
      <c r="E93" s="339"/>
      <c r="F93" s="592">
        <v>71273052.809</v>
      </c>
    </row>
    <row r="94" spans="1:6" hidden="1">
      <c r="B94" s="772" t="s">
        <v>357</v>
      </c>
      <c r="C94" s="767">
        <v>600000</v>
      </c>
      <c r="D94" s="708"/>
      <c r="E94" s="708"/>
      <c r="F94" s="767">
        <v>600000</v>
      </c>
    </row>
    <row r="95" spans="1:6" hidden="1">
      <c r="B95" s="764" t="s">
        <v>917</v>
      </c>
      <c r="C95" s="592">
        <v>600000</v>
      </c>
      <c r="D95" s="338"/>
      <c r="E95" s="338"/>
      <c r="F95" s="592">
        <v>600000</v>
      </c>
    </row>
    <row r="96" spans="1:6" hidden="1">
      <c r="A96" t="s">
        <v>530</v>
      </c>
      <c r="B96" s="772" t="s">
        <v>358</v>
      </c>
      <c r="C96" s="767">
        <v>11000000</v>
      </c>
      <c r="D96" s="703">
        <v>22000</v>
      </c>
      <c r="E96" s="703">
        <v>11002000</v>
      </c>
      <c r="F96" s="767">
        <v>20000</v>
      </c>
    </row>
    <row r="97" spans="1:6" hidden="1">
      <c r="B97" s="810" t="s">
        <v>918</v>
      </c>
      <c r="C97" s="759">
        <v>11000000</v>
      </c>
      <c r="D97" s="611"/>
      <c r="E97" s="587">
        <v>11000000</v>
      </c>
      <c r="F97" s="611"/>
    </row>
    <row r="98" spans="1:6" hidden="1">
      <c r="B98" s="763" t="s">
        <v>919</v>
      </c>
      <c r="C98" s="594">
        <v>11000000</v>
      </c>
      <c r="D98" s="339"/>
      <c r="E98" s="325">
        <v>11000000</v>
      </c>
      <c r="F98" s="338"/>
    </row>
    <row r="99" spans="1:6" hidden="1">
      <c r="B99" s="810" t="s">
        <v>921</v>
      </c>
      <c r="C99" s="595"/>
      <c r="D99" s="591">
        <v>22000</v>
      </c>
      <c r="E99" s="591">
        <v>2000</v>
      </c>
      <c r="F99" s="773">
        <v>20000</v>
      </c>
    </row>
    <row r="100" spans="1:6" hidden="1">
      <c r="B100" s="763" t="s">
        <v>1128</v>
      </c>
      <c r="C100" s="338"/>
      <c r="D100" s="325">
        <v>20000</v>
      </c>
      <c r="E100" s="339"/>
      <c r="F100" s="594">
        <v>20000</v>
      </c>
    </row>
    <row r="101" spans="1:6" hidden="1">
      <c r="B101" s="763" t="s">
        <v>1129</v>
      </c>
      <c r="C101" s="338"/>
      <c r="D101" s="325">
        <v>2000</v>
      </c>
      <c r="E101" s="325">
        <v>2000</v>
      </c>
      <c r="F101" s="338"/>
    </row>
    <row r="102" spans="1:6" hidden="1">
      <c r="A102" t="s">
        <v>97</v>
      </c>
      <c r="B102" s="772" t="s">
        <v>359</v>
      </c>
      <c r="C102" s="592">
        <v>18226355</v>
      </c>
      <c r="D102" s="325">
        <v>355251348.89999998</v>
      </c>
      <c r="E102" s="325">
        <v>387857388.89999998</v>
      </c>
      <c r="F102" s="588">
        <v>-14379685</v>
      </c>
    </row>
    <row r="103" spans="1:6" hidden="1">
      <c r="A103" t="s">
        <v>98</v>
      </c>
      <c r="B103" s="772" t="s">
        <v>360</v>
      </c>
      <c r="C103" s="767">
        <v>63457</v>
      </c>
      <c r="D103" s="703">
        <v>53281</v>
      </c>
      <c r="E103" s="703">
        <v>54551</v>
      </c>
      <c r="F103" s="767">
        <v>62187</v>
      </c>
    </row>
    <row r="104" spans="1:6" hidden="1">
      <c r="B104" s="756" t="s">
        <v>928</v>
      </c>
      <c r="C104" s="592">
        <v>63457</v>
      </c>
      <c r="D104" s="323">
        <v>53281</v>
      </c>
      <c r="E104" s="323">
        <v>54551</v>
      </c>
      <c r="F104" s="592">
        <v>62187</v>
      </c>
    </row>
    <row r="105" spans="1:6" hidden="1">
      <c r="A105" t="s">
        <v>98</v>
      </c>
      <c r="B105" s="772" t="s">
        <v>361</v>
      </c>
      <c r="C105" s="767">
        <v>4911936.2479999997</v>
      </c>
      <c r="D105" s="703">
        <v>512045600.44999999</v>
      </c>
      <c r="E105" s="703">
        <v>515904982.44999999</v>
      </c>
      <c r="F105" s="767">
        <v>1052554.2479999999</v>
      </c>
    </row>
    <row r="106" spans="1:6" hidden="1">
      <c r="B106" s="764" t="s">
        <v>929</v>
      </c>
      <c r="C106" s="592">
        <v>56523.11</v>
      </c>
      <c r="D106" s="323">
        <v>1</v>
      </c>
      <c r="E106" s="323">
        <v>45000</v>
      </c>
      <c r="F106" s="592">
        <v>11524.11</v>
      </c>
    </row>
    <row r="107" spans="1:6" hidden="1">
      <c r="B107" s="764" t="s">
        <v>930</v>
      </c>
      <c r="C107" s="592">
        <v>4231637.6279999996</v>
      </c>
      <c r="D107" s="323">
        <v>512014252.44999999</v>
      </c>
      <c r="E107" s="323">
        <v>515832333.44999999</v>
      </c>
      <c r="F107" s="592">
        <v>413556.62800000003</v>
      </c>
    </row>
    <row r="108" spans="1:6" hidden="1">
      <c r="B108" s="765" t="s">
        <v>1130</v>
      </c>
      <c r="C108" s="592">
        <v>245262</v>
      </c>
      <c r="D108" s="323">
        <v>3698</v>
      </c>
      <c r="E108" s="338"/>
      <c r="F108" s="592">
        <v>248960</v>
      </c>
    </row>
    <row r="109" spans="1:6" hidden="1">
      <c r="B109" s="765" t="s">
        <v>932</v>
      </c>
      <c r="C109" s="592">
        <v>230751</v>
      </c>
      <c r="D109" s="338"/>
      <c r="E109" s="338"/>
      <c r="F109" s="592">
        <v>230751</v>
      </c>
    </row>
    <row r="110" spans="1:6" hidden="1">
      <c r="B110" s="764" t="s">
        <v>933</v>
      </c>
      <c r="C110" s="592">
        <v>111439.91</v>
      </c>
      <c r="D110" s="323">
        <v>27649</v>
      </c>
      <c r="E110" s="338"/>
      <c r="F110" s="592">
        <v>139088.91</v>
      </c>
    </row>
    <row r="111" spans="1:6" hidden="1">
      <c r="B111" s="764" t="s">
        <v>934</v>
      </c>
      <c r="C111" s="592">
        <v>27649</v>
      </c>
      <c r="D111" s="338"/>
      <c r="E111" s="323">
        <v>27649</v>
      </c>
      <c r="F111" s="339"/>
    </row>
    <row r="112" spans="1:6" hidden="1">
      <c r="B112" s="764" t="s">
        <v>935</v>
      </c>
      <c r="C112" s="592">
        <v>8673.6</v>
      </c>
      <c r="D112" s="338"/>
      <c r="E112" s="338"/>
      <c r="F112" s="592">
        <v>8673.6</v>
      </c>
    </row>
    <row r="113" spans="1:6" hidden="1">
      <c r="A113" t="s">
        <v>76</v>
      </c>
      <c r="B113" s="772" t="s">
        <v>590</v>
      </c>
      <c r="C113" s="767">
        <v>161358400</v>
      </c>
      <c r="D113" s="708"/>
      <c r="E113" s="708"/>
      <c r="F113" s="767">
        <v>161358400</v>
      </c>
    </row>
    <row r="114" spans="1:6" hidden="1">
      <c r="B114" s="765" t="s">
        <v>363</v>
      </c>
      <c r="C114" s="592">
        <v>161358400</v>
      </c>
      <c r="D114" s="338"/>
      <c r="E114" s="338"/>
      <c r="F114" s="592">
        <v>161358400</v>
      </c>
    </row>
    <row r="115" spans="1:6" hidden="1">
      <c r="A115" t="s">
        <v>76</v>
      </c>
      <c r="B115" s="772" t="s">
        <v>591</v>
      </c>
      <c r="C115" s="767">
        <v>41874840</v>
      </c>
      <c r="D115" s="708"/>
      <c r="E115" s="708"/>
      <c r="F115" s="767">
        <v>41874840</v>
      </c>
    </row>
    <row r="116" spans="1:6" hidden="1">
      <c r="B116" s="765" t="s">
        <v>364</v>
      </c>
      <c r="C116" s="592">
        <v>41874840</v>
      </c>
      <c r="D116" s="338"/>
      <c r="E116" s="338"/>
      <c r="F116" s="592">
        <v>41874840</v>
      </c>
    </row>
    <row r="117" spans="1:6" hidden="1">
      <c r="A117" s="443" t="s">
        <v>78</v>
      </c>
      <c r="B117" s="772" t="s">
        <v>362</v>
      </c>
      <c r="C117" s="767">
        <v>2230264</v>
      </c>
      <c r="D117" s="703">
        <v>61702326</v>
      </c>
      <c r="E117" s="703">
        <v>52804933</v>
      </c>
      <c r="F117" s="767">
        <v>11127657</v>
      </c>
    </row>
    <row r="118" spans="1:6" hidden="1">
      <c r="B118" s="764" t="s">
        <v>936</v>
      </c>
      <c r="C118" s="592">
        <v>2230264</v>
      </c>
      <c r="D118" s="323">
        <v>61544342</v>
      </c>
      <c r="E118" s="323">
        <v>52646949</v>
      </c>
      <c r="F118" s="592">
        <v>11127657</v>
      </c>
    </row>
    <row r="119" spans="1:6" hidden="1">
      <c r="B119" s="757" t="s">
        <v>751</v>
      </c>
      <c r="C119" s="339"/>
      <c r="D119" s="323">
        <v>157984</v>
      </c>
      <c r="E119" s="323">
        <v>157984</v>
      </c>
      <c r="F119" s="339"/>
    </row>
    <row r="120" spans="1:6" hidden="1">
      <c r="A120" t="s">
        <v>78</v>
      </c>
      <c r="B120" s="772" t="s">
        <v>592</v>
      </c>
      <c r="C120" s="767">
        <v>9794</v>
      </c>
      <c r="D120" s="708"/>
      <c r="E120" s="703">
        <v>962</v>
      </c>
      <c r="F120" s="767">
        <v>8832</v>
      </c>
    </row>
    <row r="121" spans="1:6" hidden="1">
      <c r="B121" s="765" t="s">
        <v>752</v>
      </c>
      <c r="C121" s="592">
        <v>9794</v>
      </c>
      <c r="D121" s="338"/>
      <c r="E121" s="323">
        <v>962</v>
      </c>
      <c r="F121" s="592">
        <v>8832</v>
      </c>
    </row>
    <row r="122" spans="1:6" hidden="1">
      <c r="A122" t="s">
        <v>78</v>
      </c>
      <c r="B122" s="772" t="s">
        <v>593</v>
      </c>
      <c r="C122" s="767">
        <v>577136</v>
      </c>
      <c r="D122" s="703">
        <v>273635</v>
      </c>
      <c r="E122" s="708"/>
      <c r="F122" s="767">
        <v>850771</v>
      </c>
    </row>
    <row r="123" spans="1:6" hidden="1">
      <c r="B123" s="764" t="s">
        <v>938</v>
      </c>
      <c r="C123" s="592">
        <v>577136</v>
      </c>
      <c r="D123" s="323">
        <v>273635</v>
      </c>
      <c r="E123" s="338"/>
      <c r="F123" s="592">
        <v>850771</v>
      </c>
    </row>
    <row r="124" spans="1:6" s="270" customFormat="1" hidden="1">
      <c r="A124" s="270" t="s">
        <v>1096</v>
      </c>
      <c r="B124" s="816" t="s">
        <v>594</v>
      </c>
      <c r="C124" s="820">
        <v>283125.40999999997</v>
      </c>
      <c r="D124" s="821"/>
      <c r="E124" s="821"/>
      <c r="F124" s="820">
        <v>283125.40999999997</v>
      </c>
    </row>
    <row r="125" spans="1:6" hidden="1">
      <c r="A125" t="s">
        <v>76</v>
      </c>
      <c r="B125" s="756" t="s">
        <v>365</v>
      </c>
      <c r="C125" s="594">
        <v>65520125</v>
      </c>
      <c r="D125" s="339"/>
      <c r="E125" s="339"/>
      <c r="F125" s="594">
        <v>65520125</v>
      </c>
    </row>
    <row r="126" spans="1:6" hidden="1">
      <c r="A126" t="s">
        <v>76</v>
      </c>
      <c r="B126" s="756" t="s">
        <v>1131</v>
      </c>
      <c r="C126" s="338"/>
      <c r="D126" s="325">
        <v>12262500</v>
      </c>
      <c r="E126" s="339"/>
      <c r="F126" s="594">
        <v>12262500</v>
      </c>
    </row>
    <row r="127" spans="1:6" hidden="1">
      <c r="A127" t="s">
        <v>78</v>
      </c>
      <c r="B127" s="756" t="s">
        <v>748</v>
      </c>
      <c r="C127" s="338"/>
      <c r="D127" s="325">
        <v>23700437.059999999</v>
      </c>
      <c r="E127" s="325">
        <v>23684866.059999999</v>
      </c>
      <c r="F127" s="594">
        <v>15571</v>
      </c>
    </row>
    <row r="128" spans="1:6" hidden="1">
      <c r="A128" t="s">
        <v>78</v>
      </c>
      <c r="B128" s="756" t="s">
        <v>595</v>
      </c>
      <c r="C128" s="338"/>
      <c r="D128" s="325">
        <v>8756</v>
      </c>
      <c r="E128" s="325">
        <v>8756</v>
      </c>
      <c r="F128" s="338"/>
    </row>
    <row r="129" spans="1:6" hidden="1">
      <c r="A129" t="s">
        <v>78</v>
      </c>
      <c r="B129" s="756" t="s">
        <v>367</v>
      </c>
      <c r="C129" s="594">
        <v>20268</v>
      </c>
      <c r="D129" s="325">
        <v>3415987</v>
      </c>
      <c r="E129" s="325">
        <v>3047086</v>
      </c>
      <c r="F129" s="594">
        <v>389169</v>
      </c>
    </row>
    <row r="130" spans="1:6" hidden="1">
      <c r="B130" s="311" t="s">
        <v>368</v>
      </c>
      <c r="C130" s="590">
        <v>53135461.721000001</v>
      </c>
      <c r="D130" s="595"/>
      <c r="E130" s="595"/>
      <c r="F130" s="590">
        <v>53135461.721000001</v>
      </c>
    </row>
    <row r="131" spans="1:6" hidden="1">
      <c r="A131" t="s">
        <v>83</v>
      </c>
      <c r="B131" s="756" t="s">
        <v>369</v>
      </c>
      <c r="C131" s="589">
        <v>53135461.721000001</v>
      </c>
      <c r="D131" s="339"/>
      <c r="E131" s="339"/>
      <c r="F131" s="589">
        <v>53135461.721000001</v>
      </c>
    </row>
    <row r="132" spans="1:6" hidden="1">
      <c r="B132" s="311" t="s">
        <v>370</v>
      </c>
      <c r="C132" s="340"/>
      <c r="D132" s="591">
        <v>801746</v>
      </c>
      <c r="E132" s="591">
        <v>293412375</v>
      </c>
      <c r="F132" s="590">
        <v>292610629</v>
      </c>
    </row>
    <row r="133" spans="1:6" hidden="1">
      <c r="B133" s="756" t="s">
        <v>371</v>
      </c>
      <c r="C133" s="338"/>
      <c r="D133" s="339"/>
      <c r="E133" s="325">
        <v>228104555.5</v>
      </c>
      <c r="F133" s="589">
        <v>228104555.5</v>
      </c>
    </row>
    <row r="134" spans="1:6" hidden="1">
      <c r="B134" s="756" t="s">
        <v>597</v>
      </c>
      <c r="C134" s="338"/>
      <c r="D134" s="325">
        <v>801746</v>
      </c>
      <c r="E134" s="325">
        <v>65307819.5</v>
      </c>
      <c r="F134" s="589">
        <v>64506073.5</v>
      </c>
    </row>
    <row r="135" spans="1:6" hidden="1">
      <c r="B135" s="311" t="s">
        <v>372</v>
      </c>
      <c r="C135" s="340"/>
      <c r="D135" s="591">
        <v>319783030.21499997</v>
      </c>
      <c r="E135" s="591">
        <v>20000</v>
      </c>
      <c r="F135" s="593">
        <v>319763030.21499997</v>
      </c>
    </row>
    <row r="136" spans="1:6" hidden="1">
      <c r="B136" s="772" t="s">
        <v>373</v>
      </c>
      <c r="C136" s="690"/>
      <c r="D136" s="691">
        <v>319783030.21499997</v>
      </c>
      <c r="E136" s="691">
        <v>20000</v>
      </c>
      <c r="F136" s="758">
        <v>319763030.21499997</v>
      </c>
    </row>
    <row r="137" spans="1:6" hidden="1">
      <c r="B137" s="769" t="s">
        <v>1132</v>
      </c>
      <c r="C137" s="611"/>
      <c r="D137" s="587">
        <v>3601056.8</v>
      </c>
      <c r="E137" s="611"/>
      <c r="F137" s="759">
        <v>3601056.8</v>
      </c>
    </row>
    <row r="138" spans="1:6" hidden="1">
      <c r="B138" s="812" t="s">
        <v>1133</v>
      </c>
      <c r="C138" s="338"/>
      <c r="D138" s="325">
        <v>189438.3</v>
      </c>
      <c r="E138" s="339"/>
      <c r="F138" s="594">
        <v>189438.3</v>
      </c>
    </row>
    <row r="139" spans="1:6" hidden="1">
      <c r="B139" s="763" t="s">
        <v>1134</v>
      </c>
      <c r="C139" s="338"/>
      <c r="D139" s="325">
        <v>177627</v>
      </c>
      <c r="E139" s="339"/>
      <c r="F139" s="594">
        <v>177627</v>
      </c>
    </row>
    <row r="140" spans="1:6" hidden="1">
      <c r="B140" s="812" t="s">
        <v>1135</v>
      </c>
      <c r="C140" s="338"/>
      <c r="D140" s="325">
        <v>48000</v>
      </c>
      <c r="E140" s="339"/>
      <c r="F140" s="594">
        <v>48000</v>
      </c>
    </row>
    <row r="141" spans="1:6" hidden="1">
      <c r="B141" s="763" t="s">
        <v>1136</v>
      </c>
      <c r="C141" s="338"/>
      <c r="D141" s="325">
        <v>39680</v>
      </c>
      <c r="E141" s="339"/>
      <c r="F141" s="594">
        <v>39680</v>
      </c>
    </row>
    <row r="142" spans="1:6" hidden="1">
      <c r="B142" s="763" t="s">
        <v>1137</v>
      </c>
      <c r="C142" s="338"/>
      <c r="D142" s="325">
        <v>1939500.5</v>
      </c>
      <c r="E142" s="339"/>
      <c r="F142" s="594">
        <v>1939500.5</v>
      </c>
    </row>
    <row r="143" spans="1:6" hidden="1">
      <c r="B143" s="763" t="s">
        <v>1138</v>
      </c>
      <c r="C143" s="338"/>
      <c r="D143" s="325">
        <v>1206811</v>
      </c>
      <c r="E143" s="339"/>
      <c r="F143" s="594">
        <v>1206811</v>
      </c>
    </row>
    <row r="144" spans="1:6" hidden="1">
      <c r="B144" s="769" t="s">
        <v>1139</v>
      </c>
      <c r="C144" s="595"/>
      <c r="D144" s="591">
        <v>3803980.8</v>
      </c>
      <c r="E144" s="595"/>
      <c r="F144" s="773">
        <v>3803980.8</v>
      </c>
    </row>
    <row r="145" spans="2:6" hidden="1">
      <c r="B145" s="812" t="s">
        <v>1140</v>
      </c>
      <c r="C145" s="338"/>
      <c r="D145" s="325">
        <v>189438.3</v>
      </c>
      <c r="E145" s="339"/>
      <c r="F145" s="594">
        <v>189438.3</v>
      </c>
    </row>
    <row r="146" spans="2:6" hidden="1">
      <c r="B146" s="763" t="s">
        <v>1141</v>
      </c>
      <c r="C146" s="338"/>
      <c r="D146" s="325">
        <v>146889</v>
      </c>
      <c r="E146" s="339"/>
      <c r="F146" s="594">
        <v>146889</v>
      </c>
    </row>
    <row r="147" spans="2:6" hidden="1">
      <c r="B147" s="812" t="s">
        <v>1142</v>
      </c>
      <c r="C147" s="338"/>
      <c r="D147" s="325">
        <v>48000</v>
      </c>
      <c r="E147" s="339"/>
      <c r="F147" s="594">
        <v>48000</v>
      </c>
    </row>
    <row r="148" spans="2:6" hidden="1">
      <c r="B148" s="763" t="s">
        <v>1143</v>
      </c>
      <c r="C148" s="338"/>
      <c r="D148" s="325">
        <v>9920</v>
      </c>
      <c r="E148" s="339"/>
      <c r="F148" s="594">
        <v>9920</v>
      </c>
    </row>
    <row r="149" spans="2:6" hidden="1">
      <c r="B149" s="763" t="s">
        <v>1144</v>
      </c>
      <c r="C149" s="338"/>
      <c r="D149" s="325">
        <v>1939500.5</v>
      </c>
      <c r="E149" s="339"/>
      <c r="F149" s="594">
        <v>1939500.5</v>
      </c>
    </row>
    <row r="150" spans="2:6" hidden="1">
      <c r="B150" s="763" t="s">
        <v>1145</v>
      </c>
      <c r="C150" s="338"/>
      <c r="D150" s="325">
        <v>1470233</v>
      </c>
      <c r="E150" s="339"/>
      <c r="F150" s="594">
        <v>1470233</v>
      </c>
    </row>
    <row r="151" spans="2:6" hidden="1">
      <c r="B151" s="769" t="s">
        <v>1146</v>
      </c>
      <c r="C151" s="595"/>
      <c r="D151" s="591">
        <v>3741327.1</v>
      </c>
      <c r="E151" s="595"/>
      <c r="F151" s="773">
        <v>3741327.1</v>
      </c>
    </row>
    <row r="152" spans="2:6" hidden="1">
      <c r="B152" s="812" t="s">
        <v>1147</v>
      </c>
      <c r="C152" s="338"/>
      <c r="D152" s="325">
        <v>190173.6</v>
      </c>
      <c r="E152" s="339"/>
      <c r="F152" s="594">
        <v>190173.6</v>
      </c>
    </row>
    <row r="153" spans="2:6" hidden="1">
      <c r="B153" s="763" t="s">
        <v>1148</v>
      </c>
      <c r="C153" s="338"/>
      <c r="D153" s="325">
        <v>141307</v>
      </c>
      <c r="E153" s="339"/>
      <c r="F153" s="594">
        <v>141307</v>
      </c>
    </row>
    <row r="154" spans="2:6" hidden="1">
      <c r="B154" s="812" t="s">
        <v>1149</v>
      </c>
      <c r="C154" s="338"/>
      <c r="D154" s="325">
        <v>48000</v>
      </c>
      <c r="E154" s="339"/>
      <c r="F154" s="594">
        <v>48000</v>
      </c>
    </row>
    <row r="155" spans="2:6" hidden="1">
      <c r="B155" s="763" t="s">
        <v>1150</v>
      </c>
      <c r="C155" s="338"/>
      <c r="D155" s="325">
        <v>24800</v>
      </c>
      <c r="E155" s="339"/>
      <c r="F155" s="594">
        <v>24800</v>
      </c>
    </row>
    <row r="156" spans="2:6" hidden="1">
      <c r="B156" s="763" t="s">
        <v>1151</v>
      </c>
      <c r="C156" s="338"/>
      <c r="D156" s="325">
        <v>1923984.5</v>
      </c>
      <c r="E156" s="339"/>
      <c r="F156" s="594">
        <v>1923984.5</v>
      </c>
    </row>
    <row r="157" spans="2:6" hidden="1">
      <c r="B157" s="763" t="s">
        <v>1152</v>
      </c>
      <c r="C157" s="338"/>
      <c r="D157" s="325">
        <v>1413062</v>
      </c>
      <c r="E157" s="339"/>
      <c r="F157" s="594">
        <v>1413062</v>
      </c>
    </row>
    <row r="158" spans="2:6" hidden="1">
      <c r="B158" s="769" t="s">
        <v>1153</v>
      </c>
      <c r="C158" s="595"/>
      <c r="D158" s="591">
        <v>3899012.1</v>
      </c>
      <c r="E158" s="595"/>
      <c r="F158" s="773">
        <v>3899012.1</v>
      </c>
    </row>
    <row r="159" spans="2:6" hidden="1">
      <c r="B159" s="812" t="s">
        <v>1154</v>
      </c>
      <c r="C159" s="338"/>
      <c r="D159" s="325">
        <v>190173.6</v>
      </c>
      <c r="E159" s="339"/>
      <c r="F159" s="594">
        <v>190173.6</v>
      </c>
    </row>
    <row r="160" spans="2:6" hidden="1">
      <c r="B160" s="763" t="s">
        <v>1155</v>
      </c>
      <c r="C160" s="338"/>
      <c r="D160" s="325">
        <v>148878</v>
      </c>
      <c r="E160" s="339"/>
      <c r="F160" s="594">
        <v>148878</v>
      </c>
    </row>
    <row r="161" spans="2:6" hidden="1">
      <c r="B161" s="812" t="s">
        <v>1156</v>
      </c>
      <c r="C161" s="338"/>
      <c r="D161" s="325">
        <v>48000</v>
      </c>
      <c r="E161" s="339"/>
      <c r="F161" s="594">
        <v>48000</v>
      </c>
    </row>
    <row r="162" spans="2:6" hidden="1">
      <c r="B162" s="763" t="s">
        <v>1157</v>
      </c>
      <c r="C162" s="338"/>
      <c r="D162" s="325">
        <v>99200</v>
      </c>
      <c r="E162" s="339"/>
      <c r="F162" s="594">
        <v>99200</v>
      </c>
    </row>
    <row r="163" spans="2:6" hidden="1">
      <c r="B163" s="763" t="s">
        <v>1158</v>
      </c>
      <c r="C163" s="338"/>
      <c r="D163" s="325">
        <v>1923984.5</v>
      </c>
      <c r="E163" s="339"/>
      <c r="F163" s="594">
        <v>1923984.5</v>
      </c>
    </row>
    <row r="164" spans="2:6" hidden="1">
      <c r="B164" s="763" t="s">
        <v>1159</v>
      </c>
      <c r="C164" s="338"/>
      <c r="D164" s="325">
        <v>1488776</v>
      </c>
      <c r="E164" s="339"/>
      <c r="F164" s="594">
        <v>1488776</v>
      </c>
    </row>
    <row r="165" spans="2:6" hidden="1">
      <c r="B165" s="769" t="s">
        <v>1160</v>
      </c>
      <c r="C165" s="595"/>
      <c r="D165" s="591">
        <v>29968673.379999999</v>
      </c>
      <c r="E165" s="595"/>
      <c r="F165" s="773">
        <v>29968673.379999999</v>
      </c>
    </row>
    <row r="166" spans="2:6" hidden="1">
      <c r="B166" s="763" t="s">
        <v>1161</v>
      </c>
      <c r="C166" s="338"/>
      <c r="D166" s="325">
        <v>204515</v>
      </c>
      <c r="E166" s="339"/>
      <c r="F166" s="594">
        <v>204515</v>
      </c>
    </row>
    <row r="167" spans="2:6" hidden="1">
      <c r="B167" s="812" t="s">
        <v>1162</v>
      </c>
      <c r="C167" s="338"/>
      <c r="D167" s="325">
        <v>102300.86</v>
      </c>
      <c r="E167" s="339"/>
      <c r="F167" s="594">
        <v>102300.86</v>
      </c>
    </row>
    <row r="168" spans="2:6" hidden="1">
      <c r="B168" s="765" t="s">
        <v>1163</v>
      </c>
      <c r="C168" s="338"/>
      <c r="D168" s="325">
        <v>27153.26</v>
      </c>
      <c r="E168" s="339"/>
      <c r="F168" s="594">
        <v>27153.26</v>
      </c>
    </row>
    <row r="169" spans="2:6" hidden="1">
      <c r="B169" s="812" t="s">
        <v>1164</v>
      </c>
      <c r="C169" s="338"/>
      <c r="D169" s="325">
        <v>8500</v>
      </c>
      <c r="E169" s="339"/>
      <c r="F169" s="594">
        <v>8500</v>
      </c>
    </row>
    <row r="170" spans="2:6" hidden="1">
      <c r="B170" s="763" t="s">
        <v>1165</v>
      </c>
      <c r="C170" s="338"/>
      <c r="D170" s="325">
        <v>2500</v>
      </c>
      <c r="E170" s="339"/>
      <c r="F170" s="594">
        <v>2500</v>
      </c>
    </row>
    <row r="171" spans="2:6" hidden="1">
      <c r="B171" s="763" t="s">
        <v>1166</v>
      </c>
      <c r="C171" s="338"/>
      <c r="D171" s="325">
        <v>2045174</v>
      </c>
      <c r="E171" s="339"/>
      <c r="F171" s="594">
        <v>2045174</v>
      </c>
    </row>
    <row r="172" spans="2:6" hidden="1">
      <c r="B172" s="763" t="s">
        <v>1167</v>
      </c>
      <c r="C172" s="338"/>
      <c r="D172" s="325">
        <v>302840</v>
      </c>
      <c r="E172" s="339"/>
      <c r="F172" s="594">
        <v>302840</v>
      </c>
    </row>
    <row r="173" spans="2:6" hidden="1">
      <c r="B173" s="763" t="s">
        <v>1168</v>
      </c>
      <c r="C173" s="338"/>
      <c r="D173" s="325">
        <v>34840</v>
      </c>
      <c r="E173" s="339"/>
      <c r="F173" s="594">
        <v>34840</v>
      </c>
    </row>
    <row r="174" spans="2:6" hidden="1">
      <c r="B174" s="812" t="s">
        <v>1169</v>
      </c>
      <c r="C174" s="338"/>
      <c r="D174" s="325">
        <v>26968250.260000002</v>
      </c>
      <c r="E174" s="339"/>
      <c r="F174" s="594">
        <v>26968250.260000002</v>
      </c>
    </row>
    <row r="175" spans="2:6" hidden="1">
      <c r="B175" s="812" t="s">
        <v>1170</v>
      </c>
      <c r="C175" s="338"/>
      <c r="D175" s="325">
        <v>134600</v>
      </c>
      <c r="E175" s="339"/>
      <c r="F175" s="594">
        <v>134600</v>
      </c>
    </row>
    <row r="176" spans="2:6" hidden="1">
      <c r="B176" s="763" t="s">
        <v>1171</v>
      </c>
      <c r="C176" s="338"/>
      <c r="D176" s="325">
        <v>138000</v>
      </c>
      <c r="E176" s="339"/>
      <c r="F176" s="594">
        <v>138000</v>
      </c>
    </row>
    <row r="177" spans="2:6" hidden="1">
      <c r="B177" s="769" t="s">
        <v>1172</v>
      </c>
      <c r="C177" s="595"/>
      <c r="D177" s="591">
        <v>20009840.670000002</v>
      </c>
      <c r="E177" s="595"/>
      <c r="F177" s="773">
        <v>20009840.670000002</v>
      </c>
    </row>
    <row r="178" spans="2:6" hidden="1">
      <c r="B178" s="763" t="s">
        <v>1173</v>
      </c>
      <c r="C178" s="338"/>
      <c r="D178" s="325">
        <v>136676</v>
      </c>
      <c r="E178" s="339"/>
      <c r="F178" s="594">
        <v>136676</v>
      </c>
    </row>
    <row r="179" spans="2:6" hidden="1">
      <c r="B179" s="812" t="s">
        <v>1174</v>
      </c>
      <c r="C179" s="338"/>
      <c r="D179" s="325">
        <v>68366.899999999994</v>
      </c>
      <c r="E179" s="339"/>
      <c r="F179" s="594">
        <v>68366.899999999994</v>
      </c>
    </row>
    <row r="180" spans="2:6" hidden="1">
      <c r="B180" s="765" t="s">
        <v>1175</v>
      </c>
      <c r="C180" s="338"/>
      <c r="D180" s="325">
        <v>18149.259999999998</v>
      </c>
      <c r="E180" s="339"/>
      <c r="F180" s="594">
        <v>18149.259999999998</v>
      </c>
    </row>
    <row r="181" spans="2:6" hidden="1">
      <c r="B181" s="812" t="s">
        <v>1176</v>
      </c>
      <c r="C181" s="338"/>
      <c r="D181" s="325">
        <v>8500</v>
      </c>
      <c r="E181" s="339"/>
      <c r="F181" s="594">
        <v>8500</v>
      </c>
    </row>
    <row r="182" spans="2:6" hidden="1">
      <c r="B182" s="763" t="s">
        <v>1177</v>
      </c>
      <c r="C182" s="338"/>
      <c r="D182" s="325">
        <v>2500</v>
      </c>
      <c r="E182" s="339"/>
      <c r="F182" s="594">
        <v>2500</v>
      </c>
    </row>
    <row r="183" spans="2:6" hidden="1">
      <c r="B183" s="763" t="s">
        <v>1178</v>
      </c>
      <c r="C183" s="338"/>
      <c r="D183" s="325">
        <v>1366761</v>
      </c>
      <c r="E183" s="339"/>
      <c r="F183" s="594">
        <v>1366761</v>
      </c>
    </row>
    <row r="184" spans="2:6" hidden="1">
      <c r="B184" s="763" t="s">
        <v>1179</v>
      </c>
      <c r="C184" s="338"/>
      <c r="D184" s="325">
        <v>188560</v>
      </c>
      <c r="E184" s="339"/>
      <c r="F184" s="594">
        <v>188560</v>
      </c>
    </row>
    <row r="185" spans="2:6" hidden="1">
      <c r="B185" s="763" t="s">
        <v>1180</v>
      </c>
      <c r="C185" s="338"/>
      <c r="D185" s="325">
        <v>23280</v>
      </c>
      <c r="E185" s="339"/>
      <c r="F185" s="594">
        <v>23280</v>
      </c>
    </row>
    <row r="186" spans="2:6" hidden="1">
      <c r="B186" s="812" t="s">
        <v>1181</v>
      </c>
      <c r="C186" s="338"/>
      <c r="D186" s="325">
        <v>18022647.510000002</v>
      </c>
      <c r="E186" s="339"/>
      <c r="F186" s="594">
        <v>18022647.510000002</v>
      </c>
    </row>
    <row r="187" spans="2:6" hidden="1">
      <c r="B187" s="812" t="s">
        <v>1182</v>
      </c>
      <c r="C187" s="338"/>
      <c r="D187" s="325">
        <v>82400</v>
      </c>
      <c r="E187" s="339"/>
      <c r="F187" s="594">
        <v>82400</v>
      </c>
    </row>
    <row r="188" spans="2:6" hidden="1">
      <c r="B188" s="763" t="s">
        <v>1183</v>
      </c>
      <c r="C188" s="338"/>
      <c r="D188" s="325">
        <v>92000</v>
      </c>
      <c r="E188" s="339"/>
      <c r="F188" s="594">
        <v>92000</v>
      </c>
    </row>
    <row r="189" spans="2:6" hidden="1">
      <c r="B189" s="769" t="s">
        <v>1184</v>
      </c>
      <c r="C189" s="595"/>
      <c r="D189" s="591">
        <v>21536452.048999999</v>
      </c>
      <c r="E189" s="595"/>
      <c r="F189" s="773">
        <v>21536452.048999999</v>
      </c>
    </row>
    <row r="190" spans="2:6" hidden="1">
      <c r="B190" s="812" t="s">
        <v>1185</v>
      </c>
      <c r="C190" s="338"/>
      <c r="D190" s="325">
        <v>224130</v>
      </c>
      <c r="E190" s="339"/>
      <c r="F190" s="594">
        <v>224130</v>
      </c>
    </row>
    <row r="191" spans="2:6" hidden="1">
      <c r="B191" s="763" t="s">
        <v>1186</v>
      </c>
      <c r="C191" s="338"/>
      <c r="D191" s="325">
        <v>148311</v>
      </c>
      <c r="E191" s="339"/>
      <c r="F191" s="594">
        <v>148311</v>
      </c>
    </row>
    <row r="192" spans="2:6" hidden="1">
      <c r="B192" s="812" t="s">
        <v>1187</v>
      </c>
      <c r="C192" s="338"/>
      <c r="D192" s="325">
        <v>48000</v>
      </c>
      <c r="E192" s="339"/>
      <c r="F192" s="594">
        <v>48000</v>
      </c>
    </row>
    <row r="193" spans="2:6" hidden="1">
      <c r="B193" s="765" t="s">
        <v>1188</v>
      </c>
      <c r="C193" s="338"/>
      <c r="D193" s="325">
        <v>19693.259999999998</v>
      </c>
      <c r="E193" s="339"/>
      <c r="F193" s="594">
        <v>19693.259999999998</v>
      </c>
    </row>
    <row r="194" spans="2:6" hidden="1">
      <c r="B194" s="763" t="s">
        <v>1189</v>
      </c>
      <c r="C194" s="338"/>
      <c r="D194" s="325">
        <v>1898549.52</v>
      </c>
      <c r="E194" s="339"/>
      <c r="F194" s="594">
        <v>1898549.52</v>
      </c>
    </row>
    <row r="195" spans="2:6" hidden="1">
      <c r="B195" s="763" t="s">
        <v>1190</v>
      </c>
      <c r="C195" s="338"/>
      <c r="D195" s="325">
        <v>1483154</v>
      </c>
      <c r="E195" s="339"/>
      <c r="F195" s="594">
        <v>1483154</v>
      </c>
    </row>
    <row r="196" spans="2:6" hidden="1">
      <c r="B196" s="812" t="s">
        <v>1191</v>
      </c>
      <c r="C196" s="338"/>
      <c r="D196" s="325">
        <v>17714614.269000001</v>
      </c>
      <c r="E196" s="339"/>
      <c r="F196" s="594">
        <v>17714614.269000001</v>
      </c>
    </row>
    <row r="197" spans="2:6" hidden="1">
      <c r="B197" s="769" t="s">
        <v>1192</v>
      </c>
      <c r="C197" s="595"/>
      <c r="D197" s="591">
        <v>19050628.083999999</v>
      </c>
      <c r="E197" s="595"/>
      <c r="F197" s="773">
        <v>19050628.083999999</v>
      </c>
    </row>
    <row r="198" spans="2:6" hidden="1">
      <c r="B198" s="812" t="s">
        <v>1193</v>
      </c>
      <c r="C198" s="338"/>
      <c r="D198" s="325">
        <v>198184</v>
      </c>
      <c r="E198" s="339"/>
      <c r="F198" s="594">
        <v>198184</v>
      </c>
    </row>
    <row r="199" spans="2:6" hidden="1">
      <c r="B199" s="763" t="s">
        <v>1194</v>
      </c>
      <c r="C199" s="338"/>
      <c r="D199" s="325">
        <v>131198</v>
      </c>
      <c r="E199" s="339"/>
      <c r="F199" s="594">
        <v>131198</v>
      </c>
    </row>
    <row r="200" spans="2:6" hidden="1">
      <c r="B200" s="812" t="s">
        <v>1195</v>
      </c>
      <c r="C200" s="338"/>
      <c r="D200" s="325">
        <v>42000</v>
      </c>
      <c r="E200" s="339"/>
      <c r="F200" s="594">
        <v>42000</v>
      </c>
    </row>
    <row r="201" spans="2:6" hidden="1">
      <c r="B201" s="765" t="s">
        <v>1196</v>
      </c>
      <c r="C201" s="338"/>
      <c r="D201" s="325">
        <v>17422.259999999998</v>
      </c>
      <c r="E201" s="339"/>
      <c r="F201" s="594">
        <v>17422.259999999998</v>
      </c>
    </row>
    <row r="202" spans="2:6" hidden="1">
      <c r="B202" s="763" t="s">
        <v>1197</v>
      </c>
      <c r="C202" s="338"/>
      <c r="D202" s="325">
        <v>1661230</v>
      </c>
      <c r="E202" s="339"/>
      <c r="F202" s="594">
        <v>1661230</v>
      </c>
    </row>
    <row r="203" spans="2:6" hidden="1">
      <c r="B203" s="763" t="s">
        <v>1198</v>
      </c>
      <c r="C203" s="338"/>
      <c r="D203" s="325">
        <v>1311983</v>
      </c>
      <c r="E203" s="339"/>
      <c r="F203" s="594">
        <v>1311983</v>
      </c>
    </row>
    <row r="204" spans="2:6" hidden="1">
      <c r="B204" s="812" t="s">
        <v>1199</v>
      </c>
      <c r="C204" s="338"/>
      <c r="D204" s="325">
        <v>15688610.823999999</v>
      </c>
      <c r="E204" s="339"/>
      <c r="F204" s="594">
        <v>15688610.823999999</v>
      </c>
    </row>
    <row r="205" spans="2:6" hidden="1">
      <c r="B205" s="769" t="s">
        <v>1200</v>
      </c>
      <c r="C205" s="595"/>
      <c r="D205" s="591">
        <v>10200608.491</v>
      </c>
      <c r="E205" s="595"/>
      <c r="F205" s="773">
        <v>10200608.491</v>
      </c>
    </row>
    <row r="206" spans="2:6" hidden="1">
      <c r="B206" s="812" t="s">
        <v>1201</v>
      </c>
      <c r="C206" s="338"/>
      <c r="D206" s="325">
        <v>105903</v>
      </c>
      <c r="E206" s="339"/>
      <c r="F206" s="594">
        <v>105903</v>
      </c>
    </row>
    <row r="207" spans="2:6" hidden="1">
      <c r="B207" s="763" t="s">
        <v>1202</v>
      </c>
      <c r="C207" s="338"/>
      <c r="D207" s="325">
        <v>70233</v>
      </c>
      <c r="E207" s="339"/>
      <c r="F207" s="594">
        <v>70233</v>
      </c>
    </row>
    <row r="208" spans="2:6" hidden="1">
      <c r="B208" s="812" t="s">
        <v>1203</v>
      </c>
      <c r="C208" s="338"/>
      <c r="D208" s="325">
        <v>24000</v>
      </c>
      <c r="E208" s="339"/>
      <c r="F208" s="594">
        <v>24000</v>
      </c>
    </row>
    <row r="209" spans="2:6" hidden="1">
      <c r="B209" s="765" t="s">
        <v>1204</v>
      </c>
      <c r="C209" s="338"/>
      <c r="D209" s="325">
        <v>9330.26</v>
      </c>
      <c r="E209" s="339"/>
      <c r="F209" s="594">
        <v>9330.26</v>
      </c>
    </row>
    <row r="210" spans="2:6" hidden="1">
      <c r="B210" s="763" t="s">
        <v>1205</v>
      </c>
      <c r="C210" s="338"/>
      <c r="D210" s="325">
        <v>951271.2</v>
      </c>
      <c r="E210" s="339"/>
      <c r="F210" s="594">
        <v>951271.2</v>
      </c>
    </row>
    <row r="211" spans="2:6" hidden="1">
      <c r="B211" s="763" t="s">
        <v>1206</v>
      </c>
      <c r="C211" s="338"/>
      <c r="D211" s="325">
        <v>702370</v>
      </c>
      <c r="E211" s="339"/>
      <c r="F211" s="594">
        <v>702370</v>
      </c>
    </row>
    <row r="212" spans="2:6" hidden="1">
      <c r="B212" s="812" t="s">
        <v>1207</v>
      </c>
      <c r="C212" s="338"/>
      <c r="D212" s="325">
        <v>8337501.0310000004</v>
      </c>
      <c r="E212" s="339"/>
      <c r="F212" s="594">
        <v>8337501.0310000004</v>
      </c>
    </row>
    <row r="213" spans="2:6" hidden="1">
      <c r="B213" s="769" t="s">
        <v>1208</v>
      </c>
      <c r="C213" s="595"/>
      <c r="D213" s="591">
        <v>25278240.357000001</v>
      </c>
      <c r="E213" s="595"/>
      <c r="F213" s="773">
        <v>25278240.357000001</v>
      </c>
    </row>
    <row r="214" spans="2:6" hidden="1">
      <c r="B214" s="763" t="s">
        <v>1209</v>
      </c>
      <c r="C214" s="338"/>
      <c r="D214" s="325">
        <v>173006</v>
      </c>
      <c r="E214" s="339"/>
      <c r="F214" s="594">
        <v>173006</v>
      </c>
    </row>
    <row r="215" spans="2:6" hidden="1">
      <c r="B215" s="812" t="s">
        <v>1210</v>
      </c>
      <c r="C215" s="338"/>
      <c r="D215" s="325">
        <v>216525</v>
      </c>
      <c r="E215" s="339"/>
      <c r="F215" s="594">
        <v>216525</v>
      </c>
    </row>
    <row r="216" spans="2:6" hidden="1">
      <c r="B216" s="763" t="s">
        <v>1211</v>
      </c>
      <c r="C216" s="338"/>
      <c r="D216" s="325">
        <v>8095</v>
      </c>
      <c r="E216" s="339"/>
      <c r="F216" s="594">
        <v>8095</v>
      </c>
    </row>
    <row r="217" spans="2:6" hidden="1">
      <c r="B217" s="765" t="s">
        <v>1212</v>
      </c>
      <c r="C217" s="338"/>
      <c r="D217" s="325">
        <v>22621.26</v>
      </c>
      <c r="E217" s="339"/>
      <c r="F217" s="594">
        <v>22621.26</v>
      </c>
    </row>
    <row r="218" spans="2:6" hidden="1">
      <c r="B218" s="812" t="s">
        <v>1213</v>
      </c>
      <c r="C218" s="338"/>
      <c r="D218" s="325">
        <v>8500</v>
      </c>
      <c r="E218" s="339"/>
      <c r="F218" s="594">
        <v>8500</v>
      </c>
    </row>
    <row r="219" spans="2:6" hidden="1">
      <c r="B219" s="763" t="s">
        <v>1214</v>
      </c>
      <c r="C219" s="338"/>
      <c r="D219" s="325">
        <v>2500</v>
      </c>
      <c r="E219" s="339"/>
      <c r="F219" s="594">
        <v>2500</v>
      </c>
    </row>
    <row r="220" spans="2:6" hidden="1">
      <c r="B220" s="763" t="s">
        <v>1215</v>
      </c>
      <c r="C220" s="338"/>
      <c r="D220" s="325">
        <v>1730061</v>
      </c>
      <c r="E220" s="339"/>
      <c r="F220" s="594">
        <v>1730061</v>
      </c>
    </row>
    <row r="221" spans="2:6" hidden="1">
      <c r="B221" s="812" t="s">
        <v>1216</v>
      </c>
      <c r="C221" s="338"/>
      <c r="D221" s="325">
        <v>14752</v>
      </c>
      <c r="E221" s="339"/>
      <c r="F221" s="594">
        <v>14752</v>
      </c>
    </row>
    <row r="222" spans="2:6" hidden="1">
      <c r="B222" s="763" t="s">
        <v>1217</v>
      </c>
      <c r="C222" s="338"/>
      <c r="D222" s="325">
        <v>153000</v>
      </c>
      <c r="E222" s="339"/>
      <c r="F222" s="594">
        <v>153000</v>
      </c>
    </row>
    <row r="223" spans="2:6" hidden="1">
      <c r="B223" s="763" t="s">
        <v>1218</v>
      </c>
      <c r="C223" s="338"/>
      <c r="D223" s="325">
        <v>29470</v>
      </c>
      <c r="E223" s="339"/>
      <c r="F223" s="594">
        <v>29470</v>
      </c>
    </row>
    <row r="224" spans="2:6" hidden="1">
      <c r="B224" s="812" t="s">
        <v>1219</v>
      </c>
      <c r="C224" s="338"/>
      <c r="D224" s="325">
        <v>22844410.096999999</v>
      </c>
      <c r="E224" s="339"/>
      <c r="F224" s="594">
        <v>22844410.096999999</v>
      </c>
    </row>
    <row r="225" spans="2:6" hidden="1">
      <c r="B225" s="763" t="s">
        <v>1220</v>
      </c>
      <c r="C225" s="338"/>
      <c r="D225" s="325">
        <v>75300</v>
      </c>
      <c r="E225" s="339"/>
      <c r="F225" s="594">
        <v>75300</v>
      </c>
    </row>
    <row r="226" spans="2:6" hidden="1">
      <c r="B226" s="769" t="s">
        <v>1221</v>
      </c>
      <c r="C226" s="595"/>
      <c r="D226" s="591">
        <v>28129875.372000001</v>
      </c>
      <c r="E226" s="591">
        <v>20000</v>
      </c>
      <c r="F226" s="773">
        <v>28109875.372000001</v>
      </c>
    </row>
    <row r="227" spans="2:6" hidden="1">
      <c r="B227" s="765" t="s">
        <v>1222</v>
      </c>
      <c r="C227" s="338"/>
      <c r="D227" s="325">
        <v>192250</v>
      </c>
      <c r="E227" s="339"/>
      <c r="F227" s="594">
        <v>192250</v>
      </c>
    </row>
    <row r="228" spans="2:6" hidden="1">
      <c r="B228" s="812" t="s">
        <v>1223</v>
      </c>
      <c r="C228" s="338"/>
      <c r="D228" s="325">
        <v>160683.88</v>
      </c>
      <c r="E228" s="325">
        <v>20000</v>
      </c>
      <c r="F228" s="594">
        <v>140683.88</v>
      </c>
    </row>
    <row r="229" spans="2:6" hidden="1">
      <c r="B229" s="812" t="s">
        <v>1224</v>
      </c>
      <c r="C229" s="338"/>
      <c r="D229" s="325">
        <v>8500</v>
      </c>
      <c r="E229" s="339"/>
      <c r="F229" s="594">
        <v>8500</v>
      </c>
    </row>
    <row r="230" spans="2:6" hidden="1">
      <c r="B230" s="763" t="s">
        <v>1225</v>
      </c>
      <c r="C230" s="338"/>
      <c r="D230" s="325">
        <v>2500</v>
      </c>
      <c r="E230" s="339"/>
      <c r="F230" s="594">
        <v>2500</v>
      </c>
    </row>
    <row r="231" spans="2:6" hidden="1">
      <c r="B231" s="763" t="s">
        <v>1226</v>
      </c>
      <c r="C231" s="338"/>
      <c r="D231" s="325">
        <v>1922510</v>
      </c>
      <c r="E231" s="339"/>
      <c r="F231" s="594">
        <v>1922510</v>
      </c>
    </row>
    <row r="232" spans="2:6" hidden="1">
      <c r="B232" s="812" t="s">
        <v>1227</v>
      </c>
      <c r="C232" s="338"/>
      <c r="D232" s="325">
        <v>19552</v>
      </c>
      <c r="E232" s="339"/>
      <c r="F232" s="594">
        <v>19552</v>
      </c>
    </row>
    <row r="233" spans="2:6" hidden="1">
      <c r="B233" s="763" t="s">
        <v>1228</v>
      </c>
      <c r="C233" s="338"/>
      <c r="D233" s="325">
        <v>175000</v>
      </c>
      <c r="E233" s="339"/>
      <c r="F233" s="594">
        <v>175000</v>
      </c>
    </row>
    <row r="234" spans="2:6" hidden="1">
      <c r="B234" s="763" t="s">
        <v>1229</v>
      </c>
      <c r="C234" s="338"/>
      <c r="D234" s="325">
        <v>32750</v>
      </c>
      <c r="E234" s="339"/>
      <c r="F234" s="594">
        <v>32750</v>
      </c>
    </row>
    <row r="235" spans="2:6" hidden="1">
      <c r="B235" s="812" t="s">
        <v>1230</v>
      </c>
      <c r="C235" s="338"/>
      <c r="D235" s="325">
        <v>25532129.491999999</v>
      </c>
      <c r="E235" s="339"/>
      <c r="F235" s="594">
        <v>25532129.491999999</v>
      </c>
    </row>
    <row r="236" spans="2:6" hidden="1">
      <c r="B236" s="763" t="s">
        <v>1231</v>
      </c>
      <c r="C236" s="338"/>
      <c r="D236" s="325">
        <v>84000</v>
      </c>
      <c r="E236" s="339"/>
      <c r="F236" s="594">
        <v>84000</v>
      </c>
    </row>
    <row r="237" spans="2:6" hidden="1">
      <c r="B237" s="769" t="s">
        <v>1232</v>
      </c>
      <c r="C237" s="595"/>
      <c r="D237" s="591">
        <v>21598534.756000001</v>
      </c>
      <c r="E237" s="595"/>
      <c r="F237" s="773">
        <v>21598534.756000001</v>
      </c>
    </row>
    <row r="238" spans="2:6" hidden="1">
      <c r="B238" s="763" t="s">
        <v>1233</v>
      </c>
      <c r="C238" s="338"/>
      <c r="D238" s="325">
        <v>147561</v>
      </c>
      <c r="E238" s="339"/>
      <c r="F238" s="594">
        <v>147561</v>
      </c>
    </row>
    <row r="239" spans="2:6" hidden="1">
      <c r="B239" s="812" t="s">
        <v>1234</v>
      </c>
      <c r="C239" s="338"/>
      <c r="D239" s="325">
        <v>118000</v>
      </c>
      <c r="E239" s="339"/>
      <c r="F239" s="594">
        <v>118000</v>
      </c>
    </row>
    <row r="240" spans="2:6" hidden="1">
      <c r="B240" s="763" t="s">
        <v>1235</v>
      </c>
      <c r="C240" s="338"/>
      <c r="D240" s="325">
        <v>11707.78</v>
      </c>
      <c r="E240" s="339"/>
      <c r="F240" s="594">
        <v>11707.78</v>
      </c>
    </row>
    <row r="241" spans="2:6" hidden="1">
      <c r="B241" s="765" t="s">
        <v>1236</v>
      </c>
      <c r="C241" s="338"/>
      <c r="D241" s="325">
        <v>45379.26</v>
      </c>
      <c r="E241" s="339"/>
      <c r="F241" s="594">
        <v>45379.26</v>
      </c>
    </row>
    <row r="242" spans="2:6" hidden="1">
      <c r="B242" s="812" t="s">
        <v>1237</v>
      </c>
      <c r="C242" s="338"/>
      <c r="D242" s="325">
        <v>8500</v>
      </c>
      <c r="E242" s="339"/>
      <c r="F242" s="594">
        <v>8500</v>
      </c>
    </row>
    <row r="243" spans="2:6" hidden="1">
      <c r="B243" s="763" t="s">
        <v>1238</v>
      </c>
      <c r="C243" s="338"/>
      <c r="D243" s="325">
        <v>2500</v>
      </c>
      <c r="E243" s="339"/>
      <c r="F243" s="594">
        <v>2500</v>
      </c>
    </row>
    <row r="244" spans="2:6" hidden="1">
      <c r="B244" s="763" t="s">
        <v>1239</v>
      </c>
      <c r="C244" s="338"/>
      <c r="D244" s="325">
        <v>1475663</v>
      </c>
      <c r="E244" s="339"/>
      <c r="F244" s="594">
        <v>1475663</v>
      </c>
    </row>
    <row r="245" spans="2:6" hidden="1">
      <c r="B245" s="763" t="s">
        <v>1240</v>
      </c>
      <c r="C245" s="338"/>
      <c r="D245" s="325">
        <v>140000</v>
      </c>
      <c r="E245" s="339"/>
      <c r="F245" s="594">
        <v>140000</v>
      </c>
    </row>
    <row r="246" spans="2:6" hidden="1">
      <c r="B246" s="812" t="s">
        <v>1241</v>
      </c>
      <c r="C246" s="338"/>
      <c r="D246" s="325">
        <v>19597223.715999998</v>
      </c>
      <c r="E246" s="339"/>
      <c r="F246" s="594">
        <v>19597223.715999998</v>
      </c>
    </row>
    <row r="247" spans="2:6" hidden="1">
      <c r="B247" s="812" t="s">
        <v>1242</v>
      </c>
      <c r="C247" s="338"/>
      <c r="D247" s="325">
        <v>52000</v>
      </c>
      <c r="E247" s="339"/>
      <c r="F247" s="594">
        <v>52000</v>
      </c>
    </row>
    <row r="248" spans="2:6" hidden="1">
      <c r="B248" s="769" t="s">
        <v>1243</v>
      </c>
      <c r="C248" s="595"/>
      <c r="D248" s="591">
        <v>16926747.688000001</v>
      </c>
      <c r="E248" s="595"/>
      <c r="F248" s="773">
        <v>16926747.688000001</v>
      </c>
    </row>
    <row r="249" spans="2:6" hidden="1">
      <c r="B249" s="763" t="s">
        <v>1244</v>
      </c>
      <c r="C249" s="338"/>
      <c r="D249" s="325">
        <v>242017</v>
      </c>
      <c r="E249" s="339"/>
      <c r="F249" s="594">
        <v>242017</v>
      </c>
    </row>
    <row r="250" spans="2:6" hidden="1">
      <c r="B250" s="812" t="s">
        <v>1245</v>
      </c>
      <c r="C250" s="338"/>
      <c r="D250" s="325">
        <v>88500</v>
      </c>
      <c r="E250" s="339"/>
      <c r="F250" s="594">
        <v>88500</v>
      </c>
    </row>
    <row r="251" spans="2:6" hidden="1">
      <c r="B251" s="763" t="s">
        <v>1246</v>
      </c>
      <c r="C251" s="338"/>
      <c r="D251" s="325">
        <v>11707.78</v>
      </c>
      <c r="E251" s="339"/>
      <c r="F251" s="594">
        <v>11707.78</v>
      </c>
    </row>
    <row r="252" spans="2:6" hidden="1">
      <c r="B252" s="765" t="s">
        <v>1247</v>
      </c>
      <c r="C252" s="338"/>
      <c r="D252" s="325">
        <v>15460.26</v>
      </c>
      <c r="E252" s="339"/>
      <c r="F252" s="594">
        <v>15460.26</v>
      </c>
    </row>
    <row r="253" spans="2:6" hidden="1">
      <c r="B253" s="812" t="s">
        <v>1248</v>
      </c>
      <c r="C253" s="338"/>
      <c r="D253" s="325">
        <v>8500</v>
      </c>
      <c r="E253" s="339"/>
      <c r="F253" s="594">
        <v>8500</v>
      </c>
    </row>
    <row r="254" spans="2:6" hidden="1">
      <c r="B254" s="763" t="s">
        <v>1249</v>
      </c>
      <c r="C254" s="338"/>
      <c r="D254" s="325">
        <v>2500</v>
      </c>
      <c r="E254" s="339"/>
      <c r="F254" s="594">
        <v>2500</v>
      </c>
    </row>
    <row r="255" spans="2:6" hidden="1">
      <c r="B255" s="763" t="s">
        <v>1250</v>
      </c>
      <c r="C255" s="338"/>
      <c r="D255" s="325">
        <v>993491</v>
      </c>
      <c r="E255" s="339"/>
      <c r="F255" s="594">
        <v>993491</v>
      </c>
    </row>
    <row r="256" spans="2:6" hidden="1">
      <c r="B256" s="763" t="s">
        <v>1251</v>
      </c>
      <c r="C256" s="338"/>
      <c r="D256" s="325">
        <v>43996</v>
      </c>
      <c r="E256" s="339"/>
      <c r="F256" s="594">
        <v>43996</v>
      </c>
    </row>
    <row r="257" spans="2:6" hidden="1">
      <c r="B257" s="763" t="s">
        <v>1252</v>
      </c>
      <c r="C257" s="338"/>
      <c r="D257" s="325">
        <v>105000</v>
      </c>
      <c r="E257" s="339"/>
      <c r="F257" s="594">
        <v>105000</v>
      </c>
    </row>
    <row r="258" spans="2:6" hidden="1">
      <c r="B258" s="812" t="s">
        <v>1253</v>
      </c>
      <c r="C258" s="338"/>
      <c r="D258" s="325">
        <v>15376575.648</v>
      </c>
      <c r="E258" s="339"/>
      <c r="F258" s="594">
        <v>15376575.648</v>
      </c>
    </row>
    <row r="259" spans="2:6" hidden="1">
      <c r="B259" s="812" t="s">
        <v>1254</v>
      </c>
      <c r="C259" s="338"/>
      <c r="D259" s="325">
        <v>39000</v>
      </c>
      <c r="E259" s="339"/>
      <c r="F259" s="594">
        <v>39000</v>
      </c>
    </row>
    <row r="260" spans="2:6" hidden="1">
      <c r="B260" s="769" t="s">
        <v>1255</v>
      </c>
      <c r="C260" s="595"/>
      <c r="D260" s="591">
        <v>20673537.32</v>
      </c>
      <c r="E260" s="595"/>
      <c r="F260" s="773">
        <v>20673537.32</v>
      </c>
    </row>
    <row r="261" spans="2:6" hidden="1">
      <c r="B261" s="763" t="s">
        <v>1256</v>
      </c>
      <c r="C261" s="338"/>
      <c r="D261" s="325">
        <v>164984</v>
      </c>
      <c r="E261" s="339"/>
      <c r="F261" s="594">
        <v>164984</v>
      </c>
    </row>
    <row r="262" spans="2:6" hidden="1">
      <c r="B262" s="812" t="s">
        <v>1257</v>
      </c>
      <c r="C262" s="338"/>
      <c r="D262" s="325">
        <v>58431</v>
      </c>
      <c r="E262" s="339"/>
      <c r="F262" s="594">
        <v>58431</v>
      </c>
    </row>
    <row r="263" spans="2:6" hidden="1">
      <c r="B263" s="765" t="s">
        <v>1258</v>
      </c>
      <c r="C263" s="338"/>
      <c r="D263" s="325">
        <v>18956.259999999998</v>
      </c>
      <c r="E263" s="339"/>
      <c r="F263" s="594">
        <v>18956.259999999998</v>
      </c>
    </row>
    <row r="264" spans="2:6" hidden="1">
      <c r="B264" s="763" t="s">
        <v>1259</v>
      </c>
      <c r="C264" s="338"/>
      <c r="D264" s="325">
        <v>1405341.06</v>
      </c>
      <c r="E264" s="339"/>
      <c r="F264" s="594">
        <v>1405341.06</v>
      </c>
    </row>
    <row r="265" spans="2:6" hidden="1">
      <c r="B265" s="763" t="s">
        <v>1260</v>
      </c>
      <c r="C265" s="338"/>
      <c r="D265" s="325">
        <v>116000</v>
      </c>
      <c r="E265" s="339"/>
      <c r="F265" s="594">
        <v>116000</v>
      </c>
    </row>
    <row r="266" spans="2:6" hidden="1">
      <c r="B266" s="812" t="s">
        <v>1261</v>
      </c>
      <c r="C266" s="338"/>
      <c r="D266" s="325">
        <v>18849425</v>
      </c>
      <c r="E266" s="339"/>
      <c r="F266" s="594">
        <v>18849425</v>
      </c>
    </row>
    <row r="267" spans="2:6" hidden="1">
      <c r="B267" s="812" t="s">
        <v>1262</v>
      </c>
      <c r="C267" s="338"/>
      <c r="D267" s="325">
        <v>60400</v>
      </c>
      <c r="E267" s="339"/>
      <c r="F267" s="594">
        <v>60400</v>
      </c>
    </row>
    <row r="268" spans="2:6" hidden="1">
      <c r="B268" s="769" t="s">
        <v>1263</v>
      </c>
      <c r="C268" s="595"/>
      <c r="D268" s="591">
        <v>14870491.208000001</v>
      </c>
      <c r="E268" s="595"/>
      <c r="F268" s="773">
        <v>14870491.208000001</v>
      </c>
    </row>
    <row r="269" spans="2:6" hidden="1">
      <c r="B269" s="763" t="s">
        <v>1264</v>
      </c>
      <c r="C269" s="338"/>
      <c r="D269" s="325">
        <v>316501</v>
      </c>
      <c r="E269" s="339"/>
      <c r="F269" s="594">
        <v>316501</v>
      </c>
    </row>
    <row r="270" spans="2:6" hidden="1">
      <c r="B270" s="812" t="s">
        <v>1265</v>
      </c>
      <c r="C270" s="338"/>
      <c r="D270" s="325">
        <v>81699.92</v>
      </c>
      <c r="E270" s="339"/>
      <c r="F270" s="594">
        <v>81699.92</v>
      </c>
    </row>
    <row r="271" spans="2:6" hidden="1">
      <c r="B271" s="812" t="s">
        <v>1266</v>
      </c>
      <c r="C271" s="338"/>
      <c r="D271" s="325">
        <v>8500</v>
      </c>
      <c r="E271" s="339"/>
      <c r="F271" s="594">
        <v>8500</v>
      </c>
    </row>
    <row r="272" spans="2:6" hidden="1">
      <c r="B272" s="763" t="s">
        <v>1267</v>
      </c>
      <c r="C272" s="338"/>
      <c r="D272" s="325">
        <v>2500</v>
      </c>
      <c r="E272" s="339"/>
      <c r="F272" s="594">
        <v>2500</v>
      </c>
    </row>
    <row r="273" spans="2:6" hidden="1">
      <c r="B273" s="763" t="s">
        <v>1268</v>
      </c>
      <c r="C273" s="338"/>
      <c r="D273" s="325">
        <v>727131</v>
      </c>
      <c r="E273" s="339"/>
      <c r="F273" s="594">
        <v>727131</v>
      </c>
    </row>
    <row r="274" spans="2:6" hidden="1">
      <c r="B274" s="812" t="s">
        <v>1269</v>
      </c>
      <c r="C274" s="338"/>
      <c r="D274" s="325">
        <v>12529</v>
      </c>
      <c r="E274" s="339"/>
      <c r="F274" s="594">
        <v>12529</v>
      </c>
    </row>
    <row r="275" spans="2:6" hidden="1">
      <c r="B275" s="763" t="s">
        <v>1270</v>
      </c>
      <c r="C275" s="338"/>
      <c r="D275" s="325">
        <v>102000</v>
      </c>
      <c r="E275" s="339"/>
      <c r="F275" s="594">
        <v>102000</v>
      </c>
    </row>
    <row r="276" spans="2:6" hidden="1">
      <c r="B276" s="763" t="s">
        <v>1271</v>
      </c>
      <c r="C276" s="338"/>
      <c r="D276" s="325">
        <v>17450</v>
      </c>
      <c r="E276" s="339"/>
      <c r="F276" s="594">
        <v>17450</v>
      </c>
    </row>
    <row r="277" spans="2:6" hidden="1">
      <c r="B277" s="812" t="s">
        <v>1272</v>
      </c>
      <c r="C277" s="338"/>
      <c r="D277" s="325">
        <v>13546992.288000001</v>
      </c>
      <c r="E277" s="339"/>
      <c r="F277" s="594">
        <v>13546992.288000001</v>
      </c>
    </row>
    <row r="278" spans="2:6" hidden="1">
      <c r="B278" s="763" t="s">
        <v>1273</v>
      </c>
      <c r="C278" s="338"/>
      <c r="D278" s="325">
        <v>55188</v>
      </c>
      <c r="E278" s="339"/>
      <c r="F278" s="594">
        <v>55188</v>
      </c>
    </row>
    <row r="279" spans="2:6" hidden="1">
      <c r="B279" s="769" t="s">
        <v>1274</v>
      </c>
      <c r="C279" s="595"/>
      <c r="D279" s="591">
        <v>10720604.113</v>
      </c>
      <c r="E279" s="595"/>
      <c r="F279" s="773">
        <v>10720604.113</v>
      </c>
    </row>
    <row r="280" spans="2:6" hidden="1">
      <c r="B280" s="763" t="s">
        <v>1275</v>
      </c>
      <c r="C280" s="338"/>
      <c r="D280" s="325">
        <v>72713</v>
      </c>
      <c r="E280" s="339"/>
      <c r="F280" s="594">
        <v>72713</v>
      </c>
    </row>
    <row r="281" spans="2:6" hidden="1">
      <c r="B281" s="812" t="s">
        <v>1276</v>
      </c>
      <c r="C281" s="338"/>
      <c r="D281" s="325">
        <v>73800</v>
      </c>
      <c r="E281" s="339"/>
      <c r="F281" s="594">
        <v>73800</v>
      </c>
    </row>
    <row r="282" spans="2:6" hidden="1">
      <c r="B282" s="812" t="s">
        <v>1277</v>
      </c>
      <c r="C282" s="338"/>
      <c r="D282" s="325">
        <v>7500</v>
      </c>
      <c r="E282" s="339"/>
      <c r="F282" s="594">
        <v>7500</v>
      </c>
    </row>
    <row r="283" spans="2:6" hidden="1">
      <c r="B283" s="763" t="s">
        <v>1278</v>
      </c>
      <c r="C283" s="338"/>
      <c r="D283" s="325">
        <v>809828</v>
      </c>
      <c r="E283" s="339"/>
      <c r="F283" s="594">
        <v>809828</v>
      </c>
    </row>
    <row r="284" spans="2:6" hidden="1">
      <c r="B284" s="763" t="s">
        <v>1279</v>
      </c>
      <c r="C284" s="338"/>
      <c r="D284" s="325">
        <v>4610</v>
      </c>
      <c r="E284" s="339"/>
      <c r="F284" s="594">
        <v>4610</v>
      </c>
    </row>
    <row r="285" spans="2:6" hidden="1">
      <c r="B285" s="763" t="s">
        <v>1280</v>
      </c>
      <c r="C285" s="338"/>
      <c r="D285" s="325">
        <v>73737</v>
      </c>
      <c r="E285" s="339"/>
      <c r="F285" s="594">
        <v>73737</v>
      </c>
    </row>
    <row r="286" spans="2:6" hidden="1">
      <c r="B286" s="812" t="s">
        <v>1281</v>
      </c>
      <c r="C286" s="338"/>
      <c r="D286" s="325">
        <v>9636141.1129999999</v>
      </c>
      <c r="E286" s="339"/>
      <c r="F286" s="594">
        <v>9636141.1129999999</v>
      </c>
    </row>
    <row r="287" spans="2:6" hidden="1">
      <c r="B287" s="812" t="s">
        <v>1282</v>
      </c>
      <c r="C287" s="338"/>
      <c r="D287" s="325">
        <v>42275</v>
      </c>
      <c r="E287" s="339"/>
      <c r="F287" s="594">
        <v>42275</v>
      </c>
    </row>
    <row r="288" spans="2:6" hidden="1">
      <c r="B288" s="769" t="s">
        <v>1283</v>
      </c>
      <c r="C288" s="595"/>
      <c r="D288" s="591">
        <v>22102049.737</v>
      </c>
      <c r="E288" s="595"/>
      <c r="F288" s="773">
        <v>22102049.737</v>
      </c>
    </row>
    <row r="289" spans="2:6" hidden="1">
      <c r="B289" s="763" t="s">
        <v>1284</v>
      </c>
      <c r="C289" s="338"/>
      <c r="D289" s="325">
        <v>518201</v>
      </c>
      <c r="E289" s="339"/>
      <c r="F289" s="594">
        <v>518201</v>
      </c>
    </row>
    <row r="290" spans="2:6" hidden="1">
      <c r="B290" s="765" t="s">
        <v>1285</v>
      </c>
      <c r="C290" s="338"/>
      <c r="D290" s="325">
        <v>20281.259999999998</v>
      </c>
      <c r="E290" s="339"/>
      <c r="F290" s="594">
        <v>20281.259999999998</v>
      </c>
    </row>
    <row r="291" spans="2:6" hidden="1">
      <c r="B291" s="763" t="s">
        <v>1286</v>
      </c>
      <c r="C291" s="338"/>
      <c r="D291" s="325">
        <v>1153311</v>
      </c>
      <c r="E291" s="339"/>
      <c r="F291" s="594">
        <v>1153311</v>
      </c>
    </row>
    <row r="292" spans="2:6" hidden="1">
      <c r="B292" s="763" t="s">
        <v>1287</v>
      </c>
      <c r="C292" s="338"/>
      <c r="D292" s="325">
        <v>147000</v>
      </c>
      <c r="E292" s="339"/>
      <c r="F292" s="594">
        <v>147000</v>
      </c>
    </row>
    <row r="293" spans="2:6" hidden="1">
      <c r="B293" s="812" t="s">
        <v>1288</v>
      </c>
      <c r="C293" s="338"/>
      <c r="D293" s="325">
        <v>20263256.477000002</v>
      </c>
      <c r="E293" s="339"/>
      <c r="F293" s="594">
        <v>20263256.477000002</v>
      </c>
    </row>
    <row r="294" spans="2:6" hidden="1">
      <c r="B294" s="769" t="s">
        <v>1289</v>
      </c>
      <c r="C294" s="595"/>
      <c r="D294" s="591">
        <v>13528988.914000001</v>
      </c>
      <c r="E294" s="595"/>
      <c r="F294" s="773">
        <v>13528988.914000001</v>
      </c>
    </row>
    <row r="295" spans="2:6" hidden="1">
      <c r="B295" s="765" t="s">
        <v>1290</v>
      </c>
      <c r="C295" s="338"/>
      <c r="D295" s="325">
        <v>12621.26</v>
      </c>
      <c r="E295" s="339"/>
      <c r="F295" s="594">
        <v>12621.26</v>
      </c>
    </row>
    <row r="296" spans="2:6" hidden="1">
      <c r="B296" s="763" t="s">
        <v>1291</v>
      </c>
      <c r="C296" s="338"/>
      <c r="D296" s="325">
        <v>935210</v>
      </c>
      <c r="E296" s="339"/>
      <c r="F296" s="594">
        <v>935210</v>
      </c>
    </row>
    <row r="297" spans="2:6" hidden="1">
      <c r="B297" s="812" t="s">
        <v>1292</v>
      </c>
      <c r="C297" s="338"/>
      <c r="D297" s="325">
        <v>12581157.653999999</v>
      </c>
      <c r="E297" s="339"/>
      <c r="F297" s="594">
        <v>12581157.653999999</v>
      </c>
    </row>
    <row r="298" spans="2:6" hidden="1">
      <c r="B298" s="769" t="s">
        <v>1293</v>
      </c>
      <c r="C298" s="595"/>
      <c r="D298" s="591">
        <v>23888014.675999999</v>
      </c>
      <c r="E298" s="595"/>
      <c r="F298" s="773">
        <v>23888014.675999999</v>
      </c>
    </row>
    <row r="299" spans="2:6" hidden="1">
      <c r="B299" s="812" t="s">
        <v>1294</v>
      </c>
      <c r="C299" s="338"/>
      <c r="D299" s="325">
        <v>23888014.675999999</v>
      </c>
      <c r="E299" s="339"/>
      <c r="F299" s="594">
        <v>23888014.675999999</v>
      </c>
    </row>
    <row r="300" spans="2:6" hidden="1">
      <c r="B300" s="810" t="s">
        <v>1051</v>
      </c>
      <c r="C300" s="595"/>
      <c r="D300" s="591">
        <v>439320.6</v>
      </c>
      <c r="E300" s="595"/>
      <c r="F300" s="773">
        <v>439320.6</v>
      </c>
    </row>
    <row r="301" spans="2:6" hidden="1">
      <c r="B301" s="763" t="s">
        <v>1052</v>
      </c>
      <c r="C301" s="338"/>
      <c r="D301" s="325">
        <v>439320.6</v>
      </c>
      <c r="E301" s="339"/>
      <c r="F301" s="594">
        <v>439320.6</v>
      </c>
    </row>
    <row r="302" spans="2:6" hidden="1">
      <c r="B302" s="764" t="s">
        <v>1295</v>
      </c>
      <c r="C302" s="339"/>
      <c r="D302" s="323">
        <v>5815046</v>
      </c>
      <c r="E302" s="338"/>
      <c r="F302" s="592">
        <v>5815046</v>
      </c>
    </row>
    <row r="303" spans="2:6" hidden="1">
      <c r="B303" s="311" t="s">
        <v>1104</v>
      </c>
      <c r="C303" s="340"/>
      <c r="D303" s="595"/>
      <c r="E303" s="591">
        <v>3189759.3149999999</v>
      </c>
      <c r="F303" s="590">
        <v>3189759.3149999999</v>
      </c>
    </row>
    <row r="304" spans="2:6" hidden="1">
      <c r="B304" s="756" t="s">
        <v>376</v>
      </c>
      <c r="C304" s="338"/>
      <c r="D304" s="339"/>
      <c r="E304" s="325">
        <v>565285.31499999994</v>
      </c>
      <c r="F304" s="589">
        <v>565285.31499999994</v>
      </c>
    </row>
    <row r="305" spans="2:6" hidden="1">
      <c r="B305" s="756" t="s">
        <v>1106</v>
      </c>
      <c r="C305" s="338"/>
      <c r="D305" s="339"/>
      <c r="E305" s="325">
        <v>3</v>
      </c>
      <c r="F305" s="589">
        <v>3</v>
      </c>
    </row>
    <row r="306" spans="2:6" hidden="1">
      <c r="B306" s="756" t="s">
        <v>1107</v>
      </c>
      <c r="C306" s="338"/>
      <c r="D306" s="339"/>
      <c r="E306" s="325">
        <v>2624471</v>
      </c>
      <c r="F306" s="589">
        <v>2624471</v>
      </c>
    </row>
    <row r="307" spans="2:6" hidden="1">
      <c r="B307" s="311" t="s">
        <v>1102</v>
      </c>
      <c r="C307" s="340"/>
      <c r="D307" s="591">
        <v>35243046.244999997</v>
      </c>
      <c r="E307" s="591">
        <v>11453809.27</v>
      </c>
      <c r="F307" s="593">
        <v>23789236.975000001</v>
      </c>
    </row>
    <row r="308" spans="2:6" hidden="1">
      <c r="B308" s="772" t="s">
        <v>381</v>
      </c>
      <c r="C308" s="690"/>
      <c r="D308" s="691">
        <v>1488598.0379999999</v>
      </c>
      <c r="E308" s="690"/>
      <c r="F308" s="758">
        <v>1488598.0379999999</v>
      </c>
    </row>
    <row r="309" spans="2:6" hidden="1">
      <c r="B309" s="810" t="s">
        <v>803</v>
      </c>
      <c r="C309" s="611"/>
      <c r="D309" s="587">
        <v>1126190</v>
      </c>
      <c r="E309" s="611"/>
      <c r="F309" s="759">
        <v>1126190</v>
      </c>
    </row>
    <row r="310" spans="2:6" hidden="1">
      <c r="B310" s="812" t="s">
        <v>1053</v>
      </c>
      <c r="C310" s="338"/>
      <c r="D310" s="325">
        <v>1126190</v>
      </c>
      <c r="E310" s="339"/>
      <c r="F310" s="594">
        <v>1126190</v>
      </c>
    </row>
    <row r="311" spans="2:6" hidden="1">
      <c r="B311" s="810" t="s">
        <v>1054</v>
      </c>
      <c r="C311" s="595"/>
      <c r="D311" s="591">
        <v>51924</v>
      </c>
      <c r="E311" s="595"/>
      <c r="F311" s="773">
        <v>51924</v>
      </c>
    </row>
    <row r="312" spans="2:6" hidden="1">
      <c r="B312" s="812" t="s">
        <v>1055</v>
      </c>
      <c r="C312" s="338"/>
      <c r="D312" s="325">
        <v>51924</v>
      </c>
      <c r="E312" s="339"/>
      <c r="F312" s="594">
        <v>51924</v>
      </c>
    </row>
    <row r="313" spans="2:6" hidden="1">
      <c r="B313" s="810" t="s">
        <v>1056</v>
      </c>
      <c r="C313" s="595"/>
      <c r="D313" s="591">
        <v>60838.79</v>
      </c>
      <c r="E313" s="595"/>
      <c r="F313" s="773">
        <v>60838.79</v>
      </c>
    </row>
    <row r="314" spans="2:6" hidden="1">
      <c r="B314" s="812" t="s">
        <v>1057</v>
      </c>
      <c r="C314" s="338"/>
      <c r="D314" s="325">
        <v>60838.79</v>
      </c>
      <c r="E314" s="339"/>
      <c r="F314" s="594">
        <v>60838.79</v>
      </c>
    </row>
    <row r="315" spans="2:6" hidden="1">
      <c r="B315" s="769" t="s">
        <v>1059</v>
      </c>
      <c r="C315" s="595"/>
      <c r="D315" s="591">
        <v>140729.448</v>
      </c>
      <c r="E315" s="595"/>
      <c r="F315" s="773">
        <v>140729.448</v>
      </c>
    </row>
    <row r="316" spans="2:6" hidden="1">
      <c r="B316" s="812" t="s">
        <v>1059</v>
      </c>
      <c r="C316" s="338"/>
      <c r="D316" s="325">
        <v>140729.448</v>
      </c>
      <c r="E316" s="339"/>
      <c r="F316" s="594">
        <v>140729.448</v>
      </c>
    </row>
    <row r="317" spans="2:6" hidden="1">
      <c r="B317" s="757" t="s">
        <v>828</v>
      </c>
      <c r="C317" s="339"/>
      <c r="D317" s="323">
        <v>96714.8</v>
      </c>
      <c r="E317" s="338"/>
      <c r="F317" s="592">
        <v>96714.8</v>
      </c>
    </row>
    <row r="318" spans="2:6" hidden="1">
      <c r="B318" s="757" t="s">
        <v>1060</v>
      </c>
      <c r="C318" s="339"/>
      <c r="D318" s="323">
        <v>12201</v>
      </c>
      <c r="E318" s="338"/>
      <c r="F318" s="592">
        <v>12201</v>
      </c>
    </row>
    <row r="319" spans="2:6" hidden="1">
      <c r="B319" s="772" t="s">
        <v>600</v>
      </c>
      <c r="C319" s="708"/>
      <c r="D319" s="703">
        <v>287970.40000000002</v>
      </c>
      <c r="E319" s="703">
        <v>47875</v>
      </c>
      <c r="F319" s="767">
        <v>240095.4</v>
      </c>
    </row>
    <row r="320" spans="2:6" hidden="1">
      <c r="B320" s="757" t="s">
        <v>600</v>
      </c>
      <c r="C320" s="339"/>
      <c r="D320" s="323">
        <v>251308.2</v>
      </c>
      <c r="E320" s="323">
        <v>31638</v>
      </c>
      <c r="F320" s="592">
        <v>219670.2</v>
      </c>
    </row>
    <row r="321" spans="2:6" hidden="1">
      <c r="B321" s="764" t="s">
        <v>387</v>
      </c>
      <c r="C321" s="339"/>
      <c r="D321" s="323">
        <v>36662.199999999997</v>
      </c>
      <c r="E321" s="323">
        <v>16237</v>
      </c>
      <c r="F321" s="592">
        <v>20425.2</v>
      </c>
    </row>
    <row r="322" spans="2:6" hidden="1">
      <c r="B322" s="772" t="s">
        <v>382</v>
      </c>
      <c r="C322" s="708"/>
      <c r="D322" s="703">
        <v>12015203.76</v>
      </c>
      <c r="E322" s="703">
        <v>6756924</v>
      </c>
      <c r="F322" s="767">
        <v>5258279.76</v>
      </c>
    </row>
    <row r="323" spans="2:6" hidden="1">
      <c r="B323" s="764" t="s">
        <v>1061</v>
      </c>
      <c r="C323" s="339"/>
      <c r="D323" s="323">
        <v>23709.82</v>
      </c>
      <c r="E323" s="338"/>
      <c r="F323" s="592">
        <v>23709.82</v>
      </c>
    </row>
    <row r="324" spans="2:6" hidden="1">
      <c r="B324" s="765" t="s">
        <v>1062</v>
      </c>
      <c r="C324" s="339"/>
      <c r="D324" s="323">
        <v>29743.94</v>
      </c>
      <c r="E324" s="323">
        <v>200</v>
      </c>
      <c r="F324" s="592">
        <v>29543.94</v>
      </c>
    </row>
    <row r="325" spans="2:6" hidden="1">
      <c r="B325" s="764" t="s">
        <v>820</v>
      </c>
      <c r="C325" s="339"/>
      <c r="D325" s="323">
        <v>2243</v>
      </c>
      <c r="E325" s="338"/>
      <c r="F325" s="592">
        <v>2243</v>
      </c>
    </row>
    <row r="326" spans="2:6" hidden="1">
      <c r="B326" s="757" t="s">
        <v>1063</v>
      </c>
      <c r="C326" s="339"/>
      <c r="D326" s="323">
        <v>11420494</v>
      </c>
      <c r="E326" s="323">
        <v>6756724</v>
      </c>
      <c r="F326" s="592">
        <v>4663770</v>
      </c>
    </row>
    <row r="327" spans="2:6" hidden="1">
      <c r="B327" s="764" t="s">
        <v>392</v>
      </c>
      <c r="C327" s="339"/>
      <c r="D327" s="323">
        <v>283386</v>
      </c>
      <c r="E327" s="338"/>
      <c r="F327" s="592">
        <v>283386</v>
      </c>
    </row>
    <row r="328" spans="2:6" hidden="1">
      <c r="B328" s="764" t="s">
        <v>1064</v>
      </c>
      <c r="C328" s="339"/>
      <c r="D328" s="323">
        <v>60732</v>
      </c>
      <c r="E328" s="338"/>
      <c r="F328" s="592">
        <v>60732</v>
      </c>
    </row>
    <row r="329" spans="2:6" hidden="1">
      <c r="B329" s="764" t="s">
        <v>1065</v>
      </c>
      <c r="C329" s="339"/>
      <c r="D329" s="323">
        <v>184251</v>
      </c>
      <c r="E329" s="338"/>
      <c r="F329" s="592">
        <v>184251</v>
      </c>
    </row>
    <row r="330" spans="2:6" hidden="1">
      <c r="B330" s="764" t="s">
        <v>1296</v>
      </c>
      <c r="C330" s="339"/>
      <c r="D330" s="323">
        <v>350</v>
      </c>
      <c r="E330" s="338"/>
      <c r="F330" s="592">
        <v>350</v>
      </c>
    </row>
    <row r="331" spans="2:6" hidden="1">
      <c r="B331" s="757" t="s">
        <v>1297</v>
      </c>
      <c r="C331" s="339"/>
      <c r="D331" s="323">
        <v>200</v>
      </c>
      <c r="E331" s="338"/>
      <c r="F331" s="592">
        <v>200</v>
      </c>
    </row>
    <row r="332" spans="2:6" hidden="1">
      <c r="B332" s="764" t="s">
        <v>1298</v>
      </c>
      <c r="C332" s="339"/>
      <c r="D332" s="323">
        <v>10094</v>
      </c>
      <c r="E332" s="338"/>
      <c r="F332" s="592">
        <v>10094</v>
      </c>
    </row>
    <row r="333" spans="2:6" hidden="1">
      <c r="B333" s="772" t="s">
        <v>1105</v>
      </c>
      <c r="C333" s="708"/>
      <c r="D333" s="703">
        <v>6684445</v>
      </c>
      <c r="E333" s="703">
        <v>2717069</v>
      </c>
      <c r="F333" s="767">
        <v>3967376</v>
      </c>
    </row>
    <row r="334" spans="2:6" hidden="1">
      <c r="B334" s="765" t="s">
        <v>1299</v>
      </c>
      <c r="C334" s="339"/>
      <c r="D334" s="323">
        <v>5279845</v>
      </c>
      <c r="E334" s="323">
        <v>2123205</v>
      </c>
      <c r="F334" s="592">
        <v>3156640</v>
      </c>
    </row>
    <row r="335" spans="2:6" hidden="1">
      <c r="B335" s="765" t="s">
        <v>1300</v>
      </c>
      <c r="C335" s="339"/>
      <c r="D335" s="323">
        <v>612500</v>
      </c>
      <c r="E335" s="323">
        <v>262500</v>
      </c>
      <c r="F335" s="592">
        <v>350000</v>
      </c>
    </row>
    <row r="336" spans="2:6" hidden="1">
      <c r="B336" s="764" t="s">
        <v>1301</v>
      </c>
      <c r="C336" s="339"/>
      <c r="D336" s="323">
        <v>13300</v>
      </c>
      <c r="E336" s="323">
        <v>5700</v>
      </c>
      <c r="F336" s="592">
        <v>7600</v>
      </c>
    </row>
    <row r="337" spans="2:6" hidden="1">
      <c r="B337" s="764" t="s">
        <v>1302</v>
      </c>
      <c r="C337" s="339"/>
      <c r="D337" s="323">
        <v>507</v>
      </c>
      <c r="E337" s="323">
        <v>217</v>
      </c>
      <c r="F337" s="592">
        <v>290</v>
      </c>
    </row>
    <row r="338" spans="2:6" hidden="1">
      <c r="B338" s="764" t="s">
        <v>1303</v>
      </c>
      <c r="C338" s="339"/>
      <c r="D338" s="323">
        <v>16100</v>
      </c>
      <c r="E338" s="323">
        <v>6900</v>
      </c>
      <c r="F338" s="592">
        <v>9200</v>
      </c>
    </row>
    <row r="339" spans="2:6" hidden="1">
      <c r="B339" s="765" t="s">
        <v>1304</v>
      </c>
      <c r="C339" s="339"/>
      <c r="D339" s="323">
        <v>628827</v>
      </c>
      <c r="E339" s="323">
        <v>269497</v>
      </c>
      <c r="F339" s="592">
        <v>359330</v>
      </c>
    </row>
    <row r="340" spans="2:6" hidden="1">
      <c r="B340" s="765" t="s">
        <v>1305</v>
      </c>
      <c r="C340" s="339"/>
      <c r="D340" s="323">
        <v>43050</v>
      </c>
      <c r="E340" s="323">
        <v>18450</v>
      </c>
      <c r="F340" s="592">
        <v>24600</v>
      </c>
    </row>
    <row r="341" spans="2:6" hidden="1">
      <c r="B341" s="764" t="s">
        <v>1306</v>
      </c>
      <c r="C341" s="339"/>
      <c r="D341" s="323">
        <v>3544</v>
      </c>
      <c r="E341" s="323">
        <v>1519</v>
      </c>
      <c r="F341" s="592">
        <v>2025</v>
      </c>
    </row>
    <row r="342" spans="2:6" hidden="1">
      <c r="B342" s="765" t="s">
        <v>1307</v>
      </c>
      <c r="C342" s="339"/>
      <c r="D342" s="323">
        <v>86772</v>
      </c>
      <c r="E342" s="323">
        <v>29081</v>
      </c>
      <c r="F342" s="592">
        <v>57691</v>
      </c>
    </row>
    <row r="343" spans="2:6" hidden="1">
      <c r="B343" s="772" t="s">
        <v>383</v>
      </c>
      <c r="C343" s="708"/>
      <c r="D343" s="703">
        <v>1511049.45</v>
      </c>
      <c r="E343" s="703">
        <v>524000</v>
      </c>
      <c r="F343" s="767">
        <v>987049.45</v>
      </c>
    </row>
    <row r="344" spans="2:6" hidden="1">
      <c r="B344" s="757" t="s">
        <v>1066</v>
      </c>
      <c r="C344" s="339"/>
      <c r="D344" s="323">
        <v>125002</v>
      </c>
      <c r="E344" s="338"/>
      <c r="F344" s="592">
        <v>125002</v>
      </c>
    </row>
    <row r="345" spans="2:6" hidden="1">
      <c r="B345" s="764" t="s">
        <v>1067</v>
      </c>
      <c r="C345" s="339"/>
      <c r="D345" s="323">
        <v>1382447.45</v>
      </c>
      <c r="E345" s="323">
        <v>524000</v>
      </c>
      <c r="F345" s="592">
        <v>858447.45</v>
      </c>
    </row>
    <row r="346" spans="2:6" hidden="1">
      <c r="B346" s="764" t="s">
        <v>1068</v>
      </c>
      <c r="C346" s="339"/>
      <c r="D346" s="323">
        <v>3600</v>
      </c>
      <c r="E346" s="338"/>
      <c r="F346" s="592">
        <v>3600</v>
      </c>
    </row>
    <row r="347" spans="2:6" hidden="1">
      <c r="B347" s="316" t="s">
        <v>384</v>
      </c>
      <c r="C347" s="708"/>
      <c r="D347" s="703">
        <v>1350000</v>
      </c>
      <c r="E347" s="703">
        <v>1350000</v>
      </c>
      <c r="F347" s="708"/>
    </row>
    <row r="348" spans="2:6" hidden="1">
      <c r="B348" s="764" t="s">
        <v>1069</v>
      </c>
      <c r="C348" s="339"/>
      <c r="D348" s="323">
        <v>1350000</v>
      </c>
      <c r="E348" s="323">
        <v>1350000</v>
      </c>
      <c r="F348" s="339"/>
    </row>
    <row r="349" spans="2:6" hidden="1">
      <c r="B349" s="772" t="s">
        <v>385</v>
      </c>
      <c r="C349" s="708"/>
      <c r="D349" s="703">
        <v>3369168</v>
      </c>
      <c r="E349" s="703">
        <v>1650</v>
      </c>
      <c r="F349" s="767">
        <v>3367518</v>
      </c>
    </row>
    <row r="350" spans="2:6" hidden="1">
      <c r="B350" s="757" t="s">
        <v>1070</v>
      </c>
      <c r="C350" s="339"/>
      <c r="D350" s="323">
        <v>138600</v>
      </c>
      <c r="E350" s="338"/>
      <c r="F350" s="592">
        <v>138600</v>
      </c>
    </row>
    <row r="351" spans="2:6" hidden="1">
      <c r="B351" s="764" t="s">
        <v>1071</v>
      </c>
      <c r="C351" s="339"/>
      <c r="D351" s="323">
        <v>600000</v>
      </c>
      <c r="E351" s="338"/>
      <c r="F351" s="592">
        <v>600000</v>
      </c>
    </row>
    <row r="352" spans="2:6" hidden="1">
      <c r="B352" s="764" t="s">
        <v>1072</v>
      </c>
      <c r="C352" s="339"/>
      <c r="D352" s="323">
        <v>600000</v>
      </c>
      <c r="E352" s="338"/>
      <c r="F352" s="592">
        <v>600000</v>
      </c>
    </row>
    <row r="353" spans="2:6" hidden="1">
      <c r="B353" s="757" t="s">
        <v>1073</v>
      </c>
      <c r="C353" s="339"/>
      <c r="D353" s="323">
        <v>31408</v>
      </c>
      <c r="E353" s="323">
        <v>1650</v>
      </c>
      <c r="F353" s="592">
        <v>29758</v>
      </c>
    </row>
    <row r="354" spans="2:6" hidden="1">
      <c r="B354" s="757" t="s">
        <v>1074</v>
      </c>
      <c r="C354" s="339"/>
      <c r="D354" s="323">
        <v>3383</v>
      </c>
      <c r="E354" s="338"/>
      <c r="F354" s="592">
        <v>3383</v>
      </c>
    </row>
    <row r="355" spans="2:6" hidden="1">
      <c r="B355" s="757" t="s">
        <v>1075</v>
      </c>
      <c r="C355" s="339"/>
      <c r="D355" s="323">
        <v>1667105</v>
      </c>
      <c r="E355" s="338"/>
      <c r="F355" s="592">
        <v>1667105</v>
      </c>
    </row>
    <row r="356" spans="2:6" hidden="1">
      <c r="B356" s="764" t="s">
        <v>1076</v>
      </c>
      <c r="C356" s="339"/>
      <c r="D356" s="323">
        <v>300000</v>
      </c>
      <c r="E356" s="338"/>
      <c r="F356" s="592">
        <v>300000</v>
      </c>
    </row>
    <row r="357" spans="2:6" hidden="1">
      <c r="B357" s="764" t="s">
        <v>817</v>
      </c>
      <c r="C357" s="339"/>
      <c r="D357" s="323">
        <v>28672</v>
      </c>
      <c r="E357" s="338"/>
      <c r="F357" s="592">
        <v>28672</v>
      </c>
    </row>
    <row r="358" spans="2:6" hidden="1">
      <c r="B358" s="756" t="s">
        <v>601</v>
      </c>
      <c r="C358" s="338"/>
      <c r="D358" s="325">
        <v>50459</v>
      </c>
      <c r="E358" s="339"/>
      <c r="F358" s="594">
        <v>50459</v>
      </c>
    </row>
    <row r="359" spans="2:6" hidden="1">
      <c r="B359" s="756" t="s">
        <v>386</v>
      </c>
      <c r="C359" s="338"/>
      <c r="D359" s="325">
        <v>51235.98</v>
      </c>
      <c r="E359" s="325">
        <v>38953</v>
      </c>
      <c r="F359" s="594">
        <v>12282.98</v>
      </c>
    </row>
    <row r="360" spans="2:6" hidden="1">
      <c r="B360" s="756" t="s">
        <v>806</v>
      </c>
      <c r="C360" s="338"/>
      <c r="D360" s="325">
        <v>29714</v>
      </c>
      <c r="E360" s="339"/>
      <c r="F360" s="594">
        <v>29714</v>
      </c>
    </row>
    <row r="361" spans="2:6" hidden="1">
      <c r="B361" s="756" t="s">
        <v>1109</v>
      </c>
      <c r="C361" s="338"/>
      <c r="D361" s="325">
        <v>200000</v>
      </c>
      <c r="E361" s="339"/>
      <c r="F361" s="594">
        <v>200000</v>
      </c>
    </row>
    <row r="362" spans="2:6" hidden="1">
      <c r="B362" s="756" t="s">
        <v>388</v>
      </c>
      <c r="C362" s="338"/>
      <c r="D362" s="325">
        <v>111245.85</v>
      </c>
      <c r="E362" s="339"/>
      <c r="F362" s="594">
        <v>111245.85</v>
      </c>
    </row>
    <row r="363" spans="2:6" hidden="1">
      <c r="B363" s="756" t="s">
        <v>389</v>
      </c>
      <c r="C363" s="338"/>
      <c r="D363" s="325">
        <v>1254268</v>
      </c>
      <c r="E363" s="339"/>
      <c r="F363" s="594">
        <v>1254268</v>
      </c>
    </row>
    <row r="364" spans="2:6" hidden="1">
      <c r="B364" s="321" t="s">
        <v>1110</v>
      </c>
      <c r="C364" s="338"/>
      <c r="D364" s="325">
        <v>13583.26</v>
      </c>
      <c r="E364" s="339"/>
      <c r="F364" s="594">
        <v>13583.26</v>
      </c>
    </row>
    <row r="365" spans="2:6" hidden="1">
      <c r="B365" s="756" t="s">
        <v>1111</v>
      </c>
      <c r="C365" s="338"/>
      <c r="D365" s="325">
        <v>6000</v>
      </c>
      <c r="E365" s="339"/>
      <c r="F365" s="594">
        <v>6000</v>
      </c>
    </row>
    <row r="366" spans="2:6" hidden="1">
      <c r="B366" s="756" t="s">
        <v>602</v>
      </c>
      <c r="C366" s="338"/>
      <c r="D366" s="325">
        <v>40000</v>
      </c>
      <c r="E366" s="339"/>
      <c r="F366" s="594">
        <v>40000</v>
      </c>
    </row>
    <row r="367" spans="2:6" hidden="1">
      <c r="B367" s="756" t="s">
        <v>484</v>
      </c>
      <c r="C367" s="338"/>
      <c r="D367" s="325">
        <v>352.9</v>
      </c>
      <c r="E367" s="339"/>
      <c r="F367" s="594">
        <v>352.9</v>
      </c>
    </row>
    <row r="368" spans="2:6" hidden="1">
      <c r="B368" s="756" t="s">
        <v>390</v>
      </c>
      <c r="C368" s="338"/>
      <c r="D368" s="325">
        <v>75940</v>
      </c>
      <c r="E368" s="339"/>
      <c r="F368" s="594">
        <v>75940</v>
      </c>
    </row>
    <row r="369" spans="2:6" hidden="1">
      <c r="B369" s="756" t="s">
        <v>391</v>
      </c>
      <c r="C369" s="338"/>
      <c r="D369" s="325">
        <v>6325845.2189999996</v>
      </c>
      <c r="E369" s="339"/>
      <c r="F369" s="594">
        <v>6325845.2189999996</v>
      </c>
    </row>
    <row r="370" spans="2:6" hidden="1">
      <c r="B370" s="756" t="s">
        <v>1114</v>
      </c>
      <c r="C370" s="338"/>
      <c r="D370" s="325">
        <v>16090</v>
      </c>
      <c r="E370" s="339"/>
      <c r="F370" s="594">
        <v>16090</v>
      </c>
    </row>
    <row r="371" spans="2:6" hidden="1">
      <c r="B371" s="756" t="s">
        <v>485</v>
      </c>
      <c r="C371" s="338"/>
      <c r="D371" s="325">
        <v>36414.949999999997</v>
      </c>
      <c r="E371" s="325">
        <v>17315</v>
      </c>
      <c r="F371" s="594">
        <v>19099.95</v>
      </c>
    </row>
    <row r="372" spans="2:6" hidden="1">
      <c r="B372" s="756" t="s">
        <v>782</v>
      </c>
      <c r="C372" s="338"/>
      <c r="D372" s="325">
        <v>59539.5</v>
      </c>
      <c r="E372" s="339"/>
      <c r="F372" s="594">
        <v>59539.5</v>
      </c>
    </row>
    <row r="373" spans="2:6" hidden="1">
      <c r="B373" s="756" t="s">
        <v>605</v>
      </c>
      <c r="C373" s="338"/>
      <c r="D373" s="325">
        <v>5795</v>
      </c>
      <c r="E373" s="339"/>
      <c r="F373" s="594">
        <v>5795</v>
      </c>
    </row>
    <row r="374" spans="2:6" hidden="1">
      <c r="B374" s="756" t="s">
        <v>606</v>
      </c>
      <c r="C374" s="338"/>
      <c r="D374" s="325">
        <v>46.317999999999998</v>
      </c>
      <c r="E374" s="325">
        <v>23.27</v>
      </c>
      <c r="F374" s="594">
        <v>23.047999999999998</v>
      </c>
    </row>
    <row r="375" spans="2:6" hidden="1">
      <c r="B375" s="756" t="s">
        <v>1117</v>
      </c>
      <c r="C375" s="338"/>
      <c r="D375" s="325">
        <v>141666</v>
      </c>
      <c r="E375" s="339"/>
      <c r="F375" s="594">
        <v>141666</v>
      </c>
    </row>
    <row r="376" spans="2:6" hidden="1">
      <c r="B376" s="756" t="s">
        <v>607</v>
      </c>
      <c r="C376" s="338"/>
      <c r="D376" s="325">
        <v>4867.72</v>
      </c>
      <c r="E376" s="339"/>
      <c r="F376" s="594">
        <v>4867.72</v>
      </c>
    </row>
    <row r="377" spans="2:6" hidden="1">
      <c r="B377" s="756" t="s">
        <v>608</v>
      </c>
      <c r="C377" s="338"/>
      <c r="D377" s="325">
        <v>112200</v>
      </c>
      <c r="E377" s="339"/>
      <c r="F377" s="594">
        <v>112200</v>
      </c>
    </row>
    <row r="378" spans="2:6" hidden="1">
      <c r="B378" s="756" t="s">
        <v>609</v>
      </c>
      <c r="C378" s="338"/>
      <c r="D378" s="325">
        <v>1347.9</v>
      </c>
      <c r="E378" s="339"/>
      <c r="F378" s="594">
        <v>1347.9</v>
      </c>
    </row>
    <row r="379" spans="2:6" hidden="1">
      <c r="B379" s="815" t="s">
        <v>399</v>
      </c>
      <c r="C379" s="596"/>
      <c r="D379" s="315">
        <v>1980656472.7390001</v>
      </c>
      <c r="E379" s="315">
        <v>1980656472.7390001</v>
      </c>
      <c r="F379" s="596"/>
    </row>
  </sheetData>
  <autoFilter ref="A13:F379" xr:uid="{68576D34-151F-44B5-9089-80BE99EFBB99}">
    <filterColumn colId="0">
      <filters>
        <filter val="(iv) Other Financial Liabilities"/>
      </filters>
    </filterColumn>
  </autoFilter>
  <mergeCells count="11">
    <mergeCell ref="B7:D7"/>
    <mergeCell ref="B8:D8"/>
    <mergeCell ref="C9:F9"/>
    <mergeCell ref="C10:F10"/>
    <mergeCell ref="D11:E11"/>
    <mergeCell ref="B6:D6"/>
    <mergeCell ref="B1:D1"/>
    <mergeCell ref="B2:D2"/>
    <mergeCell ref="B3:D3"/>
    <mergeCell ref="B4:D4"/>
    <mergeCell ref="B5:D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D3C77-2A78-47E9-AB4B-A6A37E47259B}">
  <dimension ref="A1"/>
  <sheetViews>
    <sheetView workbookViewId="0"/>
  </sheetViews>
  <sheetFormatPr defaultRowHeight="14.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B244F-C624-48E2-9F0B-33A037FA7B47}">
  <dimension ref="A1:N26"/>
  <sheetViews>
    <sheetView topLeftCell="B1" zoomScaleNormal="100" workbookViewId="0">
      <selection activeCell="G22" sqref="G22"/>
    </sheetView>
  </sheetViews>
  <sheetFormatPr defaultRowHeight="14.5"/>
  <cols>
    <col min="1" max="1" width="20.81640625" bestFit="1" customWidth="1"/>
    <col min="2" max="2" width="20.81640625" customWidth="1"/>
    <col min="3" max="3" width="14.7265625" bestFit="1" customWidth="1"/>
    <col min="4" max="4" width="12.26953125" bestFit="1" customWidth="1"/>
    <col min="5" max="5" width="10" bestFit="1" customWidth="1"/>
    <col min="6" max="6" width="11.26953125" bestFit="1" customWidth="1"/>
    <col min="7" max="7" width="19.26953125" bestFit="1" customWidth="1"/>
    <col min="9" max="9" width="21.7265625" bestFit="1" customWidth="1"/>
    <col min="10" max="10" width="21.54296875" customWidth="1"/>
    <col min="11" max="11" width="15.26953125" bestFit="1" customWidth="1"/>
    <col min="12" max="12" width="10" bestFit="1" customWidth="1"/>
    <col min="13" max="13" width="12.54296875" bestFit="1" customWidth="1"/>
    <col min="14" max="14" width="19.26953125" bestFit="1" customWidth="1"/>
  </cols>
  <sheetData>
    <row r="1" spans="1:14" ht="15" thickBot="1">
      <c r="A1" s="1219" t="s">
        <v>1309</v>
      </c>
      <c r="B1" s="1220"/>
      <c r="C1" s="1220"/>
      <c r="D1" s="1220"/>
      <c r="E1" s="1220"/>
      <c r="F1" s="1220"/>
      <c r="G1" s="1221"/>
      <c r="I1" s="1219" t="s">
        <v>1310</v>
      </c>
      <c r="J1" s="1220"/>
      <c r="K1" s="1220"/>
      <c r="L1" s="1220"/>
      <c r="M1" s="1220"/>
      <c r="N1" s="1221"/>
    </row>
    <row r="2" spans="1:14">
      <c r="A2" s="642"/>
      <c r="B2" s="642"/>
      <c r="C2" s="642"/>
      <c r="D2" s="642"/>
      <c r="E2" s="642"/>
      <c r="F2" s="642"/>
      <c r="G2" s="642"/>
    </row>
    <row r="3" spans="1:14">
      <c r="A3" s="1222" t="s">
        <v>634</v>
      </c>
      <c r="B3" s="1223"/>
      <c r="C3" s="1223"/>
      <c r="D3" s="1223"/>
      <c r="E3" s="1223"/>
      <c r="F3" s="1223"/>
      <c r="G3" s="1224"/>
      <c r="I3" s="1225" t="s">
        <v>634</v>
      </c>
      <c r="J3" s="1225"/>
      <c r="K3" s="1225"/>
      <c r="L3" s="1225"/>
      <c r="M3" s="1225"/>
      <c r="N3" s="1225"/>
    </row>
    <row r="4" spans="1:14">
      <c r="A4" s="643" t="s">
        <v>0</v>
      </c>
      <c r="B4" s="643" t="s">
        <v>540</v>
      </c>
      <c r="C4" s="643" t="s">
        <v>1311</v>
      </c>
      <c r="D4" s="643" t="s">
        <v>539</v>
      </c>
      <c r="E4" s="643" t="s">
        <v>1312</v>
      </c>
      <c r="F4" s="643" t="s">
        <v>1319</v>
      </c>
      <c r="G4" s="643" t="s">
        <v>1313</v>
      </c>
      <c r="I4" s="643" t="s">
        <v>0</v>
      </c>
      <c r="J4" s="643" t="s">
        <v>540</v>
      </c>
      <c r="K4" s="643" t="s">
        <v>1311</v>
      </c>
      <c r="L4" s="643" t="s">
        <v>539</v>
      </c>
      <c r="M4" s="643" t="s">
        <v>1312</v>
      </c>
      <c r="N4" s="643" t="s">
        <v>1313</v>
      </c>
    </row>
    <row r="5" spans="1:14">
      <c r="A5" s="837" t="s">
        <v>411</v>
      </c>
      <c r="B5" s="837">
        <v>0.1</v>
      </c>
      <c r="C5" s="837">
        <v>1592932.23</v>
      </c>
      <c r="D5" s="838">
        <v>0</v>
      </c>
      <c r="E5" s="838">
        <v>39823.30575</v>
      </c>
      <c r="F5" s="838">
        <v>39823.30575</v>
      </c>
      <c r="G5" s="838">
        <f>C5+D5-E5-F5</f>
        <v>1513285.6184999999</v>
      </c>
      <c r="I5" s="837" t="s">
        <v>636</v>
      </c>
      <c r="J5" s="837">
        <v>0.1</v>
      </c>
      <c r="K5" s="839">
        <v>32823147</v>
      </c>
      <c r="L5" s="838"/>
      <c r="M5" s="838">
        <f>((K5*J5)+(L5*J5))/4</f>
        <v>820578.67500000005</v>
      </c>
      <c r="N5" s="838">
        <f>K5+L5-M5</f>
        <v>32002568.324999999</v>
      </c>
    </row>
    <row r="6" spans="1:14">
      <c r="A6" s="837" t="s">
        <v>637</v>
      </c>
      <c r="B6" s="837">
        <v>0.15</v>
      </c>
      <c r="C6" s="837">
        <v>592304</v>
      </c>
      <c r="D6" s="838">
        <v>1244815</v>
      </c>
      <c r="E6" s="838">
        <v>22211.399999999998</v>
      </c>
      <c r="F6" s="838">
        <f>(((C6*B6)/4)+((D6*B6)/2))</f>
        <v>115572.52499999999</v>
      </c>
      <c r="G6" s="838">
        <f t="shared" ref="G6:G7" si="0">C6+D6-E6-F6</f>
        <v>1699335.0750000002</v>
      </c>
      <c r="H6" s="830"/>
      <c r="I6" s="837" t="s">
        <v>637</v>
      </c>
      <c r="J6" s="837">
        <v>0.15</v>
      </c>
      <c r="K6" s="839">
        <v>97353725</v>
      </c>
      <c r="L6" s="838">
        <v>75600</v>
      </c>
      <c r="M6" s="838">
        <f t="shared" ref="M6:M9" si="1">((K6*J6)+(L6*J6))/4</f>
        <v>3653599.6875</v>
      </c>
      <c r="N6" s="838">
        <f t="shared" ref="N6:N9" si="2">K6+L6-M6</f>
        <v>93775725.3125</v>
      </c>
    </row>
    <row r="7" spans="1:14">
      <c r="A7" s="837" t="s">
        <v>637</v>
      </c>
      <c r="B7" s="837">
        <v>0.4</v>
      </c>
      <c r="C7" s="837">
        <v>43195</v>
      </c>
      <c r="D7" s="838">
        <v>0</v>
      </c>
      <c r="E7" s="838">
        <v>4319.5</v>
      </c>
      <c r="F7" s="838">
        <v>4319.5</v>
      </c>
      <c r="G7" s="838">
        <f t="shared" si="0"/>
        <v>34556</v>
      </c>
      <c r="I7" s="837" t="s">
        <v>637</v>
      </c>
      <c r="J7" s="837">
        <v>0.4</v>
      </c>
      <c r="K7" s="839">
        <v>304902</v>
      </c>
      <c r="L7" s="838">
        <v>0</v>
      </c>
      <c r="M7" s="838">
        <f t="shared" si="1"/>
        <v>30490.2</v>
      </c>
      <c r="N7" s="838">
        <f t="shared" si="2"/>
        <v>274411.8</v>
      </c>
    </row>
    <row r="8" spans="1:14" ht="29">
      <c r="A8" s="1226" t="s">
        <v>194</v>
      </c>
      <c r="B8" s="1227"/>
      <c r="C8" s="840">
        <f>SUM(C5:C7)</f>
        <v>2228431.23</v>
      </c>
      <c r="D8" s="841">
        <f>SUM(D5:D7)</f>
        <v>1244815</v>
      </c>
      <c r="E8" s="841">
        <f>SUM(E5:E7)</f>
        <v>66354.205749999994</v>
      </c>
      <c r="F8" s="841">
        <f>SUM(F5:F7)</f>
        <v>159715.33074999999</v>
      </c>
      <c r="G8" s="841">
        <f>SUM(G5:G7)</f>
        <v>3247176.6935000001</v>
      </c>
      <c r="H8" s="118" t="s">
        <v>1314</v>
      </c>
      <c r="I8" s="837" t="s">
        <v>411</v>
      </c>
      <c r="J8" s="837">
        <v>0.1</v>
      </c>
      <c r="K8" s="839">
        <v>5939789</v>
      </c>
      <c r="L8" s="838">
        <v>0</v>
      </c>
      <c r="M8" s="838">
        <f t="shared" si="1"/>
        <v>148494.72500000001</v>
      </c>
      <c r="N8" s="838">
        <f t="shared" si="2"/>
        <v>5791294.2750000004</v>
      </c>
    </row>
    <row r="9" spans="1:14">
      <c r="G9" s="830"/>
      <c r="I9" s="837" t="s">
        <v>638</v>
      </c>
      <c r="J9" s="837">
        <v>0.25</v>
      </c>
      <c r="K9" s="838">
        <v>415406</v>
      </c>
      <c r="L9" s="838">
        <v>0</v>
      </c>
      <c r="M9" s="838">
        <f t="shared" si="1"/>
        <v>25962.875</v>
      </c>
      <c r="N9" s="838">
        <f t="shared" si="2"/>
        <v>389443.125</v>
      </c>
    </row>
    <row r="10" spans="1:14">
      <c r="I10" s="1217" t="s">
        <v>194</v>
      </c>
      <c r="J10" s="1218"/>
      <c r="K10" s="842">
        <f>SUM(K5:K9)</f>
        <v>136836969</v>
      </c>
      <c r="L10" s="842">
        <f>SUM(L5:L9)</f>
        <v>75600</v>
      </c>
      <c r="M10" s="842">
        <f>SUM(M5:M9)</f>
        <v>4679126.1624999996</v>
      </c>
      <c r="N10" s="842">
        <f>SUM(N5:N9)</f>
        <v>132233442.83750001</v>
      </c>
    </row>
    <row r="11" spans="1:14">
      <c r="A11" s="1228" t="s">
        <v>545</v>
      </c>
      <c r="B11" s="1229"/>
      <c r="C11" s="839">
        <v>2242414.2200000002</v>
      </c>
      <c r="K11" s="843"/>
    </row>
    <row r="12" spans="1:14">
      <c r="A12" s="1228" t="s">
        <v>546</v>
      </c>
      <c r="B12" s="1229"/>
      <c r="C12" s="838">
        <f>G8</f>
        <v>3247176.6935000001</v>
      </c>
    </row>
    <row r="13" spans="1:14">
      <c r="A13" s="1228" t="s">
        <v>547</v>
      </c>
      <c r="B13" s="1229"/>
      <c r="C13" s="844">
        <f>C11-C12</f>
        <v>-1004762.4734999998</v>
      </c>
      <c r="I13" s="1228" t="s">
        <v>545</v>
      </c>
      <c r="J13" s="1229"/>
      <c r="K13" s="839">
        <v>157353335</v>
      </c>
    </row>
    <row r="14" spans="1:14">
      <c r="A14" s="1228" t="s">
        <v>639</v>
      </c>
      <c r="B14" s="1229"/>
      <c r="C14" s="842">
        <f>-C13*0.22*1.1*1.04</f>
        <v>252878.61933047997</v>
      </c>
      <c r="I14" s="1228" t="s">
        <v>546</v>
      </c>
      <c r="J14" s="1229"/>
      <c r="K14" s="844">
        <f>N10</f>
        <v>132233442.83750001</v>
      </c>
    </row>
    <row r="15" spans="1:14">
      <c r="A15" s="1233" t="s">
        <v>1315</v>
      </c>
      <c r="B15" s="1233"/>
      <c r="C15" s="842">
        <v>283125</v>
      </c>
      <c r="I15" s="1228" t="s">
        <v>547</v>
      </c>
      <c r="J15" s="1229"/>
      <c r="K15" s="844">
        <f>K13-K14</f>
        <v>25119892.162499994</v>
      </c>
      <c r="M15" s="1237"/>
      <c r="N15" s="1237"/>
    </row>
    <row r="16" spans="1:14">
      <c r="A16" s="1233" t="s">
        <v>1316</v>
      </c>
      <c r="B16" s="1233"/>
      <c r="C16" s="841">
        <f>C15-C14</f>
        <v>30246.380669520033</v>
      </c>
      <c r="I16" s="1228" t="s">
        <v>1317</v>
      </c>
      <c r="J16" s="1229"/>
      <c r="K16" s="844">
        <f>K15*0.22*1.1*1.04</f>
        <v>6322174.459458</v>
      </c>
      <c r="N16" s="845"/>
    </row>
    <row r="17" spans="1:14">
      <c r="I17" s="1233" t="s">
        <v>1318</v>
      </c>
      <c r="J17" s="1233"/>
      <c r="K17" s="838">
        <v>5930782</v>
      </c>
      <c r="N17" s="845"/>
    </row>
    <row r="18" spans="1:14">
      <c r="A18" s="1230" t="s">
        <v>641</v>
      </c>
      <c r="B18" s="1231"/>
      <c r="C18" s="1232"/>
      <c r="I18" s="1233" t="s">
        <v>643</v>
      </c>
      <c r="J18" s="1233"/>
      <c r="K18" s="838">
        <f>K16-K17</f>
        <v>391392.45945800003</v>
      </c>
      <c r="N18" s="845"/>
    </row>
    <row r="19" spans="1:14">
      <c r="B19" s="830"/>
      <c r="N19" s="845"/>
    </row>
    <row r="20" spans="1:14">
      <c r="A20" s="82" t="s">
        <v>1320</v>
      </c>
      <c r="B20" s="830"/>
      <c r="N20" s="845"/>
    </row>
    <row r="21" spans="1:14">
      <c r="A21" s="305" t="s">
        <v>645</v>
      </c>
      <c r="B21" s="844">
        <f>C16-1213.53</f>
        <v>29032.850669520034</v>
      </c>
      <c r="C21" s="305"/>
      <c r="D21" s="830"/>
      <c r="I21" s="1234" t="s">
        <v>641</v>
      </c>
      <c r="J21" s="1235"/>
      <c r="K21" s="1236"/>
      <c r="N21" s="845"/>
    </row>
    <row r="22" spans="1:14">
      <c r="A22" s="305" t="s">
        <v>1322</v>
      </c>
      <c r="B22" s="305"/>
      <c r="C22" s="844">
        <f>B19+B21</f>
        <v>29032.850669520034</v>
      </c>
      <c r="I22" s="60" t="s">
        <v>645</v>
      </c>
      <c r="J22" s="846">
        <f>+K18</f>
        <v>391392.45945800003</v>
      </c>
      <c r="K22" s="654"/>
      <c r="M22" s="1237"/>
      <c r="N22" s="1237"/>
    </row>
    <row r="23" spans="1:14">
      <c r="I23" s="655" t="s">
        <v>646</v>
      </c>
      <c r="J23" s="655"/>
      <c r="K23" s="847">
        <f>J22</f>
        <v>391392.45945800003</v>
      </c>
      <c r="N23" s="845"/>
    </row>
    <row r="24" spans="1:14">
      <c r="A24" s="82" t="s">
        <v>1321</v>
      </c>
      <c r="J24" s="830">
        <f>J22/100000</f>
        <v>3.9139245945800001</v>
      </c>
      <c r="N24" s="845"/>
    </row>
    <row r="25" spans="1:14">
      <c r="A25" s="305" t="s">
        <v>645</v>
      </c>
      <c r="B25" s="305">
        <v>1213.53</v>
      </c>
      <c r="C25" s="305"/>
    </row>
    <row r="26" spans="1:14">
      <c r="A26" s="305" t="s">
        <v>1322</v>
      </c>
      <c r="B26" s="305"/>
      <c r="C26" s="305">
        <f>B25</f>
        <v>1213.53</v>
      </c>
    </row>
  </sheetData>
  <mergeCells count="22">
    <mergeCell ref="A18:C18"/>
    <mergeCell ref="I18:J18"/>
    <mergeCell ref="I21:K21"/>
    <mergeCell ref="M22:N22"/>
    <mergeCell ref="A15:B15"/>
    <mergeCell ref="I15:J15"/>
    <mergeCell ref="M15:N15"/>
    <mergeCell ref="A16:B16"/>
    <mergeCell ref="I16:J16"/>
    <mergeCell ref="I17:J17"/>
    <mergeCell ref="A11:B11"/>
    <mergeCell ref="A12:B12"/>
    <mergeCell ref="A13:B13"/>
    <mergeCell ref="I13:J13"/>
    <mergeCell ref="A14:B14"/>
    <mergeCell ref="I14:J14"/>
    <mergeCell ref="I10:J10"/>
    <mergeCell ref="A1:G1"/>
    <mergeCell ref="I1:N1"/>
    <mergeCell ref="A3:G3"/>
    <mergeCell ref="I3:N3"/>
    <mergeCell ref="A8:B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6CDC9-0446-42A6-A15B-A7AEC7E25E82}">
  <dimension ref="A1:T17"/>
  <sheetViews>
    <sheetView showGridLines="0" workbookViewId="0">
      <selection activeCell="D4" sqref="D4"/>
    </sheetView>
  </sheetViews>
  <sheetFormatPr defaultRowHeight="14.5"/>
  <cols>
    <col min="1" max="1" width="51" bestFit="1" customWidth="1"/>
    <col min="2" max="2" width="14.54296875" style="885" bestFit="1" customWidth="1"/>
    <col min="3" max="5" width="13.81640625" style="885" bestFit="1" customWidth="1"/>
    <col min="6" max="6" width="8.81640625" style="885"/>
    <col min="7" max="10" width="28.1796875" style="885" customWidth="1"/>
    <col min="13" max="13" width="24.81640625" bestFit="1" customWidth="1"/>
    <col min="14" max="14" width="15.26953125" bestFit="1" customWidth="1"/>
    <col min="15" max="15" width="16.7265625" customWidth="1"/>
    <col min="17" max="17" width="14.81640625" bestFit="1" customWidth="1"/>
    <col min="18" max="18" width="14.81640625" style="885" bestFit="1" customWidth="1"/>
    <col min="19" max="19" width="14.81640625" bestFit="1" customWidth="1"/>
    <col min="20" max="20" width="14.81640625" style="885" bestFit="1" customWidth="1"/>
  </cols>
  <sheetData>
    <row r="1" spans="1:20">
      <c r="B1" s="883" t="s">
        <v>1338</v>
      </c>
      <c r="C1" s="883" t="s">
        <v>1339</v>
      </c>
      <c r="D1" s="883" t="s">
        <v>622</v>
      </c>
      <c r="E1" s="883" t="s">
        <v>625</v>
      </c>
      <c r="F1" s="883" t="s">
        <v>1326</v>
      </c>
      <c r="G1" s="884" t="s">
        <v>1353</v>
      </c>
      <c r="H1" s="884" t="s">
        <v>1354</v>
      </c>
      <c r="I1" s="884" t="s">
        <v>1355</v>
      </c>
      <c r="J1" s="884" t="s">
        <v>243</v>
      </c>
      <c r="M1" s="82" t="s">
        <v>122</v>
      </c>
      <c r="N1" s="885"/>
      <c r="Q1" s="1238" t="s">
        <v>356</v>
      </c>
      <c r="R1" s="1238"/>
      <c r="S1" s="1238" t="s">
        <v>486</v>
      </c>
      <c r="T1" s="1238"/>
    </row>
    <row r="2" spans="1:20">
      <c r="M2" s="572" t="s">
        <v>356</v>
      </c>
      <c r="N2" s="841">
        <f>76730300+22353252</f>
        <v>99083552</v>
      </c>
      <c r="O2" s="844">
        <f>N2/100000</f>
        <v>990.83551999999997</v>
      </c>
      <c r="Q2" s="572"/>
      <c r="R2" s="838"/>
      <c r="S2" s="572"/>
      <c r="T2" s="838"/>
    </row>
    <row r="3" spans="1:20">
      <c r="A3" t="s">
        <v>62</v>
      </c>
      <c r="B3" s="885">
        <f>+((('[91]Trial Balance - Umergaon'!F57+'[91]Trial Balance - Umergaon'!F79)/100000)-P14)</f>
        <v>5703.2543999999998</v>
      </c>
      <c r="C3" s="885">
        <f>((('[91]Trial Balance - H.O.'!F63+'[91]Trial Balance - H.O.'!F73)/100000)-P13)</f>
        <v>7.0736534999999776</v>
      </c>
      <c r="D3" s="885">
        <f>+((('[91]Trial Balance - Chennai'!F31+'[91]Trial Balance - Chennai'!F32+'[91]Trial Balance - Chennai'!F37)/100000)-P15)</f>
        <v>312.70589999999999</v>
      </c>
      <c r="E3" s="885">
        <f>+('[91]Trial Balance - Cochin'!F35+'[91]Trial Balance - Cochin'!F36+'[91]Trial Balance - Cochin'!F40)/100000</f>
        <v>246.04276829999998</v>
      </c>
      <c r="F3" s="885">
        <v>0</v>
      </c>
      <c r="G3" s="883">
        <f>SUM(B3:F3)</f>
        <v>6269.0767217999992</v>
      </c>
      <c r="H3" s="883">
        <v>6269.0767217999992</v>
      </c>
      <c r="I3" s="883">
        <f>539.3269075-((9595192/100000))-((17726142/100000))</f>
        <v>266.11356749999999</v>
      </c>
      <c r="J3" s="883">
        <f>H3+I3</f>
        <v>6535.1902892999988</v>
      </c>
      <c r="M3" s="572" t="s">
        <v>1356</v>
      </c>
      <c r="N3" s="838">
        <v>487260578.85000002</v>
      </c>
      <c r="O3" s="844">
        <f t="shared" ref="O3:O6" si="0">N3/100000</f>
        <v>4872.6057885</v>
      </c>
      <c r="Q3" s="841" t="s">
        <v>1338</v>
      </c>
      <c r="R3" s="838">
        <v>180543375</v>
      </c>
      <c r="S3" s="841" t="s">
        <v>1338</v>
      </c>
      <c r="T3" s="838">
        <f>180230243-N5</f>
        <v>96197471</v>
      </c>
    </row>
    <row r="4" spans="1:20" ht="15" thickBot="1">
      <c r="A4" t="s">
        <v>13</v>
      </c>
      <c r="B4" s="885">
        <f>+('[91]Trial Balance - Umergaon'!F78+'[91]Trial Balance - Umergaon'!F80)/100000</f>
        <v>0.46414</v>
      </c>
      <c r="C4" s="885">
        <f>('[91]Trial Balance - H.O.'!F69+'[91]Trial Balance - H.O.'!F72+'[91]Trial Balance - H.O.'!F74)/100000</f>
        <v>12.5851127</v>
      </c>
      <c r="D4" s="885">
        <v>0</v>
      </c>
      <c r="E4" s="885">
        <v>0</v>
      </c>
      <c r="F4" s="885">
        <v>0</v>
      </c>
      <c r="G4" s="883">
        <f>SUM(B4:F4)</f>
        <v>13.0492527</v>
      </c>
      <c r="H4" s="883">
        <v>13.0492527</v>
      </c>
      <c r="I4" s="883">
        <v>4.1701014800000005</v>
      </c>
      <c r="J4" s="883">
        <f>H4+I4</f>
        <v>17.21935418</v>
      </c>
      <c r="M4" s="305"/>
      <c r="N4" s="841">
        <f>SUM(N2:N3)</f>
        <v>586344130.85000002</v>
      </c>
      <c r="O4" s="844">
        <f t="shared" si="0"/>
        <v>5863.4413085000006</v>
      </c>
      <c r="Q4" s="841" t="s">
        <v>1357</v>
      </c>
      <c r="R4" s="838">
        <v>13904266</v>
      </c>
      <c r="S4" s="841" t="s">
        <v>1357</v>
      </c>
      <c r="T4" s="838">
        <v>13904266</v>
      </c>
    </row>
    <row r="5" spans="1:20" ht="15" thickBot="1">
      <c r="B5" s="886">
        <f t="shared" ref="B5:G5" si="1">SUM(B3:B4)</f>
        <v>5703.7185399999998</v>
      </c>
      <c r="C5" s="886">
        <f t="shared" si="1"/>
        <v>19.658766199999977</v>
      </c>
      <c r="D5" s="886">
        <f t="shared" si="1"/>
        <v>312.70589999999999</v>
      </c>
      <c r="E5" s="886">
        <f t="shared" si="1"/>
        <v>246.04276829999998</v>
      </c>
      <c r="F5" s="886">
        <f t="shared" si="1"/>
        <v>0</v>
      </c>
      <c r="G5" s="887">
        <f t="shared" si="1"/>
        <v>6282.1259744999988</v>
      </c>
      <c r="H5" s="888">
        <f>SUM(H3:H4)</f>
        <v>6282.1259744999988</v>
      </c>
      <c r="I5" s="889">
        <f>SUM(I3:I4)</f>
        <v>270.28366898000002</v>
      </c>
      <c r="J5" s="890">
        <f>SUM(J3:J4)</f>
        <v>6552.4096434799985</v>
      </c>
      <c r="M5" s="572" t="s">
        <v>1358</v>
      </c>
      <c r="N5" s="838">
        <v>84032772</v>
      </c>
      <c r="O5" s="844">
        <f t="shared" si="0"/>
        <v>840.32772</v>
      </c>
      <c r="Q5" s="842" t="s">
        <v>622</v>
      </c>
      <c r="R5" s="838">
        <v>60684512.700000003</v>
      </c>
      <c r="S5" s="842" t="s">
        <v>622</v>
      </c>
      <c r="T5" s="838">
        <v>22683178.620000001</v>
      </c>
    </row>
    <row r="6" spans="1:20" ht="14.5" customHeight="1">
      <c r="G6" s="883"/>
      <c r="H6" s="883"/>
      <c r="I6" s="883"/>
      <c r="J6" s="883"/>
      <c r="M6" s="572" t="s">
        <v>122</v>
      </c>
      <c r="N6" s="841">
        <f>N4-N5</f>
        <v>502311358.85000002</v>
      </c>
      <c r="O6" s="844">
        <f t="shared" si="0"/>
        <v>5023.1135885000003</v>
      </c>
      <c r="Q6" s="841" t="s">
        <v>625</v>
      </c>
      <c r="R6" s="838">
        <v>7637431.4900000002</v>
      </c>
      <c r="S6" s="841" t="s">
        <v>625</v>
      </c>
      <c r="T6" s="838">
        <v>11360158.262</v>
      </c>
    </row>
    <row r="7" spans="1:20">
      <c r="A7" t="s">
        <v>122</v>
      </c>
      <c r="B7" s="885">
        <f>+O6-P13</f>
        <v>4141.4584585000002</v>
      </c>
      <c r="C7" s="885">
        <v>0</v>
      </c>
      <c r="D7" s="885">
        <v>0</v>
      </c>
      <c r="E7" s="885">
        <v>0</v>
      </c>
      <c r="F7" s="885">
        <v>0</v>
      </c>
      <c r="G7" s="883">
        <f t="shared" ref="G7:G13" si="2">SUM(B7:F7)</f>
        <v>4141.4584585000002</v>
      </c>
      <c r="H7" s="883">
        <f>4141.4584585-((9595192/100000))</f>
        <v>4045.5065385000003</v>
      </c>
      <c r="I7" s="883">
        <v>0</v>
      </c>
      <c r="J7" s="883">
        <f t="shared" ref="J7:J13" si="3">H7+I7</f>
        <v>4045.5065385000003</v>
      </c>
      <c r="Q7" s="842" t="s">
        <v>1326</v>
      </c>
      <c r="R7" s="838">
        <v>137.5</v>
      </c>
      <c r="S7" s="842" t="s">
        <v>1326</v>
      </c>
      <c r="T7" s="838">
        <v>137.5</v>
      </c>
    </row>
    <row r="8" spans="1:20" ht="15" customHeight="1" thickBot="1">
      <c r="A8" t="s">
        <v>123</v>
      </c>
      <c r="B8" s="885">
        <v>0</v>
      </c>
      <c r="C8" s="885">
        <f>+('[91]Trial Balance - H.O.'!F66+'[91]Trial Balance - H.O.'!F67)/100000</f>
        <v>864.2263385</v>
      </c>
      <c r="D8" s="885">
        <v>0</v>
      </c>
      <c r="E8" s="885">
        <f>+(('[91]Trial Balance - Cochin'!F38/100000)-P15-P14)</f>
        <v>177.26141999999999</v>
      </c>
      <c r="F8" s="885">
        <v>0</v>
      </c>
      <c r="G8" s="883">
        <f t="shared" si="2"/>
        <v>1041.4877584999999</v>
      </c>
      <c r="H8" s="883">
        <f>1041.4877585-((17726142/100000))</f>
        <v>864.22633849999988</v>
      </c>
      <c r="I8" s="883">
        <v>626.39500846999999</v>
      </c>
      <c r="J8" s="883">
        <f t="shared" si="3"/>
        <v>1490.6213469699999</v>
      </c>
      <c r="Q8" s="842"/>
      <c r="R8" s="891">
        <f>SUM(R3:R7)</f>
        <v>262769722.69</v>
      </c>
      <c r="S8" s="305"/>
      <c r="T8" s="891">
        <f>SUM(T3:T7)</f>
        <v>144145211.382</v>
      </c>
    </row>
    <row r="9" spans="1:20" ht="15" thickTop="1">
      <c r="A9" t="s">
        <v>124</v>
      </c>
      <c r="B9" s="885">
        <f>(R3-T3)/100000</f>
        <v>843.45903999999996</v>
      </c>
      <c r="C9" s="885">
        <f>(R4-T4)/100000</f>
        <v>0</v>
      </c>
      <c r="D9" s="885">
        <f>(R5-T5)/100000</f>
        <v>380.01334079999998</v>
      </c>
      <c r="E9" s="885">
        <f>(R6-T6)/100000</f>
        <v>-37.22726772</v>
      </c>
      <c r="F9" s="885">
        <f>(R7-T7)/100000</f>
        <v>0</v>
      </c>
      <c r="G9" s="883">
        <f t="shared" si="2"/>
        <v>1186.2451130799998</v>
      </c>
      <c r="H9" s="883">
        <v>1186.2451130799998</v>
      </c>
      <c r="I9" s="883">
        <v>-132.72388013</v>
      </c>
      <c r="J9" s="883">
        <f t="shared" si="3"/>
        <v>1053.5212329499998</v>
      </c>
    </row>
    <row r="10" spans="1:20">
      <c r="A10" t="s">
        <v>125</v>
      </c>
      <c r="B10" s="885">
        <f>+('[91]Trial Balance - Umergaon'!F94+'[91]Trial Balance - Umergaon'!F95)/100000</f>
        <v>51.779774199999999</v>
      </c>
      <c r="C10" s="885">
        <f>+('[91]Trial Balance - H.O.'!F84+'[91]Trial Balance - H.O.'!F89)/100000</f>
        <v>33.976325000000003</v>
      </c>
      <c r="D10" s="885">
        <v>0</v>
      </c>
      <c r="E10" s="885">
        <v>0</v>
      </c>
      <c r="F10" s="885">
        <v>0</v>
      </c>
      <c r="G10" s="883">
        <f t="shared" si="2"/>
        <v>85.756099199999994</v>
      </c>
      <c r="H10" s="883">
        <v>85.756099199999994</v>
      </c>
      <c r="I10" s="883">
        <v>16.667020000000001</v>
      </c>
      <c r="J10" s="883">
        <f t="shared" si="3"/>
        <v>102.4231192</v>
      </c>
    </row>
    <row r="11" spans="1:20">
      <c r="A11" t="s">
        <v>126</v>
      </c>
      <c r="B11" s="885">
        <f>+('[91]Trial Balance - Umergaon'!F87+'[91]Trial Balance - Umergaon'!F106+'[91]Trial Balance - Umergaon'!F107)/100000</f>
        <v>94.593429999999998</v>
      </c>
      <c r="C11" s="885">
        <f>'[91]Trial Balance - H.O.'!F79/100000</f>
        <v>117.16933390000001</v>
      </c>
      <c r="D11" s="885">
        <v>0</v>
      </c>
      <c r="E11" s="885">
        <v>0</v>
      </c>
      <c r="F11" s="885">
        <v>0</v>
      </c>
      <c r="G11" s="883">
        <f t="shared" si="2"/>
        <v>211.76276390000001</v>
      </c>
      <c r="H11" s="883">
        <v>211.76276390000001</v>
      </c>
      <c r="I11" s="883">
        <v>1.72418</v>
      </c>
      <c r="J11" s="883">
        <f t="shared" si="3"/>
        <v>213.4869439</v>
      </c>
      <c r="M11" s="82" t="s">
        <v>1359</v>
      </c>
    </row>
    <row r="12" spans="1:20">
      <c r="A12" t="s">
        <v>127</v>
      </c>
      <c r="B12" s="885">
        <f>('[91]Trial Balance - Umergaon'!$F$99+'[91]Trial Balance - Umergaon'!$F$100)/100000</f>
        <v>54.439304100000001</v>
      </c>
      <c r="C12" s="885">
        <v>0</v>
      </c>
      <c r="D12" s="885">
        <v>0</v>
      </c>
      <c r="E12" s="885">
        <v>0</v>
      </c>
      <c r="F12" s="885">
        <v>0</v>
      </c>
      <c r="G12" s="883">
        <f t="shared" si="2"/>
        <v>54.439304100000001</v>
      </c>
      <c r="H12" s="883">
        <v>54.439304100000001</v>
      </c>
      <c r="I12" s="883">
        <v>6.7984985</v>
      </c>
      <c r="J12" s="883">
        <f t="shared" si="3"/>
        <v>61.237802600000002</v>
      </c>
      <c r="M12" s="892" t="s">
        <v>1360</v>
      </c>
      <c r="N12" s="893" t="s">
        <v>620</v>
      </c>
      <c r="O12" s="893" t="s">
        <v>617</v>
      </c>
    </row>
    <row r="13" spans="1:20" ht="15" thickBot="1">
      <c r="A13" t="s">
        <v>128</v>
      </c>
      <c r="B13" s="885">
        <f>+(('[91]Trial Balance - Umergaon'!F82+'[91]Trial Balance - Umergaon'!F83+'[91]Trial Balance - Umergaon'!F84+'[91]Trial Balance - Umergaon'!F85+'[91]Trial Balance - Umergaon'!F86+'[91]Trial Balance - Umergaon'!F88+'[91]Trial Balance - Umergaon'!F89+'[91]Trial Balance - Umergaon'!F90+'[91]Trial Balance - Umergaon'!F91+'[91]Trial Balance - Umergaon'!F92+'[91]Trial Balance - Umergaon'!F93+'[91]Trial Balance - Umergaon'!F96+'[91]Trial Balance - Umergaon'!F97+'[91]Trial Balance - Umergaon'!F98+'[91]Trial Balance - Umergaon'!F101+'[91]Trial Balance - Umergaon'!F102+'[91]Trial Balance - Umergaon'!F103+'[91]Trial Balance - Umergaon'!F104+'[91]Trial Balance - Umergaon'!F105+'[91]Trial Balance - Umergaon'!F108+'[91]Trial Balance - Umergaon'!F109+'[91]Trial Balance - Umergaon'!F110+'[91]Trial Balance - Umergaon'!F111+'[91]Trial Balance - Umergaon'!F112+'[91]Trial Balance - Umergaon'!F113+'[91]Trial Balance - Umergaon'!F114)+'[91]Trial Balance - Umergaon'!F66)/100000</f>
        <v>216.70680719999999</v>
      </c>
      <c r="C13" s="885">
        <f>+(((('[91]Trial Balance - H.O.'!F76+'[91]Trial Balance - H.O.'!F77+'[91]Trial Balance - H.O.'!F78+'[91]Trial Balance - H.O.'!F80+'[91]Trial Balance - H.O.'!F81+'[91]Trial Balance - H.O.'!F82+'[91]Trial Balance - H.O.'!F83+'[91]Trial Balance - H.O.'!F85+'[91]Trial Balance - H.O.'!F86+'[91]Trial Balance - H.O.'!F87+'[91]Trial Balance - H.O.'!F88+'[91]Trial Balance - H.O.'!F90+'[91]Trial Balance - H.O.'!F91+'[91]Trial Balance - H.O.'!F92+'[91]Trial Balance - H.O.'!F93+'[91]Trial Balance - H.O.'!F94+'[91]Trial Balance - H.O.'!F95+'[91]Trial Balance - H.O.'!F70+'[91]Trial Balance - H.O.'!F71))-(991041))/100000)</f>
        <v>27.464723459999998</v>
      </c>
      <c r="D13" s="885">
        <f>+('[91]Trial Balance - Chennai'!F34+'[91]Trial Balance - Chennai'!F35+'[91]Trial Balance - Chennai'!F39+'[91]Trial Balance - Chennai'!F40+'[91]Trial Balance - Chennai'!F41)/100000</f>
        <v>3.4359766000000005</v>
      </c>
      <c r="E13" s="885">
        <f>('[91]Trial Balance - Cochin'!F42+'[91]Trial Balance - Cochin'!F43+'[91]Trial Balance - Cochin'!F44+'[91]Trial Balance - Cochin'!F45+'[91]Trial Balance - Cochin'!F46+'[91]Trial Balance - Cochin'!F47+'[91]Trial Balance - Cochin'!F48+'[91]Trial Balance - Cochin'!F49+'[91]Trial Balance - Cochin'!F50+'[91]Trial Balance - Cochin'!F51+'[91]Trial Balance - Cochin'!F52)/100000</f>
        <v>3.6936248200000001</v>
      </c>
      <c r="F13" s="885">
        <v>0</v>
      </c>
      <c r="G13" s="883">
        <f t="shared" si="2"/>
        <v>251.30113207999997</v>
      </c>
      <c r="H13" s="883">
        <f>261.21154208-(((991041)/100000))</f>
        <v>251.30113208</v>
      </c>
      <c r="I13" s="883">
        <v>94.544779629999979</v>
      </c>
      <c r="J13" s="883">
        <f t="shared" si="3"/>
        <v>345.84591171</v>
      </c>
      <c r="M13" s="305" t="s">
        <v>1339</v>
      </c>
      <c r="N13" s="894" t="s">
        <v>1338</v>
      </c>
      <c r="O13" s="895">
        <v>88165513</v>
      </c>
      <c r="P13" s="830">
        <f>O13/100000</f>
        <v>881.65512999999999</v>
      </c>
    </row>
    <row r="14" spans="1:20" ht="15" thickBot="1">
      <c r="B14" s="886">
        <f t="shared" ref="B14:G14" si="4">SUM(B7:B13)</f>
        <v>5402.4368140000006</v>
      </c>
      <c r="C14" s="886">
        <f t="shared" si="4"/>
        <v>1042.83672086</v>
      </c>
      <c r="D14" s="886">
        <f t="shared" si="4"/>
        <v>383.44931739999998</v>
      </c>
      <c r="E14" s="886">
        <f t="shared" si="4"/>
        <v>143.7277771</v>
      </c>
      <c r="F14" s="886">
        <f t="shared" si="4"/>
        <v>0</v>
      </c>
      <c r="G14" s="887">
        <f t="shared" si="4"/>
        <v>6972.4506293600007</v>
      </c>
      <c r="H14" s="888">
        <f>SUM(H7:H13)</f>
        <v>6699.2372893600004</v>
      </c>
      <c r="I14" s="889">
        <f>SUM(I7:I13)</f>
        <v>613.40560647000007</v>
      </c>
      <c r="J14" s="890">
        <f>SUM(J7:J13)</f>
        <v>7312.6428958300003</v>
      </c>
      <c r="M14" s="894" t="s">
        <v>1338</v>
      </c>
      <c r="N14" s="894" t="s">
        <v>625</v>
      </c>
      <c r="O14" s="895">
        <v>8332497.5</v>
      </c>
      <c r="P14" s="830">
        <f t="shared" ref="P14:P15" si="5">O14/100000</f>
        <v>83.324974999999995</v>
      </c>
    </row>
    <row r="15" spans="1:20">
      <c r="G15" s="883"/>
      <c r="H15" s="883"/>
      <c r="I15" s="883"/>
      <c r="J15" s="883"/>
      <c r="M15" s="305" t="s">
        <v>1361</v>
      </c>
      <c r="N15" s="894" t="s">
        <v>625</v>
      </c>
      <c r="O15" s="895">
        <v>2444580</v>
      </c>
      <c r="P15" s="830">
        <f t="shared" si="5"/>
        <v>24.445799999999998</v>
      </c>
    </row>
    <row r="16" spans="1:20" ht="15" thickBot="1">
      <c r="A16" t="s">
        <v>1362</v>
      </c>
      <c r="B16" s="885">
        <f>B5-B14</f>
        <v>301.28172599999925</v>
      </c>
      <c r="C16" s="885">
        <f>C5-C14</f>
        <v>-1023.1779546600001</v>
      </c>
      <c r="D16" s="885">
        <f>D5-D14</f>
        <v>-70.743417399999998</v>
      </c>
      <c r="E16" s="885">
        <f>E5-E14</f>
        <v>102.31499119999998</v>
      </c>
      <c r="F16" s="885">
        <v>0</v>
      </c>
      <c r="G16" s="883">
        <f>G5-G14</f>
        <v>-690.32465486000183</v>
      </c>
      <c r="H16" s="883">
        <f>H5-H14</f>
        <v>-417.11131486000158</v>
      </c>
      <c r="I16" s="883">
        <f>I5-I14</f>
        <v>-343.12193749000005</v>
      </c>
      <c r="J16" s="883">
        <f>J5-J14</f>
        <v>-760.23325235000175</v>
      </c>
      <c r="M16" s="896"/>
      <c r="N16" s="895"/>
      <c r="O16" s="897">
        <f>SUM(O13:O15)</f>
        <v>98942590.5</v>
      </c>
    </row>
    <row r="17" spans="7:7" ht="15" thickTop="1">
      <c r="G17" s="885">
        <v>-69.91</v>
      </c>
    </row>
  </sheetData>
  <mergeCells count="2">
    <mergeCell ref="Q1:R1"/>
    <mergeCell ref="S1:T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4DDAB-DA84-48B9-B056-55DB045911EE}">
  <dimension ref="A2:XFD64"/>
  <sheetViews>
    <sheetView showGridLines="0" workbookViewId="0">
      <selection activeCell="B24" sqref="B24"/>
    </sheetView>
  </sheetViews>
  <sheetFormatPr defaultColWidth="8.81640625" defaultRowHeight="14.5"/>
  <cols>
    <col min="1" max="1" width="37.81640625" style="41" bestFit="1" customWidth="1"/>
    <col min="2" max="2" width="15.1796875" style="850" customWidth="1"/>
    <col min="3" max="3" width="14.1796875" style="41" customWidth="1"/>
    <col min="4" max="4" width="9.1796875" style="41" customWidth="1"/>
    <col min="5" max="5" width="8.81640625" style="41" customWidth="1"/>
    <col min="6" max="6" width="8.81640625" style="41"/>
    <col min="7" max="7" width="9.7265625" style="41" bestFit="1" customWidth="1"/>
    <col min="8" max="8" width="15.7265625" style="41" bestFit="1" customWidth="1"/>
    <col min="9" max="9" width="11.81640625" style="41" bestFit="1" customWidth="1"/>
    <col min="10" max="10" width="17.81640625" style="41" bestFit="1" customWidth="1"/>
    <col min="11" max="11" width="18.7265625" style="41" customWidth="1"/>
    <col min="12" max="12" width="8.81640625" style="41" customWidth="1"/>
    <col min="13" max="13" width="8.81640625" style="41" hidden="1" customWidth="1"/>
    <col min="14" max="14" width="14.7265625" style="41" hidden="1" customWidth="1"/>
    <col min="15" max="15" width="8.81640625" style="41" hidden="1" customWidth="1"/>
    <col min="16" max="16" width="14.1796875" style="41" hidden="1" customWidth="1"/>
    <col min="17" max="17" width="0" style="41" hidden="1" customWidth="1"/>
    <col min="18" max="18" width="8.81640625" style="41"/>
    <col min="19" max="19" width="27" style="41" bestFit="1" customWidth="1"/>
    <col min="20" max="20" width="14.1796875" style="41" bestFit="1" customWidth="1"/>
    <col min="21" max="16384" width="8.81640625" style="41"/>
  </cols>
  <sheetData>
    <row r="2" spans="1:20" ht="17">
      <c r="A2" s="874" t="s">
        <v>94</v>
      </c>
      <c r="B2" s="871" t="s">
        <v>1338</v>
      </c>
      <c r="C2" s="872" t="s">
        <v>1339</v>
      </c>
      <c r="D2" s="872" t="s">
        <v>622</v>
      </c>
      <c r="E2" s="872" t="s">
        <v>625</v>
      </c>
      <c r="F2" s="872" t="s">
        <v>1326</v>
      </c>
      <c r="G2" s="872" t="s">
        <v>194</v>
      </c>
      <c r="H2" s="872" t="s">
        <v>1341</v>
      </c>
      <c r="I2" s="870" t="s">
        <v>1343</v>
      </c>
      <c r="J2" s="870" t="s">
        <v>1345</v>
      </c>
      <c r="K2" s="870" t="s">
        <v>1344</v>
      </c>
      <c r="S2" s="875" t="s">
        <v>1346</v>
      </c>
    </row>
    <row r="3" spans="1:20">
      <c r="A3" s="851" t="s">
        <v>70</v>
      </c>
    </row>
    <row r="4" spans="1:20">
      <c r="A4" s="852" t="s">
        <v>71</v>
      </c>
      <c r="B4" s="850">
        <f>(141409532.42/100000)-(608896.24/100000)</f>
        <v>1408.0063617999999</v>
      </c>
      <c r="C4" s="41">
        <f>12621449.34/100000</f>
        <v>126.21449339999999</v>
      </c>
      <c r="D4" s="850"/>
      <c r="E4" s="41">
        <f>17112.48/100000</f>
        <v>0.17112479999999999</v>
      </c>
      <c r="G4" s="41">
        <f>SUM(B4:F4)</f>
        <v>1534.3919799999999</v>
      </c>
      <c r="H4" s="41">
        <f>+G4</f>
        <v>1534.3919799999999</v>
      </c>
      <c r="I4" s="41">
        <f>+'Regulation 33 - Balance Sheet'!C8</f>
        <v>22.424142200000002</v>
      </c>
      <c r="K4" s="41">
        <f>H4+I4+J4-0.01</f>
        <v>1556.8061221999999</v>
      </c>
      <c r="S4" s="41" t="s">
        <v>1347</v>
      </c>
      <c r="T4" s="497">
        <v>2635.2163062950503</v>
      </c>
    </row>
    <row r="5" spans="1:20">
      <c r="A5" s="852" t="s">
        <v>428</v>
      </c>
      <c r="B5" s="850">
        <f>42006377/100000</f>
        <v>420.06376999999998</v>
      </c>
      <c r="C5" s="41">
        <v>0</v>
      </c>
      <c r="D5" s="850"/>
      <c r="G5" s="41">
        <f t="shared" ref="G5:G58" si="0">SUM(B5:F5)</f>
        <v>420.06376999999998</v>
      </c>
      <c r="H5" s="41">
        <f t="shared" ref="H5:H12" si="1">+G5</f>
        <v>420.06376999999998</v>
      </c>
      <c r="I5" s="41">
        <f>+'Regulation 33 - Balance Sheet'!C9</f>
        <v>62.713459999999998</v>
      </c>
      <c r="K5" s="41">
        <f>H5+I5+J5-0.01</f>
        <v>482.76722999999998</v>
      </c>
      <c r="S5" s="41" t="s">
        <v>1348</v>
      </c>
      <c r="T5" s="41">
        <f>+'Regulation 33 - Results'!N40</f>
        <v>488.01910001964541</v>
      </c>
    </row>
    <row r="6" spans="1:20">
      <c r="A6" s="852" t="s">
        <v>1323</v>
      </c>
      <c r="B6" s="850">
        <f>+(608896.24/100000)</f>
        <v>6.0889623999999998</v>
      </c>
      <c r="C6" s="41">
        <v>0</v>
      </c>
      <c r="D6" s="850"/>
      <c r="G6" s="41">
        <f t="shared" si="0"/>
        <v>6.0889623999999998</v>
      </c>
      <c r="H6" s="41">
        <f t="shared" si="1"/>
        <v>6.0889623999999998</v>
      </c>
      <c r="I6" s="41">
        <f>+'Regulation 33 - Balance Sheet'!C10</f>
        <v>0</v>
      </c>
      <c r="K6" s="41">
        <f t="shared" ref="K6:K11" si="2">H6+I6+J6</f>
        <v>6.0889623999999998</v>
      </c>
      <c r="T6" s="497">
        <f>SUM(T4:T5)</f>
        <v>3123.2354063146959</v>
      </c>
    </row>
    <row r="7" spans="1:20">
      <c r="A7" s="852" t="s">
        <v>1324</v>
      </c>
      <c r="D7" s="850"/>
      <c r="G7" s="41">
        <f t="shared" si="0"/>
        <v>0</v>
      </c>
      <c r="H7" s="41">
        <f t="shared" si="1"/>
        <v>0</v>
      </c>
      <c r="I7" s="41">
        <v>0</v>
      </c>
      <c r="K7" s="41">
        <f t="shared" si="2"/>
        <v>0</v>
      </c>
    </row>
    <row r="8" spans="1:20">
      <c r="A8" s="853" t="s">
        <v>72</v>
      </c>
      <c r="B8" s="850">
        <f>17500/100000</f>
        <v>0.17499999999999999</v>
      </c>
      <c r="C8" s="41">
        <f>11161500.12/100000</f>
        <v>111.61500119999999</v>
      </c>
      <c r="D8" s="850"/>
      <c r="G8" s="41">
        <f t="shared" si="0"/>
        <v>111.79000119999999</v>
      </c>
      <c r="H8" s="41">
        <f t="shared" si="1"/>
        <v>111.79000119999999</v>
      </c>
      <c r="I8" s="41">
        <f>+'Regulation 33 - Balance Sheet'!C12</f>
        <v>565.60559999999998</v>
      </c>
      <c r="J8" s="41">
        <v>-565.60559999999998</v>
      </c>
      <c r="K8" s="41">
        <f t="shared" si="2"/>
        <v>111.79000120000001</v>
      </c>
    </row>
    <row r="9" spans="1:20">
      <c r="A9" s="853" t="s">
        <v>73</v>
      </c>
      <c r="B9" s="850">
        <v>0</v>
      </c>
      <c r="C9" s="41">
        <f>(3175600+377257)/100000</f>
        <v>35.528570000000002</v>
      </c>
      <c r="D9" s="850"/>
      <c r="G9" s="41">
        <f t="shared" si="0"/>
        <v>35.528570000000002</v>
      </c>
      <c r="H9" s="41">
        <f t="shared" si="1"/>
        <v>35.528570000000002</v>
      </c>
      <c r="I9" s="41">
        <v>0</v>
      </c>
      <c r="K9" s="41">
        <f t="shared" si="2"/>
        <v>35.528570000000002</v>
      </c>
    </row>
    <row r="10" spans="1:20">
      <c r="A10" s="852" t="s">
        <v>74</v>
      </c>
      <c r="B10" s="850">
        <f>9218365/100000</f>
        <v>92.18365</v>
      </c>
      <c r="D10" s="850">
        <f>90000/100000</f>
        <v>0.9</v>
      </c>
      <c r="E10" s="41">
        <f>9000/100000</f>
        <v>0.09</v>
      </c>
      <c r="G10" s="41">
        <f t="shared" si="0"/>
        <v>93.173650000000009</v>
      </c>
      <c r="H10" s="41">
        <f t="shared" si="1"/>
        <v>93.173650000000009</v>
      </c>
      <c r="I10" s="41">
        <f>+'Regulation 33 - Balance Sheet'!C15</f>
        <v>6</v>
      </c>
      <c r="K10" s="41">
        <f t="shared" si="2"/>
        <v>99.173650000000009</v>
      </c>
    </row>
    <row r="11" spans="1:20">
      <c r="A11" s="854" t="s">
        <v>1096</v>
      </c>
      <c r="B11" s="850">
        <v>0</v>
      </c>
      <c r="D11" s="850"/>
      <c r="G11" s="41">
        <f t="shared" si="0"/>
        <v>0</v>
      </c>
      <c r="H11" s="41">
        <f t="shared" si="1"/>
        <v>0</v>
      </c>
      <c r="I11" s="41">
        <f>+'Regulation 33 - Balance Sheet'!C16</f>
        <v>2.5287902999999998</v>
      </c>
      <c r="K11" s="41">
        <f t="shared" si="2"/>
        <v>2.5287902999999998</v>
      </c>
    </row>
    <row r="12" spans="1:20">
      <c r="A12" s="854"/>
      <c r="D12" s="850"/>
      <c r="H12" s="41">
        <f t="shared" si="1"/>
        <v>0</v>
      </c>
    </row>
    <row r="13" spans="1:20" ht="15" thickBot="1">
      <c r="A13" s="854"/>
      <c r="B13" s="869">
        <f>SUM(B4:B11)</f>
        <v>1926.5177441999997</v>
      </c>
      <c r="C13" s="869">
        <f t="shared" ref="C13:G13" si="3">SUM(C4:C11)</f>
        <v>273.35806459999998</v>
      </c>
      <c r="D13" s="869">
        <f t="shared" si="3"/>
        <v>0.9</v>
      </c>
      <c r="E13" s="869">
        <f t="shared" si="3"/>
        <v>0.26112479999999999</v>
      </c>
      <c r="F13" s="869">
        <f t="shared" si="3"/>
        <v>0</v>
      </c>
      <c r="G13" s="869">
        <f t="shared" si="3"/>
        <v>2201.0369335999999</v>
      </c>
      <c r="H13" s="868">
        <f>SUM(H4:H12)</f>
        <v>2201.0369335999999</v>
      </c>
      <c r="I13" s="868">
        <f>SUM(I4:I12)</f>
        <v>659.27199250000001</v>
      </c>
      <c r="J13" s="868">
        <f>SUM(J4:J12)</f>
        <v>-565.60559999999998</v>
      </c>
      <c r="K13" s="868">
        <f>SUM(K4:K12)+0.01</f>
        <v>2294.6933260999999</v>
      </c>
    </row>
    <row r="14" spans="1:20" ht="15" thickTop="1">
      <c r="A14" s="854"/>
      <c r="D14" s="850"/>
    </row>
    <row r="15" spans="1:20">
      <c r="A15" s="855" t="s">
        <v>75</v>
      </c>
      <c r="D15" s="850"/>
      <c r="P15" s="41" t="s">
        <v>1328</v>
      </c>
    </row>
    <row r="16" spans="1:20">
      <c r="A16" s="856" t="s">
        <v>76</v>
      </c>
      <c r="B16" s="850">
        <f>180230243/100000</f>
        <v>1802.30243</v>
      </c>
      <c r="C16" s="41">
        <f>(13904266.008+69141180)/100000</f>
        <v>830.45446007999999</v>
      </c>
      <c r="D16" s="850">
        <f>22683178.62/100000</f>
        <v>226.83178620000001</v>
      </c>
      <c r="E16" s="41">
        <f>11360158.262/100000</f>
        <v>113.60158262</v>
      </c>
      <c r="F16" s="41">
        <f>137.5/100000</f>
        <v>1.3749999999999999E-3</v>
      </c>
      <c r="G16" s="41">
        <f t="shared" si="0"/>
        <v>2973.1916338999995</v>
      </c>
      <c r="H16" s="41">
        <f>G16</f>
        <v>2973.1916338999995</v>
      </c>
      <c r="I16" s="41">
        <f>+'Regulation 33 - Balance Sheet'!C19</f>
        <v>3698.1820269899999</v>
      </c>
      <c r="K16" s="41">
        <f>H16+I16+J16</f>
        <v>6671.3736608899999</v>
      </c>
      <c r="M16" s="41" t="s">
        <v>1325</v>
      </c>
      <c r="N16" s="41">
        <v>-23948731.484000001</v>
      </c>
      <c r="P16" s="41">
        <v>13904266.007999999</v>
      </c>
    </row>
    <row r="17" spans="1:20 16384:16384">
      <c r="A17" s="856" t="s">
        <v>77</v>
      </c>
      <c r="D17" s="850"/>
      <c r="G17" s="41">
        <f t="shared" si="0"/>
        <v>0</v>
      </c>
      <c r="H17" s="41">
        <f t="shared" ref="H17:H27" si="4">G17</f>
        <v>0</v>
      </c>
      <c r="M17" s="41" t="s">
        <v>622</v>
      </c>
      <c r="N17" s="41">
        <v>-12078442.672</v>
      </c>
    </row>
    <row r="18" spans="1:20 16384:16384">
      <c r="A18" s="853" t="s">
        <v>1079</v>
      </c>
      <c r="B18" s="850">
        <v>0</v>
      </c>
      <c r="C18" s="41">
        <f>4706811.54/100000</f>
        <v>47.068115400000003</v>
      </c>
      <c r="D18" s="850"/>
      <c r="G18" s="41">
        <f t="shared" si="0"/>
        <v>47.068115400000003</v>
      </c>
      <c r="H18" s="41">
        <f t="shared" si="4"/>
        <v>47.068115400000003</v>
      </c>
      <c r="I18" s="41">
        <f>+'Regulation 33 - Balance Sheet'!C21</f>
        <v>0</v>
      </c>
      <c r="K18" s="41">
        <f>H18+I18+J18</f>
        <v>47.068115400000003</v>
      </c>
      <c r="M18" s="41" t="s">
        <v>625</v>
      </c>
      <c r="N18" s="41">
        <v>-751034.93</v>
      </c>
      <c r="S18" s="41">
        <f>-H5</f>
        <v>-420.06376999999998</v>
      </c>
    </row>
    <row r="19" spans="1:20 16384:16384">
      <c r="A19" s="853" t="s">
        <v>97</v>
      </c>
      <c r="B19" s="850">
        <f>101921745.99/100000</f>
        <v>1019.2174599</v>
      </c>
      <c r="D19" s="850">
        <f>1697943/100000</f>
        <v>16.979430000000001</v>
      </c>
      <c r="E19" s="41">
        <f>129488/100000</f>
        <v>1.29488</v>
      </c>
      <c r="F19" s="41">
        <f>48589/100000</f>
        <v>0.48588999999999999</v>
      </c>
      <c r="G19" s="41">
        <f t="shared" si="0"/>
        <v>1037.9776598999999</v>
      </c>
      <c r="H19" s="41">
        <f t="shared" si="4"/>
        <v>1037.9776598999999</v>
      </c>
      <c r="I19" s="41">
        <f>+'Regulation 33 - Balance Sheet'!C22</f>
        <v>23.08297</v>
      </c>
      <c r="K19" s="41">
        <f>H19+I19+J19</f>
        <v>1061.0606298999999</v>
      </c>
      <c r="M19" s="41" t="s">
        <v>1326</v>
      </c>
      <c r="N19" s="41">
        <v>0</v>
      </c>
      <c r="P19" s="41">
        <v>137.5</v>
      </c>
      <c r="S19" s="41">
        <f>G41</f>
        <v>360.25657999999999</v>
      </c>
    </row>
    <row r="20" spans="1:20 16384:16384">
      <c r="A20" s="857" t="s">
        <v>98</v>
      </c>
      <c r="B20" s="850">
        <f>1869.81/100000</f>
        <v>1.8698099999999999E-2</v>
      </c>
      <c r="C20" s="41">
        <f>((3651.68+40288145.35)/100000)</f>
        <v>402.91797030000004</v>
      </c>
      <c r="D20" s="850"/>
      <c r="E20" s="41">
        <f>1168/100000</f>
        <v>1.1679999999999999E-2</v>
      </c>
      <c r="F20" s="41">
        <f>2088/100000</f>
        <v>2.0879999999999999E-2</v>
      </c>
      <c r="G20" s="41">
        <f t="shared" si="0"/>
        <v>402.96922840000002</v>
      </c>
      <c r="H20" s="41">
        <f t="shared" si="4"/>
        <v>402.96922840000002</v>
      </c>
      <c r="I20" s="41">
        <f>+'Regulation 33 - Balance Sheet'!C23</f>
        <v>11.14741248</v>
      </c>
      <c r="K20" s="41">
        <f>H20+I20+J20</f>
        <v>414.11664088000003</v>
      </c>
      <c r="M20" s="41" t="s">
        <v>1327</v>
      </c>
      <c r="N20" s="41">
        <v>-35747941.789999999</v>
      </c>
      <c r="S20" s="41">
        <f>G50</f>
        <v>73.476320000000001</v>
      </c>
    </row>
    <row r="21" spans="1:20 16384:16384">
      <c r="A21" s="853" t="s">
        <v>285</v>
      </c>
      <c r="D21" s="850"/>
      <c r="G21" s="41">
        <f t="shared" si="0"/>
        <v>0</v>
      </c>
      <c r="H21" s="41">
        <f t="shared" si="4"/>
        <v>0</v>
      </c>
      <c r="I21" s="41">
        <f>+'Regulation 33 - Balance Sheet'!C24</f>
        <v>0</v>
      </c>
      <c r="N21" s="41">
        <f>SUM(N16:N20)</f>
        <v>-72526150.876000002</v>
      </c>
    </row>
    <row r="22" spans="1:20 16384:16384">
      <c r="A22" s="853" t="s">
        <v>286</v>
      </c>
      <c r="C22" s="41">
        <f>(174180348.58)/100000</f>
        <v>1741.8034858000001</v>
      </c>
      <c r="D22" s="850"/>
      <c r="G22" s="41">
        <f t="shared" si="0"/>
        <v>1741.8034858000001</v>
      </c>
      <c r="H22" s="41">
        <f t="shared" si="4"/>
        <v>1741.8034858000001</v>
      </c>
      <c r="I22" s="41">
        <f>+'Regulation 33 - Balance Sheet'!C25</f>
        <v>0</v>
      </c>
      <c r="J22" s="41">
        <f>-H22</f>
        <v>-1741.8034858000001</v>
      </c>
      <c r="K22" s="41">
        <f>H22+I22+J22</f>
        <v>0</v>
      </c>
    </row>
    <row r="23" spans="1:20 16384:16384">
      <c r="A23" s="853" t="s">
        <v>287</v>
      </c>
      <c r="B23" s="850">
        <f>(122000+86598+3675550)/100000</f>
        <v>38.841479999999997</v>
      </c>
      <c r="C23" s="41">
        <f>((267500+707365+2433722+211259)/100000)</f>
        <v>36.198459999999997</v>
      </c>
      <c r="D23" s="850">
        <f>613950/100000</f>
        <v>6.1395</v>
      </c>
      <c r="E23" s="41">
        <f>282925/100000</f>
        <v>2.82925</v>
      </c>
      <c r="G23" s="41">
        <f t="shared" si="0"/>
        <v>84.008690000000001</v>
      </c>
      <c r="H23" s="41">
        <f t="shared" si="4"/>
        <v>84.008690000000001</v>
      </c>
      <c r="I23" s="41">
        <f>+'Regulation 33 - Balance Sheet'!C26</f>
        <v>51.330002500000006</v>
      </c>
      <c r="K23" s="41">
        <f>H23+I23+J23</f>
        <v>135.33869250000001</v>
      </c>
    </row>
    <row r="24" spans="1:20 16384:16384">
      <c r="A24" s="852" t="s">
        <v>78</v>
      </c>
      <c r="B24" s="850">
        <f>(514304+2380245.54+4192848+405842.87)/100000</f>
        <v>74.932404099999999</v>
      </c>
      <c r="C24" s="41">
        <f>(589778.34+128250+266959.82+8166434.29)/100000</f>
        <v>91.514224499999997</v>
      </c>
      <c r="D24" s="850">
        <f>((8968048.198+316541)/100000)</f>
        <v>92.845891980000005</v>
      </c>
      <c r="E24" s="41">
        <f>(124625.744+23137+1845355.536)/100000</f>
        <v>19.931182800000002</v>
      </c>
      <c r="F24" s="41">
        <f>2651.98/100000</f>
        <v>2.65198E-2</v>
      </c>
      <c r="G24" s="41">
        <f t="shared" si="0"/>
        <v>279.25022317999998</v>
      </c>
      <c r="H24" s="41">
        <f t="shared" si="4"/>
        <v>279.25022317999998</v>
      </c>
      <c r="I24" s="41">
        <f>+'Regulation 33 - Balance Sheet'!C27</f>
        <v>164.23128328999999</v>
      </c>
      <c r="K24" s="41">
        <f>H24+I24+J24</f>
        <v>443.48150647</v>
      </c>
      <c r="S24" s="41">
        <v>1700.6663062950493</v>
      </c>
    </row>
    <row r="25" spans="1:20 16384:16384">
      <c r="A25" s="852" t="s">
        <v>424</v>
      </c>
      <c r="B25" s="850">
        <v>0</v>
      </c>
      <c r="C25" s="41">
        <f>(44857604/100000)-(41978712/100000)</f>
        <v>28.788919999999962</v>
      </c>
      <c r="D25" s="850"/>
      <c r="E25" s="41">
        <v>0</v>
      </c>
      <c r="F25" s="41">
        <f>46278.48/100000</f>
        <v>0.46278480000000005</v>
      </c>
      <c r="G25" s="41">
        <f t="shared" si="0"/>
        <v>29.251704799999963</v>
      </c>
      <c r="H25" s="41">
        <f t="shared" si="4"/>
        <v>29.251704799999963</v>
      </c>
      <c r="I25" s="41">
        <v>0</v>
      </c>
      <c r="K25" s="41">
        <f>H25+I25+J25</f>
        <v>29.251704799999963</v>
      </c>
      <c r="S25" s="41">
        <v>-2064.2989893600002</v>
      </c>
    </row>
    <row r="26" spans="1:20 16384:16384">
      <c r="A26" s="852" t="s">
        <v>1340</v>
      </c>
      <c r="B26" s="850">
        <f>(43198495.92/100000)+0.01</f>
        <v>431.99495919999998</v>
      </c>
      <c r="C26" s="41">
        <f>17667512.804/100000</f>
        <v>176.67512804</v>
      </c>
      <c r="D26" s="850"/>
      <c r="E26" s="41">
        <v>0</v>
      </c>
      <c r="G26" s="41">
        <f t="shared" si="0"/>
        <v>608.67008723999993</v>
      </c>
      <c r="H26" s="41">
        <v>0</v>
      </c>
      <c r="I26" s="41">
        <v>0</v>
      </c>
      <c r="K26" s="41">
        <f>H26+I26+J26</f>
        <v>0</v>
      </c>
      <c r="S26" s="41">
        <f>SUM(S24:S25)</f>
        <v>-363.63268306495092</v>
      </c>
    </row>
    <row r="27" spans="1:20 16384:16384">
      <c r="A27" s="852"/>
      <c r="D27" s="850"/>
      <c r="G27" s="41">
        <f t="shared" si="0"/>
        <v>0</v>
      </c>
      <c r="H27" s="41">
        <f t="shared" si="4"/>
        <v>0</v>
      </c>
    </row>
    <row r="28" spans="1:20 16384:16384" ht="15" thickBot="1">
      <c r="A28" s="852"/>
      <c r="B28" s="869">
        <f>SUM(B16:B26)-0.01</f>
        <v>3367.2974312999995</v>
      </c>
      <c r="C28" s="869">
        <f>SUM(C16:C26)</f>
        <v>3355.4207641200005</v>
      </c>
      <c r="D28" s="869">
        <f>SUM(D16:D26)</f>
        <v>342.79660818000002</v>
      </c>
      <c r="E28" s="869">
        <f>SUM(E16:E26)</f>
        <v>137.66857542000002</v>
      </c>
      <c r="F28" s="869">
        <f>SUM(F16:F26)</f>
        <v>0.99744959999999994</v>
      </c>
      <c r="G28" s="868">
        <f t="shared" si="0"/>
        <v>7204.1808286200012</v>
      </c>
      <c r="H28" s="868">
        <f>SUM(H16:H27)</f>
        <v>6595.520741379999</v>
      </c>
      <c r="I28" s="868">
        <f>SUM(I16:I27)</f>
        <v>3947.9736952600001</v>
      </c>
      <c r="J28" s="868">
        <f>SUM(J16:J27)</f>
        <v>-1741.8034858000001</v>
      </c>
      <c r="K28" s="868">
        <f>SUM(K16:K27)</f>
        <v>8801.6909508399985</v>
      </c>
      <c r="XFD28" s="868"/>
    </row>
    <row r="29" spans="1:20 16384:16384" ht="15" thickTop="1">
      <c r="A29" s="857"/>
      <c r="D29" s="850"/>
      <c r="G29" s="41">
        <f t="shared" si="0"/>
        <v>0</v>
      </c>
    </row>
    <row r="30" spans="1:20 16384:16384" ht="15" thickBot="1">
      <c r="A30" s="855" t="s">
        <v>79</v>
      </c>
      <c r="B30" s="868">
        <f>B13+B28</f>
        <v>5293.815175499999</v>
      </c>
      <c r="C30" s="868">
        <f>C13+C28</f>
        <v>3628.7788287200005</v>
      </c>
      <c r="D30" s="868">
        <f>D13+D28</f>
        <v>343.69660818</v>
      </c>
      <c r="E30" s="868">
        <f>E13+E28</f>
        <v>137.92970022000003</v>
      </c>
      <c r="F30" s="868">
        <f>F13+F28</f>
        <v>0.99744959999999994</v>
      </c>
      <c r="G30" s="868">
        <f t="shared" si="0"/>
        <v>9405.2177622199997</v>
      </c>
      <c r="H30" s="868">
        <f>+H28+H13</f>
        <v>8796.5576749799984</v>
      </c>
      <c r="I30" s="868">
        <f>+I28+I13-0.01</f>
        <v>4607.2356877599996</v>
      </c>
      <c r="J30" s="868">
        <f>+J28+J13-0.01</f>
        <v>-2307.4190858000002</v>
      </c>
      <c r="K30" s="868">
        <f>+K28+K13</f>
        <v>11096.384276939998</v>
      </c>
      <c r="S30" s="41">
        <f>K30-K61</f>
        <v>-1422.5691888746987</v>
      </c>
      <c r="T30" s="41">
        <f>S30*100000</f>
        <v>-142256918.88746989</v>
      </c>
    </row>
    <row r="31" spans="1:20 16384:16384" ht="15" thickTop="1">
      <c r="A31" s="854"/>
      <c r="D31" s="850"/>
    </row>
    <row r="32" spans="1:20 16384:16384">
      <c r="A32" s="858" t="s">
        <v>80</v>
      </c>
      <c r="D32" s="850"/>
      <c r="G32" s="41">
        <f t="shared" si="0"/>
        <v>0</v>
      </c>
    </row>
    <row r="33" spans="1:11">
      <c r="A33" s="855" t="s">
        <v>81</v>
      </c>
      <c r="D33" s="850"/>
      <c r="G33" s="41">
        <f t="shared" si="0"/>
        <v>0</v>
      </c>
    </row>
    <row r="34" spans="1:11">
      <c r="A34" s="852" t="s">
        <v>82</v>
      </c>
      <c r="B34" s="850">
        <v>0</v>
      </c>
      <c r="C34" s="41">
        <f>20200200/100000</f>
        <v>202.00200000000001</v>
      </c>
      <c r="D34" s="850"/>
      <c r="G34" s="41">
        <f t="shared" si="0"/>
        <v>202.00200000000001</v>
      </c>
      <c r="H34" s="41">
        <f>+G34</f>
        <v>202.00200000000001</v>
      </c>
      <c r="I34" s="41">
        <f>+'Regulation 33 - Balance Sheet'!C34</f>
        <v>883.14300000000003</v>
      </c>
      <c r="J34" s="41">
        <f>-H34</f>
        <v>-202.00200000000001</v>
      </c>
      <c r="K34" s="41">
        <f>H34+I34+J34</f>
        <v>883.14300000000003</v>
      </c>
    </row>
    <row r="35" spans="1:11">
      <c r="A35" s="852" t="s">
        <v>83</v>
      </c>
      <c r="B35" s="850">
        <f>-35905647.4/100000</f>
        <v>-359.05647399999998</v>
      </c>
      <c r="C35" s="41">
        <f>(148396274.126/100000)-(24728139.204/100000)</f>
        <v>1236.6813492199999</v>
      </c>
      <c r="D35" s="850">
        <f>-12078442.672/100000</f>
        <v>-120.78442672</v>
      </c>
      <c r="E35" s="41">
        <f>-751252/100000</f>
        <v>-7.5125200000000003</v>
      </c>
      <c r="F35" s="41">
        <f>137.5/100000</f>
        <v>1.3749999999999999E-3</v>
      </c>
      <c r="G35" s="41">
        <f t="shared" si="0"/>
        <v>749.32930349999992</v>
      </c>
      <c r="H35" s="41">
        <f>+G35</f>
        <v>749.32930349999992</v>
      </c>
      <c r="I35" s="41">
        <f>+'Regulation 33 - Balance Sheet'!C35</f>
        <v>1314.96968586</v>
      </c>
      <c r="J35" s="41">
        <v>0</v>
      </c>
      <c r="K35" s="41">
        <f>+T6+0.01</f>
        <v>3123.2454063146961</v>
      </c>
    </row>
    <row r="36" spans="1:11" ht="15" thickBot="1">
      <c r="A36" s="850"/>
      <c r="B36" s="869">
        <f>SUM(B34:B35)</f>
        <v>-359.05647399999998</v>
      </c>
      <c r="C36" s="869">
        <f t="shared" ref="C36:F36" si="5">SUM(C34:C35)</f>
        <v>1438.6833492199999</v>
      </c>
      <c r="D36" s="869">
        <f t="shared" si="5"/>
        <v>-120.78442672</v>
      </c>
      <c r="E36" s="869">
        <f t="shared" si="5"/>
        <v>-7.5125200000000003</v>
      </c>
      <c r="F36" s="869">
        <f t="shared" si="5"/>
        <v>1.3749999999999999E-3</v>
      </c>
      <c r="G36" s="868">
        <f t="shared" si="0"/>
        <v>951.33130349999988</v>
      </c>
      <c r="H36" s="868">
        <f>SUM(H34:H35)</f>
        <v>951.33130349999988</v>
      </c>
      <c r="I36" s="849">
        <f>SUM(I34:I35)</f>
        <v>2198.1126858600001</v>
      </c>
      <c r="J36" s="849">
        <f>SUM(J34:J35)</f>
        <v>-202.00200000000001</v>
      </c>
      <c r="K36" s="849">
        <f>SUM(K34:K35)</f>
        <v>4006.3884063146961</v>
      </c>
    </row>
    <row r="37" spans="1:11" ht="15" thickTop="1">
      <c r="A37" s="855" t="s">
        <v>84</v>
      </c>
      <c r="D37" s="850"/>
    </row>
    <row r="38" spans="1:11">
      <c r="A38" s="859" t="s">
        <v>85</v>
      </c>
      <c r="D38" s="850"/>
      <c r="G38" s="41">
        <f t="shared" si="0"/>
        <v>0</v>
      </c>
    </row>
    <row r="39" spans="1:11">
      <c r="A39" s="494" t="s">
        <v>86</v>
      </c>
      <c r="D39" s="850"/>
    </row>
    <row r="40" spans="1:11">
      <c r="A40" s="493" t="s">
        <v>87</v>
      </c>
      <c r="B40" s="850">
        <f>238708310/100000</f>
        <v>2387.0830999999998</v>
      </c>
      <c r="D40" s="850"/>
      <c r="G40" s="41">
        <f t="shared" si="0"/>
        <v>2387.0830999999998</v>
      </c>
      <c r="H40" s="41">
        <f>+G40</f>
        <v>2387.0830999999998</v>
      </c>
      <c r="I40" s="41">
        <f>+'Regulation 33 - Balance Sheet'!C40</f>
        <v>6.7870900000000001</v>
      </c>
      <c r="K40" s="41">
        <f>H40+I40+J40</f>
        <v>2393.8701899999996</v>
      </c>
    </row>
    <row r="41" spans="1:11">
      <c r="A41" s="493" t="s">
        <v>429</v>
      </c>
      <c r="B41" s="850">
        <f>((43373290/100000)-B50)</f>
        <v>360.25657999999999</v>
      </c>
      <c r="D41" s="850"/>
      <c r="G41" s="41">
        <f t="shared" si="0"/>
        <v>360.25657999999999</v>
      </c>
      <c r="H41" s="41">
        <f t="shared" ref="H41:H44" si="6">+G41</f>
        <v>360.25657999999999</v>
      </c>
      <c r="I41" s="41">
        <f>+'Regulation 33 - Balance Sheet'!C41</f>
        <v>41.252250000000004</v>
      </c>
      <c r="K41" s="41">
        <f>H41+I41+J41</f>
        <v>401.50882999999999</v>
      </c>
    </row>
    <row r="42" spans="1:11">
      <c r="A42" s="494" t="s">
        <v>88</v>
      </c>
      <c r="D42" s="850"/>
      <c r="G42" s="41">
        <f t="shared" si="0"/>
        <v>0</v>
      </c>
      <c r="H42" s="41">
        <f t="shared" si="6"/>
        <v>0</v>
      </c>
      <c r="I42" s="41">
        <f>+'Regulation 33 - Balance Sheet'!C42</f>
        <v>0</v>
      </c>
      <c r="K42" s="41">
        <f>H42+I42+J42</f>
        <v>0</v>
      </c>
    </row>
    <row r="43" spans="1:11">
      <c r="A43" s="494" t="s">
        <v>99</v>
      </c>
      <c r="C43" s="41">
        <f>6710189.72/100000</f>
        <v>67.101897199999996</v>
      </c>
      <c r="D43" s="850"/>
      <c r="G43" s="41">
        <f t="shared" si="0"/>
        <v>67.101897199999996</v>
      </c>
      <c r="H43" s="41">
        <f t="shared" si="6"/>
        <v>67.101897199999996</v>
      </c>
      <c r="I43" s="41">
        <f>+'Regulation 33 - Balance Sheet'!C43</f>
        <v>0</v>
      </c>
      <c r="K43" s="41">
        <f>H43+I43+J43</f>
        <v>67.101897199999996</v>
      </c>
    </row>
    <row r="44" spans="1:11">
      <c r="A44" s="494" t="s">
        <v>489</v>
      </c>
      <c r="D44" s="850"/>
      <c r="G44" s="41">
        <f t="shared" si="0"/>
        <v>0</v>
      </c>
      <c r="H44" s="41">
        <f t="shared" si="6"/>
        <v>0</v>
      </c>
      <c r="I44" s="41">
        <f>+'Regulation 33 - Balance Sheet'!C44</f>
        <v>0</v>
      </c>
      <c r="K44" s="41">
        <f>H44+I44+J44</f>
        <v>0</v>
      </c>
    </row>
    <row r="45" spans="1:11" ht="15" thickBot="1">
      <c r="A45" s="494"/>
      <c r="B45" s="869">
        <f>SUM(B39:B44)</f>
        <v>2747.33968</v>
      </c>
      <c r="C45" s="869">
        <f t="shared" ref="C45:H45" si="7">SUM(C39:C44)</f>
        <v>67.101897199999996</v>
      </c>
      <c r="D45" s="869">
        <f t="shared" si="7"/>
        <v>0</v>
      </c>
      <c r="E45" s="869">
        <f t="shared" si="7"/>
        <v>0</v>
      </c>
      <c r="F45" s="869">
        <f t="shared" si="7"/>
        <v>0</v>
      </c>
      <c r="G45" s="869">
        <f t="shared" si="7"/>
        <v>2814.4415772000002</v>
      </c>
      <c r="H45" s="868">
        <f t="shared" si="7"/>
        <v>2814.4415772000002</v>
      </c>
      <c r="I45" s="868">
        <f>SUM(I40:I44)</f>
        <v>48.039340000000003</v>
      </c>
      <c r="J45" s="868">
        <f>SUM(J40:J44)</f>
        <v>0</v>
      </c>
      <c r="K45" s="868">
        <f>SUM(K40:K44)</f>
        <v>2862.4809171999996</v>
      </c>
    </row>
    <row r="46" spans="1:11" ht="15" thickTop="1">
      <c r="A46" s="494"/>
      <c r="D46" s="850"/>
    </row>
    <row r="47" spans="1:11">
      <c r="A47" s="859" t="s">
        <v>89</v>
      </c>
      <c r="D47" s="850"/>
    </row>
    <row r="48" spans="1:11">
      <c r="A48" s="494" t="s">
        <v>86</v>
      </c>
      <c r="D48" s="850"/>
      <c r="G48" s="41">
        <f t="shared" si="0"/>
        <v>0</v>
      </c>
      <c r="H48" s="41">
        <f>G48</f>
        <v>0</v>
      </c>
    </row>
    <row r="49" spans="1:11">
      <c r="A49" s="860" t="s">
        <v>1077</v>
      </c>
      <c r="C49" s="41">
        <f>(171177322.69+20397047+576845)/100000</f>
        <v>1921.5121469000001</v>
      </c>
      <c r="D49" s="850"/>
      <c r="G49" s="41">
        <f t="shared" si="0"/>
        <v>1921.5121469000001</v>
      </c>
      <c r="H49" s="41">
        <f t="shared" ref="H49:H60" si="8">G49</f>
        <v>1921.5121469000001</v>
      </c>
      <c r="I49" s="41">
        <f>+'Regulation 33 - Balance Sheet'!C47</f>
        <v>1755.3199908000001</v>
      </c>
      <c r="J49" s="41">
        <f>-174180348.58/100000</f>
        <v>-1741.8034858000001</v>
      </c>
      <c r="K49" s="41">
        <f>H49+I49+J49</f>
        <v>1935.0286519000001</v>
      </c>
    </row>
    <row r="50" spans="1:11">
      <c r="A50" s="493" t="s">
        <v>1078</v>
      </c>
      <c r="B50" s="850">
        <f>7347632/100000</f>
        <v>73.476320000000001</v>
      </c>
      <c r="D50" s="850"/>
      <c r="G50" s="41">
        <f t="shared" si="0"/>
        <v>73.476320000000001</v>
      </c>
      <c r="H50" s="41">
        <f t="shared" si="8"/>
        <v>73.476320000000001</v>
      </c>
      <c r="I50" s="41">
        <f>+'Regulation 33 - Balance Sheet'!C49</f>
        <v>23.33775</v>
      </c>
      <c r="K50" s="41">
        <f>H50+I50+J50+0.01</f>
        <v>96.824070000000006</v>
      </c>
    </row>
    <row r="51" spans="1:11">
      <c r="A51" s="493" t="s">
        <v>1088</v>
      </c>
      <c r="D51" s="850"/>
      <c r="G51" s="41">
        <f t="shared" si="0"/>
        <v>0</v>
      </c>
      <c r="H51" s="41">
        <f t="shared" si="8"/>
        <v>0</v>
      </c>
      <c r="I51" s="41">
        <v>0</v>
      </c>
      <c r="K51" s="41">
        <f>H51+I51+J51</f>
        <v>0</v>
      </c>
    </row>
    <row r="52" spans="1:11">
      <c r="A52" s="861" t="s">
        <v>422</v>
      </c>
      <c r="D52" s="850"/>
      <c r="G52" s="41">
        <f t="shared" si="0"/>
        <v>0</v>
      </c>
      <c r="H52" s="41">
        <f t="shared" si="8"/>
        <v>0</v>
      </c>
      <c r="I52" s="41">
        <f>+'Regulation 33 - Balance Sheet'!C50</f>
        <v>0</v>
      </c>
      <c r="K52" s="41">
        <f>H52+I52+J52</f>
        <v>0</v>
      </c>
    </row>
    <row r="53" spans="1:11">
      <c r="A53" s="861" t="s">
        <v>1308</v>
      </c>
      <c r="B53" s="850">
        <f>277250921.52/100000</f>
        <v>2772.5092151999997</v>
      </c>
      <c r="C53" s="41">
        <f>15837128.48/100000</f>
        <v>158.37128480000001</v>
      </c>
      <c r="D53" s="850">
        <f>97936/100000</f>
        <v>0.97936000000000001</v>
      </c>
      <c r="E53" s="41">
        <f>104019/100000</f>
        <v>1.0401899999999999</v>
      </c>
      <c r="G53" s="41">
        <f t="shared" si="0"/>
        <v>2932.9000499999997</v>
      </c>
      <c r="H53" s="41">
        <f t="shared" si="8"/>
        <v>2932.9000499999997</v>
      </c>
      <c r="I53" s="41">
        <f>+'Regulation 33 - Balance Sheet'!C52</f>
        <v>325.46634610000001</v>
      </c>
      <c r="J53" s="41">
        <f>16611128/100000</f>
        <v>166.11127999999999</v>
      </c>
      <c r="K53" s="41">
        <f>H53+I53+J53</f>
        <v>3424.4776760999998</v>
      </c>
    </row>
    <row r="54" spans="1:11">
      <c r="A54" s="493" t="s">
        <v>430</v>
      </c>
      <c r="B54" s="850">
        <f>(356178+323836+1288842)/100000</f>
        <v>19.688559999999999</v>
      </c>
      <c r="C54" s="41">
        <f>1538918/100000</f>
        <v>15.38918</v>
      </c>
      <c r="D54" s="850"/>
      <c r="G54" s="41">
        <f t="shared" si="0"/>
        <v>35.077739999999999</v>
      </c>
      <c r="H54" s="41">
        <f t="shared" si="8"/>
        <v>35.077739999999999</v>
      </c>
      <c r="I54" s="41">
        <f>+'Regulation 33 - Balance Sheet'!C53</f>
        <v>55.53022</v>
      </c>
      <c r="K54" s="41">
        <f t="shared" ref="K54:K58" si="9">H54+I54+J54</f>
        <v>90.607959999999991</v>
      </c>
    </row>
    <row r="55" spans="1:11">
      <c r="A55" s="494" t="s">
        <v>91</v>
      </c>
      <c r="B55" s="850">
        <f>(1762618.79+346993.64)/100000</f>
        <v>21.096124300000003</v>
      </c>
      <c r="C55" s="41">
        <f>(210001+152724)/100000</f>
        <v>3.6272500000000001</v>
      </c>
      <c r="D55" s="850">
        <f>5201/100000</f>
        <v>5.2010000000000001E-2</v>
      </c>
      <c r="E55" s="41">
        <f>5869/100000</f>
        <v>5.8689999999999999E-2</v>
      </c>
      <c r="G55" s="41">
        <f t="shared" si="0"/>
        <v>24.834074300000001</v>
      </c>
      <c r="H55" s="41">
        <f t="shared" si="8"/>
        <v>24.834074300000001</v>
      </c>
      <c r="I55" s="41">
        <f>+'Regulation 33 - Balance Sheet'!C54</f>
        <v>168.18751</v>
      </c>
      <c r="J55" s="41">
        <f>-16611128/100000</f>
        <v>-166.11127999999999</v>
      </c>
      <c r="K55" s="41">
        <f t="shared" si="9"/>
        <v>26.910304300000007</v>
      </c>
    </row>
    <row r="56" spans="1:11">
      <c r="A56" s="494" t="s">
        <v>100</v>
      </c>
      <c r="B56" s="850">
        <f>1876176/100000</f>
        <v>18.761759999999999</v>
      </c>
      <c r="C56" s="41">
        <f>2409472/100000</f>
        <v>24.094719999999999</v>
      </c>
      <c r="D56" s="850">
        <f>9300/100000</f>
        <v>9.2999999999999999E-2</v>
      </c>
      <c r="E56" s="41">
        <f>3600/100000</f>
        <v>3.5999999999999997E-2</v>
      </c>
      <c r="G56" s="41">
        <f t="shared" si="0"/>
        <v>42.985480000000003</v>
      </c>
      <c r="H56" s="41">
        <f t="shared" si="8"/>
        <v>42.985480000000003</v>
      </c>
      <c r="I56" s="41">
        <f>+'Regulation 33 - Balance Sheet'!C55</f>
        <v>33.24</v>
      </c>
      <c r="K56" s="41">
        <f t="shared" si="9"/>
        <v>76.225480000000005</v>
      </c>
    </row>
    <row r="57" spans="1:11">
      <c r="A57" s="494" t="s">
        <v>432</v>
      </c>
      <c r="D57" s="850"/>
      <c r="G57" s="41">
        <f t="shared" si="0"/>
        <v>0</v>
      </c>
      <c r="H57" s="41">
        <f t="shared" si="8"/>
        <v>0</v>
      </c>
      <c r="I57" s="41">
        <f>+'Regulation 33 - Balance Sheet'!C56</f>
        <v>0</v>
      </c>
      <c r="K57" s="41">
        <f t="shared" si="9"/>
        <v>0</v>
      </c>
    </row>
    <row r="58" spans="1:11">
      <c r="A58" s="494" t="s">
        <v>1340</v>
      </c>
      <c r="D58" s="850">
        <f>46335666.49/100000</f>
        <v>463.3566649</v>
      </c>
      <c r="E58" s="41">
        <f>14430734.418/100000</f>
        <v>144.30734418</v>
      </c>
      <c r="F58" s="41">
        <f>99607.46/100000</f>
        <v>0.99607460000000003</v>
      </c>
      <c r="G58" s="41">
        <f t="shared" si="0"/>
        <v>608.66008368000007</v>
      </c>
      <c r="H58" s="41">
        <v>0</v>
      </c>
      <c r="I58" s="41">
        <f>+'Regulation 33 - Balance Sheet'!C56</f>
        <v>0</v>
      </c>
      <c r="K58" s="41">
        <f t="shared" si="9"/>
        <v>0</v>
      </c>
    </row>
    <row r="59" spans="1:11" ht="15" thickBot="1">
      <c r="A59" s="494"/>
      <c r="B59" s="869">
        <f>SUM(B48:B57)</f>
        <v>2905.5319795</v>
      </c>
      <c r="C59" s="869">
        <f t="shared" ref="C59" si="10">SUM(C48:C57)</f>
        <v>2122.9945817000003</v>
      </c>
      <c r="D59" s="869">
        <f>SUM(D48:D58)</f>
        <v>464.4810349</v>
      </c>
      <c r="E59" s="869">
        <f t="shared" ref="E59:G59" si="11">SUM(E48:E58)</f>
        <v>145.44222418000001</v>
      </c>
      <c r="F59" s="869">
        <f t="shared" si="11"/>
        <v>0.99607460000000003</v>
      </c>
      <c r="G59" s="869">
        <f t="shared" si="11"/>
        <v>5639.4458948799993</v>
      </c>
      <c r="H59" s="868">
        <f>SUM(H48:H58)</f>
        <v>5030.7858111999994</v>
      </c>
      <c r="I59" s="868">
        <f>SUM(I49:I58)+0.01</f>
        <v>2361.0918169000006</v>
      </c>
      <c r="J59" s="868">
        <f>SUM(J49:J58)+0.01</f>
        <v>-1741.7934858000001</v>
      </c>
      <c r="K59" s="868">
        <f>SUM(K49:K58)+0.01</f>
        <v>5650.0841423000011</v>
      </c>
    </row>
    <row r="60" spans="1:11" ht="15" thickTop="1">
      <c r="A60" s="850"/>
      <c r="D60" s="850"/>
      <c r="H60" s="41">
        <f t="shared" si="8"/>
        <v>0</v>
      </c>
    </row>
    <row r="61" spans="1:11" ht="15" thickBot="1">
      <c r="A61" s="855" t="s">
        <v>92</v>
      </c>
      <c r="B61" s="868">
        <f>+B36+B45+B59</f>
        <v>5293.8151854999996</v>
      </c>
      <c r="C61" s="868">
        <f t="shared" ref="C61:G61" si="12">+C36+C45+C59</f>
        <v>3628.7798281200003</v>
      </c>
      <c r="D61" s="868">
        <f t="shared" si="12"/>
        <v>343.69660818</v>
      </c>
      <c r="E61" s="868">
        <f t="shared" si="12"/>
        <v>137.92970418000002</v>
      </c>
      <c r="F61" s="868">
        <f t="shared" si="12"/>
        <v>0.99744960000000005</v>
      </c>
      <c r="G61" s="868">
        <f t="shared" si="12"/>
        <v>9405.2187755800005</v>
      </c>
      <c r="H61" s="868">
        <f>+H59+H45+H36</f>
        <v>8796.5586918999998</v>
      </c>
      <c r="I61" s="868">
        <f>+I59+I45+I36</f>
        <v>4607.2438427600009</v>
      </c>
      <c r="J61" s="868">
        <f>+J59+J45+J36</f>
        <v>-1943.7954858000001</v>
      </c>
      <c r="K61" s="868">
        <f>+K59+K45+K36</f>
        <v>12518.953465814697</v>
      </c>
    </row>
    <row r="62" spans="1:11" ht="15" thickTop="1">
      <c r="A62" s="850"/>
    </row>
    <row r="63" spans="1:11">
      <c r="A63" s="850"/>
    </row>
    <row r="64" spans="1:11">
      <c r="A64" s="850"/>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N12"/>
  <sheetViews>
    <sheetView showGridLines="0" workbookViewId="0">
      <selection activeCell="G7" sqref="G7"/>
    </sheetView>
  </sheetViews>
  <sheetFormatPr defaultColWidth="8.81640625" defaultRowHeight="14.5"/>
  <cols>
    <col min="2" max="2" width="20.1796875" hidden="1" customWidth="1"/>
    <col min="3" max="3" width="16.7265625" hidden="1" customWidth="1"/>
    <col min="4" max="4" width="14.26953125" style="615" hidden="1" customWidth="1"/>
    <col min="5" max="5" width="14.26953125" style="616" hidden="1" customWidth="1"/>
    <col min="7" max="7" width="10" customWidth="1"/>
    <col min="8" max="8" width="26.7265625" customWidth="1"/>
    <col min="9" max="9" width="13.1796875" style="615" bestFit="1" customWidth="1"/>
    <col min="10" max="10" width="12.26953125" customWidth="1"/>
    <col min="14" max="14" width="10" bestFit="1" customWidth="1"/>
  </cols>
  <sheetData>
    <row r="2" spans="2:14" ht="15" thickBot="1"/>
    <row r="3" spans="2:14" ht="15" thickBot="1">
      <c r="B3" s="1243" t="s">
        <v>616</v>
      </c>
      <c r="C3" s="1244"/>
      <c r="D3" s="1244"/>
      <c r="E3" s="1245"/>
      <c r="G3" s="1246">
        <v>0</v>
      </c>
      <c r="H3" s="1247"/>
      <c r="I3" s="1247"/>
      <c r="J3" s="1248"/>
    </row>
    <row r="4" spans="2:14" ht="15" thickBot="1">
      <c r="B4" s="1249" t="s">
        <v>250</v>
      </c>
      <c r="C4" s="1250"/>
      <c r="D4" s="1251" t="s">
        <v>617</v>
      </c>
      <c r="E4" s="1253" t="s">
        <v>618</v>
      </c>
      <c r="G4" s="1243" t="s">
        <v>250</v>
      </c>
      <c r="H4" s="1255"/>
      <c r="I4" s="1256" t="s">
        <v>617</v>
      </c>
      <c r="J4" s="1258" t="s">
        <v>618</v>
      </c>
    </row>
    <row r="5" spans="2:14" ht="15" thickBot="1">
      <c r="B5" s="617" t="s">
        <v>619</v>
      </c>
      <c r="C5" s="618" t="s">
        <v>620</v>
      </c>
      <c r="D5" s="1252"/>
      <c r="E5" s="1254"/>
      <c r="G5" s="619" t="s">
        <v>619</v>
      </c>
      <c r="H5" s="620" t="s">
        <v>620</v>
      </c>
      <c r="I5" s="1257"/>
      <c r="J5" s="1259"/>
    </row>
    <row r="6" spans="2:14">
      <c r="B6" s="621" t="s">
        <v>621</v>
      </c>
      <c r="C6" s="622" t="s">
        <v>622</v>
      </c>
      <c r="D6" s="623">
        <v>7648767.5</v>
      </c>
      <c r="E6" s="624">
        <f t="shared" ref="E6:E12" si="0">+D6/100000</f>
        <v>76.487674999999996</v>
      </c>
      <c r="G6" s="625" t="s">
        <v>623</v>
      </c>
      <c r="H6" s="625" t="s">
        <v>624</v>
      </c>
      <c r="I6" s="626">
        <v>13402794</v>
      </c>
      <c r="J6" s="627">
        <f>I6/100000</f>
        <v>134.02794</v>
      </c>
      <c r="N6" s="117"/>
    </row>
    <row r="7" spans="2:14">
      <c r="B7" s="621" t="s">
        <v>621</v>
      </c>
      <c r="C7" s="622" t="s">
        <v>625</v>
      </c>
      <c r="D7" s="623">
        <v>22787905</v>
      </c>
      <c r="E7" s="624">
        <f t="shared" si="0"/>
        <v>227.87905000000001</v>
      </c>
      <c r="G7" s="628" t="s">
        <v>623</v>
      </c>
      <c r="H7" s="628" t="s">
        <v>626</v>
      </c>
      <c r="I7" s="623">
        <v>78354411</v>
      </c>
      <c r="J7" s="629">
        <f>I7/100000</f>
        <v>783.54411000000005</v>
      </c>
    </row>
    <row r="8" spans="2:14">
      <c r="B8" s="621" t="s">
        <v>627</v>
      </c>
      <c r="C8" s="622" t="s">
        <v>621</v>
      </c>
      <c r="D8" s="623">
        <v>252711812.80000001</v>
      </c>
      <c r="E8" s="624">
        <f t="shared" si="0"/>
        <v>2527.1181280000001</v>
      </c>
      <c r="G8" s="628" t="s">
        <v>623</v>
      </c>
      <c r="H8" s="628" t="s">
        <v>630</v>
      </c>
      <c r="I8" s="630">
        <v>1096537.5</v>
      </c>
      <c r="J8" s="629">
        <f>I8/100000</f>
        <v>10.965375</v>
      </c>
    </row>
    <row r="9" spans="2:14">
      <c r="B9" s="631"/>
      <c r="C9" s="632"/>
      <c r="D9" s="630"/>
      <c r="E9" s="633"/>
      <c r="G9" s="640"/>
      <c r="H9" s="637"/>
      <c r="I9" s="638"/>
      <c r="J9" s="639"/>
    </row>
    <row r="10" spans="2:14" ht="15" thickBot="1">
      <c r="B10" s="631"/>
      <c r="C10" s="632"/>
      <c r="D10" s="630"/>
      <c r="E10" s="633"/>
      <c r="G10" s="640"/>
      <c r="H10" s="637"/>
      <c r="I10" s="638"/>
      <c r="J10" s="639"/>
    </row>
    <row r="11" spans="2:14" ht="15" thickBot="1">
      <c r="B11" s="631"/>
      <c r="C11" s="632"/>
      <c r="D11" s="630"/>
      <c r="E11" s="633"/>
      <c r="G11" s="1239" t="s">
        <v>628</v>
      </c>
      <c r="H11" s="1240"/>
      <c r="I11" s="634">
        <f>SUM(I6:I8)</f>
        <v>92853742.5</v>
      </c>
      <c r="J11" s="635">
        <f>I11/100000</f>
        <v>928.53742499999998</v>
      </c>
    </row>
    <row r="12" spans="2:14" ht="15" thickBot="1">
      <c r="B12" s="1241" t="s">
        <v>629</v>
      </c>
      <c r="C12" s="1242"/>
      <c r="D12" s="634">
        <f>SUM(D6:D11)</f>
        <v>283148485.30000001</v>
      </c>
      <c r="E12" s="636">
        <f t="shared" si="0"/>
        <v>2831.4848529999999</v>
      </c>
    </row>
  </sheetData>
  <mergeCells count="10">
    <mergeCell ref="G11:H11"/>
    <mergeCell ref="B12:C12"/>
    <mergeCell ref="B3:E3"/>
    <mergeCell ref="G3:J3"/>
    <mergeCell ref="B4:C4"/>
    <mergeCell ref="D4:D5"/>
    <mergeCell ref="E4:E5"/>
    <mergeCell ref="G4:H4"/>
    <mergeCell ref="I4:I5"/>
    <mergeCell ref="J4:J5"/>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3"/>
  <sheetViews>
    <sheetView topLeftCell="B1" workbookViewId="0">
      <selection activeCell="E11" sqref="E11"/>
    </sheetView>
  </sheetViews>
  <sheetFormatPr defaultColWidth="8.81640625" defaultRowHeight="14.5"/>
  <cols>
    <col min="1" max="1" width="39.54296875" bestFit="1" customWidth="1"/>
    <col min="2" max="2" width="39.54296875" customWidth="1"/>
    <col min="3" max="3" width="14.1796875" bestFit="1" customWidth="1"/>
    <col min="4" max="4" width="13.54296875" bestFit="1" customWidth="1"/>
    <col min="5" max="5" width="39.54296875" bestFit="1" customWidth="1"/>
    <col min="6" max="6" width="39.54296875" customWidth="1"/>
    <col min="7" max="7" width="14.1796875" bestFit="1" customWidth="1"/>
    <col min="8" max="8" width="13.54296875" bestFit="1" customWidth="1"/>
  </cols>
  <sheetData>
    <row r="1" spans="1:8" ht="15.5">
      <c r="A1" s="1173" t="s">
        <v>575</v>
      </c>
      <c r="B1" s="1173"/>
      <c r="C1" s="1173"/>
      <c r="D1" s="1173"/>
      <c r="E1" s="306"/>
      <c r="F1" s="306"/>
      <c r="G1" s="306"/>
      <c r="H1" s="306"/>
    </row>
    <row r="2" spans="1:8">
      <c r="A2" s="1174" t="s">
        <v>475</v>
      </c>
      <c r="B2" s="1174"/>
      <c r="C2" s="1174"/>
      <c r="D2" s="1174"/>
      <c r="E2" s="306"/>
      <c r="F2" s="306"/>
      <c r="G2" s="306"/>
      <c r="H2" s="306"/>
    </row>
    <row r="3" spans="1:8">
      <c r="A3" s="1174" t="s">
        <v>476</v>
      </c>
      <c r="B3" s="1174"/>
      <c r="C3" s="1174"/>
      <c r="D3" s="1174"/>
      <c r="E3" s="306"/>
      <c r="F3" s="306"/>
      <c r="G3" s="306"/>
      <c r="H3" s="306"/>
    </row>
    <row r="4" spans="1:8">
      <c r="A4" s="1174" t="s">
        <v>477</v>
      </c>
      <c r="B4" s="1174"/>
      <c r="C4" s="1174"/>
      <c r="D4" s="1174"/>
      <c r="E4" s="306"/>
      <c r="F4" s="306"/>
      <c r="G4" s="306"/>
      <c r="H4" s="306"/>
    </row>
    <row r="5" spans="1:8">
      <c r="A5" s="1174" t="s">
        <v>478</v>
      </c>
      <c r="B5" s="1174"/>
      <c r="C5" s="1174"/>
      <c r="D5" s="1174"/>
      <c r="E5" s="306"/>
      <c r="F5" s="614"/>
      <c r="G5" s="306"/>
      <c r="H5" s="306"/>
    </row>
    <row r="6" spans="1:8">
      <c r="A6" s="1210" t="s">
        <v>610</v>
      </c>
      <c r="B6" s="1210"/>
      <c r="C6" s="1210"/>
      <c r="D6" s="1210"/>
      <c r="E6" s="306"/>
      <c r="F6" s="306"/>
      <c r="G6" s="306"/>
      <c r="H6" s="306"/>
    </row>
    <row r="7" spans="1:8" ht="15.5">
      <c r="A7" s="1211" t="s">
        <v>398</v>
      </c>
      <c r="B7" s="1211"/>
      <c r="C7" s="1211"/>
      <c r="D7" s="1211"/>
      <c r="E7" s="306"/>
      <c r="F7" s="306"/>
      <c r="G7" s="306"/>
      <c r="H7" s="306"/>
    </row>
    <row r="8" spans="1:8">
      <c r="A8" s="1174" t="s">
        <v>576</v>
      </c>
      <c r="B8" s="1174"/>
      <c r="C8" s="1174"/>
      <c r="D8" s="1174"/>
      <c r="E8" s="306"/>
      <c r="F8" s="306"/>
      <c r="G8" s="306"/>
      <c r="H8" s="306"/>
    </row>
    <row r="9" spans="1:8">
      <c r="A9" s="307" t="s">
        <v>325</v>
      </c>
      <c r="B9" s="307"/>
      <c r="C9" s="1175" t="s">
        <v>575</v>
      </c>
      <c r="D9" s="1176"/>
      <c r="E9" s="597" t="s">
        <v>325</v>
      </c>
      <c r="F9" s="307"/>
      <c r="G9" s="1175" t="s">
        <v>575</v>
      </c>
      <c r="H9" s="1175"/>
    </row>
    <row r="10" spans="1:8">
      <c r="A10" s="598" t="s">
        <v>0</v>
      </c>
      <c r="B10" s="598"/>
      <c r="C10" s="1177" t="s">
        <v>576</v>
      </c>
      <c r="D10" s="1178"/>
      <c r="E10" s="599" t="s">
        <v>0</v>
      </c>
      <c r="F10" s="598"/>
      <c r="G10" s="1177" t="s">
        <v>576</v>
      </c>
      <c r="H10" s="1177"/>
    </row>
    <row r="11" spans="1:8">
      <c r="A11" s="311" t="s">
        <v>356</v>
      </c>
      <c r="B11" s="311"/>
      <c r="C11" s="330"/>
      <c r="D11" s="600">
        <v>10437206.743000001</v>
      </c>
      <c r="E11" s="601" t="s">
        <v>370</v>
      </c>
      <c r="F11" s="311"/>
      <c r="G11" s="338"/>
      <c r="H11" s="602">
        <v>342294109.16399997</v>
      </c>
    </row>
    <row r="12" spans="1:8">
      <c r="A12" s="342" t="s">
        <v>611</v>
      </c>
      <c r="B12" s="342" t="s">
        <v>21</v>
      </c>
      <c r="C12" s="323">
        <v>8575015.2829999998</v>
      </c>
      <c r="D12" s="603"/>
      <c r="E12" s="604" t="s">
        <v>596</v>
      </c>
      <c r="F12" s="480" t="s">
        <v>11</v>
      </c>
      <c r="G12" s="323">
        <v>-128916</v>
      </c>
      <c r="H12" s="605"/>
    </row>
    <row r="13" spans="1:8">
      <c r="A13" s="480" t="s">
        <v>612</v>
      </c>
      <c r="B13" s="342" t="s">
        <v>21</v>
      </c>
      <c r="C13" s="323">
        <v>1503800</v>
      </c>
      <c r="D13" s="603"/>
      <c r="E13" s="604" t="s">
        <v>371</v>
      </c>
      <c r="F13" s="480" t="s">
        <v>11</v>
      </c>
      <c r="G13" s="323">
        <v>333743901.16399997</v>
      </c>
      <c r="H13" s="605"/>
    </row>
    <row r="14" spans="1:8">
      <c r="A14" s="480" t="s">
        <v>613</v>
      </c>
      <c r="B14" s="342" t="s">
        <v>21</v>
      </c>
      <c r="C14" s="323">
        <v>287838.46000000002</v>
      </c>
      <c r="D14" s="603"/>
      <c r="E14" s="604" t="s">
        <v>597</v>
      </c>
      <c r="F14" s="480" t="s">
        <v>11</v>
      </c>
      <c r="G14" s="323">
        <v>8743895</v>
      </c>
      <c r="H14" s="605"/>
    </row>
    <row r="15" spans="1:8">
      <c r="A15" s="480" t="s">
        <v>614</v>
      </c>
      <c r="B15" s="342" t="s">
        <v>21</v>
      </c>
      <c r="C15" s="591">
        <v>70553</v>
      </c>
      <c r="D15" s="603"/>
      <c r="E15" s="604" t="s">
        <v>598</v>
      </c>
      <c r="F15" s="480" t="s">
        <v>11</v>
      </c>
      <c r="G15" s="323">
        <v>-31927</v>
      </c>
      <c r="H15" s="605"/>
    </row>
    <row r="16" spans="1:8">
      <c r="A16" s="311" t="s">
        <v>372</v>
      </c>
      <c r="B16" s="311"/>
      <c r="C16" s="338"/>
      <c r="D16" s="606">
        <v>521214590.583</v>
      </c>
      <c r="E16" s="604" t="s">
        <v>599</v>
      </c>
      <c r="F16" s="480" t="s">
        <v>11</v>
      </c>
      <c r="G16" s="591">
        <v>-32844</v>
      </c>
      <c r="H16" s="605"/>
    </row>
    <row r="17" spans="1:8">
      <c r="A17" s="342" t="s">
        <v>373</v>
      </c>
      <c r="B17" s="342" t="s">
        <v>19</v>
      </c>
      <c r="C17" s="591">
        <v>521214590.583</v>
      </c>
      <c r="D17" s="603"/>
      <c r="E17" s="607" t="s">
        <v>374</v>
      </c>
      <c r="F17" s="311"/>
      <c r="G17" s="338"/>
      <c r="H17" s="602">
        <v>5035</v>
      </c>
    </row>
    <row r="18" spans="1:8">
      <c r="A18" s="311" t="s">
        <v>380</v>
      </c>
      <c r="B18" s="311"/>
      <c r="C18" s="338"/>
      <c r="D18" s="606">
        <v>7431164.9859999996</v>
      </c>
      <c r="E18" s="604" t="s">
        <v>484</v>
      </c>
      <c r="F18" s="480" t="s">
        <v>13</v>
      </c>
      <c r="G18" s="323">
        <v>-2619</v>
      </c>
      <c r="H18" s="605"/>
    </row>
    <row r="19" spans="1:8">
      <c r="A19" s="342" t="s">
        <v>381</v>
      </c>
      <c r="B19" s="480" t="s">
        <v>28</v>
      </c>
      <c r="C19" s="323">
        <v>932450.46</v>
      </c>
      <c r="D19" s="603"/>
      <c r="E19" s="604" t="s">
        <v>376</v>
      </c>
      <c r="F19" s="480"/>
      <c r="G19" s="338"/>
      <c r="H19" s="605"/>
    </row>
    <row r="20" spans="1:8">
      <c r="A20" s="342" t="s">
        <v>600</v>
      </c>
      <c r="B20" s="480" t="s">
        <v>28</v>
      </c>
      <c r="C20" s="323">
        <v>798222</v>
      </c>
      <c r="D20" s="603"/>
      <c r="E20" s="604" t="s">
        <v>377</v>
      </c>
      <c r="F20" s="480" t="s">
        <v>13</v>
      </c>
      <c r="G20" s="591">
        <v>7654</v>
      </c>
      <c r="H20" s="605"/>
    </row>
    <row r="21" spans="1:8">
      <c r="A21" s="342" t="s">
        <v>382</v>
      </c>
      <c r="B21" s="342" t="s">
        <v>25</v>
      </c>
      <c r="C21" s="323">
        <v>741021.07</v>
      </c>
      <c r="D21" s="603"/>
      <c r="E21" s="607" t="s">
        <v>486</v>
      </c>
      <c r="F21" s="311"/>
      <c r="G21" s="338"/>
      <c r="H21" s="602">
        <v>236811473.215</v>
      </c>
    </row>
    <row r="22" spans="1:8">
      <c r="A22" s="342" t="s">
        <v>383</v>
      </c>
      <c r="B22" s="480" t="s">
        <v>28</v>
      </c>
      <c r="C22" s="323">
        <v>630557.5</v>
      </c>
      <c r="D22" s="603"/>
      <c r="E22" s="608" t="s">
        <v>611</v>
      </c>
      <c r="F22" s="342" t="s">
        <v>21</v>
      </c>
      <c r="G22" s="323">
        <v>235020193.02500001</v>
      </c>
      <c r="H22" s="605"/>
    </row>
    <row r="23" spans="1:8">
      <c r="A23" s="342" t="s">
        <v>384</v>
      </c>
      <c r="B23" s="480" t="s">
        <v>28</v>
      </c>
      <c r="C23" s="338"/>
      <c r="D23" s="603"/>
      <c r="E23" s="604" t="s">
        <v>612</v>
      </c>
      <c r="F23" s="342" t="s">
        <v>21</v>
      </c>
      <c r="G23" s="323">
        <v>1503800</v>
      </c>
      <c r="H23" s="605"/>
    </row>
    <row r="24" spans="1:8">
      <c r="A24" s="342" t="s">
        <v>385</v>
      </c>
      <c r="B24" s="342" t="s">
        <v>23</v>
      </c>
      <c r="C24" s="323">
        <v>2432824</v>
      </c>
      <c r="D24" s="603"/>
      <c r="E24" s="604" t="s">
        <v>613</v>
      </c>
      <c r="F24" s="342" t="s">
        <v>21</v>
      </c>
      <c r="G24" s="323">
        <v>216927.19</v>
      </c>
      <c r="H24" s="605"/>
    </row>
    <row r="25" spans="1:8">
      <c r="A25" s="480" t="s">
        <v>601</v>
      </c>
      <c r="B25" s="480" t="s">
        <v>28</v>
      </c>
      <c r="C25" s="323">
        <v>39913</v>
      </c>
      <c r="D25" s="603"/>
      <c r="E25" s="604" t="s">
        <v>614</v>
      </c>
      <c r="F25" s="342" t="s">
        <v>21</v>
      </c>
      <c r="G25" s="591">
        <v>70553</v>
      </c>
      <c r="H25" s="605"/>
    </row>
    <row r="26" spans="1:8">
      <c r="A26" s="480" t="s">
        <v>386</v>
      </c>
      <c r="B26" s="480" t="s">
        <v>28</v>
      </c>
      <c r="C26" s="323">
        <v>7602</v>
      </c>
      <c r="D26" s="603"/>
      <c r="E26" s="306"/>
      <c r="F26" s="306"/>
      <c r="G26" s="306"/>
      <c r="H26" s="306"/>
    </row>
    <row r="27" spans="1:8">
      <c r="A27" s="480" t="s">
        <v>388</v>
      </c>
      <c r="B27" s="480" t="s">
        <v>27</v>
      </c>
      <c r="C27" s="323">
        <v>114726.25</v>
      </c>
      <c r="D27" s="603"/>
      <c r="E27" s="306"/>
      <c r="F27" s="306"/>
      <c r="G27" s="306"/>
      <c r="H27" s="306"/>
    </row>
    <row r="28" spans="1:8">
      <c r="A28" s="480" t="s">
        <v>389</v>
      </c>
      <c r="B28" s="480" t="s">
        <v>27</v>
      </c>
      <c r="C28" s="323">
        <v>779882</v>
      </c>
      <c r="D28" s="603"/>
      <c r="E28" s="306"/>
      <c r="F28" s="306"/>
      <c r="G28" s="306"/>
      <c r="H28" s="306"/>
    </row>
    <row r="29" spans="1:8">
      <c r="A29" s="480" t="s">
        <v>602</v>
      </c>
      <c r="B29" s="342" t="s">
        <v>23</v>
      </c>
      <c r="C29" s="323">
        <v>30000</v>
      </c>
      <c r="D29" s="603"/>
      <c r="E29" s="306"/>
      <c r="F29" s="306"/>
      <c r="G29" s="306"/>
      <c r="H29" s="306"/>
    </row>
    <row r="30" spans="1:8">
      <c r="A30" s="480" t="s">
        <v>603</v>
      </c>
      <c r="B30" s="480" t="s">
        <v>28</v>
      </c>
      <c r="C30" s="323">
        <v>85000</v>
      </c>
      <c r="D30" s="603"/>
      <c r="E30" s="306"/>
      <c r="F30" s="306"/>
      <c r="G30" s="306"/>
      <c r="H30" s="306"/>
    </row>
    <row r="31" spans="1:8">
      <c r="A31" s="480" t="s">
        <v>390</v>
      </c>
      <c r="B31" s="480" t="s">
        <v>28</v>
      </c>
      <c r="C31" s="323">
        <v>56880</v>
      </c>
      <c r="D31" s="603"/>
      <c r="E31" s="306"/>
      <c r="F31" s="306"/>
      <c r="G31" s="306"/>
      <c r="H31" s="306"/>
    </row>
    <row r="32" spans="1:8">
      <c r="A32" s="480" t="s">
        <v>604</v>
      </c>
      <c r="B32" s="480" t="s">
        <v>28</v>
      </c>
      <c r="C32" s="323">
        <v>2505.62</v>
      </c>
      <c r="D32" s="603"/>
      <c r="E32" s="306"/>
      <c r="F32" s="306"/>
      <c r="G32" s="306"/>
      <c r="H32" s="306"/>
    </row>
    <row r="33" spans="1:8">
      <c r="A33" s="480" t="s">
        <v>391</v>
      </c>
      <c r="B33" s="480" t="s">
        <v>28</v>
      </c>
      <c r="C33" s="323">
        <v>255818.92800000001</v>
      </c>
      <c r="D33" s="603"/>
      <c r="E33" s="306"/>
      <c r="F33" s="306"/>
      <c r="G33" s="306"/>
      <c r="H33" s="306"/>
    </row>
    <row r="34" spans="1:8">
      <c r="A34" s="480" t="s">
        <v>392</v>
      </c>
      <c r="B34" s="342" t="s">
        <v>25</v>
      </c>
      <c r="C34" s="323">
        <v>51917</v>
      </c>
      <c r="D34" s="603"/>
      <c r="E34" s="306"/>
      <c r="F34" s="306"/>
      <c r="G34" s="306"/>
      <c r="H34" s="306"/>
    </row>
    <row r="35" spans="1:8">
      <c r="A35" s="480" t="s">
        <v>485</v>
      </c>
      <c r="B35" s="480" t="s">
        <v>28</v>
      </c>
      <c r="C35" s="323">
        <v>8363</v>
      </c>
      <c r="D35" s="603"/>
      <c r="E35" s="306"/>
      <c r="F35" s="306"/>
      <c r="G35" s="306"/>
      <c r="H35" s="306"/>
    </row>
    <row r="36" spans="1:8">
      <c r="A36" s="480" t="s">
        <v>605</v>
      </c>
      <c r="B36" s="480" t="s">
        <v>28</v>
      </c>
      <c r="C36" s="323">
        <v>-5325</v>
      </c>
      <c r="D36" s="603"/>
      <c r="E36" s="306"/>
      <c r="F36" s="306"/>
      <c r="G36" s="306"/>
      <c r="H36" s="306"/>
    </row>
    <row r="37" spans="1:8">
      <c r="A37" s="480" t="s">
        <v>394</v>
      </c>
      <c r="B37" s="480" t="s">
        <v>28</v>
      </c>
      <c r="C37" s="323">
        <v>2500</v>
      </c>
      <c r="D37" s="603"/>
      <c r="E37" s="306"/>
      <c r="F37" s="306"/>
      <c r="G37" s="306"/>
      <c r="H37" s="306"/>
    </row>
    <row r="38" spans="1:8">
      <c r="A38" s="480" t="s">
        <v>606</v>
      </c>
      <c r="B38" s="480" t="s">
        <v>28</v>
      </c>
      <c r="C38" s="323">
        <v>-39.942</v>
      </c>
      <c r="D38" s="603"/>
      <c r="E38" s="306"/>
      <c r="F38" s="306"/>
      <c r="G38" s="306"/>
      <c r="H38" s="306"/>
    </row>
    <row r="39" spans="1:8">
      <c r="A39" s="480" t="s">
        <v>607</v>
      </c>
      <c r="B39" s="480" t="s">
        <v>28</v>
      </c>
      <c r="C39" s="323">
        <v>1800</v>
      </c>
      <c r="D39" s="603"/>
      <c r="E39" s="306"/>
      <c r="F39" s="306"/>
      <c r="G39" s="306"/>
      <c r="H39" s="306"/>
    </row>
    <row r="40" spans="1:8">
      <c r="A40" s="480" t="s">
        <v>608</v>
      </c>
      <c r="B40" s="480" t="s">
        <v>28</v>
      </c>
      <c r="C40" s="323">
        <v>432645</v>
      </c>
      <c r="D40" s="603"/>
      <c r="E40" s="306"/>
      <c r="F40" s="306"/>
      <c r="G40" s="306"/>
      <c r="H40" s="306"/>
    </row>
    <row r="41" spans="1:8">
      <c r="A41" s="480" t="s">
        <v>609</v>
      </c>
      <c r="B41" s="480" t="s">
        <v>28</v>
      </c>
      <c r="C41" s="591">
        <v>31902.1</v>
      </c>
      <c r="D41" s="603"/>
      <c r="E41" s="306"/>
      <c r="F41" s="306"/>
      <c r="G41" s="306"/>
      <c r="H41" s="306"/>
    </row>
    <row r="42" spans="1:8">
      <c r="A42" s="609" t="s">
        <v>615</v>
      </c>
      <c r="B42" s="609"/>
      <c r="C42" s="338"/>
      <c r="D42" s="610">
        <v>40027655.067000002</v>
      </c>
      <c r="E42" s="306"/>
      <c r="F42" s="306"/>
      <c r="G42" s="306"/>
      <c r="H42" s="306"/>
    </row>
    <row r="43" spans="1:8">
      <c r="A43" s="344" t="s">
        <v>194</v>
      </c>
      <c r="B43" s="344"/>
      <c r="C43" s="611"/>
      <c r="D43" s="612">
        <v>579110617.37899995</v>
      </c>
      <c r="E43" s="613" t="s">
        <v>194</v>
      </c>
      <c r="F43" s="344"/>
      <c r="G43" s="611"/>
      <c r="H43" s="313">
        <v>579110617.37899995</v>
      </c>
    </row>
  </sheetData>
  <mergeCells count="12">
    <mergeCell ref="A7:D7"/>
    <mergeCell ref="A8:D8"/>
    <mergeCell ref="C9:D9"/>
    <mergeCell ref="G9:H9"/>
    <mergeCell ref="C10:D10"/>
    <mergeCell ref="G10:H10"/>
    <mergeCell ref="A6:D6"/>
    <mergeCell ref="A1:D1"/>
    <mergeCell ref="A2:D2"/>
    <mergeCell ref="A3:D3"/>
    <mergeCell ref="A4:D4"/>
    <mergeCell ref="A5:D5"/>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20480-FFE8-4C7B-9FA8-B5BD46A7B319}">
  <dimension ref="A1:H57"/>
  <sheetViews>
    <sheetView workbookViewId="0">
      <selection activeCell="A6" sqref="A6:D6"/>
    </sheetView>
  </sheetViews>
  <sheetFormatPr defaultRowHeight="14.5"/>
  <cols>
    <col min="1" max="1" width="39.1796875" bestFit="1" customWidth="1"/>
    <col min="2" max="2" width="39.1796875" customWidth="1"/>
    <col min="3" max="3" width="11.81640625" bestFit="1" customWidth="1"/>
    <col min="4" max="4" width="11" bestFit="1" customWidth="1"/>
    <col min="5" max="5" width="39.1796875" bestFit="1" customWidth="1"/>
    <col min="6" max="6" width="39.1796875" customWidth="1"/>
    <col min="7" max="7" width="11.81640625" bestFit="1" customWidth="1"/>
    <col min="8" max="8" width="11.453125" bestFit="1" customWidth="1"/>
  </cols>
  <sheetData>
    <row r="1" spans="1:8" ht="15.5">
      <c r="A1" s="1173" t="s">
        <v>321</v>
      </c>
      <c r="B1" s="1173"/>
      <c r="C1" s="1173"/>
      <c r="D1" s="1173"/>
      <c r="E1" s="306"/>
      <c r="F1" s="306"/>
      <c r="G1" s="306"/>
      <c r="H1" s="306"/>
    </row>
    <row r="2" spans="1:8">
      <c r="A2" s="1174" t="s">
        <v>475</v>
      </c>
      <c r="B2" s="1174"/>
      <c r="C2" s="1174"/>
      <c r="D2" s="1174"/>
      <c r="E2" s="306"/>
      <c r="F2" s="306"/>
      <c r="G2" s="306"/>
      <c r="H2" s="306"/>
    </row>
    <row r="3" spans="1:8">
      <c r="A3" s="1174" t="s">
        <v>476</v>
      </c>
      <c r="B3" s="1174"/>
      <c r="C3" s="1174"/>
      <c r="D3" s="1174"/>
      <c r="E3" s="306"/>
      <c r="F3" s="306"/>
      <c r="G3" s="306"/>
      <c r="H3" s="306"/>
    </row>
    <row r="4" spans="1:8">
      <c r="A4" s="1174" t="s">
        <v>477</v>
      </c>
      <c r="B4" s="1174"/>
      <c r="C4" s="1174"/>
      <c r="D4" s="1174"/>
      <c r="E4" s="306"/>
      <c r="F4" s="306"/>
      <c r="G4" s="306"/>
      <c r="H4" s="306"/>
    </row>
    <row r="5" spans="1:8">
      <c r="A5" s="1174" t="s">
        <v>478</v>
      </c>
      <c r="B5" s="1174"/>
      <c r="C5" s="1174"/>
      <c r="D5" s="1174"/>
      <c r="E5" s="306"/>
      <c r="F5" s="806">
        <v>1</v>
      </c>
      <c r="G5" s="306"/>
      <c r="H5" s="306"/>
    </row>
    <row r="6" spans="1:8">
      <c r="A6" s="1209" t="s">
        <v>322</v>
      </c>
      <c r="B6" s="1209"/>
      <c r="C6" s="1210"/>
      <c r="D6" s="1210"/>
      <c r="E6" s="306"/>
      <c r="F6" s="306"/>
      <c r="G6" s="306"/>
      <c r="H6" s="306"/>
    </row>
    <row r="7" spans="1:8" ht="15.5">
      <c r="A7" s="1211" t="s">
        <v>398</v>
      </c>
      <c r="B7" s="1211"/>
      <c r="C7" s="1211"/>
      <c r="D7" s="1211"/>
      <c r="E7" s="306"/>
      <c r="F7" s="306"/>
      <c r="G7" s="306"/>
      <c r="H7" s="306"/>
    </row>
    <row r="8" spans="1:8">
      <c r="A8" s="1174" t="s">
        <v>1099</v>
      </c>
      <c r="B8" s="1174"/>
      <c r="C8" s="1174"/>
      <c r="D8" s="1174"/>
      <c r="E8" s="306"/>
      <c r="F8" s="306"/>
      <c r="G8" s="306"/>
      <c r="H8" s="306"/>
    </row>
    <row r="9" spans="1:8">
      <c r="A9" s="798" t="s">
        <v>325</v>
      </c>
      <c r="B9" s="798"/>
      <c r="C9" s="1175" t="s">
        <v>575</v>
      </c>
      <c r="D9" s="1176"/>
      <c r="E9" s="799" t="s">
        <v>325</v>
      </c>
      <c r="F9" s="798"/>
      <c r="G9" s="1175" t="s">
        <v>575</v>
      </c>
      <c r="H9" s="1175"/>
    </row>
    <row r="10" spans="1:8">
      <c r="A10" s="800" t="s">
        <v>0</v>
      </c>
      <c r="B10" s="800"/>
      <c r="C10" s="1177" t="s">
        <v>1099</v>
      </c>
      <c r="D10" s="1178"/>
      <c r="E10" s="801" t="s">
        <v>0</v>
      </c>
      <c r="F10" s="800"/>
      <c r="G10" s="1177" t="s">
        <v>1099</v>
      </c>
      <c r="H10" s="1177"/>
    </row>
    <row r="11" spans="1:8">
      <c r="A11" s="311" t="s">
        <v>356</v>
      </c>
      <c r="B11" s="311"/>
      <c r="C11" s="330"/>
      <c r="D11" s="600">
        <v>755.29949686000009</v>
      </c>
      <c r="E11" s="601" t="s">
        <v>370</v>
      </c>
      <c r="F11" s="311"/>
      <c r="G11" s="338"/>
      <c r="H11" s="602">
        <v>488.19687499999998</v>
      </c>
    </row>
    <row r="12" spans="1:8">
      <c r="A12" s="316" t="s">
        <v>611</v>
      </c>
      <c r="B12" s="342" t="s">
        <v>21</v>
      </c>
      <c r="C12" s="323">
        <v>699.25936555999999</v>
      </c>
      <c r="D12" s="603"/>
      <c r="E12" s="802" t="s">
        <v>596</v>
      </c>
      <c r="F12" s="480" t="s">
        <v>11</v>
      </c>
      <c r="G12" s="338"/>
      <c r="H12" s="605"/>
    </row>
    <row r="13" spans="1:8">
      <c r="A13" s="321" t="s">
        <v>612</v>
      </c>
      <c r="B13" s="342" t="s">
        <v>21</v>
      </c>
      <c r="C13" s="323">
        <v>15.038</v>
      </c>
      <c r="D13" s="603"/>
      <c r="E13" s="802" t="s">
        <v>371</v>
      </c>
      <c r="F13" s="480" t="s">
        <v>11</v>
      </c>
      <c r="G13" s="323">
        <v>408.80770000000001</v>
      </c>
      <c r="H13" s="605"/>
    </row>
    <row r="14" spans="1:8">
      <c r="A14" s="321" t="s">
        <v>613</v>
      </c>
      <c r="B14" s="342" t="s">
        <v>21</v>
      </c>
      <c r="C14" s="591">
        <v>41.002131300000002</v>
      </c>
      <c r="D14" s="603"/>
      <c r="E14" s="802" t="s">
        <v>597</v>
      </c>
      <c r="F14" s="480" t="s">
        <v>11</v>
      </c>
      <c r="G14" s="323">
        <v>79.389174999999994</v>
      </c>
      <c r="H14" s="605"/>
    </row>
    <row r="15" spans="1:8">
      <c r="A15" s="311" t="s">
        <v>372</v>
      </c>
      <c r="B15" s="342"/>
      <c r="C15" s="338"/>
      <c r="D15" s="606">
        <v>626.39500846999999</v>
      </c>
      <c r="E15" s="802" t="s">
        <v>598</v>
      </c>
      <c r="F15" s="480" t="s">
        <v>11</v>
      </c>
      <c r="G15" s="338"/>
      <c r="H15" s="605"/>
    </row>
    <row r="16" spans="1:8">
      <c r="A16" s="316" t="s">
        <v>373</v>
      </c>
      <c r="B16" s="342" t="s">
        <v>19</v>
      </c>
      <c r="C16" s="323">
        <v>626.39500846999999</v>
      </c>
      <c r="D16" s="603"/>
      <c r="E16" s="802" t="s">
        <v>599</v>
      </c>
      <c r="F16" s="480" t="s">
        <v>11</v>
      </c>
      <c r="G16" s="595"/>
      <c r="H16" s="605"/>
    </row>
    <row r="17" spans="1:8">
      <c r="A17" s="321" t="s">
        <v>1100</v>
      </c>
      <c r="B17" s="342" t="s">
        <v>19</v>
      </c>
      <c r="C17" s="595"/>
      <c r="D17" s="603"/>
      <c r="E17" s="607" t="s">
        <v>486</v>
      </c>
      <c r="F17" s="311"/>
      <c r="G17" s="338"/>
      <c r="H17" s="602">
        <v>888.02337698999997</v>
      </c>
    </row>
    <row r="18" spans="1:8">
      <c r="A18" s="338"/>
      <c r="B18" s="338"/>
      <c r="C18" s="313">
        <v>1381.6945053299999</v>
      </c>
      <c r="D18" s="306"/>
      <c r="E18" s="803" t="s">
        <v>611</v>
      </c>
      <c r="F18" s="342" t="s">
        <v>21</v>
      </c>
      <c r="G18" s="323">
        <v>754.71829518999994</v>
      </c>
      <c r="H18" s="605"/>
    </row>
    <row r="19" spans="1:8">
      <c r="A19" s="609" t="s">
        <v>1101</v>
      </c>
      <c r="B19" s="609"/>
      <c r="C19" s="338"/>
      <c r="D19" s="610">
        <v>5.4742533400000006</v>
      </c>
      <c r="E19" s="802" t="s">
        <v>612</v>
      </c>
      <c r="F19" s="342" t="s">
        <v>21</v>
      </c>
      <c r="G19" s="323">
        <v>15.038</v>
      </c>
      <c r="H19" s="605"/>
    </row>
    <row r="20" spans="1:8">
      <c r="A20" s="311" t="s">
        <v>1102</v>
      </c>
      <c r="B20" s="311"/>
      <c r="C20" s="338"/>
      <c r="D20" s="606">
        <v>169.71599813</v>
      </c>
      <c r="E20" s="802" t="s">
        <v>613</v>
      </c>
      <c r="F20" s="342" t="s">
        <v>21</v>
      </c>
      <c r="G20" s="591">
        <v>118.2670818</v>
      </c>
      <c r="H20" s="605"/>
    </row>
    <row r="21" spans="1:8">
      <c r="A21" s="316" t="s">
        <v>381</v>
      </c>
      <c r="B21" s="480" t="s">
        <v>28</v>
      </c>
      <c r="C21" s="862">
        <v>7.2607003799999994</v>
      </c>
      <c r="D21" s="603"/>
      <c r="E21" s="804" t="s">
        <v>1103</v>
      </c>
      <c r="F21" s="609"/>
      <c r="G21" s="338"/>
      <c r="H21" s="805">
        <v>5.4742533400000006</v>
      </c>
    </row>
    <row r="22" spans="1:8">
      <c r="A22" s="316" t="s">
        <v>600</v>
      </c>
      <c r="B22" s="480" t="s">
        <v>28</v>
      </c>
      <c r="C22" s="862">
        <v>0.244726</v>
      </c>
      <c r="D22" s="603"/>
      <c r="E22" s="338"/>
      <c r="F22" s="338"/>
      <c r="G22" s="313">
        <v>1381.6945053299999</v>
      </c>
      <c r="H22" s="306"/>
    </row>
    <row r="23" spans="1:8">
      <c r="A23" s="316" t="s">
        <v>382</v>
      </c>
      <c r="B23" s="342" t="s">
        <v>25</v>
      </c>
      <c r="C23" s="323">
        <f>172418/100000</f>
        <v>1.72418</v>
      </c>
      <c r="D23" s="603"/>
      <c r="E23" s="607" t="s">
        <v>1104</v>
      </c>
      <c r="F23" s="311"/>
      <c r="G23" s="338"/>
      <c r="H23" s="602">
        <v>4.1701014799999996</v>
      </c>
    </row>
    <row r="24" spans="1:8">
      <c r="A24" s="316" t="s">
        <v>1105</v>
      </c>
      <c r="B24" s="480" t="s">
        <v>28</v>
      </c>
      <c r="C24" s="862">
        <v>30.616859999999999</v>
      </c>
      <c r="D24" s="603"/>
      <c r="E24" s="802" t="s">
        <v>376</v>
      </c>
      <c r="F24" s="480" t="s">
        <v>13</v>
      </c>
      <c r="G24" s="323">
        <v>2.90077148</v>
      </c>
      <c r="H24" s="605"/>
    </row>
    <row r="25" spans="1:8">
      <c r="A25" s="316" t="s">
        <v>383</v>
      </c>
      <c r="B25" s="480" t="s">
        <v>28</v>
      </c>
      <c r="C25" s="862">
        <v>4.3646739999999999</v>
      </c>
      <c r="D25" s="603"/>
      <c r="E25" s="802" t="s">
        <v>377</v>
      </c>
      <c r="F25" s="480" t="s">
        <v>13</v>
      </c>
      <c r="G25" s="338"/>
      <c r="H25" s="605"/>
    </row>
    <row r="26" spans="1:8">
      <c r="A26" s="316" t="s">
        <v>384</v>
      </c>
      <c r="B26" s="480" t="s">
        <v>28</v>
      </c>
      <c r="C26" s="338"/>
      <c r="D26" s="603"/>
      <c r="E26" s="802" t="s">
        <v>1106</v>
      </c>
      <c r="F26" s="480" t="s">
        <v>13</v>
      </c>
      <c r="G26" s="323">
        <v>3.0000000000000001E-5</v>
      </c>
      <c r="H26" s="605"/>
    </row>
    <row r="27" spans="1:8">
      <c r="A27" s="316" t="s">
        <v>385</v>
      </c>
      <c r="B27" s="342" t="s">
        <v>23</v>
      </c>
      <c r="C27" s="323">
        <v>16.667020000000001</v>
      </c>
      <c r="D27" s="603"/>
      <c r="E27" s="802" t="s">
        <v>1107</v>
      </c>
      <c r="F27" s="480" t="s">
        <v>11</v>
      </c>
      <c r="G27" s="591">
        <v>1.2693000000000001</v>
      </c>
      <c r="H27" s="605"/>
    </row>
    <row r="28" spans="1:8">
      <c r="A28" s="321" t="s">
        <v>601</v>
      </c>
      <c r="B28" s="480" t="s">
        <v>28</v>
      </c>
      <c r="C28" s="862">
        <v>0.50458999999999998</v>
      </c>
      <c r="D28" s="603"/>
      <c r="E28" s="804" t="s">
        <v>1108</v>
      </c>
      <c r="F28" s="609"/>
      <c r="G28" s="338"/>
      <c r="H28" s="805">
        <v>171.02014999000002</v>
      </c>
    </row>
    <row r="29" spans="1:8">
      <c r="A29" s="321" t="s">
        <v>386</v>
      </c>
      <c r="B29" s="480" t="s">
        <v>28</v>
      </c>
      <c r="C29" s="862">
        <v>7.5209799999999993E-2</v>
      </c>
      <c r="D29" s="603"/>
      <c r="E29" s="306"/>
      <c r="F29" s="306"/>
      <c r="G29" s="306"/>
      <c r="H29" s="306"/>
    </row>
    <row r="30" spans="1:8">
      <c r="A30" s="321" t="s">
        <v>806</v>
      </c>
      <c r="B30" s="480" t="s">
        <v>28</v>
      </c>
      <c r="C30" s="862">
        <v>2.5000000000000001E-2</v>
      </c>
      <c r="D30" s="603"/>
      <c r="E30" s="306"/>
      <c r="F30" s="306"/>
      <c r="G30" s="306"/>
      <c r="H30" s="306"/>
    </row>
    <row r="31" spans="1:8">
      <c r="A31" s="321" t="s">
        <v>1109</v>
      </c>
      <c r="B31" s="480" t="s">
        <v>28</v>
      </c>
      <c r="C31" s="862">
        <v>1</v>
      </c>
      <c r="D31" s="603"/>
      <c r="E31" s="306"/>
      <c r="F31" s="306"/>
      <c r="G31" s="306"/>
      <c r="H31" s="306"/>
    </row>
    <row r="32" spans="1:8">
      <c r="A32" s="321" t="s">
        <v>388</v>
      </c>
      <c r="B32" s="480" t="s">
        <v>27</v>
      </c>
      <c r="C32" s="323">
        <v>0.52715849999999997</v>
      </c>
      <c r="D32" s="603"/>
      <c r="E32" s="306"/>
      <c r="F32" s="306"/>
      <c r="G32" s="306"/>
      <c r="H32" s="306"/>
    </row>
    <row r="33" spans="1:8">
      <c r="A33" s="321" t="s">
        <v>389</v>
      </c>
      <c r="B33" s="480" t="s">
        <v>27</v>
      </c>
      <c r="C33" s="323">
        <v>6.2713400000000004</v>
      </c>
      <c r="D33" s="603"/>
      <c r="E33" s="306"/>
      <c r="F33" s="306"/>
      <c r="G33" s="306"/>
      <c r="H33" s="306"/>
    </row>
    <row r="34" spans="1:8">
      <c r="A34" s="321" t="s">
        <v>1110</v>
      </c>
      <c r="B34" s="480" t="s">
        <v>28</v>
      </c>
      <c r="C34" s="338"/>
      <c r="D34" s="603"/>
      <c r="E34" s="306"/>
      <c r="F34" s="306"/>
      <c r="G34" s="306"/>
      <c r="H34" s="306"/>
    </row>
    <row r="35" spans="1:8">
      <c r="A35" s="321" t="s">
        <v>1111</v>
      </c>
      <c r="B35" s="480" t="s">
        <v>28</v>
      </c>
      <c r="C35" s="862">
        <v>0.06</v>
      </c>
      <c r="D35" s="603"/>
      <c r="E35" s="306"/>
      <c r="F35" s="306"/>
      <c r="G35" s="306"/>
      <c r="H35" s="306"/>
    </row>
    <row r="36" spans="1:8">
      <c r="A36" s="321" t="s">
        <v>602</v>
      </c>
      <c r="B36" s="480" t="s">
        <v>28</v>
      </c>
      <c r="C36" s="862">
        <v>0.3</v>
      </c>
      <c r="D36" s="603"/>
      <c r="E36" s="306"/>
      <c r="F36" s="306"/>
      <c r="G36" s="306"/>
      <c r="H36" s="306"/>
    </row>
    <row r="37" spans="1:8">
      <c r="A37" s="321" t="s">
        <v>484</v>
      </c>
      <c r="B37" s="480" t="s">
        <v>28</v>
      </c>
      <c r="C37" s="862">
        <v>3.5289999999999996E-3</v>
      </c>
      <c r="D37" s="603"/>
      <c r="E37" s="306"/>
      <c r="F37" s="306"/>
      <c r="G37" s="306"/>
      <c r="H37" s="306"/>
    </row>
    <row r="38" spans="1:8">
      <c r="A38" s="321" t="s">
        <v>603</v>
      </c>
      <c r="B38" s="480" t="s">
        <v>28</v>
      </c>
      <c r="C38" s="338"/>
      <c r="D38" s="603"/>
      <c r="E38" s="306"/>
      <c r="F38" s="306"/>
      <c r="G38" s="306"/>
      <c r="H38" s="306"/>
    </row>
    <row r="39" spans="1:8">
      <c r="A39" s="321" t="s">
        <v>390</v>
      </c>
      <c r="B39" s="480" t="s">
        <v>28</v>
      </c>
      <c r="C39" s="862">
        <v>0.34460000000000002</v>
      </c>
      <c r="D39" s="603"/>
      <c r="E39" s="306"/>
      <c r="F39" s="306"/>
      <c r="G39" s="306"/>
      <c r="H39" s="306"/>
    </row>
    <row r="40" spans="1:8">
      <c r="A40" s="321" t="s">
        <v>604</v>
      </c>
      <c r="B40" s="480" t="s">
        <v>28</v>
      </c>
      <c r="C40" s="338"/>
      <c r="D40" s="603"/>
      <c r="E40" s="306"/>
      <c r="F40" s="306"/>
      <c r="G40" s="306"/>
      <c r="H40" s="306"/>
    </row>
    <row r="41" spans="1:8">
      <c r="A41" s="321" t="s">
        <v>391</v>
      </c>
      <c r="B41" s="480" t="s">
        <v>28</v>
      </c>
      <c r="C41" s="862">
        <f>5991363.219/100000</f>
        <v>59.913632189999994</v>
      </c>
      <c r="D41" s="603"/>
      <c r="E41" s="306"/>
      <c r="F41" s="306"/>
      <c r="G41" s="306"/>
      <c r="H41" s="306"/>
    </row>
    <row r="42" spans="1:8">
      <c r="A42" s="321" t="s">
        <v>1112</v>
      </c>
      <c r="B42" s="480" t="s">
        <v>28</v>
      </c>
      <c r="C42" s="338"/>
      <c r="D42" s="603"/>
      <c r="E42" s="306"/>
      <c r="F42" s="306"/>
      <c r="G42" s="306"/>
      <c r="H42" s="306"/>
    </row>
    <row r="43" spans="1:8">
      <c r="A43" s="321" t="s">
        <v>1113</v>
      </c>
      <c r="B43" s="342" t="s">
        <v>25</v>
      </c>
      <c r="C43" s="338"/>
      <c r="D43" s="603"/>
      <c r="E43" s="306"/>
      <c r="F43" s="306"/>
      <c r="G43" s="306"/>
      <c r="H43" s="306"/>
    </row>
    <row r="44" spans="1:8">
      <c r="A44" s="321" t="s">
        <v>1114</v>
      </c>
      <c r="B44" s="480" t="s">
        <v>28</v>
      </c>
      <c r="C44" s="862">
        <v>0.16089999999999999</v>
      </c>
      <c r="D44" s="603"/>
      <c r="E44" s="306"/>
      <c r="F44" s="306"/>
      <c r="G44" s="306"/>
      <c r="H44" s="306"/>
    </row>
    <row r="45" spans="1:8">
      <c r="A45" s="321" t="s">
        <v>485</v>
      </c>
      <c r="B45" s="480" t="s">
        <v>28</v>
      </c>
      <c r="C45" s="862">
        <v>0.11799950000000001</v>
      </c>
      <c r="D45" s="603"/>
      <c r="E45" s="306"/>
      <c r="F45" s="306"/>
      <c r="G45" s="306"/>
      <c r="H45" s="306"/>
    </row>
    <row r="46" spans="1:8">
      <c r="A46" s="321" t="s">
        <v>782</v>
      </c>
      <c r="B46" s="480" t="s">
        <v>28</v>
      </c>
      <c r="C46" s="862">
        <v>0.33386699999999997</v>
      </c>
      <c r="D46" s="603"/>
      <c r="E46" s="306"/>
      <c r="F46" s="306"/>
      <c r="G46" s="306"/>
      <c r="H46" s="306"/>
    </row>
    <row r="47" spans="1:8">
      <c r="A47" s="321" t="s">
        <v>605</v>
      </c>
      <c r="B47" s="480" t="s">
        <v>28</v>
      </c>
      <c r="C47" s="862">
        <v>3.209E-2</v>
      </c>
      <c r="D47" s="603"/>
      <c r="E47" s="306"/>
      <c r="F47" s="306"/>
      <c r="G47" s="306"/>
      <c r="H47" s="306"/>
    </row>
    <row r="48" spans="1:8">
      <c r="A48" s="321" t="s">
        <v>394</v>
      </c>
      <c r="B48" s="480" t="s">
        <v>28</v>
      </c>
      <c r="C48" s="338"/>
      <c r="D48" s="603"/>
      <c r="E48" s="306"/>
      <c r="F48" s="306"/>
      <c r="G48" s="306"/>
      <c r="H48" s="306"/>
    </row>
    <row r="49" spans="1:8">
      <c r="A49" s="321" t="s">
        <v>606</v>
      </c>
      <c r="B49" s="480" t="s">
        <v>28</v>
      </c>
      <c r="C49" s="862">
        <v>1.2455999999999999E-4</v>
      </c>
      <c r="D49" s="603"/>
      <c r="E49" s="306"/>
      <c r="F49" s="306"/>
      <c r="G49" s="306"/>
      <c r="H49" s="306"/>
    </row>
    <row r="50" spans="1:8">
      <c r="A50" s="321" t="s">
        <v>1115</v>
      </c>
      <c r="B50" s="480" t="s">
        <v>28</v>
      </c>
      <c r="C50" s="338"/>
      <c r="D50" s="603"/>
      <c r="E50" s="306"/>
      <c r="F50" s="306"/>
      <c r="G50" s="306"/>
      <c r="H50" s="306"/>
    </row>
    <row r="51" spans="1:8">
      <c r="A51" s="321" t="s">
        <v>1116</v>
      </c>
      <c r="B51" s="480" t="s">
        <v>28</v>
      </c>
      <c r="C51" s="338"/>
      <c r="D51" s="603"/>
      <c r="E51" s="306"/>
      <c r="F51" s="306"/>
      <c r="G51" s="306"/>
      <c r="H51" s="306"/>
    </row>
    <row r="52" spans="1:8">
      <c r="A52" s="321" t="s">
        <v>1117</v>
      </c>
      <c r="B52" s="480" t="s">
        <v>28</v>
      </c>
      <c r="C52" s="862">
        <v>1.41666</v>
      </c>
      <c r="D52" s="603"/>
      <c r="E52" s="306"/>
      <c r="F52" s="306"/>
      <c r="G52" s="306"/>
      <c r="H52" s="306"/>
    </row>
    <row r="53" spans="1:8">
      <c r="A53" s="321" t="s">
        <v>607</v>
      </c>
      <c r="B53" s="480" t="s">
        <v>28</v>
      </c>
      <c r="C53" s="862">
        <v>2.6737199999999999E-2</v>
      </c>
      <c r="D53" s="603"/>
      <c r="E53" s="306"/>
      <c r="F53" s="306"/>
      <c r="G53" s="306"/>
      <c r="H53" s="306"/>
    </row>
    <row r="54" spans="1:8">
      <c r="A54" s="321" t="s">
        <v>608</v>
      </c>
      <c r="B54" s="480" t="s">
        <v>28</v>
      </c>
      <c r="C54" s="862">
        <v>1.1220000000000001</v>
      </c>
      <c r="D54" s="603"/>
      <c r="E54" s="306"/>
      <c r="F54" s="306"/>
      <c r="G54" s="306"/>
      <c r="H54" s="306"/>
    </row>
    <row r="55" spans="1:8">
      <c r="A55" s="321" t="s">
        <v>609</v>
      </c>
      <c r="B55" s="480" t="s">
        <v>28</v>
      </c>
      <c r="C55" s="338"/>
      <c r="D55" s="603"/>
      <c r="E55" s="306"/>
      <c r="F55" s="306"/>
      <c r="G55" s="306"/>
      <c r="H55" s="306"/>
    </row>
    <row r="56" spans="1:8">
      <c r="A56" s="321" t="s">
        <v>1329</v>
      </c>
      <c r="B56" s="480" t="s">
        <v>28</v>
      </c>
      <c r="C56" s="848">
        <f>-1337912/100000</f>
        <v>-13.37912</v>
      </c>
      <c r="D56" s="603"/>
      <c r="E56" s="306"/>
      <c r="F56" s="306"/>
      <c r="G56" s="306"/>
      <c r="H56" s="306"/>
    </row>
    <row r="57" spans="1:8">
      <c r="A57" s="344" t="s">
        <v>194</v>
      </c>
      <c r="B57" s="344"/>
      <c r="C57" s="611"/>
      <c r="D57" s="612">
        <v>175.19025146999999</v>
      </c>
      <c r="E57" s="613" t="s">
        <v>194</v>
      </c>
      <c r="F57" s="344"/>
      <c r="G57" s="611"/>
      <c r="H57" s="313">
        <v>175.19025146999999</v>
      </c>
    </row>
  </sheetData>
  <mergeCells count="12">
    <mergeCell ref="A7:D7"/>
    <mergeCell ref="A8:D8"/>
    <mergeCell ref="C9:D9"/>
    <mergeCell ref="G9:H9"/>
    <mergeCell ref="C10:D10"/>
    <mergeCell ref="G10:H10"/>
    <mergeCell ref="A6:D6"/>
    <mergeCell ref="A1:D1"/>
    <mergeCell ref="A2:D2"/>
    <mergeCell ref="A3:D3"/>
    <mergeCell ref="A4:D4"/>
    <mergeCell ref="A5:D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EF060-34A0-4DC2-9B3B-A63A4E790830}">
  <dimension ref="A1:N63"/>
  <sheetViews>
    <sheetView topLeftCell="A31" workbookViewId="0">
      <selection activeCell="B52" sqref="B52"/>
    </sheetView>
  </sheetViews>
  <sheetFormatPr defaultRowHeight="14.5"/>
  <cols>
    <col min="1" max="1" width="41.453125" customWidth="1"/>
    <col min="2" max="2" width="38.54296875" customWidth="1"/>
    <col min="3" max="3" width="29.26953125" customWidth="1"/>
    <col min="8" max="8" width="15.26953125" bestFit="1" customWidth="1"/>
  </cols>
  <sheetData>
    <row r="1" spans="1:3">
      <c r="A1" t="s">
        <v>1933</v>
      </c>
    </row>
    <row r="2" spans="1:3">
      <c r="C2" t="s">
        <v>1342</v>
      </c>
    </row>
    <row r="3" spans="1:3">
      <c r="B3" t="s">
        <v>2021</v>
      </c>
      <c r="C3" t="s">
        <v>2017</v>
      </c>
    </row>
    <row r="5" spans="1:3">
      <c r="A5" t="s">
        <v>94</v>
      </c>
    </row>
    <row r="6" spans="1:3">
      <c r="A6" t="s">
        <v>70</v>
      </c>
    </row>
    <row r="7" spans="1:3">
      <c r="A7" t="s">
        <v>71</v>
      </c>
      <c r="B7">
        <v>166365631</v>
      </c>
      <c r="C7">
        <v>1714.63</v>
      </c>
    </row>
    <row r="8" spans="1:3">
      <c r="A8" t="s">
        <v>428</v>
      </c>
      <c r="B8">
        <v>25892291.479999997</v>
      </c>
      <c r="C8">
        <v>322.06</v>
      </c>
    </row>
    <row r="9" spans="1:3">
      <c r="A9" t="s">
        <v>1323</v>
      </c>
      <c r="B9">
        <v>36976</v>
      </c>
      <c r="C9">
        <v>0.37</v>
      </c>
    </row>
    <row r="10" spans="1:3">
      <c r="A10" t="s">
        <v>1324</v>
      </c>
    </row>
    <row r="11" spans="1:3">
      <c r="A11" t="s">
        <v>72</v>
      </c>
      <c r="B11">
        <v>20436371.030000001</v>
      </c>
      <c r="C11">
        <v>111.53</v>
      </c>
    </row>
    <row r="12" spans="1:3">
      <c r="A12" t="s">
        <v>73</v>
      </c>
      <c r="B12">
        <v>14230981.08</v>
      </c>
      <c r="C12">
        <v>139.13</v>
      </c>
    </row>
    <row r="13" spans="1:3">
      <c r="A13" t="s">
        <v>74</v>
      </c>
      <c r="C13">
        <v>0</v>
      </c>
    </row>
    <row r="14" spans="1:3">
      <c r="A14" t="s">
        <v>1096</v>
      </c>
      <c r="B14">
        <v>0</v>
      </c>
      <c r="C14">
        <v>0</v>
      </c>
    </row>
    <row r="16" spans="1:3">
      <c r="A16" t="s">
        <v>75</v>
      </c>
    </row>
    <row r="17" spans="1:8">
      <c r="A17" t="s">
        <v>76</v>
      </c>
      <c r="B17">
        <v>775575283.55499995</v>
      </c>
      <c r="C17">
        <v>7373.85</v>
      </c>
    </row>
    <row r="18" spans="1:8">
      <c r="A18" t="s">
        <v>77</v>
      </c>
    </row>
    <row r="19" spans="1:8">
      <c r="A19" t="s">
        <v>1079</v>
      </c>
      <c r="B19">
        <v>10560542.25</v>
      </c>
      <c r="C19">
        <v>101.79</v>
      </c>
    </row>
    <row r="20" spans="1:8">
      <c r="A20" t="s">
        <v>97</v>
      </c>
      <c r="B20">
        <v>327304206.71000004</v>
      </c>
      <c r="C20">
        <v>1860.1</v>
      </c>
    </row>
    <row r="21" spans="1:8">
      <c r="A21" t="s">
        <v>98</v>
      </c>
      <c r="B21">
        <v>11460726.148</v>
      </c>
      <c r="C21">
        <v>79.709999999999994</v>
      </c>
    </row>
    <row r="22" spans="1:8">
      <c r="A22" t="s">
        <v>285</v>
      </c>
      <c r="B22">
        <v>3620000</v>
      </c>
      <c r="C22">
        <v>36.200000000000003</v>
      </c>
    </row>
    <row r="23" spans="1:8">
      <c r="A23" t="s">
        <v>530</v>
      </c>
      <c r="B23">
        <v>11451315</v>
      </c>
      <c r="C23">
        <v>17.63</v>
      </c>
    </row>
    <row r="24" spans="1:8">
      <c r="A24" t="s">
        <v>78</v>
      </c>
      <c r="B24">
        <v>111236914.90500002</v>
      </c>
      <c r="C24">
        <v>751.89</v>
      </c>
    </row>
    <row r="25" spans="1:8">
      <c r="A25" t="s">
        <v>424</v>
      </c>
      <c r="B25">
        <v>0</v>
      </c>
      <c r="C25">
        <v>0</v>
      </c>
    </row>
    <row r="27" spans="1:8">
      <c r="A27" t="s">
        <v>79</v>
      </c>
      <c r="B27" s="885">
        <v>1478171239.158</v>
      </c>
      <c r="C27">
        <v>12508.89</v>
      </c>
    </row>
    <row r="29" spans="1:8">
      <c r="A29" t="s">
        <v>80</v>
      </c>
      <c r="H29" s="830">
        <f>B27-B54</f>
        <v>2.9997825622558594E-3</v>
      </c>
    </row>
    <row r="30" spans="1:8">
      <c r="A30" t="s">
        <v>81</v>
      </c>
      <c r="H30" s="830">
        <f>H29/100000</f>
        <v>2.9997825622558591E-8</v>
      </c>
    </row>
    <row r="31" spans="1:8">
      <c r="A31" t="s">
        <v>82</v>
      </c>
      <c r="B31">
        <v>131551038</v>
      </c>
      <c r="C31">
        <v>1103.93</v>
      </c>
    </row>
    <row r="32" spans="1:8">
      <c r="A32" t="s">
        <v>83</v>
      </c>
      <c r="B32">
        <v>623401721.98000002</v>
      </c>
      <c r="C32">
        <v>4224.33</v>
      </c>
    </row>
    <row r="34" spans="1:8">
      <c r="A34" t="s">
        <v>84</v>
      </c>
    </row>
    <row r="35" spans="1:8">
      <c r="A35" t="s">
        <v>85</v>
      </c>
      <c r="H35">
        <v>4224.33</v>
      </c>
    </row>
    <row r="36" spans="1:8">
      <c r="A36" t="s">
        <v>86</v>
      </c>
      <c r="H36">
        <v>422.85</v>
      </c>
    </row>
    <row r="37" spans="1:8">
      <c r="A37" t="s">
        <v>87</v>
      </c>
      <c r="B37">
        <v>330614374.72000003</v>
      </c>
      <c r="C37">
        <v>3335.5</v>
      </c>
      <c r="H37">
        <v>1586.866</v>
      </c>
    </row>
    <row r="38" spans="1:8">
      <c r="A38" t="s">
        <v>429</v>
      </c>
      <c r="B38">
        <v>17787326</v>
      </c>
      <c r="C38">
        <v>230</v>
      </c>
      <c r="H38">
        <f>H35+H36+H37</f>
        <v>6234.0460000000003</v>
      </c>
    </row>
    <row r="39" spans="1:8">
      <c r="A39" t="s">
        <v>88</v>
      </c>
      <c r="B39">
        <v>2192344</v>
      </c>
      <c r="C39">
        <v>23.07</v>
      </c>
    </row>
    <row r="40" spans="1:8">
      <c r="A40" t="s">
        <v>99</v>
      </c>
      <c r="B40">
        <v>9684127</v>
      </c>
      <c r="C40">
        <v>93.18</v>
      </c>
      <c r="H40" s="830">
        <f>H30-H38</f>
        <v>-6234.0459999700024</v>
      </c>
    </row>
    <row r="41" spans="1:8">
      <c r="A41" t="s">
        <v>489</v>
      </c>
      <c r="B41">
        <v>0</v>
      </c>
      <c r="C41">
        <v>0</v>
      </c>
    </row>
    <row r="42" spans="1:8">
      <c r="A42" t="s">
        <v>89</v>
      </c>
    </row>
    <row r="43" spans="1:8">
      <c r="A43" t="s">
        <v>86</v>
      </c>
    </row>
    <row r="44" spans="1:8">
      <c r="A44" t="s">
        <v>1077</v>
      </c>
      <c r="B44">
        <v>37871146.189999998</v>
      </c>
      <c r="C44">
        <v>1240.6600000000001</v>
      </c>
    </row>
    <row r="45" spans="1:8">
      <c r="A45" t="s">
        <v>429</v>
      </c>
      <c r="B45">
        <v>10789227.51</v>
      </c>
      <c r="C45">
        <v>112.93</v>
      </c>
    </row>
    <row r="46" spans="1:8">
      <c r="A46" t="s">
        <v>431</v>
      </c>
    </row>
    <row r="47" spans="1:8">
      <c r="A47" t="s">
        <v>422</v>
      </c>
      <c r="B47">
        <v>46344804</v>
      </c>
      <c r="C47">
        <v>1093.02</v>
      </c>
    </row>
    <row r="48" spans="1:8">
      <c r="A48" t="s">
        <v>1308</v>
      </c>
      <c r="B48">
        <v>234783632.67000002</v>
      </c>
      <c r="C48">
        <v>772.86</v>
      </c>
    </row>
    <row r="49" spans="1:14">
      <c r="A49" t="s">
        <v>430</v>
      </c>
      <c r="B49">
        <v>3266128</v>
      </c>
      <c r="C49">
        <v>190.19</v>
      </c>
    </row>
    <row r="50" spans="1:14">
      <c r="A50" t="s">
        <v>91</v>
      </c>
      <c r="B50">
        <v>20601452.035</v>
      </c>
      <c r="C50">
        <v>84.56</v>
      </c>
    </row>
    <row r="51" spans="1:14">
      <c r="A51" t="s">
        <v>100</v>
      </c>
      <c r="B51">
        <v>5143860.05</v>
      </c>
      <c r="C51">
        <v>4.66</v>
      </c>
    </row>
    <row r="52" spans="1:14">
      <c r="A52" t="s">
        <v>432</v>
      </c>
      <c r="B52">
        <v>4140057</v>
      </c>
      <c r="C52">
        <v>0</v>
      </c>
    </row>
    <row r="54" spans="1:14">
      <c r="A54" t="s">
        <v>92</v>
      </c>
      <c r="B54" s="885">
        <v>1478171239.1550002</v>
      </c>
      <c r="C54">
        <v>12508.890000000001</v>
      </c>
    </row>
    <row r="55" spans="1:14">
      <c r="N55">
        <f>B27-B54</f>
        <v>2.9997825622558594E-3</v>
      </c>
    </row>
    <row r="57" spans="1:14">
      <c r="C57" t="s">
        <v>56</v>
      </c>
    </row>
    <row r="61" spans="1:14">
      <c r="C61" t="s">
        <v>57</v>
      </c>
    </row>
    <row r="62" spans="1:14">
      <c r="A62" t="s">
        <v>55</v>
      </c>
      <c r="C62" t="s">
        <v>58</v>
      </c>
    </row>
    <row r="63" spans="1:14">
      <c r="A63" t="s">
        <v>2019</v>
      </c>
      <c r="C63" t="s">
        <v>59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7A682-447F-4865-A16E-D46FEAEE0659}">
  <sheetPr>
    <tabColor rgb="FF92D050"/>
  </sheetPr>
  <dimension ref="A1:AY67"/>
  <sheetViews>
    <sheetView view="pageBreakPreview" zoomScale="85" zoomScaleSheetLayoutView="85" workbookViewId="0">
      <selection activeCell="A28" sqref="A28"/>
    </sheetView>
  </sheetViews>
  <sheetFormatPr defaultColWidth="9.1796875" defaultRowHeight="14.5"/>
  <cols>
    <col min="1" max="1" width="42.26953125" bestFit="1" customWidth="1"/>
    <col min="2" max="2" width="19.1796875" style="41" hidden="1" customWidth="1"/>
    <col min="3" max="3" width="15.1796875" style="826" customWidth="1"/>
    <col min="4" max="4" width="13.81640625" style="41" customWidth="1"/>
    <col min="5" max="6" width="15.54296875" hidden="1" customWidth="1"/>
    <col min="7" max="7" width="13.453125" style="41" customWidth="1"/>
    <col min="8" max="8" width="12.81640625" customWidth="1"/>
    <col min="9" max="9" width="12.54296875" bestFit="1" customWidth="1"/>
    <col min="10" max="10" width="0" hidden="1" customWidth="1"/>
    <col min="11" max="11" width="28.453125" hidden="1" customWidth="1"/>
    <col min="12" max="12" width="19.1796875" hidden="1" customWidth="1"/>
    <col min="13" max="14" width="8.81640625" hidden="1" customWidth="1"/>
    <col min="15" max="15" width="10.1796875" hidden="1" customWidth="1"/>
    <col min="16" max="19" width="8.81640625" hidden="1" customWidth="1"/>
    <col min="20" max="20" width="31.54296875" hidden="1" customWidth="1"/>
    <col min="21" max="21" width="0" hidden="1" customWidth="1"/>
    <col min="22" max="22" width="45" hidden="1" customWidth="1"/>
    <col min="23" max="24" width="10.54296875" hidden="1" customWidth="1"/>
    <col min="25" max="25" width="0" hidden="1" customWidth="1"/>
    <col min="26" max="26" width="10.1796875" hidden="1" customWidth="1"/>
    <col min="27" max="30" width="0" hidden="1" customWidth="1"/>
    <col min="31" max="32" width="10.7265625" hidden="1" customWidth="1"/>
    <col min="33" max="37" width="0" hidden="1" customWidth="1"/>
    <col min="38" max="38" width="15.26953125" bestFit="1" customWidth="1"/>
    <col min="40" max="40" width="37.81640625" bestFit="1" customWidth="1"/>
    <col min="41" max="41" width="10.54296875" customWidth="1"/>
    <col min="42" max="42" width="10.7265625" customWidth="1"/>
    <col min="43" max="43" width="10.54296875" bestFit="1" customWidth="1"/>
    <col min="44" max="44" width="9.81640625" bestFit="1" customWidth="1"/>
    <col min="45" max="45" width="10.7265625" customWidth="1"/>
    <col min="46" max="46" width="10.54296875" bestFit="1" customWidth="1"/>
    <col min="51" max="51" width="14.7265625" bestFit="1" customWidth="1"/>
  </cols>
  <sheetData>
    <row r="1" spans="1:43">
      <c r="A1" s="1141" t="s">
        <v>1</v>
      </c>
      <c r="B1" s="1141"/>
      <c r="C1" s="1205"/>
      <c r="D1" s="1205"/>
      <c r="E1" s="1141"/>
      <c r="F1" s="1141"/>
      <c r="G1" s="1141"/>
      <c r="H1" s="1141"/>
      <c r="I1" s="443"/>
    </row>
    <row r="2" spans="1:43">
      <c r="A2" s="1141" t="s">
        <v>568</v>
      </c>
      <c r="B2" s="1141"/>
      <c r="C2" s="1205"/>
      <c r="D2" s="1205"/>
      <c r="E2" s="1141"/>
      <c r="F2" s="1141"/>
      <c r="G2" s="1141"/>
      <c r="H2" s="1141"/>
      <c r="I2" s="443"/>
    </row>
    <row r="3" spans="1:43" ht="14.5" customHeight="1">
      <c r="A3" s="1154" t="s">
        <v>0</v>
      </c>
      <c r="B3" s="1155" t="s">
        <v>93</v>
      </c>
      <c r="C3" s="1260"/>
      <c r="D3" s="1261"/>
      <c r="E3" s="1152" t="s">
        <v>93</v>
      </c>
      <c r="F3" s="1153"/>
      <c r="G3" s="1152" t="s">
        <v>111</v>
      </c>
      <c r="H3" s="1152"/>
      <c r="I3" s="783"/>
      <c r="K3" s="1151" t="s">
        <v>108</v>
      </c>
    </row>
    <row r="4" spans="1:43" ht="43.4" customHeight="1">
      <c r="A4" s="1154"/>
      <c r="B4" s="1158" t="s">
        <v>569</v>
      </c>
      <c r="C4" s="1206" t="s">
        <v>1097</v>
      </c>
      <c r="D4" s="1158" t="s">
        <v>1095</v>
      </c>
      <c r="E4" s="1152" t="s">
        <v>316</v>
      </c>
      <c r="F4" s="1152" t="s">
        <v>421</v>
      </c>
      <c r="G4" s="1155" t="s">
        <v>1097</v>
      </c>
      <c r="H4" s="1152" t="s">
        <v>1095</v>
      </c>
      <c r="I4" s="783"/>
      <c r="K4" s="1151"/>
      <c r="V4" s="42">
        <f>+'LMIL - BS SUMIF Formula'!H14-'LMIL - BS SUMIF Formula'!G14+'LMIL - BS SUMIF Formula'!H13-'LMIL - BS SUMIF Formula'!G13+'LMIL - BS SUMIF Formula'!H24-'LMIL - BS SUMIF Formula'!G24+'LMIL - BS SUMIF Formula'!H27-'LMIL - BS SUMIF Formula'!G27+'LMIL - BS SUMIF Formula'!H28-'LMIL - BS SUMIF Formula'!G28+'LMIL - BS SUMIF Formula'!H26-'LMIL - BS SUMIF Formula'!G26</f>
        <v>1259.75</v>
      </c>
      <c r="AE4" s="115">
        <v>44287</v>
      </c>
      <c r="AF4" s="115">
        <v>44509</v>
      </c>
      <c r="AG4">
        <f>AF4-AE4+1</f>
        <v>223</v>
      </c>
    </row>
    <row r="5" spans="1:43">
      <c r="A5" s="1154"/>
      <c r="B5" s="1159"/>
      <c r="C5" s="1207"/>
      <c r="D5" s="1159"/>
      <c r="E5" s="1152"/>
      <c r="F5" s="1152"/>
      <c r="G5" s="1155"/>
      <c r="H5" s="1152"/>
      <c r="I5" s="783"/>
      <c r="K5" s="266"/>
      <c r="V5" s="42">
        <f>+'LMIL - BS SUMIF Formula'!G55-'LMIL - BS SUMIF Formula'!H55+'LMIL - BS SUMIF Formula'!G56-'LMIL - BS SUMIF Formula'!H56+'LMIL - BS SUMIF Formula'!G54-'LMIL - BS SUMIF Formula'!H54+'LMIL - BS SUMIF Formula'!G53-'LMIL - BS SUMIF Formula'!H53+'LMIL - BS SUMIF Formula'!G42-'LMIL - BS SUMIF Formula'!H42+'LMIL - BS SUMIF Formula'!G43-'LMIL - BS SUMIF Formula'!H43</f>
        <v>-833.82</v>
      </c>
    </row>
    <row r="6" spans="1:43">
      <c r="A6" s="50" t="s">
        <v>94</v>
      </c>
      <c r="B6" s="481"/>
      <c r="C6" s="822"/>
      <c r="D6" s="481"/>
      <c r="E6" s="51"/>
      <c r="F6" s="114"/>
      <c r="G6" s="497"/>
      <c r="H6" s="114"/>
      <c r="J6" s="42"/>
      <c r="AN6" t="s">
        <v>1082</v>
      </c>
    </row>
    <row r="7" spans="1:43" ht="14.5" customHeight="1">
      <c r="A7" s="52" t="s">
        <v>70</v>
      </c>
      <c r="B7" s="482"/>
      <c r="C7" s="823"/>
      <c r="D7" s="482"/>
      <c r="E7" s="75"/>
      <c r="F7" s="60"/>
      <c r="G7" s="497"/>
      <c r="H7" s="60"/>
      <c r="J7" s="42"/>
      <c r="X7" s="115">
        <v>43921</v>
      </c>
      <c r="AN7" t="s">
        <v>70</v>
      </c>
    </row>
    <row r="8" spans="1:43">
      <c r="A8" s="53" t="s">
        <v>71</v>
      </c>
      <c r="B8" s="483">
        <f>SUMIF('TB-30-09-2021'!B:B,'LMIL - BS SUMIF Formula'!A8,'TB-30-09-2021'!G:G)</f>
        <v>1428106.1</v>
      </c>
      <c r="C8" s="829">
        <f>(SUMIF('TB - F.Y. 2022-23 (Half Yearly)'!$A$14:$A$129,'LMIL - BS SUMIF Formula'!A8,'TB - F.Y. 2022-23 (Half Yearly)'!$F$14:$F$129))/100000</f>
        <v>22.424142200000002</v>
      </c>
      <c r="D8" s="544">
        <v>11.11</v>
      </c>
      <c r="E8" s="76">
        <f>'[89]Latim Metals - TB'!E25+'[89]Latim Metals - TB'!E26+'[89]Latim Metals - TB'!E27+'[89]Latim Metals - TB'!E28+'[89]Latim Metals - TB'!E29</f>
        <v>17.523</v>
      </c>
      <c r="F8" s="120">
        <v>20.41</v>
      </c>
      <c r="G8" s="794"/>
      <c r="H8" s="549">
        <v>1613.91</v>
      </c>
      <c r="I8" s="778">
        <f>D8-C8</f>
        <v>-11.314142200000003</v>
      </c>
      <c r="K8" s="41">
        <v>2170.8825735</v>
      </c>
      <c r="L8" s="42">
        <v>217088257.34999999</v>
      </c>
      <c r="V8" s="524" t="s">
        <v>71</v>
      </c>
      <c r="W8" s="506">
        <v>1755.0682649</v>
      </c>
      <c r="AL8" s="519">
        <f>H8-G8</f>
        <v>1613.91</v>
      </c>
      <c r="AN8" t="s">
        <v>71</v>
      </c>
      <c r="AQ8" s="41">
        <v>1652.8555921000002</v>
      </c>
    </row>
    <row r="9" spans="1:43">
      <c r="A9" s="53" t="s">
        <v>428</v>
      </c>
      <c r="B9" s="483">
        <f>SUMIF('TB-30-09-2021'!B:B,'LMIL - BS SUMIF Formula'!A9,'TB-30-09-2021'!G:G)</f>
        <v>488362.88</v>
      </c>
      <c r="C9" s="829">
        <f>(SUMIF('TB - F.Y. 2022-23 (Half Yearly)'!$A$14:$A$129,'LMIL - BS SUMIF Formula'!A9,'TB - F.Y. 2022-23 (Half Yearly)'!$F$14:$F$129))/100000</f>
        <v>62.713459999999998</v>
      </c>
      <c r="D9" s="546">
        <v>0</v>
      </c>
      <c r="E9" s="579">
        <f>'[89]Latim Metals - TB'!E30</f>
        <v>48.381999999999998</v>
      </c>
      <c r="F9" s="580">
        <v>0</v>
      </c>
      <c r="G9" s="794"/>
      <c r="H9" s="580">
        <v>0</v>
      </c>
      <c r="I9" s="778">
        <f>D9-C9</f>
        <v>-62.713459999999998</v>
      </c>
      <c r="K9" s="41">
        <v>87.976072699999989</v>
      </c>
      <c r="L9" s="42">
        <v>8797607.2699999996</v>
      </c>
      <c r="V9" s="524" t="s">
        <v>428</v>
      </c>
      <c r="W9" s="506">
        <v>117.7091358478814</v>
      </c>
      <c r="X9" s="575">
        <f>15806655.3852869/100000</f>
        <v>158.06655385286899</v>
      </c>
      <c r="AL9" s="519">
        <f t="shared" ref="AL9:AL28" si="0">H9-G9</f>
        <v>0</v>
      </c>
      <c r="AN9" t="s">
        <v>428</v>
      </c>
      <c r="AQ9" s="41">
        <v>30.633641900000001</v>
      </c>
    </row>
    <row r="10" spans="1:43">
      <c r="A10" s="53" t="s">
        <v>95</v>
      </c>
      <c r="B10" s="483">
        <f>SUMIF('TB-30-09-2021'!B:B,'LMIL - BS SUMIF Formula'!A10,'TB-30-09-2021'!G:G)</f>
        <v>0</v>
      </c>
      <c r="C10" s="829">
        <f>(SUMIF('TB - F.Y. 2022-23 (Half Yearly)'!$A$14:$A$129,'LMIL - BS SUMIF Formula'!A10,'TB - F.Y. 2022-23 (Half Yearly)'!$F$14:$F$129))/100000</f>
        <v>0</v>
      </c>
      <c r="D10" s="544">
        <v>0</v>
      </c>
      <c r="E10" s="76">
        <v>0</v>
      </c>
      <c r="F10" s="120">
        <v>0</v>
      </c>
      <c r="G10" s="794"/>
      <c r="H10" s="549">
        <v>1.2</v>
      </c>
      <c r="I10" s="778">
        <f>D10-C10</f>
        <v>0</v>
      </c>
      <c r="K10" s="41">
        <v>1.2760000000000001E-2</v>
      </c>
      <c r="L10" s="42">
        <v>1276</v>
      </c>
      <c r="V10" s="524" t="s">
        <v>524</v>
      </c>
      <c r="W10" s="506"/>
      <c r="AL10" s="519">
        <f t="shared" si="0"/>
        <v>1.2</v>
      </c>
      <c r="AN10" t="s">
        <v>525</v>
      </c>
      <c r="AQ10" s="41">
        <v>6.0889623999999998</v>
      </c>
    </row>
    <row r="11" spans="1:43">
      <c r="A11" s="53" t="s">
        <v>96</v>
      </c>
      <c r="B11" s="483"/>
      <c r="C11" s="829">
        <f>(SUMIF('TB - F.Y. 2022-23 (Half Yearly)'!$A$14:$A$129,'LMIL - BS SUMIF Formula'!A11,'TB - F.Y. 2022-23 (Half Yearly)'!$F$14:$F$129))/100000</f>
        <v>0</v>
      </c>
      <c r="D11" s="544"/>
      <c r="E11" s="76"/>
      <c r="F11" s="120"/>
      <c r="G11" s="794"/>
      <c r="H11" s="549"/>
      <c r="I11" s="784"/>
      <c r="K11" s="41"/>
      <c r="V11" s="524" t="s">
        <v>525</v>
      </c>
      <c r="W11" s="506">
        <v>4.6889624000000003</v>
      </c>
      <c r="AL11" s="42">
        <f t="shared" si="0"/>
        <v>0</v>
      </c>
      <c r="AN11" t="s">
        <v>526</v>
      </c>
      <c r="AQ11" s="41"/>
    </row>
    <row r="12" spans="1:43">
      <c r="A12" s="54" t="s">
        <v>72</v>
      </c>
      <c r="B12" s="483">
        <f>SUMIF('TB-30-09-2021'!B:B,'LMIL - BS SUMIF Formula'!A12,'TB-30-09-2021'!G:G)</f>
        <v>56560560</v>
      </c>
      <c r="C12" s="829">
        <f>(SUMIF('TB - F.Y. 2022-23 (Half Yearly)'!$A$14:$A$129,'LMIL - BS SUMIF Formula'!A12,'TB - F.Y. 2022-23 (Half Yearly)'!$F$14:$F$129))/100000</f>
        <v>565.60559999999998</v>
      </c>
      <c r="D12" s="544">
        <v>565.61</v>
      </c>
      <c r="E12" s="76">
        <f>'[89]Latim Metals - TB'!E32</f>
        <v>565.60599999999999</v>
      </c>
      <c r="F12" s="120">
        <v>565.61</v>
      </c>
      <c r="G12" s="794"/>
      <c r="H12" s="549">
        <v>111.79</v>
      </c>
      <c r="I12" s="784">
        <f>D12-C12</f>
        <v>4.400000000032378E-3</v>
      </c>
      <c r="K12" s="41">
        <v>111.79</v>
      </c>
      <c r="V12" s="524" t="s">
        <v>526</v>
      </c>
      <c r="W12" s="506"/>
      <c r="AL12" s="789">
        <f t="shared" si="0"/>
        <v>111.79</v>
      </c>
      <c r="AM12" s="42"/>
      <c r="AN12" t="s">
        <v>72</v>
      </c>
      <c r="AQ12" s="41">
        <v>141.23925259999999</v>
      </c>
    </row>
    <row r="13" spans="1:43">
      <c r="A13" s="54" t="s">
        <v>73</v>
      </c>
      <c r="B13" s="483">
        <f>SUMIF('TB-30-09-2021'!B:B,'LMIL - BS SUMIF Formula'!A13,'TB-30-09-2021'!G:G)</f>
        <v>600000</v>
      </c>
      <c r="C13" s="829">
        <f>(SUMIF('TB - F.Y. 2022-23 (Half Yearly)'!$A$14:$A$129,'LMIL - BS SUMIF Formula'!A13,'TB - F.Y. 2022-23 (Half Yearly)'!$F$14:$F$129))/100000</f>
        <v>0</v>
      </c>
      <c r="D13" s="544">
        <v>6</v>
      </c>
      <c r="E13" s="76">
        <f>'[89]Latim Metals - TB'!E35</f>
        <v>6</v>
      </c>
      <c r="F13" s="120">
        <v>4.5</v>
      </c>
      <c r="G13" s="794"/>
      <c r="H13" s="549">
        <v>117.26</v>
      </c>
      <c r="I13" s="778">
        <f>D13-C13</f>
        <v>6</v>
      </c>
      <c r="K13" s="41">
        <v>119.91067000000001</v>
      </c>
      <c r="L13" s="82" t="s">
        <v>110</v>
      </c>
      <c r="P13" s="41">
        <v>8.0538399999999992</v>
      </c>
      <c r="V13" s="525" t="s">
        <v>72</v>
      </c>
      <c r="W13" s="506">
        <v>116.96455149999998</v>
      </c>
      <c r="AL13" s="790">
        <f t="shared" si="0"/>
        <v>117.26</v>
      </c>
      <c r="AN13" t="s">
        <v>73</v>
      </c>
      <c r="AQ13" s="41">
        <v>123.31010000000001</v>
      </c>
    </row>
    <row r="14" spans="1:43" hidden="1">
      <c r="A14" s="53" t="s">
        <v>74</v>
      </c>
      <c r="B14" s="483">
        <f>SUMIF('TB-30-09-2021'!B:B,'LMIL - BS SUMIF Formula'!A14,'TB-30-09-2021'!G:G)</f>
        <v>0</v>
      </c>
      <c r="C14" s="829">
        <f>(SUMIF('TB - F.Y. 2022-23 (Half Yearly)'!$A$14:$A$129,'LMIL - BS SUMIF Formula'!A14,'TB - F.Y. 2022-23 (Half Yearly)'!$F$14:$F$129))/100000</f>
        <v>0</v>
      </c>
      <c r="D14" s="544"/>
      <c r="E14" s="76">
        <v>0</v>
      </c>
      <c r="F14" s="120">
        <v>1.35</v>
      </c>
      <c r="G14" s="794"/>
      <c r="H14" s="549">
        <v>0</v>
      </c>
      <c r="I14" s="784"/>
      <c r="K14" s="41">
        <v>8.0538399999999992</v>
      </c>
      <c r="M14" s="42"/>
      <c r="V14" s="525" t="s">
        <v>73</v>
      </c>
      <c r="W14" s="506">
        <v>123.96</v>
      </c>
      <c r="AL14" s="42">
        <f t="shared" si="0"/>
        <v>0</v>
      </c>
      <c r="AN14" t="s">
        <v>528</v>
      </c>
      <c r="AQ14" s="41">
        <v>0</v>
      </c>
    </row>
    <row r="15" spans="1:43">
      <c r="A15" s="55" t="s">
        <v>74</v>
      </c>
      <c r="B15" s="485"/>
      <c r="C15" s="829">
        <f>+'TB - F.Y. 2022-23 (Half Yearly)'!F95/100000</f>
        <v>6</v>
      </c>
      <c r="D15" s="485">
        <v>0</v>
      </c>
      <c r="E15" s="77"/>
      <c r="F15" s="60"/>
      <c r="G15" s="794"/>
      <c r="H15" s="549"/>
      <c r="I15" s="784"/>
      <c r="K15" s="41"/>
      <c r="V15" s="524" t="s">
        <v>527</v>
      </c>
      <c r="W15" s="506"/>
      <c r="AL15" s="42">
        <f t="shared" si="0"/>
        <v>0</v>
      </c>
      <c r="AQ15" s="41"/>
    </row>
    <row r="16" spans="1:43">
      <c r="A16" s="55" t="s">
        <v>1096</v>
      </c>
      <c r="B16" s="485"/>
      <c r="C16" s="829">
        <f>252879.03/100000</f>
        <v>2.5287902999999998</v>
      </c>
      <c r="D16" s="485">
        <v>2.83</v>
      </c>
      <c r="E16" s="77"/>
      <c r="F16" s="60"/>
      <c r="G16" s="794"/>
      <c r="H16" s="549"/>
      <c r="I16" s="784"/>
      <c r="K16" s="41"/>
      <c r="V16" s="524"/>
      <c r="W16" s="506"/>
      <c r="AL16" s="42"/>
      <c r="AQ16" s="41"/>
    </row>
    <row r="17" spans="1:46">
      <c r="A17" s="55"/>
      <c r="B17" s="485"/>
      <c r="C17" s="829"/>
      <c r="D17" s="485"/>
      <c r="E17" s="77"/>
      <c r="F17" s="60"/>
      <c r="G17" s="794"/>
      <c r="H17" s="549"/>
      <c r="I17" s="784"/>
      <c r="K17" s="41"/>
      <c r="V17" s="524"/>
      <c r="W17" s="506"/>
      <c r="AL17" s="42"/>
      <c r="AQ17" s="41"/>
    </row>
    <row r="18" spans="1:46">
      <c r="A18" s="56" t="s">
        <v>75</v>
      </c>
      <c r="B18" s="486"/>
      <c r="C18" s="829">
        <f>(SUMIF('TB - F.Y. 2022-23 (Half Yearly)'!$A$14:$A$129,'LMIL - BS SUMIF Formula'!A18,'TB - F.Y. 2022-23 (Half Yearly)'!$F$14:$F$129))/100000</f>
        <v>0</v>
      </c>
      <c r="D18" s="545"/>
      <c r="E18" s="76"/>
      <c r="F18" s="60"/>
      <c r="G18" s="794"/>
      <c r="H18" s="549"/>
      <c r="I18" s="784"/>
      <c r="K18" s="41"/>
      <c r="V18" s="524" t="s">
        <v>528</v>
      </c>
      <c r="W18" s="506">
        <v>0</v>
      </c>
      <c r="AL18" s="42">
        <f t="shared" si="0"/>
        <v>0</v>
      </c>
      <c r="AN18" t="s">
        <v>75</v>
      </c>
      <c r="AQ18" s="41"/>
    </row>
    <row r="19" spans="1:46">
      <c r="A19" s="57" t="s">
        <v>76</v>
      </c>
      <c r="B19" s="483">
        <f>SUMIF('TB-30-09-2021'!B:B,'LMIL - BS SUMIF Formula'!A19,'TB-30-09-2021'!G:G)+'TB-30-09-2021'!I82</f>
        <v>369507238.21500003</v>
      </c>
      <c r="C19" s="829">
        <f>(((SUMIF('TB - F.Y. 2022-23 (Half Yearly)'!$A$14:$A$129,'LMIL - BS SUMIF Formula'!A19,'TB - F.Y. 2022-23 (Half Yearly)'!$F$14:$F$129))/100000)+((88802337.699/100000)))</f>
        <v>3698.1820269899999</v>
      </c>
      <c r="D19" s="544">
        <v>3400.26</v>
      </c>
      <c r="E19" s="76">
        <f>'[89]Latim Metals - TB'!E42+'[89]Latim Metals - TB'!E43+'[89]Latim Metals - TB'!E44</f>
        <v>1326.9569999999999</v>
      </c>
      <c r="F19" s="76">
        <v>1326.9569999999999</v>
      </c>
      <c r="G19" s="794"/>
      <c r="H19" s="549">
        <v>10255.4</v>
      </c>
      <c r="I19" s="777">
        <f>D19-C19</f>
        <v>-297.92202698999972</v>
      </c>
      <c r="K19" s="41">
        <v>5909.7711042033543</v>
      </c>
      <c r="W19" s="526"/>
      <c r="AL19" s="519">
        <f t="shared" si="0"/>
        <v>10255.4</v>
      </c>
      <c r="AN19" t="s">
        <v>76</v>
      </c>
      <c r="AQ19" s="41">
        <v>5203.7719881599996</v>
      </c>
    </row>
    <row r="20" spans="1:46">
      <c r="A20" s="57" t="s">
        <v>77</v>
      </c>
      <c r="B20" s="483"/>
      <c r="C20" s="829"/>
      <c r="D20" s="546"/>
      <c r="E20" s="76"/>
      <c r="F20" s="120"/>
      <c r="G20" s="794"/>
      <c r="H20" s="549"/>
      <c r="I20" s="784"/>
      <c r="K20" s="41"/>
      <c r="U20" s="3"/>
      <c r="V20" s="82" t="s">
        <v>75</v>
      </c>
      <c r="W20" s="506"/>
      <c r="AL20" s="42">
        <f t="shared" si="0"/>
        <v>0</v>
      </c>
      <c r="AN20" t="s">
        <v>77</v>
      </c>
      <c r="AQ20" s="41">
        <v>0</v>
      </c>
    </row>
    <row r="21" spans="1:46">
      <c r="A21" s="54" t="s">
        <v>1079</v>
      </c>
      <c r="B21" s="483">
        <f>SUMIF('TB-30-09-2021'!B:B,'LMIL - BS SUMIF Formula'!A21,'TB-30-09-2021'!G:G)</f>
        <v>0</v>
      </c>
      <c r="C21" s="829">
        <f>(SUMIF('TB - F.Y. 2022-23 (Half Yearly)'!$A$14:$A$129,'LMIL - BS SUMIF Formula'!A21,'TB - F.Y. 2022-23 (Half Yearly)'!$F$14:$F$129))/100000</f>
        <v>0</v>
      </c>
      <c r="D21" s="547">
        <v>0</v>
      </c>
      <c r="E21" s="76">
        <v>0</v>
      </c>
      <c r="F21" s="120">
        <v>0</v>
      </c>
      <c r="G21" s="794"/>
      <c r="H21" s="549">
        <v>57.98</v>
      </c>
      <c r="I21" s="784">
        <f>D21-C21</f>
        <v>0</v>
      </c>
      <c r="K21" s="41">
        <v>7.5054614999999991</v>
      </c>
      <c r="U21" s="3"/>
      <c r="V21" s="524" t="s">
        <v>76</v>
      </c>
      <c r="W21" s="506">
        <v>4819.9057599999996</v>
      </c>
      <c r="AL21" s="519">
        <f t="shared" si="0"/>
        <v>57.98</v>
      </c>
      <c r="AN21" t="s">
        <v>72</v>
      </c>
      <c r="AQ21" s="41">
        <v>0</v>
      </c>
    </row>
    <row r="22" spans="1:46">
      <c r="A22" s="54" t="s">
        <v>97</v>
      </c>
      <c r="B22" s="483">
        <f>SUMIF('TB-30-09-2021'!B:B,'LMIL - BS SUMIF Formula'!A22,'TB-30-09-2021'!G:G)</f>
        <v>529838</v>
      </c>
      <c r="C22" s="829">
        <f>2308297/100000</f>
        <v>23.08297</v>
      </c>
      <c r="D22" s="548">
        <v>182.26</v>
      </c>
      <c r="E22" s="76">
        <f>'[89]Latim Metals - TB'!E38</f>
        <v>422.04400000000004</v>
      </c>
      <c r="F22" s="120">
        <v>0</v>
      </c>
      <c r="G22" s="794"/>
      <c r="H22" s="549">
        <v>2334.35</v>
      </c>
      <c r="I22" s="777">
        <f>D22-C22</f>
        <v>159.17703</v>
      </c>
      <c r="K22" s="41">
        <v>3154.1719201000001</v>
      </c>
      <c r="O22" s="3"/>
      <c r="P22" s="3"/>
      <c r="U22" s="3"/>
      <c r="V22" s="524" t="s">
        <v>77</v>
      </c>
      <c r="W22" s="506"/>
      <c r="AL22" s="519">
        <f t="shared" si="0"/>
        <v>2334.35</v>
      </c>
      <c r="AN22" t="s">
        <v>97</v>
      </c>
      <c r="AQ22" s="41">
        <f>2662.4172738+15.42</f>
        <v>2677.8372738000003</v>
      </c>
    </row>
    <row r="23" spans="1:46">
      <c r="A23" s="58" t="s">
        <v>98</v>
      </c>
      <c r="B23" s="483">
        <f>SUMIF('TB-30-09-2021'!B:B,'LMIL - BS SUMIF Formula'!A23,'TB-30-09-2021'!G:G)</f>
        <v>64979863.288000003</v>
      </c>
      <c r="C23" s="829">
        <f>(SUMIF('TB - F.Y. 2022-23 (Half Yearly)'!$A$14:$A$129,'LMIL - BS SUMIF Formula'!A23,'TB - F.Y. 2022-23 (Half Yearly)'!$F$14:$F$129))/100000</f>
        <v>11.14741248</v>
      </c>
      <c r="D23" s="544">
        <v>49.75</v>
      </c>
      <c r="E23" s="76">
        <f>'[89]Latim Metals - TB'!E39+'[89]Latim Metals - TB'!E40</f>
        <v>7.0150000000000006</v>
      </c>
      <c r="F23" s="120">
        <v>4.29</v>
      </c>
      <c r="G23" s="794"/>
      <c r="H23" s="565">
        <v>178.73</v>
      </c>
      <c r="I23" s="778">
        <f>D23-C23</f>
        <v>38.60258752</v>
      </c>
      <c r="J23" s="42">
        <f>+G23-H23</f>
        <v>-178.73</v>
      </c>
      <c r="K23" s="41">
        <v>180.2805329</v>
      </c>
      <c r="L23" s="82" t="s">
        <v>109</v>
      </c>
      <c r="O23" s="3"/>
      <c r="P23" s="3"/>
      <c r="U23" s="3"/>
      <c r="V23" s="527" t="s">
        <v>72</v>
      </c>
      <c r="W23" s="506">
        <v>5.0999999999999996</v>
      </c>
      <c r="AL23" s="519">
        <f t="shared" si="0"/>
        <v>178.73</v>
      </c>
      <c r="AN23" t="s">
        <v>98</v>
      </c>
      <c r="AQ23" s="41">
        <v>169.6267225</v>
      </c>
    </row>
    <row r="24" spans="1:46">
      <c r="A24" s="54" t="s">
        <v>285</v>
      </c>
      <c r="B24" s="483">
        <f>SUMIF('TB-30-09-2021'!B:B,'LMIL - BS SUMIF Formula'!A24,'TB-30-09-2021'!G:G)</f>
        <v>0</v>
      </c>
      <c r="C24" s="829">
        <f>(SUMIF('TB - F.Y. 2022-23 (Half Yearly)'!$A$14:$A$129,'LMIL - BS SUMIF Formula'!A24,'TB - F.Y. 2022-23 (Half Yearly)'!$F$14:$F$129))/100000</f>
        <v>0</v>
      </c>
      <c r="D24" s="544">
        <v>0</v>
      </c>
      <c r="E24" s="76">
        <v>0</v>
      </c>
      <c r="F24" s="120">
        <v>0</v>
      </c>
      <c r="G24" s="794"/>
      <c r="H24" s="549">
        <v>411.6</v>
      </c>
      <c r="I24" s="778">
        <f>D24-C24</f>
        <v>0</v>
      </c>
      <c r="K24" s="41"/>
      <c r="L24">
        <v>1907962</v>
      </c>
      <c r="O24" s="1150"/>
      <c r="P24" s="3"/>
      <c r="U24" s="3"/>
      <c r="V24" s="525" t="s">
        <v>97</v>
      </c>
      <c r="W24" s="506">
        <v>5174.9119275000003</v>
      </c>
      <c r="AL24" s="519">
        <f t="shared" si="0"/>
        <v>411.6</v>
      </c>
      <c r="AN24" t="s">
        <v>529</v>
      </c>
      <c r="AQ24" s="41">
        <v>211.59610000000001</v>
      </c>
    </row>
    <row r="25" spans="1:46" hidden="1">
      <c r="A25" s="54" t="s">
        <v>286</v>
      </c>
      <c r="B25" s="483">
        <f>SUMIF('TB-30-09-2021'!B:B,'LMIL - BS SUMIF Formula'!A25,'TB-30-09-2021'!G:G)</f>
        <v>0</v>
      </c>
      <c r="C25" s="829">
        <f>(SUMIF('TB - F.Y. 2022-23 (Half Yearly)'!$A$14:$A$129,'LMIL - BS SUMIF Formula'!A25,'TB - F.Y. 2022-23 (Half Yearly)'!$F$14:$F$129))/100000</f>
        <v>0</v>
      </c>
      <c r="D25" s="547">
        <v>0</v>
      </c>
      <c r="E25" s="76">
        <f>'[89]Latim Metals - TB'!E36</f>
        <v>36.999000000000002</v>
      </c>
      <c r="F25" s="120">
        <v>45.73</v>
      </c>
      <c r="G25" s="794"/>
      <c r="H25" s="549">
        <v>0</v>
      </c>
      <c r="I25" s="784"/>
      <c r="K25" s="41"/>
      <c r="M25" s="42">
        <v>0</v>
      </c>
      <c r="N25" s="42">
        <v>0</v>
      </c>
      <c r="O25" s="1150"/>
      <c r="P25" s="3"/>
      <c r="U25" s="3"/>
      <c r="V25" s="525" t="s">
        <v>98</v>
      </c>
      <c r="W25" s="506">
        <v>4.3499403999999995</v>
      </c>
      <c r="Z25" s="42"/>
      <c r="AL25" s="42">
        <f t="shared" si="0"/>
        <v>0</v>
      </c>
      <c r="AQ25" s="41"/>
    </row>
    <row r="26" spans="1:46">
      <c r="A26" s="54" t="s">
        <v>530</v>
      </c>
      <c r="B26" s="483">
        <f>SUMIF('TB-30-09-2021'!B:B,'LMIL - BS SUMIF Formula'!A26,'TB-30-09-2021'!G:G)</f>
        <v>0</v>
      </c>
      <c r="C26" s="829">
        <f>(((SUMIF('TB - F.Y. 2022-23 (Half Yearly)'!$A$14:$A$129,'LMIL - BS SUMIF Formula'!A26,'TB - F.Y. 2022-23 (Half Yearly)'!$F$14:$F$129))/100000)+(5113000.25/100000))</f>
        <v>51.330002500000006</v>
      </c>
      <c r="D26" s="547">
        <v>0</v>
      </c>
      <c r="E26" s="76">
        <v>0</v>
      </c>
      <c r="F26" s="120">
        <v>0</v>
      </c>
      <c r="G26" s="794"/>
      <c r="H26" s="549">
        <v>24.21</v>
      </c>
      <c r="I26" s="777">
        <f>D26-C26</f>
        <v>-51.330002500000006</v>
      </c>
      <c r="K26" s="41">
        <v>10.83445</v>
      </c>
      <c r="O26" s="3"/>
      <c r="P26" s="3"/>
      <c r="U26" s="3"/>
      <c r="V26" s="525" t="s">
        <v>529</v>
      </c>
      <c r="W26" s="506">
        <v>488.0948788</v>
      </c>
      <c r="AL26" s="519">
        <f t="shared" si="0"/>
        <v>24.21</v>
      </c>
      <c r="AN26" t="s">
        <v>530</v>
      </c>
      <c r="AQ26" s="41">
        <v>94.524109600000003</v>
      </c>
    </row>
    <row r="27" spans="1:46">
      <c r="A27" s="53" t="s">
        <v>78</v>
      </c>
      <c r="B27" s="483">
        <f>SUMIF('TB-30-09-2021'!B:B,'LMIL - BS SUMIF Formula'!A27,'TB-30-09-2021'!G:G)</f>
        <v>333396.41000000003</v>
      </c>
      <c r="C27" s="829">
        <f>(SUMIF('TB - F.Y. 2022-23 (Half Yearly)'!$A$14:$A$129,'LMIL - BS SUMIF Formula'!A27,'TB - F.Y. 2022-23 (Half Yearly)'!$F$14:$F$129))/100000</f>
        <v>164.23128328999999</v>
      </c>
      <c r="D27" s="544">
        <v>267.52</v>
      </c>
      <c r="E27" s="76">
        <f>'[89]Latim Metals - TB'!E17+'[89]Latim Metals - TB'!E41+'[89]Latim Metals - TB'!E45+'[89]Latim Metals - TB'!E46</f>
        <v>15.416999999999998</v>
      </c>
      <c r="F27" s="120">
        <v>7.93</v>
      </c>
      <c r="G27" s="794"/>
      <c r="H27" s="549">
        <v>0</v>
      </c>
      <c r="I27" s="777">
        <f t="shared" ref="I27:I28" si="1">D27-C27</f>
        <v>103.28871670999999</v>
      </c>
      <c r="K27" s="41">
        <v>881.64058666000005</v>
      </c>
      <c r="Q27" s="269">
        <v>19665716</v>
      </c>
      <c r="R27" s="269" t="s">
        <v>244</v>
      </c>
      <c r="S27" s="270"/>
      <c r="T27" s="270"/>
      <c r="V27" s="525" t="s">
        <v>530</v>
      </c>
      <c r="W27" s="506">
        <v>11.980613400000001</v>
      </c>
      <c r="AL27" s="519">
        <f t="shared" si="0"/>
        <v>0</v>
      </c>
      <c r="AN27" t="s">
        <v>531</v>
      </c>
      <c r="AQ27" s="41">
        <v>382.27511412000001</v>
      </c>
    </row>
    <row r="28" spans="1:46">
      <c r="A28" s="53" t="s">
        <v>424</v>
      </c>
      <c r="B28" s="483">
        <f>SUMIF('TB-30-09-2021'!B:B,'LMIL - BS SUMIF Formula'!A28,'TB-30-09-2021'!G:G)+(-'Regulation 33 - Results'!E34*100000)</f>
        <v>21671.560000000005</v>
      </c>
      <c r="C28" s="829">
        <f>(SUMIF('TB - F.Y. 2022-23 (Half Yearly)'!$A$14:$A$129,'LMIL - BS SUMIF Formula'!A28,'TB - F.Y. 2022-23 (Half Yearly)'!$F$14:$F$129))/100000</f>
        <v>0</v>
      </c>
      <c r="D28" s="544">
        <v>0</v>
      </c>
      <c r="E28" s="76">
        <v>0</v>
      </c>
      <c r="F28" s="120">
        <v>0</v>
      </c>
      <c r="G28" s="794"/>
      <c r="H28" s="549">
        <v>706.68</v>
      </c>
      <c r="I28" s="784">
        <f t="shared" si="1"/>
        <v>0</v>
      </c>
      <c r="K28" s="41"/>
      <c r="Q28" s="269"/>
      <c r="R28" s="269"/>
      <c r="S28" s="270"/>
      <c r="T28" s="270"/>
      <c r="V28" s="524" t="s">
        <v>531</v>
      </c>
      <c r="W28" s="506">
        <v>42.99</v>
      </c>
      <c r="AL28" s="42">
        <f t="shared" si="0"/>
        <v>706.68</v>
      </c>
      <c r="AN28" t="s">
        <v>532</v>
      </c>
      <c r="AQ28" s="41">
        <v>704.77646613999991</v>
      </c>
    </row>
    <row r="29" spans="1:46">
      <c r="A29" s="58"/>
      <c r="B29" s="488"/>
      <c r="C29" s="824"/>
      <c r="D29" s="548"/>
      <c r="E29" s="76"/>
      <c r="F29" s="60"/>
      <c r="G29" s="794"/>
      <c r="H29" s="60"/>
      <c r="K29" s="41"/>
      <c r="V29" s="524" t="s">
        <v>532</v>
      </c>
      <c r="W29" s="506">
        <v>1558.4596369799999</v>
      </c>
      <c r="AQ29" s="41"/>
    </row>
    <row r="30" spans="1:46" ht="15" thickBot="1">
      <c r="A30" s="56" t="s">
        <v>79</v>
      </c>
      <c r="B30" s="78">
        <f>SUM(B7:B29)</f>
        <v>494449036.45300007</v>
      </c>
      <c r="C30" s="78">
        <f>SUM(C8:C29)</f>
        <v>4607.2456877599998</v>
      </c>
      <c r="D30" s="78">
        <f>SUM(D8:D29)</f>
        <v>4485.34</v>
      </c>
      <c r="E30" s="78">
        <f>SUM(E8:E28)</f>
        <v>2445.9429999999993</v>
      </c>
      <c r="F30" s="78">
        <f>SUM(F8:F28)</f>
        <v>1976.7769999999998</v>
      </c>
      <c r="G30" s="794"/>
      <c r="H30" s="78">
        <f>SUM(H8:H28)</f>
        <v>15813.109999999999</v>
      </c>
      <c r="I30" s="438">
        <f>AL30*2</f>
        <v>9.9999997473787516E-6</v>
      </c>
      <c r="K30" s="78">
        <v>12642.829971563355</v>
      </c>
      <c r="M30" s="42"/>
      <c r="V30" s="525"/>
      <c r="W30" s="526"/>
      <c r="Z30" s="42"/>
      <c r="AL30" s="830">
        <f>+C30-C58</f>
        <v>4.9999998736893758E-6</v>
      </c>
      <c r="AN30" t="s">
        <v>79</v>
      </c>
      <c r="AQ30" s="41">
        <f>SUM(AQ8:AQ28)</f>
        <v>11398.53532332</v>
      </c>
      <c r="AS30" s="42">
        <f>+AQ30+C30</f>
        <v>16005.78101108</v>
      </c>
      <c r="AT30" s="42">
        <f>+AS30-G30</f>
        <v>16005.78101108</v>
      </c>
    </row>
    <row r="31" spans="1:46" ht="15" thickTop="1">
      <c r="A31" s="55"/>
      <c r="B31" s="485"/>
      <c r="C31" s="824"/>
      <c r="D31" s="485"/>
      <c r="E31" s="76"/>
      <c r="F31" s="60"/>
      <c r="G31" s="794"/>
      <c r="H31" s="60"/>
      <c r="K31" s="41"/>
      <c r="V31" s="82" t="s">
        <v>79</v>
      </c>
      <c r="W31" s="528">
        <f>SUM(W8:W30)</f>
        <v>14224.18367172788</v>
      </c>
      <c r="X31" s="42"/>
      <c r="Y31" s="42"/>
      <c r="AL31" s="830">
        <f>AL30/2</f>
        <v>2.4999999368446879E-6</v>
      </c>
      <c r="AQ31" s="41"/>
    </row>
    <row r="32" spans="1:46">
      <c r="A32" s="59" t="s">
        <v>80</v>
      </c>
      <c r="B32" s="489"/>
      <c r="C32" s="824"/>
      <c r="D32" s="489"/>
      <c r="E32" s="76"/>
      <c r="F32" s="60"/>
      <c r="G32" s="794"/>
      <c r="H32" s="60"/>
      <c r="K32" s="41"/>
      <c r="W32" s="506"/>
      <c r="AL32" s="830"/>
      <c r="AN32" t="s">
        <v>80</v>
      </c>
      <c r="AQ32" s="41"/>
    </row>
    <row r="33" spans="1:51">
      <c r="A33" s="56" t="s">
        <v>81</v>
      </c>
      <c r="B33" s="486"/>
      <c r="C33" s="824"/>
      <c r="D33" s="545"/>
      <c r="E33" s="76"/>
      <c r="F33" s="60"/>
      <c r="G33" s="794"/>
      <c r="H33" s="60"/>
      <c r="I33" s="830">
        <f>AL33*100000</f>
        <v>0.49999998736893758</v>
      </c>
      <c r="K33" s="41"/>
      <c r="V33" s="529" t="s">
        <v>80</v>
      </c>
      <c r="W33" s="530"/>
      <c r="AL33" s="830">
        <f>C30-C58</f>
        <v>4.9999998736893758E-6</v>
      </c>
      <c r="AN33" t="s">
        <v>81</v>
      </c>
      <c r="AQ33" s="41"/>
    </row>
    <row r="34" spans="1:51">
      <c r="A34" s="53" t="s">
        <v>82</v>
      </c>
      <c r="B34" s="483">
        <f>SUMIF('TB-30-09-2021'!B:B,'LMIL - BS SUMIF Formula'!A34,'TB-30-09-2021'!G:G)</f>
        <v>88314300</v>
      </c>
      <c r="C34" s="829">
        <f>(SUMIF('TB - F.Y. 2022-23 (Half Yearly)'!$A$14:$A$129,'LMIL - BS SUMIF Formula'!A34,'TB - F.Y. 2022-23 (Half Yearly)'!$F$14:$F$129))/100000</f>
        <v>883.14300000000003</v>
      </c>
      <c r="D34" s="544">
        <v>883.14</v>
      </c>
      <c r="E34" s="76">
        <f>'[89]Latim Metals - TB'!F11+'[89]Latim Metals - TB'!F12</f>
        <v>883.14300000000003</v>
      </c>
      <c r="F34" s="120">
        <v>883.14</v>
      </c>
      <c r="G34" s="794"/>
      <c r="H34" s="549">
        <v>883.14</v>
      </c>
      <c r="I34" s="784">
        <f>+C34-D34</f>
        <v>3.0000000000427463E-3</v>
      </c>
      <c r="K34" s="41">
        <v>202.00200000000001</v>
      </c>
      <c r="V34" s="82" t="s">
        <v>81</v>
      </c>
      <c r="W34" s="506"/>
      <c r="AN34" t="s">
        <v>82</v>
      </c>
      <c r="AQ34" s="41">
        <v>202.00200000000001</v>
      </c>
    </row>
    <row r="35" spans="1:51">
      <c r="A35" s="53" t="s">
        <v>83</v>
      </c>
      <c r="B35" s="483" t="e">
        <f>SUMIF('TB-30-09-2021'!B:B,'LMIL - BS SUMIF Formula'!A35,'TB-30-09-2021'!G:G)+31824676-'Regulation 33 - Results'!#REF!+(-'Regulation 33 - Results'!E34*100000)</f>
        <v>#REF!</v>
      </c>
      <c r="C35" s="829">
        <f>(((98503195-20141688.135)/100000))+(53135461.721/100000)</f>
        <v>1314.96968586</v>
      </c>
      <c r="D35" s="544">
        <v>1516.4</v>
      </c>
      <c r="E35" s="76">
        <f>'[89]Latim Metals - TB'!F10-'[89]Latim Metals - TB'!E48+'[89]Regulation 33 - Results'!H40</f>
        <v>1055.2865506699998</v>
      </c>
      <c r="F35" s="120">
        <v>736.66</v>
      </c>
      <c r="G35" s="794"/>
      <c r="H35" s="549">
        <v>2635.22</v>
      </c>
      <c r="I35" s="785">
        <f>+G35-H35</f>
        <v>-2635.22</v>
      </c>
      <c r="J35" s="42"/>
      <c r="K35" s="41">
        <v>756.55076947935606</v>
      </c>
      <c r="V35" s="524" t="s">
        <v>82</v>
      </c>
      <c r="W35" s="506">
        <v>202.00200000000001</v>
      </c>
      <c r="Z35" s="41"/>
      <c r="AL35" s="519">
        <f>G35-H35</f>
        <v>-2635.22</v>
      </c>
      <c r="AM35" s="42">
        <f>+C35-D35</f>
        <v>-201.43031414000006</v>
      </c>
      <c r="AN35" t="s">
        <v>83</v>
      </c>
      <c r="AQ35" s="41">
        <v>1202.4364528199999</v>
      </c>
      <c r="AS35" s="42">
        <f>+AR35-AQ35</f>
        <v>-1202.4364528199999</v>
      </c>
      <c r="AT35" s="42">
        <f>+AQ35-AR35</f>
        <v>1202.4364528199999</v>
      </c>
      <c r="AU35" s="42">
        <f>+C35-D35</f>
        <v>-201.43031414000006</v>
      </c>
      <c r="AV35" s="42">
        <f>+AU35-'Regulation 33 - Results'!H36</f>
        <v>-1.1388150000101405E-2</v>
      </c>
      <c r="AW35" s="42">
        <f>-AV35</f>
        <v>1.1388150000101405E-2</v>
      </c>
      <c r="AY35" s="830">
        <f>AW35*100000</f>
        <v>1138.8150000101405</v>
      </c>
    </row>
    <row r="36" spans="1:51">
      <c r="A36" s="60"/>
      <c r="B36" s="549"/>
      <c r="C36" s="824"/>
      <c r="D36" s="549"/>
      <c r="E36" s="79"/>
      <c r="F36" s="60"/>
      <c r="G36" s="794"/>
      <c r="H36" s="549"/>
      <c r="I36" s="784">
        <f>+I35-'Regulation 33 - Results'!N36</f>
        <v>-3123.2391000196453</v>
      </c>
      <c r="K36" s="41"/>
      <c r="V36" s="524" t="s">
        <v>83</v>
      </c>
      <c r="W36" s="506">
        <f>-229.12422241853-1.27</f>
        <v>-230.39422241853001</v>
      </c>
      <c r="AM36" s="42"/>
      <c r="AQ36" s="41">
        <v>0</v>
      </c>
    </row>
    <row r="37" spans="1:51">
      <c r="A37" s="56" t="s">
        <v>84</v>
      </c>
      <c r="B37" s="545"/>
      <c r="C37" s="824"/>
      <c r="D37" s="545"/>
      <c r="E37" s="80"/>
      <c r="F37" s="60"/>
      <c r="G37" s="794"/>
      <c r="H37" s="549"/>
      <c r="I37" s="784">
        <f>D35+'Regulation 33 - Results'!H40-44.16</f>
        <v>1270.8210740100001</v>
      </c>
      <c r="J37" s="42"/>
      <c r="K37" s="41"/>
      <c r="W37" s="526"/>
      <c r="AB37" s="42"/>
      <c r="AL37" s="42"/>
      <c r="AM37" s="42">
        <f>301.77-AM35</f>
        <v>503.20031414000005</v>
      </c>
      <c r="AN37" t="s">
        <v>84</v>
      </c>
      <c r="AQ37" s="41">
        <v>0</v>
      </c>
    </row>
    <row r="38" spans="1:51">
      <c r="A38" s="61" t="s">
        <v>85</v>
      </c>
      <c r="B38" s="550"/>
      <c r="C38" s="824"/>
      <c r="D38" s="550"/>
      <c r="E38" s="75"/>
      <c r="F38" s="60"/>
      <c r="G38" s="794"/>
      <c r="H38" s="549"/>
      <c r="I38" s="784"/>
      <c r="K38" s="41"/>
      <c r="V38" s="82" t="s">
        <v>84</v>
      </c>
      <c r="W38" s="526"/>
      <c r="Z38" s="42"/>
      <c r="AM38" s="42">
        <f>AM37-44.16</f>
        <v>459.04031414000008</v>
      </c>
      <c r="AN38" t="s">
        <v>85</v>
      </c>
      <c r="AQ38" s="41">
        <v>0</v>
      </c>
    </row>
    <row r="39" spans="1:51">
      <c r="A39" s="62" t="s">
        <v>86</v>
      </c>
      <c r="B39" s="779"/>
      <c r="C39" s="824"/>
      <c r="D39" s="552"/>
      <c r="E39" s="76"/>
      <c r="F39" s="60"/>
      <c r="G39" s="794"/>
      <c r="H39" s="549"/>
      <c r="I39" s="784"/>
      <c r="J39" s="42"/>
      <c r="K39" s="41"/>
      <c r="V39" s="531" t="s">
        <v>85</v>
      </c>
      <c r="W39" s="526"/>
      <c r="AN39" t="s">
        <v>86</v>
      </c>
      <c r="AQ39" s="41">
        <v>0</v>
      </c>
    </row>
    <row r="40" spans="1:51">
      <c r="A40" s="63" t="s">
        <v>87</v>
      </c>
      <c r="B40" s="483">
        <f>SUMIF('TB-30-09-2021'!B:B,'LMIL - BS SUMIF Formula'!A40,'TB-30-09-2021'!G:G)</f>
        <v>537338</v>
      </c>
      <c r="C40" s="829">
        <f>678709/100000</f>
        <v>6.7870900000000001</v>
      </c>
      <c r="D40" s="553">
        <v>42.3</v>
      </c>
      <c r="E40" s="76">
        <v>0</v>
      </c>
      <c r="F40" s="120">
        <v>0</v>
      </c>
      <c r="G40" s="794"/>
      <c r="H40" s="549">
        <v>1341.74</v>
      </c>
      <c r="I40" s="778">
        <f>+C40-D40</f>
        <v>-35.512909999999998</v>
      </c>
      <c r="K40" s="41"/>
      <c r="V40" s="532" t="s">
        <v>86</v>
      </c>
      <c r="W40" s="526"/>
      <c r="X40" t="s">
        <v>538</v>
      </c>
      <c r="AL40" s="519">
        <f>G40-H40</f>
        <v>-1341.74</v>
      </c>
      <c r="AN40" t="s">
        <v>87</v>
      </c>
      <c r="AQ40" s="41">
        <v>1412.1644568000002</v>
      </c>
    </row>
    <row r="41" spans="1:51">
      <c r="A41" s="63" t="s">
        <v>429</v>
      </c>
      <c r="B41" s="483">
        <f>SUMIF('TB-30-09-2021'!B:B,'LMIL - BS SUMIF Formula'!A41,'TB-30-09-2021'!G:G)</f>
        <v>606891.79</v>
      </c>
      <c r="C41" s="829">
        <f>(SUMIF('TB - F.Y. 2022-23 (Half Yearly)'!$A$14:$A$129,'LMIL - BS SUMIF Formula'!A41,'TB - F.Y. 2022-23 (Half Yearly)'!$F$14:$F$129))/100000-C49</f>
        <v>41.252250000000004</v>
      </c>
      <c r="D41" s="554">
        <v>0</v>
      </c>
      <c r="E41" s="438">
        <v>0</v>
      </c>
      <c r="F41" s="120">
        <v>0</v>
      </c>
      <c r="G41" s="794"/>
      <c r="H41" s="556">
        <v>14.83</v>
      </c>
      <c r="I41" s="778">
        <f t="shared" ref="I41:I44" si="2">+C41-D41</f>
        <v>41.252250000000004</v>
      </c>
      <c r="K41" s="41"/>
      <c r="V41" s="439" t="s">
        <v>87</v>
      </c>
      <c r="W41" s="506">
        <v>1726.8446768000001</v>
      </c>
      <c r="AL41" s="791">
        <f t="shared" ref="AL41:AL44" si="3">G41-H41</f>
        <v>-14.83</v>
      </c>
      <c r="AN41" t="s">
        <v>429</v>
      </c>
      <c r="AQ41" s="41">
        <v>43.2677829</v>
      </c>
    </row>
    <row r="42" spans="1:51">
      <c r="A42" s="62" t="s">
        <v>88</v>
      </c>
      <c r="B42" s="483" t="e">
        <f>SUMIF('TB-30-09-2021'!B:B,'LMIL - BS SUMIF Formula'!A42,'TB-30-09-2021'!G:G)+'Regulation 33 - Results'!#REF!-('Regulation 33 - Results'!H32*100000)</f>
        <v>#REF!</v>
      </c>
      <c r="C42" s="829">
        <f>(SUMIF('TB - F.Y. 2022-23 (Half Yearly)'!$A$14:$A$129,'LMIL - BS SUMIF Formula'!A42,'TB - F.Y. 2022-23 (Half Yearly)'!$F$14:$F$129))/100000</f>
        <v>0</v>
      </c>
      <c r="D42" s="551">
        <v>0</v>
      </c>
      <c r="E42" s="41">
        <v>0</v>
      </c>
      <c r="F42" s="120">
        <v>7.91</v>
      </c>
      <c r="G42" s="794"/>
      <c r="H42" s="549">
        <v>0</v>
      </c>
      <c r="I42" s="778">
        <f t="shared" si="2"/>
        <v>0</v>
      </c>
      <c r="K42" s="41">
        <v>32.828940000000003</v>
      </c>
      <c r="V42" s="439" t="s">
        <v>429</v>
      </c>
      <c r="W42" s="506">
        <v>129.92138081218897</v>
      </c>
      <c r="X42">
        <f>16930626/100000</f>
        <v>169.30626000000001</v>
      </c>
      <c r="Y42" s="42"/>
      <c r="AL42" s="780">
        <f t="shared" si="3"/>
        <v>0</v>
      </c>
      <c r="AN42" t="s">
        <v>88</v>
      </c>
      <c r="AQ42" s="41">
        <v>414.70993230000005</v>
      </c>
    </row>
    <row r="43" spans="1:51">
      <c r="A43" s="62" t="s">
        <v>99</v>
      </c>
      <c r="B43" s="483">
        <f>SUMIF('TB-30-09-2021'!B:B,'LMIL - BS SUMIF Formula'!A43,'TB-30-09-2021'!G:G)</f>
        <v>0</v>
      </c>
      <c r="C43" s="829">
        <f>(SUMIF('TB - F.Y. 2022-23 (Half Yearly)'!$A$14:$A$129,'LMIL - BS SUMIF Formula'!A43,'TB - F.Y. 2022-23 (Half Yearly)'!$F$14:$F$129))/100000</f>
        <v>0</v>
      </c>
      <c r="D43" s="552">
        <v>0</v>
      </c>
      <c r="E43" s="76">
        <v>0</v>
      </c>
      <c r="F43" s="120">
        <v>0</v>
      </c>
      <c r="G43" s="794"/>
      <c r="H43" s="549">
        <v>56.48</v>
      </c>
      <c r="I43" s="784">
        <f t="shared" si="2"/>
        <v>0</v>
      </c>
      <c r="J43" s="42"/>
      <c r="K43" s="41">
        <v>131.86373606400008</v>
      </c>
      <c r="V43" s="532" t="s">
        <v>88</v>
      </c>
      <c r="W43" s="506">
        <f>159.73+1.27+56.87637+47.71722</f>
        <v>265.59359000000001</v>
      </c>
      <c r="AL43" s="42">
        <f t="shared" si="3"/>
        <v>-56.48</v>
      </c>
      <c r="AN43" t="s">
        <v>99</v>
      </c>
      <c r="AQ43" s="41">
        <v>60.580750599999995</v>
      </c>
      <c r="AR43" s="782"/>
    </row>
    <row r="44" spans="1:51">
      <c r="A44" s="62" t="s">
        <v>489</v>
      </c>
      <c r="B44" s="483">
        <f>SUMIF('TB-30-09-2021'!B:B,'LMIL - BS SUMIF Formula'!A44,'TB-30-09-2021'!G:G)</f>
        <v>1454609.7310000001</v>
      </c>
      <c r="C44" s="829">
        <f>(SUMIF('TB - F.Y. 2022-23 (Half Yearly)'!$A$14:$A$129,'LMIL - BS SUMIF Formula'!A44,'TB - F.Y. 2022-23 (Half Yearly)'!$F$14:$F$129))/100000</f>
        <v>0</v>
      </c>
      <c r="D44" s="549"/>
      <c r="E44" s="79"/>
      <c r="F44" s="60"/>
      <c r="G44" s="794"/>
      <c r="H44" s="549">
        <v>0</v>
      </c>
      <c r="I44" s="784">
        <f t="shared" si="2"/>
        <v>0</v>
      </c>
      <c r="K44" s="41"/>
      <c r="P44">
        <v>6.36</v>
      </c>
      <c r="V44" s="532" t="s">
        <v>99</v>
      </c>
      <c r="W44" s="506">
        <v>73.069999999999993</v>
      </c>
      <c r="AL44" s="780">
        <f t="shared" si="3"/>
        <v>0</v>
      </c>
      <c r="AQ44" s="41">
        <v>0</v>
      </c>
    </row>
    <row r="45" spans="1:51">
      <c r="A45" s="61" t="s">
        <v>89</v>
      </c>
      <c r="B45" s="538"/>
      <c r="C45" s="824"/>
      <c r="D45" s="557"/>
      <c r="E45" s="76"/>
      <c r="F45" s="60"/>
      <c r="G45" s="794"/>
      <c r="H45" s="549"/>
      <c r="I45" s="784"/>
      <c r="K45" s="41"/>
      <c r="W45" s="526"/>
      <c r="AN45" t="s">
        <v>89</v>
      </c>
      <c r="AQ45" s="41">
        <v>0</v>
      </c>
    </row>
    <row r="46" spans="1:51">
      <c r="A46" s="62" t="s">
        <v>86</v>
      </c>
      <c r="B46" s="539"/>
      <c r="C46" s="824"/>
      <c r="D46" s="552"/>
      <c r="E46" s="76"/>
      <c r="F46" s="60"/>
      <c r="G46" s="794"/>
      <c r="H46" s="549"/>
      <c r="I46" s="784"/>
      <c r="K46" s="41"/>
      <c r="V46" s="531" t="s">
        <v>89</v>
      </c>
      <c r="W46" s="526"/>
      <c r="Z46" s="42"/>
      <c r="AN46" t="s">
        <v>86</v>
      </c>
      <c r="AQ46" s="41">
        <v>0</v>
      </c>
    </row>
    <row r="47" spans="1:51">
      <c r="A47" s="64" t="s">
        <v>1077</v>
      </c>
      <c r="B47" s="483">
        <f>SUMIF('TB-30-09-2021'!B:B,'LMIL - BS SUMIF Formula'!A47,'TB-30-09-2021'!G:G)</f>
        <v>0</v>
      </c>
      <c r="C47" s="829">
        <f>(175360708.58+171290.5)/100000</f>
        <v>1755.3199908000001</v>
      </c>
      <c r="D47" s="559">
        <v>0</v>
      </c>
      <c r="E47" s="267">
        <f>'[89]Latim Metals - TB'!F15</f>
        <v>37.207999999999998</v>
      </c>
      <c r="F47" s="120">
        <v>0</v>
      </c>
      <c r="G47" s="794"/>
      <c r="H47" s="549">
        <v>2690.36</v>
      </c>
      <c r="I47" s="784">
        <f t="shared" ref="I47" si="4">+C47-D47</f>
        <v>1755.3199908000001</v>
      </c>
      <c r="K47" s="41">
        <v>6402.2448386000005</v>
      </c>
      <c r="V47" s="532" t="s">
        <v>86</v>
      </c>
      <c r="W47" s="526"/>
      <c r="Z47" s="42"/>
      <c r="AN47" t="s">
        <v>87</v>
      </c>
      <c r="AQ47" s="41">
        <v>1640.8937399000001</v>
      </c>
    </row>
    <row r="48" spans="1:51" hidden="1">
      <c r="A48" s="439" t="s">
        <v>1078</v>
      </c>
      <c r="B48" s="483">
        <f>SUMIF('TB-30-09-2021'!B:B,'LMIL - BS SUMIF Formula'!A48,'TB-30-09-2021'!G:G)</f>
        <v>0</v>
      </c>
      <c r="C48" s="824"/>
      <c r="D48" s="561">
        <v>0</v>
      </c>
      <c r="E48" s="267">
        <v>0</v>
      </c>
      <c r="F48" s="120">
        <v>0</v>
      </c>
      <c r="G48" s="794"/>
      <c r="H48" s="549">
        <v>0</v>
      </c>
      <c r="I48" s="784"/>
      <c r="K48" s="41"/>
      <c r="V48" s="533" t="s">
        <v>87</v>
      </c>
      <c r="W48" s="506">
        <v>1690.6303718000001</v>
      </c>
      <c r="Z48" s="42"/>
      <c r="AN48" t="s">
        <v>429</v>
      </c>
      <c r="AQ48" s="41">
        <v>0</v>
      </c>
    </row>
    <row r="49" spans="1:46">
      <c r="A49" s="439" t="s">
        <v>429</v>
      </c>
      <c r="B49" s="483"/>
      <c r="C49" s="873">
        <f>2333775/100000</f>
        <v>23.33775</v>
      </c>
      <c r="D49" s="561"/>
      <c r="E49" s="267"/>
      <c r="F49" s="120"/>
      <c r="G49" s="794"/>
      <c r="H49" s="549"/>
      <c r="I49" s="784"/>
      <c r="K49" s="41"/>
      <c r="V49" s="533"/>
      <c r="W49" s="506"/>
      <c r="Z49" s="42"/>
      <c r="AQ49" s="41"/>
    </row>
    <row r="50" spans="1:46">
      <c r="A50" s="63" t="s">
        <v>1088</v>
      </c>
      <c r="B50" s="483">
        <f>SUMIF('TB-30-09-2021'!B:B,'LMIL - BS SUMIF Formula'!A50,'TB-30-09-2021'!G:G)</f>
        <v>0</v>
      </c>
      <c r="C50" s="829">
        <f>(SUMIF('TB - F.Y. 2022-23 (Half Yearly)'!A55:A170,'LMIL - BS SUMIF Formula'!A50,'TB - F.Y. 2022-23 (Half Yearly)'!F55:F170))/100000</f>
        <v>0</v>
      </c>
      <c r="D50" s="562"/>
      <c r="E50" s="76"/>
      <c r="F50" s="120"/>
      <c r="G50" s="794"/>
      <c r="H50" s="549"/>
      <c r="I50" s="784"/>
      <c r="K50" s="41">
        <v>5027.0934572999995</v>
      </c>
      <c r="V50" s="439" t="s">
        <v>429</v>
      </c>
      <c r="W50" s="526"/>
      <c r="Z50" s="42"/>
      <c r="AN50" t="s">
        <v>431</v>
      </c>
      <c r="AQ50" s="41">
        <v>0</v>
      </c>
    </row>
    <row r="51" spans="1:46">
      <c r="A51" s="428" t="s">
        <v>422</v>
      </c>
      <c r="B51" s="483">
        <f>SUMIF('TB-30-09-2021'!B:B,'LMIL - BS SUMIF Formula'!A51,'TB-30-09-2021'!G:G)</f>
        <v>0</v>
      </c>
      <c r="C51" s="829">
        <f>(SUMIF('TB - F.Y. 2022-23 (Half Yearly)'!$A$14:$A$129,'LMIL - BS SUMIF Formula'!A51,'TB - F.Y. 2022-23 (Half Yearly)'!$F$14:$F$129))/100000</f>
        <v>0</v>
      </c>
      <c r="D51" s="564">
        <v>0</v>
      </c>
      <c r="E51" s="76">
        <v>0</v>
      </c>
      <c r="F51" s="120">
        <v>0</v>
      </c>
      <c r="G51" s="794"/>
      <c r="H51" s="556">
        <v>60.72</v>
      </c>
      <c r="I51" s="784">
        <f t="shared" ref="I51:I56" si="5">+C51-D51</f>
        <v>0</v>
      </c>
      <c r="K51" s="41"/>
      <c r="V51" s="439" t="s">
        <v>431</v>
      </c>
      <c r="W51" s="506">
        <v>10139.56977111</v>
      </c>
      <c r="AL51" s="519">
        <f t="shared" ref="AL51:AL56" si="6">G51-H51</f>
        <v>-60.72</v>
      </c>
      <c r="AN51" t="s">
        <v>533</v>
      </c>
      <c r="AQ51" s="41">
        <v>0</v>
      </c>
    </row>
    <row r="52" spans="1:46">
      <c r="A52" s="428" t="s">
        <v>1308</v>
      </c>
      <c r="B52" s="483">
        <f>SUMIF('TB-30-09-2021'!B:B,'LMIL - BS SUMIF Formula'!A52,'TB-30-09-2021'!G:G)</f>
        <v>0</v>
      </c>
      <c r="C52" s="829">
        <f>32546634.61/100000</f>
        <v>325.46634610000001</v>
      </c>
      <c r="D52" s="553">
        <v>1765.25</v>
      </c>
      <c r="E52" s="76">
        <f>'[89]Latim Metals - TB'!F20</f>
        <v>619.745</v>
      </c>
      <c r="F52" s="120">
        <v>320.08999999999997</v>
      </c>
      <c r="G52" s="794"/>
      <c r="H52" s="556">
        <v>7353.28</v>
      </c>
      <c r="I52" s="777">
        <f t="shared" si="5"/>
        <v>-1439.7836539</v>
      </c>
      <c r="K52" s="41"/>
      <c r="V52" s="534" t="s">
        <v>533</v>
      </c>
      <c r="W52" s="526"/>
      <c r="AL52" s="519">
        <f t="shared" si="6"/>
        <v>-7353.28</v>
      </c>
      <c r="AN52" t="s">
        <v>534</v>
      </c>
      <c r="AQ52" s="41">
        <v>5786.1221211399998</v>
      </c>
    </row>
    <row r="53" spans="1:46">
      <c r="A53" s="63" t="s">
        <v>430</v>
      </c>
      <c r="B53" s="483">
        <f>SUMIF('TB-30-09-2021'!B:B,'LMIL - BS SUMIF Formula'!A53,'TB-30-09-2021'!G:G)</f>
        <v>42622321.32</v>
      </c>
      <c r="C53" s="829">
        <f>(SUMIF('TB - F.Y. 2022-23 (Half Yearly)'!$A$14:$A$129,'LMIL - BS SUMIF Formula'!A53,'TB - F.Y. 2022-23 (Half Yearly)'!$F$14:$F$129))/100000</f>
        <v>55.53022</v>
      </c>
      <c r="D53" s="544">
        <v>102.12</v>
      </c>
      <c r="E53" s="76">
        <f>'[89]Latim Metals - TB'!F23+'[89]Latim Metals - TB'!F37</f>
        <v>150.86700000000002</v>
      </c>
      <c r="F53" s="120">
        <v>1.41</v>
      </c>
      <c r="G53" s="794"/>
      <c r="H53" s="566">
        <v>602.37</v>
      </c>
      <c r="I53" s="778">
        <f t="shared" si="5"/>
        <v>-46.589780000000005</v>
      </c>
      <c r="K53" s="41">
        <v>0</v>
      </c>
      <c r="V53" s="534" t="s">
        <v>534</v>
      </c>
      <c r="W53" s="526"/>
      <c r="AL53" s="780">
        <f t="shared" si="6"/>
        <v>-602.37</v>
      </c>
      <c r="AN53" t="s">
        <v>430</v>
      </c>
      <c r="AQ53" s="41">
        <v>0</v>
      </c>
    </row>
    <row r="54" spans="1:46">
      <c r="A54" s="62" t="s">
        <v>91</v>
      </c>
      <c r="B54" s="483">
        <f>SUMIF('TB-30-09-2021'!B:B,'LMIL - BS SUMIF Formula'!A54,'TB-30-09-2021'!G:G)</f>
        <v>682511</v>
      </c>
      <c r="C54" s="829">
        <f>(((SUMIF('TB - F.Y. 2022-23 (Half Yearly)'!$A$14:$A$129,'LMIL - BS SUMIF Formula'!A54,'TB - F.Y. 2022-23 (Half Yearly)'!$F$14:$F$129))/100000)+(16687982/100000))+((116444+14325)/100000)</f>
        <v>168.18751</v>
      </c>
      <c r="D54" s="544">
        <v>32.869999999999997</v>
      </c>
      <c r="E54" s="76">
        <f>'[89]Latim Metals - TB'!F18+'[89]Latim Metals - TB'!F21+'[89]Latim Metals - TB'!F22</f>
        <v>50.431999999999995</v>
      </c>
      <c r="F54" s="120">
        <v>0.67</v>
      </c>
      <c r="G54" s="794"/>
      <c r="H54" s="549">
        <v>150.66</v>
      </c>
      <c r="I54" s="778">
        <f t="shared" si="5"/>
        <v>135.31751</v>
      </c>
      <c r="K54" s="41">
        <v>127.83320856000003</v>
      </c>
      <c r="V54" s="439" t="s">
        <v>430</v>
      </c>
      <c r="W54" s="526"/>
      <c r="AL54" s="519">
        <f t="shared" si="6"/>
        <v>-150.66</v>
      </c>
      <c r="AN54" t="s">
        <v>88</v>
      </c>
      <c r="AQ54" s="41">
        <v>621.10454000000004</v>
      </c>
    </row>
    <row r="55" spans="1:46">
      <c r="A55" s="62" t="s">
        <v>100</v>
      </c>
      <c r="B55" s="483">
        <f>SUMIF('TB-30-09-2021'!B:B,'LMIL - BS SUMIF Formula'!A55,'TB-30-09-2021'!G:G)</f>
        <v>0</v>
      </c>
      <c r="C55" s="829">
        <f>(SUMIF('TB - F.Y. 2022-23 (Half Yearly)'!$A$14:$A$129,'LMIL - BS SUMIF Formula'!A55,'TB - F.Y. 2022-23 (Half Yearly)'!$F$14:$F$129))/100000</f>
        <v>33.251840000000001</v>
      </c>
      <c r="D55" s="551">
        <v>0</v>
      </c>
      <c r="E55" s="76">
        <v>0</v>
      </c>
      <c r="F55" s="120">
        <v>0</v>
      </c>
      <c r="G55" s="794"/>
      <c r="H55" s="549">
        <v>4.76</v>
      </c>
      <c r="I55" s="784">
        <f t="shared" si="5"/>
        <v>33.251840000000001</v>
      </c>
      <c r="K55" s="41">
        <v>11.76643</v>
      </c>
      <c r="V55" s="535" t="s">
        <v>88</v>
      </c>
      <c r="W55" s="506">
        <v>0</v>
      </c>
      <c r="AL55" s="519">
        <f t="shared" si="6"/>
        <v>-4.76</v>
      </c>
      <c r="AN55" t="s">
        <v>535</v>
      </c>
      <c r="AQ55" s="41">
        <v>0</v>
      </c>
    </row>
    <row r="56" spans="1:46">
      <c r="A56" s="62" t="s">
        <v>432</v>
      </c>
      <c r="B56" s="483">
        <f>SUMIF('TB-30-09-2021'!B:B,'LMIL - BS SUMIF Formula'!A56,'TB-30-09-2021'!G:G)+('Regulation 33 - Results'!H32*100000)</f>
        <v>0</v>
      </c>
      <c r="C56" s="829">
        <f>(SUMIF('TB - F.Y. 2022-23 (Half Yearly)'!$A$14:$A$129,'LMIL - BS SUMIF Formula'!A56,'TB - F.Y. 2022-23 (Half Yearly)'!$F$14:$F$129))/100000</f>
        <v>0</v>
      </c>
      <c r="D56" s="551">
        <v>143.25</v>
      </c>
      <c r="E56" s="76">
        <f>'[89]Latim Metals - TB'!F19</f>
        <v>28.74</v>
      </c>
      <c r="F56" s="120">
        <v>26.9</v>
      </c>
      <c r="G56" s="794"/>
      <c r="H56" s="549">
        <v>19.55</v>
      </c>
      <c r="I56" s="784">
        <f t="shared" si="5"/>
        <v>-143.25</v>
      </c>
      <c r="K56" s="41">
        <v>-49.353409999999997</v>
      </c>
      <c r="V56" s="532" t="s">
        <v>535</v>
      </c>
      <c r="W56" s="506">
        <v>0</v>
      </c>
      <c r="AL56" s="42">
        <f t="shared" si="6"/>
        <v>-19.55</v>
      </c>
      <c r="AM56" s="42"/>
      <c r="AN56" t="s">
        <v>536</v>
      </c>
      <c r="AQ56" s="41">
        <v>15.248710000000001</v>
      </c>
    </row>
    <row r="57" spans="1:46">
      <c r="A57" s="60"/>
      <c r="B57" s="120"/>
      <c r="C57" s="824"/>
      <c r="D57" s="549"/>
      <c r="E57" s="75"/>
      <c r="F57" s="60"/>
      <c r="G57" s="794"/>
      <c r="H57" s="60"/>
      <c r="V57" s="532" t="s">
        <v>536</v>
      </c>
      <c r="W57" s="506">
        <v>326.44791542000002</v>
      </c>
      <c r="AQ57" s="41"/>
    </row>
    <row r="58" spans="1:46" ht="15" thickBot="1">
      <c r="A58" s="65" t="s">
        <v>92</v>
      </c>
      <c r="B58" s="78" t="e">
        <f>SUM(B31:B57)</f>
        <v>#REF!</v>
      </c>
      <c r="C58" s="78">
        <f>SUM(C31:C57)</f>
        <v>4607.2456827599999</v>
      </c>
      <c r="D58" s="78">
        <f>SUM(D31:D57)+0.01</f>
        <v>4485.34</v>
      </c>
      <c r="E58" s="78">
        <f>SUM(E34:E56)</f>
        <v>2825.4215506699998</v>
      </c>
      <c r="F58" s="78">
        <f>SUM(F34:F56)</f>
        <v>1976.7800000000002</v>
      </c>
      <c r="G58" s="794"/>
      <c r="H58" s="78">
        <f>SUM(H34:H56)</f>
        <v>15813.109999999999</v>
      </c>
      <c r="I58" s="438"/>
      <c r="K58" s="78">
        <v>12642.829970003355</v>
      </c>
      <c r="M58" s="271">
        <v>-1.5599998732795939E-6</v>
      </c>
      <c r="N58" s="42">
        <v>-7.7999993663979694E-7</v>
      </c>
      <c r="W58" s="42">
        <f>SUM(W35:W57)</f>
        <v>14323.685483523659</v>
      </c>
      <c r="AN58" t="s">
        <v>92</v>
      </c>
      <c r="AQ58" s="41">
        <f>SUM(AQ34:AQ56)</f>
        <v>11398.53048646</v>
      </c>
      <c r="AS58" s="42">
        <f>+C58+AQ58</f>
        <v>16005.77616922</v>
      </c>
      <c r="AT58" s="42">
        <f>+AS58-G58</f>
        <v>16005.77616922</v>
      </c>
    </row>
    <row r="59" spans="1:46" ht="15" thickTop="1">
      <c r="B59" s="41" t="e">
        <f>+B30-B58</f>
        <v>#REF!</v>
      </c>
      <c r="C59" s="825">
        <f>+C58-C30</f>
        <v>-4.9999998736893758E-6</v>
      </c>
      <c r="G59" s="795">
        <f>+G58-G30</f>
        <v>0</v>
      </c>
      <c r="H59" s="780"/>
      <c r="I59" s="574"/>
      <c r="N59" s="42">
        <v>-3.1199997465591878E-6</v>
      </c>
      <c r="W59" s="42">
        <f>+W58-W31</f>
        <v>99.501811795778849</v>
      </c>
      <c r="AQ59" s="41">
        <f>AQ58-AQ30</f>
        <v>-4.8368600000685547E-3</v>
      </c>
    </row>
    <row r="60" spans="1:46">
      <c r="AL60" s="42"/>
    </row>
    <row r="61" spans="1:46">
      <c r="A61" s="82"/>
      <c r="B61" s="497"/>
      <c r="C61" s="827"/>
      <c r="D61" s="497"/>
      <c r="E61" s="82"/>
      <c r="F61" s="355"/>
      <c r="G61" s="498"/>
      <c r="H61" s="449" t="s">
        <v>56</v>
      </c>
      <c r="I61" s="786"/>
    </row>
    <row r="62" spans="1:46">
      <c r="A62" s="82"/>
      <c r="B62" s="497"/>
      <c r="C62" s="827"/>
      <c r="D62" s="497"/>
      <c r="E62" s="82"/>
      <c r="F62" s="82"/>
      <c r="G62" s="498"/>
      <c r="H62" s="450"/>
      <c r="I62" s="787"/>
    </row>
    <row r="63" spans="1:46">
      <c r="A63" s="355" t="s">
        <v>55</v>
      </c>
      <c r="B63" s="498"/>
      <c r="C63" s="828"/>
      <c r="D63" s="498"/>
      <c r="E63" s="82"/>
      <c r="F63" s="82"/>
      <c r="G63" s="498"/>
      <c r="H63" s="450"/>
      <c r="I63" s="787"/>
    </row>
    <row r="64" spans="1:46">
      <c r="A64" s="355" t="s">
        <v>574</v>
      </c>
      <c r="B64" s="498"/>
      <c r="C64" s="828"/>
      <c r="D64" s="498"/>
      <c r="E64" s="82"/>
      <c r="F64" s="82"/>
      <c r="G64" s="498"/>
      <c r="H64" s="450"/>
      <c r="I64" s="787"/>
    </row>
    <row r="65" spans="1:9">
      <c r="A65" s="82"/>
      <c r="B65" s="497"/>
      <c r="C65" s="827"/>
      <c r="D65" s="497"/>
      <c r="E65" s="82"/>
      <c r="F65" s="355"/>
      <c r="G65" s="498"/>
      <c r="H65" s="449" t="s">
        <v>57</v>
      </c>
      <c r="I65" s="786"/>
    </row>
    <row r="66" spans="1:9">
      <c r="A66" s="82"/>
      <c r="B66" s="497"/>
      <c r="C66" s="827"/>
      <c r="D66" s="497"/>
      <c r="E66" s="82"/>
      <c r="F66" s="355"/>
      <c r="G66" s="498"/>
      <c r="H66" s="449" t="s">
        <v>58</v>
      </c>
      <c r="I66" s="786"/>
    </row>
    <row r="67" spans="1:9">
      <c r="A67" s="82"/>
      <c r="B67" s="497"/>
      <c r="C67" s="827"/>
      <c r="D67" s="497"/>
      <c r="E67" s="82"/>
      <c r="F67" s="355"/>
      <c r="G67" s="498"/>
      <c r="H67" s="449" t="s">
        <v>59</v>
      </c>
      <c r="I67" s="786"/>
    </row>
  </sheetData>
  <mergeCells count="15">
    <mergeCell ref="A1:H1"/>
    <mergeCell ref="A2:H2"/>
    <mergeCell ref="A3:A5"/>
    <mergeCell ref="B3:D3"/>
    <mergeCell ref="E3:F3"/>
    <mergeCell ref="G3:H3"/>
    <mergeCell ref="O24:O25"/>
    <mergeCell ref="K3:K4"/>
    <mergeCell ref="B4:B5"/>
    <mergeCell ref="C4:C5"/>
    <mergeCell ref="D4:D5"/>
    <mergeCell ref="E4:E5"/>
    <mergeCell ref="F4:F5"/>
    <mergeCell ref="G4:G5"/>
    <mergeCell ref="H4:H5"/>
  </mergeCells>
  <pageMargins left="0.7" right="0.7" top="0.75" bottom="0.75" header="0.3" footer="0.3"/>
  <pageSetup paperSize="9" scale="67" orientation="portrait" r:id="rId1"/>
  <colBreaks count="1" manualBreakCount="1">
    <brk id="8"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F2E3C-AFF9-4CE2-87C5-D2D529438818}">
  <dimension ref="A1:AF150"/>
  <sheetViews>
    <sheetView topLeftCell="C1" zoomScaleNormal="100" workbookViewId="0">
      <selection activeCell="AB20" sqref="AB20:AB22"/>
    </sheetView>
  </sheetViews>
  <sheetFormatPr defaultRowHeight="14.5"/>
  <cols>
    <col min="1" max="1" width="46.1796875" bestFit="1" customWidth="1"/>
    <col min="2" max="3" width="11" bestFit="1" customWidth="1"/>
    <col min="4" max="4" width="12.453125" bestFit="1" customWidth="1"/>
    <col min="5" max="5" width="12" bestFit="1" customWidth="1"/>
    <col min="6" max="6" width="14.1796875" bestFit="1" customWidth="1"/>
    <col min="7" max="8" width="13.54296875" bestFit="1" customWidth="1"/>
    <col min="9" max="10" width="14.1796875" bestFit="1" customWidth="1"/>
    <col min="11" max="11" width="13.54296875" bestFit="1" customWidth="1"/>
    <col min="12" max="12" width="12.453125" bestFit="1" customWidth="1"/>
    <col min="13" max="14" width="13" bestFit="1" customWidth="1"/>
    <col min="15" max="15" width="13.1796875" bestFit="1" customWidth="1"/>
    <col min="16" max="16" width="6.453125" bestFit="1" customWidth="1"/>
    <col min="18" max="18" width="13" bestFit="1" customWidth="1"/>
    <col min="19" max="19" width="13.54296875" bestFit="1" customWidth="1"/>
    <col min="20" max="20" width="29.26953125" customWidth="1"/>
    <col min="21" max="21" width="13.7265625" bestFit="1" customWidth="1"/>
    <col min="22" max="22" width="12.26953125" bestFit="1" customWidth="1"/>
    <col min="23" max="23" width="28.81640625" customWidth="1"/>
    <col min="24" max="24" width="17.54296875" bestFit="1" customWidth="1"/>
    <col min="28" max="28" width="83.7265625" customWidth="1"/>
    <col min="29" max="29" width="14.7265625" bestFit="1" customWidth="1"/>
    <col min="32" max="32" width="14.453125" bestFit="1" customWidth="1"/>
  </cols>
  <sheetData>
    <row r="1" spans="1:32" ht="15.5">
      <c r="A1" s="1173" t="s">
        <v>398</v>
      </c>
      <c r="B1" s="1173"/>
      <c r="C1" s="1173"/>
      <c r="D1" s="306"/>
      <c r="E1" s="306"/>
      <c r="F1" s="306"/>
      <c r="G1" s="306"/>
      <c r="H1" s="306"/>
      <c r="I1" s="306"/>
      <c r="J1" s="306"/>
      <c r="K1" s="306"/>
      <c r="L1" s="306"/>
      <c r="M1" s="306"/>
      <c r="N1" s="306"/>
      <c r="O1" s="306"/>
      <c r="P1" s="306"/>
      <c r="Q1" s="306"/>
      <c r="R1" s="306"/>
      <c r="S1" s="306"/>
    </row>
    <row r="2" spans="1:32">
      <c r="A2" s="1174" t="s">
        <v>1377</v>
      </c>
      <c r="B2" s="1174"/>
      <c r="C2" s="1174"/>
      <c r="D2" s="306"/>
      <c r="E2" s="306"/>
      <c r="F2" s="306"/>
      <c r="G2" s="306"/>
      <c r="H2" s="306"/>
      <c r="I2" s="306"/>
      <c r="J2" s="306"/>
      <c r="K2" s="306"/>
      <c r="L2" s="306"/>
      <c r="M2" s="306"/>
      <c r="N2" s="306"/>
      <c r="O2" s="306"/>
      <c r="P2" s="306"/>
      <c r="Q2" s="306"/>
      <c r="R2" s="306"/>
      <c r="S2" s="306"/>
    </row>
    <row r="3" spans="1:32" ht="47.25" customHeight="1">
      <c r="A3" s="307" t="s">
        <v>325</v>
      </c>
      <c r="B3" s="1212" t="s">
        <v>1378</v>
      </c>
      <c r="C3" s="1175"/>
      <c r="D3" s="1262" t="s">
        <v>1379</v>
      </c>
      <c r="E3" s="1263"/>
      <c r="F3" s="1212" t="s">
        <v>575</v>
      </c>
      <c r="G3" s="1175"/>
      <c r="H3" s="1262" t="s">
        <v>1380</v>
      </c>
      <c r="I3" s="1263"/>
      <c r="J3" s="1212" t="s">
        <v>703</v>
      </c>
      <c r="K3" s="1175"/>
      <c r="L3" s="1262" t="s">
        <v>702</v>
      </c>
      <c r="M3" s="1263"/>
      <c r="N3" s="1212" t="s">
        <v>701</v>
      </c>
      <c r="O3" s="1175"/>
      <c r="P3" s="1262" t="s">
        <v>700</v>
      </c>
      <c r="Q3" s="1263"/>
      <c r="R3" s="1212" t="s">
        <v>699</v>
      </c>
      <c r="S3" s="1175"/>
      <c r="AF3" s="348">
        <f>-15624849-26730097.968-103539347.25-67243712-74586698-24737374-31498425-53796567.5-2848260-16634711.526-34617934.29-2267445-19192406.75</f>
        <v>-473317828.28400004</v>
      </c>
    </row>
    <row r="4" spans="1:32">
      <c r="A4" s="599" t="s">
        <v>0</v>
      </c>
      <c r="B4" s="1264" t="s">
        <v>1377</v>
      </c>
      <c r="C4" s="1177"/>
      <c r="D4" s="1265" t="s">
        <v>1377</v>
      </c>
      <c r="E4" s="1266"/>
      <c r="F4" s="1264" t="s">
        <v>1377</v>
      </c>
      <c r="G4" s="1177"/>
      <c r="H4" s="1265" t="s">
        <v>1377</v>
      </c>
      <c r="I4" s="1266"/>
      <c r="J4" s="1264" t="s">
        <v>1377</v>
      </c>
      <c r="K4" s="1177"/>
      <c r="L4" s="1265" t="s">
        <v>1377</v>
      </c>
      <c r="M4" s="1266"/>
      <c r="N4" s="1264" t="s">
        <v>1377</v>
      </c>
      <c r="O4" s="1177"/>
      <c r="P4" s="1265" t="s">
        <v>1377</v>
      </c>
      <c r="Q4" s="1266"/>
      <c r="R4" s="1264" t="s">
        <v>1377</v>
      </c>
      <c r="S4" s="1177"/>
      <c r="T4" t="s">
        <v>194</v>
      </c>
      <c r="AB4" s="82" t="s">
        <v>1433</v>
      </c>
    </row>
    <row r="5" spans="1:32">
      <c r="A5" s="899" t="s">
        <v>1381</v>
      </c>
      <c r="B5" s="900" t="s">
        <v>325</v>
      </c>
      <c r="C5" s="900" t="s">
        <v>325</v>
      </c>
      <c r="D5" s="900" t="s">
        <v>325</v>
      </c>
      <c r="E5" s="900" t="s">
        <v>325</v>
      </c>
      <c r="F5" s="900" t="s">
        <v>325</v>
      </c>
      <c r="G5" s="900" t="s">
        <v>325</v>
      </c>
      <c r="H5" s="900" t="s">
        <v>325</v>
      </c>
      <c r="I5" s="900" t="s">
        <v>325</v>
      </c>
      <c r="J5" s="900" t="s">
        <v>325</v>
      </c>
      <c r="K5" s="306"/>
      <c r="L5" s="306"/>
      <c r="M5" s="306"/>
      <c r="N5" s="306"/>
      <c r="O5" s="306"/>
      <c r="P5" s="306"/>
      <c r="Q5" s="306"/>
      <c r="R5" s="306"/>
      <c r="S5" s="306"/>
      <c r="W5" t="s">
        <v>1423</v>
      </c>
    </row>
    <row r="6" spans="1:32">
      <c r="A6" s="311" t="s">
        <v>370</v>
      </c>
      <c r="B6" s="322"/>
      <c r="C6" s="605"/>
      <c r="D6" s="324"/>
      <c r="E6" s="805">
        <v>3573795.5</v>
      </c>
      <c r="F6" s="322"/>
      <c r="G6" s="602">
        <v>256798655</v>
      </c>
      <c r="H6" s="324"/>
      <c r="I6" s="805">
        <v>289730711</v>
      </c>
      <c r="J6" s="322"/>
      <c r="K6" s="602">
        <v>109769314.75</v>
      </c>
      <c r="L6" s="324"/>
      <c r="M6" s="805">
        <v>36141960.188000001</v>
      </c>
      <c r="N6" s="322"/>
      <c r="O6" s="602">
        <v>22040666.75</v>
      </c>
      <c r="P6" s="324"/>
      <c r="Q6" s="901"/>
      <c r="R6" s="322"/>
      <c r="S6" s="902">
        <v>730401150.28999996</v>
      </c>
      <c r="T6" s="903">
        <f>S6+O6+M6+K6+I6+G6+C6+AE6+Q6+E6</f>
        <v>1448456253.4779999</v>
      </c>
      <c r="AA6">
        <v>1</v>
      </c>
      <c r="AB6" t="s">
        <v>1330</v>
      </c>
    </row>
    <row r="7" spans="1:32">
      <c r="A7" s="915" t="s">
        <v>1382</v>
      </c>
      <c r="B7" s="916"/>
      <c r="C7" s="917"/>
      <c r="D7" s="918"/>
      <c r="E7" s="919"/>
      <c r="F7" s="916"/>
      <c r="G7" s="917"/>
      <c r="H7" s="918"/>
      <c r="I7" s="919"/>
      <c r="J7" s="916"/>
      <c r="K7" s="917"/>
      <c r="L7" s="924">
        <v>-386106</v>
      </c>
      <c r="M7" s="919"/>
      <c r="N7" s="916"/>
      <c r="O7" s="917"/>
      <c r="P7" s="918"/>
      <c r="Q7" s="919"/>
      <c r="R7" s="916"/>
      <c r="S7" s="917"/>
      <c r="T7" s="921">
        <f>+R7+P7+N7+L7+J7+H7+F7+D7+B7</f>
        <v>-386106</v>
      </c>
      <c r="AA7" t="s">
        <v>10</v>
      </c>
      <c r="AB7" t="s">
        <v>11</v>
      </c>
      <c r="AC7" s="348">
        <f>+T6+2093751-15624849-26730097.968-103539347.25-67243712-74586698-24737374-31498425-53796567.5-2848260-16634711.526-34617934.29-2267445-19192406.75</f>
        <v>977232176.19400001</v>
      </c>
      <c r="AD7">
        <f>AC7/100000</f>
        <v>9772.3217619400002</v>
      </c>
    </row>
    <row r="8" spans="1:32">
      <c r="A8" s="915" t="s">
        <v>1383</v>
      </c>
      <c r="B8" s="916"/>
      <c r="C8" s="917"/>
      <c r="D8" s="918"/>
      <c r="E8" s="919"/>
      <c r="F8" s="916"/>
      <c r="G8" s="917"/>
      <c r="H8" s="918"/>
      <c r="I8" s="919"/>
      <c r="J8" s="916"/>
      <c r="K8" s="917"/>
      <c r="L8" s="918"/>
      <c r="M8" s="919"/>
      <c r="N8" s="916"/>
      <c r="O8" s="917"/>
      <c r="P8" s="918"/>
      <c r="Q8" s="919"/>
      <c r="R8" s="923">
        <v>4539766.1399999997</v>
      </c>
      <c r="S8" s="917"/>
      <c r="T8" s="921">
        <f>+R8+P8+N8+L8+J8+H8+F8+D8+B8</f>
        <v>4539766.1399999997</v>
      </c>
      <c r="AA8" t="s">
        <v>12</v>
      </c>
      <c r="AB8" t="s">
        <v>13</v>
      </c>
      <c r="AC8" s="348">
        <f>+T43-T53-N50+24799</f>
        <v>4026412.3130000001</v>
      </c>
      <c r="AD8">
        <f>AC8/100000</f>
        <v>40.264123130000002</v>
      </c>
    </row>
    <row r="9" spans="1:32">
      <c r="A9" s="915" t="s">
        <v>1384</v>
      </c>
      <c r="B9" s="916"/>
      <c r="C9" s="917"/>
      <c r="D9" s="918"/>
      <c r="E9" s="919"/>
      <c r="F9" s="916"/>
      <c r="G9" s="917"/>
      <c r="H9" s="918"/>
      <c r="I9" s="919"/>
      <c r="J9" s="920">
        <v>16634711</v>
      </c>
      <c r="K9" s="917"/>
      <c r="L9" s="918"/>
      <c r="M9" s="919"/>
      <c r="N9" s="916"/>
      <c r="O9" s="917"/>
      <c r="P9" s="918"/>
      <c r="Q9" s="919"/>
      <c r="R9" s="923">
        <v>101861646.29000001</v>
      </c>
      <c r="S9" s="917"/>
      <c r="T9" s="921">
        <f t="shared" ref="T9:T21" si="0">+R9+P9+N9+L9+J9+H9+F9+D9+B9</f>
        <v>118496357.29000001</v>
      </c>
      <c r="AB9" t="s">
        <v>14</v>
      </c>
      <c r="AC9" s="348">
        <f>+AC7+AC8</f>
        <v>981258588.50699997</v>
      </c>
      <c r="AD9">
        <f>AC9/100000</f>
        <v>9812.5858850700006</v>
      </c>
    </row>
    <row r="10" spans="1:32">
      <c r="A10" s="915" t="s">
        <v>764</v>
      </c>
      <c r="B10" s="916"/>
      <c r="C10" s="917"/>
      <c r="D10" s="918"/>
      <c r="E10" s="919"/>
      <c r="F10" s="916"/>
      <c r="G10" s="917"/>
      <c r="H10" s="918"/>
      <c r="I10" s="919"/>
      <c r="J10" s="916"/>
      <c r="K10" s="917"/>
      <c r="L10" s="918"/>
      <c r="M10" s="919"/>
      <c r="N10" s="916"/>
      <c r="O10" s="917"/>
      <c r="P10" s="918"/>
      <c r="Q10" s="919"/>
      <c r="R10" s="923">
        <v>33557.21</v>
      </c>
      <c r="S10" s="917"/>
      <c r="T10" s="921">
        <f t="shared" si="0"/>
        <v>33557.21</v>
      </c>
      <c r="AA10">
        <v>2</v>
      </c>
      <c r="AB10" t="s">
        <v>15</v>
      </c>
    </row>
    <row r="11" spans="1:32">
      <c r="A11" s="915" t="s">
        <v>371</v>
      </c>
      <c r="B11" s="916"/>
      <c r="C11" s="917"/>
      <c r="D11" s="918"/>
      <c r="E11" s="919"/>
      <c r="F11" s="920">
        <v>248623820</v>
      </c>
      <c r="G11" s="917"/>
      <c r="H11" s="918"/>
      <c r="I11" s="919"/>
      <c r="J11" s="916"/>
      <c r="K11" s="917"/>
      <c r="L11" s="918"/>
      <c r="M11" s="919"/>
      <c r="N11" s="916"/>
      <c r="O11" s="917"/>
      <c r="P11" s="918"/>
      <c r="Q11" s="919"/>
      <c r="R11" s="916"/>
      <c r="S11" s="917"/>
      <c r="T11" s="921">
        <f t="shared" si="0"/>
        <v>248623820</v>
      </c>
      <c r="AB11" t="s">
        <v>1424</v>
      </c>
      <c r="AC11" s="935">
        <f>R23-142341558+R24+H24-103539347.25-67243712-74586698-53796567.5-2848260-19192406.75-167424952</f>
        <v>737428096.32000017</v>
      </c>
      <c r="AD11">
        <f>AC11/100000</f>
        <v>7374.2809632000017</v>
      </c>
    </row>
    <row r="12" spans="1:32">
      <c r="A12" s="915" t="s">
        <v>765</v>
      </c>
      <c r="B12" s="916"/>
      <c r="C12" s="917"/>
      <c r="D12" s="918"/>
      <c r="E12" s="919"/>
      <c r="F12" s="916"/>
      <c r="G12" s="917"/>
      <c r="H12" s="924">
        <v>261521246.25</v>
      </c>
      <c r="I12" s="919"/>
      <c r="J12" s="916"/>
      <c r="K12" s="917"/>
      <c r="L12" s="918"/>
      <c r="M12" s="919"/>
      <c r="N12" s="916"/>
      <c r="O12" s="917"/>
      <c r="P12" s="918"/>
      <c r="Q12" s="919"/>
      <c r="R12" s="923">
        <v>449413965.89999998</v>
      </c>
      <c r="S12" s="917"/>
      <c r="T12" s="921">
        <f t="shared" si="0"/>
        <v>710935212.14999998</v>
      </c>
      <c r="AB12" t="s">
        <v>1425</v>
      </c>
      <c r="AC12" s="116">
        <f>+T24-R24-H24-15624849-26730097.968-24737374-31498425-16634711.526-34617934.29-2267445</f>
        <v>323896691.87299967</v>
      </c>
      <c r="AD12">
        <f t="shared" ref="AD12:AD14" si="1">AC12/100000</f>
        <v>3238.9669187299969</v>
      </c>
    </row>
    <row r="13" spans="1:32">
      <c r="A13" s="915" t="s">
        <v>766</v>
      </c>
      <c r="B13" s="916"/>
      <c r="C13" s="917"/>
      <c r="D13" s="918"/>
      <c r="E13" s="919"/>
      <c r="F13" s="916"/>
      <c r="G13" s="917"/>
      <c r="H13" s="918"/>
      <c r="I13" s="919"/>
      <c r="J13" s="920">
        <v>12570199</v>
      </c>
      <c r="K13" s="917"/>
      <c r="L13" s="918"/>
      <c r="M13" s="919"/>
      <c r="N13" s="916"/>
      <c r="O13" s="917"/>
      <c r="P13" s="918"/>
      <c r="Q13" s="919"/>
      <c r="R13" s="916"/>
      <c r="S13" s="917"/>
      <c r="T13" s="921">
        <f t="shared" si="0"/>
        <v>12570199</v>
      </c>
      <c r="AB13" t="s">
        <v>1426</v>
      </c>
      <c r="AC13" s="116">
        <f>+T23-R23+161358400+41874840+65520125+12262500+616690+64681180-T25+H25-161358400-41874840-65520125-12262500-64681180+142341558-250474653</f>
        <v>-165231614.528</v>
      </c>
      <c r="AD13">
        <f t="shared" si="1"/>
        <v>-1652.31614528</v>
      </c>
    </row>
    <row r="14" spans="1:32">
      <c r="A14" s="915" t="s">
        <v>767</v>
      </c>
      <c r="B14" s="916"/>
      <c r="C14" s="917"/>
      <c r="D14" s="918"/>
      <c r="E14" s="919"/>
      <c r="F14" s="916"/>
      <c r="G14" s="917"/>
      <c r="H14" s="918"/>
      <c r="I14" s="919"/>
      <c r="J14" s="916"/>
      <c r="K14" s="917"/>
      <c r="L14" s="918"/>
      <c r="M14" s="919"/>
      <c r="N14" s="920">
        <v>19192406.75</v>
      </c>
      <c r="O14" s="917"/>
      <c r="P14" s="918"/>
      <c r="Q14" s="919"/>
      <c r="R14" s="916"/>
      <c r="S14" s="917"/>
      <c r="T14" s="921">
        <f t="shared" si="0"/>
        <v>19192406.75</v>
      </c>
      <c r="AB14" t="s">
        <v>1427</v>
      </c>
      <c r="AC14" s="116">
        <f>+T77+T78+T79+T108+T140+T107+T149</f>
        <v>10249538.079999998</v>
      </c>
      <c r="AD14">
        <f t="shared" si="1"/>
        <v>102.49538079999998</v>
      </c>
    </row>
    <row r="15" spans="1:32">
      <c r="A15" s="915" t="s">
        <v>1385</v>
      </c>
      <c r="B15" s="916"/>
      <c r="C15" s="917"/>
      <c r="D15" s="918"/>
      <c r="E15" s="919"/>
      <c r="F15" s="916"/>
      <c r="G15" s="917"/>
      <c r="H15" s="918"/>
      <c r="I15" s="919"/>
      <c r="J15" s="916"/>
      <c r="K15" s="917"/>
      <c r="L15" s="918"/>
      <c r="M15" s="919"/>
      <c r="N15" s="916"/>
      <c r="O15" s="917"/>
      <c r="P15" s="918"/>
      <c r="Q15" s="919"/>
      <c r="R15" s="916"/>
      <c r="S15" s="917"/>
      <c r="T15" s="921">
        <f t="shared" si="0"/>
        <v>0</v>
      </c>
      <c r="AB15" t="s">
        <v>1428</v>
      </c>
      <c r="AC15" s="116">
        <f>+T110+T67+T65+5233504</f>
        <v>21213091.48</v>
      </c>
      <c r="AD15">
        <f>AC15/100000</f>
        <v>212.1309148</v>
      </c>
    </row>
    <row r="16" spans="1:32">
      <c r="A16" s="915" t="s">
        <v>768</v>
      </c>
      <c r="B16" s="916"/>
      <c r="C16" s="917"/>
      <c r="D16" s="918"/>
      <c r="E16" s="919"/>
      <c r="F16" s="916"/>
      <c r="G16" s="917"/>
      <c r="H16" s="924">
        <v>1695</v>
      </c>
      <c r="I16" s="919"/>
      <c r="J16" s="916"/>
      <c r="K16" s="917"/>
      <c r="L16" s="918"/>
      <c r="M16" s="919"/>
      <c r="N16" s="916"/>
      <c r="O16" s="917"/>
      <c r="P16" s="918"/>
      <c r="Q16" s="919"/>
      <c r="R16" s="923">
        <v>2980</v>
      </c>
      <c r="S16" s="917"/>
      <c r="T16" s="921">
        <f t="shared" si="0"/>
        <v>4675</v>
      </c>
      <c r="AB16" t="s">
        <v>1429</v>
      </c>
      <c r="AC16" s="116">
        <f>+T94+T95+T96+T93</f>
        <v>6650373.7599999998</v>
      </c>
      <c r="AD16">
        <f>AC16/100000</f>
        <v>66.503737599999994</v>
      </c>
    </row>
    <row r="17" spans="1:30">
      <c r="A17" s="915" t="s">
        <v>769</v>
      </c>
      <c r="B17" s="916"/>
      <c r="C17" s="917"/>
      <c r="D17" s="924">
        <v>14584</v>
      </c>
      <c r="E17" s="919"/>
      <c r="F17" s="916"/>
      <c r="G17" s="917"/>
      <c r="H17" s="918"/>
      <c r="I17" s="919"/>
      <c r="J17" s="916"/>
      <c r="K17" s="917"/>
      <c r="L17" s="924">
        <v>13113</v>
      </c>
      <c r="M17" s="919"/>
      <c r="N17" s="916"/>
      <c r="O17" s="917"/>
      <c r="P17" s="918"/>
      <c r="Q17" s="919"/>
      <c r="R17" s="916"/>
      <c r="S17" s="917"/>
      <c r="T17" s="921">
        <f t="shared" si="0"/>
        <v>27697</v>
      </c>
      <c r="AB17" t="s">
        <v>1430</v>
      </c>
      <c r="AC17" s="116">
        <f>+U40+U149-AC16-T90-T91-AC14-AC15+5233504</f>
        <v>30241409.943</v>
      </c>
      <c r="AD17">
        <f>AC17/100000</f>
        <v>302.41409943000002</v>
      </c>
    </row>
    <row r="18" spans="1:30">
      <c r="A18" s="915" t="s">
        <v>771</v>
      </c>
      <c r="B18" s="916"/>
      <c r="C18" s="917"/>
      <c r="D18" s="924">
        <v>3559211.5</v>
      </c>
      <c r="E18" s="919"/>
      <c r="F18" s="916"/>
      <c r="G18" s="917"/>
      <c r="H18" s="924">
        <v>28207769.75</v>
      </c>
      <c r="I18" s="919"/>
      <c r="J18" s="920">
        <v>80564404.75</v>
      </c>
      <c r="K18" s="917"/>
      <c r="L18" s="924">
        <v>9784855.2200000007</v>
      </c>
      <c r="M18" s="919"/>
      <c r="N18" s="916"/>
      <c r="O18" s="917"/>
      <c r="P18" s="918"/>
      <c r="Q18" s="919"/>
      <c r="R18" s="923">
        <v>175262313.25</v>
      </c>
      <c r="S18" s="917"/>
      <c r="T18" s="921">
        <f t="shared" si="0"/>
        <v>297378554.47000003</v>
      </c>
      <c r="AC18" s="935">
        <f>SUM(AC11:AC17)</f>
        <v>964447586.92799985</v>
      </c>
      <c r="AD18">
        <f>AC18/100000</f>
        <v>9644.4758692799987</v>
      </c>
    </row>
    <row r="19" spans="1:30">
      <c r="A19" s="915" t="s">
        <v>597</v>
      </c>
      <c r="B19" s="916"/>
      <c r="C19" s="917"/>
      <c r="D19" s="918"/>
      <c r="E19" s="919"/>
      <c r="F19" s="920">
        <v>8174835</v>
      </c>
      <c r="G19" s="917"/>
      <c r="H19" s="918"/>
      <c r="I19" s="919"/>
      <c r="J19" s="916"/>
      <c r="K19" s="917"/>
      <c r="L19" s="918"/>
      <c r="M19" s="919"/>
      <c r="N19" s="920">
        <v>2848260</v>
      </c>
      <c r="O19" s="917"/>
      <c r="P19" s="918"/>
      <c r="Q19" s="919"/>
      <c r="R19" s="916"/>
      <c r="S19" s="917"/>
      <c r="T19" s="921">
        <f t="shared" si="0"/>
        <v>11023095</v>
      </c>
      <c r="X19" s="983">
        <f>X21-W26</f>
        <v>16377293.069000043</v>
      </c>
    </row>
    <row r="20" spans="1:30">
      <c r="A20" s="915" t="s">
        <v>1386</v>
      </c>
      <c r="B20" s="916"/>
      <c r="C20" s="917"/>
      <c r="D20" s="918"/>
      <c r="E20" s="919"/>
      <c r="F20" s="916"/>
      <c r="G20" s="917"/>
      <c r="H20" s="918"/>
      <c r="I20" s="919"/>
      <c r="J20" s="916"/>
      <c r="K20" s="917"/>
      <c r="L20" s="918"/>
      <c r="M20" s="919"/>
      <c r="N20" s="916"/>
      <c r="O20" s="917"/>
      <c r="P20" s="918"/>
      <c r="Q20" s="919"/>
      <c r="R20" s="923">
        <v>-713078.5</v>
      </c>
      <c r="S20" s="917"/>
      <c r="T20" s="921">
        <f t="shared" si="0"/>
        <v>-713078.5</v>
      </c>
      <c r="AB20" t="s">
        <v>1431</v>
      </c>
      <c r="AC20" s="348">
        <f>AC9-AC18</f>
        <v>16811001.579000115</v>
      </c>
      <c r="AD20">
        <f>AC20/100000</f>
        <v>168.11001579000114</v>
      </c>
    </row>
    <row r="21" spans="1:30">
      <c r="A21" s="915" t="s">
        <v>1387</v>
      </c>
      <c r="B21" s="926"/>
      <c r="C21" s="917"/>
      <c r="D21" s="927"/>
      <c r="E21" s="919"/>
      <c r="F21" s="926"/>
      <c r="G21" s="917"/>
      <c r="H21" s="927"/>
      <c r="I21" s="919"/>
      <c r="J21" s="926"/>
      <c r="K21" s="917"/>
      <c r="L21" s="976">
        <v>26730097.967999998</v>
      </c>
      <c r="M21" s="919"/>
      <c r="N21" s="926"/>
      <c r="O21" s="917"/>
      <c r="P21" s="927"/>
      <c r="Q21" s="919"/>
      <c r="R21" s="926"/>
      <c r="S21" s="917"/>
      <c r="T21" s="921">
        <f t="shared" si="0"/>
        <v>26730097.967999998</v>
      </c>
      <c r="U21" s="116">
        <f>SUM(T7:T21)</f>
        <v>1448456253.4779999</v>
      </c>
      <c r="V21" s="348">
        <f>T6-U21</f>
        <v>0</v>
      </c>
      <c r="X21" s="116">
        <f>+U21-U25-U40+U53-U149</f>
        <v>-16316701.930999957</v>
      </c>
      <c r="AB21" t="s">
        <v>1432</v>
      </c>
      <c r="AC21" s="116">
        <f>+T90+T91</f>
        <v>433708.51</v>
      </c>
      <c r="AD21">
        <f>AC21/100000</f>
        <v>4.3370851000000004</v>
      </c>
    </row>
    <row r="22" spans="1:30">
      <c r="A22" s="311" t="s">
        <v>1388</v>
      </c>
      <c r="B22" s="322"/>
      <c r="C22" s="602">
        <v>505</v>
      </c>
      <c r="D22" s="324"/>
      <c r="E22" s="805">
        <v>3746157.2</v>
      </c>
      <c r="F22" s="322"/>
      <c r="G22" s="602">
        <v>249545983.46599999</v>
      </c>
      <c r="H22" s="324"/>
      <c r="I22" s="805">
        <v>-2988482.03</v>
      </c>
      <c r="J22" s="322"/>
      <c r="K22" s="602">
        <v>107862343.649</v>
      </c>
      <c r="L22" s="324"/>
      <c r="M22" s="805">
        <v>36136863.544</v>
      </c>
      <c r="N22" s="322"/>
      <c r="O22" s="602">
        <v>20478920.75</v>
      </c>
      <c r="P22" s="324"/>
      <c r="Q22" s="901"/>
      <c r="R22" s="322"/>
      <c r="S22" s="902">
        <v>1001917012.86</v>
      </c>
      <c r="T22" s="903">
        <f>S22+O22+M22+K22+I22+G22+C22+AE22+Q22+E22</f>
        <v>1416699304.4390001</v>
      </c>
      <c r="X22" s="906">
        <f>X21-T150</f>
        <v>-1593490.6399999578</v>
      </c>
      <c r="AC22" s="348">
        <f>AC20-AC21</f>
        <v>16377293.069000116</v>
      </c>
      <c r="AD22">
        <f>AC22/100000</f>
        <v>163.77293069000115</v>
      </c>
    </row>
    <row r="23" spans="1:30">
      <c r="A23" s="928" t="s">
        <v>356</v>
      </c>
      <c r="B23" s="916"/>
      <c r="C23" s="917"/>
      <c r="D23" s="918"/>
      <c r="E23" s="919"/>
      <c r="F23" s="920">
        <v>41308886.145999998</v>
      </c>
      <c r="G23" s="917"/>
      <c r="H23" s="918"/>
      <c r="I23" s="919"/>
      <c r="J23" s="920">
        <v>33100417.190000001</v>
      </c>
      <c r="K23" s="917"/>
      <c r="L23" s="924">
        <v>8731659.5439999998</v>
      </c>
      <c r="M23" s="919"/>
      <c r="N23" s="920">
        <v>2592386.0079999999</v>
      </c>
      <c r="O23" s="917"/>
      <c r="P23" s="929">
        <v>137.5</v>
      </c>
      <c r="Q23" s="919"/>
      <c r="R23" s="923">
        <v>212250068</v>
      </c>
      <c r="S23" s="917"/>
      <c r="T23" s="921">
        <f>+R23+P23+N23+L23+J23+H23+F23+D23+B23</f>
        <v>297983554.38800001</v>
      </c>
    </row>
    <row r="24" spans="1:30">
      <c r="A24" s="930" t="s">
        <v>1389</v>
      </c>
      <c r="B24" s="920">
        <v>505</v>
      </c>
      <c r="C24" s="917"/>
      <c r="D24" s="975">
        <v>42355451.968000002</v>
      </c>
      <c r="E24" s="919"/>
      <c r="F24" s="920">
        <v>292819041.495</v>
      </c>
      <c r="G24" s="917"/>
      <c r="H24" s="924">
        <v>378117944.98000002</v>
      </c>
      <c r="I24" s="919"/>
      <c r="J24" s="920">
        <v>95434117.444000006</v>
      </c>
      <c r="K24" s="917"/>
      <c r="L24" s="924">
        <v>27401204</v>
      </c>
      <c r="M24" s="919"/>
      <c r="N24" s="920">
        <v>17997208.75</v>
      </c>
      <c r="O24" s="917"/>
      <c r="P24" s="918"/>
      <c r="Q24" s="919"/>
      <c r="R24" s="923">
        <v>778033584.84000003</v>
      </c>
      <c r="S24" s="917"/>
      <c r="T24" s="921">
        <f>+R24+P24+N24+L24+J24+H24+F24+D24+B24</f>
        <v>1632159058.4769998</v>
      </c>
    </row>
    <row r="25" spans="1:30">
      <c r="A25" s="928" t="s">
        <v>1390</v>
      </c>
      <c r="B25" s="916"/>
      <c r="C25" s="917"/>
      <c r="D25" s="924">
        <v>38816851.008000001</v>
      </c>
      <c r="E25" s="919"/>
      <c r="F25" s="920">
        <v>83643123.974999994</v>
      </c>
      <c r="G25" s="917"/>
      <c r="H25" s="924">
        <v>385205610</v>
      </c>
      <c r="I25" s="919"/>
      <c r="J25" s="920">
        <v>20874717.425000001</v>
      </c>
      <c r="K25" s="917"/>
      <c r="L25" s="918"/>
      <c r="M25" s="919"/>
      <c r="N25" s="920">
        <v>113866.008</v>
      </c>
      <c r="O25" s="917"/>
      <c r="P25" s="929">
        <v>137.5</v>
      </c>
      <c r="Q25" s="919"/>
      <c r="R25" s="916"/>
      <c r="S25" s="917"/>
      <c r="T25" s="921">
        <f>+R25+P25+N25+L25+J25+H25+F25+D25+B25</f>
        <v>528654305.91600001</v>
      </c>
      <c r="U25" s="116">
        <f>+T23+T24-T25</f>
        <v>1401488306.9489999</v>
      </c>
      <c r="W25">
        <v>417899605</v>
      </c>
    </row>
    <row r="26" spans="1:30">
      <c r="A26" s="930" t="s">
        <v>325</v>
      </c>
      <c r="B26" s="931">
        <v>505</v>
      </c>
      <c r="C26" s="917"/>
      <c r="D26" s="932">
        <v>3746157.2</v>
      </c>
      <c r="E26" s="919"/>
      <c r="F26" s="931">
        <v>250484849.192</v>
      </c>
      <c r="G26" s="917"/>
      <c r="H26" s="932">
        <v>-7087665.0199999996</v>
      </c>
      <c r="I26" s="919"/>
      <c r="J26" s="931">
        <v>107659817.20900001</v>
      </c>
      <c r="K26" s="917"/>
      <c r="L26" s="932">
        <v>36132863.544</v>
      </c>
      <c r="M26" s="919"/>
      <c r="N26" s="931">
        <v>20475728.75</v>
      </c>
      <c r="O26" s="917"/>
      <c r="P26" s="933"/>
      <c r="Q26" s="919"/>
      <c r="R26" s="934">
        <v>990283652.84000003</v>
      </c>
      <c r="S26" s="917"/>
      <c r="T26" s="922"/>
      <c r="W26" s="348">
        <f>H25-W25</f>
        <v>-32693995</v>
      </c>
      <c r="AB26" s="348">
        <f>AC22-X19</f>
        <v>7.2643160820007324E-8</v>
      </c>
    </row>
    <row r="27" spans="1:30">
      <c r="A27" s="907" t="s">
        <v>777</v>
      </c>
      <c r="B27" s="322"/>
      <c r="C27" s="605"/>
      <c r="D27" s="324"/>
      <c r="E27" s="901"/>
      <c r="F27" s="322"/>
      <c r="G27" s="605"/>
      <c r="H27" s="905">
        <v>4099182.99</v>
      </c>
      <c r="I27" s="901"/>
      <c r="J27" s="908">
        <v>215759.88</v>
      </c>
      <c r="K27" s="605"/>
      <c r="L27" s="905">
        <v>4000</v>
      </c>
      <c r="M27" s="901"/>
      <c r="N27" s="908">
        <v>3192</v>
      </c>
      <c r="O27" s="605"/>
      <c r="P27" s="324"/>
      <c r="Q27" s="901"/>
      <c r="R27" s="909">
        <v>11633360.02</v>
      </c>
      <c r="S27" s="605"/>
    </row>
    <row r="28" spans="1:30">
      <c r="A28" s="936" t="s">
        <v>1391</v>
      </c>
      <c r="B28" s="916"/>
      <c r="C28" s="917"/>
      <c r="D28" s="918"/>
      <c r="E28" s="919"/>
      <c r="F28" s="916"/>
      <c r="G28" s="917"/>
      <c r="H28" s="918"/>
      <c r="I28" s="919"/>
      <c r="J28" s="916"/>
      <c r="K28" s="917"/>
      <c r="L28" s="918"/>
      <c r="M28" s="919"/>
      <c r="N28" s="916"/>
      <c r="O28" s="917"/>
      <c r="P28" s="918"/>
      <c r="Q28" s="919"/>
      <c r="R28" s="923">
        <v>66746.62</v>
      </c>
      <c r="S28" s="917"/>
      <c r="T28" s="921">
        <f t="shared" ref="T28:T40" si="2">+R28+P28+N28+L28+J28+H28+F28+D28+B28</f>
        <v>66746.62</v>
      </c>
    </row>
    <row r="29" spans="1:30">
      <c r="A29" s="937" t="s">
        <v>778</v>
      </c>
      <c r="B29" s="916"/>
      <c r="C29" s="917"/>
      <c r="D29" s="918"/>
      <c r="E29" s="919"/>
      <c r="F29" s="916"/>
      <c r="G29" s="917"/>
      <c r="H29" s="924">
        <v>452000</v>
      </c>
      <c r="I29" s="919"/>
      <c r="J29" s="916"/>
      <c r="K29" s="917"/>
      <c r="L29" s="918"/>
      <c r="M29" s="919"/>
      <c r="N29" s="916"/>
      <c r="O29" s="917"/>
      <c r="P29" s="918"/>
      <c r="Q29" s="919"/>
      <c r="R29" s="923">
        <v>721003.36</v>
      </c>
      <c r="S29" s="917"/>
      <c r="T29" s="921">
        <f t="shared" si="2"/>
        <v>1173003.3599999999</v>
      </c>
    </row>
    <row r="30" spans="1:30">
      <c r="A30" s="937" t="s">
        <v>779</v>
      </c>
      <c r="B30" s="916"/>
      <c r="C30" s="917"/>
      <c r="D30" s="918"/>
      <c r="E30" s="919"/>
      <c r="F30" s="916"/>
      <c r="G30" s="917"/>
      <c r="H30" s="924">
        <v>549705.43000000005</v>
      </c>
      <c r="I30" s="919"/>
      <c r="J30" s="916"/>
      <c r="K30" s="917"/>
      <c r="L30" s="918"/>
      <c r="M30" s="919"/>
      <c r="N30" s="916"/>
      <c r="O30" s="917"/>
      <c r="P30" s="918"/>
      <c r="Q30" s="919"/>
      <c r="R30" s="923">
        <v>357352.99</v>
      </c>
      <c r="S30" s="917"/>
      <c r="T30" s="921">
        <f t="shared" si="2"/>
        <v>907058.42</v>
      </c>
      <c r="AB30" s="116"/>
    </row>
    <row r="31" spans="1:30">
      <c r="A31" s="937" t="s">
        <v>780</v>
      </c>
      <c r="B31" s="916"/>
      <c r="C31" s="917"/>
      <c r="D31" s="918"/>
      <c r="E31" s="919"/>
      <c r="F31" s="916"/>
      <c r="G31" s="917"/>
      <c r="H31" s="924">
        <v>74744</v>
      </c>
      <c r="I31" s="919"/>
      <c r="J31" s="916"/>
      <c r="K31" s="917"/>
      <c r="L31" s="918"/>
      <c r="M31" s="919"/>
      <c r="N31" s="916"/>
      <c r="O31" s="917"/>
      <c r="P31" s="918"/>
      <c r="Q31" s="919"/>
      <c r="R31" s="923">
        <v>149488</v>
      </c>
      <c r="S31" s="917"/>
      <c r="T31" s="921">
        <f t="shared" si="2"/>
        <v>224232</v>
      </c>
    </row>
    <row r="32" spans="1:30">
      <c r="A32" s="937" t="s">
        <v>833</v>
      </c>
      <c r="B32" s="916"/>
      <c r="C32" s="917"/>
      <c r="D32" s="918"/>
      <c r="E32" s="919"/>
      <c r="F32" s="916"/>
      <c r="G32" s="917"/>
      <c r="H32" s="924">
        <v>1205543.17</v>
      </c>
      <c r="I32" s="919"/>
      <c r="J32" s="916"/>
      <c r="K32" s="917"/>
      <c r="L32" s="918"/>
      <c r="M32" s="919"/>
      <c r="N32" s="916"/>
      <c r="O32" s="917"/>
      <c r="P32" s="918"/>
      <c r="Q32" s="919"/>
      <c r="R32" s="923">
        <v>2326384.15</v>
      </c>
      <c r="S32" s="917"/>
      <c r="T32" s="921">
        <f t="shared" si="2"/>
        <v>3531927.32</v>
      </c>
      <c r="AB32" s="116"/>
      <c r="AC32" s="116"/>
    </row>
    <row r="33" spans="1:22">
      <c r="A33" s="937" t="s">
        <v>1392</v>
      </c>
      <c r="B33" s="916"/>
      <c r="C33" s="917"/>
      <c r="D33" s="918"/>
      <c r="E33" s="919"/>
      <c r="F33" s="916"/>
      <c r="G33" s="917"/>
      <c r="H33" s="924">
        <v>1650</v>
      </c>
      <c r="I33" s="919"/>
      <c r="J33" s="916"/>
      <c r="K33" s="917"/>
      <c r="L33" s="918"/>
      <c r="M33" s="919"/>
      <c r="N33" s="916"/>
      <c r="O33" s="917"/>
      <c r="P33" s="918"/>
      <c r="Q33" s="919"/>
      <c r="R33" s="923">
        <v>3800</v>
      </c>
      <c r="S33" s="917"/>
      <c r="T33" s="921">
        <f t="shared" si="2"/>
        <v>5450</v>
      </c>
    </row>
    <row r="34" spans="1:22">
      <c r="A34" s="937" t="s">
        <v>837</v>
      </c>
      <c r="B34" s="916"/>
      <c r="C34" s="917"/>
      <c r="D34" s="918"/>
      <c r="E34" s="919"/>
      <c r="F34" s="916"/>
      <c r="G34" s="917"/>
      <c r="H34" s="918"/>
      <c r="I34" s="919"/>
      <c r="J34" s="916"/>
      <c r="K34" s="917"/>
      <c r="L34" s="918"/>
      <c r="M34" s="919"/>
      <c r="N34" s="916"/>
      <c r="O34" s="917"/>
      <c r="P34" s="918"/>
      <c r="Q34" s="919"/>
      <c r="R34" s="923">
        <v>4863871.3499999996</v>
      </c>
      <c r="S34" s="917"/>
      <c r="T34" s="921">
        <f t="shared" si="2"/>
        <v>4863871.3499999996</v>
      </c>
    </row>
    <row r="35" spans="1:22">
      <c r="A35" s="937" t="s">
        <v>844</v>
      </c>
      <c r="B35" s="916"/>
      <c r="C35" s="917"/>
      <c r="D35" s="918"/>
      <c r="E35" s="919"/>
      <c r="F35" s="916"/>
      <c r="G35" s="917"/>
      <c r="H35" s="918"/>
      <c r="I35" s="919"/>
      <c r="J35" s="916"/>
      <c r="K35" s="917"/>
      <c r="L35" s="918"/>
      <c r="M35" s="919"/>
      <c r="N35" s="916"/>
      <c r="O35" s="917"/>
      <c r="P35" s="918"/>
      <c r="Q35" s="919"/>
      <c r="R35" s="923">
        <v>8132.3</v>
      </c>
      <c r="S35" s="917"/>
      <c r="T35" s="921">
        <f t="shared" si="2"/>
        <v>8132.3</v>
      </c>
    </row>
    <row r="36" spans="1:22">
      <c r="A36" s="937" t="s">
        <v>782</v>
      </c>
      <c r="B36" s="916"/>
      <c r="C36" s="917"/>
      <c r="D36" s="918"/>
      <c r="E36" s="919"/>
      <c r="F36" s="916"/>
      <c r="G36" s="917"/>
      <c r="H36" s="918"/>
      <c r="I36" s="919"/>
      <c r="J36" s="920">
        <v>181759.88</v>
      </c>
      <c r="K36" s="917"/>
      <c r="L36" s="918"/>
      <c r="M36" s="919"/>
      <c r="N36" s="920">
        <v>3192</v>
      </c>
      <c r="O36" s="917"/>
      <c r="P36" s="918"/>
      <c r="Q36" s="919"/>
      <c r="R36" s="916"/>
      <c r="S36" s="917"/>
      <c r="T36" s="921">
        <f t="shared" si="2"/>
        <v>184951.88</v>
      </c>
    </row>
    <row r="37" spans="1:22">
      <c r="A37" s="937" t="s">
        <v>783</v>
      </c>
      <c r="B37" s="916"/>
      <c r="C37" s="917"/>
      <c r="D37" s="918"/>
      <c r="E37" s="919"/>
      <c r="F37" s="916"/>
      <c r="G37" s="917"/>
      <c r="H37" s="918"/>
      <c r="I37" s="919"/>
      <c r="J37" s="920">
        <v>34000</v>
      </c>
      <c r="K37" s="917"/>
      <c r="L37" s="918"/>
      <c r="M37" s="919"/>
      <c r="N37" s="916"/>
      <c r="O37" s="917"/>
      <c r="P37" s="918"/>
      <c r="Q37" s="919"/>
      <c r="R37" s="916"/>
      <c r="S37" s="917"/>
      <c r="T37" s="921">
        <f t="shared" si="2"/>
        <v>34000</v>
      </c>
    </row>
    <row r="38" spans="1:22">
      <c r="A38" s="937" t="s">
        <v>784</v>
      </c>
      <c r="B38" s="916"/>
      <c r="C38" s="917"/>
      <c r="D38" s="918"/>
      <c r="E38" s="919"/>
      <c r="F38" s="916"/>
      <c r="G38" s="917"/>
      <c r="H38" s="924">
        <v>1557644.99</v>
      </c>
      <c r="I38" s="919"/>
      <c r="J38" s="916"/>
      <c r="K38" s="917"/>
      <c r="L38" s="918"/>
      <c r="M38" s="919"/>
      <c r="N38" s="916"/>
      <c r="O38" s="917"/>
      <c r="P38" s="918"/>
      <c r="Q38" s="919"/>
      <c r="R38" s="923">
        <v>1891226.25</v>
      </c>
      <c r="S38" s="917"/>
      <c r="T38" s="921">
        <f t="shared" si="2"/>
        <v>3448871.24</v>
      </c>
    </row>
    <row r="39" spans="1:22">
      <c r="A39" s="937" t="s">
        <v>785</v>
      </c>
      <c r="B39" s="916"/>
      <c r="C39" s="917"/>
      <c r="D39" s="918"/>
      <c r="E39" s="919"/>
      <c r="F39" s="916"/>
      <c r="G39" s="917"/>
      <c r="H39" s="924">
        <v>257895.4</v>
      </c>
      <c r="I39" s="919"/>
      <c r="J39" s="916"/>
      <c r="K39" s="917"/>
      <c r="L39" s="918"/>
      <c r="M39" s="919"/>
      <c r="N39" s="916"/>
      <c r="O39" s="917"/>
      <c r="P39" s="918"/>
      <c r="Q39" s="919"/>
      <c r="R39" s="923">
        <v>1245355</v>
      </c>
      <c r="S39" s="917"/>
      <c r="T39" s="921">
        <f t="shared" si="2"/>
        <v>1503250.4</v>
      </c>
    </row>
    <row r="40" spans="1:22">
      <c r="A40" s="937" t="s">
        <v>1393</v>
      </c>
      <c r="B40" s="916"/>
      <c r="C40" s="917"/>
      <c r="D40" s="918"/>
      <c r="E40" s="919"/>
      <c r="F40" s="916"/>
      <c r="G40" s="917"/>
      <c r="H40" s="918"/>
      <c r="I40" s="919"/>
      <c r="J40" s="916"/>
      <c r="K40" s="917"/>
      <c r="L40" s="924">
        <v>4000</v>
      </c>
      <c r="M40" s="919"/>
      <c r="N40" s="916"/>
      <c r="O40" s="917"/>
      <c r="P40" s="918"/>
      <c r="Q40" s="919"/>
      <c r="R40" s="916"/>
      <c r="S40" s="917"/>
      <c r="T40" s="921">
        <f t="shared" si="2"/>
        <v>4000</v>
      </c>
      <c r="U40" s="116">
        <f>SUM(T28:T40)</f>
        <v>15955494.890000002</v>
      </c>
      <c r="V40" s="348">
        <f>T22-U25-U40</f>
        <v>-744497.3999997545</v>
      </c>
    </row>
    <row r="41" spans="1:22">
      <c r="A41" s="774" t="s">
        <v>1394</v>
      </c>
      <c r="B41" s="330"/>
      <c r="C41" s="910">
        <v>-505</v>
      </c>
      <c r="D41" s="331"/>
      <c r="E41" s="911">
        <v>-172361.7</v>
      </c>
      <c r="F41" s="330"/>
      <c r="G41" s="910">
        <v>7252671.534</v>
      </c>
      <c r="H41" s="331"/>
      <c r="I41" s="911">
        <v>292719193.02999997</v>
      </c>
      <c r="J41" s="330"/>
      <c r="K41" s="910">
        <v>1906971.101</v>
      </c>
      <c r="L41" s="331"/>
      <c r="M41" s="911">
        <v>212652.88399999999</v>
      </c>
      <c r="N41" s="330"/>
      <c r="O41" s="910">
        <v>1561746</v>
      </c>
      <c r="P41" s="331"/>
      <c r="Q41" s="912"/>
      <c r="R41" s="330"/>
      <c r="S41" s="913">
        <v>-271515862.56999999</v>
      </c>
    </row>
    <row r="42" spans="1:22">
      <c r="A42" s="914" t="s">
        <v>1395</v>
      </c>
      <c r="B42" s="900" t="s">
        <v>325</v>
      </c>
      <c r="C42" s="900" t="s">
        <v>325</v>
      </c>
      <c r="D42" s="900" t="s">
        <v>325</v>
      </c>
      <c r="E42" s="900" t="s">
        <v>325</v>
      </c>
      <c r="F42" s="900" t="s">
        <v>325</v>
      </c>
      <c r="G42" s="900" t="s">
        <v>325</v>
      </c>
      <c r="H42" s="900" t="s">
        <v>325</v>
      </c>
      <c r="I42" s="900" t="s">
        <v>325</v>
      </c>
      <c r="J42" s="900" t="s">
        <v>325</v>
      </c>
      <c r="K42" s="306"/>
      <c r="L42" s="306"/>
      <c r="M42" s="306"/>
      <c r="N42" s="306"/>
      <c r="O42" s="306"/>
      <c r="P42" s="306"/>
      <c r="Q42" s="306"/>
      <c r="R42" s="306"/>
      <c r="S42" s="306"/>
    </row>
    <row r="43" spans="1:22">
      <c r="A43" s="311" t="s">
        <v>374</v>
      </c>
      <c r="B43" s="322"/>
      <c r="C43" s="605"/>
      <c r="D43" s="324"/>
      <c r="E43" s="901"/>
      <c r="F43" s="322"/>
      <c r="G43" s="602">
        <v>237266.255</v>
      </c>
      <c r="H43" s="324"/>
      <c r="I43" s="805">
        <v>58045</v>
      </c>
      <c r="J43" s="322"/>
      <c r="K43" s="602">
        <v>244334.11799999999</v>
      </c>
      <c r="L43" s="324"/>
      <c r="M43" s="901"/>
      <c r="N43" s="322"/>
      <c r="O43" s="602">
        <v>-2475912.84</v>
      </c>
      <c r="P43" s="324"/>
      <c r="Q43" s="901"/>
      <c r="R43" s="322"/>
      <c r="S43" s="902">
        <v>2206236.7799999998</v>
      </c>
      <c r="T43" s="903">
        <f>S43+O43+M43+K43+I43+G43+C43+AE43+Q43+E43</f>
        <v>269969.31299999997</v>
      </c>
    </row>
    <row r="44" spans="1:22" s="922" customFormat="1">
      <c r="A44" s="915" t="s">
        <v>788</v>
      </c>
      <c r="B44" s="916"/>
      <c r="C44" s="917"/>
      <c r="D44" s="918"/>
      <c r="E44" s="919"/>
      <c r="F44" s="916"/>
      <c r="G44" s="917"/>
      <c r="H44" s="918"/>
      <c r="I44" s="919"/>
      <c r="J44" s="916"/>
      <c r="K44" s="917"/>
      <c r="L44" s="918"/>
      <c r="M44" s="919"/>
      <c r="N44" s="916"/>
      <c r="O44" s="917"/>
      <c r="P44" s="918"/>
      <c r="Q44" s="919"/>
      <c r="R44" s="923">
        <v>2260.36</v>
      </c>
      <c r="S44" s="917"/>
      <c r="T44" s="921">
        <f t="shared" ref="T44:T53" si="3">+R44+P44+N44+L44+J44+H44+F44+D44+B44</f>
        <v>2260.36</v>
      </c>
    </row>
    <row r="45" spans="1:22" s="922" customFormat="1">
      <c r="A45" s="915" t="s">
        <v>789</v>
      </c>
      <c r="B45" s="916"/>
      <c r="C45" s="917"/>
      <c r="D45" s="918"/>
      <c r="E45" s="919"/>
      <c r="F45" s="916"/>
      <c r="G45" s="917"/>
      <c r="H45" s="918"/>
      <c r="I45" s="919"/>
      <c r="J45" s="916"/>
      <c r="K45" s="917"/>
      <c r="L45" s="918"/>
      <c r="M45" s="919"/>
      <c r="N45" s="920">
        <v>21951.16</v>
      </c>
      <c r="O45" s="917"/>
      <c r="P45" s="918"/>
      <c r="Q45" s="919"/>
      <c r="R45" s="916"/>
      <c r="S45" s="917"/>
      <c r="T45" s="921">
        <f t="shared" si="3"/>
        <v>21951.16</v>
      </c>
    </row>
    <row r="46" spans="1:22" s="922" customFormat="1">
      <c r="A46" s="915" t="s">
        <v>1396</v>
      </c>
      <c r="B46" s="916"/>
      <c r="C46" s="917"/>
      <c r="D46" s="918"/>
      <c r="E46" s="919"/>
      <c r="F46" s="916"/>
      <c r="G46" s="917"/>
      <c r="H46" s="918"/>
      <c r="I46" s="919"/>
      <c r="J46" s="916"/>
      <c r="K46" s="917"/>
      <c r="L46" s="918"/>
      <c r="M46" s="919"/>
      <c r="N46" s="920">
        <v>1233780</v>
      </c>
      <c r="O46" s="917"/>
      <c r="P46" s="918"/>
      <c r="Q46" s="919"/>
      <c r="R46" s="916"/>
      <c r="S46" s="917"/>
      <c r="T46" s="921">
        <f t="shared" si="3"/>
        <v>1233780</v>
      </c>
    </row>
    <row r="47" spans="1:22" s="922" customFormat="1">
      <c r="A47" s="915" t="s">
        <v>790</v>
      </c>
      <c r="B47" s="916"/>
      <c r="C47" s="917"/>
      <c r="D47" s="918"/>
      <c r="E47" s="919"/>
      <c r="F47" s="916"/>
      <c r="G47" s="917"/>
      <c r="H47" s="924">
        <v>58045</v>
      </c>
      <c r="I47" s="919"/>
      <c r="J47" s="916"/>
      <c r="K47" s="917"/>
      <c r="L47" s="918"/>
      <c r="M47" s="919"/>
      <c r="N47" s="916"/>
      <c r="O47" s="917"/>
      <c r="P47" s="918"/>
      <c r="Q47" s="919"/>
      <c r="R47" s="923">
        <v>916205.27</v>
      </c>
      <c r="S47" s="917"/>
      <c r="T47" s="921">
        <f t="shared" si="3"/>
        <v>974250.27</v>
      </c>
    </row>
    <row r="48" spans="1:22" s="922" customFormat="1">
      <c r="A48" s="915" t="s">
        <v>791</v>
      </c>
      <c r="B48" s="916"/>
      <c r="C48" s="917"/>
      <c r="D48" s="918"/>
      <c r="E48" s="919"/>
      <c r="F48" s="916"/>
      <c r="G48" s="917"/>
      <c r="H48" s="918"/>
      <c r="I48" s="919"/>
      <c r="J48" s="920">
        <v>242646.11799999999</v>
      </c>
      <c r="K48" s="917"/>
      <c r="L48" s="918"/>
      <c r="M48" s="919"/>
      <c r="N48" s="916"/>
      <c r="O48" s="917"/>
      <c r="P48" s="918"/>
      <c r="Q48" s="919"/>
      <c r="R48" s="916"/>
      <c r="S48" s="917"/>
      <c r="T48" s="921">
        <f t="shared" si="3"/>
        <v>242646.11799999999</v>
      </c>
    </row>
    <row r="49" spans="1:22" s="922" customFormat="1">
      <c r="A49" s="915" t="s">
        <v>1397</v>
      </c>
      <c r="B49" s="916"/>
      <c r="C49" s="917"/>
      <c r="D49" s="918"/>
      <c r="E49" s="919"/>
      <c r="F49" s="920">
        <v>237266.255</v>
      </c>
      <c r="G49" s="917"/>
      <c r="H49" s="918"/>
      <c r="I49" s="919"/>
      <c r="J49" s="916"/>
      <c r="K49" s="917"/>
      <c r="L49" s="918"/>
      <c r="M49" s="919"/>
      <c r="N49" s="916"/>
      <c r="O49" s="917"/>
      <c r="P49" s="918"/>
      <c r="Q49" s="919"/>
      <c r="R49" s="916"/>
      <c r="S49" s="917"/>
      <c r="T49" s="921">
        <f t="shared" si="3"/>
        <v>237266.255</v>
      </c>
    </row>
    <row r="50" spans="1:22" s="922" customFormat="1">
      <c r="A50" s="915" t="s">
        <v>377</v>
      </c>
      <c r="B50" s="916"/>
      <c r="C50" s="917"/>
      <c r="D50" s="918"/>
      <c r="E50" s="919"/>
      <c r="F50" s="916"/>
      <c r="G50" s="917"/>
      <c r="H50" s="918"/>
      <c r="I50" s="919"/>
      <c r="J50" s="916"/>
      <c r="K50" s="917"/>
      <c r="L50" s="918"/>
      <c r="M50" s="919"/>
      <c r="N50" s="920">
        <v>-5208705</v>
      </c>
      <c r="O50" s="917"/>
      <c r="P50" s="918"/>
      <c r="Q50" s="919"/>
      <c r="R50" s="916"/>
      <c r="S50" s="917"/>
      <c r="T50" s="921">
        <f t="shared" si="3"/>
        <v>-5208705</v>
      </c>
    </row>
    <row r="51" spans="1:22" s="922" customFormat="1">
      <c r="A51" s="915" t="s">
        <v>795</v>
      </c>
      <c r="B51" s="916"/>
      <c r="C51" s="917"/>
      <c r="D51" s="918"/>
      <c r="E51" s="919"/>
      <c r="F51" s="916"/>
      <c r="G51" s="917"/>
      <c r="H51" s="918"/>
      <c r="I51" s="919"/>
      <c r="J51" s="916"/>
      <c r="K51" s="917"/>
      <c r="L51" s="918"/>
      <c r="M51" s="919"/>
      <c r="N51" s="916"/>
      <c r="O51" s="917"/>
      <c r="P51" s="918"/>
      <c r="Q51" s="919"/>
      <c r="R51" s="923">
        <v>1276055.1499999999</v>
      </c>
      <c r="S51" s="917"/>
      <c r="T51" s="921">
        <f t="shared" si="3"/>
        <v>1276055.1499999999</v>
      </c>
    </row>
    <row r="52" spans="1:22" s="922" customFormat="1">
      <c r="A52" s="915" t="s">
        <v>797</v>
      </c>
      <c r="B52" s="916"/>
      <c r="C52" s="917"/>
      <c r="D52" s="918"/>
      <c r="E52" s="919"/>
      <c r="F52" s="916"/>
      <c r="G52" s="917"/>
      <c r="H52" s="918"/>
      <c r="I52" s="919"/>
      <c r="J52" s="920">
        <v>1688</v>
      </c>
      <c r="K52" s="917"/>
      <c r="L52" s="918"/>
      <c r="M52" s="919"/>
      <c r="N52" s="916"/>
      <c r="O52" s="917"/>
      <c r="P52" s="918"/>
      <c r="Q52" s="919"/>
      <c r="R52" s="923">
        <v>11716</v>
      </c>
      <c r="S52" s="917"/>
      <c r="T52" s="921">
        <f t="shared" si="3"/>
        <v>13404</v>
      </c>
    </row>
    <row r="53" spans="1:22" s="922" customFormat="1">
      <c r="A53" s="915" t="s">
        <v>1398</v>
      </c>
      <c r="B53" s="916"/>
      <c r="C53" s="917"/>
      <c r="D53" s="918"/>
      <c r="E53" s="919"/>
      <c r="F53" s="916"/>
      <c r="G53" s="917"/>
      <c r="H53" s="918"/>
      <c r="I53" s="919"/>
      <c r="J53" s="916"/>
      <c r="K53" s="917"/>
      <c r="L53" s="918"/>
      <c r="M53" s="919"/>
      <c r="N53" s="920">
        <v>1477061</v>
      </c>
      <c r="O53" s="917"/>
      <c r="P53" s="918"/>
      <c r="Q53" s="919"/>
      <c r="R53" s="916"/>
      <c r="S53" s="917"/>
      <c r="T53" s="921">
        <f t="shared" si="3"/>
        <v>1477061</v>
      </c>
      <c r="U53" s="921">
        <f>SUM(T44:T53)</f>
        <v>269969.31299999962</v>
      </c>
      <c r="V53" s="925">
        <f>T43-U53</f>
        <v>0</v>
      </c>
    </row>
    <row r="54" spans="1:22">
      <c r="A54" s="316" t="s">
        <v>325</v>
      </c>
      <c r="B54" s="330"/>
      <c r="C54" s="318">
        <v>-505</v>
      </c>
      <c r="D54" s="331"/>
      <c r="E54" s="320">
        <v>-172361.7</v>
      </c>
      <c r="F54" s="330"/>
      <c r="G54" s="318">
        <v>7489937.7889999999</v>
      </c>
      <c r="H54" s="331"/>
      <c r="I54" s="320">
        <v>292777238.02999997</v>
      </c>
      <c r="J54" s="330"/>
      <c r="K54" s="318">
        <v>2151305.219</v>
      </c>
      <c r="L54" s="331"/>
      <c r="M54" s="320">
        <v>212652.88399999999</v>
      </c>
      <c r="N54" s="330"/>
      <c r="O54" s="318">
        <v>-914166.84</v>
      </c>
      <c r="P54" s="331"/>
      <c r="Q54" s="330"/>
      <c r="R54" s="330"/>
      <c r="S54" s="726">
        <v>-269309625.79000002</v>
      </c>
    </row>
    <row r="55" spans="1:22">
      <c r="A55" s="311" t="s">
        <v>380</v>
      </c>
      <c r="B55" s="322"/>
      <c r="C55" s="602">
        <v>105900</v>
      </c>
      <c r="D55" s="324"/>
      <c r="E55" s="805">
        <v>83396.198000000004</v>
      </c>
      <c r="F55" s="322"/>
      <c r="G55" s="602">
        <v>1301381.145</v>
      </c>
      <c r="H55" s="324"/>
      <c r="I55" s="805">
        <v>4115018.84</v>
      </c>
      <c r="J55" s="322"/>
      <c r="K55" s="602">
        <v>346680.484</v>
      </c>
      <c r="L55" s="324"/>
      <c r="M55" s="805">
        <v>131871.14799999999</v>
      </c>
      <c r="N55" s="322"/>
      <c r="O55" s="602">
        <v>23991866.598000001</v>
      </c>
      <c r="P55" s="324"/>
      <c r="Q55" s="901"/>
      <c r="R55" s="322"/>
      <c r="S55" s="902">
        <v>16881571.469999999</v>
      </c>
      <c r="T55" s="903">
        <f>S55+O55+M55+K55+I55+G55+C55+AE55+Q55+E55</f>
        <v>46957685.883000009</v>
      </c>
    </row>
    <row r="56" spans="1:22">
      <c r="A56" s="342" t="s">
        <v>381</v>
      </c>
      <c r="B56" s="322"/>
      <c r="C56" s="605"/>
      <c r="D56" s="324"/>
      <c r="E56" s="901"/>
      <c r="F56" s="337">
        <v>695564.37</v>
      </c>
      <c r="G56" s="605"/>
      <c r="H56" s="324"/>
      <c r="I56" s="901"/>
      <c r="J56" s="322"/>
      <c r="K56" s="605"/>
      <c r="L56" s="324"/>
      <c r="M56" s="901"/>
      <c r="N56" s="322"/>
      <c r="O56" s="605"/>
      <c r="P56" s="324"/>
      <c r="Q56" s="901"/>
      <c r="R56" s="322"/>
      <c r="S56" s="605"/>
      <c r="T56" s="116">
        <f t="shared" ref="T56:T119" si="4">+R56+P56+N56+L56+J56+H56+F56+D56+B56</f>
        <v>695564.37</v>
      </c>
    </row>
    <row r="57" spans="1:22">
      <c r="A57" s="342" t="s">
        <v>801</v>
      </c>
      <c r="B57" s="322"/>
      <c r="C57" s="605"/>
      <c r="D57" s="324"/>
      <c r="E57" s="901"/>
      <c r="F57" s="322"/>
      <c r="G57" s="605"/>
      <c r="H57" s="324"/>
      <c r="I57" s="901"/>
      <c r="J57" s="322"/>
      <c r="K57" s="605"/>
      <c r="L57" s="324"/>
      <c r="M57" s="901"/>
      <c r="N57" s="337">
        <v>98164</v>
      </c>
      <c r="O57" s="605"/>
      <c r="P57" s="324"/>
      <c r="Q57" s="901"/>
      <c r="R57" s="322"/>
      <c r="S57" s="605"/>
      <c r="T57" s="116">
        <f t="shared" si="4"/>
        <v>98164</v>
      </c>
    </row>
    <row r="58" spans="1:22">
      <c r="A58" s="342" t="s">
        <v>802</v>
      </c>
      <c r="B58" s="322"/>
      <c r="C58" s="605"/>
      <c r="D58" s="324"/>
      <c r="E58" s="901"/>
      <c r="F58" s="322"/>
      <c r="G58" s="605"/>
      <c r="H58" s="336">
        <v>7000</v>
      </c>
      <c r="I58" s="901"/>
      <c r="J58" s="322"/>
      <c r="K58" s="605"/>
      <c r="L58" s="324"/>
      <c r="M58" s="901"/>
      <c r="N58" s="322"/>
      <c r="O58" s="605"/>
      <c r="P58" s="324"/>
      <c r="Q58" s="901"/>
      <c r="R58" s="904">
        <v>14000</v>
      </c>
      <c r="S58" s="605"/>
      <c r="T58" s="116">
        <f t="shared" si="4"/>
        <v>21000</v>
      </c>
    </row>
    <row r="59" spans="1:22">
      <c r="A59" s="342" t="s">
        <v>803</v>
      </c>
      <c r="B59" s="322"/>
      <c r="C59" s="605"/>
      <c r="D59" s="324"/>
      <c r="E59" s="901"/>
      <c r="F59" s="322"/>
      <c r="G59" s="605"/>
      <c r="H59" s="324"/>
      <c r="I59" s="901"/>
      <c r="J59" s="322"/>
      <c r="K59" s="605"/>
      <c r="L59" s="324"/>
      <c r="M59" s="901"/>
      <c r="N59" s="322"/>
      <c r="O59" s="605"/>
      <c r="P59" s="324"/>
      <c r="Q59" s="901"/>
      <c r="R59" s="322"/>
      <c r="S59" s="605"/>
      <c r="T59" s="116">
        <f t="shared" si="4"/>
        <v>0</v>
      </c>
    </row>
    <row r="60" spans="1:22">
      <c r="A60" s="342" t="s">
        <v>600</v>
      </c>
      <c r="B60" s="337">
        <v>105900</v>
      </c>
      <c r="C60" s="605"/>
      <c r="D60" s="336">
        <v>20833.5</v>
      </c>
      <c r="E60" s="901"/>
      <c r="F60" s="337">
        <v>118615</v>
      </c>
      <c r="G60" s="605"/>
      <c r="H60" s="336">
        <v>808883</v>
      </c>
      <c r="I60" s="901"/>
      <c r="J60" s="337">
        <v>171958</v>
      </c>
      <c r="K60" s="605"/>
      <c r="L60" s="336">
        <v>49356.5</v>
      </c>
      <c r="M60" s="901"/>
      <c r="N60" s="322"/>
      <c r="O60" s="605"/>
      <c r="P60" s="324"/>
      <c r="Q60" s="901"/>
      <c r="R60" s="904">
        <v>567850.9</v>
      </c>
      <c r="S60" s="605"/>
      <c r="T60" s="116">
        <f t="shared" si="4"/>
        <v>1843396.9</v>
      </c>
    </row>
    <row r="61" spans="1:22">
      <c r="A61" s="342" t="s">
        <v>804</v>
      </c>
      <c r="B61" s="322"/>
      <c r="C61" s="605"/>
      <c r="D61" s="324"/>
      <c r="E61" s="901"/>
      <c r="F61" s="322"/>
      <c r="G61" s="605"/>
      <c r="H61" s="324"/>
      <c r="I61" s="901"/>
      <c r="J61" s="322"/>
      <c r="K61" s="605"/>
      <c r="L61" s="324"/>
      <c r="M61" s="901"/>
      <c r="N61" s="337">
        <v>17897.04</v>
      </c>
      <c r="O61" s="605"/>
      <c r="P61" s="324"/>
      <c r="Q61" s="901"/>
      <c r="R61" s="322"/>
      <c r="S61" s="605"/>
      <c r="T61" s="116">
        <f t="shared" si="4"/>
        <v>17897.04</v>
      </c>
    </row>
    <row r="62" spans="1:22">
      <c r="A62" s="342" t="s">
        <v>805</v>
      </c>
      <c r="B62" s="322"/>
      <c r="C62" s="605"/>
      <c r="D62" s="324"/>
      <c r="E62" s="901"/>
      <c r="F62" s="322"/>
      <c r="G62" s="605"/>
      <c r="H62" s="336">
        <v>4034</v>
      </c>
      <c r="I62" s="901"/>
      <c r="J62" s="322"/>
      <c r="K62" s="605"/>
      <c r="L62" s="324"/>
      <c r="M62" s="901"/>
      <c r="N62" s="322"/>
      <c r="O62" s="605"/>
      <c r="P62" s="324"/>
      <c r="Q62" s="901"/>
      <c r="R62" s="904">
        <v>-3896</v>
      </c>
      <c r="S62" s="605"/>
      <c r="T62" s="116">
        <f t="shared" si="4"/>
        <v>138</v>
      </c>
    </row>
    <row r="63" spans="1:22">
      <c r="A63" s="342" t="s">
        <v>806</v>
      </c>
      <c r="B63" s="322"/>
      <c r="C63" s="605"/>
      <c r="D63" s="324"/>
      <c r="E63" s="901"/>
      <c r="F63" s="322"/>
      <c r="G63" s="605"/>
      <c r="H63" s="336">
        <v>5241.5</v>
      </c>
      <c r="I63" s="901"/>
      <c r="J63" s="322"/>
      <c r="K63" s="605"/>
      <c r="L63" s="324"/>
      <c r="M63" s="901"/>
      <c r="N63" s="322"/>
      <c r="O63" s="605"/>
      <c r="P63" s="324"/>
      <c r="Q63" s="901"/>
      <c r="R63" s="904">
        <v>935</v>
      </c>
      <c r="S63" s="605"/>
      <c r="T63" s="116">
        <f t="shared" si="4"/>
        <v>6176.5</v>
      </c>
    </row>
    <row r="64" spans="1:22">
      <c r="A64" s="342" t="s">
        <v>1399</v>
      </c>
      <c r="B64" s="322"/>
      <c r="C64" s="605"/>
      <c r="D64" s="324"/>
      <c r="E64" s="901"/>
      <c r="F64" s="322"/>
      <c r="G64" s="605"/>
      <c r="H64" s="324"/>
      <c r="I64" s="901"/>
      <c r="J64" s="322"/>
      <c r="K64" s="605"/>
      <c r="L64" s="324"/>
      <c r="M64" s="901"/>
      <c r="N64" s="322"/>
      <c r="O64" s="605"/>
      <c r="P64" s="324"/>
      <c r="Q64" s="901"/>
      <c r="R64" s="904">
        <v>287923.8</v>
      </c>
      <c r="S64" s="605"/>
      <c r="T64" s="116">
        <f t="shared" si="4"/>
        <v>287923.8</v>
      </c>
    </row>
    <row r="65" spans="1:20" s="922" customFormat="1">
      <c r="A65" s="928" t="s">
        <v>382</v>
      </c>
      <c r="B65" s="916"/>
      <c r="C65" s="917"/>
      <c r="D65" s="918"/>
      <c r="E65" s="919"/>
      <c r="F65" s="920">
        <v>-4877614.63</v>
      </c>
      <c r="G65" s="917"/>
      <c r="H65" s="918"/>
      <c r="I65" s="919"/>
      <c r="J65" s="916"/>
      <c r="K65" s="917"/>
      <c r="L65" s="918"/>
      <c r="M65" s="919"/>
      <c r="N65" s="916"/>
      <c r="O65" s="917"/>
      <c r="P65" s="918"/>
      <c r="Q65" s="919"/>
      <c r="R65" s="916"/>
      <c r="S65" s="917"/>
      <c r="T65" s="921">
        <f t="shared" si="4"/>
        <v>-4877614.63</v>
      </c>
    </row>
    <row r="66" spans="1:20">
      <c r="A66" s="342" t="s">
        <v>1105</v>
      </c>
      <c r="B66" s="322"/>
      <c r="C66" s="605"/>
      <c r="D66" s="324"/>
      <c r="E66" s="901"/>
      <c r="F66" s="337">
        <v>2155</v>
      </c>
      <c r="G66" s="605"/>
      <c r="H66" s="324"/>
      <c r="I66" s="901"/>
      <c r="J66" s="322"/>
      <c r="K66" s="605"/>
      <c r="L66" s="324"/>
      <c r="M66" s="901"/>
      <c r="N66" s="322"/>
      <c r="O66" s="605"/>
      <c r="P66" s="324"/>
      <c r="Q66" s="901"/>
      <c r="R66" s="322"/>
      <c r="S66" s="605"/>
      <c r="T66" s="116">
        <f t="shared" si="4"/>
        <v>2155</v>
      </c>
    </row>
    <row r="67" spans="1:20" s="922" customFormat="1">
      <c r="A67" s="928" t="s">
        <v>808</v>
      </c>
      <c r="B67" s="916"/>
      <c r="C67" s="917"/>
      <c r="D67" s="918"/>
      <c r="E67" s="919"/>
      <c r="F67" s="916"/>
      <c r="G67" s="917"/>
      <c r="H67" s="924">
        <v>13344</v>
      </c>
      <c r="I67" s="919"/>
      <c r="J67" s="916"/>
      <c r="K67" s="917"/>
      <c r="L67" s="918"/>
      <c r="M67" s="919"/>
      <c r="N67" s="920">
        <v>19875324.109999999</v>
      </c>
      <c r="O67" s="917"/>
      <c r="P67" s="918"/>
      <c r="Q67" s="919"/>
      <c r="R67" s="923">
        <v>221789</v>
      </c>
      <c r="S67" s="917"/>
      <c r="T67" s="921">
        <f t="shared" si="4"/>
        <v>20110457.109999999</v>
      </c>
    </row>
    <row r="68" spans="1:20">
      <c r="A68" s="342" t="s">
        <v>383</v>
      </c>
      <c r="B68" s="322"/>
      <c r="C68" s="605"/>
      <c r="D68" s="324"/>
      <c r="E68" s="901"/>
      <c r="F68" s="337">
        <v>1500214.74</v>
      </c>
      <c r="G68" s="605"/>
      <c r="H68" s="336">
        <v>95000</v>
      </c>
      <c r="I68" s="901"/>
      <c r="J68" s="322"/>
      <c r="K68" s="605"/>
      <c r="L68" s="324"/>
      <c r="M68" s="901"/>
      <c r="N68" s="322"/>
      <c r="O68" s="605"/>
      <c r="P68" s="324"/>
      <c r="Q68" s="901"/>
      <c r="R68" s="904">
        <v>730728</v>
      </c>
      <c r="S68" s="605"/>
      <c r="T68" s="116">
        <f t="shared" si="4"/>
        <v>2325942.7400000002</v>
      </c>
    </row>
    <row r="69" spans="1:20">
      <c r="A69" s="342" t="s">
        <v>810</v>
      </c>
      <c r="B69" s="322"/>
      <c r="C69" s="605"/>
      <c r="D69" s="324"/>
      <c r="E69" s="901"/>
      <c r="F69" s="322"/>
      <c r="G69" s="605"/>
      <c r="H69" s="324"/>
      <c r="I69" s="901"/>
      <c r="J69" s="322"/>
      <c r="K69" s="605"/>
      <c r="L69" s="324"/>
      <c r="M69" s="901"/>
      <c r="N69" s="337">
        <v>-212100</v>
      </c>
      <c r="O69" s="605"/>
      <c r="P69" s="324"/>
      <c r="Q69" s="901"/>
      <c r="R69" s="322"/>
      <c r="S69" s="605"/>
      <c r="T69" s="116">
        <f t="shared" si="4"/>
        <v>-212100</v>
      </c>
    </row>
    <row r="70" spans="1:20">
      <c r="A70" s="342" t="s">
        <v>782</v>
      </c>
      <c r="B70" s="322"/>
      <c r="C70" s="605"/>
      <c r="D70" s="324"/>
      <c r="E70" s="901"/>
      <c r="F70" s="322"/>
      <c r="G70" s="605"/>
      <c r="H70" s="336">
        <v>234904</v>
      </c>
      <c r="I70" s="901"/>
      <c r="J70" s="322"/>
      <c r="K70" s="605"/>
      <c r="L70" s="324"/>
      <c r="M70" s="901"/>
      <c r="N70" s="322"/>
      <c r="O70" s="605"/>
      <c r="P70" s="324"/>
      <c r="Q70" s="901"/>
      <c r="R70" s="904">
        <v>485535</v>
      </c>
      <c r="S70" s="605"/>
      <c r="T70" s="116">
        <f t="shared" si="4"/>
        <v>720439</v>
      </c>
    </row>
    <row r="71" spans="1:20">
      <c r="A71" s="342" t="s">
        <v>811</v>
      </c>
      <c r="B71" s="322"/>
      <c r="C71" s="605"/>
      <c r="D71" s="336">
        <v>2.2480000000000002</v>
      </c>
      <c r="E71" s="901"/>
      <c r="F71" s="322"/>
      <c r="G71" s="605"/>
      <c r="H71" s="324"/>
      <c r="I71" s="901"/>
      <c r="J71" s="337">
        <v>-2.6160000000000001</v>
      </c>
      <c r="K71" s="605"/>
      <c r="L71" s="336">
        <v>3.6480000000000001</v>
      </c>
      <c r="M71" s="901"/>
      <c r="N71" s="337">
        <v>205724.45800000001</v>
      </c>
      <c r="O71" s="605"/>
      <c r="P71" s="324"/>
      <c r="Q71" s="901"/>
      <c r="R71" s="322"/>
      <c r="S71" s="605"/>
      <c r="T71" s="116">
        <f t="shared" si="4"/>
        <v>205727.73799999998</v>
      </c>
    </row>
    <row r="72" spans="1:20">
      <c r="A72" s="342" t="s">
        <v>812</v>
      </c>
      <c r="B72" s="322"/>
      <c r="C72" s="605"/>
      <c r="D72" s="324"/>
      <c r="E72" s="901"/>
      <c r="F72" s="322"/>
      <c r="G72" s="605"/>
      <c r="H72" s="324"/>
      <c r="I72" s="901"/>
      <c r="J72" s="322"/>
      <c r="K72" s="605"/>
      <c r="L72" s="324"/>
      <c r="M72" s="901"/>
      <c r="N72" s="337">
        <v>130343.55</v>
      </c>
      <c r="O72" s="605"/>
      <c r="P72" s="324"/>
      <c r="Q72" s="901"/>
      <c r="R72" s="322"/>
      <c r="S72" s="605"/>
      <c r="T72" s="116">
        <f t="shared" si="4"/>
        <v>130343.55</v>
      </c>
    </row>
    <row r="73" spans="1:20">
      <c r="A73" s="342" t="s">
        <v>813</v>
      </c>
      <c r="B73" s="322"/>
      <c r="C73" s="605"/>
      <c r="D73" s="324"/>
      <c r="E73" s="901"/>
      <c r="F73" s="322"/>
      <c r="G73" s="605"/>
      <c r="H73" s="336">
        <v>19045</v>
      </c>
      <c r="I73" s="901"/>
      <c r="J73" s="322"/>
      <c r="K73" s="605"/>
      <c r="L73" s="324"/>
      <c r="M73" s="901"/>
      <c r="N73" s="322"/>
      <c r="O73" s="605"/>
      <c r="P73" s="324"/>
      <c r="Q73" s="901"/>
      <c r="R73" s="904">
        <v>24450</v>
      </c>
      <c r="S73" s="605"/>
      <c r="T73" s="116">
        <f t="shared" si="4"/>
        <v>43495</v>
      </c>
    </row>
    <row r="74" spans="1:20">
      <c r="A74" s="342" t="s">
        <v>814</v>
      </c>
      <c r="B74" s="322"/>
      <c r="C74" s="605"/>
      <c r="D74" s="324"/>
      <c r="E74" s="901"/>
      <c r="F74" s="322"/>
      <c r="G74" s="605"/>
      <c r="H74" s="336">
        <v>19337.150000000001</v>
      </c>
      <c r="I74" s="901"/>
      <c r="J74" s="322"/>
      <c r="K74" s="605"/>
      <c r="L74" s="324"/>
      <c r="M74" s="901"/>
      <c r="N74" s="322"/>
      <c r="O74" s="605"/>
      <c r="P74" s="324"/>
      <c r="Q74" s="901"/>
      <c r="R74" s="904">
        <v>82625.75</v>
      </c>
      <c r="S74" s="605"/>
      <c r="T74" s="116">
        <f t="shared" si="4"/>
        <v>101962.9</v>
      </c>
    </row>
    <row r="75" spans="1:20">
      <c r="A75" s="342" t="s">
        <v>384</v>
      </c>
      <c r="B75" s="322"/>
      <c r="C75" s="605"/>
      <c r="D75" s="324"/>
      <c r="E75" s="901"/>
      <c r="F75" s="322"/>
      <c r="G75" s="605"/>
      <c r="H75" s="336">
        <v>473583</v>
      </c>
      <c r="I75" s="901"/>
      <c r="J75" s="322"/>
      <c r="K75" s="605"/>
      <c r="L75" s="336">
        <v>7200</v>
      </c>
      <c r="M75" s="901"/>
      <c r="N75" s="322"/>
      <c r="O75" s="605"/>
      <c r="P75" s="324"/>
      <c r="Q75" s="901"/>
      <c r="R75" s="904">
        <v>-319939.21999999997</v>
      </c>
      <c r="S75" s="605"/>
      <c r="T75" s="116">
        <f t="shared" si="4"/>
        <v>160843.78000000003</v>
      </c>
    </row>
    <row r="76" spans="1:20">
      <c r="A76" s="342" t="s">
        <v>815</v>
      </c>
      <c r="B76" s="322"/>
      <c r="C76" s="605"/>
      <c r="D76" s="324"/>
      <c r="E76" s="901"/>
      <c r="F76" s="322"/>
      <c r="G76" s="605"/>
      <c r="H76" s="336">
        <v>204825</v>
      </c>
      <c r="I76" s="901"/>
      <c r="J76" s="322"/>
      <c r="K76" s="605"/>
      <c r="L76" s="324"/>
      <c r="M76" s="901"/>
      <c r="N76" s="337">
        <v>134154.74</v>
      </c>
      <c r="O76" s="605"/>
      <c r="P76" s="324"/>
      <c r="Q76" s="901"/>
      <c r="R76" s="904">
        <v>1331971.7</v>
      </c>
      <c r="S76" s="605"/>
      <c r="T76" s="116">
        <f t="shared" si="4"/>
        <v>1670951.44</v>
      </c>
    </row>
    <row r="77" spans="1:20" s="922" customFormat="1">
      <c r="A77" s="928" t="s">
        <v>816</v>
      </c>
      <c r="B77" s="916"/>
      <c r="C77" s="917"/>
      <c r="D77" s="918"/>
      <c r="E77" s="919"/>
      <c r="F77" s="916"/>
      <c r="G77" s="917"/>
      <c r="H77" s="924">
        <v>1425731</v>
      </c>
      <c r="I77" s="919"/>
      <c r="J77" s="916"/>
      <c r="K77" s="917"/>
      <c r="L77" s="918"/>
      <c r="M77" s="919"/>
      <c r="N77" s="920">
        <v>2465824.38</v>
      </c>
      <c r="O77" s="917"/>
      <c r="P77" s="918"/>
      <c r="Q77" s="919"/>
      <c r="R77" s="923">
        <v>3374032</v>
      </c>
      <c r="S77" s="917"/>
      <c r="T77" s="921">
        <f t="shared" si="4"/>
        <v>7265587.3799999999</v>
      </c>
    </row>
    <row r="78" spans="1:20" s="922" customFormat="1">
      <c r="A78" s="928" t="s">
        <v>385</v>
      </c>
      <c r="B78" s="916"/>
      <c r="C78" s="917"/>
      <c r="D78" s="918"/>
      <c r="E78" s="919"/>
      <c r="F78" s="920">
        <v>2669676</v>
      </c>
      <c r="G78" s="917"/>
      <c r="H78" s="918"/>
      <c r="I78" s="919"/>
      <c r="J78" s="916"/>
      <c r="K78" s="917"/>
      <c r="L78" s="918"/>
      <c r="M78" s="919"/>
      <c r="N78" s="916"/>
      <c r="O78" s="917"/>
      <c r="P78" s="918"/>
      <c r="Q78" s="919"/>
      <c r="R78" s="916"/>
      <c r="S78" s="917"/>
      <c r="T78" s="921">
        <f t="shared" si="4"/>
        <v>2669676</v>
      </c>
    </row>
    <row r="79" spans="1:20" s="922" customFormat="1">
      <c r="A79" s="928" t="s">
        <v>817</v>
      </c>
      <c r="B79" s="916"/>
      <c r="C79" s="917"/>
      <c r="D79" s="918"/>
      <c r="E79" s="919"/>
      <c r="F79" s="916"/>
      <c r="G79" s="917"/>
      <c r="H79" s="924">
        <v>181650</v>
      </c>
      <c r="I79" s="919"/>
      <c r="J79" s="916"/>
      <c r="K79" s="917"/>
      <c r="L79" s="918"/>
      <c r="M79" s="919"/>
      <c r="N79" s="916"/>
      <c r="O79" s="917"/>
      <c r="P79" s="918"/>
      <c r="Q79" s="919"/>
      <c r="R79" s="923">
        <v>52212</v>
      </c>
      <c r="S79" s="917"/>
      <c r="T79" s="921">
        <f t="shared" si="4"/>
        <v>233862</v>
      </c>
    </row>
    <row r="80" spans="1:20">
      <c r="A80" s="342" t="s">
        <v>818</v>
      </c>
      <c r="B80" s="322"/>
      <c r="C80" s="605"/>
      <c r="D80" s="324"/>
      <c r="E80" s="901"/>
      <c r="F80" s="322"/>
      <c r="G80" s="605"/>
      <c r="H80" s="336">
        <v>1097353</v>
      </c>
      <c r="I80" s="901"/>
      <c r="J80" s="322"/>
      <c r="K80" s="605"/>
      <c r="L80" s="324"/>
      <c r="M80" s="901"/>
      <c r="N80" s="322"/>
      <c r="O80" s="605"/>
      <c r="P80" s="324"/>
      <c r="Q80" s="901"/>
      <c r="R80" s="904">
        <v>2176907</v>
      </c>
      <c r="S80" s="605"/>
      <c r="T80" s="116">
        <f t="shared" si="4"/>
        <v>3274260</v>
      </c>
    </row>
    <row r="81" spans="1:20">
      <c r="A81" s="342" t="s">
        <v>819</v>
      </c>
      <c r="B81" s="322"/>
      <c r="C81" s="605"/>
      <c r="D81" s="324"/>
      <c r="E81" s="901"/>
      <c r="F81" s="322"/>
      <c r="G81" s="605"/>
      <c r="H81" s="336">
        <v>8020</v>
      </c>
      <c r="I81" s="901"/>
      <c r="J81" s="322"/>
      <c r="K81" s="605"/>
      <c r="L81" s="324"/>
      <c r="M81" s="901"/>
      <c r="N81" s="322"/>
      <c r="O81" s="605"/>
      <c r="P81" s="324"/>
      <c r="Q81" s="901"/>
      <c r="R81" s="904">
        <v>62568</v>
      </c>
      <c r="S81" s="605"/>
      <c r="T81" s="116">
        <f t="shared" si="4"/>
        <v>70588</v>
      </c>
    </row>
    <row r="82" spans="1:20">
      <c r="A82" s="480" t="s">
        <v>1061</v>
      </c>
      <c r="B82" s="322"/>
      <c r="C82" s="605"/>
      <c r="D82" s="324"/>
      <c r="E82" s="901"/>
      <c r="F82" s="322"/>
      <c r="G82" s="605"/>
      <c r="H82" s="324"/>
      <c r="I82" s="901"/>
      <c r="J82" s="322"/>
      <c r="K82" s="605"/>
      <c r="L82" s="324"/>
      <c r="M82" s="901"/>
      <c r="N82" s="322"/>
      <c r="O82" s="605"/>
      <c r="P82" s="324"/>
      <c r="Q82" s="901"/>
      <c r="R82" s="322"/>
      <c r="S82" s="605"/>
      <c r="T82" s="116">
        <f t="shared" si="4"/>
        <v>0</v>
      </c>
    </row>
    <row r="83" spans="1:20">
      <c r="A83" s="480" t="s">
        <v>822</v>
      </c>
      <c r="B83" s="322"/>
      <c r="C83" s="605"/>
      <c r="D83" s="324"/>
      <c r="E83" s="901"/>
      <c r="F83" s="322"/>
      <c r="G83" s="605"/>
      <c r="H83" s="336">
        <v>67000</v>
      </c>
      <c r="I83" s="901"/>
      <c r="J83" s="322"/>
      <c r="K83" s="605"/>
      <c r="L83" s="324"/>
      <c r="M83" s="901"/>
      <c r="N83" s="322"/>
      <c r="O83" s="605"/>
      <c r="P83" s="324"/>
      <c r="Q83" s="901"/>
      <c r="R83" s="322"/>
      <c r="S83" s="605"/>
      <c r="T83" s="116">
        <f t="shared" si="4"/>
        <v>67000</v>
      </c>
    </row>
    <row r="84" spans="1:20">
      <c r="A84" s="480" t="s">
        <v>601</v>
      </c>
      <c r="B84" s="322"/>
      <c r="C84" s="605"/>
      <c r="D84" s="324"/>
      <c r="E84" s="901"/>
      <c r="F84" s="337">
        <v>249426.06</v>
      </c>
      <c r="G84" s="605"/>
      <c r="H84" s="324"/>
      <c r="I84" s="901"/>
      <c r="J84" s="322"/>
      <c r="K84" s="605"/>
      <c r="L84" s="324"/>
      <c r="M84" s="901"/>
      <c r="N84" s="322"/>
      <c r="O84" s="605"/>
      <c r="P84" s="324"/>
      <c r="Q84" s="901"/>
      <c r="R84" s="322"/>
      <c r="S84" s="605"/>
      <c r="T84" s="116">
        <f t="shared" si="4"/>
        <v>249426.06</v>
      </c>
    </row>
    <row r="85" spans="1:20">
      <c r="A85" s="480" t="s">
        <v>386</v>
      </c>
      <c r="B85" s="322"/>
      <c r="C85" s="605"/>
      <c r="D85" s="324"/>
      <c r="E85" s="901"/>
      <c r="F85" s="337">
        <v>54286</v>
      </c>
      <c r="G85" s="605"/>
      <c r="H85" s="324"/>
      <c r="I85" s="901"/>
      <c r="J85" s="322"/>
      <c r="K85" s="605"/>
      <c r="L85" s="324"/>
      <c r="M85" s="901"/>
      <c r="N85" s="322"/>
      <c r="O85" s="605"/>
      <c r="P85" s="324"/>
      <c r="Q85" s="901"/>
      <c r="R85" s="322"/>
      <c r="S85" s="605"/>
      <c r="T85" s="116">
        <f t="shared" si="4"/>
        <v>54286</v>
      </c>
    </row>
    <row r="86" spans="1:20">
      <c r="A86" s="480" t="s">
        <v>823</v>
      </c>
      <c r="B86" s="322"/>
      <c r="C86" s="605"/>
      <c r="D86" s="324"/>
      <c r="E86" s="901"/>
      <c r="F86" s="322"/>
      <c r="G86" s="605"/>
      <c r="H86" s="324"/>
      <c r="I86" s="901"/>
      <c r="J86" s="322"/>
      <c r="K86" s="605"/>
      <c r="L86" s="324"/>
      <c r="M86" s="901"/>
      <c r="N86" s="322"/>
      <c r="O86" s="605"/>
      <c r="P86" s="324"/>
      <c r="Q86" s="901"/>
      <c r="R86" s="904">
        <v>1562.5</v>
      </c>
      <c r="S86" s="605"/>
      <c r="T86" s="116">
        <f t="shared" si="4"/>
        <v>1562.5</v>
      </c>
    </row>
    <row r="87" spans="1:20">
      <c r="A87" s="480" t="s">
        <v>824</v>
      </c>
      <c r="B87" s="322"/>
      <c r="C87" s="605"/>
      <c r="D87" s="324"/>
      <c r="E87" s="901"/>
      <c r="F87" s="322"/>
      <c r="G87" s="605"/>
      <c r="H87" s="324"/>
      <c r="I87" s="901"/>
      <c r="J87" s="322"/>
      <c r="K87" s="605"/>
      <c r="L87" s="324"/>
      <c r="M87" s="901"/>
      <c r="N87" s="337">
        <v>172286</v>
      </c>
      <c r="O87" s="605"/>
      <c r="P87" s="324"/>
      <c r="Q87" s="901"/>
      <c r="R87" s="322"/>
      <c r="S87" s="605"/>
      <c r="T87" s="116">
        <f t="shared" si="4"/>
        <v>172286</v>
      </c>
    </row>
    <row r="88" spans="1:20">
      <c r="A88" s="480" t="s">
        <v>806</v>
      </c>
      <c r="B88" s="322"/>
      <c r="C88" s="605"/>
      <c r="D88" s="324"/>
      <c r="E88" s="901"/>
      <c r="F88" s="337">
        <v>16121.98</v>
      </c>
      <c r="G88" s="605"/>
      <c r="H88" s="324"/>
      <c r="I88" s="901"/>
      <c r="J88" s="322"/>
      <c r="K88" s="605"/>
      <c r="L88" s="324"/>
      <c r="M88" s="901"/>
      <c r="N88" s="337">
        <v>23205.56</v>
      </c>
      <c r="O88" s="605"/>
      <c r="P88" s="324"/>
      <c r="Q88" s="901"/>
      <c r="R88" s="322"/>
      <c r="S88" s="605"/>
      <c r="T88" s="116">
        <f t="shared" si="4"/>
        <v>39327.54</v>
      </c>
    </row>
    <row r="89" spans="1:20">
      <c r="A89" s="480" t="s">
        <v>1109</v>
      </c>
      <c r="B89" s="322"/>
      <c r="C89" s="605"/>
      <c r="D89" s="324"/>
      <c r="E89" s="901"/>
      <c r="F89" s="322"/>
      <c r="G89" s="605"/>
      <c r="H89" s="324"/>
      <c r="I89" s="901"/>
      <c r="J89" s="322"/>
      <c r="K89" s="605"/>
      <c r="L89" s="324"/>
      <c r="M89" s="901"/>
      <c r="N89" s="337">
        <v>89700</v>
      </c>
      <c r="O89" s="605"/>
      <c r="P89" s="324"/>
      <c r="Q89" s="901"/>
      <c r="R89" s="322"/>
      <c r="S89" s="605"/>
      <c r="T89" s="116">
        <f t="shared" si="4"/>
        <v>89700</v>
      </c>
    </row>
    <row r="90" spans="1:20">
      <c r="A90" s="480" t="s">
        <v>1400</v>
      </c>
      <c r="B90" s="322"/>
      <c r="C90" s="605"/>
      <c r="D90" s="324"/>
      <c r="E90" s="901"/>
      <c r="F90" s="322"/>
      <c r="G90" s="605"/>
      <c r="H90" s="324"/>
      <c r="I90" s="901"/>
      <c r="J90" s="322"/>
      <c r="K90" s="605"/>
      <c r="L90" s="324"/>
      <c r="M90" s="901"/>
      <c r="N90" s="337">
        <v>432500.24</v>
      </c>
      <c r="O90" s="605"/>
      <c r="P90" s="324"/>
      <c r="Q90" s="901"/>
      <c r="R90" s="322"/>
      <c r="S90" s="605"/>
      <c r="T90" s="116">
        <f t="shared" si="4"/>
        <v>432500.24</v>
      </c>
    </row>
    <row r="91" spans="1:20">
      <c r="A91" s="480" t="s">
        <v>1401</v>
      </c>
      <c r="B91" s="322"/>
      <c r="C91" s="605"/>
      <c r="D91" s="324"/>
      <c r="E91" s="901"/>
      <c r="F91" s="337">
        <v>1208.27</v>
      </c>
      <c r="G91" s="605"/>
      <c r="H91" s="324"/>
      <c r="I91" s="901"/>
      <c r="J91" s="322"/>
      <c r="K91" s="605"/>
      <c r="L91" s="324"/>
      <c r="M91" s="901"/>
      <c r="N91" s="322"/>
      <c r="O91" s="605"/>
      <c r="P91" s="324"/>
      <c r="Q91" s="901"/>
      <c r="R91" s="322"/>
      <c r="S91" s="605"/>
      <c r="T91" s="116">
        <f t="shared" si="4"/>
        <v>1208.27</v>
      </c>
    </row>
    <row r="92" spans="1:20">
      <c r="A92" s="480" t="s">
        <v>1402</v>
      </c>
      <c r="B92" s="322"/>
      <c r="C92" s="605"/>
      <c r="D92" s="324"/>
      <c r="E92" s="901"/>
      <c r="F92" s="337">
        <v>12183</v>
      </c>
      <c r="G92" s="605"/>
      <c r="H92" s="324"/>
      <c r="I92" s="901"/>
      <c r="J92" s="322"/>
      <c r="K92" s="605"/>
      <c r="L92" s="324"/>
      <c r="M92" s="901"/>
      <c r="N92" s="322"/>
      <c r="O92" s="605"/>
      <c r="P92" s="324"/>
      <c r="Q92" s="901"/>
      <c r="R92" s="322"/>
      <c r="S92" s="605"/>
      <c r="T92" s="116">
        <f t="shared" si="4"/>
        <v>12183</v>
      </c>
    </row>
    <row r="93" spans="1:20" s="922" customFormat="1">
      <c r="A93" s="915" t="s">
        <v>388</v>
      </c>
      <c r="B93" s="916"/>
      <c r="C93" s="917"/>
      <c r="D93" s="918"/>
      <c r="E93" s="919"/>
      <c r="F93" s="920">
        <v>92189</v>
      </c>
      <c r="G93" s="917"/>
      <c r="H93" s="918"/>
      <c r="I93" s="919"/>
      <c r="J93" s="916"/>
      <c r="K93" s="917"/>
      <c r="L93" s="918"/>
      <c r="M93" s="919"/>
      <c r="N93" s="916"/>
      <c r="O93" s="917"/>
      <c r="P93" s="918"/>
      <c r="Q93" s="919"/>
      <c r="R93" s="916"/>
      <c r="S93" s="917"/>
      <c r="T93" s="921">
        <f t="shared" si="4"/>
        <v>92189</v>
      </c>
    </row>
    <row r="94" spans="1:20" s="922" customFormat="1">
      <c r="A94" s="915" t="s">
        <v>825</v>
      </c>
      <c r="B94" s="916"/>
      <c r="C94" s="917"/>
      <c r="D94" s="918"/>
      <c r="E94" s="919"/>
      <c r="F94" s="916"/>
      <c r="G94" s="917"/>
      <c r="H94" s="918"/>
      <c r="I94" s="919"/>
      <c r="J94" s="916"/>
      <c r="K94" s="917"/>
      <c r="L94" s="918"/>
      <c r="M94" s="919"/>
      <c r="N94" s="916"/>
      <c r="O94" s="917"/>
      <c r="P94" s="918"/>
      <c r="Q94" s="919"/>
      <c r="R94" s="923">
        <v>2333688</v>
      </c>
      <c r="S94" s="917"/>
      <c r="T94" s="921">
        <f t="shared" si="4"/>
        <v>2333688</v>
      </c>
    </row>
    <row r="95" spans="1:20" s="922" customFormat="1">
      <c r="A95" s="915" t="s">
        <v>389</v>
      </c>
      <c r="B95" s="916"/>
      <c r="C95" s="917"/>
      <c r="D95" s="918"/>
      <c r="E95" s="919"/>
      <c r="F95" s="920">
        <v>627135</v>
      </c>
      <c r="G95" s="917"/>
      <c r="H95" s="918"/>
      <c r="I95" s="919"/>
      <c r="J95" s="916"/>
      <c r="K95" s="917"/>
      <c r="L95" s="918"/>
      <c r="M95" s="919"/>
      <c r="N95" s="916"/>
      <c r="O95" s="917"/>
      <c r="P95" s="918"/>
      <c r="Q95" s="919"/>
      <c r="R95" s="916"/>
      <c r="S95" s="917"/>
      <c r="T95" s="921">
        <f t="shared" si="4"/>
        <v>627135</v>
      </c>
    </row>
    <row r="96" spans="1:20" s="922" customFormat="1">
      <c r="A96" s="915" t="s">
        <v>826</v>
      </c>
      <c r="B96" s="916"/>
      <c r="C96" s="917"/>
      <c r="D96" s="918"/>
      <c r="E96" s="919"/>
      <c r="F96" s="916"/>
      <c r="G96" s="917"/>
      <c r="H96" s="918"/>
      <c r="I96" s="919"/>
      <c r="J96" s="916"/>
      <c r="K96" s="917"/>
      <c r="L96" s="918"/>
      <c r="M96" s="919"/>
      <c r="N96" s="916"/>
      <c r="O96" s="917"/>
      <c r="P96" s="918"/>
      <c r="Q96" s="919"/>
      <c r="R96" s="923">
        <v>3597361.76</v>
      </c>
      <c r="S96" s="917"/>
      <c r="T96" s="921">
        <f t="shared" si="4"/>
        <v>3597361.76</v>
      </c>
    </row>
    <row r="97" spans="1:20">
      <c r="A97" s="480" t="s">
        <v>828</v>
      </c>
      <c r="B97" s="322"/>
      <c r="C97" s="605"/>
      <c r="D97" s="336">
        <v>100</v>
      </c>
      <c r="E97" s="901"/>
      <c r="F97" s="322"/>
      <c r="G97" s="605"/>
      <c r="H97" s="324"/>
      <c r="I97" s="901"/>
      <c r="J97" s="322"/>
      <c r="K97" s="605"/>
      <c r="L97" s="324"/>
      <c r="M97" s="901"/>
      <c r="N97" s="322"/>
      <c r="O97" s="605"/>
      <c r="P97" s="324"/>
      <c r="Q97" s="901"/>
      <c r="R97" s="322"/>
      <c r="S97" s="605"/>
      <c r="T97" s="116">
        <f t="shared" si="4"/>
        <v>100</v>
      </c>
    </row>
    <row r="98" spans="1:20">
      <c r="A98" s="480" t="s">
        <v>1111</v>
      </c>
      <c r="B98" s="322"/>
      <c r="C98" s="605"/>
      <c r="D98" s="324"/>
      <c r="E98" s="901"/>
      <c r="F98" s="337">
        <v>6450</v>
      </c>
      <c r="G98" s="605"/>
      <c r="H98" s="324"/>
      <c r="I98" s="901"/>
      <c r="J98" s="322"/>
      <c r="K98" s="605"/>
      <c r="L98" s="324"/>
      <c r="M98" s="901"/>
      <c r="N98" s="322"/>
      <c r="O98" s="605"/>
      <c r="P98" s="324"/>
      <c r="Q98" s="901"/>
      <c r="R98" s="322"/>
      <c r="S98" s="605"/>
      <c r="T98" s="116">
        <f t="shared" si="4"/>
        <v>6450</v>
      </c>
    </row>
    <row r="99" spans="1:20">
      <c r="A99" s="480" t="s">
        <v>1403</v>
      </c>
      <c r="B99" s="322"/>
      <c r="C99" s="605"/>
      <c r="D99" s="324"/>
      <c r="E99" s="901"/>
      <c r="F99" s="322"/>
      <c r="G99" s="605"/>
      <c r="H99" s="324"/>
      <c r="I99" s="901"/>
      <c r="J99" s="322"/>
      <c r="K99" s="605"/>
      <c r="L99" s="324"/>
      <c r="M99" s="901"/>
      <c r="N99" s="322"/>
      <c r="O99" s="605"/>
      <c r="P99" s="324"/>
      <c r="Q99" s="901"/>
      <c r="R99" s="904">
        <v>3482.5</v>
      </c>
      <c r="S99" s="605"/>
      <c r="T99" s="116">
        <f t="shared" si="4"/>
        <v>3482.5</v>
      </c>
    </row>
    <row r="100" spans="1:20">
      <c r="A100" s="480" t="s">
        <v>831</v>
      </c>
      <c r="B100" s="322"/>
      <c r="C100" s="605"/>
      <c r="D100" s="324"/>
      <c r="E100" s="901"/>
      <c r="F100" s="322"/>
      <c r="G100" s="605"/>
      <c r="H100" s="336">
        <v>24684.2</v>
      </c>
      <c r="I100" s="901"/>
      <c r="J100" s="322"/>
      <c r="K100" s="605"/>
      <c r="L100" s="324"/>
      <c r="M100" s="901"/>
      <c r="N100" s="322"/>
      <c r="O100" s="605"/>
      <c r="P100" s="324"/>
      <c r="Q100" s="901"/>
      <c r="R100" s="904">
        <v>164385.39000000001</v>
      </c>
      <c r="S100" s="605"/>
      <c r="T100" s="116">
        <f t="shared" si="4"/>
        <v>189069.59000000003</v>
      </c>
    </row>
    <row r="101" spans="1:20">
      <c r="A101" s="480" t="s">
        <v>390</v>
      </c>
      <c r="B101" s="322"/>
      <c r="C101" s="605"/>
      <c r="D101" s="324"/>
      <c r="E101" s="901"/>
      <c r="F101" s="337">
        <v>44770</v>
      </c>
      <c r="G101" s="605"/>
      <c r="H101" s="324"/>
      <c r="I101" s="901"/>
      <c r="J101" s="322"/>
      <c r="K101" s="605"/>
      <c r="L101" s="324"/>
      <c r="M101" s="901"/>
      <c r="N101" s="322"/>
      <c r="O101" s="605"/>
      <c r="P101" s="324"/>
      <c r="Q101" s="901"/>
      <c r="R101" s="322"/>
      <c r="S101" s="605"/>
      <c r="T101" s="116">
        <f t="shared" si="4"/>
        <v>44770</v>
      </c>
    </row>
    <row r="102" spans="1:20">
      <c r="A102" s="480" t="s">
        <v>832</v>
      </c>
      <c r="B102" s="322"/>
      <c r="C102" s="605"/>
      <c r="D102" s="336">
        <v>1260</v>
      </c>
      <c r="E102" s="901"/>
      <c r="F102" s="322"/>
      <c r="G102" s="605"/>
      <c r="H102" s="324"/>
      <c r="I102" s="901"/>
      <c r="J102" s="322"/>
      <c r="K102" s="605"/>
      <c r="L102" s="336">
        <v>650</v>
      </c>
      <c r="M102" s="901"/>
      <c r="N102" s="322"/>
      <c r="O102" s="605"/>
      <c r="P102" s="324"/>
      <c r="Q102" s="901"/>
      <c r="R102" s="322"/>
      <c r="S102" s="605"/>
      <c r="T102" s="116">
        <f t="shared" si="4"/>
        <v>1910</v>
      </c>
    </row>
    <row r="103" spans="1:20">
      <c r="A103" s="480" t="s">
        <v>1404</v>
      </c>
      <c r="B103" s="322"/>
      <c r="C103" s="605"/>
      <c r="D103" s="324"/>
      <c r="E103" s="901"/>
      <c r="F103" s="322"/>
      <c r="G103" s="605"/>
      <c r="H103" s="324"/>
      <c r="I103" s="901"/>
      <c r="J103" s="322"/>
      <c r="K103" s="605"/>
      <c r="L103" s="324"/>
      <c r="M103" s="901"/>
      <c r="N103" s="322"/>
      <c r="O103" s="605"/>
      <c r="P103" s="324"/>
      <c r="Q103" s="901"/>
      <c r="R103" s="904">
        <v>148987.67000000001</v>
      </c>
      <c r="S103" s="605"/>
      <c r="T103" s="116">
        <f t="shared" si="4"/>
        <v>148987.67000000001</v>
      </c>
    </row>
    <row r="104" spans="1:20">
      <c r="A104" s="480" t="s">
        <v>604</v>
      </c>
      <c r="B104" s="322"/>
      <c r="C104" s="605"/>
      <c r="D104" s="324"/>
      <c r="E104" s="901"/>
      <c r="F104" s="337">
        <v>12000</v>
      </c>
      <c r="G104" s="605"/>
      <c r="H104" s="324"/>
      <c r="I104" s="901"/>
      <c r="J104" s="322"/>
      <c r="K104" s="605"/>
      <c r="L104" s="324"/>
      <c r="M104" s="901"/>
      <c r="N104" s="322"/>
      <c r="O104" s="605"/>
      <c r="P104" s="324"/>
      <c r="Q104" s="901"/>
      <c r="R104" s="322"/>
      <c r="S104" s="605"/>
      <c r="T104" s="116">
        <f t="shared" si="4"/>
        <v>12000</v>
      </c>
    </row>
    <row r="105" spans="1:20">
      <c r="A105" s="480" t="s">
        <v>391</v>
      </c>
      <c r="B105" s="322"/>
      <c r="C105" s="605"/>
      <c r="D105" s="324"/>
      <c r="E105" s="901"/>
      <c r="F105" s="322"/>
      <c r="G105" s="605"/>
      <c r="H105" s="324"/>
      <c r="I105" s="901"/>
      <c r="J105" s="337">
        <v>108996.1</v>
      </c>
      <c r="K105" s="605"/>
      <c r="L105" s="324"/>
      <c r="M105" s="901"/>
      <c r="N105" s="322"/>
      <c r="O105" s="605"/>
      <c r="P105" s="324"/>
      <c r="Q105" s="901"/>
      <c r="R105" s="322"/>
      <c r="S105" s="605"/>
      <c r="T105" s="116">
        <f t="shared" si="4"/>
        <v>108996.1</v>
      </c>
    </row>
    <row r="106" spans="1:20">
      <c r="A106" s="480" t="s">
        <v>835</v>
      </c>
      <c r="B106" s="322"/>
      <c r="C106" s="605"/>
      <c r="D106" s="324"/>
      <c r="E106" s="901"/>
      <c r="F106" s="322"/>
      <c r="G106" s="605"/>
      <c r="H106" s="324"/>
      <c r="I106" s="901"/>
      <c r="J106" s="322"/>
      <c r="K106" s="605"/>
      <c r="L106" s="324"/>
      <c r="M106" s="901"/>
      <c r="N106" s="322"/>
      <c r="O106" s="605"/>
      <c r="P106" s="324"/>
      <c r="Q106" s="901"/>
      <c r="R106" s="904">
        <v>605945.98</v>
      </c>
      <c r="S106" s="605"/>
      <c r="T106" s="116">
        <f t="shared" si="4"/>
        <v>605945.98</v>
      </c>
    </row>
    <row r="107" spans="1:20" s="922" customFormat="1">
      <c r="A107" s="915" t="s">
        <v>840</v>
      </c>
      <c r="B107" s="916"/>
      <c r="C107" s="917"/>
      <c r="D107" s="918"/>
      <c r="E107" s="919"/>
      <c r="F107" s="916"/>
      <c r="G107" s="917"/>
      <c r="H107" s="918"/>
      <c r="I107" s="919"/>
      <c r="J107" s="916"/>
      <c r="K107" s="917"/>
      <c r="L107" s="918"/>
      <c r="M107" s="919"/>
      <c r="N107" s="920">
        <v>64920</v>
      </c>
      <c r="O107" s="917"/>
      <c r="P107" s="918"/>
      <c r="Q107" s="919"/>
      <c r="R107" s="916"/>
      <c r="S107" s="917"/>
      <c r="T107" s="921">
        <f t="shared" si="4"/>
        <v>64920</v>
      </c>
    </row>
    <row r="108" spans="1:20" s="922" customFormat="1">
      <c r="A108" s="915" t="s">
        <v>841</v>
      </c>
      <c r="B108" s="916"/>
      <c r="C108" s="917"/>
      <c r="D108" s="918"/>
      <c r="E108" s="919"/>
      <c r="F108" s="916"/>
      <c r="G108" s="917"/>
      <c r="H108" s="918"/>
      <c r="I108" s="919"/>
      <c r="J108" s="916"/>
      <c r="K108" s="917"/>
      <c r="L108" s="918"/>
      <c r="M108" s="919"/>
      <c r="N108" s="916"/>
      <c r="O108" s="917"/>
      <c r="P108" s="918"/>
      <c r="Q108" s="919"/>
      <c r="R108" s="923">
        <v>827.7</v>
      </c>
      <c r="S108" s="917"/>
      <c r="T108" s="921">
        <f t="shared" si="4"/>
        <v>827.7</v>
      </c>
    </row>
    <row r="109" spans="1:20">
      <c r="A109" s="480" t="s">
        <v>842</v>
      </c>
      <c r="B109" s="322"/>
      <c r="C109" s="605"/>
      <c r="D109" s="324"/>
      <c r="E109" s="901"/>
      <c r="F109" s="322"/>
      <c r="G109" s="605"/>
      <c r="H109" s="324"/>
      <c r="I109" s="901"/>
      <c r="J109" s="322"/>
      <c r="K109" s="605"/>
      <c r="L109" s="336">
        <v>390.3</v>
      </c>
      <c r="M109" s="901"/>
      <c r="N109" s="322"/>
      <c r="O109" s="605"/>
      <c r="P109" s="324"/>
      <c r="Q109" s="901"/>
      <c r="R109" s="322"/>
      <c r="S109" s="605"/>
      <c r="T109" s="116">
        <f t="shared" si="4"/>
        <v>390.3</v>
      </c>
    </row>
    <row r="110" spans="1:20" s="922" customFormat="1">
      <c r="A110" s="915" t="s">
        <v>843</v>
      </c>
      <c r="B110" s="916"/>
      <c r="C110" s="917"/>
      <c r="D110" s="918"/>
      <c r="E110" s="919"/>
      <c r="F110" s="916"/>
      <c r="G110" s="917"/>
      <c r="H110" s="924">
        <v>0</v>
      </c>
      <c r="I110" s="919"/>
      <c r="J110" s="916"/>
      <c r="K110" s="917"/>
      <c r="L110" s="918"/>
      <c r="M110" s="919"/>
      <c r="N110" s="916"/>
      <c r="O110" s="917"/>
      <c r="P110" s="918"/>
      <c r="Q110" s="919"/>
      <c r="R110" s="923">
        <v>746745</v>
      </c>
      <c r="S110" s="917"/>
      <c r="T110" s="921">
        <f t="shared" si="4"/>
        <v>746745</v>
      </c>
    </row>
    <row r="111" spans="1:20">
      <c r="A111" s="480" t="s">
        <v>1065</v>
      </c>
      <c r="B111" s="322"/>
      <c r="C111" s="605"/>
      <c r="D111" s="324"/>
      <c r="E111" s="901"/>
      <c r="F111" s="322"/>
      <c r="G111" s="605"/>
      <c r="H111" s="324"/>
      <c r="I111" s="901"/>
      <c r="J111" s="337">
        <v>25221</v>
      </c>
      <c r="K111" s="605"/>
      <c r="L111" s="324"/>
      <c r="M111" s="901"/>
      <c r="N111" s="322"/>
      <c r="O111" s="605"/>
      <c r="P111" s="324"/>
      <c r="Q111" s="901"/>
      <c r="R111" s="322"/>
      <c r="S111" s="605"/>
      <c r="T111" s="116">
        <f t="shared" si="4"/>
        <v>25221</v>
      </c>
    </row>
    <row r="112" spans="1:20">
      <c r="A112" s="480" t="s">
        <v>1405</v>
      </c>
      <c r="B112" s="322"/>
      <c r="C112" s="605"/>
      <c r="D112" s="324"/>
      <c r="E112" s="901"/>
      <c r="F112" s="322"/>
      <c r="G112" s="605"/>
      <c r="H112" s="324"/>
      <c r="I112" s="901"/>
      <c r="J112" s="322"/>
      <c r="K112" s="605"/>
      <c r="L112" s="324"/>
      <c r="M112" s="901"/>
      <c r="N112" s="322"/>
      <c r="O112" s="605"/>
      <c r="P112" s="324"/>
      <c r="Q112" s="901"/>
      <c r="R112" s="322"/>
      <c r="S112" s="605"/>
      <c r="T112" s="116">
        <f t="shared" si="4"/>
        <v>0</v>
      </c>
    </row>
    <row r="113" spans="1:20">
      <c r="A113" s="480" t="s">
        <v>1406</v>
      </c>
      <c r="B113" s="322"/>
      <c r="C113" s="605"/>
      <c r="D113" s="324"/>
      <c r="E113" s="901"/>
      <c r="F113" s="322"/>
      <c r="G113" s="605"/>
      <c r="H113" s="324"/>
      <c r="I113" s="901"/>
      <c r="J113" s="322"/>
      <c r="K113" s="605"/>
      <c r="L113" s="324"/>
      <c r="M113" s="901"/>
      <c r="N113" s="322"/>
      <c r="O113" s="605"/>
      <c r="P113" s="324"/>
      <c r="Q113" s="901"/>
      <c r="R113" s="322"/>
      <c r="S113" s="605"/>
      <c r="T113" s="116">
        <f t="shared" si="4"/>
        <v>0</v>
      </c>
    </row>
    <row r="114" spans="1:20">
      <c r="A114" s="480" t="s">
        <v>485</v>
      </c>
      <c r="B114" s="322"/>
      <c r="C114" s="605"/>
      <c r="D114" s="324"/>
      <c r="E114" s="901"/>
      <c r="F114" s="337">
        <v>22163</v>
      </c>
      <c r="G114" s="605"/>
      <c r="H114" s="324"/>
      <c r="I114" s="901"/>
      <c r="J114" s="322"/>
      <c r="K114" s="605"/>
      <c r="L114" s="324"/>
      <c r="M114" s="901"/>
      <c r="N114" s="322"/>
      <c r="O114" s="605"/>
      <c r="P114" s="324"/>
      <c r="Q114" s="901"/>
      <c r="R114" s="322"/>
      <c r="S114" s="605"/>
      <c r="T114" s="116">
        <f t="shared" si="4"/>
        <v>22163</v>
      </c>
    </row>
    <row r="115" spans="1:20">
      <c r="A115" s="480" t="s">
        <v>844</v>
      </c>
      <c r="B115" s="322"/>
      <c r="C115" s="605"/>
      <c r="D115" s="324"/>
      <c r="E115" s="901"/>
      <c r="F115" s="322"/>
      <c r="G115" s="605"/>
      <c r="H115" s="324"/>
      <c r="I115" s="901"/>
      <c r="J115" s="322"/>
      <c r="K115" s="605"/>
      <c r="L115" s="324"/>
      <c r="M115" s="901"/>
      <c r="N115" s="337">
        <v>21285</v>
      </c>
      <c r="O115" s="605"/>
      <c r="P115" s="324"/>
      <c r="Q115" s="901"/>
      <c r="R115" s="322"/>
      <c r="S115" s="605"/>
      <c r="T115" s="116">
        <f t="shared" si="4"/>
        <v>21285</v>
      </c>
    </row>
    <row r="116" spans="1:20">
      <c r="A116" s="480" t="s">
        <v>1407</v>
      </c>
      <c r="B116" s="322"/>
      <c r="C116" s="605"/>
      <c r="D116" s="324"/>
      <c r="E116" s="901"/>
      <c r="F116" s="322"/>
      <c r="G116" s="605"/>
      <c r="H116" s="324"/>
      <c r="I116" s="901"/>
      <c r="J116" s="322"/>
      <c r="K116" s="605"/>
      <c r="L116" s="324"/>
      <c r="M116" s="901"/>
      <c r="N116" s="322"/>
      <c r="O116" s="605"/>
      <c r="P116" s="324"/>
      <c r="Q116" s="901"/>
      <c r="R116" s="322"/>
      <c r="S116" s="605"/>
      <c r="T116" s="116">
        <f t="shared" si="4"/>
        <v>0</v>
      </c>
    </row>
    <row r="117" spans="1:20">
      <c r="A117" s="480" t="s">
        <v>1408</v>
      </c>
      <c r="B117" s="322"/>
      <c r="C117" s="605"/>
      <c r="D117" s="336">
        <v>975</v>
      </c>
      <c r="E117" s="901"/>
      <c r="F117" s="322"/>
      <c r="G117" s="605"/>
      <c r="H117" s="324"/>
      <c r="I117" s="901"/>
      <c r="J117" s="322"/>
      <c r="K117" s="605"/>
      <c r="L117" s="324"/>
      <c r="M117" s="901"/>
      <c r="N117" s="322"/>
      <c r="O117" s="605"/>
      <c r="P117" s="324"/>
      <c r="Q117" s="901"/>
      <c r="R117" s="322"/>
      <c r="S117" s="605"/>
      <c r="T117" s="116">
        <f t="shared" si="4"/>
        <v>975</v>
      </c>
    </row>
    <row r="118" spans="1:20">
      <c r="A118" s="480" t="s">
        <v>782</v>
      </c>
      <c r="B118" s="322"/>
      <c r="C118" s="605"/>
      <c r="D118" s="324"/>
      <c r="E118" s="901"/>
      <c r="F118" s="337">
        <v>18000</v>
      </c>
      <c r="G118" s="605"/>
      <c r="H118" s="324"/>
      <c r="I118" s="901"/>
      <c r="J118" s="322"/>
      <c r="K118" s="605"/>
      <c r="L118" s="324"/>
      <c r="M118" s="901"/>
      <c r="N118" s="322"/>
      <c r="O118" s="605"/>
      <c r="P118" s="324"/>
      <c r="Q118" s="901"/>
      <c r="R118" s="322"/>
      <c r="S118" s="605"/>
      <c r="T118" s="116">
        <f t="shared" si="4"/>
        <v>18000</v>
      </c>
    </row>
    <row r="119" spans="1:20">
      <c r="A119" s="480" t="s">
        <v>847</v>
      </c>
      <c r="B119" s="322"/>
      <c r="C119" s="605"/>
      <c r="D119" s="336">
        <v>58147.45</v>
      </c>
      <c r="E119" s="901"/>
      <c r="F119" s="322"/>
      <c r="G119" s="605"/>
      <c r="H119" s="324"/>
      <c r="I119" s="901"/>
      <c r="J119" s="322"/>
      <c r="K119" s="605"/>
      <c r="L119" s="336">
        <v>83660.7</v>
      </c>
      <c r="M119" s="901"/>
      <c r="N119" s="322"/>
      <c r="O119" s="605"/>
      <c r="P119" s="324"/>
      <c r="Q119" s="901"/>
      <c r="R119" s="322"/>
      <c r="S119" s="605"/>
      <c r="T119" s="116">
        <f t="shared" si="4"/>
        <v>141808.15</v>
      </c>
    </row>
    <row r="120" spans="1:20">
      <c r="A120" s="480" t="s">
        <v>848</v>
      </c>
      <c r="B120" s="322"/>
      <c r="C120" s="605"/>
      <c r="D120" s="324"/>
      <c r="E120" s="901"/>
      <c r="F120" s="322"/>
      <c r="G120" s="605"/>
      <c r="H120" s="324"/>
      <c r="I120" s="901"/>
      <c r="J120" s="322"/>
      <c r="K120" s="605"/>
      <c r="L120" s="324"/>
      <c r="M120" s="901"/>
      <c r="N120" s="337">
        <v>6146.11</v>
      </c>
      <c r="O120" s="605"/>
      <c r="P120" s="324"/>
      <c r="Q120" s="901"/>
      <c r="R120" s="322"/>
      <c r="S120" s="605"/>
      <c r="T120" s="116">
        <f t="shared" ref="T120:T149" si="5">+R120+P120+N120+L120+J120+H120+F120+D120+B120</f>
        <v>6146.11</v>
      </c>
    </row>
    <row r="121" spans="1:20">
      <c r="A121" s="480" t="s">
        <v>1409</v>
      </c>
      <c r="B121" s="322"/>
      <c r="C121" s="605"/>
      <c r="D121" s="324"/>
      <c r="E121" s="901"/>
      <c r="F121" s="337">
        <v>249.44</v>
      </c>
      <c r="G121" s="605"/>
      <c r="H121" s="324"/>
      <c r="I121" s="901"/>
      <c r="J121" s="322"/>
      <c r="K121" s="605"/>
      <c r="L121" s="324"/>
      <c r="M121" s="901"/>
      <c r="N121" s="322"/>
      <c r="O121" s="605"/>
      <c r="P121" s="324"/>
      <c r="Q121" s="901"/>
      <c r="R121" s="322"/>
      <c r="S121" s="605"/>
      <c r="T121" s="116">
        <f t="shared" si="5"/>
        <v>249.44</v>
      </c>
    </row>
    <row r="122" spans="1:20">
      <c r="A122" s="480" t="s">
        <v>849</v>
      </c>
      <c r="B122" s="322"/>
      <c r="C122" s="605"/>
      <c r="D122" s="324"/>
      <c r="E122" s="901"/>
      <c r="F122" s="322"/>
      <c r="G122" s="605"/>
      <c r="H122" s="324"/>
      <c r="I122" s="901"/>
      <c r="J122" s="322"/>
      <c r="K122" s="605"/>
      <c r="L122" s="324"/>
      <c r="M122" s="901"/>
      <c r="N122" s="337">
        <v>130</v>
      </c>
      <c r="O122" s="605"/>
      <c r="P122" s="324"/>
      <c r="Q122" s="901"/>
      <c r="R122" s="322"/>
      <c r="S122" s="605"/>
      <c r="T122" s="116">
        <f t="shared" si="5"/>
        <v>130</v>
      </c>
    </row>
    <row r="123" spans="1:20">
      <c r="A123" s="480" t="s">
        <v>850</v>
      </c>
      <c r="B123" s="322"/>
      <c r="C123" s="605"/>
      <c r="D123" s="324"/>
      <c r="E123" s="901"/>
      <c r="F123" s="322"/>
      <c r="G123" s="605"/>
      <c r="H123" s="324"/>
      <c r="I123" s="901"/>
      <c r="J123" s="322"/>
      <c r="K123" s="605"/>
      <c r="L123" s="324"/>
      <c r="M123" s="901"/>
      <c r="N123" s="322"/>
      <c r="O123" s="605"/>
      <c r="P123" s="324"/>
      <c r="Q123" s="901"/>
      <c r="R123" s="904">
        <v>1000</v>
      </c>
      <c r="S123" s="605"/>
      <c r="T123" s="116">
        <f t="shared" si="5"/>
        <v>1000</v>
      </c>
    </row>
    <row r="124" spans="1:20">
      <c r="A124" s="480" t="s">
        <v>605</v>
      </c>
      <c r="B124" s="322"/>
      <c r="C124" s="605"/>
      <c r="D124" s="324"/>
      <c r="E124" s="901"/>
      <c r="F124" s="322"/>
      <c r="G124" s="605"/>
      <c r="H124" s="324"/>
      <c r="I124" s="901"/>
      <c r="J124" s="322"/>
      <c r="K124" s="605"/>
      <c r="L124" s="324"/>
      <c r="M124" s="901"/>
      <c r="N124" s="322"/>
      <c r="O124" s="605"/>
      <c r="P124" s="324"/>
      <c r="Q124" s="901"/>
      <c r="R124" s="904">
        <v>36817.78</v>
      </c>
      <c r="S124" s="605"/>
      <c r="T124" s="116">
        <f t="shared" si="5"/>
        <v>36817.78</v>
      </c>
    </row>
    <row r="125" spans="1:20">
      <c r="A125" s="480" t="s">
        <v>851</v>
      </c>
      <c r="B125" s="322"/>
      <c r="C125" s="605"/>
      <c r="D125" s="324"/>
      <c r="E125" s="901"/>
      <c r="F125" s="322"/>
      <c r="G125" s="605"/>
      <c r="H125" s="324"/>
      <c r="I125" s="901"/>
      <c r="J125" s="322"/>
      <c r="K125" s="605"/>
      <c r="L125" s="336">
        <v>600</v>
      </c>
      <c r="M125" s="901"/>
      <c r="N125" s="322"/>
      <c r="O125" s="605"/>
      <c r="P125" s="324"/>
      <c r="Q125" s="901"/>
      <c r="R125" s="322"/>
      <c r="S125" s="605"/>
      <c r="T125" s="116">
        <f t="shared" si="5"/>
        <v>600</v>
      </c>
    </row>
    <row r="126" spans="1:20">
      <c r="A126" s="480" t="s">
        <v>852</v>
      </c>
      <c r="B126" s="322"/>
      <c r="C126" s="605"/>
      <c r="D126" s="324"/>
      <c r="E126" s="901"/>
      <c r="F126" s="322"/>
      <c r="G126" s="605"/>
      <c r="H126" s="336">
        <v>677.88</v>
      </c>
      <c r="I126" s="901"/>
      <c r="J126" s="322"/>
      <c r="K126" s="605"/>
      <c r="L126" s="324"/>
      <c r="M126" s="901"/>
      <c r="N126" s="322"/>
      <c r="O126" s="605"/>
      <c r="P126" s="324"/>
      <c r="Q126" s="901"/>
      <c r="R126" s="904">
        <v>677.88</v>
      </c>
      <c r="S126" s="605"/>
      <c r="T126" s="116">
        <f t="shared" si="5"/>
        <v>1355.76</v>
      </c>
    </row>
    <row r="127" spans="1:20">
      <c r="A127" s="480" t="s">
        <v>1410</v>
      </c>
      <c r="B127" s="322"/>
      <c r="C127" s="605"/>
      <c r="D127" s="324"/>
      <c r="E127" s="901"/>
      <c r="F127" s="322"/>
      <c r="G127" s="605"/>
      <c r="H127" s="324"/>
      <c r="I127" s="901"/>
      <c r="J127" s="322"/>
      <c r="K127" s="605"/>
      <c r="L127" s="324"/>
      <c r="M127" s="901"/>
      <c r="N127" s="337">
        <v>16400</v>
      </c>
      <c r="O127" s="605"/>
      <c r="P127" s="324"/>
      <c r="Q127" s="901"/>
      <c r="R127" s="322"/>
      <c r="S127" s="605"/>
      <c r="T127" s="116">
        <f t="shared" si="5"/>
        <v>16400</v>
      </c>
    </row>
    <row r="128" spans="1:20">
      <c r="A128" s="480" t="s">
        <v>1411</v>
      </c>
      <c r="B128" s="322"/>
      <c r="C128" s="605"/>
      <c r="D128" s="336">
        <v>130</v>
      </c>
      <c r="E128" s="901"/>
      <c r="F128" s="322"/>
      <c r="G128" s="605"/>
      <c r="H128" s="324"/>
      <c r="I128" s="901"/>
      <c r="J128" s="322"/>
      <c r="K128" s="605"/>
      <c r="L128" s="324"/>
      <c r="M128" s="901"/>
      <c r="N128" s="322"/>
      <c r="O128" s="605"/>
      <c r="P128" s="324"/>
      <c r="Q128" s="901"/>
      <c r="R128" s="322"/>
      <c r="S128" s="605"/>
      <c r="T128" s="116">
        <f t="shared" si="5"/>
        <v>130</v>
      </c>
    </row>
    <row r="129" spans="1:20">
      <c r="A129" s="480" t="s">
        <v>1054</v>
      </c>
      <c r="B129" s="322"/>
      <c r="C129" s="605"/>
      <c r="D129" s="336">
        <v>250</v>
      </c>
      <c r="E129" s="901"/>
      <c r="F129" s="322"/>
      <c r="G129" s="605"/>
      <c r="H129" s="324"/>
      <c r="I129" s="901"/>
      <c r="J129" s="322"/>
      <c r="K129" s="605"/>
      <c r="L129" s="324"/>
      <c r="M129" s="901"/>
      <c r="N129" s="322"/>
      <c r="O129" s="605"/>
      <c r="P129" s="324"/>
      <c r="Q129" s="901"/>
      <c r="R129" s="322"/>
      <c r="S129" s="605"/>
      <c r="T129" s="116">
        <f t="shared" si="5"/>
        <v>250</v>
      </c>
    </row>
    <row r="130" spans="1:20">
      <c r="A130" s="480" t="s">
        <v>394</v>
      </c>
      <c r="B130" s="322"/>
      <c r="C130" s="605"/>
      <c r="D130" s="324"/>
      <c r="E130" s="901"/>
      <c r="F130" s="322"/>
      <c r="G130" s="605"/>
      <c r="H130" s="324"/>
      <c r="I130" s="901"/>
      <c r="J130" s="322"/>
      <c r="K130" s="605"/>
      <c r="L130" s="324"/>
      <c r="M130" s="901"/>
      <c r="N130" s="322"/>
      <c r="O130" s="605"/>
      <c r="P130" s="324"/>
      <c r="Q130" s="901"/>
      <c r="R130" s="322"/>
      <c r="S130" s="605"/>
      <c r="T130" s="116">
        <f t="shared" si="5"/>
        <v>0</v>
      </c>
    </row>
    <row r="131" spans="1:20">
      <c r="A131" s="480" t="s">
        <v>1412</v>
      </c>
      <c r="B131" s="322"/>
      <c r="C131" s="605"/>
      <c r="D131" s="324"/>
      <c r="E131" s="901"/>
      <c r="F131" s="322"/>
      <c r="G131" s="605"/>
      <c r="H131" s="324"/>
      <c r="I131" s="901"/>
      <c r="J131" s="322"/>
      <c r="K131" s="605"/>
      <c r="L131" s="324"/>
      <c r="M131" s="901"/>
      <c r="N131" s="337">
        <v>6324</v>
      </c>
      <c r="O131" s="605"/>
      <c r="P131" s="324"/>
      <c r="Q131" s="901"/>
      <c r="R131" s="322"/>
      <c r="S131" s="605"/>
      <c r="T131" s="116">
        <f t="shared" si="5"/>
        <v>6324</v>
      </c>
    </row>
    <row r="132" spans="1:20">
      <c r="A132" s="480" t="s">
        <v>1413</v>
      </c>
      <c r="B132" s="322"/>
      <c r="C132" s="605"/>
      <c r="D132" s="324"/>
      <c r="E132" s="901"/>
      <c r="F132" s="322"/>
      <c r="G132" s="605"/>
      <c r="H132" s="324"/>
      <c r="I132" s="901"/>
      <c r="J132" s="322"/>
      <c r="K132" s="605"/>
      <c r="L132" s="324"/>
      <c r="M132" s="901"/>
      <c r="N132" s="322"/>
      <c r="O132" s="605"/>
      <c r="P132" s="324"/>
      <c r="Q132" s="901"/>
      <c r="R132" s="904">
        <v>6500</v>
      </c>
      <c r="S132" s="605"/>
      <c r="T132" s="116">
        <f t="shared" si="5"/>
        <v>6500</v>
      </c>
    </row>
    <row r="133" spans="1:20">
      <c r="A133" s="480" t="s">
        <v>384</v>
      </c>
      <c r="B133" s="322"/>
      <c r="C133" s="605"/>
      <c r="D133" s="324"/>
      <c r="E133" s="901"/>
      <c r="F133" s="322"/>
      <c r="G133" s="605"/>
      <c r="H133" s="324"/>
      <c r="I133" s="901"/>
      <c r="J133" s="322"/>
      <c r="K133" s="605"/>
      <c r="L133" s="324"/>
      <c r="M133" s="901"/>
      <c r="N133" s="322"/>
      <c r="O133" s="605"/>
      <c r="P133" s="324"/>
      <c r="Q133" s="901"/>
      <c r="R133" s="322"/>
      <c r="S133" s="605"/>
      <c r="T133" s="116">
        <f t="shared" si="5"/>
        <v>0</v>
      </c>
    </row>
    <row r="134" spans="1:20">
      <c r="A134" s="480" t="s">
        <v>859</v>
      </c>
      <c r="B134" s="322"/>
      <c r="C134" s="605"/>
      <c r="D134" s="324"/>
      <c r="E134" s="901"/>
      <c r="F134" s="322"/>
      <c r="G134" s="605"/>
      <c r="H134" s="324"/>
      <c r="I134" s="901"/>
      <c r="J134" s="322"/>
      <c r="K134" s="605"/>
      <c r="L134" s="336">
        <v>600</v>
      </c>
      <c r="M134" s="901"/>
      <c r="N134" s="322"/>
      <c r="O134" s="605"/>
      <c r="P134" s="324"/>
      <c r="Q134" s="901"/>
      <c r="R134" s="322"/>
      <c r="S134" s="605"/>
      <c r="T134" s="116">
        <f t="shared" si="5"/>
        <v>600</v>
      </c>
    </row>
    <row r="135" spans="1:20">
      <c r="A135" s="480" t="s">
        <v>860</v>
      </c>
      <c r="B135" s="322"/>
      <c r="C135" s="605"/>
      <c r="D135" s="324"/>
      <c r="E135" s="901"/>
      <c r="F135" s="322"/>
      <c r="G135" s="605"/>
      <c r="H135" s="336">
        <v>10.11</v>
      </c>
      <c r="I135" s="901"/>
      <c r="J135" s="322"/>
      <c r="K135" s="605"/>
      <c r="L135" s="324"/>
      <c r="M135" s="901"/>
      <c r="N135" s="322"/>
      <c r="O135" s="605"/>
      <c r="P135" s="324"/>
      <c r="Q135" s="901"/>
      <c r="R135" s="904">
        <v>42.38</v>
      </c>
      <c r="S135" s="605"/>
      <c r="T135" s="116">
        <f t="shared" si="5"/>
        <v>52.49</v>
      </c>
    </row>
    <row r="136" spans="1:20">
      <c r="A136" s="480" t="s">
        <v>606</v>
      </c>
      <c r="B136" s="322"/>
      <c r="C136" s="605"/>
      <c r="D136" s="324"/>
      <c r="E136" s="901"/>
      <c r="F136" s="337">
        <v>34.914999999999999</v>
      </c>
      <c r="G136" s="605"/>
      <c r="H136" s="324"/>
      <c r="I136" s="901"/>
      <c r="J136" s="322"/>
      <c r="K136" s="605"/>
      <c r="L136" s="324"/>
      <c r="M136" s="901"/>
      <c r="N136" s="322"/>
      <c r="O136" s="605"/>
      <c r="P136" s="324"/>
      <c r="Q136" s="901"/>
      <c r="R136" s="322"/>
      <c r="S136" s="605"/>
      <c r="T136" s="116">
        <f t="shared" si="5"/>
        <v>34.914999999999999</v>
      </c>
    </row>
    <row r="137" spans="1:20">
      <c r="A137" s="480" t="s">
        <v>1414</v>
      </c>
      <c r="B137" s="322"/>
      <c r="C137" s="605"/>
      <c r="D137" s="324"/>
      <c r="E137" s="901"/>
      <c r="F137" s="337">
        <v>4500</v>
      </c>
      <c r="G137" s="605"/>
      <c r="H137" s="324"/>
      <c r="I137" s="901"/>
      <c r="J137" s="322"/>
      <c r="K137" s="605"/>
      <c r="L137" s="324"/>
      <c r="M137" s="901"/>
      <c r="N137" s="322"/>
      <c r="O137" s="605"/>
      <c r="P137" s="324"/>
      <c r="Q137" s="901"/>
      <c r="R137" s="322"/>
      <c r="S137" s="605"/>
      <c r="T137" s="116">
        <f t="shared" si="5"/>
        <v>4500</v>
      </c>
    </row>
    <row r="138" spans="1:20">
      <c r="A138" s="480" t="s">
        <v>861</v>
      </c>
      <c r="B138" s="322"/>
      <c r="C138" s="605"/>
      <c r="D138" s="324"/>
      <c r="E138" s="901"/>
      <c r="F138" s="322"/>
      <c r="G138" s="605"/>
      <c r="H138" s="336">
        <v>66133</v>
      </c>
      <c r="I138" s="901"/>
      <c r="J138" s="322"/>
      <c r="K138" s="605"/>
      <c r="L138" s="324"/>
      <c r="M138" s="901"/>
      <c r="N138" s="322"/>
      <c r="O138" s="605"/>
      <c r="P138" s="324"/>
      <c r="Q138" s="901"/>
      <c r="R138" s="904">
        <v>133162</v>
      </c>
      <c r="S138" s="605"/>
      <c r="T138" s="116">
        <f t="shared" si="5"/>
        <v>199295</v>
      </c>
    </row>
    <row r="139" spans="1:20">
      <c r="A139" s="480" t="s">
        <v>1415</v>
      </c>
      <c r="B139" s="322"/>
      <c r="C139" s="605"/>
      <c r="D139" s="324"/>
      <c r="E139" s="901"/>
      <c r="F139" s="322"/>
      <c r="G139" s="605"/>
      <c r="H139" s="324"/>
      <c r="I139" s="901"/>
      <c r="J139" s="322"/>
      <c r="K139" s="605"/>
      <c r="L139" s="324"/>
      <c r="M139" s="901"/>
      <c r="N139" s="322"/>
      <c r="O139" s="605"/>
      <c r="P139" s="324"/>
      <c r="Q139" s="901"/>
      <c r="R139" s="322"/>
      <c r="S139" s="605"/>
      <c r="T139" s="116">
        <f t="shared" si="5"/>
        <v>0</v>
      </c>
    </row>
    <row r="140" spans="1:20" s="922" customFormat="1">
      <c r="A140" s="915" t="s">
        <v>1416</v>
      </c>
      <c r="B140" s="916"/>
      <c r="C140" s="917"/>
      <c r="D140" s="918"/>
      <c r="E140" s="919"/>
      <c r="F140" s="920">
        <v>3973</v>
      </c>
      <c r="G140" s="917"/>
      <c r="H140" s="918"/>
      <c r="I140" s="919"/>
      <c r="J140" s="916"/>
      <c r="K140" s="917"/>
      <c r="L140" s="918"/>
      <c r="M140" s="919"/>
      <c r="N140" s="916"/>
      <c r="O140" s="917"/>
      <c r="P140" s="918"/>
      <c r="Q140" s="919"/>
      <c r="R140" s="916"/>
      <c r="S140" s="917"/>
      <c r="T140" s="921">
        <f t="shared" si="5"/>
        <v>3973</v>
      </c>
    </row>
    <row r="141" spans="1:20">
      <c r="A141" s="480" t="s">
        <v>1417</v>
      </c>
      <c r="B141" s="322"/>
      <c r="C141" s="605"/>
      <c r="D141" s="324"/>
      <c r="E141" s="901"/>
      <c r="F141" s="322"/>
      <c r="G141" s="605"/>
      <c r="H141" s="324"/>
      <c r="I141" s="901"/>
      <c r="J141" s="322"/>
      <c r="K141" s="605"/>
      <c r="L141" s="324"/>
      <c r="M141" s="901"/>
      <c r="N141" s="322"/>
      <c r="O141" s="605"/>
      <c r="P141" s="324"/>
      <c r="Q141" s="901"/>
      <c r="R141" s="322"/>
      <c r="S141" s="605"/>
      <c r="T141" s="116">
        <f t="shared" si="5"/>
        <v>0</v>
      </c>
    </row>
    <row r="142" spans="1:20">
      <c r="A142" s="480" t="s">
        <v>1418</v>
      </c>
      <c r="B142" s="322"/>
      <c r="C142" s="605"/>
      <c r="D142" s="324"/>
      <c r="E142" s="901"/>
      <c r="F142" s="337">
        <v>1491</v>
      </c>
      <c r="G142" s="605"/>
      <c r="H142" s="324"/>
      <c r="I142" s="901"/>
      <c r="J142" s="337">
        <v>40508</v>
      </c>
      <c r="K142" s="605"/>
      <c r="L142" s="336">
        <v>-12487</v>
      </c>
      <c r="M142" s="901"/>
      <c r="N142" s="322"/>
      <c r="O142" s="605"/>
      <c r="P142" s="324"/>
      <c r="Q142" s="901"/>
      <c r="R142" s="322"/>
      <c r="S142" s="605"/>
      <c r="T142" s="116">
        <f t="shared" si="5"/>
        <v>29512</v>
      </c>
    </row>
    <row r="143" spans="1:20">
      <c r="A143" s="480" t="s">
        <v>607</v>
      </c>
      <c r="B143" s="322"/>
      <c r="C143" s="605"/>
      <c r="D143" s="336">
        <v>1298</v>
      </c>
      <c r="E143" s="901"/>
      <c r="F143" s="337">
        <v>6590</v>
      </c>
      <c r="G143" s="605"/>
      <c r="H143" s="324"/>
      <c r="I143" s="901"/>
      <c r="J143" s="322"/>
      <c r="K143" s="605"/>
      <c r="L143" s="336">
        <v>1897</v>
      </c>
      <c r="M143" s="901"/>
      <c r="N143" s="322"/>
      <c r="O143" s="605"/>
      <c r="P143" s="324"/>
      <c r="Q143" s="901"/>
      <c r="R143" s="322"/>
      <c r="S143" s="605"/>
      <c r="T143" s="116">
        <f t="shared" si="5"/>
        <v>9785</v>
      </c>
    </row>
    <row r="144" spans="1:20">
      <c r="A144" s="480" t="s">
        <v>608</v>
      </c>
      <c r="B144" s="322"/>
      <c r="C144" s="605"/>
      <c r="D144" s="324"/>
      <c r="E144" s="901"/>
      <c r="F144" s="322"/>
      <c r="G144" s="605"/>
      <c r="H144" s="324"/>
      <c r="I144" s="901"/>
      <c r="J144" s="322"/>
      <c r="K144" s="605"/>
      <c r="L144" s="324"/>
      <c r="M144" s="901"/>
      <c r="N144" s="337">
        <v>5183</v>
      </c>
      <c r="O144" s="605"/>
      <c r="P144" s="324"/>
      <c r="Q144" s="901"/>
      <c r="R144" s="322"/>
      <c r="S144" s="605"/>
      <c r="T144" s="116">
        <f t="shared" si="5"/>
        <v>5183</v>
      </c>
    </row>
    <row r="145" spans="1:22">
      <c r="A145" s="480" t="s">
        <v>1419</v>
      </c>
      <c r="B145" s="322"/>
      <c r="C145" s="605"/>
      <c r="D145" s="324"/>
      <c r="E145" s="901"/>
      <c r="F145" s="337">
        <v>20000</v>
      </c>
      <c r="G145" s="605"/>
      <c r="H145" s="324"/>
      <c r="I145" s="901"/>
      <c r="J145" s="322"/>
      <c r="K145" s="605"/>
      <c r="L145" s="324"/>
      <c r="M145" s="901"/>
      <c r="N145" s="322"/>
      <c r="O145" s="605"/>
      <c r="P145" s="324"/>
      <c r="Q145" s="901"/>
      <c r="R145" s="322"/>
      <c r="S145" s="605"/>
      <c r="T145" s="116">
        <f t="shared" si="5"/>
        <v>20000</v>
      </c>
    </row>
    <row r="146" spans="1:22">
      <c r="A146" s="480" t="s">
        <v>862</v>
      </c>
      <c r="B146" s="322"/>
      <c r="C146" s="605"/>
      <c r="D146" s="336">
        <v>400</v>
      </c>
      <c r="E146" s="901"/>
      <c r="F146" s="322"/>
      <c r="G146" s="605"/>
      <c r="H146" s="324"/>
      <c r="I146" s="901"/>
      <c r="J146" s="322"/>
      <c r="K146" s="605"/>
      <c r="L146" s="324"/>
      <c r="M146" s="901"/>
      <c r="N146" s="322"/>
      <c r="O146" s="605"/>
      <c r="P146" s="324"/>
      <c r="Q146" s="901"/>
      <c r="R146" s="322"/>
      <c r="S146" s="605"/>
      <c r="T146" s="116">
        <f t="shared" si="5"/>
        <v>400</v>
      </c>
    </row>
    <row r="147" spans="1:22">
      <c r="A147" s="480" t="s">
        <v>1420</v>
      </c>
      <c r="B147" s="322"/>
      <c r="C147" s="605"/>
      <c r="D147" s="324"/>
      <c r="E147" s="901"/>
      <c r="F147" s="322"/>
      <c r="G147" s="605"/>
      <c r="H147" s="324"/>
      <c r="I147" s="901"/>
      <c r="J147" s="322"/>
      <c r="K147" s="605"/>
      <c r="L147" s="324"/>
      <c r="M147" s="901"/>
      <c r="N147" s="337">
        <v>435454.41</v>
      </c>
      <c r="O147" s="605"/>
      <c r="P147" s="324"/>
      <c r="Q147" s="901"/>
      <c r="R147" s="322"/>
      <c r="S147" s="605"/>
      <c r="T147" s="116">
        <f t="shared" si="5"/>
        <v>435454.41</v>
      </c>
    </row>
    <row r="148" spans="1:22">
      <c r="A148" s="480" t="s">
        <v>863</v>
      </c>
      <c r="B148" s="322"/>
      <c r="C148" s="605"/>
      <c r="D148" s="324"/>
      <c r="E148" s="901"/>
      <c r="F148" s="322"/>
      <c r="G148" s="605"/>
      <c r="H148" s="324"/>
      <c r="I148" s="901"/>
      <c r="J148" s="322"/>
      <c r="K148" s="605"/>
      <c r="L148" s="324"/>
      <c r="M148" s="901"/>
      <c r="N148" s="337">
        <v>3000</v>
      </c>
      <c r="O148" s="605"/>
      <c r="P148" s="324"/>
      <c r="Q148" s="901"/>
      <c r="R148" s="322"/>
      <c r="S148" s="605"/>
      <c r="T148" s="116">
        <f t="shared" si="5"/>
        <v>3000</v>
      </c>
    </row>
    <row r="149" spans="1:22" s="922" customFormat="1">
      <c r="A149" s="915" t="s">
        <v>1421</v>
      </c>
      <c r="B149" s="916"/>
      <c r="C149" s="917"/>
      <c r="D149" s="918"/>
      <c r="E149" s="919"/>
      <c r="F149" s="916"/>
      <c r="G149" s="917"/>
      <c r="H149" s="918"/>
      <c r="I149" s="919"/>
      <c r="J149" s="916"/>
      <c r="K149" s="917"/>
      <c r="L149" s="918"/>
      <c r="M149" s="919"/>
      <c r="N149" s="916"/>
      <c r="O149" s="917"/>
      <c r="P149" s="918"/>
      <c r="Q149" s="919"/>
      <c r="R149" s="923">
        <v>10692</v>
      </c>
      <c r="S149" s="917"/>
      <c r="T149" s="921">
        <f t="shared" si="5"/>
        <v>10692</v>
      </c>
      <c r="U149" s="921">
        <f>SUM(T56:T149)</f>
        <v>47599122.883000001</v>
      </c>
      <c r="V149" s="925">
        <f>U149-T55</f>
        <v>641436.99999999255</v>
      </c>
    </row>
    <row r="150" spans="1:22">
      <c r="A150" s="774" t="s">
        <v>1422</v>
      </c>
      <c r="B150" s="611"/>
      <c r="C150" s="313">
        <v>-106405</v>
      </c>
      <c r="D150" s="690"/>
      <c r="E150" s="315">
        <v>-255757.89799999999</v>
      </c>
      <c r="F150" s="611"/>
      <c r="G150" s="313">
        <v>6188556.6440000003</v>
      </c>
      <c r="H150" s="690"/>
      <c r="I150" s="315">
        <v>288662219.19</v>
      </c>
      <c r="J150" s="611"/>
      <c r="K150" s="313">
        <v>1804624.7350000001</v>
      </c>
      <c r="L150" s="690"/>
      <c r="M150" s="315">
        <v>80781.736000000004</v>
      </c>
      <c r="N150" s="611"/>
      <c r="O150" s="313">
        <v>-24906033.438000001</v>
      </c>
      <c r="P150" s="690"/>
      <c r="Q150" s="693"/>
      <c r="R150" s="611"/>
      <c r="S150" s="745">
        <v>-286191197.25999999</v>
      </c>
      <c r="T150" s="903">
        <f>S150+O150+M150+K150+I150+G150+C150+AE150+Q150+E150</f>
        <v>-14723211.290999999</v>
      </c>
    </row>
  </sheetData>
  <mergeCells count="20">
    <mergeCell ref="L4:M4"/>
    <mergeCell ref="N4:O4"/>
    <mergeCell ref="P4:Q4"/>
    <mergeCell ref="R4:S4"/>
    <mergeCell ref="J3:K3"/>
    <mergeCell ref="L3:M3"/>
    <mergeCell ref="N3:O3"/>
    <mergeCell ref="P3:Q3"/>
    <mergeCell ref="R3:S3"/>
    <mergeCell ref="B4:C4"/>
    <mergeCell ref="D4:E4"/>
    <mergeCell ref="F4:G4"/>
    <mergeCell ref="H4:I4"/>
    <mergeCell ref="J4:K4"/>
    <mergeCell ref="H3:I3"/>
    <mergeCell ref="A1:C1"/>
    <mergeCell ref="A2:C2"/>
    <mergeCell ref="B3:C3"/>
    <mergeCell ref="D3:E3"/>
    <mergeCell ref="F3:G3"/>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300BE-9A60-42E6-AAF5-CE1DEDF33674}">
  <dimension ref="A1:BV912"/>
  <sheetViews>
    <sheetView topLeftCell="BK16" zoomScale="115" zoomScaleNormal="115" workbookViewId="0">
      <selection activeCell="BR24" sqref="BR24"/>
    </sheetView>
  </sheetViews>
  <sheetFormatPr defaultRowHeight="14.5"/>
  <cols>
    <col min="1" max="1" width="79.81640625" bestFit="1" customWidth="1"/>
    <col min="2" max="2" width="16.54296875" bestFit="1" customWidth="1"/>
    <col min="3" max="4" width="15.1796875" bestFit="1" customWidth="1"/>
    <col min="5" max="5" width="17.7265625" bestFit="1" customWidth="1"/>
    <col min="6" max="6" width="7.7265625" bestFit="1" customWidth="1"/>
    <col min="7" max="8" width="13" bestFit="1" customWidth="1"/>
    <col min="9" max="9" width="15.453125" bestFit="1" customWidth="1"/>
    <col min="10" max="10" width="7.7265625" bestFit="1" customWidth="1"/>
    <col min="11" max="12" width="13" bestFit="1" customWidth="1"/>
    <col min="13" max="13" width="15.54296875" bestFit="1" customWidth="1"/>
    <col min="14" max="14" width="15.81640625" bestFit="1" customWidth="1"/>
    <col min="15" max="16" width="15.1796875" bestFit="1" customWidth="1"/>
    <col min="17" max="17" width="16.453125" bestFit="1" customWidth="1"/>
    <col min="18" max="18" width="7.7265625" bestFit="1" customWidth="1"/>
    <col min="19" max="20" width="14.54296875" bestFit="1" customWidth="1"/>
    <col min="21" max="21" width="16.54296875" bestFit="1" customWidth="1"/>
    <col min="22" max="22" width="15.453125" bestFit="1" customWidth="1"/>
    <col min="23" max="24" width="14.1796875" bestFit="1" customWidth="1"/>
    <col min="25" max="25" width="16.453125" bestFit="1" customWidth="1"/>
    <col min="26" max="26" width="15.81640625" bestFit="1" customWidth="1"/>
    <col min="27" max="28" width="13.54296875" bestFit="1" customWidth="1"/>
    <col min="29" max="29" width="15.81640625" bestFit="1" customWidth="1"/>
    <col min="30" max="30" width="16.453125" bestFit="1" customWidth="1"/>
    <col min="31" max="32" width="15.1796875" bestFit="1" customWidth="1"/>
    <col min="33" max="33" width="16.453125" bestFit="1" customWidth="1"/>
    <col min="34" max="34" width="13.81640625" bestFit="1" customWidth="1"/>
    <col min="35" max="35" width="5.1796875" bestFit="1" customWidth="1"/>
    <col min="36" max="36" width="5.7265625" bestFit="1" customWidth="1"/>
    <col min="37" max="37" width="13.81640625" bestFit="1" customWidth="1"/>
    <col min="38" max="38" width="15.453125" bestFit="1" customWidth="1"/>
    <col min="39" max="40" width="14.1796875" bestFit="1" customWidth="1"/>
    <col min="41" max="41" width="16.453125" bestFit="1" customWidth="1"/>
    <col min="47" max="47" width="46" customWidth="1"/>
    <col min="48" max="48" width="26.7265625" customWidth="1"/>
    <col min="49" max="49" width="9.54296875" bestFit="1" customWidth="1"/>
    <col min="51" max="51" width="15.1796875" bestFit="1" customWidth="1"/>
    <col min="52" max="52" width="20.81640625" customWidth="1"/>
    <col min="56" max="56" width="20.7265625" customWidth="1"/>
    <col min="57" max="57" width="18.81640625" customWidth="1"/>
    <col min="59" max="59" width="21.54296875" customWidth="1"/>
    <col min="60" max="60" width="17.7265625" customWidth="1"/>
    <col min="62" max="62" width="23.54296875" customWidth="1"/>
    <col min="63" max="63" width="10.54296875" bestFit="1" customWidth="1"/>
    <col min="65" max="66" width="23.453125" customWidth="1"/>
    <col min="67" max="67" width="16.7265625" customWidth="1"/>
    <col min="68" max="68" width="22.453125" customWidth="1"/>
    <col min="70" max="70" width="17.453125" customWidth="1"/>
    <col min="71" max="71" width="18.453125" customWidth="1"/>
    <col min="73" max="73" width="15.54296875" customWidth="1"/>
  </cols>
  <sheetData>
    <row r="1" spans="1:50" ht="15.5">
      <c r="A1" s="1173" t="s">
        <v>323</v>
      </c>
      <c r="B1" s="1173"/>
      <c r="C1" s="1173"/>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row>
    <row r="2" spans="1:50">
      <c r="A2" s="1174" t="s">
        <v>1434</v>
      </c>
      <c r="B2" s="1174"/>
      <c r="C2" s="1174"/>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row>
    <row r="3" spans="1:50">
      <c r="A3" s="307" t="s">
        <v>325</v>
      </c>
      <c r="B3" s="1212" t="s">
        <v>325</v>
      </c>
      <c r="C3" s="1175"/>
      <c r="D3" s="1175"/>
      <c r="E3" s="1175"/>
      <c r="F3" s="1212" t="s">
        <v>1378</v>
      </c>
      <c r="G3" s="1175"/>
      <c r="H3" s="1175"/>
      <c r="I3" s="1175"/>
      <c r="J3" s="1262" t="s">
        <v>1379</v>
      </c>
      <c r="K3" s="1263"/>
      <c r="L3" s="1263"/>
      <c r="M3" s="1263"/>
      <c r="N3" s="1212" t="s">
        <v>575</v>
      </c>
      <c r="O3" s="1175"/>
      <c r="P3" s="1175"/>
      <c r="Q3" s="1175"/>
      <c r="R3" s="1262" t="s">
        <v>1380</v>
      </c>
      <c r="S3" s="1263"/>
      <c r="T3" s="1263"/>
      <c r="U3" s="1263"/>
      <c r="V3" s="1212" t="s">
        <v>703</v>
      </c>
      <c r="W3" s="1175"/>
      <c r="X3" s="1175"/>
      <c r="Y3" s="1175"/>
      <c r="Z3" s="1262" t="s">
        <v>702</v>
      </c>
      <c r="AA3" s="1263"/>
      <c r="AB3" s="1263"/>
      <c r="AC3" s="1263"/>
      <c r="AD3" s="1212" t="s">
        <v>701</v>
      </c>
      <c r="AE3" s="1175"/>
      <c r="AF3" s="1175"/>
      <c r="AG3" s="1175"/>
      <c r="AH3" s="1262" t="s">
        <v>700</v>
      </c>
      <c r="AI3" s="1263"/>
      <c r="AJ3" s="1263"/>
      <c r="AK3" s="1263"/>
      <c r="AL3" s="1212" t="s">
        <v>699</v>
      </c>
      <c r="AM3" s="1175"/>
      <c r="AN3" s="1175"/>
      <c r="AO3" s="1175"/>
    </row>
    <row r="4" spans="1:50">
      <c r="A4" s="308" t="s">
        <v>0</v>
      </c>
      <c r="B4" s="1269" t="s">
        <v>194</v>
      </c>
      <c r="C4" s="1270"/>
      <c r="D4" s="1270"/>
      <c r="E4" s="1270"/>
      <c r="F4" s="1213" t="s">
        <v>1434</v>
      </c>
      <c r="G4" s="1214"/>
      <c r="H4" s="1214"/>
      <c r="I4" s="1214"/>
      <c r="J4" s="1267" t="s">
        <v>1434</v>
      </c>
      <c r="K4" s="1268"/>
      <c r="L4" s="1268"/>
      <c r="M4" s="1268"/>
      <c r="N4" s="1213" t="s">
        <v>1434</v>
      </c>
      <c r="O4" s="1214"/>
      <c r="P4" s="1214"/>
      <c r="Q4" s="1214"/>
      <c r="R4" s="1267" t="s">
        <v>1434</v>
      </c>
      <c r="S4" s="1268"/>
      <c r="T4" s="1268"/>
      <c r="U4" s="1268"/>
      <c r="V4" s="1213" t="s">
        <v>1434</v>
      </c>
      <c r="W4" s="1214"/>
      <c r="X4" s="1214"/>
      <c r="Y4" s="1214"/>
      <c r="Z4" s="1267" t="s">
        <v>1434</v>
      </c>
      <c r="AA4" s="1268"/>
      <c r="AB4" s="1268"/>
      <c r="AC4" s="1268"/>
      <c r="AD4" s="1213" t="s">
        <v>1434</v>
      </c>
      <c r="AE4" s="1214"/>
      <c r="AF4" s="1214"/>
      <c r="AG4" s="1214"/>
      <c r="AH4" s="1267" t="s">
        <v>1434</v>
      </c>
      <c r="AI4" s="1268"/>
      <c r="AJ4" s="1268"/>
      <c r="AK4" s="1268"/>
      <c r="AL4" s="1213" t="s">
        <v>1434</v>
      </c>
      <c r="AM4" s="1214"/>
      <c r="AN4" s="1214"/>
      <c r="AO4" s="1214"/>
    </row>
    <row r="5" spans="1:50">
      <c r="A5" s="308" t="s">
        <v>325</v>
      </c>
      <c r="B5" s="582" t="s">
        <v>577</v>
      </c>
      <c r="C5" s="1215" t="s">
        <v>578</v>
      </c>
      <c r="D5" s="1216"/>
      <c r="E5" s="582" t="s">
        <v>579</v>
      </c>
      <c r="F5" s="582" t="s">
        <v>577</v>
      </c>
      <c r="G5" s="1215" t="s">
        <v>578</v>
      </c>
      <c r="H5" s="1216"/>
      <c r="I5" s="582" t="s">
        <v>579</v>
      </c>
      <c r="J5" s="582" t="s">
        <v>577</v>
      </c>
      <c r="K5" s="1215" t="s">
        <v>578</v>
      </c>
      <c r="L5" s="1216"/>
      <c r="M5" s="582" t="s">
        <v>579</v>
      </c>
      <c r="N5" s="582" t="s">
        <v>577</v>
      </c>
      <c r="O5" s="1215" t="s">
        <v>578</v>
      </c>
      <c r="P5" s="1216"/>
      <c r="Q5" s="582" t="s">
        <v>579</v>
      </c>
      <c r="R5" s="582" t="s">
        <v>577</v>
      </c>
      <c r="S5" s="1215" t="s">
        <v>578</v>
      </c>
      <c r="T5" s="1216"/>
      <c r="U5" s="582" t="s">
        <v>579</v>
      </c>
      <c r="V5" s="582" t="s">
        <v>577</v>
      </c>
      <c r="W5" s="1215" t="s">
        <v>578</v>
      </c>
      <c r="X5" s="1216"/>
      <c r="Y5" s="582" t="s">
        <v>579</v>
      </c>
      <c r="Z5" s="582" t="s">
        <v>577</v>
      </c>
      <c r="AA5" s="1215" t="s">
        <v>578</v>
      </c>
      <c r="AB5" s="1216"/>
      <c r="AC5" s="582" t="s">
        <v>579</v>
      </c>
      <c r="AD5" s="582" t="s">
        <v>577</v>
      </c>
      <c r="AE5" s="1215" t="s">
        <v>578</v>
      </c>
      <c r="AF5" s="1216"/>
      <c r="AG5" s="582" t="s">
        <v>579</v>
      </c>
      <c r="AH5" s="582" t="s">
        <v>577</v>
      </c>
      <c r="AI5" s="1215" t="s">
        <v>578</v>
      </c>
      <c r="AJ5" s="1216"/>
      <c r="AK5" s="582" t="s">
        <v>579</v>
      </c>
      <c r="AL5" s="582" t="s">
        <v>577</v>
      </c>
      <c r="AM5" s="1215" t="s">
        <v>578</v>
      </c>
      <c r="AN5" s="1216"/>
      <c r="AO5" s="582" t="s">
        <v>579</v>
      </c>
    </row>
    <row r="6" spans="1:50">
      <c r="A6" s="309" t="s">
        <v>325</v>
      </c>
      <c r="B6" s="585" t="s">
        <v>580</v>
      </c>
      <c r="C6" s="310" t="s">
        <v>330</v>
      </c>
      <c r="D6" s="310" t="s">
        <v>331</v>
      </c>
      <c r="E6" s="585" t="s">
        <v>580</v>
      </c>
      <c r="F6" s="585" t="s">
        <v>580</v>
      </c>
      <c r="G6" s="310" t="s">
        <v>330</v>
      </c>
      <c r="H6" s="310" t="s">
        <v>331</v>
      </c>
      <c r="I6" s="585" t="s">
        <v>580</v>
      </c>
      <c r="J6" s="585" t="s">
        <v>580</v>
      </c>
      <c r="K6" s="310" t="s">
        <v>330</v>
      </c>
      <c r="L6" s="310" t="s">
        <v>331</v>
      </c>
      <c r="M6" s="585" t="s">
        <v>580</v>
      </c>
      <c r="N6" s="585" t="s">
        <v>580</v>
      </c>
      <c r="O6" s="310" t="s">
        <v>330</v>
      </c>
      <c r="P6" s="310" t="s">
        <v>331</v>
      </c>
      <c r="Q6" s="585" t="s">
        <v>580</v>
      </c>
      <c r="R6" s="585" t="s">
        <v>580</v>
      </c>
      <c r="S6" s="310" t="s">
        <v>330</v>
      </c>
      <c r="T6" s="310" t="s">
        <v>331</v>
      </c>
      <c r="U6" s="585" t="s">
        <v>580</v>
      </c>
      <c r="V6" s="585" t="s">
        <v>580</v>
      </c>
      <c r="W6" s="310" t="s">
        <v>330</v>
      </c>
      <c r="X6" s="310" t="s">
        <v>331</v>
      </c>
      <c r="Y6" s="585" t="s">
        <v>580</v>
      </c>
      <c r="Z6" s="585" t="s">
        <v>580</v>
      </c>
      <c r="AA6" s="310" t="s">
        <v>330</v>
      </c>
      <c r="AB6" s="310" t="s">
        <v>331</v>
      </c>
      <c r="AC6" s="585" t="s">
        <v>580</v>
      </c>
      <c r="AD6" s="585" t="s">
        <v>580</v>
      </c>
      <c r="AE6" s="310" t="s">
        <v>330</v>
      </c>
      <c r="AF6" s="310" t="s">
        <v>331</v>
      </c>
      <c r="AG6" s="585" t="s">
        <v>580</v>
      </c>
      <c r="AH6" s="585" t="s">
        <v>580</v>
      </c>
      <c r="AI6" s="310" t="s">
        <v>330</v>
      </c>
      <c r="AJ6" s="310" t="s">
        <v>331</v>
      </c>
      <c r="AK6" s="585" t="s">
        <v>580</v>
      </c>
      <c r="AL6" s="585" t="s">
        <v>580</v>
      </c>
      <c r="AM6" s="310" t="s">
        <v>330</v>
      </c>
      <c r="AN6" s="310" t="s">
        <v>331</v>
      </c>
      <c r="AO6" s="585" t="s">
        <v>580</v>
      </c>
      <c r="AU6" s="82" t="s">
        <v>1931</v>
      </c>
      <c r="AV6" s="82"/>
      <c r="AW6" s="82"/>
      <c r="AX6" s="82"/>
    </row>
    <row r="7" spans="1:50">
      <c r="A7" s="311" t="s">
        <v>332</v>
      </c>
      <c r="B7" s="689">
        <v>186817495</v>
      </c>
      <c r="C7" s="690"/>
      <c r="D7" s="690"/>
      <c r="E7" s="692">
        <v>186817495</v>
      </c>
      <c r="F7" s="312"/>
      <c r="G7" s="611"/>
      <c r="H7" s="611"/>
      <c r="I7" s="596"/>
      <c r="J7" s="314"/>
      <c r="K7" s="690"/>
      <c r="L7" s="690"/>
      <c r="M7" s="693"/>
      <c r="N7" s="694">
        <v>186817495</v>
      </c>
      <c r="O7" s="611"/>
      <c r="P7" s="611"/>
      <c r="Q7" s="586">
        <v>186817495</v>
      </c>
      <c r="R7" s="314"/>
      <c r="S7" s="690"/>
      <c r="T7" s="690"/>
      <c r="U7" s="693"/>
      <c r="V7" s="312"/>
      <c r="W7" s="611"/>
      <c r="X7" s="611"/>
      <c r="Y7" s="596"/>
      <c r="Z7" s="314"/>
      <c r="AA7" s="690"/>
      <c r="AB7" s="690"/>
      <c r="AC7" s="693"/>
      <c r="AD7" s="694">
        <v>147312832.84400001</v>
      </c>
      <c r="AE7" s="611"/>
      <c r="AF7" s="611"/>
      <c r="AG7" s="586">
        <v>147312832.84400001</v>
      </c>
      <c r="AH7" s="314"/>
      <c r="AI7" s="690"/>
      <c r="AJ7" s="690"/>
      <c r="AK7" s="693"/>
      <c r="AL7" s="312"/>
      <c r="AM7" s="611"/>
      <c r="AN7" s="611"/>
      <c r="AO7" s="596"/>
      <c r="AU7" s="82"/>
      <c r="AV7" s="82"/>
      <c r="AW7" s="82"/>
      <c r="AX7" s="82"/>
    </row>
    <row r="8" spans="1:50">
      <c r="A8" s="316" t="s">
        <v>333</v>
      </c>
      <c r="B8" s="938">
        <v>98503195</v>
      </c>
      <c r="C8" s="611"/>
      <c r="D8" s="611"/>
      <c r="E8" s="760">
        <v>98503195</v>
      </c>
      <c r="F8" s="939"/>
      <c r="G8" s="690"/>
      <c r="H8" s="690"/>
      <c r="I8" s="690"/>
      <c r="J8" s="940"/>
      <c r="K8" s="611"/>
      <c r="L8" s="611"/>
      <c r="M8" s="611"/>
      <c r="N8" s="941">
        <v>98503195</v>
      </c>
      <c r="O8" s="690"/>
      <c r="P8" s="690"/>
      <c r="Q8" s="755">
        <v>98503195</v>
      </c>
      <c r="R8" s="940"/>
      <c r="S8" s="611"/>
      <c r="T8" s="611"/>
      <c r="U8" s="611"/>
      <c r="V8" s="939"/>
      <c r="W8" s="690"/>
      <c r="X8" s="690"/>
      <c r="Y8" s="690"/>
      <c r="Z8" s="940"/>
      <c r="AA8" s="611"/>
      <c r="AB8" s="611"/>
      <c r="AC8" s="611"/>
      <c r="AD8" s="941">
        <v>127112632.844</v>
      </c>
      <c r="AE8" s="690"/>
      <c r="AF8" s="690"/>
      <c r="AG8" s="755">
        <v>127112632.844</v>
      </c>
      <c r="AH8" s="940"/>
      <c r="AI8" s="611"/>
      <c r="AJ8" s="611"/>
      <c r="AK8" s="611"/>
      <c r="AL8" s="939"/>
      <c r="AM8" s="690"/>
      <c r="AN8" s="690"/>
      <c r="AO8" s="690"/>
      <c r="AU8" s="82" t="s">
        <v>94</v>
      </c>
      <c r="AV8" s="82"/>
      <c r="AW8" s="82"/>
      <c r="AX8" s="82"/>
    </row>
    <row r="9" spans="1:50">
      <c r="A9" s="756" t="s">
        <v>872</v>
      </c>
      <c r="B9" s="695">
        <v>9000</v>
      </c>
      <c r="C9" s="331"/>
      <c r="D9" s="331"/>
      <c r="E9" s="696">
        <v>9000</v>
      </c>
      <c r="F9" s="317"/>
      <c r="G9" s="330"/>
      <c r="H9" s="330"/>
      <c r="I9" s="331"/>
      <c r="J9" s="319"/>
      <c r="K9" s="331"/>
      <c r="L9" s="331"/>
      <c r="M9" s="330"/>
      <c r="N9" s="697">
        <v>9000</v>
      </c>
      <c r="O9" s="330"/>
      <c r="P9" s="330"/>
      <c r="Q9" s="698">
        <v>9000</v>
      </c>
      <c r="R9" s="319"/>
      <c r="S9" s="331"/>
      <c r="T9" s="331"/>
      <c r="U9" s="330"/>
      <c r="V9" s="317"/>
      <c r="W9" s="330"/>
      <c r="X9" s="330"/>
      <c r="Y9" s="331"/>
      <c r="Z9" s="319"/>
      <c r="AA9" s="331"/>
      <c r="AB9" s="331"/>
      <c r="AC9" s="330"/>
      <c r="AD9" s="317"/>
      <c r="AE9" s="330"/>
      <c r="AF9" s="330"/>
      <c r="AG9" s="331"/>
      <c r="AH9" s="319"/>
      <c r="AI9" s="331"/>
      <c r="AJ9" s="331"/>
      <c r="AK9" s="330"/>
      <c r="AL9" s="317"/>
      <c r="AM9" s="330"/>
      <c r="AN9" s="330"/>
      <c r="AO9" s="331"/>
      <c r="AU9" s="572" t="s">
        <v>70</v>
      </c>
      <c r="AV9" s="968" t="s">
        <v>1930</v>
      </c>
      <c r="AW9" s="572" t="s">
        <v>1929</v>
      </c>
      <c r="AX9" s="82"/>
    </row>
    <row r="10" spans="1:50">
      <c r="A10" s="757" t="s">
        <v>873</v>
      </c>
      <c r="B10" s="700">
        <v>1381000</v>
      </c>
      <c r="C10" s="339"/>
      <c r="D10" s="339"/>
      <c r="E10" s="589">
        <v>1381000</v>
      </c>
      <c r="F10" s="324"/>
      <c r="G10" s="338"/>
      <c r="H10" s="338"/>
      <c r="I10" s="339"/>
      <c r="J10" s="322"/>
      <c r="K10" s="339"/>
      <c r="L10" s="339"/>
      <c r="M10" s="338"/>
      <c r="N10" s="699">
        <v>1381000</v>
      </c>
      <c r="O10" s="338"/>
      <c r="P10" s="338"/>
      <c r="Q10" s="588">
        <v>1381000</v>
      </c>
      <c r="R10" s="322"/>
      <c r="S10" s="339"/>
      <c r="T10" s="339"/>
      <c r="U10" s="338"/>
      <c r="V10" s="324"/>
      <c r="W10" s="338"/>
      <c r="X10" s="338"/>
      <c r="Y10" s="339"/>
      <c r="Z10" s="322"/>
      <c r="AA10" s="339"/>
      <c r="AB10" s="339"/>
      <c r="AC10" s="338"/>
      <c r="AD10" s="324"/>
      <c r="AE10" s="338"/>
      <c r="AF10" s="338"/>
      <c r="AG10" s="339"/>
      <c r="AH10" s="322"/>
      <c r="AI10" s="339"/>
      <c r="AJ10" s="339"/>
      <c r="AK10" s="338"/>
      <c r="AL10" s="324"/>
      <c r="AM10" s="338"/>
      <c r="AN10" s="338"/>
      <c r="AO10" s="339"/>
      <c r="AU10" s="572" t="s">
        <v>71</v>
      </c>
      <c r="AV10" s="572">
        <f>1876663.86+176386525.72-49000</f>
        <v>178214189.58000001</v>
      </c>
      <c r="AW10" s="978">
        <f>AV10/100000</f>
        <v>1782.1418958000002</v>
      </c>
      <c r="AX10" s="82"/>
    </row>
    <row r="11" spans="1:50">
      <c r="A11" s="757" t="s">
        <v>1435</v>
      </c>
      <c r="B11" s="700">
        <v>127112632.844</v>
      </c>
      <c r="C11" s="339"/>
      <c r="D11" s="339"/>
      <c r="E11" s="589">
        <v>127112632.844</v>
      </c>
      <c r="F11" s="324"/>
      <c r="G11" s="338"/>
      <c r="H11" s="338"/>
      <c r="I11" s="339"/>
      <c r="J11" s="322"/>
      <c r="K11" s="339"/>
      <c r="L11" s="339"/>
      <c r="M11" s="338"/>
      <c r="N11" s="324"/>
      <c r="O11" s="338"/>
      <c r="P11" s="338"/>
      <c r="Q11" s="339"/>
      <c r="R11" s="322"/>
      <c r="S11" s="339"/>
      <c r="T11" s="339"/>
      <c r="U11" s="338"/>
      <c r="V11" s="324"/>
      <c r="W11" s="338"/>
      <c r="X11" s="338"/>
      <c r="Y11" s="339"/>
      <c r="Z11" s="322"/>
      <c r="AA11" s="339"/>
      <c r="AB11" s="339"/>
      <c r="AC11" s="338"/>
      <c r="AD11" s="699">
        <v>127112632.844</v>
      </c>
      <c r="AE11" s="338"/>
      <c r="AF11" s="338"/>
      <c r="AG11" s="588">
        <v>127112632.844</v>
      </c>
      <c r="AH11" s="322"/>
      <c r="AI11" s="339"/>
      <c r="AJ11" s="339"/>
      <c r="AK11" s="338"/>
      <c r="AL11" s="324"/>
      <c r="AM11" s="338"/>
      <c r="AN11" s="338"/>
      <c r="AO11" s="339"/>
      <c r="AU11" s="572" t="s">
        <v>428</v>
      </c>
      <c r="AV11" s="572">
        <f>3762805+32671632</f>
        <v>36434437</v>
      </c>
      <c r="AW11" s="978">
        <f>AV11/100000</f>
        <v>364.34437000000003</v>
      </c>
      <c r="AX11" s="82"/>
    </row>
    <row r="12" spans="1:50">
      <c r="A12" s="757" t="s">
        <v>874</v>
      </c>
      <c r="B12" s="716">
        <v>8831430</v>
      </c>
      <c r="C12" s="339"/>
      <c r="D12" s="339"/>
      <c r="E12" s="594">
        <v>8831430</v>
      </c>
      <c r="F12" s="324"/>
      <c r="G12" s="338"/>
      <c r="H12" s="338"/>
      <c r="I12" s="339"/>
      <c r="J12" s="322"/>
      <c r="K12" s="339"/>
      <c r="L12" s="339"/>
      <c r="M12" s="338"/>
      <c r="N12" s="717">
        <v>8831430</v>
      </c>
      <c r="O12" s="338"/>
      <c r="P12" s="338"/>
      <c r="Q12" s="592">
        <v>8831430</v>
      </c>
      <c r="R12" s="322"/>
      <c r="S12" s="339"/>
      <c r="T12" s="339"/>
      <c r="U12" s="338"/>
      <c r="V12" s="324"/>
      <c r="W12" s="338"/>
      <c r="X12" s="338"/>
      <c r="Y12" s="339"/>
      <c r="Z12" s="322"/>
      <c r="AA12" s="339"/>
      <c r="AB12" s="339"/>
      <c r="AC12" s="338"/>
      <c r="AD12" s="324"/>
      <c r="AE12" s="338"/>
      <c r="AF12" s="338"/>
      <c r="AG12" s="339"/>
      <c r="AH12" s="322"/>
      <c r="AI12" s="339"/>
      <c r="AJ12" s="339"/>
      <c r="AK12" s="338"/>
      <c r="AL12" s="324"/>
      <c r="AM12" s="338"/>
      <c r="AN12" s="338"/>
      <c r="AO12" s="339"/>
      <c r="AU12" s="572" t="s">
        <v>1323</v>
      </c>
      <c r="AV12" s="572">
        <v>49000</v>
      </c>
      <c r="AW12" s="978">
        <f>AV12/100000</f>
        <v>0.49</v>
      </c>
      <c r="AX12" s="82"/>
    </row>
    <row r="13" spans="1:50">
      <c r="A13" s="757" t="s">
        <v>875</v>
      </c>
      <c r="B13" s="700">
        <v>105944625</v>
      </c>
      <c r="C13" s="339"/>
      <c r="D13" s="339"/>
      <c r="E13" s="589">
        <v>105944625</v>
      </c>
      <c r="F13" s="324"/>
      <c r="G13" s="338"/>
      <c r="H13" s="338"/>
      <c r="I13" s="339"/>
      <c r="J13" s="322"/>
      <c r="K13" s="339"/>
      <c r="L13" s="339"/>
      <c r="M13" s="338"/>
      <c r="N13" s="699">
        <v>105944625</v>
      </c>
      <c r="O13" s="338"/>
      <c r="P13" s="338"/>
      <c r="Q13" s="588">
        <v>105944625</v>
      </c>
      <c r="R13" s="322"/>
      <c r="S13" s="339"/>
      <c r="T13" s="339"/>
      <c r="U13" s="338"/>
      <c r="V13" s="324"/>
      <c r="W13" s="338"/>
      <c r="X13" s="338"/>
      <c r="Y13" s="339"/>
      <c r="Z13" s="322"/>
      <c r="AA13" s="339"/>
      <c r="AB13" s="339"/>
      <c r="AC13" s="338"/>
      <c r="AD13" s="324"/>
      <c r="AE13" s="338"/>
      <c r="AF13" s="338"/>
      <c r="AG13" s="339"/>
      <c r="AH13" s="322"/>
      <c r="AI13" s="339"/>
      <c r="AJ13" s="339"/>
      <c r="AK13" s="338"/>
      <c r="AL13" s="324"/>
      <c r="AM13" s="338"/>
      <c r="AN13" s="338"/>
      <c r="AO13" s="339"/>
      <c r="AU13" s="572" t="s">
        <v>1324</v>
      </c>
      <c r="AV13" s="572"/>
      <c r="AW13" s="572"/>
      <c r="AX13" s="82"/>
    </row>
    <row r="14" spans="1:50">
      <c r="A14" s="969" t="s">
        <v>335</v>
      </c>
      <c r="B14" s="970">
        <v>88314300</v>
      </c>
      <c r="C14" s="971"/>
      <c r="D14" s="971"/>
      <c r="E14" s="972">
        <v>88314300</v>
      </c>
      <c r="F14" s="322"/>
      <c r="G14" s="339"/>
      <c r="H14" s="339"/>
      <c r="I14" s="338"/>
      <c r="J14" s="324"/>
      <c r="K14" s="338"/>
      <c r="L14" s="338"/>
      <c r="M14" s="339"/>
      <c r="N14" s="700">
        <v>88314300</v>
      </c>
      <c r="O14" s="339"/>
      <c r="P14" s="339"/>
      <c r="Q14" s="589">
        <v>88314300</v>
      </c>
      <c r="R14" s="324"/>
      <c r="S14" s="338"/>
      <c r="T14" s="338"/>
      <c r="U14" s="339"/>
      <c r="V14" s="322"/>
      <c r="W14" s="339"/>
      <c r="X14" s="339"/>
      <c r="Y14" s="338"/>
      <c r="Z14" s="324"/>
      <c r="AA14" s="338"/>
      <c r="AB14" s="338"/>
      <c r="AC14" s="339"/>
      <c r="AD14" s="322"/>
      <c r="AE14" s="339"/>
      <c r="AF14" s="339"/>
      <c r="AG14" s="338"/>
      <c r="AH14" s="324"/>
      <c r="AI14" s="338"/>
      <c r="AJ14" s="338"/>
      <c r="AK14" s="339"/>
      <c r="AL14" s="322"/>
      <c r="AM14" s="339"/>
      <c r="AN14" s="339"/>
      <c r="AO14" s="338"/>
      <c r="AU14" s="572" t="s">
        <v>72</v>
      </c>
      <c r="AV14" s="572">
        <f>11160000</f>
        <v>11160000</v>
      </c>
      <c r="AW14" s="572">
        <f>AV14/100000</f>
        <v>111.6</v>
      </c>
      <c r="AX14" s="82"/>
    </row>
    <row r="15" spans="1:50">
      <c r="A15" s="969" t="s">
        <v>704</v>
      </c>
      <c r="B15" s="970">
        <v>20200200</v>
      </c>
      <c r="C15" s="971"/>
      <c r="D15" s="971"/>
      <c r="E15" s="972">
        <v>20200200</v>
      </c>
      <c r="F15" s="322"/>
      <c r="G15" s="339"/>
      <c r="H15" s="339"/>
      <c r="I15" s="338"/>
      <c r="J15" s="324"/>
      <c r="K15" s="338"/>
      <c r="L15" s="338"/>
      <c r="M15" s="339"/>
      <c r="N15" s="322"/>
      <c r="O15" s="339"/>
      <c r="P15" s="339"/>
      <c r="Q15" s="338"/>
      <c r="R15" s="324"/>
      <c r="S15" s="338"/>
      <c r="T15" s="338"/>
      <c r="U15" s="339"/>
      <c r="V15" s="322"/>
      <c r="W15" s="339"/>
      <c r="X15" s="339"/>
      <c r="Y15" s="338"/>
      <c r="Z15" s="324"/>
      <c r="AA15" s="338"/>
      <c r="AB15" s="338"/>
      <c r="AC15" s="339"/>
      <c r="AD15" s="700">
        <v>20200200</v>
      </c>
      <c r="AE15" s="339"/>
      <c r="AF15" s="339"/>
      <c r="AG15" s="589">
        <v>20200200</v>
      </c>
      <c r="AH15" s="324"/>
      <c r="AI15" s="338"/>
      <c r="AJ15" s="338"/>
      <c r="AK15" s="339"/>
      <c r="AL15" s="322"/>
      <c r="AM15" s="339"/>
      <c r="AN15" s="339"/>
      <c r="AO15" s="338"/>
      <c r="AU15" s="572" t="s">
        <v>73</v>
      </c>
      <c r="AV15" s="572">
        <f>40000+9000+7625881.11+4251357</f>
        <v>11926238.109999999</v>
      </c>
      <c r="AW15" s="978">
        <f>AV15/100000</f>
        <v>119.2623811</v>
      </c>
      <c r="AX15" s="82"/>
    </row>
    <row r="16" spans="1:50">
      <c r="A16" s="311" t="s">
        <v>336</v>
      </c>
      <c r="B16" s="720">
        <v>172314449.03999999</v>
      </c>
      <c r="C16" s="703">
        <v>408262880.89999998</v>
      </c>
      <c r="D16" s="703">
        <v>807300807.36000001</v>
      </c>
      <c r="E16" s="740">
        <v>571352375.5</v>
      </c>
      <c r="F16" s="326"/>
      <c r="G16" s="595"/>
      <c r="H16" s="595"/>
      <c r="I16" s="340"/>
      <c r="J16" s="328"/>
      <c r="K16" s="708"/>
      <c r="L16" s="708"/>
      <c r="M16" s="341"/>
      <c r="N16" s="709">
        <v>172314449.03999999</v>
      </c>
      <c r="O16" s="591">
        <v>408262880.89999998</v>
      </c>
      <c r="P16" s="591">
        <v>807300807.36000001</v>
      </c>
      <c r="Q16" s="590">
        <v>571352375.5</v>
      </c>
      <c r="R16" s="328"/>
      <c r="S16" s="708"/>
      <c r="T16" s="708"/>
      <c r="U16" s="341"/>
      <c r="V16" s="326"/>
      <c r="W16" s="595"/>
      <c r="X16" s="595"/>
      <c r="Y16" s="340"/>
      <c r="Z16" s="328"/>
      <c r="AA16" s="708"/>
      <c r="AB16" s="708"/>
      <c r="AC16" s="341"/>
      <c r="AD16" s="709">
        <v>293076557.51999998</v>
      </c>
      <c r="AE16" s="591">
        <v>2291834161.7800002</v>
      </c>
      <c r="AF16" s="591">
        <v>2020906699.1900001</v>
      </c>
      <c r="AG16" s="590">
        <v>22149094.93</v>
      </c>
      <c r="AH16" s="328"/>
      <c r="AI16" s="708"/>
      <c r="AJ16" s="708"/>
      <c r="AK16" s="341"/>
      <c r="AL16" s="326"/>
      <c r="AM16" s="595"/>
      <c r="AN16" s="595"/>
      <c r="AO16" s="340"/>
      <c r="AU16" s="572" t="s">
        <v>74</v>
      </c>
      <c r="AV16" s="572"/>
      <c r="AW16" s="572"/>
      <c r="AX16" s="82"/>
    </row>
    <row r="17" spans="1:74">
      <c r="A17" s="316" t="s">
        <v>705</v>
      </c>
      <c r="B17" s="938">
        <v>14277694.42</v>
      </c>
      <c r="C17" s="587">
        <v>1574709015.8</v>
      </c>
      <c r="D17" s="587">
        <v>1576856060.3099999</v>
      </c>
      <c r="E17" s="760">
        <v>16424738.93</v>
      </c>
      <c r="F17" s="939"/>
      <c r="G17" s="690"/>
      <c r="H17" s="690"/>
      <c r="I17" s="690"/>
      <c r="J17" s="940"/>
      <c r="K17" s="611"/>
      <c r="L17" s="611"/>
      <c r="M17" s="611"/>
      <c r="N17" s="939"/>
      <c r="O17" s="690"/>
      <c r="P17" s="690"/>
      <c r="Q17" s="690"/>
      <c r="R17" s="940"/>
      <c r="S17" s="611"/>
      <c r="T17" s="611"/>
      <c r="U17" s="611"/>
      <c r="V17" s="939"/>
      <c r="W17" s="690"/>
      <c r="X17" s="690"/>
      <c r="Y17" s="690"/>
      <c r="Z17" s="940"/>
      <c r="AA17" s="611"/>
      <c r="AB17" s="611"/>
      <c r="AC17" s="611"/>
      <c r="AD17" s="941">
        <v>14277694.42</v>
      </c>
      <c r="AE17" s="691">
        <v>1574709015.8</v>
      </c>
      <c r="AF17" s="691">
        <v>1576856060.3099999</v>
      </c>
      <c r="AG17" s="755">
        <v>16424738.93</v>
      </c>
      <c r="AH17" s="940"/>
      <c r="AI17" s="611"/>
      <c r="AJ17" s="611"/>
      <c r="AK17" s="611"/>
      <c r="AL17" s="939"/>
      <c r="AM17" s="690"/>
      <c r="AN17" s="690"/>
      <c r="AO17" s="690"/>
      <c r="AU17" s="572"/>
      <c r="AV17" s="572"/>
      <c r="AW17" s="572"/>
      <c r="AX17" s="82"/>
      <c r="BD17" s="82" t="s">
        <v>915</v>
      </c>
      <c r="BG17" t="s">
        <v>1918</v>
      </c>
      <c r="BJ17" t="s">
        <v>1919</v>
      </c>
      <c r="BO17" t="s">
        <v>342</v>
      </c>
      <c r="BR17" t="s">
        <v>1926</v>
      </c>
    </row>
    <row r="18" spans="1:74">
      <c r="A18" s="757" t="s">
        <v>1436</v>
      </c>
      <c r="B18" s="695">
        <v>14311471.779999999</v>
      </c>
      <c r="C18" s="318">
        <v>1574709015.8</v>
      </c>
      <c r="D18" s="318">
        <v>1576856060.3099999</v>
      </c>
      <c r="E18" s="696">
        <v>16458516.289999999</v>
      </c>
      <c r="F18" s="317"/>
      <c r="G18" s="330"/>
      <c r="H18" s="330"/>
      <c r="I18" s="331"/>
      <c r="J18" s="319"/>
      <c r="K18" s="331"/>
      <c r="L18" s="331"/>
      <c r="M18" s="330"/>
      <c r="N18" s="317"/>
      <c r="O18" s="330"/>
      <c r="P18" s="330"/>
      <c r="Q18" s="331"/>
      <c r="R18" s="319"/>
      <c r="S18" s="331"/>
      <c r="T18" s="331"/>
      <c r="U18" s="330"/>
      <c r="V18" s="317"/>
      <c r="W18" s="330"/>
      <c r="X18" s="330"/>
      <c r="Y18" s="331"/>
      <c r="Z18" s="319"/>
      <c r="AA18" s="331"/>
      <c r="AB18" s="331"/>
      <c r="AC18" s="330"/>
      <c r="AD18" s="697">
        <v>14311471.779999999</v>
      </c>
      <c r="AE18" s="320">
        <v>1574709015.8</v>
      </c>
      <c r="AF18" s="320">
        <v>1576856060.3099999</v>
      </c>
      <c r="AG18" s="698">
        <v>16458516.289999999</v>
      </c>
      <c r="AH18" s="319"/>
      <c r="AI18" s="331"/>
      <c r="AJ18" s="331"/>
      <c r="AK18" s="330"/>
      <c r="AL18" s="317"/>
      <c r="AM18" s="330"/>
      <c r="AN18" s="330"/>
      <c r="AO18" s="331"/>
      <c r="AU18" s="572"/>
      <c r="AV18" s="572"/>
      <c r="AW18" s="572"/>
      <c r="AX18" s="82"/>
    </row>
    <row r="19" spans="1:74">
      <c r="A19" s="757" t="s">
        <v>1437</v>
      </c>
      <c r="B19" s="716">
        <v>33777.360000000001</v>
      </c>
      <c r="C19" s="339"/>
      <c r="D19" s="339"/>
      <c r="E19" s="594">
        <v>33777.360000000001</v>
      </c>
      <c r="F19" s="324"/>
      <c r="G19" s="338"/>
      <c r="H19" s="338"/>
      <c r="I19" s="339"/>
      <c r="J19" s="322"/>
      <c r="K19" s="339"/>
      <c r="L19" s="339"/>
      <c r="M19" s="338"/>
      <c r="N19" s="324"/>
      <c r="O19" s="338"/>
      <c r="P19" s="338"/>
      <c r="Q19" s="339"/>
      <c r="R19" s="322"/>
      <c r="S19" s="339"/>
      <c r="T19" s="339"/>
      <c r="U19" s="338"/>
      <c r="V19" s="324"/>
      <c r="W19" s="338"/>
      <c r="X19" s="338"/>
      <c r="Y19" s="339"/>
      <c r="Z19" s="322"/>
      <c r="AA19" s="339"/>
      <c r="AB19" s="339"/>
      <c r="AC19" s="338"/>
      <c r="AD19" s="717">
        <v>33777.360000000001</v>
      </c>
      <c r="AE19" s="338"/>
      <c r="AF19" s="338"/>
      <c r="AG19" s="592">
        <v>33777.360000000001</v>
      </c>
      <c r="AH19" s="322"/>
      <c r="AI19" s="339"/>
      <c r="AJ19" s="339"/>
      <c r="AK19" s="338"/>
      <c r="AL19" s="324"/>
      <c r="AM19" s="338"/>
      <c r="AN19" s="338"/>
      <c r="AO19" s="339"/>
      <c r="AU19" s="572"/>
      <c r="AV19" s="572"/>
      <c r="AW19" s="572"/>
      <c r="AX19" s="82"/>
      <c r="BD19" s="305" t="s">
        <v>1906</v>
      </c>
      <c r="BE19" s="305" t="s">
        <v>617</v>
      </c>
      <c r="BG19" s="305" t="s">
        <v>1920</v>
      </c>
      <c r="BH19" s="305" t="s">
        <v>617</v>
      </c>
      <c r="BJ19" s="305" t="s">
        <v>1920</v>
      </c>
      <c r="BK19" s="305" t="s">
        <v>617</v>
      </c>
      <c r="BO19" s="305" t="s">
        <v>1920</v>
      </c>
      <c r="BP19" s="305" t="s">
        <v>617</v>
      </c>
      <c r="BR19" s="305" t="s">
        <v>1920</v>
      </c>
      <c r="BS19" s="305" t="s">
        <v>617</v>
      </c>
    </row>
    <row r="20" spans="1:74">
      <c r="A20" s="316" t="s">
        <v>337</v>
      </c>
      <c r="B20" s="942">
        <v>773710.14</v>
      </c>
      <c r="C20" s="591">
        <v>124746</v>
      </c>
      <c r="D20" s="591">
        <v>397557767.36000001</v>
      </c>
      <c r="E20" s="768">
        <v>398206731.5</v>
      </c>
      <c r="F20" s="943"/>
      <c r="G20" s="708"/>
      <c r="H20" s="708"/>
      <c r="I20" s="708"/>
      <c r="J20" s="944"/>
      <c r="K20" s="595"/>
      <c r="L20" s="595"/>
      <c r="M20" s="595"/>
      <c r="N20" s="945">
        <v>773710.14</v>
      </c>
      <c r="O20" s="703">
        <v>124746</v>
      </c>
      <c r="P20" s="703">
        <v>397557767.36000001</v>
      </c>
      <c r="Q20" s="766">
        <v>398206731.5</v>
      </c>
      <c r="R20" s="944"/>
      <c r="S20" s="595"/>
      <c r="T20" s="595"/>
      <c r="U20" s="595"/>
      <c r="V20" s="943"/>
      <c r="W20" s="708"/>
      <c r="X20" s="708"/>
      <c r="Y20" s="708"/>
      <c r="Z20" s="944"/>
      <c r="AA20" s="595"/>
      <c r="AB20" s="595"/>
      <c r="AC20" s="595"/>
      <c r="AD20" s="945">
        <v>448342555</v>
      </c>
      <c r="AE20" s="703">
        <v>479762058.98000002</v>
      </c>
      <c r="AF20" s="703">
        <v>31419503.98</v>
      </c>
      <c r="AG20" s="708"/>
      <c r="AH20" s="944"/>
      <c r="AI20" s="595"/>
      <c r="AJ20" s="595"/>
      <c r="AK20" s="595"/>
      <c r="AL20" s="943"/>
      <c r="AM20" s="708"/>
      <c r="AN20" s="708"/>
      <c r="AO20" s="708"/>
      <c r="AU20" s="572" t="s">
        <v>75</v>
      </c>
      <c r="AV20" s="572"/>
      <c r="AW20" s="572"/>
      <c r="AX20" s="82"/>
      <c r="BD20" s="305" t="s">
        <v>1907</v>
      </c>
      <c r="BE20" s="973">
        <v>38816851.008000001</v>
      </c>
      <c r="BG20" s="305" t="s">
        <v>1907</v>
      </c>
      <c r="BH20" s="974">
        <f>2183405.392-0.09</f>
        <v>2183405.3020000001</v>
      </c>
      <c r="BJ20" s="305" t="s">
        <v>1922</v>
      </c>
      <c r="BK20" s="974">
        <f>830+1042</f>
        <v>1872</v>
      </c>
      <c r="BM20" s="348">
        <f t="shared" ref="BM20:BM28" si="0">BH20-BK20</f>
        <v>2181533.3020000001</v>
      </c>
      <c r="BN20" s="348"/>
      <c r="BO20" s="305" t="s">
        <v>1907</v>
      </c>
      <c r="BP20" s="974">
        <v>18529596</v>
      </c>
      <c r="BR20" s="305" t="s">
        <v>1922</v>
      </c>
      <c r="BS20" s="974">
        <v>0</v>
      </c>
      <c r="BU20" s="116">
        <f>BP20-BS20</f>
        <v>18529596</v>
      </c>
    </row>
    <row r="21" spans="1:74">
      <c r="A21" s="757" t="s">
        <v>1438</v>
      </c>
      <c r="B21" s="695">
        <v>84718710</v>
      </c>
      <c r="C21" s="318">
        <v>88863862</v>
      </c>
      <c r="D21" s="318">
        <v>73347862</v>
      </c>
      <c r="E21" s="696">
        <v>73347862</v>
      </c>
      <c r="F21" s="317"/>
      <c r="G21" s="330"/>
      <c r="H21" s="330"/>
      <c r="I21" s="331"/>
      <c r="J21" s="319"/>
      <c r="K21" s="331"/>
      <c r="L21" s="331"/>
      <c r="M21" s="330"/>
      <c r="N21" s="317"/>
      <c r="O21" s="330"/>
      <c r="P21" s="320">
        <v>73347862</v>
      </c>
      <c r="Q21" s="698">
        <v>73347862</v>
      </c>
      <c r="R21" s="319"/>
      <c r="S21" s="331"/>
      <c r="T21" s="331"/>
      <c r="U21" s="330"/>
      <c r="V21" s="317"/>
      <c r="W21" s="330"/>
      <c r="X21" s="330"/>
      <c r="Y21" s="331"/>
      <c r="Z21" s="319"/>
      <c r="AA21" s="331"/>
      <c r="AB21" s="331"/>
      <c r="AC21" s="330"/>
      <c r="AD21" s="697">
        <v>84718710</v>
      </c>
      <c r="AE21" s="320">
        <v>88863862</v>
      </c>
      <c r="AF21" s="320">
        <v>4145152</v>
      </c>
      <c r="AG21" s="331"/>
      <c r="AH21" s="319"/>
      <c r="AI21" s="331"/>
      <c r="AJ21" s="331"/>
      <c r="AK21" s="330"/>
      <c r="AL21" s="317"/>
      <c r="AM21" s="330"/>
      <c r="AN21" s="330"/>
      <c r="AO21" s="331"/>
      <c r="AU21" s="572" t="s">
        <v>76</v>
      </c>
      <c r="AV21" s="979">
        <f>+BE31</f>
        <v>907005208.41600001</v>
      </c>
      <c r="AW21" s="572">
        <f>AV21/100000</f>
        <v>9070.052084160001</v>
      </c>
      <c r="AX21" s="82"/>
      <c r="BD21" s="305" t="s">
        <v>1908</v>
      </c>
      <c r="BE21" s="305">
        <v>83643123.974999994</v>
      </c>
      <c r="BG21" s="305" t="s">
        <v>1921</v>
      </c>
      <c r="BH21" s="305">
        <f>10356141.149-7025</f>
        <v>10349116.149</v>
      </c>
      <c r="BJ21" s="305" t="s">
        <v>1908</v>
      </c>
      <c r="BK21" s="305">
        <f>303514+14200</f>
        <v>317714</v>
      </c>
      <c r="BM21" s="348">
        <f t="shared" si="0"/>
        <v>10031402.149</v>
      </c>
      <c r="BN21" s="348"/>
      <c r="BO21" s="305" t="s">
        <v>1921</v>
      </c>
      <c r="BP21" s="305">
        <v>171551185.12200001</v>
      </c>
      <c r="BR21" s="305" t="s">
        <v>1908</v>
      </c>
      <c r="BS21" s="305">
        <v>25180956.600000001</v>
      </c>
      <c r="BU21" s="116">
        <f t="shared" ref="BU21:BU28" si="1">BP21-BS21</f>
        <v>146370228.52200001</v>
      </c>
    </row>
    <row r="22" spans="1:74">
      <c r="A22" s="757" t="s">
        <v>1439</v>
      </c>
      <c r="B22" s="700">
        <v>6879499</v>
      </c>
      <c r="C22" s="325">
        <v>7216006</v>
      </c>
      <c r="D22" s="325">
        <v>5956006</v>
      </c>
      <c r="E22" s="589">
        <v>5956006</v>
      </c>
      <c r="F22" s="324"/>
      <c r="G22" s="338"/>
      <c r="H22" s="338"/>
      <c r="I22" s="339"/>
      <c r="J22" s="322"/>
      <c r="K22" s="339"/>
      <c r="L22" s="339"/>
      <c r="M22" s="338"/>
      <c r="N22" s="324"/>
      <c r="O22" s="338"/>
      <c r="P22" s="323">
        <v>5956006</v>
      </c>
      <c r="Q22" s="588">
        <v>5956006</v>
      </c>
      <c r="R22" s="322"/>
      <c r="S22" s="339"/>
      <c r="T22" s="339"/>
      <c r="U22" s="338"/>
      <c r="V22" s="324"/>
      <c r="W22" s="338"/>
      <c r="X22" s="338"/>
      <c r="Y22" s="339"/>
      <c r="Z22" s="322"/>
      <c r="AA22" s="339"/>
      <c r="AB22" s="339"/>
      <c r="AC22" s="338"/>
      <c r="AD22" s="699">
        <v>6879499</v>
      </c>
      <c r="AE22" s="323">
        <v>7216006</v>
      </c>
      <c r="AF22" s="323">
        <v>336507</v>
      </c>
      <c r="AG22" s="339"/>
      <c r="AH22" s="322"/>
      <c r="AI22" s="339"/>
      <c r="AJ22" s="339"/>
      <c r="AK22" s="338"/>
      <c r="AL22" s="324"/>
      <c r="AM22" s="338"/>
      <c r="AN22" s="338"/>
      <c r="AO22" s="339"/>
      <c r="AU22" s="572" t="s">
        <v>77</v>
      </c>
      <c r="AV22" s="572"/>
      <c r="AW22" s="572"/>
      <c r="AX22" s="82"/>
      <c r="BD22" s="305" t="s">
        <v>1909</v>
      </c>
      <c r="BE22" s="305">
        <v>417899605</v>
      </c>
      <c r="BG22" s="305" t="s">
        <v>1909</v>
      </c>
      <c r="BH22" s="305">
        <f>9618940.15+40295.46-105381</f>
        <v>9553854.6100000013</v>
      </c>
      <c r="BJ22" s="305" t="s">
        <v>1909</v>
      </c>
      <c r="BK22" s="305">
        <f>5869.4+199112+9200</f>
        <v>214181.4</v>
      </c>
      <c r="BM22" s="348">
        <f t="shared" si="0"/>
        <v>9339673.2100000009</v>
      </c>
      <c r="BN22" s="348"/>
      <c r="BO22" s="305" t="s">
        <v>1909</v>
      </c>
      <c r="BP22" s="305">
        <v>753184776.42999995</v>
      </c>
      <c r="BR22" s="305" t="s">
        <v>1909</v>
      </c>
      <c r="BS22" s="305">
        <v>2906746.2</v>
      </c>
      <c r="BU22" s="116">
        <f t="shared" si="1"/>
        <v>750278030.2299999</v>
      </c>
    </row>
    <row r="23" spans="1:74">
      <c r="A23" s="757" t="s">
        <v>1120</v>
      </c>
      <c r="B23" s="700">
        <v>773710.14</v>
      </c>
      <c r="C23" s="325">
        <v>124746</v>
      </c>
      <c r="D23" s="325">
        <v>29745.360000000001</v>
      </c>
      <c r="E23" s="589">
        <v>678709.5</v>
      </c>
      <c r="F23" s="324"/>
      <c r="G23" s="338"/>
      <c r="H23" s="338"/>
      <c r="I23" s="339"/>
      <c r="J23" s="322"/>
      <c r="K23" s="339"/>
      <c r="L23" s="339"/>
      <c r="M23" s="338"/>
      <c r="N23" s="699">
        <v>773710.14</v>
      </c>
      <c r="O23" s="323">
        <v>124746</v>
      </c>
      <c r="P23" s="323">
        <v>29745.360000000001</v>
      </c>
      <c r="Q23" s="588">
        <v>678709.5</v>
      </c>
      <c r="R23" s="322"/>
      <c r="S23" s="339"/>
      <c r="T23" s="339"/>
      <c r="U23" s="338"/>
      <c r="V23" s="324"/>
      <c r="W23" s="338"/>
      <c r="X23" s="338"/>
      <c r="Y23" s="339"/>
      <c r="Z23" s="322"/>
      <c r="AA23" s="339"/>
      <c r="AB23" s="339"/>
      <c r="AC23" s="338"/>
      <c r="AD23" s="324"/>
      <c r="AE23" s="338"/>
      <c r="AF23" s="338"/>
      <c r="AG23" s="339"/>
      <c r="AH23" s="322"/>
      <c r="AI23" s="339"/>
      <c r="AJ23" s="339"/>
      <c r="AK23" s="338"/>
      <c r="AL23" s="324"/>
      <c r="AM23" s="338"/>
      <c r="AN23" s="338"/>
      <c r="AO23" s="339"/>
      <c r="AU23" s="572" t="s">
        <v>1079</v>
      </c>
      <c r="AV23" s="572">
        <f>4653635.13</f>
        <v>4653635.13</v>
      </c>
      <c r="AW23" s="572">
        <f>AV23/100000</f>
        <v>46.5363513</v>
      </c>
      <c r="AX23" s="82"/>
      <c r="BD23" s="305" t="s">
        <v>1910</v>
      </c>
      <c r="BE23" s="305">
        <v>20874717.425000001</v>
      </c>
      <c r="BG23" s="305" t="s">
        <v>1910</v>
      </c>
      <c r="BH23" s="305">
        <v>7944800.2520000003</v>
      </c>
      <c r="BJ23" s="305" t="s">
        <v>1910</v>
      </c>
      <c r="BK23" s="305">
        <v>18030</v>
      </c>
      <c r="BM23" s="348">
        <f t="shared" si="0"/>
        <v>7926770.2520000003</v>
      </c>
      <c r="BN23" s="348"/>
      <c r="BO23" s="305" t="s">
        <v>1910</v>
      </c>
      <c r="BP23" s="305">
        <v>62104</v>
      </c>
      <c r="BR23" s="305" t="s">
        <v>1910</v>
      </c>
      <c r="BS23" s="305">
        <v>0</v>
      </c>
      <c r="BU23" s="116">
        <f t="shared" si="1"/>
        <v>62104</v>
      </c>
    </row>
    <row r="24" spans="1:74">
      <c r="A24" s="757" t="s">
        <v>1440</v>
      </c>
      <c r="B24" s="700">
        <v>113273</v>
      </c>
      <c r="C24" s="325">
        <v>115797.98</v>
      </c>
      <c r="D24" s="325">
        <v>2524.98</v>
      </c>
      <c r="E24" s="338"/>
      <c r="F24" s="324"/>
      <c r="G24" s="338"/>
      <c r="H24" s="338"/>
      <c r="I24" s="339"/>
      <c r="J24" s="322"/>
      <c r="K24" s="339"/>
      <c r="L24" s="339"/>
      <c r="M24" s="338"/>
      <c r="N24" s="324"/>
      <c r="O24" s="338"/>
      <c r="P24" s="338"/>
      <c r="Q24" s="339"/>
      <c r="R24" s="322"/>
      <c r="S24" s="339"/>
      <c r="T24" s="339"/>
      <c r="U24" s="338"/>
      <c r="V24" s="324"/>
      <c r="W24" s="338"/>
      <c r="X24" s="338"/>
      <c r="Y24" s="339"/>
      <c r="Z24" s="322"/>
      <c r="AA24" s="339"/>
      <c r="AB24" s="339"/>
      <c r="AC24" s="338"/>
      <c r="AD24" s="699">
        <v>113273</v>
      </c>
      <c r="AE24" s="323">
        <v>115797.98</v>
      </c>
      <c r="AF24" s="323">
        <v>2524.98</v>
      </c>
      <c r="AG24" s="339"/>
      <c r="AH24" s="322"/>
      <c r="AI24" s="339"/>
      <c r="AJ24" s="339"/>
      <c r="AK24" s="338"/>
      <c r="AL24" s="324"/>
      <c r="AM24" s="338"/>
      <c r="AN24" s="338"/>
      <c r="AO24" s="339"/>
      <c r="AU24" s="572" t="s">
        <v>97</v>
      </c>
      <c r="AV24" s="572">
        <f>1500655+142138067.92+237769521.47+23518722.63+214538076.29-18437322-179920142-88012304.6-3360947-34617934.29-16634711.526</f>
        <v>278481681.89399987</v>
      </c>
      <c r="AW24" s="572">
        <f>AV24/100000</f>
        <v>2784.8168189399989</v>
      </c>
      <c r="AX24" s="82"/>
      <c r="BD24" s="305" t="s">
        <v>1911</v>
      </c>
      <c r="BE24" s="305">
        <v>113866.008</v>
      </c>
      <c r="BG24" s="305" t="s">
        <v>1923</v>
      </c>
      <c r="BH24" s="305">
        <f>4453568.364-210</f>
        <v>4453358.3640000001</v>
      </c>
      <c r="BJ24" s="305" t="s">
        <v>1923</v>
      </c>
      <c r="BK24" s="305">
        <v>762</v>
      </c>
      <c r="BM24" s="348">
        <f t="shared" si="0"/>
        <v>4452596.3640000001</v>
      </c>
      <c r="BN24" s="348"/>
      <c r="BO24" s="305" t="s">
        <v>1923</v>
      </c>
      <c r="BP24" s="305">
        <v>0</v>
      </c>
      <c r="BR24" s="305" t="s">
        <v>1923</v>
      </c>
      <c r="BS24" s="305">
        <v>0</v>
      </c>
      <c r="BU24" s="116">
        <f t="shared" si="1"/>
        <v>0</v>
      </c>
    </row>
    <row r="25" spans="1:74">
      <c r="A25" s="757" t="s">
        <v>1441</v>
      </c>
      <c r="B25" s="700">
        <v>31581</v>
      </c>
      <c r="C25" s="325">
        <v>50239</v>
      </c>
      <c r="D25" s="325">
        <v>18658</v>
      </c>
      <c r="E25" s="338"/>
      <c r="F25" s="324"/>
      <c r="G25" s="338"/>
      <c r="H25" s="338"/>
      <c r="I25" s="339"/>
      <c r="J25" s="322"/>
      <c r="K25" s="339"/>
      <c r="L25" s="339"/>
      <c r="M25" s="338"/>
      <c r="N25" s="324"/>
      <c r="O25" s="338"/>
      <c r="P25" s="338"/>
      <c r="Q25" s="339"/>
      <c r="R25" s="322"/>
      <c r="S25" s="339"/>
      <c r="T25" s="339"/>
      <c r="U25" s="338"/>
      <c r="V25" s="324"/>
      <c r="W25" s="338"/>
      <c r="X25" s="338"/>
      <c r="Y25" s="339"/>
      <c r="Z25" s="322"/>
      <c r="AA25" s="339"/>
      <c r="AB25" s="339"/>
      <c r="AC25" s="338"/>
      <c r="AD25" s="699">
        <v>31581</v>
      </c>
      <c r="AE25" s="323">
        <v>50239</v>
      </c>
      <c r="AF25" s="323">
        <v>18658</v>
      </c>
      <c r="AG25" s="339"/>
      <c r="AH25" s="322"/>
      <c r="AI25" s="339"/>
      <c r="AJ25" s="339"/>
      <c r="AK25" s="338"/>
      <c r="AL25" s="324"/>
      <c r="AM25" s="338"/>
      <c r="AN25" s="338"/>
      <c r="AO25" s="339"/>
      <c r="AU25" s="572" t="s">
        <v>98</v>
      </c>
      <c r="AV25" s="572">
        <f>109281.71+35447868.798+33777.36-20000000-860000-300000-219541-340509</f>
        <v>13870877.868000001</v>
      </c>
      <c r="AW25" s="572">
        <f>AV25/100000</f>
        <v>138.70877867999999</v>
      </c>
      <c r="AX25" s="82"/>
      <c r="BD25" s="305" t="s">
        <v>1912</v>
      </c>
      <c r="BE25" s="305">
        <v>0</v>
      </c>
      <c r="BG25" s="305" t="s">
        <v>1924</v>
      </c>
      <c r="BH25" s="305">
        <f>4074411.136+23140.032-3366.983</f>
        <v>4094184.1850000001</v>
      </c>
      <c r="BJ25" s="305" t="s">
        <v>1924</v>
      </c>
      <c r="BK25" s="305">
        <f>-(4992+21591-74-15000)</f>
        <v>-11509</v>
      </c>
      <c r="BM25" s="348">
        <f t="shared" si="0"/>
        <v>4105693.1850000001</v>
      </c>
      <c r="BN25" s="348"/>
      <c r="BO25" s="305" t="s">
        <v>1924</v>
      </c>
      <c r="BP25" s="305">
        <v>0.11</v>
      </c>
      <c r="BR25" s="305" t="s">
        <v>1924</v>
      </c>
      <c r="BS25" s="305">
        <v>0</v>
      </c>
      <c r="BU25" s="116">
        <f t="shared" si="1"/>
        <v>0.11</v>
      </c>
    </row>
    <row r="26" spans="1:74">
      <c r="A26" s="757" t="s">
        <v>1442</v>
      </c>
      <c r="B26" s="700">
        <v>74127202</v>
      </c>
      <c r="C26" s="325">
        <v>79217913</v>
      </c>
      <c r="D26" s="325">
        <v>65645913</v>
      </c>
      <c r="E26" s="589">
        <v>65645913</v>
      </c>
      <c r="F26" s="324"/>
      <c r="G26" s="338"/>
      <c r="H26" s="338"/>
      <c r="I26" s="339"/>
      <c r="J26" s="322"/>
      <c r="K26" s="339"/>
      <c r="L26" s="339"/>
      <c r="M26" s="338"/>
      <c r="N26" s="324"/>
      <c r="O26" s="338"/>
      <c r="P26" s="323">
        <v>65645913</v>
      </c>
      <c r="Q26" s="588">
        <v>65645913</v>
      </c>
      <c r="R26" s="322"/>
      <c r="S26" s="339"/>
      <c r="T26" s="339"/>
      <c r="U26" s="338"/>
      <c r="V26" s="324"/>
      <c r="W26" s="338"/>
      <c r="X26" s="338"/>
      <c r="Y26" s="339"/>
      <c r="Z26" s="322"/>
      <c r="AA26" s="339"/>
      <c r="AB26" s="339"/>
      <c r="AC26" s="338"/>
      <c r="AD26" s="699">
        <v>74127202</v>
      </c>
      <c r="AE26" s="323">
        <v>79217913</v>
      </c>
      <c r="AF26" s="323">
        <v>5090711</v>
      </c>
      <c r="AG26" s="339"/>
      <c r="AH26" s="322"/>
      <c r="AI26" s="339"/>
      <c r="AJ26" s="339"/>
      <c r="AK26" s="338"/>
      <c r="AL26" s="324"/>
      <c r="AM26" s="338"/>
      <c r="AN26" s="338"/>
      <c r="AO26" s="339"/>
      <c r="AU26" s="572" t="s">
        <v>285</v>
      </c>
      <c r="AV26" s="572">
        <f>20000000+860000+300000+219541+340509</f>
        <v>21720050</v>
      </c>
      <c r="AW26" s="572">
        <f>AV26/100000</f>
        <v>217.20050000000001</v>
      </c>
      <c r="AX26" s="82"/>
      <c r="BD26" s="305" t="s">
        <v>1913</v>
      </c>
      <c r="BE26" s="305">
        <v>161358400</v>
      </c>
      <c r="BG26" s="305" t="s">
        <v>1912</v>
      </c>
      <c r="BH26" s="305">
        <v>46278.48</v>
      </c>
      <c r="BJ26" s="305" t="s">
        <v>1912</v>
      </c>
      <c r="BK26" s="305">
        <v>0</v>
      </c>
      <c r="BM26" s="348">
        <f t="shared" si="0"/>
        <v>46278.48</v>
      </c>
      <c r="BN26" s="348"/>
      <c r="BO26" s="305" t="s">
        <v>1912</v>
      </c>
      <c r="BP26" s="305">
        <v>0</v>
      </c>
      <c r="BR26" s="305" t="s">
        <v>1912</v>
      </c>
      <c r="BS26" s="305">
        <v>0</v>
      </c>
      <c r="BU26" s="116">
        <f t="shared" si="1"/>
        <v>0</v>
      </c>
    </row>
    <row r="27" spans="1:74">
      <c r="A27" s="757" t="s">
        <v>1443</v>
      </c>
      <c r="B27" s="700">
        <v>282472290</v>
      </c>
      <c r="C27" s="325">
        <v>304298241</v>
      </c>
      <c r="D27" s="325">
        <v>252578241</v>
      </c>
      <c r="E27" s="589">
        <v>252578241</v>
      </c>
      <c r="F27" s="324"/>
      <c r="G27" s="338"/>
      <c r="H27" s="338"/>
      <c r="I27" s="339"/>
      <c r="J27" s="322"/>
      <c r="K27" s="339"/>
      <c r="L27" s="339"/>
      <c r="M27" s="338"/>
      <c r="N27" s="324"/>
      <c r="O27" s="338"/>
      <c r="P27" s="323">
        <v>252578241</v>
      </c>
      <c r="Q27" s="588">
        <v>252578241</v>
      </c>
      <c r="R27" s="322"/>
      <c r="S27" s="339"/>
      <c r="T27" s="339"/>
      <c r="U27" s="338"/>
      <c r="V27" s="324"/>
      <c r="W27" s="338"/>
      <c r="X27" s="338"/>
      <c r="Y27" s="339"/>
      <c r="Z27" s="322"/>
      <c r="AA27" s="339"/>
      <c r="AB27" s="339"/>
      <c r="AC27" s="338"/>
      <c r="AD27" s="699">
        <v>282472290</v>
      </c>
      <c r="AE27" s="323">
        <v>304298241</v>
      </c>
      <c r="AF27" s="323">
        <v>21825951</v>
      </c>
      <c r="AG27" s="339"/>
      <c r="AH27" s="322"/>
      <c r="AI27" s="339"/>
      <c r="AJ27" s="339"/>
      <c r="AK27" s="338"/>
      <c r="AL27" s="324"/>
      <c r="AM27" s="338"/>
      <c r="AN27" s="338"/>
      <c r="AO27" s="339"/>
      <c r="AU27" s="572"/>
      <c r="AV27" s="572"/>
      <c r="AW27" s="572"/>
      <c r="AX27" s="82"/>
      <c r="BD27" s="305" t="s">
        <v>1914</v>
      </c>
      <c r="BE27" s="305">
        <v>41874840</v>
      </c>
      <c r="BG27" s="305" t="s">
        <v>1925</v>
      </c>
      <c r="BH27" s="305">
        <f>32418810.96</f>
        <v>32418810.960000001</v>
      </c>
      <c r="BJ27" s="305" t="s">
        <v>1925</v>
      </c>
      <c r="BK27" s="305">
        <v>170043</v>
      </c>
      <c r="BM27" s="348">
        <f t="shared" si="0"/>
        <v>32248767.960000001</v>
      </c>
      <c r="BN27" s="348"/>
      <c r="BO27" s="305" t="s">
        <v>1925</v>
      </c>
      <c r="BP27" s="305">
        <v>1092676</v>
      </c>
      <c r="BR27" s="305" t="s">
        <v>1925</v>
      </c>
      <c r="BS27" s="305">
        <v>0</v>
      </c>
      <c r="BU27" s="116">
        <f t="shared" si="1"/>
        <v>1092676</v>
      </c>
    </row>
    <row r="28" spans="1:74">
      <c r="A28" s="316" t="s">
        <v>338</v>
      </c>
      <c r="B28" s="942">
        <v>171540738.90000001</v>
      </c>
      <c r="C28" s="591">
        <v>408138134.89999998</v>
      </c>
      <c r="D28" s="591">
        <v>409743040</v>
      </c>
      <c r="E28" s="768">
        <v>173145644</v>
      </c>
      <c r="F28" s="943"/>
      <c r="G28" s="708"/>
      <c r="H28" s="708"/>
      <c r="I28" s="708"/>
      <c r="J28" s="944"/>
      <c r="K28" s="595"/>
      <c r="L28" s="595"/>
      <c r="M28" s="595"/>
      <c r="N28" s="945">
        <v>171540738.90000001</v>
      </c>
      <c r="O28" s="703">
        <v>408138134.89999998</v>
      </c>
      <c r="P28" s="703">
        <v>409743040</v>
      </c>
      <c r="Q28" s="766">
        <v>173145644</v>
      </c>
      <c r="R28" s="944"/>
      <c r="S28" s="595"/>
      <c r="T28" s="595"/>
      <c r="U28" s="595"/>
      <c r="V28" s="943"/>
      <c r="W28" s="708"/>
      <c r="X28" s="708"/>
      <c r="Y28" s="708"/>
      <c r="Z28" s="944"/>
      <c r="AA28" s="595"/>
      <c r="AB28" s="595"/>
      <c r="AC28" s="595"/>
      <c r="AD28" s="946">
        <v>169543691.90000001</v>
      </c>
      <c r="AE28" s="703">
        <v>237363087</v>
      </c>
      <c r="AF28" s="703">
        <v>412631134.89999998</v>
      </c>
      <c r="AG28" s="766">
        <v>5724356</v>
      </c>
      <c r="AH28" s="944"/>
      <c r="AI28" s="595"/>
      <c r="AJ28" s="595"/>
      <c r="AK28" s="595"/>
      <c r="AL28" s="943"/>
      <c r="AM28" s="708"/>
      <c r="AN28" s="708"/>
      <c r="AO28" s="708"/>
      <c r="AU28" s="572" t="s">
        <v>530</v>
      </c>
      <c r="AV28" s="572">
        <f>1181582+862714</f>
        <v>2044296</v>
      </c>
      <c r="AW28" s="572">
        <f>AV28/100000</f>
        <v>20.442959999999999</v>
      </c>
      <c r="AX28" s="82"/>
      <c r="BD28" s="305" t="s">
        <v>1915</v>
      </c>
      <c r="BE28" s="305">
        <v>64641180</v>
      </c>
      <c r="BG28" s="305" t="s">
        <v>1928</v>
      </c>
      <c r="BH28" s="305">
        <v>-268580</v>
      </c>
      <c r="BJ28" s="305"/>
      <c r="BK28" s="305">
        <v>0</v>
      </c>
      <c r="BM28" s="348">
        <f t="shared" si="0"/>
        <v>-268580</v>
      </c>
      <c r="BO28" s="305" t="s">
        <v>1927</v>
      </c>
      <c r="BP28" s="305">
        <v>33669742.206</v>
      </c>
      <c r="BR28" s="305" t="s">
        <v>1927</v>
      </c>
      <c r="BS28" s="305">
        <v>2319165.8199999998</v>
      </c>
      <c r="BU28" s="116">
        <f t="shared" si="1"/>
        <v>31350576.386</v>
      </c>
    </row>
    <row r="29" spans="1:74">
      <c r="A29" s="757" t="s">
        <v>1444</v>
      </c>
      <c r="B29" s="319"/>
      <c r="C29" s="318">
        <v>17000</v>
      </c>
      <c r="D29" s="318">
        <v>17000</v>
      </c>
      <c r="E29" s="330"/>
      <c r="F29" s="317"/>
      <c r="G29" s="330"/>
      <c r="H29" s="330"/>
      <c r="I29" s="331"/>
      <c r="J29" s="319"/>
      <c r="K29" s="331"/>
      <c r="L29" s="331"/>
      <c r="M29" s="330"/>
      <c r="N29" s="317"/>
      <c r="O29" s="320">
        <v>17000</v>
      </c>
      <c r="P29" s="320">
        <v>17000</v>
      </c>
      <c r="Q29" s="331"/>
      <c r="R29" s="319"/>
      <c r="S29" s="331"/>
      <c r="T29" s="331"/>
      <c r="U29" s="330"/>
      <c r="V29" s="317"/>
      <c r="W29" s="330"/>
      <c r="X29" s="330"/>
      <c r="Y29" s="331"/>
      <c r="Z29" s="319"/>
      <c r="AA29" s="331"/>
      <c r="AB29" s="331"/>
      <c r="AC29" s="330"/>
      <c r="AD29" s="317"/>
      <c r="AE29" s="330"/>
      <c r="AF29" s="330"/>
      <c r="AG29" s="331"/>
      <c r="AH29" s="319"/>
      <c r="AI29" s="331"/>
      <c r="AJ29" s="331"/>
      <c r="AK29" s="330"/>
      <c r="AL29" s="317"/>
      <c r="AM29" s="330"/>
      <c r="AN29" s="330"/>
      <c r="AO29" s="331"/>
      <c r="AU29" s="572" t="s">
        <v>78</v>
      </c>
      <c r="AV29" s="979">
        <f>2848642.96+634983+5750+613950+282925+6577399.38+3675550+2012+2756681.614+50374.49+375282+76776+4403479+3171577+23137+241098+12487+276337.25+936717.42+734+BH31+BS31+2021288</f>
        <v>130169278.03600001</v>
      </c>
      <c r="AW29" s="572">
        <f>AV29/100000</f>
        <v>1301.6927803600001</v>
      </c>
      <c r="AX29" s="82"/>
      <c r="BD29" s="305" t="s">
        <v>1916</v>
      </c>
      <c r="BE29" s="305">
        <v>65520125</v>
      </c>
      <c r="BG29" s="305"/>
      <c r="BH29" s="305"/>
      <c r="BJ29" s="305"/>
      <c r="BK29" s="305"/>
      <c r="BO29" s="305"/>
      <c r="BP29" s="305"/>
      <c r="BR29" s="305"/>
      <c r="BS29" s="305"/>
    </row>
    <row r="30" spans="1:74">
      <c r="A30" s="757" t="s">
        <v>1445</v>
      </c>
      <c r="B30" s="716">
        <v>171540738.90000001</v>
      </c>
      <c r="C30" s="325">
        <v>223866040</v>
      </c>
      <c r="D30" s="325">
        <v>401131134.89999998</v>
      </c>
      <c r="E30" s="589">
        <v>5724356</v>
      </c>
      <c r="F30" s="324"/>
      <c r="G30" s="338"/>
      <c r="H30" s="338"/>
      <c r="I30" s="339"/>
      <c r="J30" s="322"/>
      <c r="K30" s="339"/>
      <c r="L30" s="339"/>
      <c r="M30" s="338"/>
      <c r="N30" s="324"/>
      <c r="O30" s="338"/>
      <c r="P30" s="338"/>
      <c r="Q30" s="339"/>
      <c r="R30" s="322"/>
      <c r="S30" s="339"/>
      <c r="T30" s="339"/>
      <c r="U30" s="338"/>
      <c r="V30" s="324"/>
      <c r="W30" s="338"/>
      <c r="X30" s="338"/>
      <c r="Y30" s="339"/>
      <c r="Z30" s="322"/>
      <c r="AA30" s="339"/>
      <c r="AB30" s="339"/>
      <c r="AC30" s="338"/>
      <c r="AD30" s="717">
        <v>171540738.90000001</v>
      </c>
      <c r="AE30" s="323">
        <v>223866040</v>
      </c>
      <c r="AF30" s="323">
        <v>401131134.89999998</v>
      </c>
      <c r="AG30" s="588">
        <v>5724356</v>
      </c>
      <c r="AH30" s="322"/>
      <c r="AI30" s="339"/>
      <c r="AJ30" s="339"/>
      <c r="AK30" s="338"/>
      <c r="AL30" s="324"/>
      <c r="AM30" s="338"/>
      <c r="AN30" s="338"/>
      <c r="AO30" s="339"/>
      <c r="AU30" s="572"/>
      <c r="AV30" s="572"/>
      <c r="AW30" s="572"/>
      <c r="AX30" s="82"/>
      <c r="BD30" s="305" t="s">
        <v>1917</v>
      </c>
      <c r="BE30" s="305">
        <v>12262500</v>
      </c>
      <c r="BG30" s="305"/>
      <c r="BH30" s="305"/>
      <c r="BJ30" s="305"/>
      <c r="BK30" s="305"/>
      <c r="BO30" s="305"/>
      <c r="BP30" s="305"/>
      <c r="BR30" s="305"/>
      <c r="BS30" s="305"/>
    </row>
    <row r="31" spans="1:74">
      <c r="A31" s="757" t="s">
        <v>925</v>
      </c>
      <c r="B31" s="700">
        <v>171540738.90000001</v>
      </c>
      <c r="C31" s="325">
        <v>401121134.89999998</v>
      </c>
      <c r="D31" s="325">
        <v>223856040</v>
      </c>
      <c r="E31" s="594">
        <v>5724356</v>
      </c>
      <c r="F31" s="324"/>
      <c r="G31" s="338"/>
      <c r="H31" s="338"/>
      <c r="I31" s="339"/>
      <c r="J31" s="322"/>
      <c r="K31" s="339"/>
      <c r="L31" s="339"/>
      <c r="M31" s="338"/>
      <c r="N31" s="699">
        <v>171540738.90000001</v>
      </c>
      <c r="O31" s="323">
        <v>401121134.89999998</v>
      </c>
      <c r="P31" s="323">
        <v>223856040</v>
      </c>
      <c r="Q31" s="592">
        <v>5724356</v>
      </c>
      <c r="R31" s="322"/>
      <c r="S31" s="339"/>
      <c r="T31" s="339"/>
      <c r="U31" s="338"/>
      <c r="V31" s="324"/>
      <c r="W31" s="338"/>
      <c r="X31" s="338"/>
      <c r="Y31" s="339"/>
      <c r="Z31" s="322"/>
      <c r="AA31" s="339"/>
      <c r="AB31" s="339"/>
      <c r="AC31" s="338"/>
      <c r="AD31" s="324"/>
      <c r="AE31" s="338"/>
      <c r="AF31" s="338"/>
      <c r="AG31" s="339"/>
      <c r="AH31" s="322"/>
      <c r="AI31" s="339"/>
      <c r="AJ31" s="339"/>
      <c r="AK31" s="338"/>
      <c r="AL31" s="324"/>
      <c r="AM31" s="338"/>
      <c r="AN31" s="338"/>
      <c r="AO31" s="339"/>
      <c r="AU31" s="572"/>
      <c r="AV31" s="572"/>
      <c r="AW31" s="572"/>
      <c r="AX31" s="82"/>
      <c r="BD31" s="60" t="s">
        <v>194</v>
      </c>
      <c r="BE31" s="348">
        <f>SUM(BE20:BE30)</f>
        <v>907005208.41600001</v>
      </c>
      <c r="BG31" t="s">
        <v>194</v>
      </c>
      <c r="BH31" s="116">
        <f>SUM(BH20:BH30)</f>
        <v>70775228.302000001</v>
      </c>
      <c r="BJ31" t="s">
        <v>194</v>
      </c>
      <c r="BK31" s="116">
        <f>SUM(BK20:BK30)</f>
        <v>711093.4</v>
      </c>
      <c r="BM31" s="348">
        <f>SUM(BM20:BM30)</f>
        <v>70064134.90200001</v>
      </c>
      <c r="BN31" s="348"/>
      <c r="BO31" t="s">
        <v>194</v>
      </c>
      <c r="BP31" s="116">
        <f>SUM(BP20:BP30)</f>
        <v>978090079.86799991</v>
      </c>
      <c r="BR31" t="s">
        <v>194</v>
      </c>
      <c r="BS31" s="116">
        <f>SUM(BS20:BS30)</f>
        <v>30406868.620000001</v>
      </c>
      <c r="BU31" s="116">
        <f>SUM(BU20:BU30)</f>
        <v>947683211.24799991</v>
      </c>
      <c r="BV31" s="116">
        <f>BU31-BP31+BS31</f>
        <v>0</v>
      </c>
    </row>
    <row r="32" spans="1:74">
      <c r="A32" s="757" t="s">
        <v>1446</v>
      </c>
      <c r="B32" s="322"/>
      <c r="C32" s="325">
        <v>2500000</v>
      </c>
      <c r="D32" s="325">
        <v>2500000</v>
      </c>
      <c r="E32" s="338"/>
      <c r="F32" s="324"/>
      <c r="G32" s="338"/>
      <c r="H32" s="338"/>
      <c r="I32" s="339"/>
      <c r="J32" s="322"/>
      <c r="K32" s="339"/>
      <c r="L32" s="339"/>
      <c r="M32" s="338"/>
      <c r="N32" s="324"/>
      <c r="O32" s="323">
        <v>2500000</v>
      </c>
      <c r="P32" s="323">
        <v>2500000</v>
      </c>
      <c r="Q32" s="339"/>
      <c r="R32" s="322"/>
      <c r="S32" s="339"/>
      <c r="T32" s="339"/>
      <c r="U32" s="338"/>
      <c r="V32" s="324"/>
      <c r="W32" s="338"/>
      <c r="X32" s="338"/>
      <c r="Y32" s="339"/>
      <c r="Z32" s="322"/>
      <c r="AA32" s="339"/>
      <c r="AB32" s="339"/>
      <c r="AC32" s="338"/>
      <c r="AD32" s="324"/>
      <c r="AE32" s="338"/>
      <c r="AF32" s="338"/>
      <c r="AG32" s="339"/>
      <c r="AH32" s="322"/>
      <c r="AI32" s="339"/>
      <c r="AJ32" s="339"/>
      <c r="AK32" s="338"/>
      <c r="AL32" s="324"/>
      <c r="AM32" s="338"/>
      <c r="AN32" s="338"/>
      <c r="AO32" s="339"/>
      <c r="AU32" s="572" t="s">
        <v>79</v>
      </c>
      <c r="AV32" s="572">
        <f>SUM(AV10:AV30)</f>
        <v>1595728892.0339999</v>
      </c>
      <c r="AW32" s="978">
        <f>SUM(AW10:AW30)</f>
        <v>15957.288920340001</v>
      </c>
      <c r="AX32" s="82"/>
    </row>
    <row r="33" spans="1:52">
      <c r="A33" s="756" t="s">
        <v>1447</v>
      </c>
      <c r="B33" s="700">
        <v>1000000</v>
      </c>
      <c r="C33" s="325">
        <v>1000000</v>
      </c>
      <c r="D33" s="339"/>
      <c r="E33" s="338"/>
      <c r="F33" s="324"/>
      <c r="G33" s="338"/>
      <c r="H33" s="338"/>
      <c r="I33" s="339"/>
      <c r="J33" s="322"/>
      <c r="K33" s="339"/>
      <c r="L33" s="339"/>
      <c r="M33" s="338"/>
      <c r="N33" s="324"/>
      <c r="O33" s="338"/>
      <c r="P33" s="338"/>
      <c r="Q33" s="339"/>
      <c r="R33" s="322"/>
      <c r="S33" s="339"/>
      <c r="T33" s="339"/>
      <c r="U33" s="338"/>
      <c r="V33" s="324"/>
      <c r="W33" s="338"/>
      <c r="X33" s="338"/>
      <c r="Y33" s="339"/>
      <c r="Z33" s="322"/>
      <c r="AA33" s="339"/>
      <c r="AB33" s="339"/>
      <c r="AC33" s="338"/>
      <c r="AD33" s="699">
        <v>1000000</v>
      </c>
      <c r="AE33" s="323">
        <v>1000000</v>
      </c>
      <c r="AF33" s="338"/>
      <c r="AG33" s="339"/>
      <c r="AH33" s="322"/>
      <c r="AI33" s="339"/>
      <c r="AJ33" s="339"/>
      <c r="AK33" s="338"/>
      <c r="AL33" s="324"/>
      <c r="AM33" s="338"/>
      <c r="AN33" s="338"/>
      <c r="AO33" s="339"/>
      <c r="AU33" s="572"/>
      <c r="AV33" s="572"/>
      <c r="AW33" s="572"/>
      <c r="AX33" s="82"/>
    </row>
    <row r="34" spans="1:52">
      <c r="A34" s="756" t="s">
        <v>876</v>
      </c>
      <c r="B34" s="700">
        <v>997047</v>
      </c>
      <c r="C34" s="325">
        <v>4500000</v>
      </c>
      <c r="D34" s="325">
        <v>183370000</v>
      </c>
      <c r="E34" s="589">
        <v>178870000</v>
      </c>
      <c r="F34" s="324"/>
      <c r="G34" s="338"/>
      <c r="H34" s="338"/>
      <c r="I34" s="339"/>
      <c r="J34" s="322"/>
      <c r="K34" s="339"/>
      <c r="L34" s="339"/>
      <c r="M34" s="338"/>
      <c r="N34" s="324"/>
      <c r="O34" s="323">
        <v>4500000</v>
      </c>
      <c r="P34" s="323">
        <v>183370000</v>
      </c>
      <c r="Q34" s="588">
        <v>178870000</v>
      </c>
      <c r="R34" s="322"/>
      <c r="S34" s="339"/>
      <c r="T34" s="339"/>
      <c r="U34" s="338"/>
      <c r="V34" s="324"/>
      <c r="W34" s="338"/>
      <c r="X34" s="338"/>
      <c r="Y34" s="339"/>
      <c r="Z34" s="322"/>
      <c r="AA34" s="339"/>
      <c r="AB34" s="339"/>
      <c r="AC34" s="338"/>
      <c r="AD34" s="699">
        <v>997047</v>
      </c>
      <c r="AE34" s="323">
        <v>12497047</v>
      </c>
      <c r="AF34" s="323">
        <v>11500000</v>
      </c>
      <c r="AG34" s="339"/>
      <c r="AH34" s="322"/>
      <c r="AI34" s="339"/>
      <c r="AJ34" s="339"/>
      <c r="AK34" s="338"/>
      <c r="AL34" s="324"/>
      <c r="AM34" s="338"/>
      <c r="AN34" s="338"/>
      <c r="AO34" s="339"/>
      <c r="AU34" s="572" t="s">
        <v>80</v>
      </c>
      <c r="AV34" s="572"/>
      <c r="AW34" s="572"/>
      <c r="AX34" s="82"/>
    </row>
    <row r="35" spans="1:52">
      <c r="A35" s="311" t="s">
        <v>339</v>
      </c>
      <c r="B35" s="720">
        <v>71927868.077000007</v>
      </c>
      <c r="C35" s="703">
        <v>3765077856.5799999</v>
      </c>
      <c r="D35" s="703">
        <v>4319390431.618</v>
      </c>
      <c r="E35" s="740">
        <v>777916406.97300005</v>
      </c>
      <c r="F35" s="326"/>
      <c r="G35" s="591">
        <v>2319165.8199999998</v>
      </c>
      <c r="H35" s="591">
        <v>33775642.206</v>
      </c>
      <c r="I35" s="590">
        <v>31456476.386</v>
      </c>
      <c r="J35" s="328"/>
      <c r="K35" s="703">
        <v>3471721.4920000001</v>
      </c>
      <c r="L35" s="703">
        <v>19821732.190000001</v>
      </c>
      <c r="M35" s="740">
        <v>16350010.698000001</v>
      </c>
      <c r="N35" s="709">
        <v>71927868.077000007</v>
      </c>
      <c r="O35" s="591">
        <v>854273918.22399998</v>
      </c>
      <c r="P35" s="591">
        <v>932124797.51999998</v>
      </c>
      <c r="Q35" s="590">
        <v>149778747.373</v>
      </c>
      <c r="R35" s="328"/>
      <c r="S35" s="703">
        <v>363399778.35000002</v>
      </c>
      <c r="T35" s="703">
        <v>1142782765.3699999</v>
      </c>
      <c r="U35" s="740">
        <v>779382987.01999998</v>
      </c>
      <c r="V35" s="732">
        <v>8262589.3080000002</v>
      </c>
      <c r="W35" s="591">
        <v>264205924.09400001</v>
      </c>
      <c r="X35" s="591">
        <v>264603847.15000001</v>
      </c>
      <c r="Y35" s="593">
        <v>7864666.2520000003</v>
      </c>
      <c r="Z35" s="733">
        <v>7095598.9960000003</v>
      </c>
      <c r="AA35" s="703">
        <v>76149581.488000005</v>
      </c>
      <c r="AB35" s="703">
        <v>78792584.120000005</v>
      </c>
      <c r="AC35" s="721">
        <v>4452596.3640000001</v>
      </c>
      <c r="AD35" s="709">
        <v>62277224.769000001</v>
      </c>
      <c r="AE35" s="591">
        <v>639002302.84599996</v>
      </c>
      <c r="AF35" s="591">
        <v>570971644.00199997</v>
      </c>
      <c r="AG35" s="593">
        <v>5753434.0750000002</v>
      </c>
      <c r="AH35" s="718">
        <v>46278.48</v>
      </c>
      <c r="AI35" s="708"/>
      <c r="AJ35" s="708"/>
      <c r="AK35" s="719">
        <v>46278.48</v>
      </c>
      <c r="AL35" s="705">
        <v>176731073.94999999</v>
      </c>
      <c r="AM35" s="706">
        <v>2416529382.4899998</v>
      </c>
      <c r="AN35" s="706">
        <v>2208642216.5799999</v>
      </c>
      <c r="AO35" s="731">
        <v>31156091.960000001</v>
      </c>
      <c r="AU35" s="572" t="s">
        <v>81</v>
      </c>
      <c r="AV35" s="572"/>
      <c r="AW35" s="572"/>
      <c r="AX35" s="82"/>
    </row>
    <row r="36" spans="1:52">
      <c r="A36" s="316" t="s">
        <v>340</v>
      </c>
      <c r="B36" s="947">
        <v>9342234.3300000001</v>
      </c>
      <c r="C36" s="587">
        <v>797627254.426</v>
      </c>
      <c r="D36" s="587">
        <v>767456534.03799999</v>
      </c>
      <c r="E36" s="759">
        <v>60301312.752999999</v>
      </c>
      <c r="F36" s="939"/>
      <c r="G36" s="690"/>
      <c r="H36" s="690"/>
      <c r="I36" s="690"/>
      <c r="J36" s="940"/>
      <c r="K36" s="587">
        <v>3469972.4920000001</v>
      </c>
      <c r="L36" s="587">
        <v>1288439.19</v>
      </c>
      <c r="M36" s="759">
        <v>2181533.3020000001</v>
      </c>
      <c r="N36" s="948">
        <v>9342234.3300000001</v>
      </c>
      <c r="O36" s="691">
        <v>291303360.85500002</v>
      </c>
      <c r="P36" s="691">
        <v>290614193.03600001</v>
      </c>
      <c r="Q36" s="758">
        <v>10031402.149</v>
      </c>
      <c r="R36" s="940"/>
      <c r="S36" s="587">
        <v>123205576.75</v>
      </c>
      <c r="T36" s="587">
        <v>113865903.54000001</v>
      </c>
      <c r="U36" s="759">
        <v>9339673.2100000009</v>
      </c>
      <c r="V36" s="948">
        <v>8658138.3080000002</v>
      </c>
      <c r="W36" s="691">
        <v>63943910.619999997</v>
      </c>
      <c r="X36" s="691">
        <v>64675278.675999999</v>
      </c>
      <c r="Y36" s="758">
        <v>7926770.2520000003</v>
      </c>
      <c r="Z36" s="947">
        <v>7113360.9960000003</v>
      </c>
      <c r="AA36" s="587">
        <v>19941297.488000002</v>
      </c>
      <c r="AB36" s="587">
        <v>22602062.120000001</v>
      </c>
      <c r="AC36" s="759">
        <v>4452596.3640000001</v>
      </c>
      <c r="AD36" s="948">
        <v>4347207.7110000001</v>
      </c>
      <c r="AE36" s="691">
        <v>81536446.706</v>
      </c>
      <c r="AF36" s="691">
        <v>81777961.231999993</v>
      </c>
      <c r="AG36" s="758">
        <v>4105693.1850000001</v>
      </c>
      <c r="AH36" s="949">
        <v>46278.48</v>
      </c>
      <c r="AI36" s="611"/>
      <c r="AJ36" s="611"/>
      <c r="AK36" s="950">
        <v>46278.48</v>
      </c>
      <c r="AL36" s="951">
        <v>9965606.8699999992</v>
      </c>
      <c r="AM36" s="952">
        <v>505530050.37</v>
      </c>
      <c r="AN36" s="952">
        <v>483246889.27999997</v>
      </c>
      <c r="AO36" s="953">
        <v>32248767.960000001</v>
      </c>
      <c r="AU36" s="572" t="s">
        <v>82</v>
      </c>
      <c r="AV36" s="978">
        <f>E14</f>
        <v>88314300</v>
      </c>
      <c r="AW36" s="978">
        <f>AV36/100000</f>
        <v>883.14300000000003</v>
      </c>
      <c r="AX36" s="82"/>
    </row>
    <row r="37" spans="1:52">
      <c r="A37" s="316" t="s">
        <v>877</v>
      </c>
      <c r="B37" s="948">
        <v>10720741.33</v>
      </c>
      <c r="C37" s="691">
        <v>793206205.13600004</v>
      </c>
      <c r="D37" s="691">
        <v>763561838.95799994</v>
      </c>
      <c r="E37" s="758">
        <v>60533603.450999998</v>
      </c>
      <c r="F37" s="940"/>
      <c r="G37" s="611"/>
      <c r="H37" s="611"/>
      <c r="I37" s="611"/>
      <c r="J37" s="939"/>
      <c r="K37" s="691">
        <v>3469972.4920000001</v>
      </c>
      <c r="L37" s="691">
        <v>1286567.19</v>
      </c>
      <c r="M37" s="758">
        <v>2183405.3020000001</v>
      </c>
      <c r="N37" s="947">
        <v>10720741.33</v>
      </c>
      <c r="O37" s="587">
        <v>289163070.85500002</v>
      </c>
      <c r="P37" s="587">
        <v>289534696.03600001</v>
      </c>
      <c r="Q37" s="759">
        <v>10349116.149</v>
      </c>
      <c r="R37" s="939"/>
      <c r="S37" s="691">
        <v>123154597.29000001</v>
      </c>
      <c r="T37" s="691">
        <v>113641038.14</v>
      </c>
      <c r="U37" s="758">
        <v>9513559.1500000004</v>
      </c>
      <c r="V37" s="947">
        <v>8706536.3080000002</v>
      </c>
      <c r="W37" s="587">
        <v>63735228.619999997</v>
      </c>
      <c r="X37" s="587">
        <v>64496964.675999999</v>
      </c>
      <c r="Y37" s="759">
        <v>7944800.2520000003</v>
      </c>
      <c r="Z37" s="948">
        <v>7115505.9960000003</v>
      </c>
      <c r="AA37" s="691">
        <v>19871631.488000002</v>
      </c>
      <c r="AB37" s="691">
        <v>22533779.120000001</v>
      </c>
      <c r="AC37" s="758">
        <v>4453358.3640000001</v>
      </c>
      <c r="AD37" s="947">
        <v>4609961.8990000002</v>
      </c>
      <c r="AE37" s="587">
        <v>80233538.746000007</v>
      </c>
      <c r="AF37" s="587">
        <v>80772456.491999999</v>
      </c>
      <c r="AG37" s="759">
        <v>4071044.1529999999</v>
      </c>
      <c r="AH37" s="951">
        <v>46278.48</v>
      </c>
      <c r="AI37" s="690"/>
      <c r="AJ37" s="690"/>
      <c r="AK37" s="953">
        <v>46278.48</v>
      </c>
      <c r="AL37" s="949">
        <v>10410954.59</v>
      </c>
      <c r="AM37" s="954">
        <v>502741236.5</v>
      </c>
      <c r="AN37" s="954">
        <v>480831033.33999997</v>
      </c>
      <c r="AO37" s="950">
        <v>32321157.75</v>
      </c>
      <c r="AU37" s="572" t="s">
        <v>83</v>
      </c>
      <c r="AV37" s="572"/>
      <c r="AW37" s="572">
        <f>1887.56+'Regulation 33 - Results'!N36</f>
        <v>2375.5791000196455</v>
      </c>
      <c r="AX37" s="82"/>
    </row>
    <row r="38" spans="1:52">
      <c r="A38" s="761" t="s">
        <v>1448</v>
      </c>
      <c r="B38" s="947">
        <v>10729576.33</v>
      </c>
      <c r="C38" s="587">
        <v>433491186.98199999</v>
      </c>
      <c r="D38" s="587">
        <v>406661113.97399998</v>
      </c>
      <c r="E38" s="759">
        <v>60639194.541000001</v>
      </c>
      <c r="F38" s="939"/>
      <c r="G38" s="690"/>
      <c r="H38" s="690"/>
      <c r="I38" s="690"/>
      <c r="J38" s="940"/>
      <c r="K38" s="587">
        <v>2826689.392</v>
      </c>
      <c r="L38" s="587">
        <v>643284</v>
      </c>
      <c r="M38" s="759">
        <v>2183405.392</v>
      </c>
      <c r="N38" s="948">
        <v>10729576.33</v>
      </c>
      <c r="O38" s="691">
        <v>190598345.479</v>
      </c>
      <c r="P38" s="691">
        <v>190971780.66</v>
      </c>
      <c r="Q38" s="758">
        <v>10356141.149</v>
      </c>
      <c r="R38" s="940"/>
      <c r="S38" s="587">
        <v>70940442.209999993</v>
      </c>
      <c r="T38" s="587">
        <v>61321502.060000002</v>
      </c>
      <c r="U38" s="759">
        <v>9618940.1500000004</v>
      </c>
      <c r="V38" s="948">
        <v>8706536.3080000002</v>
      </c>
      <c r="W38" s="691">
        <v>34688387.943999998</v>
      </c>
      <c r="X38" s="691">
        <v>35450124</v>
      </c>
      <c r="Y38" s="758">
        <v>7944800.2520000003</v>
      </c>
      <c r="Z38" s="947">
        <v>7115505.9960000003</v>
      </c>
      <c r="AA38" s="587">
        <v>8564739.3100000005</v>
      </c>
      <c r="AB38" s="587">
        <v>11226676.942</v>
      </c>
      <c r="AC38" s="759">
        <v>4453568.3640000001</v>
      </c>
      <c r="AD38" s="948">
        <v>7396379.159</v>
      </c>
      <c r="AE38" s="691">
        <v>38533168.276000001</v>
      </c>
      <c r="AF38" s="691">
        <v>41858503.281999998</v>
      </c>
      <c r="AG38" s="758">
        <v>4071044.1529999999</v>
      </c>
      <c r="AH38" s="949">
        <v>46278.48</v>
      </c>
      <c r="AI38" s="611"/>
      <c r="AJ38" s="611"/>
      <c r="AK38" s="950">
        <v>46278.48</v>
      </c>
      <c r="AL38" s="951">
        <v>10544421.59</v>
      </c>
      <c r="AM38" s="952">
        <v>277937759.85000002</v>
      </c>
      <c r="AN38" s="952">
        <v>256161023.69</v>
      </c>
      <c r="AO38" s="953">
        <v>32321157.75</v>
      </c>
      <c r="AU38" s="572"/>
      <c r="AV38" s="572"/>
      <c r="AW38" s="572"/>
      <c r="AX38" s="82"/>
    </row>
    <row r="39" spans="1:52">
      <c r="A39" s="761" t="s">
        <v>1449</v>
      </c>
      <c r="B39" s="948">
        <v>26278.164000000001</v>
      </c>
      <c r="C39" s="691">
        <v>78239.7</v>
      </c>
      <c r="D39" s="691">
        <v>17131.759999999998</v>
      </c>
      <c r="E39" s="758">
        <v>87386.104000000007</v>
      </c>
      <c r="F39" s="940"/>
      <c r="G39" s="611"/>
      <c r="H39" s="611"/>
      <c r="I39" s="611"/>
      <c r="J39" s="939"/>
      <c r="K39" s="690"/>
      <c r="L39" s="690"/>
      <c r="M39" s="690"/>
      <c r="N39" s="947">
        <v>26278.164000000001</v>
      </c>
      <c r="O39" s="587">
        <v>78239.7</v>
      </c>
      <c r="P39" s="587">
        <v>17131.759999999998</v>
      </c>
      <c r="Q39" s="759">
        <v>87386.104000000007</v>
      </c>
      <c r="R39" s="939"/>
      <c r="S39" s="690"/>
      <c r="T39" s="690"/>
      <c r="U39" s="690"/>
      <c r="V39" s="940"/>
      <c r="W39" s="611"/>
      <c r="X39" s="611"/>
      <c r="Y39" s="611"/>
      <c r="Z39" s="939"/>
      <c r="AA39" s="690"/>
      <c r="AB39" s="690"/>
      <c r="AC39" s="690"/>
      <c r="AD39" s="940"/>
      <c r="AE39" s="611"/>
      <c r="AF39" s="611"/>
      <c r="AG39" s="611"/>
      <c r="AH39" s="939"/>
      <c r="AI39" s="690"/>
      <c r="AJ39" s="690"/>
      <c r="AK39" s="690"/>
      <c r="AL39" s="940"/>
      <c r="AM39" s="611"/>
      <c r="AN39" s="611"/>
      <c r="AO39" s="611"/>
      <c r="AU39" s="572" t="s">
        <v>84</v>
      </c>
      <c r="AV39" s="572"/>
      <c r="AW39" s="572"/>
      <c r="AX39" s="82"/>
    </row>
    <row r="40" spans="1:52">
      <c r="A40" s="812" t="s">
        <v>1450</v>
      </c>
      <c r="B40" s="728">
        <v>10046.406000000001</v>
      </c>
      <c r="C40" s="320">
        <v>46906.98</v>
      </c>
      <c r="D40" s="320">
        <v>45383.37</v>
      </c>
      <c r="E40" s="729">
        <v>11570.016</v>
      </c>
      <c r="F40" s="319"/>
      <c r="G40" s="331"/>
      <c r="H40" s="331"/>
      <c r="I40" s="330"/>
      <c r="J40" s="317"/>
      <c r="K40" s="330"/>
      <c r="L40" s="330"/>
      <c r="M40" s="331"/>
      <c r="N40" s="319"/>
      <c r="O40" s="331"/>
      <c r="P40" s="331"/>
      <c r="Q40" s="330"/>
      <c r="R40" s="317"/>
      <c r="S40" s="330"/>
      <c r="T40" s="330"/>
      <c r="U40" s="331"/>
      <c r="V40" s="319"/>
      <c r="W40" s="331"/>
      <c r="X40" s="331"/>
      <c r="Y40" s="330"/>
      <c r="Z40" s="317"/>
      <c r="AA40" s="330"/>
      <c r="AB40" s="330"/>
      <c r="AC40" s="331"/>
      <c r="AD40" s="738">
        <v>10046.406000000001</v>
      </c>
      <c r="AE40" s="318">
        <v>46906.98</v>
      </c>
      <c r="AF40" s="318">
        <v>45383.37</v>
      </c>
      <c r="AG40" s="739">
        <v>11570.016</v>
      </c>
      <c r="AH40" s="317"/>
      <c r="AI40" s="330"/>
      <c r="AJ40" s="330"/>
      <c r="AK40" s="331"/>
      <c r="AL40" s="319"/>
      <c r="AM40" s="331"/>
      <c r="AN40" s="331"/>
      <c r="AO40" s="330"/>
      <c r="AU40" s="572" t="s">
        <v>85</v>
      </c>
      <c r="AV40" s="572"/>
      <c r="AW40" s="572"/>
      <c r="AX40" s="82"/>
    </row>
    <row r="41" spans="1:52">
      <c r="A41" s="812" t="s">
        <v>1451</v>
      </c>
      <c r="B41" s="324"/>
      <c r="C41" s="323">
        <v>1530</v>
      </c>
      <c r="D41" s="323">
        <v>1530</v>
      </c>
      <c r="E41" s="339"/>
      <c r="F41" s="322"/>
      <c r="G41" s="339"/>
      <c r="H41" s="339"/>
      <c r="I41" s="338"/>
      <c r="J41" s="324"/>
      <c r="K41" s="338"/>
      <c r="L41" s="338"/>
      <c r="M41" s="339"/>
      <c r="N41" s="322"/>
      <c r="O41" s="339"/>
      <c r="P41" s="339"/>
      <c r="Q41" s="338"/>
      <c r="R41" s="324"/>
      <c r="S41" s="338"/>
      <c r="T41" s="338"/>
      <c r="U41" s="339"/>
      <c r="V41" s="322"/>
      <c r="W41" s="325">
        <v>1530</v>
      </c>
      <c r="X41" s="325">
        <v>1530</v>
      </c>
      <c r="Y41" s="338"/>
      <c r="Z41" s="324"/>
      <c r="AA41" s="338"/>
      <c r="AB41" s="338"/>
      <c r="AC41" s="339"/>
      <c r="AD41" s="322"/>
      <c r="AE41" s="339"/>
      <c r="AF41" s="339"/>
      <c r="AG41" s="338"/>
      <c r="AH41" s="324"/>
      <c r="AI41" s="338"/>
      <c r="AJ41" s="338"/>
      <c r="AK41" s="339"/>
      <c r="AL41" s="322"/>
      <c r="AM41" s="339"/>
      <c r="AN41" s="339"/>
      <c r="AO41" s="338"/>
      <c r="AU41" s="572" t="s">
        <v>86</v>
      </c>
      <c r="AV41" s="572"/>
      <c r="AW41" s="572"/>
      <c r="AX41" s="82"/>
      <c r="AZ41">
        <f>1887.56+187.28</f>
        <v>2074.84</v>
      </c>
    </row>
    <row r="42" spans="1:52">
      <c r="A42" s="762" t="s">
        <v>880</v>
      </c>
      <c r="B42" s="717">
        <v>12689.082</v>
      </c>
      <c r="C42" s="323">
        <v>38754.85</v>
      </c>
      <c r="D42" s="323">
        <v>8200.48</v>
      </c>
      <c r="E42" s="592">
        <v>43243.451999999997</v>
      </c>
      <c r="F42" s="322"/>
      <c r="G42" s="339"/>
      <c r="H42" s="339"/>
      <c r="I42" s="338"/>
      <c r="J42" s="324"/>
      <c r="K42" s="338"/>
      <c r="L42" s="338"/>
      <c r="M42" s="339"/>
      <c r="N42" s="716">
        <v>12689.082</v>
      </c>
      <c r="O42" s="325">
        <v>38754.85</v>
      </c>
      <c r="P42" s="325">
        <v>8200.48</v>
      </c>
      <c r="Q42" s="594">
        <v>43243.451999999997</v>
      </c>
      <c r="R42" s="324"/>
      <c r="S42" s="323">
        <v>767.25</v>
      </c>
      <c r="T42" s="338"/>
      <c r="U42" s="592">
        <v>767.25</v>
      </c>
      <c r="V42" s="322"/>
      <c r="W42" s="339"/>
      <c r="X42" s="339"/>
      <c r="Y42" s="338"/>
      <c r="Z42" s="324"/>
      <c r="AA42" s="338"/>
      <c r="AB42" s="338"/>
      <c r="AC42" s="339"/>
      <c r="AD42" s="322"/>
      <c r="AE42" s="339"/>
      <c r="AF42" s="339"/>
      <c r="AG42" s="338"/>
      <c r="AH42" s="324"/>
      <c r="AI42" s="338"/>
      <c r="AJ42" s="338"/>
      <c r="AK42" s="339"/>
      <c r="AL42" s="734">
        <v>76.25</v>
      </c>
      <c r="AM42" s="714">
        <v>34905.68</v>
      </c>
      <c r="AN42" s="714">
        <v>24203.95</v>
      </c>
      <c r="AO42" s="735">
        <v>10777.98</v>
      </c>
      <c r="AU42" s="572" t="s">
        <v>87</v>
      </c>
      <c r="AV42" s="572">
        <f>398206731.5-98913.76-34548384-9065719-10366366-841833</f>
        <v>343285515.74000001</v>
      </c>
      <c r="AW42" s="572">
        <f>AV42/100000</f>
        <v>3432.8551574000003</v>
      </c>
      <c r="AX42" s="82"/>
    </row>
    <row r="43" spans="1:52">
      <c r="A43" s="763" t="s">
        <v>1452</v>
      </c>
      <c r="B43" s="736">
        <v>8265.42</v>
      </c>
      <c r="C43" s="323">
        <v>244628.83</v>
      </c>
      <c r="D43" s="711">
        <v>138036.04</v>
      </c>
      <c r="E43" s="592">
        <v>114858.21</v>
      </c>
      <c r="F43" s="322"/>
      <c r="G43" s="339"/>
      <c r="H43" s="339"/>
      <c r="I43" s="338"/>
      <c r="J43" s="324"/>
      <c r="K43" s="338"/>
      <c r="L43" s="338"/>
      <c r="M43" s="339"/>
      <c r="N43" s="322"/>
      <c r="O43" s="339"/>
      <c r="P43" s="339"/>
      <c r="Q43" s="338"/>
      <c r="R43" s="324"/>
      <c r="S43" s="323">
        <v>38760.959999999999</v>
      </c>
      <c r="T43" s="338"/>
      <c r="U43" s="592">
        <v>38760.959999999999</v>
      </c>
      <c r="V43" s="322"/>
      <c r="W43" s="339"/>
      <c r="X43" s="339"/>
      <c r="Y43" s="338"/>
      <c r="Z43" s="324"/>
      <c r="AA43" s="338"/>
      <c r="AB43" s="338"/>
      <c r="AC43" s="339"/>
      <c r="AD43" s="322"/>
      <c r="AE43" s="339"/>
      <c r="AF43" s="339"/>
      <c r="AG43" s="338"/>
      <c r="AH43" s="324"/>
      <c r="AI43" s="338"/>
      <c r="AJ43" s="338"/>
      <c r="AK43" s="339"/>
      <c r="AL43" s="734">
        <v>8265.42</v>
      </c>
      <c r="AM43" s="714">
        <v>205867.87</v>
      </c>
      <c r="AN43" s="714">
        <v>138036.04</v>
      </c>
      <c r="AO43" s="735">
        <v>76097.25</v>
      </c>
      <c r="AU43" s="572" t="s">
        <v>429</v>
      </c>
      <c r="AV43" s="572">
        <f>1454255+27411317</f>
        <v>28865572</v>
      </c>
      <c r="AW43" s="572">
        <f>AV43/100000</f>
        <v>288.65571999999997</v>
      </c>
      <c r="AX43" s="82"/>
    </row>
    <row r="44" spans="1:52">
      <c r="A44" s="762" t="s">
        <v>1121</v>
      </c>
      <c r="B44" s="717">
        <v>900</v>
      </c>
      <c r="C44" s="323">
        <v>730</v>
      </c>
      <c r="D44" s="323">
        <v>730.8</v>
      </c>
      <c r="E44" s="592">
        <v>899.2</v>
      </c>
      <c r="F44" s="322"/>
      <c r="G44" s="339"/>
      <c r="H44" s="339"/>
      <c r="I44" s="338"/>
      <c r="J44" s="324"/>
      <c r="K44" s="338"/>
      <c r="L44" s="338"/>
      <c r="M44" s="339"/>
      <c r="N44" s="716">
        <v>900</v>
      </c>
      <c r="O44" s="325">
        <v>730</v>
      </c>
      <c r="P44" s="325">
        <v>730.8</v>
      </c>
      <c r="Q44" s="594">
        <v>899.2</v>
      </c>
      <c r="R44" s="324"/>
      <c r="S44" s="338"/>
      <c r="T44" s="338"/>
      <c r="U44" s="339"/>
      <c r="V44" s="322"/>
      <c r="W44" s="339"/>
      <c r="X44" s="339"/>
      <c r="Y44" s="338"/>
      <c r="Z44" s="324"/>
      <c r="AA44" s="338"/>
      <c r="AB44" s="338"/>
      <c r="AC44" s="339"/>
      <c r="AD44" s="322"/>
      <c r="AE44" s="339"/>
      <c r="AF44" s="339"/>
      <c r="AG44" s="338"/>
      <c r="AH44" s="324"/>
      <c r="AI44" s="338"/>
      <c r="AJ44" s="338"/>
      <c r="AK44" s="339"/>
      <c r="AL44" s="322"/>
      <c r="AM44" s="339"/>
      <c r="AN44" s="339"/>
      <c r="AO44" s="338"/>
      <c r="AU44" s="572" t="s">
        <v>88</v>
      </c>
      <c r="AV44" s="572">
        <f>1799849</f>
        <v>1799849</v>
      </c>
      <c r="AW44" s="572">
        <f>AV44/100000</f>
        <v>17.99849</v>
      </c>
      <c r="AX44" s="82"/>
    </row>
    <row r="45" spans="1:52">
      <c r="A45" s="812" t="s">
        <v>1453</v>
      </c>
      <c r="B45" s="717">
        <v>10046.406000000001</v>
      </c>
      <c r="C45" s="323">
        <v>46906.98</v>
      </c>
      <c r="D45" s="323">
        <v>45383.37</v>
      </c>
      <c r="E45" s="592">
        <v>11570.016</v>
      </c>
      <c r="F45" s="322"/>
      <c r="G45" s="339"/>
      <c r="H45" s="339"/>
      <c r="I45" s="338"/>
      <c r="J45" s="324"/>
      <c r="K45" s="338"/>
      <c r="L45" s="338"/>
      <c r="M45" s="339"/>
      <c r="N45" s="322"/>
      <c r="O45" s="339"/>
      <c r="P45" s="339"/>
      <c r="Q45" s="338"/>
      <c r="R45" s="324"/>
      <c r="S45" s="338"/>
      <c r="T45" s="338"/>
      <c r="U45" s="339"/>
      <c r="V45" s="322"/>
      <c r="W45" s="339"/>
      <c r="X45" s="339"/>
      <c r="Y45" s="338"/>
      <c r="Z45" s="324"/>
      <c r="AA45" s="338"/>
      <c r="AB45" s="338"/>
      <c r="AC45" s="339"/>
      <c r="AD45" s="716">
        <v>10046.406000000001</v>
      </c>
      <c r="AE45" s="325">
        <v>46906.98</v>
      </c>
      <c r="AF45" s="325">
        <v>45383.37</v>
      </c>
      <c r="AG45" s="594">
        <v>11570.016</v>
      </c>
      <c r="AH45" s="324"/>
      <c r="AI45" s="338"/>
      <c r="AJ45" s="338"/>
      <c r="AK45" s="339"/>
      <c r="AL45" s="322"/>
      <c r="AM45" s="339"/>
      <c r="AN45" s="339"/>
      <c r="AO45" s="338"/>
      <c r="AU45" s="572" t="s">
        <v>99</v>
      </c>
      <c r="AV45" s="978">
        <f>E570-E569</f>
        <v>8338599.8700000001</v>
      </c>
      <c r="AW45" s="572">
        <f>AV45/100000</f>
        <v>83.385998700000002</v>
      </c>
      <c r="AX45" s="82"/>
    </row>
    <row r="46" spans="1:52">
      <c r="A46" s="812" t="s">
        <v>1454</v>
      </c>
      <c r="B46" s="324"/>
      <c r="C46" s="323">
        <v>1530</v>
      </c>
      <c r="D46" s="323">
        <v>1530</v>
      </c>
      <c r="E46" s="339"/>
      <c r="F46" s="322"/>
      <c r="G46" s="339"/>
      <c r="H46" s="339"/>
      <c r="I46" s="338"/>
      <c r="J46" s="324"/>
      <c r="K46" s="338"/>
      <c r="L46" s="338"/>
      <c r="M46" s="339"/>
      <c r="N46" s="322"/>
      <c r="O46" s="339"/>
      <c r="P46" s="339"/>
      <c r="Q46" s="338"/>
      <c r="R46" s="324"/>
      <c r="S46" s="338"/>
      <c r="T46" s="338"/>
      <c r="U46" s="339"/>
      <c r="V46" s="322"/>
      <c r="W46" s="325">
        <v>1530</v>
      </c>
      <c r="X46" s="325">
        <v>1530</v>
      </c>
      <c r="Y46" s="338"/>
      <c r="Z46" s="324"/>
      <c r="AA46" s="338"/>
      <c r="AB46" s="338"/>
      <c r="AC46" s="339"/>
      <c r="AD46" s="322"/>
      <c r="AE46" s="339"/>
      <c r="AF46" s="339"/>
      <c r="AG46" s="338"/>
      <c r="AH46" s="324"/>
      <c r="AI46" s="338"/>
      <c r="AJ46" s="338"/>
      <c r="AK46" s="339"/>
      <c r="AL46" s="322"/>
      <c r="AM46" s="339"/>
      <c r="AN46" s="339"/>
      <c r="AO46" s="338"/>
      <c r="AU46" s="572" t="s">
        <v>489</v>
      </c>
      <c r="AV46" s="572"/>
      <c r="AW46" s="572"/>
      <c r="AX46" s="82"/>
    </row>
    <row r="47" spans="1:52">
      <c r="A47" s="762" t="s">
        <v>881</v>
      </c>
      <c r="B47" s="717">
        <v>12689.082</v>
      </c>
      <c r="C47" s="323">
        <v>38754.85</v>
      </c>
      <c r="D47" s="323">
        <v>8200.48</v>
      </c>
      <c r="E47" s="592">
        <v>43243.451999999997</v>
      </c>
      <c r="F47" s="322"/>
      <c r="G47" s="339"/>
      <c r="H47" s="339"/>
      <c r="I47" s="338"/>
      <c r="J47" s="324"/>
      <c r="K47" s="338"/>
      <c r="L47" s="338"/>
      <c r="M47" s="339"/>
      <c r="N47" s="716">
        <v>12689.082</v>
      </c>
      <c r="O47" s="325">
        <v>38754.85</v>
      </c>
      <c r="P47" s="325">
        <v>8200.48</v>
      </c>
      <c r="Q47" s="594">
        <v>43243.451999999997</v>
      </c>
      <c r="R47" s="324"/>
      <c r="S47" s="323">
        <v>767.25</v>
      </c>
      <c r="T47" s="338"/>
      <c r="U47" s="592">
        <v>767.25</v>
      </c>
      <c r="V47" s="322"/>
      <c r="W47" s="339"/>
      <c r="X47" s="339"/>
      <c r="Y47" s="338"/>
      <c r="Z47" s="324"/>
      <c r="AA47" s="338"/>
      <c r="AB47" s="338"/>
      <c r="AC47" s="339"/>
      <c r="AD47" s="322"/>
      <c r="AE47" s="339"/>
      <c r="AF47" s="339"/>
      <c r="AG47" s="338"/>
      <c r="AH47" s="324"/>
      <c r="AI47" s="338"/>
      <c r="AJ47" s="338"/>
      <c r="AK47" s="339"/>
      <c r="AL47" s="734">
        <v>76.25</v>
      </c>
      <c r="AM47" s="714">
        <v>34905.68</v>
      </c>
      <c r="AN47" s="714">
        <v>24203.95</v>
      </c>
      <c r="AO47" s="735">
        <v>10777.98</v>
      </c>
      <c r="AU47" s="572" t="s">
        <v>89</v>
      </c>
      <c r="AV47" s="572"/>
      <c r="AW47" s="572"/>
      <c r="AX47" s="82"/>
    </row>
    <row r="48" spans="1:52">
      <c r="A48" s="769" t="s">
        <v>1455</v>
      </c>
      <c r="B48" s="946">
        <v>5005617</v>
      </c>
      <c r="C48" s="703">
        <v>92601194.400000006</v>
      </c>
      <c r="D48" s="703">
        <v>97606811.400000006</v>
      </c>
      <c r="E48" s="708"/>
      <c r="F48" s="944"/>
      <c r="G48" s="595"/>
      <c r="H48" s="595"/>
      <c r="I48" s="595"/>
      <c r="J48" s="943"/>
      <c r="K48" s="708"/>
      <c r="L48" s="708"/>
      <c r="M48" s="708"/>
      <c r="N48" s="955">
        <v>5005617</v>
      </c>
      <c r="O48" s="591">
        <v>92601194.400000006</v>
      </c>
      <c r="P48" s="591">
        <v>97606811.400000006</v>
      </c>
      <c r="Q48" s="595"/>
      <c r="R48" s="943"/>
      <c r="S48" s="708"/>
      <c r="T48" s="708"/>
      <c r="U48" s="708"/>
      <c r="V48" s="944"/>
      <c r="W48" s="595"/>
      <c r="X48" s="595"/>
      <c r="Y48" s="595"/>
      <c r="Z48" s="943"/>
      <c r="AA48" s="708"/>
      <c r="AB48" s="708"/>
      <c r="AC48" s="708"/>
      <c r="AD48" s="944"/>
      <c r="AE48" s="595"/>
      <c r="AF48" s="595"/>
      <c r="AG48" s="595"/>
      <c r="AH48" s="943"/>
      <c r="AI48" s="708"/>
      <c r="AJ48" s="708"/>
      <c r="AK48" s="708"/>
      <c r="AL48" s="944"/>
      <c r="AM48" s="595"/>
      <c r="AN48" s="595"/>
      <c r="AO48" s="595"/>
      <c r="AU48" s="572" t="s">
        <v>86</v>
      </c>
      <c r="AV48" s="572"/>
      <c r="AW48" s="572"/>
      <c r="AX48" s="82"/>
    </row>
    <row r="49" spans="1:51">
      <c r="A49" s="765" t="s">
        <v>936</v>
      </c>
      <c r="B49" s="728">
        <v>5005617</v>
      </c>
      <c r="C49" s="320">
        <v>92386950</v>
      </c>
      <c r="D49" s="320">
        <v>97392567</v>
      </c>
      <c r="E49" s="331"/>
      <c r="F49" s="319"/>
      <c r="G49" s="331"/>
      <c r="H49" s="331"/>
      <c r="I49" s="330"/>
      <c r="J49" s="317"/>
      <c r="K49" s="330"/>
      <c r="L49" s="330"/>
      <c r="M49" s="331"/>
      <c r="N49" s="738">
        <v>5005617</v>
      </c>
      <c r="O49" s="318">
        <v>92386950</v>
      </c>
      <c r="P49" s="318">
        <v>97392567</v>
      </c>
      <c r="Q49" s="330"/>
      <c r="R49" s="317"/>
      <c r="S49" s="330"/>
      <c r="T49" s="330"/>
      <c r="U49" s="331"/>
      <c r="V49" s="319"/>
      <c r="W49" s="331"/>
      <c r="X49" s="331"/>
      <c r="Y49" s="330"/>
      <c r="Z49" s="317"/>
      <c r="AA49" s="330"/>
      <c r="AB49" s="330"/>
      <c r="AC49" s="331"/>
      <c r="AD49" s="319"/>
      <c r="AE49" s="331"/>
      <c r="AF49" s="331"/>
      <c r="AG49" s="330"/>
      <c r="AH49" s="317"/>
      <c r="AI49" s="330"/>
      <c r="AJ49" s="330"/>
      <c r="AK49" s="331"/>
      <c r="AL49" s="319"/>
      <c r="AM49" s="331"/>
      <c r="AN49" s="331"/>
      <c r="AO49" s="330"/>
      <c r="AU49" s="572" t="s">
        <v>1077</v>
      </c>
      <c r="AV49" s="572">
        <f>178870000+16458516.29+98913.76+34548384+9065719+10366366+841833</f>
        <v>250249732.04999998</v>
      </c>
      <c r="AW49" s="572">
        <f>AV49/100000</f>
        <v>2502.4973204999997</v>
      </c>
      <c r="AX49" s="82"/>
    </row>
    <row r="50" spans="1:51">
      <c r="A50" s="764" t="s">
        <v>1456</v>
      </c>
      <c r="B50" s="324"/>
      <c r="C50" s="323">
        <v>214244.4</v>
      </c>
      <c r="D50" s="323">
        <v>214244.4</v>
      </c>
      <c r="E50" s="339"/>
      <c r="F50" s="322"/>
      <c r="G50" s="339"/>
      <c r="H50" s="339"/>
      <c r="I50" s="338"/>
      <c r="J50" s="324"/>
      <c r="K50" s="338"/>
      <c r="L50" s="338"/>
      <c r="M50" s="339"/>
      <c r="N50" s="322"/>
      <c r="O50" s="325">
        <v>214244.4</v>
      </c>
      <c r="P50" s="325">
        <v>214244.4</v>
      </c>
      <c r="Q50" s="338"/>
      <c r="R50" s="324"/>
      <c r="S50" s="338"/>
      <c r="T50" s="338"/>
      <c r="U50" s="339"/>
      <c r="V50" s="322"/>
      <c r="W50" s="339"/>
      <c r="X50" s="339"/>
      <c r="Y50" s="338"/>
      <c r="Z50" s="324"/>
      <c r="AA50" s="338"/>
      <c r="AB50" s="338"/>
      <c r="AC50" s="339"/>
      <c r="AD50" s="322"/>
      <c r="AE50" s="339"/>
      <c r="AF50" s="339"/>
      <c r="AG50" s="338"/>
      <c r="AH50" s="324"/>
      <c r="AI50" s="338"/>
      <c r="AJ50" s="338"/>
      <c r="AK50" s="339"/>
      <c r="AL50" s="322"/>
      <c r="AM50" s="339"/>
      <c r="AN50" s="339"/>
      <c r="AO50" s="338"/>
      <c r="AU50" s="572" t="s">
        <v>1078</v>
      </c>
      <c r="AV50" s="572">
        <f>2670970+8614341</f>
        <v>11285311</v>
      </c>
      <c r="AW50" s="572">
        <f>AV50/100000</f>
        <v>112.85311</v>
      </c>
      <c r="AX50" s="82"/>
    </row>
    <row r="51" spans="1:51">
      <c r="A51" s="763" t="s">
        <v>882</v>
      </c>
      <c r="B51" s="716">
        <v>1550507.9310000001</v>
      </c>
      <c r="C51" s="325">
        <v>1851302.0449999999</v>
      </c>
      <c r="D51" s="325">
        <v>12429.02</v>
      </c>
      <c r="E51" s="594">
        <v>3389380.9559999998</v>
      </c>
      <c r="F51" s="324"/>
      <c r="G51" s="338"/>
      <c r="H51" s="338"/>
      <c r="I51" s="339"/>
      <c r="J51" s="322"/>
      <c r="K51" s="339"/>
      <c r="L51" s="339"/>
      <c r="M51" s="338"/>
      <c r="N51" s="717">
        <v>1550507.9310000001</v>
      </c>
      <c r="O51" s="323">
        <v>1851302.0449999999</v>
      </c>
      <c r="P51" s="323">
        <v>12429.02</v>
      </c>
      <c r="Q51" s="592">
        <v>3389380.9559999998</v>
      </c>
      <c r="R51" s="322"/>
      <c r="S51" s="325">
        <v>9741924.7200000007</v>
      </c>
      <c r="T51" s="325">
        <v>4731213.29</v>
      </c>
      <c r="U51" s="594">
        <v>5010711.43</v>
      </c>
      <c r="V51" s="717">
        <v>414169.54499999998</v>
      </c>
      <c r="W51" s="323">
        <v>127667.167</v>
      </c>
      <c r="X51" s="338"/>
      <c r="Y51" s="592">
        <v>541836.71200000006</v>
      </c>
      <c r="Z51" s="322"/>
      <c r="AA51" s="339"/>
      <c r="AB51" s="339"/>
      <c r="AC51" s="338"/>
      <c r="AD51" s="324"/>
      <c r="AE51" s="338"/>
      <c r="AF51" s="338"/>
      <c r="AG51" s="339"/>
      <c r="AH51" s="322"/>
      <c r="AI51" s="339"/>
      <c r="AJ51" s="339"/>
      <c r="AK51" s="338"/>
      <c r="AL51" s="736">
        <v>262710.33</v>
      </c>
      <c r="AM51" s="711">
        <v>2133019.0299999998</v>
      </c>
      <c r="AN51" s="711">
        <v>65215.19</v>
      </c>
      <c r="AO51" s="737">
        <v>2330514.17</v>
      </c>
      <c r="AU51" s="572"/>
      <c r="AV51" s="572"/>
      <c r="AW51" s="572"/>
      <c r="AX51" s="82"/>
    </row>
    <row r="52" spans="1:51">
      <c r="A52" s="764" t="s">
        <v>1457</v>
      </c>
      <c r="B52" s="716">
        <v>626513.80799999996</v>
      </c>
      <c r="C52" s="325">
        <v>19076652.840999998</v>
      </c>
      <c r="D52" s="325">
        <v>18995521.041000001</v>
      </c>
      <c r="E52" s="594">
        <v>707645.60800000001</v>
      </c>
      <c r="F52" s="324"/>
      <c r="G52" s="338"/>
      <c r="H52" s="338"/>
      <c r="I52" s="339"/>
      <c r="J52" s="322"/>
      <c r="K52" s="325">
        <v>7108.2860000000001</v>
      </c>
      <c r="L52" s="339"/>
      <c r="M52" s="594">
        <v>7108.2860000000001</v>
      </c>
      <c r="N52" s="324"/>
      <c r="O52" s="338"/>
      <c r="P52" s="338"/>
      <c r="Q52" s="339"/>
      <c r="R52" s="322"/>
      <c r="S52" s="339"/>
      <c r="T52" s="339"/>
      <c r="U52" s="338"/>
      <c r="V52" s="324"/>
      <c r="W52" s="338"/>
      <c r="X52" s="338"/>
      <c r="Y52" s="339"/>
      <c r="Z52" s="716">
        <v>625650.62800000003</v>
      </c>
      <c r="AA52" s="325">
        <v>76960.176999999996</v>
      </c>
      <c r="AB52" s="339"/>
      <c r="AC52" s="594">
        <v>702610.80500000005</v>
      </c>
      <c r="AD52" s="699">
        <v>367.41</v>
      </c>
      <c r="AE52" s="323">
        <v>18992584.377999999</v>
      </c>
      <c r="AF52" s="323">
        <v>18995521.041000001</v>
      </c>
      <c r="AG52" s="588">
        <v>3304.0729999999999</v>
      </c>
      <c r="AH52" s="734">
        <v>1230.5899999999999</v>
      </c>
      <c r="AI52" s="339"/>
      <c r="AJ52" s="339"/>
      <c r="AK52" s="735">
        <v>1230.5899999999999</v>
      </c>
      <c r="AL52" s="324"/>
      <c r="AM52" s="338"/>
      <c r="AN52" s="338"/>
      <c r="AO52" s="339"/>
      <c r="AU52" s="572" t="s">
        <v>431</v>
      </c>
      <c r="AV52" s="572"/>
      <c r="AW52" s="572"/>
      <c r="AX52" s="82"/>
    </row>
    <row r="53" spans="1:51">
      <c r="A53" s="764" t="s">
        <v>883</v>
      </c>
      <c r="B53" s="716">
        <v>2635415.0350000001</v>
      </c>
      <c r="C53" s="325">
        <v>324304393.46600002</v>
      </c>
      <c r="D53" s="325">
        <v>308208611.13200003</v>
      </c>
      <c r="E53" s="594">
        <v>39915984.522</v>
      </c>
      <c r="F53" s="324"/>
      <c r="G53" s="338"/>
      <c r="H53" s="338"/>
      <c r="I53" s="339"/>
      <c r="J53" s="322"/>
      <c r="K53" s="325">
        <v>2812472.82</v>
      </c>
      <c r="L53" s="325">
        <v>643284</v>
      </c>
      <c r="M53" s="594">
        <v>2169188.8199999998</v>
      </c>
      <c r="N53" s="717">
        <v>2635415.0350000001</v>
      </c>
      <c r="O53" s="323">
        <v>94216307.289000005</v>
      </c>
      <c r="P53" s="323">
        <v>93322979.459999993</v>
      </c>
      <c r="Q53" s="592">
        <v>3528742.8640000001</v>
      </c>
      <c r="R53" s="322"/>
      <c r="S53" s="325">
        <v>42305909.770000003</v>
      </c>
      <c r="T53" s="325">
        <v>42305909.770000003</v>
      </c>
      <c r="U53" s="338"/>
      <c r="V53" s="717">
        <v>7893179.2180000003</v>
      </c>
      <c r="W53" s="323">
        <v>27953136.609999999</v>
      </c>
      <c r="X53" s="323">
        <v>28970207</v>
      </c>
      <c r="Y53" s="592">
        <v>6876108.8279999997</v>
      </c>
      <c r="Z53" s="716">
        <v>5864204.7400000002</v>
      </c>
      <c r="AA53" s="325">
        <v>8410818.9560000002</v>
      </c>
      <c r="AB53" s="325">
        <v>11108221.022</v>
      </c>
      <c r="AC53" s="594">
        <v>3166802.6740000001</v>
      </c>
      <c r="AD53" s="324"/>
      <c r="AE53" s="323">
        <v>547999.52</v>
      </c>
      <c r="AF53" s="323">
        <v>548062.43000000005</v>
      </c>
      <c r="AG53" s="588">
        <v>62.91</v>
      </c>
      <c r="AH53" s="734">
        <v>43817.3</v>
      </c>
      <c r="AI53" s="339"/>
      <c r="AJ53" s="339"/>
      <c r="AK53" s="735">
        <v>43817.3</v>
      </c>
      <c r="AL53" s="736">
        <v>10019000.93</v>
      </c>
      <c r="AM53" s="711">
        <v>242274055.78999999</v>
      </c>
      <c r="AN53" s="711">
        <v>224632926.91</v>
      </c>
      <c r="AO53" s="737">
        <v>27660129.809999999</v>
      </c>
      <c r="AU53" s="572" t="s">
        <v>422</v>
      </c>
      <c r="AV53" s="572"/>
      <c r="AW53" s="572"/>
      <c r="AX53" s="82"/>
    </row>
    <row r="54" spans="1:51">
      <c r="A54" s="764" t="s">
        <v>1458</v>
      </c>
      <c r="B54" s="716">
        <v>8023627.7869999995</v>
      </c>
      <c r="C54" s="325">
        <v>19076652.840999998</v>
      </c>
      <c r="D54" s="325">
        <v>22433375.730999999</v>
      </c>
      <c r="E54" s="594">
        <v>4666904.8969999999</v>
      </c>
      <c r="F54" s="324"/>
      <c r="G54" s="338"/>
      <c r="H54" s="338"/>
      <c r="I54" s="339"/>
      <c r="J54" s="322"/>
      <c r="K54" s="325">
        <v>7108.2860000000001</v>
      </c>
      <c r="L54" s="339"/>
      <c r="M54" s="594">
        <v>7108.2860000000001</v>
      </c>
      <c r="N54" s="324"/>
      <c r="O54" s="338"/>
      <c r="P54" s="338"/>
      <c r="Q54" s="339"/>
      <c r="R54" s="322"/>
      <c r="S54" s="339"/>
      <c r="T54" s="339"/>
      <c r="U54" s="338"/>
      <c r="V54" s="324"/>
      <c r="W54" s="338"/>
      <c r="X54" s="338"/>
      <c r="Y54" s="339"/>
      <c r="Z54" s="716">
        <v>625650.62800000003</v>
      </c>
      <c r="AA54" s="325">
        <v>76960.176999999996</v>
      </c>
      <c r="AB54" s="325">
        <v>118455.92</v>
      </c>
      <c r="AC54" s="594">
        <v>584154.88500000001</v>
      </c>
      <c r="AD54" s="717">
        <v>7396746.5690000001</v>
      </c>
      <c r="AE54" s="323">
        <v>18992584.377999999</v>
      </c>
      <c r="AF54" s="323">
        <v>22314919.811000001</v>
      </c>
      <c r="AG54" s="592">
        <v>4074411.1359999999</v>
      </c>
      <c r="AH54" s="734">
        <v>1230.5899999999999</v>
      </c>
      <c r="AI54" s="339"/>
      <c r="AJ54" s="339"/>
      <c r="AK54" s="735">
        <v>1230.5899999999999</v>
      </c>
      <c r="AL54" s="324"/>
      <c r="AM54" s="338"/>
      <c r="AN54" s="338"/>
      <c r="AO54" s="339"/>
      <c r="AU54" s="572" t="s">
        <v>1308</v>
      </c>
      <c r="AV54" s="978">
        <f>+BP31-18437322-179920142-88012304.6-3360947-34617934.29-16634711.526</f>
        <v>637106718.4519999</v>
      </c>
      <c r="AW54" s="572">
        <f>AV54/100000</f>
        <v>6371.0671845199986</v>
      </c>
      <c r="AX54" s="82"/>
    </row>
    <row r="55" spans="1:51">
      <c r="A55" s="765" t="s">
        <v>884</v>
      </c>
      <c r="B55" s="716">
        <v>1511758.2</v>
      </c>
      <c r="C55" s="325">
        <v>1851302.0449999999</v>
      </c>
      <c r="D55" s="325">
        <v>12429.02</v>
      </c>
      <c r="E55" s="594">
        <v>3350631.2250000001</v>
      </c>
      <c r="F55" s="324"/>
      <c r="G55" s="338"/>
      <c r="H55" s="338"/>
      <c r="I55" s="339"/>
      <c r="J55" s="322"/>
      <c r="K55" s="339"/>
      <c r="L55" s="339"/>
      <c r="M55" s="338"/>
      <c r="N55" s="717">
        <v>1511758.2</v>
      </c>
      <c r="O55" s="323">
        <v>1851302.0449999999</v>
      </c>
      <c r="P55" s="323">
        <v>12429.02</v>
      </c>
      <c r="Q55" s="592">
        <v>3350631.2250000001</v>
      </c>
      <c r="R55" s="322"/>
      <c r="S55" s="325">
        <v>9741924.7200000007</v>
      </c>
      <c r="T55" s="325">
        <v>5133696</v>
      </c>
      <c r="U55" s="594">
        <v>4608228.72</v>
      </c>
      <c r="V55" s="717">
        <v>399187.54499999998</v>
      </c>
      <c r="W55" s="323">
        <v>127667.167</v>
      </c>
      <c r="X55" s="338"/>
      <c r="Y55" s="592">
        <v>526854.71200000006</v>
      </c>
      <c r="Z55" s="322"/>
      <c r="AA55" s="339"/>
      <c r="AB55" s="339"/>
      <c r="AC55" s="338"/>
      <c r="AD55" s="324"/>
      <c r="AE55" s="338"/>
      <c r="AF55" s="338"/>
      <c r="AG55" s="339"/>
      <c r="AH55" s="322"/>
      <c r="AI55" s="339"/>
      <c r="AJ55" s="339"/>
      <c r="AK55" s="338"/>
      <c r="AL55" s="736">
        <v>262710.33</v>
      </c>
      <c r="AM55" s="711">
        <v>2133019.0299999998</v>
      </c>
      <c r="AN55" s="711">
        <v>65215.59</v>
      </c>
      <c r="AO55" s="737">
        <v>2330513.77</v>
      </c>
      <c r="AU55" s="572" t="s">
        <v>430</v>
      </c>
      <c r="AV55" s="572">
        <f>4115240+300000+1430387+1225105+258020+631982+456275+172899.5+167610.5</f>
        <v>8757519</v>
      </c>
      <c r="AW55" s="572">
        <f>AV55/100000</f>
        <v>87.575190000000006</v>
      </c>
      <c r="AX55" s="82"/>
    </row>
    <row r="56" spans="1:51">
      <c r="A56" s="764" t="s">
        <v>936</v>
      </c>
      <c r="B56" s="322"/>
      <c r="C56" s="325">
        <v>47028266</v>
      </c>
      <c r="D56" s="325">
        <v>47028266</v>
      </c>
      <c r="E56" s="338"/>
      <c r="F56" s="324"/>
      <c r="G56" s="338"/>
      <c r="H56" s="338"/>
      <c r="I56" s="339"/>
      <c r="J56" s="322"/>
      <c r="K56" s="339"/>
      <c r="L56" s="339"/>
      <c r="M56" s="338"/>
      <c r="N56" s="324"/>
      <c r="O56" s="338"/>
      <c r="P56" s="338"/>
      <c r="Q56" s="339"/>
      <c r="R56" s="322"/>
      <c r="S56" s="325">
        <v>9150683</v>
      </c>
      <c r="T56" s="325">
        <v>9150683</v>
      </c>
      <c r="U56" s="338"/>
      <c r="V56" s="324"/>
      <c r="W56" s="323">
        <v>6479917</v>
      </c>
      <c r="X56" s="323">
        <v>6479917</v>
      </c>
      <c r="Y56" s="339"/>
      <c r="Z56" s="322"/>
      <c r="AA56" s="339"/>
      <c r="AB56" s="339"/>
      <c r="AC56" s="338"/>
      <c r="AD56" s="324"/>
      <c r="AE56" s="338"/>
      <c r="AF56" s="338"/>
      <c r="AG56" s="339"/>
      <c r="AH56" s="322"/>
      <c r="AI56" s="339"/>
      <c r="AJ56" s="339"/>
      <c r="AK56" s="338"/>
      <c r="AL56" s="324"/>
      <c r="AM56" s="711">
        <v>31397666</v>
      </c>
      <c r="AN56" s="711">
        <v>31397666</v>
      </c>
      <c r="AO56" s="339"/>
      <c r="AU56" s="572" t="s">
        <v>91</v>
      </c>
      <c r="AV56" s="978">
        <f>BK31+105900+1203322+104967+1948+614414</f>
        <v>2741644.4</v>
      </c>
      <c r="AW56" s="572">
        <f>AV56/100000</f>
        <v>27.416443999999998</v>
      </c>
      <c r="AX56" s="82"/>
    </row>
    <row r="57" spans="1:51">
      <c r="A57" s="761" t="s">
        <v>1459</v>
      </c>
      <c r="B57" s="942">
        <v>2729737.26</v>
      </c>
      <c r="C57" s="591">
        <v>359090490.15399998</v>
      </c>
      <c r="D57" s="591">
        <v>356360752.98400003</v>
      </c>
      <c r="E57" s="768">
        <v>0.09</v>
      </c>
      <c r="F57" s="943"/>
      <c r="G57" s="708"/>
      <c r="H57" s="708"/>
      <c r="I57" s="708"/>
      <c r="J57" s="944"/>
      <c r="K57" s="591">
        <v>643283.1</v>
      </c>
      <c r="L57" s="591">
        <v>643283.18999999994</v>
      </c>
      <c r="M57" s="768">
        <v>0.09</v>
      </c>
      <c r="N57" s="943"/>
      <c r="O57" s="703">
        <v>98348670.975999996</v>
      </c>
      <c r="P57" s="703">
        <v>98348670.975999996</v>
      </c>
      <c r="Q57" s="708"/>
      <c r="R57" s="944"/>
      <c r="S57" s="591">
        <v>52194367.079999998</v>
      </c>
      <c r="T57" s="591">
        <v>52194367.079999998</v>
      </c>
      <c r="U57" s="595"/>
      <c r="V57" s="943"/>
      <c r="W57" s="703">
        <v>29043780.675999999</v>
      </c>
      <c r="X57" s="703">
        <v>29043780.675999999</v>
      </c>
      <c r="Y57" s="708"/>
      <c r="Z57" s="944"/>
      <c r="AA57" s="591">
        <v>11306442.177999999</v>
      </c>
      <c r="AB57" s="591">
        <v>11306442.177999999</v>
      </c>
      <c r="AC57" s="595"/>
      <c r="AD57" s="945">
        <v>2729737.26</v>
      </c>
      <c r="AE57" s="703">
        <v>41628040.469999999</v>
      </c>
      <c r="AF57" s="703">
        <v>38898303.210000001</v>
      </c>
      <c r="AG57" s="708"/>
      <c r="AH57" s="944"/>
      <c r="AI57" s="595"/>
      <c r="AJ57" s="595"/>
      <c r="AK57" s="595"/>
      <c r="AL57" s="943"/>
      <c r="AM57" s="702">
        <v>224274576.65000001</v>
      </c>
      <c r="AN57" s="702">
        <v>224274576.65000001</v>
      </c>
      <c r="AO57" s="708"/>
      <c r="AU57" s="572" t="s">
        <v>100</v>
      </c>
      <c r="AV57" s="572"/>
      <c r="AW57" s="572"/>
      <c r="AX57" s="82"/>
    </row>
    <row r="58" spans="1:51">
      <c r="A58" s="765" t="s">
        <v>886</v>
      </c>
      <c r="B58" s="319"/>
      <c r="C58" s="318">
        <v>982744.29399999999</v>
      </c>
      <c r="D58" s="318">
        <v>982744.29399999999</v>
      </c>
      <c r="E58" s="330"/>
      <c r="F58" s="317"/>
      <c r="G58" s="330"/>
      <c r="H58" s="330"/>
      <c r="I58" s="331"/>
      <c r="J58" s="319"/>
      <c r="K58" s="331"/>
      <c r="L58" s="331"/>
      <c r="M58" s="330"/>
      <c r="N58" s="317"/>
      <c r="O58" s="320">
        <v>982744.29399999999</v>
      </c>
      <c r="P58" s="320">
        <v>982744.29399999999</v>
      </c>
      <c r="Q58" s="331"/>
      <c r="R58" s="319"/>
      <c r="S58" s="331"/>
      <c r="T58" s="331"/>
      <c r="U58" s="330"/>
      <c r="V58" s="317"/>
      <c r="W58" s="320">
        <v>13388324.812999999</v>
      </c>
      <c r="X58" s="320">
        <v>13388324.812999999</v>
      </c>
      <c r="Y58" s="331"/>
      <c r="Z58" s="319"/>
      <c r="AA58" s="331"/>
      <c r="AB58" s="331"/>
      <c r="AC58" s="330"/>
      <c r="AD58" s="317"/>
      <c r="AE58" s="320">
        <v>420818.4</v>
      </c>
      <c r="AF58" s="320">
        <v>420818.4</v>
      </c>
      <c r="AG58" s="331"/>
      <c r="AH58" s="319"/>
      <c r="AI58" s="331"/>
      <c r="AJ58" s="331"/>
      <c r="AK58" s="330"/>
      <c r="AL58" s="317"/>
      <c r="AM58" s="330"/>
      <c r="AN58" s="330"/>
      <c r="AO58" s="331"/>
      <c r="AU58" s="572" t="s">
        <v>432</v>
      </c>
      <c r="AV58" s="572"/>
      <c r="AW58" s="572"/>
      <c r="AX58" s="82"/>
    </row>
    <row r="59" spans="1:51">
      <c r="A59" s="756" t="s">
        <v>1460</v>
      </c>
      <c r="B59" s="322"/>
      <c r="C59" s="325">
        <v>29539884.673</v>
      </c>
      <c r="D59" s="325">
        <v>29539884.717999998</v>
      </c>
      <c r="E59" s="589">
        <v>4.4999999999999998E-2</v>
      </c>
      <c r="F59" s="324"/>
      <c r="G59" s="338"/>
      <c r="H59" s="338"/>
      <c r="I59" s="339"/>
      <c r="J59" s="322"/>
      <c r="K59" s="325">
        <v>321641.55</v>
      </c>
      <c r="L59" s="325">
        <v>321641.59499999997</v>
      </c>
      <c r="M59" s="589">
        <v>4.4999999999999998E-2</v>
      </c>
      <c r="N59" s="324"/>
      <c r="O59" s="338"/>
      <c r="P59" s="338"/>
      <c r="Q59" s="339"/>
      <c r="R59" s="322"/>
      <c r="S59" s="325">
        <v>2538699.4</v>
      </c>
      <c r="T59" s="325">
        <v>2538699.4</v>
      </c>
      <c r="U59" s="338"/>
      <c r="V59" s="324"/>
      <c r="W59" s="338"/>
      <c r="X59" s="338"/>
      <c r="Y59" s="339"/>
      <c r="Z59" s="322"/>
      <c r="AA59" s="325">
        <v>5562173.7029999997</v>
      </c>
      <c r="AB59" s="325">
        <v>5562173.7029999997</v>
      </c>
      <c r="AC59" s="338"/>
      <c r="AD59" s="324"/>
      <c r="AE59" s="338"/>
      <c r="AF59" s="338"/>
      <c r="AG59" s="339"/>
      <c r="AH59" s="322"/>
      <c r="AI59" s="339"/>
      <c r="AJ59" s="339"/>
      <c r="AK59" s="338"/>
      <c r="AL59" s="324"/>
      <c r="AM59" s="711">
        <v>21117370.02</v>
      </c>
      <c r="AN59" s="711">
        <v>21117370.02</v>
      </c>
      <c r="AO59" s="339"/>
      <c r="AU59" s="572"/>
      <c r="AV59" s="572"/>
      <c r="AW59" s="572"/>
      <c r="AX59" s="82"/>
    </row>
    <row r="60" spans="1:51">
      <c r="A60" s="756" t="s">
        <v>887</v>
      </c>
      <c r="B60" s="700">
        <v>2729737.26</v>
      </c>
      <c r="C60" s="325">
        <v>96383182.387999997</v>
      </c>
      <c r="D60" s="325">
        <v>96383182.387999997</v>
      </c>
      <c r="E60" s="338"/>
      <c r="F60" s="324"/>
      <c r="G60" s="338"/>
      <c r="H60" s="338"/>
      <c r="I60" s="339"/>
      <c r="J60" s="322"/>
      <c r="K60" s="339"/>
      <c r="L60" s="339"/>
      <c r="M60" s="338"/>
      <c r="N60" s="324"/>
      <c r="O60" s="323">
        <v>96383182.387999997</v>
      </c>
      <c r="P60" s="323">
        <v>96383182.387999997</v>
      </c>
      <c r="Q60" s="339"/>
      <c r="R60" s="322"/>
      <c r="S60" s="325">
        <v>47116968.280000001</v>
      </c>
      <c r="T60" s="325">
        <v>47116968.280000001</v>
      </c>
      <c r="U60" s="338"/>
      <c r="V60" s="324"/>
      <c r="W60" s="323">
        <v>2267131.0499999998</v>
      </c>
      <c r="X60" s="323">
        <v>2267131.0499999998</v>
      </c>
      <c r="Y60" s="339"/>
      <c r="Z60" s="322"/>
      <c r="AA60" s="325">
        <v>182094.772</v>
      </c>
      <c r="AB60" s="325">
        <v>182094.772</v>
      </c>
      <c r="AC60" s="338"/>
      <c r="AD60" s="699">
        <v>2729737.26</v>
      </c>
      <c r="AE60" s="323">
        <v>40786403.670000002</v>
      </c>
      <c r="AF60" s="323">
        <v>38056666.409999996</v>
      </c>
      <c r="AG60" s="339"/>
      <c r="AH60" s="322"/>
      <c r="AI60" s="339"/>
      <c r="AJ60" s="339"/>
      <c r="AK60" s="338"/>
      <c r="AL60" s="324"/>
      <c r="AM60" s="711">
        <v>182039836.61000001</v>
      </c>
      <c r="AN60" s="711">
        <v>182039836.61000001</v>
      </c>
      <c r="AO60" s="339"/>
      <c r="AU60" s="572" t="s">
        <v>92</v>
      </c>
      <c r="AV60" s="978">
        <f>SUM(AV36:AV58)</f>
        <v>1380744761.5120001</v>
      </c>
      <c r="AW60" s="978">
        <f>SUM(AW36:AW58)</f>
        <v>16183.026715139642</v>
      </c>
      <c r="AX60" s="82"/>
      <c r="AY60" s="116">
        <f>AW32-AW60</f>
        <v>-225.73779479964105</v>
      </c>
    </row>
    <row r="61" spans="1:51">
      <c r="A61" s="756" t="s">
        <v>1461</v>
      </c>
      <c r="B61" s="322"/>
      <c r="C61" s="325">
        <v>29539884.673</v>
      </c>
      <c r="D61" s="325">
        <v>29539884.717999998</v>
      </c>
      <c r="E61" s="589">
        <v>4.4999999999999998E-2</v>
      </c>
      <c r="F61" s="324"/>
      <c r="G61" s="338"/>
      <c r="H61" s="338"/>
      <c r="I61" s="339"/>
      <c r="J61" s="322"/>
      <c r="K61" s="325">
        <v>321641.55</v>
      </c>
      <c r="L61" s="325">
        <v>321641.59499999997</v>
      </c>
      <c r="M61" s="589">
        <v>4.4999999999999998E-2</v>
      </c>
      <c r="N61" s="324"/>
      <c r="O61" s="338"/>
      <c r="P61" s="338"/>
      <c r="Q61" s="339"/>
      <c r="R61" s="322"/>
      <c r="S61" s="325">
        <v>2538699.4</v>
      </c>
      <c r="T61" s="325">
        <v>2538699.4</v>
      </c>
      <c r="U61" s="338"/>
      <c r="V61" s="324"/>
      <c r="W61" s="338"/>
      <c r="X61" s="338"/>
      <c r="Y61" s="339"/>
      <c r="Z61" s="322"/>
      <c r="AA61" s="325">
        <v>5562173.7029999997</v>
      </c>
      <c r="AB61" s="325">
        <v>5562173.7029999997</v>
      </c>
      <c r="AC61" s="338"/>
      <c r="AD61" s="324"/>
      <c r="AE61" s="338"/>
      <c r="AF61" s="338"/>
      <c r="AG61" s="339"/>
      <c r="AH61" s="322"/>
      <c r="AI61" s="339"/>
      <c r="AJ61" s="339"/>
      <c r="AK61" s="338"/>
      <c r="AL61" s="324"/>
      <c r="AM61" s="711">
        <v>21117370.02</v>
      </c>
      <c r="AN61" s="711">
        <v>21117370.02</v>
      </c>
      <c r="AO61" s="339"/>
      <c r="AY61" s="116">
        <f>AV32-AV60</f>
        <v>214984130.52199984</v>
      </c>
    </row>
    <row r="62" spans="1:51">
      <c r="A62" s="765" t="s">
        <v>888</v>
      </c>
      <c r="B62" s="322"/>
      <c r="C62" s="325">
        <v>982744.29399999999</v>
      </c>
      <c r="D62" s="325">
        <v>982744.29399999999</v>
      </c>
      <c r="E62" s="338"/>
      <c r="F62" s="324"/>
      <c r="G62" s="338"/>
      <c r="H62" s="338"/>
      <c r="I62" s="339"/>
      <c r="J62" s="322"/>
      <c r="K62" s="339"/>
      <c r="L62" s="339"/>
      <c r="M62" s="338"/>
      <c r="N62" s="324"/>
      <c r="O62" s="323">
        <v>982744.29399999999</v>
      </c>
      <c r="P62" s="323">
        <v>982744.29399999999</v>
      </c>
      <c r="Q62" s="339"/>
      <c r="R62" s="322"/>
      <c r="S62" s="339"/>
      <c r="T62" s="339"/>
      <c r="U62" s="338"/>
      <c r="V62" s="324"/>
      <c r="W62" s="323">
        <v>13388324.812999999</v>
      </c>
      <c r="X62" s="323">
        <v>13388324.812999999</v>
      </c>
      <c r="Y62" s="339"/>
      <c r="Z62" s="322"/>
      <c r="AA62" s="339"/>
      <c r="AB62" s="339"/>
      <c r="AC62" s="338"/>
      <c r="AD62" s="324"/>
      <c r="AE62" s="323">
        <v>420818.4</v>
      </c>
      <c r="AF62" s="323">
        <v>420818.4</v>
      </c>
      <c r="AG62" s="339"/>
      <c r="AH62" s="322"/>
      <c r="AI62" s="339"/>
      <c r="AJ62" s="339"/>
      <c r="AK62" s="338"/>
      <c r="AL62" s="324"/>
      <c r="AM62" s="338"/>
      <c r="AN62" s="338"/>
      <c r="AO62" s="339"/>
    </row>
    <row r="63" spans="1:51">
      <c r="A63" s="772" t="s">
        <v>1449</v>
      </c>
      <c r="B63" s="944"/>
      <c r="C63" s="591">
        <v>3060</v>
      </c>
      <c r="D63" s="591">
        <v>3060</v>
      </c>
      <c r="E63" s="595"/>
      <c r="F63" s="943"/>
      <c r="G63" s="708"/>
      <c r="H63" s="708"/>
      <c r="I63" s="708"/>
      <c r="J63" s="944"/>
      <c r="K63" s="595"/>
      <c r="L63" s="595"/>
      <c r="M63" s="595"/>
      <c r="N63" s="943"/>
      <c r="O63" s="708"/>
      <c r="P63" s="708"/>
      <c r="Q63" s="708"/>
      <c r="R63" s="944"/>
      <c r="S63" s="595"/>
      <c r="T63" s="595"/>
      <c r="U63" s="595"/>
      <c r="V63" s="943"/>
      <c r="W63" s="703">
        <v>3060</v>
      </c>
      <c r="X63" s="703">
        <v>3060</v>
      </c>
      <c r="Y63" s="708"/>
      <c r="Z63" s="944"/>
      <c r="AA63" s="595"/>
      <c r="AB63" s="595"/>
      <c r="AC63" s="595"/>
      <c r="AD63" s="943"/>
      <c r="AE63" s="708"/>
      <c r="AF63" s="708"/>
      <c r="AG63" s="708"/>
      <c r="AH63" s="944"/>
      <c r="AI63" s="595"/>
      <c r="AJ63" s="595"/>
      <c r="AK63" s="595"/>
      <c r="AL63" s="943"/>
      <c r="AM63" s="708"/>
      <c r="AN63" s="708"/>
      <c r="AO63" s="708"/>
    </row>
    <row r="64" spans="1:51">
      <c r="A64" s="763" t="s">
        <v>1450</v>
      </c>
      <c r="B64" s="738">
        <v>10046.406000000001</v>
      </c>
      <c r="C64" s="318">
        <v>46906.98</v>
      </c>
      <c r="D64" s="318">
        <v>45383.37</v>
      </c>
      <c r="E64" s="739">
        <v>11570.016</v>
      </c>
      <c r="F64" s="317"/>
      <c r="G64" s="330"/>
      <c r="H64" s="330"/>
      <c r="I64" s="331"/>
      <c r="J64" s="319"/>
      <c r="K64" s="331"/>
      <c r="L64" s="331"/>
      <c r="M64" s="330"/>
      <c r="N64" s="317"/>
      <c r="O64" s="330"/>
      <c r="P64" s="330"/>
      <c r="Q64" s="331"/>
      <c r="R64" s="319"/>
      <c r="S64" s="331"/>
      <c r="T64" s="331"/>
      <c r="U64" s="330"/>
      <c r="V64" s="317"/>
      <c r="W64" s="330"/>
      <c r="X64" s="330"/>
      <c r="Y64" s="331"/>
      <c r="Z64" s="319"/>
      <c r="AA64" s="331"/>
      <c r="AB64" s="331"/>
      <c r="AC64" s="330"/>
      <c r="AD64" s="728">
        <v>10046.406000000001</v>
      </c>
      <c r="AE64" s="320">
        <v>46906.98</v>
      </c>
      <c r="AF64" s="320">
        <v>45383.37</v>
      </c>
      <c r="AG64" s="729">
        <v>11570.016</v>
      </c>
      <c r="AH64" s="319"/>
      <c r="AI64" s="331"/>
      <c r="AJ64" s="331"/>
      <c r="AK64" s="330"/>
      <c r="AL64" s="317"/>
      <c r="AM64" s="330"/>
      <c r="AN64" s="330"/>
      <c r="AO64" s="331"/>
    </row>
    <row r="65" spans="1:41">
      <c r="A65" s="763" t="s">
        <v>1451</v>
      </c>
      <c r="B65" s="322"/>
      <c r="C65" s="325">
        <v>1530</v>
      </c>
      <c r="D65" s="325">
        <v>1530</v>
      </c>
      <c r="E65" s="338"/>
      <c r="F65" s="324"/>
      <c r="G65" s="338"/>
      <c r="H65" s="338"/>
      <c r="I65" s="339"/>
      <c r="J65" s="322"/>
      <c r="K65" s="339"/>
      <c r="L65" s="339"/>
      <c r="M65" s="338"/>
      <c r="N65" s="324"/>
      <c r="O65" s="338"/>
      <c r="P65" s="338"/>
      <c r="Q65" s="339"/>
      <c r="R65" s="322"/>
      <c r="S65" s="339"/>
      <c r="T65" s="339"/>
      <c r="U65" s="338"/>
      <c r="V65" s="324"/>
      <c r="W65" s="323">
        <v>1530</v>
      </c>
      <c r="X65" s="323">
        <v>1530</v>
      </c>
      <c r="Y65" s="339"/>
      <c r="Z65" s="322"/>
      <c r="AA65" s="339"/>
      <c r="AB65" s="339"/>
      <c r="AC65" s="338"/>
      <c r="AD65" s="324"/>
      <c r="AE65" s="338"/>
      <c r="AF65" s="338"/>
      <c r="AG65" s="339"/>
      <c r="AH65" s="322"/>
      <c r="AI65" s="339"/>
      <c r="AJ65" s="339"/>
      <c r="AK65" s="338"/>
      <c r="AL65" s="324"/>
      <c r="AM65" s="338"/>
      <c r="AN65" s="338"/>
      <c r="AO65" s="339"/>
    </row>
    <row r="66" spans="1:41">
      <c r="A66" s="763" t="s">
        <v>880</v>
      </c>
      <c r="B66" s="716">
        <v>12689.082</v>
      </c>
      <c r="C66" s="325">
        <v>38754.85</v>
      </c>
      <c r="D66" s="325">
        <v>8200.48</v>
      </c>
      <c r="E66" s="594">
        <v>43243.451999999997</v>
      </c>
      <c r="F66" s="324"/>
      <c r="G66" s="338"/>
      <c r="H66" s="338"/>
      <c r="I66" s="339"/>
      <c r="J66" s="322"/>
      <c r="K66" s="339"/>
      <c r="L66" s="339"/>
      <c r="M66" s="338"/>
      <c r="N66" s="717">
        <v>12689.082</v>
      </c>
      <c r="O66" s="323">
        <v>38754.85</v>
      </c>
      <c r="P66" s="323">
        <v>8200.48</v>
      </c>
      <c r="Q66" s="592">
        <v>43243.451999999997</v>
      </c>
      <c r="R66" s="322"/>
      <c r="S66" s="325">
        <v>767.25</v>
      </c>
      <c r="T66" s="339"/>
      <c r="U66" s="594">
        <v>767.25</v>
      </c>
      <c r="V66" s="324"/>
      <c r="W66" s="338"/>
      <c r="X66" s="338"/>
      <c r="Y66" s="339"/>
      <c r="Z66" s="322"/>
      <c r="AA66" s="339"/>
      <c r="AB66" s="339"/>
      <c r="AC66" s="338"/>
      <c r="AD66" s="324"/>
      <c r="AE66" s="338"/>
      <c r="AF66" s="338"/>
      <c r="AG66" s="339"/>
      <c r="AH66" s="322"/>
      <c r="AI66" s="339"/>
      <c r="AJ66" s="339"/>
      <c r="AK66" s="338"/>
      <c r="AL66" s="736">
        <v>76.25</v>
      </c>
      <c r="AM66" s="711">
        <v>34905.68</v>
      </c>
      <c r="AN66" s="711">
        <v>24203.95</v>
      </c>
      <c r="AO66" s="737">
        <v>10777.98</v>
      </c>
    </row>
    <row r="67" spans="1:41">
      <c r="A67" s="765" t="s">
        <v>1452</v>
      </c>
      <c r="B67" s="734">
        <v>8265.42</v>
      </c>
      <c r="C67" s="325">
        <v>244628.83</v>
      </c>
      <c r="D67" s="714">
        <v>138036.04</v>
      </c>
      <c r="E67" s="594">
        <v>114858.21</v>
      </c>
      <c r="F67" s="324"/>
      <c r="G67" s="338"/>
      <c r="H67" s="338"/>
      <c r="I67" s="339"/>
      <c r="J67" s="322"/>
      <c r="K67" s="339"/>
      <c r="L67" s="339"/>
      <c r="M67" s="338"/>
      <c r="N67" s="324"/>
      <c r="O67" s="338"/>
      <c r="P67" s="338"/>
      <c r="Q67" s="339"/>
      <c r="R67" s="322"/>
      <c r="S67" s="325">
        <v>38760.959999999999</v>
      </c>
      <c r="T67" s="339"/>
      <c r="U67" s="594">
        <v>38760.959999999999</v>
      </c>
      <c r="V67" s="324"/>
      <c r="W67" s="338"/>
      <c r="X67" s="338"/>
      <c r="Y67" s="339"/>
      <c r="Z67" s="322"/>
      <c r="AA67" s="339"/>
      <c r="AB67" s="339"/>
      <c r="AC67" s="338"/>
      <c r="AD67" s="324"/>
      <c r="AE67" s="338"/>
      <c r="AF67" s="338"/>
      <c r="AG67" s="339"/>
      <c r="AH67" s="322"/>
      <c r="AI67" s="339"/>
      <c r="AJ67" s="339"/>
      <c r="AK67" s="338"/>
      <c r="AL67" s="736">
        <v>8265.42</v>
      </c>
      <c r="AM67" s="711">
        <v>205867.87</v>
      </c>
      <c r="AN67" s="711">
        <v>138036.04</v>
      </c>
      <c r="AO67" s="737">
        <v>76097.25</v>
      </c>
    </row>
    <row r="68" spans="1:41">
      <c r="A68" s="763" t="s">
        <v>1121</v>
      </c>
      <c r="B68" s="716">
        <v>900</v>
      </c>
      <c r="C68" s="325">
        <v>730</v>
      </c>
      <c r="D68" s="325">
        <v>730.8</v>
      </c>
      <c r="E68" s="594">
        <v>899.2</v>
      </c>
      <c r="F68" s="324"/>
      <c r="G68" s="338"/>
      <c r="H68" s="338"/>
      <c r="I68" s="339"/>
      <c r="J68" s="322"/>
      <c r="K68" s="339"/>
      <c r="L68" s="339"/>
      <c r="M68" s="338"/>
      <c r="N68" s="717">
        <v>900</v>
      </c>
      <c r="O68" s="323">
        <v>730</v>
      </c>
      <c r="P68" s="323">
        <v>730.8</v>
      </c>
      <c r="Q68" s="592">
        <v>899.2</v>
      </c>
      <c r="R68" s="322"/>
      <c r="S68" s="339"/>
      <c r="T68" s="339"/>
      <c r="U68" s="338"/>
      <c r="V68" s="324"/>
      <c r="W68" s="338"/>
      <c r="X68" s="338"/>
      <c r="Y68" s="339"/>
      <c r="Z68" s="322"/>
      <c r="AA68" s="339"/>
      <c r="AB68" s="339"/>
      <c r="AC68" s="338"/>
      <c r="AD68" s="324"/>
      <c r="AE68" s="338"/>
      <c r="AF68" s="338"/>
      <c r="AG68" s="339"/>
      <c r="AH68" s="322"/>
      <c r="AI68" s="339"/>
      <c r="AJ68" s="339"/>
      <c r="AK68" s="338"/>
      <c r="AL68" s="324"/>
      <c r="AM68" s="338"/>
      <c r="AN68" s="338"/>
      <c r="AO68" s="339"/>
    </row>
    <row r="69" spans="1:41">
      <c r="A69" s="763" t="s">
        <v>1453</v>
      </c>
      <c r="B69" s="716">
        <v>10046.406000000001</v>
      </c>
      <c r="C69" s="325">
        <v>46906.98</v>
      </c>
      <c r="D69" s="325">
        <v>45383.37</v>
      </c>
      <c r="E69" s="594">
        <v>11570.016</v>
      </c>
      <c r="F69" s="324"/>
      <c r="G69" s="338"/>
      <c r="H69" s="338"/>
      <c r="I69" s="339"/>
      <c r="J69" s="322"/>
      <c r="K69" s="339"/>
      <c r="L69" s="339"/>
      <c r="M69" s="338"/>
      <c r="N69" s="324"/>
      <c r="O69" s="338"/>
      <c r="P69" s="338"/>
      <c r="Q69" s="339"/>
      <c r="R69" s="322"/>
      <c r="S69" s="339"/>
      <c r="T69" s="339"/>
      <c r="U69" s="338"/>
      <c r="V69" s="324"/>
      <c r="W69" s="338"/>
      <c r="X69" s="338"/>
      <c r="Y69" s="339"/>
      <c r="Z69" s="322"/>
      <c r="AA69" s="339"/>
      <c r="AB69" s="339"/>
      <c r="AC69" s="338"/>
      <c r="AD69" s="717">
        <v>10046.406000000001</v>
      </c>
      <c r="AE69" s="323">
        <v>46906.98</v>
      </c>
      <c r="AF69" s="323">
        <v>45383.37</v>
      </c>
      <c r="AG69" s="592">
        <v>11570.016</v>
      </c>
      <c r="AH69" s="322"/>
      <c r="AI69" s="339"/>
      <c r="AJ69" s="339"/>
      <c r="AK69" s="338"/>
      <c r="AL69" s="324"/>
      <c r="AM69" s="338"/>
      <c r="AN69" s="338"/>
      <c r="AO69" s="339"/>
    </row>
    <row r="70" spans="1:41">
      <c r="A70" s="763" t="s">
        <v>1454</v>
      </c>
      <c r="B70" s="322"/>
      <c r="C70" s="325">
        <v>1530</v>
      </c>
      <c r="D70" s="325">
        <v>1530</v>
      </c>
      <c r="E70" s="338"/>
      <c r="F70" s="324"/>
      <c r="G70" s="338"/>
      <c r="H70" s="338"/>
      <c r="I70" s="339"/>
      <c r="J70" s="322"/>
      <c r="K70" s="339"/>
      <c r="L70" s="339"/>
      <c r="M70" s="338"/>
      <c r="N70" s="324"/>
      <c r="O70" s="338"/>
      <c r="P70" s="338"/>
      <c r="Q70" s="339"/>
      <c r="R70" s="322"/>
      <c r="S70" s="339"/>
      <c r="T70" s="339"/>
      <c r="U70" s="338"/>
      <c r="V70" s="324"/>
      <c r="W70" s="323">
        <v>1530</v>
      </c>
      <c r="X70" s="323">
        <v>1530</v>
      </c>
      <c r="Y70" s="339"/>
      <c r="Z70" s="322"/>
      <c r="AA70" s="339"/>
      <c r="AB70" s="339"/>
      <c r="AC70" s="338"/>
      <c r="AD70" s="324"/>
      <c r="AE70" s="338"/>
      <c r="AF70" s="338"/>
      <c r="AG70" s="339"/>
      <c r="AH70" s="322"/>
      <c r="AI70" s="339"/>
      <c r="AJ70" s="339"/>
      <c r="AK70" s="338"/>
      <c r="AL70" s="324"/>
      <c r="AM70" s="338"/>
      <c r="AN70" s="338"/>
      <c r="AO70" s="339"/>
    </row>
    <row r="71" spans="1:41">
      <c r="A71" s="763" t="s">
        <v>881</v>
      </c>
      <c r="B71" s="716">
        <v>12689.082</v>
      </c>
      <c r="C71" s="325">
        <v>38754.85</v>
      </c>
      <c r="D71" s="325">
        <v>8200.48</v>
      </c>
      <c r="E71" s="594">
        <v>43243.451999999997</v>
      </c>
      <c r="F71" s="324"/>
      <c r="G71" s="338"/>
      <c r="H71" s="338"/>
      <c r="I71" s="339"/>
      <c r="J71" s="322"/>
      <c r="K71" s="339"/>
      <c r="L71" s="339"/>
      <c r="M71" s="338"/>
      <c r="N71" s="717">
        <v>12689.082</v>
      </c>
      <c r="O71" s="323">
        <v>38754.85</v>
      </c>
      <c r="P71" s="323">
        <v>8200.48</v>
      </c>
      <c r="Q71" s="592">
        <v>43243.451999999997</v>
      </c>
      <c r="R71" s="322"/>
      <c r="S71" s="325">
        <v>767.25</v>
      </c>
      <c r="T71" s="339"/>
      <c r="U71" s="594">
        <v>767.25</v>
      </c>
      <c r="V71" s="324"/>
      <c r="W71" s="338"/>
      <c r="X71" s="338"/>
      <c r="Y71" s="339"/>
      <c r="Z71" s="322"/>
      <c r="AA71" s="339"/>
      <c r="AB71" s="339"/>
      <c r="AC71" s="338"/>
      <c r="AD71" s="324"/>
      <c r="AE71" s="338"/>
      <c r="AF71" s="338"/>
      <c r="AG71" s="339"/>
      <c r="AH71" s="322"/>
      <c r="AI71" s="339"/>
      <c r="AJ71" s="339"/>
      <c r="AK71" s="338"/>
      <c r="AL71" s="736">
        <v>76.25</v>
      </c>
      <c r="AM71" s="711">
        <v>34905.68</v>
      </c>
      <c r="AN71" s="711">
        <v>24203.95</v>
      </c>
      <c r="AO71" s="737">
        <v>10777.98</v>
      </c>
    </row>
    <row r="72" spans="1:41">
      <c r="A72" s="761" t="s">
        <v>1462</v>
      </c>
      <c r="B72" s="942">
        <v>8835</v>
      </c>
      <c r="C72" s="591">
        <v>216054.39999999999</v>
      </c>
      <c r="D72" s="591">
        <v>214244.4</v>
      </c>
      <c r="E72" s="768">
        <v>7025</v>
      </c>
      <c r="F72" s="943"/>
      <c r="G72" s="708"/>
      <c r="H72" s="708"/>
      <c r="I72" s="708"/>
      <c r="J72" s="944"/>
      <c r="K72" s="595"/>
      <c r="L72" s="595"/>
      <c r="M72" s="595"/>
      <c r="N72" s="945">
        <v>8835</v>
      </c>
      <c r="O72" s="703">
        <v>216054.39999999999</v>
      </c>
      <c r="P72" s="703">
        <v>214244.4</v>
      </c>
      <c r="Q72" s="766">
        <v>7025</v>
      </c>
      <c r="R72" s="944"/>
      <c r="S72" s="595"/>
      <c r="T72" s="595"/>
      <c r="U72" s="595"/>
      <c r="V72" s="943"/>
      <c r="W72" s="708"/>
      <c r="X72" s="708"/>
      <c r="Y72" s="708"/>
      <c r="Z72" s="944"/>
      <c r="AA72" s="595"/>
      <c r="AB72" s="595"/>
      <c r="AC72" s="595"/>
      <c r="AD72" s="943"/>
      <c r="AE72" s="708"/>
      <c r="AF72" s="708"/>
      <c r="AG72" s="708"/>
      <c r="AH72" s="944"/>
      <c r="AI72" s="595"/>
      <c r="AJ72" s="595"/>
      <c r="AK72" s="595"/>
      <c r="AL72" s="943"/>
      <c r="AM72" s="708"/>
      <c r="AN72" s="708"/>
      <c r="AO72" s="708"/>
    </row>
    <row r="73" spans="1:41">
      <c r="A73" s="764" t="s">
        <v>1463</v>
      </c>
      <c r="B73" s="695">
        <v>4417.5</v>
      </c>
      <c r="C73" s="318">
        <v>108027.2</v>
      </c>
      <c r="D73" s="318">
        <v>107122.2</v>
      </c>
      <c r="E73" s="696">
        <v>3512.5</v>
      </c>
      <c r="F73" s="317"/>
      <c r="G73" s="330"/>
      <c r="H73" s="330"/>
      <c r="I73" s="331"/>
      <c r="J73" s="319"/>
      <c r="K73" s="331"/>
      <c r="L73" s="331"/>
      <c r="M73" s="330"/>
      <c r="N73" s="697">
        <v>4417.5</v>
      </c>
      <c r="O73" s="320">
        <v>108027.2</v>
      </c>
      <c r="P73" s="320">
        <v>107122.2</v>
      </c>
      <c r="Q73" s="698">
        <v>3512.5</v>
      </c>
      <c r="R73" s="319"/>
      <c r="S73" s="331"/>
      <c r="T73" s="331"/>
      <c r="U73" s="330"/>
      <c r="V73" s="317"/>
      <c r="W73" s="330"/>
      <c r="X73" s="330"/>
      <c r="Y73" s="331"/>
      <c r="Z73" s="319"/>
      <c r="AA73" s="331"/>
      <c r="AB73" s="331"/>
      <c r="AC73" s="330"/>
      <c r="AD73" s="317"/>
      <c r="AE73" s="330"/>
      <c r="AF73" s="330"/>
      <c r="AG73" s="331"/>
      <c r="AH73" s="319"/>
      <c r="AI73" s="331"/>
      <c r="AJ73" s="331"/>
      <c r="AK73" s="330"/>
      <c r="AL73" s="317"/>
      <c r="AM73" s="330"/>
      <c r="AN73" s="330"/>
      <c r="AO73" s="331"/>
    </row>
    <row r="74" spans="1:41">
      <c r="A74" s="757" t="s">
        <v>1464</v>
      </c>
      <c r="B74" s="700">
        <v>4417.5</v>
      </c>
      <c r="C74" s="325">
        <v>108027.2</v>
      </c>
      <c r="D74" s="325">
        <v>107122.2</v>
      </c>
      <c r="E74" s="589">
        <v>3512.5</v>
      </c>
      <c r="F74" s="324"/>
      <c r="G74" s="338"/>
      <c r="H74" s="338"/>
      <c r="I74" s="339"/>
      <c r="J74" s="322"/>
      <c r="K74" s="339"/>
      <c r="L74" s="339"/>
      <c r="M74" s="338"/>
      <c r="N74" s="699">
        <v>4417.5</v>
      </c>
      <c r="O74" s="323">
        <v>108027.2</v>
      </c>
      <c r="P74" s="323">
        <v>107122.2</v>
      </c>
      <c r="Q74" s="588">
        <v>3512.5</v>
      </c>
      <c r="R74" s="322"/>
      <c r="S74" s="339"/>
      <c r="T74" s="339"/>
      <c r="U74" s="338"/>
      <c r="V74" s="324"/>
      <c r="W74" s="338"/>
      <c r="X74" s="338"/>
      <c r="Y74" s="339"/>
      <c r="Z74" s="322"/>
      <c r="AA74" s="339"/>
      <c r="AB74" s="339"/>
      <c r="AC74" s="338"/>
      <c r="AD74" s="324"/>
      <c r="AE74" s="338"/>
      <c r="AF74" s="338"/>
      <c r="AG74" s="339"/>
      <c r="AH74" s="322"/>
      <c r="AI74" s="339"/>
      <c r="AJ74" s="339"/>
      <c r="AK74" s="338"/>
      <c r="AL74" s="324"/>
      <c r="AM74" s="338"/>
      <c r="AN74" s="338"/>
      <c r="AO74" s="339"/>
    </row>
    <row r="75" spans="1:41">
      <c r="A75" s="761" t="s">
        <v>1465</v>
      </c>
      <c r="B75" s="942">
        <v>190147</v>
      </c>
      <c r="C75" s="591">
        <v>621468</v>
      </c>
      <c r="D75" s="591">
        <v>536912</v>
      </c>
      <c r="E75" s="768">
        <v>105591</v>
      </c>
      <c r="F75" s="943"/>
      <c r="G75" s="708"/>
      <c r="H75" s="708"/>
      <c r="I75" s="708"/>
      <c r="J75" s="944"/>
      <c r="K75" s="595"/>
      <c r="L75" s="595"/>
      <c r="M75" s="595"/>
      <c r="N75" s="943"/>
      <c r="O75" s="708"/>
      <c r="P75" s="708"/>
      <c r="Q75" s="708"/>
      <c r="R75" s="944"/>
      <c r="S75" s="591">
        <v>19788</v>
      </c>
      <c r="T75" s="591">
        <v>125169</v>
      </c>
      <c r="U75" s="768">
        <v>105381</v>
      </c>
      <c r="V75" s="943"/>
      <c r="W75" s="708"/>
      <c r="X75" s="708"/>
      <c r="Y75" s="708"/>
      <c r="Z75" s="944"/>
      <c r="AA75" s="591">
        <v>450</v>
      </c>
      <c r="AB75" s="591">
        <v>660</v>
      </c>
      <c r="AC75" s="768">
        <v>210</v>
      </c>
      <c r="AD75" s="945">
        <v>56680</v>
      </c>
      <c r="AE75" s="703">
        <v>72330</v>
      </c>
      <c r="AF75" s="703">
        <v>15650</v>
      </c>
      <c r="AG75" s="708"/>
      <c r="AH75" s="944"/>
      <c r="AI75" s="595"/>
      <c r="AJ75" s="595"/>
      <c r="AK75" s="595"/>
      <c r="AL75" s="956">
        <v>133467</v>
      </c>
      <c r="AM75" s="702">
        <v>528900</v>
      </c>
      <c r="AN75" s="702">
        <v>395433</v>
      </c>
      <c r="AO75" s="708"/>
    </row>
    <row r="76" spans="1:41">
      <c r="A76" s="764" t="s">
        <v>1466</v>
      </c>
      <c r="B76" s="695">
        <v>34614</v>
      </c>
      <c r="C76" s="318">
        <v>74739</v>
      </c>
      <c r="D76" s="318">
        <v>49228.5</v>
      </c>
      <c r="E76" s="696">
        <v>9103.5</v>
      </c>
      <c r="F76" s="317"/>
      <c r="G76" s="330"/>
      <c r="H76" s="330"/>
      <c r="I76" s="331"/>
      <c r="J76" s="319"/>
      <c r="K76" s="331"/>
      <c r="L76" s="331"/>
      <c r="M76" s="330"/>
      <c r="N76" s="317"/>
      <c r="O76" s="330"/>
      <c r="P76" s="330"/>
      <c r="Q76" s="331"/>
      <c r="R76" s="319"/>
      <c r="S76" s="331"/>
      <c r="T76" s="318">
        <v>8998.5</v>
      </c>
      <c r="U76" s="696">
        <v>8998.5</v>
      </c>
      <c r="V76" s="317"/>
      <c r="W76" s="330"/>
      <c r="X76" s="330"/>
      <c r="Y76" s="331"/>
      <c r="Z76" s="319"/>
      <c r="AA76" s="318">
        <v>225</v>
      </c>
      <c r="AB76" s="318">
        <v>330</v>
      </c>
      <c r="AC76" s="696">
        <v>105</v>
      </c>
      <c r="AD76" s="697">
        <v>28340</v>
      </c>
      <c r="AE76" s="320">
        <v>36165</v>
      </c>
      <c r="AF76" s="320">
        <v>7825</v>
      </c>
      <c r="AG76" s="331"/>
      <c r="AH76" s="319"/>
      <c r="AI76" s="331"/>
      <c r="AJ76" s="331"/>
      <c r="AK76" s="330"/>
      <c r="AL76" s="957">
        <v>6274</v>
      </c>
      <c r="AM76" s="723">
        <v>38349</v>
      </c>
      <c r="AN76" s="723">
        <v>32075</v>
      </c>
      <c r="AO76" s="331"/>
    </row>
    <row r="77" spans="1:41">
      <c r="A77" s="757" t="s">
        <v>1467</v>
      </c>
      <c r="B77" s="710">
        <v>120919</v>
      </c>
      <c r="C77" s="325">
        <v>471990</v>
      </c>
      <c r="D77" s="325">
        <v>438455</v>
      </c>
      <c r="E77" s="589">
        <v>87384</v>
      </c>
      <c r="F77" s="324"/>
      <c r="G77" s="338"/>
      <c r="H77" s="338"/>
      <c r="I77" s="339"/>
      <c r="J77" s="322"/>
      <c r="K77" s="339"/>
      <c r="L77" s="339"/>
      <c r="M77" s="338"/>
      <c r="N77" s="324"/>
      <c r="O77" s="338"/>
      <c r="P77" s="338"/>
      <c r="Q77" s="339"/>
      <c r="R77" s="322"/>
      <c r="S77" s="325">
        <v>19788</v>
      </c>
      <c r="T77" s="325">
        <v>107172</v>
      </c>
      <c r="U77" s="589">
        <v>87384</v>
      </c>
      <c r="V77" s="324"/>
      <c r="W77" s="338"/>
      <c r="X77" s="338"/>
      <c r="Y77" s="339"/>
      <c r="Z77" s="322"/>
      <c r="AA77" s="339"/>
      <c r="AB77" s="339"/>
      <c r="AC77" s="338"/>
      <c r="AD77" s="324"/>
      <c r="AE77" s="338"/>
      <c r="AF77" s="338"/>
      <c r="AG77" s="339"/>
      <c r="AH77" s="322"/>
      <c r="AI77" s="339"/>
      <c r="AJ77" s="339"/>
      <c r="AK77" s="338"/>
      <c r="AL77" s="713">
        <v>120919</v>
      </c>
      <c r="AM77" s="711">
        <v>452202</v>
      </c>
      <c r="AN77" s="711">
        <v>331283</v>
      </c>
      <c r="AO77" s="339"/>
    </row>
    <row r="78" spans="1:41">
      <c r="A78" s="764" t="s">
        <v>1468</v>
      </c>
      <c r="B78" s="700">
        <v>34614</v>
      </c>
      <c r="C78" s="325">
        <v>74739</v>
      </c>
      <c r="D78" s="325">
        <v>49228.5</v>
      </c>
      <c r="E78" s="589">
        <v>9103.5</v>
      </c>
      <c r="F78" s="324"/>
      <c r="G78" s="338"/>
      <c r="H78" s="338"/>
      <c r="I78" s="339"/>
      <c r="J78" s="322"/>
      <c r="K78" s="339"/>
      <c r="L78" s="339"/>
      <c r="M78" s="338"/>
      <c r="N78" s="324"/>
      <c r="O78" s="338"/>
      <c r="P78" s="338"/>
      <c r="Q78" s="339"/>
      <c r="R78" s="322"/>
      <c r="S78" s="339"/>
      <c r="T78" s="325">
        <v>8998.5</v>
      </c>
      <c r="U78" s="589">
        <v>8998.5</v>
      </c>
      <c r="V78" s="324"/>
      <c r="W78" s="338"/>
      <c r="X78" s="338"/>
      <c r="Y78" s="339"/>
      <c r="Z78" s="322"/>
      <c r="AA78" s="325">
        <v>225</v>
      </c>
      <c r="AB78" s="325">
        <v>330</v>
      </c>
      <c r="AC78" s="589">
        <v>105</v>
      </c>
      <c r="AD78" s="699">
        <v>28340</v>
      </c>
      <c r="AE78" s="323">
        <v>36165</v>
      </c>
      <c r="AF78" s="323">
        <v>7825</v>
      </c>
      <c r="AG78" s="339"/>
      <c r="AH78" s="322"/>
      <c r="AI78" s="339"/>
      <c r="AJ78" s="339"/>
      <c r="AK78" s="338"/>
      <c r="AL78" s="713">
        <v>6274</v>
      </c>
      <c r="AM78" s="711">
        <v>38349</v>
      </c>
      <c r="AN78" s="711">
        <v>32075</v>
      </c>
      <c r="AO78" s="339"/>
    </row>
    <row r="79" spans="1:41">
      <c r="A79" s="757" t="s">
        <v>583</v>
      </c>
      <c r="B79" s="324"/>
      <c r="C79" s="338"/>
      <c r="D79" s="338"/>
      <c r="E79" s="339"/>
      <c r="F79" s="322"/>
      <c r="G79" s="339"/>
      <c r="H79" s="339"/>
      <c r="I79" s="338"/>
      <c r="J79" s="324"/>
      <c r="K79" s="338"/>
      <c r="L79" s="338"/>
      <c r="M79" s="339"/>
      <c r="N79" s="322"/>
      <c r="O79" s="339"/>
      <c r="P79" s="339"/>
      <c r="Q79" s="338"/>
      <c r="R79" s="324"/>
      <c r="S79" s="338"/>
      <c r="T79" s="338"/>
      <c r="U79" s="339"/>
      <c r="V79" s="322"/>
      <c r="W79" s="339"/>
      <c r="X79" s="339"/>
      <c r="Y79" s="338"/>
      <c r="Z79" s="324"/>
      <c r="AA79" s="338"/>
      <c r="AB79" s="338"/>
      <c r="AC79" s="339"/>
      <c r="AD79" s="322"/>
      <c r="AE79" s="339"/>
      <c r="AF79" s="339"/>
      <c r="AG79" s="338"/>
      <c r="AH79" s="324"/>
      <c r="AI79" s="338"/>
      <c r="AJ79" s="338"/>
      <c r="AK79" s="339"/>
      <c r="AL79" s="322"/>
      <c r="AM79" s="339"/>
      <c r="AN79" s="339"/>
      <c r="AO79" s="338"/>
    </row>
    <row r="80" spans="1:41">
      <c r="A80" s="772" t="s">
        <v>1449</v>
      </c>
      <c r="B80" s="946">
        <v>28510.732</v>
      </c>
      <c r="C80" s="703">
        <v>409788.65</v>
      </c>
      <c r="D80" s="703">
        <v>277210.68</v>
      </c>
      <c r="E80" s="767">
        <v>161088.70199999999</v>
      </c>
      <c r="F80" s="944"/>
      <c r="G80" s="595"/>
      <c r="H80" s="595"/>
      <c r="I80" s="595"/>
      <c r="J80" s="943"/>
      <c r="K80" s="708"/>
      <c r="L80" s="708"/>
      <c r="M80" s="708"/>
      <c r="N80" s="944"/>
      <c r="O80" s="595"/>
      <c r="P80" s="595"/>
      <c r="Q80" s="595"/>
      <c r="R80" s="943"/>
      <c r="S80" s="703">
        <v>40295.46</v>
      </c>
      <c r="T80" s="708"/>
      <c r="U80" s="767">
        <v>40295.46</v>
      </c>
      <c r="V80" s="944"/>
      <c r="W80" s="595"/>
      <c r="X80" s="595"/>
      <c r="Y80" s="595"/>
      <c r="Z80" s="943"/>
      <c r="AA80" s="708"/>
      <c r="AB80" s="708"/>
      <c r="AC80" s="708"/>
      <c r="AD80" s="955">
        <v>20092.812000000002</v>
      </c>
      <c r="AE80" s="591">
        <v>93813.96</v>
      </c>
      <c r="AF80" s="591">
        <v>90766.74</v>
      </c>
      <c r="AG80" s="773">
        <v>23140.031999999999</v>
      </c>
      <c r="AH80" s="943"/>
      <c r="AI80" s="708"/>
      <c r="AJ80" s="708"/>
      <c r="AK80" s="708"/>
      <c r="AL80" s="958">
        <v>8417.92</v>
      </c>
      <c r="AM80" s="706">
        <v>275679.23</v>
      </c>
      <c r="AN80" s="706">
        <v>186443.94</v>
      </c>
      <c r="AO80" s="959">
        <v>97653.21</v>
      </c>
    </row>
    <row r="81" spans="1:41">
      <c r="A81" s="764" t="s">
        <v>1450</v>
      </c>
      <c r="B81" s="728">
        <v>10046.406000000001</v>
      </c>
      <c r="C81" s="320">
        <v>46906.98</v>
      </c>
      <c r="D81" s="320">
        <v>45383.37</v>
      </c>
      <c r="E81" s="729">
        <v>11570.016</v>
      </c>
      <c r="F81" s="319"/>
      <c r="G81" s="331"/>
      <c r="H81" s="331"/>
      <c r="I81" s="330"/>
      <c r="J81" s="317"/>
      <c r="K81" s="330"/>
      <c r="L81" s="330"/>
      <c r="M81" s="331"/>
      <c r="N81" s="319"/>
      <c r="O81" s="331"/>
      <c r="P81" s="331"/>
      <c r="Q81" s="330"/>
      <c r="R81" s="317"/>
      <c r="S81" s="330"/>
      <c r="T81" s="330"/>
      <c r="U81" s="331"/>
      <c r="V81" s="319"/>
      <c r="W81" s="331"/>
      <c r="X81" s="331"/>
      <c r="Y81" s="330"/>
      <c r="Z81" s="317"/>
      <c r="AA81" s="330"/>
      <c r="AB81" s="330"/>
      <c r="AC81" s="331"/>
      <c r="AD81" s="738">
        <v>10046.406000000001</v>
      </c>
      <c r="AE81" s="318">
        <v>46906.98</v>
      </c>
      <c r="AF81" s="318">
        <v>45383.37</v>
      </c>
      <c r="AG81" s="739">
        <v>11570.016</v>
      </c>
      <c r="AH81" s="317"/>
      <c r="AI81" s="330"/>
      <c r="AJ81" s="330"/>
      <c r="AK81" s="331"/>
      <c r="AL81" s="319"/>
      <c r="AM81" s="331"/>
      <c r="AN81" s="331"/>
      <c r="AO81" s="330"/>
    </row>
    <row r="82" spans="1:41">
      <c r="A82" s="765" t="s">
        <v>1451</v>
      </c>
      <c r="B82" s="324"/>
      <c r="C82" s="323">
        <v>1530</v>
      </c>
      <c r="D82" s="323">
        <v>1530</v>
      </c>
      <c r="E82" s="339"/>
      <c r="F82" s="322"/>
      <c r="G82" s="339"/>
      <c r="H82" s="339"/>
      <c r="I82" s="338"/>
      <c r="J82" s="324"/>
      <c r="K82" s="338"/>
      <c r="L82" s="338"/>
      <c r="M82" s="339"/>
      <c r="N82" s="322"/>
      <c r="O82" s="339"/>
      <c r="P82" s="339"/>
      <c r="Q82" s="338"/>
      <c r="R82" s="324"/>
      <c r="S82" s="338"/>
      <c r="T82" s="338"/>
      <c r="U82" s="339"/>
      <c r="V82" s="322"/>
      <c r="W82" s="325">
        <v>1530</v>
      </c>
      <c r="X82" s="325">
        <v>1530</v>
      </c>
      <c r="Y82" s="338"/>
      <c r="Z82" s="324"/>
      <c r="AA82" s="338"/>
      <c r="AB82" s="338"/>
      <c r="AC82" s="339"/>
      <c r="AD82" s="322"/>
      <c r="AE82" s="339"/>
      <c r="AF82" s="339"/>
      <c r="AG82" s="338"/>
      <c r="AH82" s="324"/>
      <c r="AI82" s="338"/>
      <c r="AJ82" s="338"/>
      <c r="AK82" s="339"/>
      <c r="AL82" s="322"/>
      <c r="AM82" s="339"/>
      <c r="AN82" s="339"/>
      <c r="AO82" s="338"/>
    </row>
    <row r="83" spans="1:41">
      <c r="A83" s="765" t="s">
        <v>880</v>
      </c>
      <c r="B83" s="717">
        <v>12689.082</v>
      </c>
      <c r="C83" s="323">
        <v>38754.85</v>
      </c>
      <c r="D83" s="323">
        <v>8200.48</v>
      </c>
      <c r="E83" s="592">
        <v>43243.451999999997</v>
      </c>
      <c r="F83" s="322"/>
      <c r="G83" s="339"/>
      <c r="H83" s="339"/>
      <c r="I83" s="338"/>
      <c r="J83" s="324"/>
      <c r="K83" s="338"/>
      <c r="L83" s="338"/>
      <c r="M83" s="339"/>
      <c r="N83" s="716">
        <v>12689.082</v>
      </c>
      <c r="O83" s="325">
        <v>38754.85</v>
      </c>
      <c r="P83" s="325">
        <v>8200.48</v>
      </c>
      <c r="Q83" s="594">
        <v>43243.451999999997</v>
      </c>
      <c r="R83" s="324"/>
      <c r="S83" s="323">
        <v>767.25</v>
      </c>
      <c r="T83" s="338"/>
      <c r="U83" s="592">
        <v>767.25</v>
      </c>
      <c r="V83" s="322"/>
      <c r="W83" s="339"/>
      <c r="X83" s="339"/>
      <c r="Y83" s="338"/>
      <c r="Z83" s="324"/>
      <c r="AA83" s="338"/>
      <c r="AB83" s="338"/>
      <c r="AC83" s="339"/>
      <c r="AD83" s="322"/>
      <c r="AE83" s="339"/>
      <c r="AF83" s="339"/>
      <c r="AG83" s="338"/>
      <c r="AH83" s="324"/>
      <c r="AI83" s="338"/>
      <c r="AJ83" s="338"/>
      <c r="AK83" s="339"/>
      <c r="AL83" s="734">
        <v>76.25</v>
      </c>
      <c r="AM83" s="714">
        <v>34905.68</v>
      </c>
      <c r="AN83" s="714">
        <v>24203.95</v>
      </c>
      <c r="AO83" s="735">
        <v>10777.98</v>
      </c>
    </row>
    <row r="84" spans="1:41">
      <c r="A84" s="764" t="s">
        <v>1452</v>
      </c>
      <c r="B84" s="736">
        <v>8265.42</v>
      </c>
      <c r="C84" s="323">
        <v>244628.83</v>
      </c>
      <c r="D84" s="711">
        <v>138036.04</v>
      </c>
      <c r="E84" s="592">
        <v>114858.21</v>
      </c>
      <c r="F84" s="322"/>
      <c r="G84" s="339"/>
      <c r="H84" s="339"/>
      <c r="I84" s="338"/>
      <c r="J84" s="324"/>
      <c r="K84" s="338"/>
      <c r="L84" s="338"/>
      <c r="M84" s="339"/>
      <c r="N84" s="322"/>
      <c r="O84" s="339"/>
      <c r="P84" s="339"/>
      <c r="Q84" s="338"/>
      <c r="R84" s="324"/>
      <c r="S84" s="323">
        <v>38760.959999999999</v>
      </c>
      <c r="T84" s="338"/>
      <c r="U84" s="592">
        <v>38760.959999999999</v>
      </c>
      <c r="V84" s="322"/>
      <c r="W84" s="339"/>
      <c r="X84" s="339"/>
      <c r="Y84" s="338"/>
      <c r="Z84" s="324"/>
      <c r="AA84" s="338"/>
      <c r="AB84" s="338"/>
      <c r="AC84" s="339"/>
      <c r="AD84" s="322"/>
      <c r="AE84" s="339"/>
      <c r="AF84" s="339"/>
      <c r="AG84" s="338"/>
      <c r="AH84" s="324"/>
      <c r="AI84" s="338"/>
      <c r="AJ84" s="338"/>
      <c r="AK84" s="339"/>
      <c r="AL84" s="734">
        <v>8265.42</v>
      </c>
      <c r="AM84" s="714">
        <v>205867.87</v>
      </c>
      <c r="AN84" s="714">
        <v>138036.04</v>
      </c>
      <c r="AO84" s="735">
        <v>76097.25</v>
      </c>
    </row>
    <row r="85" spans="1:41">
      <c r="A85" s="765" t="s">
        <v>1121</v>
      </c>
      <c r="B85" s="717">
        <v>900</v>
      </c>
      <c r="C85" s="323">
        <v>730</v>
      </c>
      <c r="D85" s="323">
        <v>730.8</v>
      </c>
      <c r="E85" s="592">
        <v>899.2</v>
      </c>
      <c r="F85" s="322"/>
      <c r="G85" s="339"/>
      <c r="H85" s="339"/>
      <c r="I85" s="338"/>
      <c r="J85" s="324"/>
      <c r="K85" s="338"/>
      <c r="L85" s="338"/>
      <c r="M85" s="339"/>
      <c r="N85" s="716">
        <v>900</v>
      </c>
      <c r="O85" s="325">
        <v>730</v>
      </c>
      <c r="P85" s="325">
        <v>730.8</v>
      </c>
      <c r="Q85" s="594">
        <v>899.2</v>
      </c>
      <c r="R85" s="324"/>
      <c r="S85" s="338"/>
      <c r="T85" s="338"/>
      <c r="U85" s="339"/>
      <c r="V85" s="322"/>
      <c r="W85" s="339"/>
      <c r="X85" s="339"/>
      <c r="Y85" s="338"/>
      <c r="Z85" s="324"/>
      <c r="AA85" s="338"/>
      <c r="AB85" s="338"/>
      <c r="AC85" s="339"/>
      <c r="AD85" s="322"/>
      <c r="AE85" s="339"/>
      <c r="AF85" s="339"/>
      <c r="AG85" s="338"/>
      <c r="AH85" s="324"/>
      <c r="AI85" s="338"/>
      <c r="AJ85" s="338"/>
      <c r="AK85" s="339"/>
      <c r="AL85" s="322"/>
      <c r="AM85" s="339"/>
      <c r="AN85" s="339"/>
      <c r="AO85" s="338"/>
    </row>
    <row r="86" spans="1:41">
      <c r="A86" s="764" t="s">
        <v>1453</v>
      </c>
      <c r="B86" s="717">
        <v>10046.406000000001</v>
      </c>
      <c r="C86" s="323">
        <v>46906.98</v>
      </c>
      <c r="D86" s="323">
        <v>45383.37</v>
      </c>
      <c r="E86" s="592">
        <v>11570.016</v>
      </c>
      <c r="F86" s="322"/>
      <c r="G86" s="339"/>
      <c r="H86" s="339"/>
      <c r="I86" s="338"/>
      <c r="J86" s="324"/>
      <c r="K86" s="338"/>
      <c r="L86" s="338"/>
      <c r="M86" s="339"/>
      <c r="N86" s="322"/>
      <c r="O86" s="339"/>
      <c r="P86" s="339"/>
      <c r="Q86" s="338"/>
      <c r="R86" s="324"/>
      <c r="S86" s="338"/>
      <c r="T86" s="338"/>
      <c r="U86" s="339"/>
      <c r="V86" s="322"/>
      <c r="W86" s="339"/>
      <c r="X86" s="339"/>
      <c r="Y86" s="338"/>
      <c r="Z86" s="324"/>
      <c r="AA86" s="338"/>
      <c r="AB86" s="338"/>
      <c r="AC86" s="339"/>
      <c r="AD86" s="716">
        <v>10046.406000000001</v>
      </c>
      <c r="AE86" s="325">
        <v>46906.98</v>
      </c>
      <c r="AF86" s="325">
        <v>45383.37</v>
      </c>
      <c r="AG86" s="594">
        <v>11570.016</v>
      </c>
      <c r="AH86" s="324"/>
      <c r="AI86" s="338"/>
      <c r="AJ86" s="338"/>
      <c r="AK86" s="339"/>
      <c r="AL86" s="322"/>
      <c r="AM86" s="339"/>
      <c r="AN86" s="339"/>
      <c r="AO86" s="338"/>
    </row>
    <row r="87" spans="1:41">
      <c r="A87" s="765" t="s">
        <v>1454</v>
      </c>
      <c r="B87" s="324"/>
      <c r="C87" s="323">
        <v>1530</v>
      </c>
      <c r="D87" s="323">
        <v>1530</v>
      </c>
      <c r="E87" s="339"/>
      <c r="F87" s="322"/>
      <c r="G87" s="339"/>
      <c r="H87" s="339"/>
      <c r="I87" s="338"/>
      <c r="J87" s="324"/>
      <c r="K87" s="338"/>
      <c r="L87" s="338"/>
      <c r="M87" s="339"/>
      <c r="N87" s="322"/>
      <c r="O87" s="339"/>
      <c r="P87" s="339"/>
      <c r="Q87" s="338"/>
      <c r="R87" s="324"/>
      <c r="S87" s="338"/>
      <c r="T87" s="338"/>
      <c r="U87" s="339"/>
      <c r="V87" s="322"/>
      <c r="W87" s="325">
        <v>1530</v>
      </c>
      <c r="X87" s="325">
        <v>1530</v>
      </c>
      <c r="Y87" s="338"/>
      <c r="Z87" s="324"/>
      <c r="AA87" s="338"/>
      <c r="AB87" s="338"/>
      <c r="AC87" s="339"/>
      <c r="AD87" s="322"/>
      <c r="AE87" s="339"/>
      <c r="AF87" s="339"/>
      <c r="AG87" s="338"/>
      <c r="AH87" s="324"/>
      <c r="AI87" s="338"/>
      <c r="AJ87" s="338"/>
      <c r="AK87" s="339"/>
      <c r="AL87" s="322"/>
      <c r="AM87" s="339"/>
      <c r="AN87" s="339"/>
      <c r="AO87" s="338"/>
    </row>
    <row r="88" spans="1:41">
      <c r="A88" s="765" t="s">
        <v>881</v>
      </c>
      <c r="B88" s="717">
        <v>12689.082</v>
      </c>
      <c r="C88" s="323">
        <v>38754.85</v>
      </c>
      <c r="D88" s="323">
        <v>8200.48</v>
      </c>
      <c r="E88" s="592">
        <v>43243.451999999997</v>
      </c>
      <c r="F88" s="322"/>
      <c r="G88" s="339"/>
      <c r="H88" s="339"/>
      <c r="I88" s="338"/>
      <c r="J88" s="324"/>
      <c r="K88" s="338"/>
      <c r="L88" s="338"/>
      <c r="M88" s="339"/>
      <c r="N88" s="716">
        <v>12689.082</v>
      </c>
      <c r="O88" s="325">
        <v>38754.85</v>
      </c>
      <c r="P88" s="325">
        <v>8200.48</v>
      </c>
      <c r="Q88" s="594">
        <v>43243.451999999997</v>
      </c>
      <c r="R88" s="324"/>
      <c r="S88" s="323">
        <v>767.25</v>
      </c>
      <c r="T88" s="338"/>
      <c r="U88" s="592">
        <v>767.25</v>
      </c>
      <c r="V88" s="322"/>
      <c r="W88" s="339"/>
      <c r="X88" s="339"/>
      <c r="Y88" s="338"/>
      <c r="Z88" s="324"/>
      <c r="AA88" s="338"/>
      <c r="AB88" s="338"/>
      <c r="AC88" s="339"/>
      <c r="AD88" s="322"/>
      <c r="AE88" s="339"/>
      <c r="AF88" s="339"/>
      <c r="AG88" s="338"/>
      <c r="AH88" s="324"/>
      <c r="AI88" s="338"/>
      <c r="AJ88" s="338"/>
      <c r="AK88" s="339"/>
      <c r="AL88" s="734">
        <v>76.25</v>
      </c>
      <c r="AM88" s="714">
        <v>34905.68</v>
      </c>
      <c r="AN88" s="714">
        <v>24203.95</v>
      </c>
      <c r="AO88" s="735">
        <v>10777.98</v>
      </c>
    </row>
    <row r="89" spans="1:41">
      <c r="A89" s="316" t="s">
        <v>894</v>
      </c>
      <c r="B89" s="945">
        <v>2921</v>
      </c>
      <c r="C89" s="703">
        <v>3365</v>
      </c>
      <c r="D89" s="703">
        <v>89055.4</v>
      </c>
      <c r="E89" s="766">
        <v>2469.4</v>
      </c>
      <c r="F89" s="944"/>
      <c r="G89" s="595"/>
      <c r="H89" s="595"/>
      <c r="I89" s="595"/>
      <c r="J89" s="943"/>
      <c r="K89" s="708"/>
      <c r="L89" s="703">
        <v>830</v>
      </c>
      <c r="M89" s="766">
        <v>830</v>
      </c>
      <c r="N89" s="942">
        <v>2921</v>
      </c>
      <c r="O89" s="591">
        <v>3365</v>
      </c>
      <c r="P89" s="591">
        <v>444</v>
      </c>
      <c r="Q89" s="595"/>
      <c r="R89" s="943"/>
      <c r="S89" s="708"/>
      <c r="T89" s="703">
        <v>5869.4</v>
      </c>
      <c r="U89" s="766">
        <v>5869.4</v>
      </c>
      <c r="V89" s="944"/>
      <c r="W89" s="595"/>
      <c r="X89" s="595"/>
      <c r="Y89" s="595"/>
      <c r="Z89" s="946">
        <v>740</v>
      </c>
      <c r="AA89" s="703">
        <v>11459</v>
      </c>
      <c r="AB89" s="703">
        <v>12961</v>
      </c>
      <c r="AC89" s="766">
        <v>762</v>
      </c>
      <c r="AD89" s="955">
        <v>4992</v>
      </c>
      <c r="AE89" s="595"/>
      <c r="AF89" s="595"/>
      <c r="AG89" s="773">
        <v>4992</v>
      </c>
      <c r="AH89" s="943"/>
      <c r="AI89" s="708"/>
      <c r="AJ89" s="708"/>
      <c r="AK89" s="708"/>
      <c r="AL89" s="960">
        <v>149977</v>
      </c>
      <c r="AM89" s="706">
        <v>219372</v>
      </c>
      <c r="AN89" s="706">
        <v>69395</v>
      </c>
      <c r="AO89" s="595"/>
    </row>
    <row r="90" spans="1:41">
      <c r="A90" s="765" t="s">
        <v>1469</v>
      </c>
      <c r="B90" s="697">
        <v>2921</v>
      </c>
      <c r="C90" s="320">
        <v>3365</v>
      </c>
      <c r="D90" s="320">
        <v>89055.4</v>
      </c>
      <c r="E90" s="698">
        <v>3699.4</v>
      </c>
      <c r="F90" s="319"/>
      <c r="G90" s="331"/>
      <c r="H90" s="331"/>
      <c r="I90" s="330"/>
      <c r="J90" s="317"/>
      <c r="K90" s="330"/>
      <c r="L90" s="320">
        <v>830</v>
      </c>
      <c r="M90" s="698">
        <v>830</v>
      </c>
      <c r="N90" s="695">
        <v>2921</v>
      </c>
      <c r="O90" s="318">
        <v>3365</v>
      </c>
      <c r="P90" s="318">
        <v>444</v>
      </c>
      <c r="Q90" s="330"/>
      <c r="R90" s="317"/>
      <c r="S90" s="330"/>
      <c r="T90" s="320">
        <v>5869.4</v>
      </c>
      <c r="U90" s="698">
        <v>5869.4</v>
      </c>
      <c r="V90" s="319"/>
      <c r="W90" s="331"/>
      <c r="X90" s="331"/>
      <c r="Y90" s="330"/>
      <c r="Z90" s="728">
        <v>740</v>
      </c>
      <c r="AA90" s="320">
        <v>11459</v>
      </c>
      <c r="AB90" s="320">
        <v>12961</v>
      </c>
      <c r="AC90" s="698">
        <v>762</v>
      </c>
      <c r="AD90" s="738">
        <v>3762</v>
      </c>
      <c r="AE90" s="331"/>
      <c r="AF90" s="331"/>
      <c r="AG90" s="739">
        <v>3762</v>
      </c>
      <c r="AH90" s="317"/>
      <c r="AI90" s="330"/>
      <c r="AJ90" s="330"/>
      <c r="AK90" s="331"/>
      <c r="AL90" s="961">
        <v>149977</v>
      </c>
      <c r="AM90" s="726">
        <v>219372</v>
      </c>
      <c r="AN90" s="726">
        <v>69395</v>
      </c>
      <c r="AO90" s="330"/>
    </row>
    <row r="91" spans="1:41">
      <c r="A91" s="764" t="s">
        <v>896</v>
      </c>
      <c r="B91" s="717">
        <v>1230</v>
      </c>
      <c r="C91" s="338"/>
      <c r="D91" s="338"/>
      <c r="E91" s="592">
        <v>1230</v>
      </c>
      <c r="F91" s="322"/>
      <c r="G91" s="339"/>
      <c r="H91" s="339"/>
      <c r="I91" s="338"/>
      <c r="J91" s="324"/>
      <c r="K91" s="338"/>
      <c r="L91" s="338"/>
      <c r="M91" s="339"/>
      <c r="N91" s="322"/>
      <c r="O91" s="339"/>
      <c r="P91" s="339"/>
      <c r="Q91" s="338"/>
      <c r="R91" s="324"/>
      <c r="S91" s="338"/>
      <c r="T91" s="338"/>
      <c r="U91" s="339"/>
      <c r="V91" s="322"/>
      <c r="W91" s="339"/>
      <c r="X91" s="339"/>
      <c r="Y91" s="338"/>
      <c r="Z91" s="324"/>
      <c r="AA91" s="338"/>
      <c r="AB91" s="338"/>
      <c r="AC91" s="339"/>
      <c r="AD91" s="716">
        <v>1230</v>
      </c>
      <c r="AE91" s="339"/>
      <c r="AF91" s="339"/>
      <c r="AG91" s="594">
        <v>1230</v>
      </c>
      <c r="AH91" s="324"/>
      <c r="AI91" s="338"/>
      <c r="AJ91" s="338"/>
      <c r="AK91" s="339"/>
      <c r="AL91" s="322"/>
      <c r="AM91" s="339"/>
      <c r="AN91" s="339"/>
      <c r="AO91" s="338"/>
    </row>
    <row r="92" spans="1:41">
      <c r="A92" s="316" t="s">
        <v>897</v>
      </c>
      <c r="B92" s="945">
        <v>1372986</v>
      </c>
      <c r="C92" s="703">
        <v>2136925</v>
      </c>
      <c r="D92" s="703">
        <v>3450619</v>
      </c>
      <c r="E92" s="766">
        <v>366710</v>
      </c>
      <c r="F92" s="944"/>
      <c r="G92" s="595"/>
      <c r="H92" s="595"/>
      <c r="I92" s="595"/>
      <c r="J92" s="943"/>
      <c r="K92" s="708"/>
      <c r="L92" s="703">
        <v>1042</v>
      </c>
      <c r="M92" s="766">
        <v>1042</v>
      </c>
      <c r="N92" s="942">
        <v>1372986</v>
      </c>
      <c r="O92" s="591">
        <v>2136925</v>
      </c>
      <c r="P92" s="591">
        <v>1067453</v>
      </c>
      <c r="Q92" s="768">
        <v>303514</v>
      </c>
      <c r="R92" s="943"/>
      <c r="S92" s="703">
        <v>1004</v>
      </c>
      <c r="T92" s="703">
        <v>200116</v>
      </c>
      <c r="U92" s="766">
        <v>199112</v>
      </c>
      <c r="V92" s="942">
        <v>48398</v>
      </c>
      <c r="W92" s="591">
        <v>208682</v>
      </c>
      <c r="X92" s="591">
        <v>178314</v>
      </c>
      <c r="Y92" s="768">
        <v>18030</v>
      </c>
      <c r="Z92" s="945">
        <v>2885</v>
      </c>
      <c r="AA92" s="703">
        <v>58207</v>
      </c>
      <c r="AB92" s="703">
        <v>55322</v>
      </c>
      <c r="AC92" s="708"/>
      <c r="AD92" s="942">
        <v>285039</v>
      </c>
      <c r="AE92" s="591">
        <v>1208094</v>
      </c>
      <c r="AF92" s="591">
        <v>901538</v>
      </c>
      <c r="AG92" s="773">
        <v>21517</v>
      </c>
      <c r="AH92" s="943"/>
      <c r="AI92" s="708"/>
      <c r="AJ92" s="708"/>
      <c r="AK92" s="708"/>
      <c r="AL92" s="960">
        <v>290588.64</v>
      </c>
      <c r="AM92" s="706">
        <v>2234832.64</v>
      </c>
      <c r="AN92" s="706">
        <v>2114287</v>
      </c>
      <c r="AO92" s="962">
        <v>170043</v>
      </c>
    </row>
    <row r="93" spans="1:41">
      <c r="A93" s="810" t="s">
        <v>1470</v>
      </c>
      <c r="B93" s="938">
        <v>103268.64</v>
      </c>
      <c r="C93" s="587">
        <v>1144443.6399999999</v>
      </c>
      <c r="D93" s="587">
        <v>1127909</v>
      </c>
      <c r="E93" s="760">
        <v>86734</v>
      </c>
      <c r="F93" s="939"/>
      <c r="G93" s="690"/>
      <c r="H93" s="690"/>
      <c r="I93" s="690"/>
      <c r="J93" s="940"/>
      <c r="K93" s="611"/>
      <c r="L93" s="611"/>
      <c r="M93" s="611"/>
      <c r="N93" s="939"/>
      <c r="O93" s="690"/>
      <c r="P93" s="690"/>
      <c r="Q93" s="690"/>
      <c r="R93" s="940"/>
      <c r="S93" s="611"/>
      <c r="T93" s="587">
        <v>85086</v>
      </c>
      <c r="U93" s="760">
        <v>85086</v>
      </c>
      <c r="V93" s="941">
        <v>32148</v>
      </c>
      <c r="W93" s="691">
        <v>151403</v>
      </c>
      <c r="X93" s="691">
        <v>119255</v>
      </c>
      <c r="Y93" s="690"/>
      <c r="Z93" s="938">
        <v>2121</v>
      </c>
      <c r="AA93" s="587">
        <v>41987</v>
      </c>
      <c r="AB93" s="587">
        <v>39866</v>
      </c>
      <c r="AC93" s="611"/>
      <c r="AD93" s="939"/>
      <c r="AE93" s="690"/>
      <c r="AF93" s="690"/>
      <c r="AG93" s="690"/>
      <c r="AH93" s="940"/>
      <c r="AI93" s="611"/>
      <c r="AJ93" s="611"/>
      <c r="AK93" s="611"/>
      <c r="AL93" s="963">
        <v>68999.64</v>
      </c>
      <c r="AM93" s="952">
        <v>951053.64</v>
      </c>
      <c r="AN93" s="952">
        <v>883702</v>
      </c>
      <c r="AO93" s="964">
        <v>1648</v>
      </c>
    </row>
    <row r="94" spans="1:41">
      <c r="A94" s="765" t="s">
        <v>1123</v>
      </c>
      <c r="B94" s="695">
        <v>101147.64</v>
      </c>
      <c r="C94" s="318">
        <v>1102456.6399999999</v>
      </c>
      <c r="D94" s="318">
        <v>1088043</v>
      </c>
      <c r="E94" s="696">
        <v>86734</v>
      </c>
      <c r="F94" s="317"/>
      <c r="G94" s="330"/>
      <c r="H94" s="330"/>
      <c r="I94" s="331"/>
      <c r="J94" s="319"/>
      <c r="K94" s="331"/>
      <c r="L94" s="331"/>
      <c r="M94" s="330"/>
      <c r="N94" s="317"/>
      <c r="O94" s="330"/>
      <c r="P94" s="330"/>
      <c r="Q94" s="331"/>
      <c r="R94" s="319"/>
      <c r="S94" s="331"/>
      <c r="T94" s="318">
        <v>85086</v>
      </c>
      <c r="U94" s="696">
        <v>85086</v>
      </c>
      <c r="V94" s="697">
        <v>32148</v>
      </c>
      <c r="W94" s="320">
        <v>151403</v>
      </c>
      <c r="X94" s="320">
        <v>119255</v>
      </c>
      <c r="Y94" s="331"/>
      <c r="Z94" s="319"/>
      <c r="AA94" s="331"/>
      <c r="AB94" s="331"/>
      <c r="AC94" s="330"/>
      <c r="AD94" s="317"/>
      <c r="AE94" s="330"/>
      <c r="AF94" s="330"/>
      <c r="AG94" s="331"/>
      <c r="AH94" s="319"/>
      <c r="AI94" s="331"/>
      <c r="AJ94" s="331"/>
      <c r="AK94" s="330"/>
      <c r="AL94" s="957">
        <v>68999.64</v>
      </c>
      <c r="AM94" s="723">
        <v>951053.64</v>
      </c>
      <c r="AN94" s="723">
        <v>883702</v>
      </c>
      <c r="AO94" s="741">
        <v>1648</v>
      </c>
    </row>
    <row r="95" spans="1:41">
      <c r="A95" s="765" t="s">
        <v>1471</v>
      </c>
      <c r="B95" s="700">
        <v>2121</v>
      </c>
      <c r="C95" s="325">
        <v>41987</v>
      </c>
      <c r="D95" s="325">
        <v>39866</v>
      </c>
      <c r="E95" s="338"/>
      <c r="F95" s="324"/>
      <c r="G95" s="338"/>
      <c r="H95" s="338"/>
      <c r="I95" s="339"/>
      <c r="J95" s="322"/>
      <c r="K95" s="339"/>
      <c r="L95" s="339"/>
      <c r="M95" s="338"/>
      <c r="N95" s="324"/>
      <c r="O95" s="338"/>
      <c r="P95" s="338"/>
      <c r="Q95" s="339"/>
      <c r="R95" s="322"/>
      <c r="S95" s="339"/>
      <c r="T95" s="339"/>
      <c r="U95" s="338"/>
      <c r="V95" s="324"/>
      <c r="W95" s="338"/>
      <c r="X95" s="338"/>
      <c r="Y95" s="339"/>
      <c r="Z95" s="700">
        <v>2121</v>
      </c>
      <c r="AA95" s="325">
        <v>41987</v>
      </c>
      <c r="AB95" s="325">
        <v>39866</v>
      </c>
      <c r="AC95" s="338"/>
      <c r="AD95" s="324"/>
      <c r="AE95" s="338"/>
      <c r="AF95" s="338"/>
      <c r="AG95" s="339"/>
      <c r="AH95" s="322"/>
      <c r="AI95" s="339"/>
      <c r="AJ95" s="339"/>
      <c r="AK95" s="338"/>
      <c r="AL95" s="324"/>
      <c r="AM95" s="338"/>
      <c r="AN95" s="338"/>
      <c r="AO95" s="339"/>
    </row>
    <row r="96" spans="1:41">
      <c r="A96" s="761" t="s">
        <v>1472</v>
      </c>
      <c r="B96" s="942">
        <v>52041</v>
      </c>
      <c r="C96" s="591">
        <v>241620</v>
      </c>
      <c r="D96" s="591">
        <v>189579</v>
      </c>
      <c r="E96" s="595"/>
      <c r="F96" s="943"/>
      <c r="G96" s="708"/>
      <c r="H96" s="708"/>
      <c r="I96" s="708"/>
      <c r="J96" s="944"/>
      <c r="K96" s="595"/>
      <c r="L96" s="595"/>
      <c r="M96" s="595"/>
      <c r="N96" s="943"/>
      <c r="O96" s="708"/>
      <c r="P96" s="708"/>
      <c r="Q96" s="708"/>
      <c r="R96" s="944"/>
      <c r="S96" s="595"/>
      <c r="T96" s="595"/>
      <c r="U96" s="595"/>
      <c r="V96" s="943"/>
      <c r="W96" s="708"/>
      <c r="X96" s="708"/>
      <c r="Y96" s="708"/>
      <c r="Z96" s="944"/>
      <c r="AA96" s="595"/>
      <c r="AB96" s="595"/>
      <c r="AC96" s="595"/>
      <c r="AD96" s="945">
        <v>52041</v>
      </c>
      <c r="AE96" s="703">
        <v>241620</v>
      </c>
      <c r="AF96" s="703">
        <v>189579</v>
      </c>
      <c r="AG96" s="708"/>
      <c r="AH96" s="944"/>
      <c r="AI96" s="595"/>
      <c r="AJ96" s="595"/>
      <c r="AK96" s="595"/>
      <c r="AL96" s="943"/>
      <c r="AM96" s="708"/>
      <c r="AN96" s="708"/>
      <c r="AO96" s="708"/>
    </row>
    <row r="97" spans="1:41">
      <c r="A97" s="765" t="s">
        <v>1471</v>
      </c>
      <c r="B97" s="695">
        <v>52041</v>
      </c>
      <c r="C97" s="318">
        <v>241620</v>
      </c>
      <c r="D97" s="318">
        <v>189579</v>
      </c>
      <c r="E97" s="330"/>
      <c r="F97" s="317"/>
      <c r="G97" s="330"/>
      <c r="H97" s="330"/>
      <c r="I97" s="331"/>
      <c r="J97" s="319"/>
      <c r="K97" s="331"/>
      <c r="L97" s="331"/>
      <c r="M97" s="330"/>
      <c r="N97" s="317"/>
      <c r="O97" s="330"/>
      <c r="P97" s="330"/>
      <c r="Q97" s="331"/>
      <c r="R97" s="319"/>
      <c r="S97" s="331"/>
      <c r="T97" s="331"/>
      <c r="U97" s="330"/>
      <c r="V97" s="317"/>
      <c r="W97" s="330"/>
      <c r="X97" s="330"/>
      <c r="Y97" s="331"/>
      <c r="Z97" s="319"/>
      <c r="AA97" s="331"/>
      <c r="AB97" s="331"/>
      <c r="AC97" s="330"/>
      <c r="AD97" s="697">
        <v>52041</v>
      </c>
      <c r="AE97" s="320">
        <v>241620</v>
      </c>
      <c r="AF97" s="320">
        <v>189579</v>
      </c>
      <c r="AG97" s="331"/>
      <c r="AH97" s="319"/>
      <c r="AI97" s="331"/>
      <c r="AJ97" s="331"/>
      <c r="AK97" s="330"/>
      <c r="AL97" s="317"/>
      <c r="AM97" s="330"/>
      <c r="AN97" s="330"/>
      <c r="AO97" s="331"/>
    </row>
    <row r="98" spans="1:41">
      <c r="A98" s="769" t="s">
        <v>898</v>
      </c>
      <c r="B98" s="942">
        <v>1302</v>
      </c>
      <c r="C98" s="591">
        <v>13409</v>
      </c>
      <c r="D98" s="591">
        <v>12107</v>
      </c>
      <c r="E98" s="595"/>
      <c r="F98" s="943"/>
      <c r="G98" s="708"/>
      <c r="H98" s="708"/>
      <c r="I98" s="708"/>
      <c r="J98" s="944"/>
      <c r="K98" s="595"/>
      <c r="L98" s="595"/>
      <c r="M98" s="595"/>
      <c r="N98" s="945">
        <v>1302</v>
      </c>
      <c r="O98" s="703">
        <v>13409</v>
      </c>
      <c r="P98" s="703">
        <v>12107</v>
      </c>
      <c r="Q98" s="708"/>
      <c r="R98" s="944"/>
      <c r="S98" s="595"/>
      <c r="T98" s="595"/>
      <c r="U98" s="595"/>
      <c r="V98" s="943"/>
      <c r="W98" s="708"/>
      <c r="X98" s="708"/>
      <c r="Y98" s="708"/>
      <c r="Z98" s="944"/>
      <c r="AA98" s="595"/>
      <c r="AB98" s="595"/>
      <c r="AC98" s="595"/>
      <c r="AD98" s="943"/>
      <c r="AE98" s="708"/>
      <c r="AF98" s="708"/>
      <c r="AG98" s="708"/>
      <c r="AH98" s="944"/>
      <c r="AI98" s="595"/>
      <c r="AJ98" s="595"/>
      <c r="AK98" s="595"/>
      <c r="AL98" s="943"/>
      <c r="AM98" s="708"/>
      <c r="AN98" s="708"/>
      <c r="AO98" s="708"/>
    </row>
    <row r="99" spans="1:41">
      <c r="A99" s="765" t="s">
        <v>899</v>
      </c>
      <c r="B99" s="695">
        <v>1302</v>
      </c>
      <c r="C99" s="318">
        <v>13409</v>
      </c>
      <c r="D99" s="318">
        <v>12107</v>
      </c>
      <c r="E99" s="330"/>
      <c r="F99" s="317"/>
      <c r="G99" s="330"/>
      <c r="H99" s="330"/>
      <c r="I99" s="331"/>
      <c r="J99" s="319"/>
      <c r="K99" s="331"/>
      <c r="L99" s="331"/>
      <c r="M99" s="330"/>
      <c r="N99" s="697">
        <v>1302</v>
      </c>
      <c r="O99" s="320">
        <v>13409</v>
      </c>
      <c r="P99" s="320">
        <v>12107</v>
      </c>
      <c r="Q99" s="331"/>
      <c r="R99" s="319"/>
      <c r="S99" s="331"/>
      <c r="T99" s="331"/>
      <c r="U99" s="330"/>
      <c r="V99" s="317"/>
      <c r="W99" s="330"/>
      <c r="X99" s="330"/>
      <c r="Y99" s="331"/>
      <c r="Z99" s="319"/>
      <c r="AA99" s="331"/>
      <c r="AB99" s="331"/>
      <c r="AC99" s="330"/>
      <c r="AD99" s="317"/>
      <c r="AE99" s="330"/>
      <c r="AF99" s="330"/>
      <c r="AG99" s="331"/>
      <c r="AH99" s="319"/>
      <c r="AI99" s="331"/>
      <c r="AJ99" s="331"/>
      <c r="AK99" s="330"/>
      <c r="AL99" s="317"/>
      <c r="AM99" s="330"/>
      <c r="AN99" s="330"/>
      <c r="AO99" s="331"/>
    </row>
    <row r="100" spans="1:41">
      <c r="A100" s="761" t="s">
        <v>900</v>
      </c>
      <c r="B100" s="942">
        <v>23209</v>
      </c>
      <c r="C100" s="591">
        <v>175379</v>
      </c>
      <c r="D100" s="591">
        <v>169864</v>
      </c>
      <c r="E100" s="768">
        <v>17694</v>
      </c>
      <c r="F100" s="943"/>
      <c r="G100" s="708"/>
      <c r="H100" s="708"/>
      <c r="I100" s="708"/>
      <c r="J100" s="944"/>
      <c r="K100" s="595"/>
      <c r="L100" s="595"/>
      <c r="M100" s="595"/>
      <c r="N100" s="945">
        <v>23209</v>
      </c>
      <c r="O100" s="703">
        <v>175379</v>
      </c>
      <c r="P100" s="703">
        <v>169864</v>
      </c>
      <c r="Q100" s="766">
        <v>17694</v>
      </c>
      <c r="R100" s="944"/>
      <c r="S100" s="595"/>
      <c r="T100" s="595"/>
      <c r="U100" s="595"/>
      <c r="V100" s="943"/>
      <c r="W100" s="708"/>
      <c r="X100" s="708"/>
      <c r="Y100" s="708"/>
      <c r="Z100" s="944"/>
      <c r="AA100" s="595"/>
      <c r="AB100" s="595"/>
      <c r="AC100" s="595"/>
      <c r="AD100" s="943"/>
      <c r="AE100" s="708"/>
      <c r="AF100" s="708"/>
      <c r="AG100" s="708"/>
      <c r="AH100" s="944"/>
      <c r="AI100" s="595"/>
      <c r="AJ100" s="595"/>
      <c r="AK100" s="595"/>
      <c r="AL100" s="943"/>
      <c r="AM100" s="708"/>
      <c r="AN100" s="708"/>
      <c r="AO100" s="708"/>
    </row>
    <row r="101" spans="1:41">
      <c r="A101" s="764" t="s">
        <v>901</v>
      </c>
      <c r="B101" s="695">
        <v>23209</v>
      </c>
      <c r="C101" s="318">
        <v>175379</v>
      </c>
      <c r="D101" s="318">
        <v>169864</v>
      </c>
      <c r="E101" s="696">
        <v>17694</v>
      </c>
      <c r="F101" s="317"/>
      <c r="G101" s="330"/>
      <c r="H101" s="330"/>
      <c r="I101" s="331"/>
      <c r="J101" s="319"/>
      <c r="K101" s="331"/>
      <c r="L101" s="331"/>
      <c r="M101" s="330"/>
      <c r="N101" s="697">
        <v>23209</v>
      </c>
      <c r="O101" s="320">
        <v>175379</v>
      </c>
      <c r="P101" s="320">
        <v>169864</v>
      </c>
      <c r="Q101" s="698">
        <v>17694</v>
      </c>
      <c r="R101" s="319"/>
      <c r="S101" s="331"/>
      <c r="T101" s="331"/>
      <c r="U101" s="330"/>
      <c r="V101" s="317"/>
      <c r="W101" s="330"/>
      <c r="X101" s="330"/>
      <c r="Y101" s="331"/>
      <c r="Z101" s="319"/>
      <c r="AA101" s="331"/>
      <c r="AB101" s="331"/>
      <c r="AC101" s="330"/>
      <c r="AD101" s="317"/>
      <c r="AE101" s="330"/>
      <c r="AF101" s="330"/>
      <c r="AG101" s="331"/>
      <c r="AH101" s="319"/>
      <c r="AI101" s="331"/>
      <c r="AJ101" s="331"/>
      <c r="AK101" s="330"/>
      <c r="AL101" s="317"/>
      <c r="AM101" s="330"/>
      <c r="AN101" s="330"/>
      <c r="AO101" s="331"/>
    </row>
    <row r="102" spans="1:41">
      <c r="A102" s="810" t="s">
        <v>1473</v>
      </c>
      <c r="B102" s="942">
        <v>54581</v>
      </c>
      <c r="C102" s="591">
        <v>411524</v>
      </c>
      <c r="D102" s="591">
        <v>465573</v>
      </c>
      <c r="E102" s="768">
        <v>108630</v>
      </c>
      <c r="F102" s="943"/>
      <c r="G102" s="708"/>
      <c r="H102" s="708"/>
      <c r="I102" s="708"/>
      <c r="J102" s="944"/>
      <c r="K102" s="595"/>
      <c r="L102" s="595"/>
      <c r="M102" s="595"/>
      <c r="N102" s="943"/>
      <c r="O102" s="708"/>
      <c r="P102" s="708"/>
      <c r="Q102" s="708"/>
      <c r="R102" s="944"/>
      <c r="S102" s="595"/>
      <c r="T102" s="591">
        <v>66205</v>
      </c>
      <c r="U102" s="768">
        <v>66205</v>
      </c>
      <c r="V102" s="945">
        <v>2275</v>
      </c>
      <c r="W102" s="703">
        <v>12535</v>
      </c>
      <c r="X102" s="703">
        <v>17190</v>
      </c>
      <c r="Y102" s="766">
        <v>6930</v>
      </c>
      <c r="Z102" s="944"/>
      <c r="AA102" s="595"/>
      <c r="AB102" s="595"/>
      <c r="AC102" s="595"/>
      <c r="AD102" s="945">
        <v>9872</v>
      </c>
      <c r="AE102" s="703">
        <v>23575</v>
      </c>
      <c r="AF102" s="703">
        <v>13777</v>
      </c>
      <c r="AG102" s="766">
        <v>74</v>
      </c>
      <c r="AH102" s="944"/>
      <c r="AI102" s="595"/>
      <c r="AJ102" s="595"/>
      <c r="AK102" s="595"/>
      <c r="AL102" s="956">
        <v>42434</v>
      </c>
      <c r="AM102" s="702">
        <v>375414</v>
      </c>
      <c r="AN102" s="702">
        <v>368401</v>
      </c>
      <c r="AO102" s="965">
        <v>35421</v>
      </c>
    </row>
    <row r="103" spans="1:41">
      <c r="A103" s="765" t="s">
        <v>1474</v>
      </c>
      <c r="B103" s="695">
        <v>12147</v>
      </c>
      <c r="C103" s="318">
        <v>36110</v>
      </c>
      <c r="D103" s="318">
        <v>30967</v>
      </c>
      <c r="E103" s="696">
        <v>7004</v>
      </c>
      <c r="F103" s="317"/>
      <c r="G103" s="330"/>
      <c r="H103" s="330"/>
      <c r="I103" s="331"/>
      <c r="J103" s="319"/>
      <c r="K103" s="331"/>
      <c r="L103" s="331"/>
      <c r="M103" s="330"/>
      <c r="N103" s="317"/>
      <c r="O103" s="330"/>
      <c r="P103" s="330"/>
      <c r="Q103" s="331"/>
      <c r="R103" s="319"/>
      <c r="S103" s="331"/>
      <c r="T103" s="331"/>
      <c r="U103" s="330"/>
      <c r="V103" s="697">
        <v>2275</v>
      </c>
      <c r="W103" s="320">
        <v>12535</v>
      </c>
      <c r="X103" s="320">
        <v>17190</v>
      </c>
      <c r="Y103" s="698">
        <v>6930</v>
      </c>
      <c r="Z103" s="319"/>
      <c r="AA103" s="331"/>
      <c r="AB103" s="331"/>
      <c r="AC103" s="330"/>
      <c r="AD103" s="697">
        <v>9872</v>
      </c>
      <c r="AE103" s="320">
        <v>23575</v>
      </c>
      <c r="AF103" s="320">
        <v>13777</v>
      </c>
      <c r="AG103" s="698">
        <v>74</v>
      </c>
      <c r="AH103" s="319"/>
      <c r="AI103" s="331"/>
      <c r="AJ103" s="331"/>
      <c r="AK103" s="330"/>
      <c r="AL103" s="317"/>
      <c r="AM103" s="330"/>
      <c r="AN103" s="330"/>
      <c r="AO103" s="331"/>
    </row>
    <row r="104" spans="1:41">
      <c r="A104" s="765" t="s">
        <v>1473</v>
      </c>
      <c r="B104" s="710">
        <v>18392</v>
      </c>
      <c r="C104" s="714">
        <v>277618</v>
      </c>
      <c r="D104" s="325">
        <v>343117</v>
      </c>
      <c r="E104" s="589">
        <v>83891</v>
      </c>
      <c r="F104" s="324"/>
      <c r="G104" s="338"/>
      <c r="H104" s="338"/>
      <c r="I104" s="339"/>
      <c r="J104" s="322"/>
      <c r="K104" s="339"/>
      <c r="L104" s="339"/>
      <c r="M104" s="338"/>
      <c r="N104" s="324"/>
      <c r="O104" s="338"/>
      <c r="P104" s="338"/>
      <c r="Q104" s="339"/>
      <c r="R104" s="322"/>
      <c r="S104" s="339"/>
      <c r="T104" s="325">
        <v>48695</v>
      </c>
      <c r="U104" s="589">
        <v>48695</v>
      </c>
      <c r="V104" s="324"/>
      <c r="W104" s="338"/>
      <c r="X104" s="338"/>
      <c r="Y104" s="339"/>
      <c r="Z104" s="322"/>
      <c r="AA104" s="339"/>
      <c r="AB104" s="339"/>
      <c r="AC104" s="338"/>
      <c r="AD104" s="324"/>
      <c r="AE104" s="338"/>
      <c r="AF104" s="338"/>
      <c r="AG104" s="339"/>
      <c r="AH104" s="322"/>
      <c r="AI104" s="339"/>
      <c r="AJ104" s="339"/>
      <c r="AK104" s="338"/>
      <c r="AL104" s="713">
        <v>18392</v>
      </c>
      <c r="AM104" s="711">
        <v>277618</v>
      </c>
      <c r="AN104" s="711">
        <v>294422</v>
      </c>
      <c r="AO104" s="715">
        <v>35196</v>
      </c>
    </row>
    <row r="105" spans="1:41">
      <c r="A105" s="765" t="s">
        <v>1475</v>
      </c>
      <c r="B105" s="710">
        <v>24042</v>
      </c>
      <c r="C105" s="714">
        <v>97796</v>
      </c>
      <c r="D105" s="325">
        <v>91489</v>
      </c>
      <c r="E105" s="589">
        <v>17735</v>
      </c>
      <c r="F105" s="324"/>
      <c r="G105" s="338"/>
      <c r="H105" s="338"/>
      <c r="I105" s="339"/>
      <c r="J105" s="322"/>
      <c r="K105" s="339"/>
      <c r="L105" s="339"/>
      <c r="M105" s="338"/>
      <c r="N105" s="324"/>
      <c r="O105" s="338"/>
      <c r="P105" s="338"/>
      <c r="Q105" s="339"/>
      <c r="R105" s="322"/>
      <c r="S105" s="339"/>
      <c r="T105" s="325">
        <v>17510</v>
      </c>
      <c r="U105" s="589">
        <v>17510</v>
      </c>
      <c r="V105" s="324"/>
      <c r="W105" s="338"/>
      <c r="X105" s="338"/>
      <c r="Y105" s="339"/>
      <c r="Z105" s="322"/>
      <c r="AA105" s="339"/>
      <c r="AB105" s="339"/>
      <c r="AC105" s="338"/>
      <c r="AD105" s="324"/>
      <c r="AE105" s="338"/>
      <c r="AF105" s="338"/>
      <c r="AG105" s="339"/>
      <c r="AH105" s="322"/>
      <c r="AI105" s="339"/>
      <c r="AJ105" s="339"/>
      <c r="AK105" s="338"/>
      <c r="AL105" s="713">
        <v>24042</v>
      </c>
      <c r="AM105" s="711">
        <v>97796</v>
      </c>
      <c r="AN105" s="711">
        <v>73979</v>
      </c>
      <c r="AO105" s="715">
        <v>225</v>
      </c>
    </row>
    <row r="106" spans="1:41">
      <c r="A106" s="761" t="s">
        <v>902</v>
      </c>
      <c r="B106" s="942">
        <v>8500</v>
      </c>
      <c r="C106" s="591">
        <v>198907</v>
      </c>
      <c r="D106" s="591">
        <v>260430</v>
      </c>
      <c r="E106" s="768">
        <v>70023</v>
      </c>
      <c r="F106" s="943"/>
      <c r="G106" s="708"/>
      <c r="H106" s="708"/>
      <c r="I106" s="708"/>
      <c r="J106" s="944"/>
      <c r="K106" s="595"/>
      <c r="L106" s="595"/>
      <c r="M106" s="595"/>
      <c r="N106" s="945">
        <v>8500</v>
      </c>
      <c r="O106" s="703">
        <v>198907</v>
      </c>
      <c r="P106" s="703">
        <v>260430</v>
      </c>
      <c r="Q106" s="766">
        <v>70023</v>
      </c>
      <c r="R106" s="944"/>
      <c r="S106" s="595"/>
      <c r="T106" s="595"/>
      <c r="U106" s="595"/>
      <c r="V106" s="943"/>
      <c r="W106" s="708"/>
      <c r="X106" s="708"/>
      <c r="Y106" s="708"/>
      <c r="Z106" s="944"/>
      <c r="AA106" s="595"/>
      <c r="AB106" s="595"/>
      <c r="AC106" s="595"/>
      <c r="AD106" s="943"/>
      <c r="AE106" s="708"/>
      <c r="AF106" s="708"/>
      <c r="AG106" s="708"/>
      <c r="AH106" s="944"/>
      <c r="AI106" s="595"/>
      <c r="AJ106" s="595"/>
      <c r="AK106" s="595"/>
      <c r="AL106" s="943"/>
      <c r="AM106" s="708"/>
      <c r="AN106" s="708"/>
      <c r="AO106" s="708"/>
    </row>
    <row r="107" spans="1:41">
      <c r="A107" s="763" t="s">
        <v>903</v>
      </c>
      <c r="B107" s="695">
        <v>6000</v>
      </c>
      <c r="C107" s="318">
        <v>183907</v>
      </c>
      <c r="D107" s="318">
        <v>245430</v>
      </c>
      <c r="E107" s="696">
        <v>67523</v>
      </c>
      <c r="F107" s="317"/>
      <c r="G107" s="330"/>
      <c r="H107" s="330"/>
      <c r="I107" s="331"/>
      <c r="J107" s="319"/>
      <c r="K107" s="331"/>
      <c r="L107" s="331"/>
      <c r="M107" s="330"/>
      <c r="N107" s="697">
        <v>6000</v>
      </c>
      <c r="O107" s="320">
        <v>183907</v>
      </c>
      <c r="P107" s="320">
        <v>245430</v>
      </c>
      <c r="Q107" s="698">
        <v>67523</v>
      </c>
      <c r="R107" s="319"/>
      <c r="S107" s="331"/>
      <c r="T107" s="331"/>
      <c r="U107" s="330"/>
      <c r="V107" s="317"/>
      <c r="W107" s="330"/>
      <c r="X107" s="330"/>
      <c r="Y107" s="331"/>
      <c r="Z107" s="319"/>
      <c r="AA107" s="331"/>
      <c r="AB107" s="331"/>
      <c r="AC107" s="330"/>
      <c r="AD107" s="317"/>
      <c r="AE107" s="330"/>
      <c r="AF107" s="330"/>
      <c r="AG107" s="331"/>
      <c r="AH107" s="319"/>
      <c r="AI107" s="331"/>
      <c r="AJ107" s="331"/>
      <c r="AK107" s="330"/>
      <c r="AL107" s="317"/>
      <c r="AM107" s="330"/>
      <c r="AN107" s="330"/>
      <c r="AO107" s="331"/>
    </row>
    <row r="108" spans="1:41">
      <c r="A108" s="763" t="s">
        <v>904</v>
      </c>
      <c r="B108" s="700">
        <v>2500</v>
      </c>
      <c r="C108" s="325">
        <v>15000</v>
      </c>
      <c r="D108" s="325">
        <v>15000</v>
      </c>
      <c r="E108" s="589">
        <v>2500</v>
      </c>
      <c r="F108" s="324"/>
      <c r="G108" s="338"/>
      <c r="H108" s="338"/>
      <c r="I108" s="339"/>
      <c r="J108" s="322"/>
      <c r="K108" s="339"/>
      <c r="L108" s="339"/>
      <c r="M108" s="338"/>
      <c r="N108" s="699">
        <v>2500</v>
      </c>
      <c r="O108" s="323">
        <v>15000</v>
      </c>
      <c r="P108" s="323">
        <v>15000</v>
      </c>
      <c r="Q108" s="588">
        <v>2500</v>
      </c>
      <c r="R108" s="322"/>
      <c r="S108" s="339"/>
      <c r="T108" s="339"/>
      <c r="U108" s="338"/>
      <c r="V108" s="324"/>
      <c r="W108" s="338"/>
      <c r="X108" s="338"/>
      <c r="Y108" s="339"/>
      <c r="Z108" s="322"/>
      <c r="AA108" s="339"/>
      <c r="AB108" s="339"/>
      <c r="AC108" s="338"/>
      <c r="AD108" s="324"/>
      <c r="AE108" s="338"/>
      <c r="AF108" s="338"/>
      <c r="AG108" s="339"/>
      <c r="AH108" s="322"/>
      <c r="AI108" s="339"/>
      <c r="AJ108" s="339"/>
      <c r="AK108" s="338"/>
      <c r="AL108" s="324"/>
      <c r="AM108" s="338"/>
      <c r="AN108" s="338"/>
      <c r="AO108" s="339"/>
    </row>
    <row r="109" spans="1:41">
      <c r="A109" s="810" t="s">
        <v>1476</v>
      </c>
      <c r="B109" s="960">
        <v>11000</v>
      </c>
      <c r="C109" s="706">
        <v>38700</v>
      </c>
      <c r="D109" s="591">
        <v>54700</v>
      </c>
      <c r="E109" s="768">
        <v>27000</v>
      </c>
      <c r="F109" s="943"/>
      <c r="G109" s="708"/>
      <c r="H109" s="708"/>
      <c r="I109" s="708"/>
      <c r="J109" s="944"/>
      <c r="K109" s="595"/>
      <c r="L109" s="595"/>
      <c r="M109" s="595"/>
      <c r="N109" s="943"/>
      <c r="O109" s="708"/>
      <c r="P109" s="708"/>
      <c r="Q109" s="708"/>
      <c r="R109" s="944"/>
      <c r="S109" s="595"/>
      <c r="T109" s="591">
        <v>3000</v>
      </c>
      <c r="U109" s="768">
        <v>3000</v>
      </c>
      <c r="V109" s="943"/>
      <c r="W109" s="708"/>
      <c r="X109" s="708"/>
      <c r="Y109" s="708"/>
      <c r="Z109" s="944"/>
      <c r="AA109" s="595"/>
      <c r="AB109" s="595"/>
      <c r="AC109" s="595"/>
      <c r="AD109" s="943"/>
      <c r="AE109" s="708"/>
      <c r="AF109" s="708"/>
      <c r="AG109" s="708"/>
      <c r="AH109" s="944"/>
      <c r="AI109" s="595"/>
      <c r="AJ109" s="595"/>
      <c r="AK109" s="595"/>
      <c r="AL109" s="956">
        <v>11000</v>
      </c>
      <c r="AM109" s="702">
        <v>38700</v>
      </c>
      <c r="AN109" s="702">
        <v>51700</v>
      </c>
      <c r="AO109" s="965">
        <v>24000</v>
      </c>
    </row>
    <row r="110" spans="1:41">
      <c r="A110" s="763" t="s">
        <v>903</v>
      </c>
      <c r="B110" s="961">
        <v>11000</v>
      </c>
      <c r="C110" s="726">
        <v>38700</v>
      </c>
      <c r="D110" s="318">
        <v>54700</v>
      </c>
      <c r="E110" s="696">
        <v>27000</v>
      </c>
      <c r="F110" s="317"/>
      <c r="G110" s="330"/>
      <c r="H110" s="330"/>
      <c r="I110" s="331"/>
      <c r="J110" s="319"/>
      <c r="K110" s="331"/>
      <c r="L110" s="331"/>
      <c r="M110" s="330"/>
      <c r="N110" s="317"/>
      <c r="O110" s="330"/>
      <c r="P110" s="330"/>
      <c r="Q110" s="331"/>
      <c r="R110" s="319"/>
      <c r="S110" s="331"/>
      <c r="T110" s="318">
        <v>3000</v>
      </c>
      <c r="U110" s="696">
        <v>3000</v>
      </c>
      <c r="V110" s="317"/>
      <c r="W110" s="330"/>
      <c r="X110" s="330"/>
      <c r="Y110" s="331"/>
      <c r="Z110" s="319"/>
      <c r="AA110" s="331"/>
      <c r="AB110" s="331"/>
      <c r="AC110" s="330"/>
      <c r="AD110" s="317"/>
      <c r="AE110" s="330"/>
      <c r="AF110" s="330"/>
      <c r="AG110" s="331"/>
      <c r="AH110" s="319"/>
      <c r="AI110" s="331"/>
      <c r="AJ110" s="331"/>
      <c r="AK110" s="330"/>
      <c r="AL110" s="957">
        <v>11000</v>
      </c>
      <c r="AM110" s="723">
        <v>38700</v>
      </c>
      <c r="AN110" s="723">
        <v>51700</v>
      </c>
      <c r="AO110" s="741">
        <v>24000</v>
      </c>
    </row>
    <row r="111" spans="1:41">
      <c r="A111" s="810" t="s">
        <v>1477</v>
      </c>
      <c r="B111" s="942">
        <v>6150</v>
      </c>
      <c r="C111" s="591">
        <v>82285</v>
      </c>
      <c r="D111" s="591">
        <v>61135</v>
      </c>
      <c r="E111" s="773">
        <v>15000</v>
      </c>
      <c r="F111" s="943"/>
      <c r="G111" s="708"/>
      <c r="H111" s="708"/>
      <c r="I111" s="708"/>
      <c r="J111" s="944"/>
      <c r="K111" s="595"/>
      <c r="L111" s="595"/>
      <c r="M111" s="595"/>
      <c r="N111" s="943"/>
      <c r="O111" s="708"/>
      <c r="P111" s="708"/>
      <c r="Q111" s="708"/>
      <c r="R111" s="944"/>
      <c r="S111" s="595"/>
      <c r="T111" s="595"/>
      <c r="U111" s="595"/>
      <c r="V111" s="943"/>
      <c r="W111" s="708"/>
      <c r="X111" s="708"/>
      <c r="Y111" s="708"/>
      <c r="Z111" s="944"/>
      <c r="AA111" s="595"/>
      <c r="AB111" s="595"/>
      <c r="AC111" s="595"/>
      <c r="AD111" s="945">
        <v>6150</v>
      </c>
      <c r="AE111" s="703">
        <v>82285</v>
      </c>
      <c r="AF111" s="703">
        <v>61135</v>
      </c>
      <c r="AG111" s="767">
        <v>15000</v>
      </c>
      <c r="AH111" s="944"/>
      <c r="AI111" s="595"/>
      <c r="AJ111" s="595"/>
      <c r="AK111" s="595"/>
      <c r="AL111" s="943"/>
      <c r="AM111" s="708"/>
      <c r="AN111" s="708"/>
      <c r="AO111" s="708"/>
    </row>
    <row r="112" spans="1:41">
      <c r="A112" s="763" t="s">
        <v>903</v>
      </c>
      <c r="B112" s="695">
        <v>6150</v>
      </c>
      <c r="C112" s="318">
        <v>82285</v>
      </c>
      <c r="D112" s="318">
        <v>61135</v>
      </c>
      <c r="E112" s="739">
        <v>15000</v>
      </c>
      <c r="F112" s="317"/>
      <c r="G112" s="330"/>
      <c r="H112" s="330"/>
      <c r="I112" s="331"/>
      <c r="J112" s="319"/>
      <c r="K112" s="331"/>
      <c r="L112" s="331"/>
      <c r="M112" s="330"/>
      <c r="N112" s="317"/>
      <c r="O112" s="330"/>
      <c r="P112" s="330"/>
      <c r="Q112" s="331"/>
      <c r="R112" s="319"/>
      <c r="S112" s="331"/>
      <c r="T112" s="331"/>
      <c r="U112" s="330"/>
      <c r="V112" s="317"/>
      <c r="W112" s="330"/>
      <c r="X112" s="330"/>
      <c r="Y112" s="331"/>
      <c r="Z112" s="319"/>
      <c r="AA112" s="331"/>
      <c r="AB112" s="331"/>
      <c r="AC112" s="330"/>
      <c r="AD112" s="697">
        <v>6150</v>
      </c>
      <c r="AE112" s="320">
        <v>82285</v>
      </c>
      <c r="AF112" s="320">
        <v>61135</v>
      </c>
      <c r="AG112" s="729">
        <v>15000</v>
      </c>
      <c r="AH112" s="319"/>
      <c r="AI112" s="331"/>
      <c r="AJ112" s="331"/>
      <c r="AK112" s="330"/>
      <c r="AL112" s="317"/>
      <c r="AM112" s="330"/>
      <c r="AN112" s="330"/>
      <c r="AO112" s="331"/>
    </row>
    <row r="113" spans="1:41">
      <c r="A113" s="761" t="s">
        <v>905</v>
      </c>
      <c r="B113" s="942">
        <v>21085</v>
      </c>
      <c r="C113" s="591">
        <v>153296</v>
      </c>
      <c r="D113" s="591">
        <v>155836</v>
      </c>
      <c r="E113" s="768">
        <v>23625</v>
      </c>
      <c r="F113" s="943"/>
      <c r="G113" s="708"/>
      <c r="H113" s="708"/>
      <c r="I113" s="708"/>
      <c r="J113" s="944"/>
      <c r="K113" s="595"/>
      <c r="L113" s="595"/>
      <c r="M113" s="595"/>
      <c r="N113" s="945">
        <v>21085</v>
      </c>
      <c r="O113" s="703">
        <v>153296</v>
      </c>
      <c r="P113" s="703">
        <v>155836</v>
      </c>
      <c r="Q113" s="766">
        <v>23625</v>
      </c>
      <c r="R113" s="944"/>
      <c r="S113" s="595"/>
      <c r="T113" s="595"/>
      <c r="U113" s="595"/>
      <c r="V113" s="943"/>
      <c r="W113" s="708"/>
      <c r="X113" s="708"/>
      <c r="Y113" s="708"/>
      <c r="Z113" s="944"/>
      <c r="AA113" s="595"/>
      <c r="AB113" s="595"/>
      <c r="AC113" s="595"/>
      <c r="AD113" s="943"/>
      <c r="AE113" s="708"/>
      <c r="AF113" s="708"/>
      <c r="AG113" s="708"/>
      <c r="AH113" s="944"/>
      <c r="AI113" s="595"/>
      <c r="AJ113" s="595"/>
      <c r="AK113" s="595"/>
      <c r="AL113" s="943"/>
      <c r="AM113" s="708"/>
      <c r="AN113" s="708"/>
      <c r="AO113" s="708"/>
    </row>
    <row r="114" spans="1:41">
      <c r="A114" s="764" t="s">
        <v>905</v>
      </c>
      <c r="B114" s="695">
        <v>21085</v>
      </c>
      <c r="C114" s="318">
        <v>153296</v>
      </c>
      <c r="D114" s="318">
        <v>155836</v>
      </c>
      <c r="E114" s="696">
        <v>23625</v>
      </c>
      <c r="F114" s="317"/>
      <c r="G114" s="330"/>
      <c r="H114" s="330"/>
      <c r="I114" s="331"/>
      <c r="J114" s="319"/>
      <c r="K114" s="331"/>
      <c r="L114" s="331"/>
      <c r="M114" s="330"/>
      <c r="N114" s="697">
        <v>21085</v>
      </c>
      <c r="O114" s="320">
        <v>153296</v>
      </c>
      <c r="P114" s="320">
        <v>155836</v>
      </c>
      <c r="Q114" s="698">
        <v>23625</v>
      </c>
      <c r="R114" s="319"/>
      <c r="S114" s="331"/>
      <c r="T114" s="331"/>
      <c r="U114" s="330"/>
      <c r="V114" s="317"/>
      <c r="W114" s="330"/>
      <c r="X114" s="330"/>
      <c r="Y114" s="331"/>
      <c r="Z114" s="319"/>
      <c r="AA114" s="331"/>
      <c r="AB114" s="331"/>
      <c r="AC114" s="330"/>
      <c r="AD114" s="317"/>
      <c r="AE114" s="330"/>
      <c r="AF114" s="330"/>
      <c r="AG114" s="331"/>
      <c r="AH114" s="319"/>
      <c r="AI114" s="331"/>
      <c r="AJ114" s="331"/>
      <c r="AK114" s="330"/>
      <c r="AL114" s="317"/>
      <c r="AM114" s="330"/>
      <c r="AN114" s="330"/>
      <c r="AO114" s="331"/>
    </row>
    <row r="115" spans="1:41">
      <c r="A115" s="761" t="s">
        <v>906</v>
      </c>
      <c r="B115" s="942">
        <v>106600</v>
      </c>
      <c r="C115" s="591">
        <v>376600</v>
      </c>
      <c r="D115" s="591">
        <v>460000</v>
      </c>
      <c r="E115" s="768">
        <v>190000</v>
      </c>
      <c r="F115" s="943"/>
      <c r="G115" s="708"/>
      <c r="H115" s="708"/>
      <c r="I115" s="708"/>
      <c r="J115" s="944"/>
      <c r="K115" s="595"/>
      <c r="L115" s="595"/>
      <c r="M115" s="595"/>
      <c r="N115" s="945">
        <v>106600</v>
      </c>
      <c r="O115" s="703">
        <v>376600</v>
      </c>
      <c r="P115" s="703">
        <v>460000</v>
      </c>
      <c r="Q115" s="766">
        <v>190000</v>
      </c>
      <c r="R115" s="944"/>
      <c r="S115" s="595"/>
      <c r="T115" s="595"/>
      <c r="U115" s="595"/>
      <c r="V115" s="943"/>
      <c r="W115" s="708"/>
      <c r="X115" s="708"/>
      <c r="Y115" s="708"/>
      <c r="Z115" s="944"/>
      <c r="AA115" s="595"/>
      <c r="AB115" s="595"/>
      <c r="AC115" s="595"/>
      <c r="AD115" s="945">
        <v>214900</v>
      </c>
      <c r="AE115" s="703">
        <v>857047</v>
      </c>
      <c r="AF115" s="703">
        <v>637047</v>
      </c>
      <c r="AG115" s="767">
        <v>5100</v>
      </c>
      <c r="AH115" s="944"/>
      <c r="AI115" s="595"/>
      <c r="AJ115" s="595"/>
      <c r="AK115" s="595"/>
      <c r="AL115" s="943"/>
      <c r="AM115" s="708"/>
      <c r="AN115" s="708"/>
      <c r="AO115" s="708"/>
    </row>
    <row r="116" spans="1:41">
      <c r="A116" s="763" t="s">
        <v>1478</v>
      </c>
      <c r="B116" s="695">
        <v>100000</v>
      </c>
      <c r="C116" s="318">
        <v>210000</v>
      </c>
      <c r="D116" s="318">
        <v>110000</v>
      </c>
      <c r="E116" s="330"/>
      <c r="F116" s="317"/>
      <c r="G116" s="330"/>
      <c r="H116" s="330"/>
      <c r="I116" s="331"/>
      <c r="J116" s="319"/>
      <c r="K116" s="331"/>
      <c r="L116" s="331"/>
      <c r="M116" s="330"/>
      <c r="N116" s="317"/>
      <c r="O116" s="330"/>
      <c r="P116" s="330"/>
      <c r="Q116" s="331"/>
      <c r="R116" s="319"/>
      <c r="S116" s="331"/>
      <c r="T116" s="331"/>
      <c r="U116" s="330"/>
      <c r="V116" s="317"/>
      <c r="W116" s="330"/>
      <c r="X116" s="330"/>
      <c r="Y116" s="331"/>
      <c r="Z116" s="319"/>
      <c r="AA116" s="331"/>
      <c r="AB116" s="331"/>
      <c r="AC116" s="330"/>
      <c r="AD116" s="697">
        <v>100000</v>
      </c>
      <c r="AE116" s="320">
        <v>210000</v>
      </c>
      <c r="AF116" s="320">
        <v>110000</v>
      </c>
      <c r="AG116" s="331"/>
      <c r="AH116" s="319"/>
      <c r="AI116" s="331"/>
      <c r="AJ116" s="331"/>
      <c r="AK116" s="330"/>
      <c r="AL116" s="317"/>
      <c r="AM116" s="330"/>
      <c r="AN116" s="330"/>
      <c r="AO116" s="331"/>
    </row>
    <row r="117" spans="1:41">
      <c r="A117" s="763" t="s">
        <v>1479</v>
      </c>
      <c r="B117" s="322"/>
      <c r="C117" s="325">
        <v>117047</v>
      </c>
      <c r="D117" s="325">
        <v>117047</v>
      </c>
      <c r="E117" s="338"/>
      <c r="F117" s="324"/>
      <c r="G117" s="338"/>
      <c r="H117" s="338"/>
      <c r="I117" s="339"/>
      <c r="J117" s="322"/>
      <c r="K117" s="339"/>
      <c r="L117" s="339"/>
      <c r="M117" s="338"/>
      <c r="N117" s="324"/>
      <c r="O117" s="338"/>
      <c r="P117" s="338"/>
      <c r="Q117" s="339"/>
      <c r="R117" s="322"/>
      <c r="S117" s="339"/>
      <c r="T117" s="339"/>
      <c r="U117" s="338"/>
      <c r="V117" s="324"/>
      <c r="W117" s="338"/>
      <c r="X117" s="338"/>
      <c r="Y117" s="339"/>
      <c r="Z117" s="322"/>
      <c r="AA117" s="339"/>
      <c r="AB117" s="339"/>
      <c r="AC117" s="338"/>
      <c r="AD117" s="324"/>
      <c r="AE117" s="323">
        <v>117047</v>
      </c>
      <c r="AF117" s="323">
        <v>117047</v>
      </c>
      <c r="AG117" s="339"/>
      <c r="AH117" s="322"/>
      <c r="AI117" s="339"/>
      <c r="AJ117" s="339"/>
      <c r="AK117" s="338"/>
      <c r="AL117" s="324"/>
      <c r="AM117" s="338"/>
      <c r="AN117" s="338"/>
      <c r="AO117" s="339"/>
    </row>
    <row r="118" spans="1:41">
      <c r="A118" s="764" t="s">
        <v>906</v>
      </c>
      <c r="B118" s="700">
        <v>29600</v>
      </c>
      <c r="C118" s="325">
        <v>79600</v>
      </c>
      <c r="D118" s="325">
        <v>65000</v>
      </c>
      <c r="E118" s="589">
        <v>15000</v>
      </c>
      <c r="F118" s="324"/>
      <c r="G118" s="338"/>
      <c r="H118" s="338"/>
      <c r="I118" s="339"/>
      <c r="J118" s="322"/>
      <c r="K118" s="339"/>
      <c r="L118" s="339"/>
      <c r="M118" s="338"/>
      <c r="N118" s="699">
        <v>29600</v>
      </c>
      <c r="O118" s="323">
        <v>79600</v>
      </c>
      <c r="P118" s="323">
        <v>65000</v>
      </c>
      <c r="Q118" s="588">
        <v>15000</v>
      </c>
      <c r="R118" s="322"/>
      <c r="S118" s="339"/>
      <c r="T118" s="339"/>
      <c r="U118" s="338"/>
      <c r="V118" s="324"/>
      <c r="W118" s="338"/>
      <c r="X118" s="338"/>
      <c r="Y118" s="339"/>
      <c r="Z118" s="322"/>
      <c r="AA118" s="339"/>
      <c r="AB118" s="339"/>
      <c r="AC118" s="338"/>
      <c r="AD118" s="717">
        <v>5100</v>
      </c>
      <c r="AE118" s="338"/>
      <c r="AF118" s="338"/>
      <c r="AG118" s="592">
        <v>5100</v>
      </c>
      <c r="AH118" s="322"/>
      <c r="AI118" s="339"/>
      <c r="AJ118" s="339"/>
      <c r="AK118" s="338"/>
      <c r="AL118" s="324"/>
      <c r="AM118" s="338"/>
      <c r="AN118" s="338"/>
      <c r="AO118" s="339"/>
    </row>
    <row r="119" spans="1:41">
      <c r="A119" s="765" t="s">
        <v>1480</v>
      </c>
      <c r="B119" s="700">
        <v>48000</v>
      </c>
      <c r="C119" s="325">
        <v>123000</v>
      </c>
      <c r="D119" s="325">
        <v>15000</v>
      </c>
      <c r="E119" s="589">
        <v>15000</v>
      </c>
      <c r="F119" s="324"/>
      <c r="G119" s="338"/>
      <c r="H119" s="338"/>
      <c r="I119" s="339"/>
      <c r="J119" s="322"/>
      <c r="K119" s="339"/>
      <c r="L119" s="339"/>
      <c r="M119" s="338"/>
      <c r="N119" s="324"/>
      <c r="O119" s="338"/>
      <c r="P119" s="323">
        <v>15000</v>
      </c>
      <c r="Q119" s="588">
        <v>15000</v>
      </c>
      <c r="R119" s="322"/>
      <c r="S119" s="339"/>
      <c r="T119" s="339"/>
      <c r="U119" s="338"/>
      <c r="V119" s="324"/>
      <c r="W119" s="338"/>
      <c r="X119" s="338"/>
      <c r="Y119" s="339"/>
      <c r="Z119" s="322"/>
      <c r="AA119" s="339"/>
      <c r="AB119" s="339"/>
      <c r="AC119" s="338"/>
      <c r="AD119" s="699">
        <v>48000</v>
      </c>
      <c r="AE119" s="323">
        <v>123000</v>
      </c>
      <c r="AF119" s="323">
        <v>75000</v>
      </c>
      <c r="AG119" s="339"/>
      <c r="AH119" s="322"/>
      <c r="AI119" s="339"/>
      <c r="AJ119" s="339"/>
      <c r="AK119" s="338"/>
      <c r="AL119" s="324"/>
      <c r="AM119" s="338"/>
      <c r="AN119" s="338"/>
      <c r="AO119" s="339"/>
    </row>
    <row r="120" spans="1:41">
      <c r="A120" s="765" t="s">
        <v>1481</v>
      </c>
      <c r="B120" s="700">
        <v>5000</v>
      </c>
      <c r="C120" s="325">
        <v>30000</v>
      </c>
      <c r="D120" s="325">
        <v>25000</v>
      </c>
      <c r="E120" s="338"/>
      <c r="F120" s="324"/>
      <c r="G120" s="338"/>
      <c r="H120" s="338"/>
      <c r="I120" s="339"/>
      <c r="J120" s="322"/>
      <c r="K120" s="339"/>
      <c r="L120" s="339"/>
      <c r="M120" s="338"/>
      <c r="N120" s="324"/>
      <c r="O120" s="338"/>
      <c r="P120" s="338"/>
      <c r="Q120" s="339"/>
      <c r="R120" s="322"/>
      <c r="S120" s="339"/>
      <c r="T120" s="339"/>
      <c r="U120" s="338"/>
      <c r="V120" s="324"/>
      <c r="W120" s="338"/>
      <c r="X120" s="338"/>
      <c r="Y120" s="339"/>
      <c r="Z120" s="322"/>
      <c r="AA120" s="339"/>
      <c r="AB120" s="339"/>
      <c r="AC120" s="338"/>
      <c r="AD120" s="699">
        <v>5000</v>
      </c>
      <c r="AE120" s="323">
        <v>30000</v>
      </c>
      <c r="AF120" s="323">
        <v>25000</v>
      </c>
      <c r="AG120" s="339"/>
      <c r="AH120" s="322"/>
      <c r="AI120" s="339"/>
      <c r="AJ120" s="339"/>
      <c r="AK120" s="338"/>
      <c r="AL120" s="324"/>
      <c r="AM120" s="338"/>
      <c r="AN120" s="338"/>
      <c r="AO120" s="339"/>
    </row>
    <row r="121" spans="1:41">
      <c r="A121" s="765" t="s">
        <v>1482</v>
      </c>
      <c r="B121" s="322"/>
      <c r="C121" s="325">
        <v>80000</v>
      </c>
      <c r="D121" s="325">
        <v>20000</v>
      </c>
      <c r="E121" s="589">
        <v>20000</v>
      </c>
      <c r="F121" s="324"/>
      <c r="G121" s="338"/>
      <c r="H121" s="338"/>
      <c r="I121" s="339"/>
      <c r="J121" s="322"/>
      <c r="K121" s="339"/>
      <c r="L121" s="339"/>
      <c r="M121" s="338"/>
      <c r="N121" s="324"/>
      <c r="O121" s="338"/>
      <c r="P121" s="323">
        <v>20000</v>
      </c>
      <c r="Q121" s="588">
        <v>20000</v>
      </c>
      <c r="R121" s="322"/>
      <c r="S121" s="339"/>
      <c r="T121" s="339"/>
      <c r="U121" s="338"/>
      <c r="V121" s="324"/>
      <c r="W121" s="338"/>
      <c r="X121" s="338"/>
      <c r="Y121" s="339"/>
      <c r="Z121" s="322"/>
      <c r="AA121" s="339"/>
      <c r="AB121" s="339"/>
      <c r="AC121" s="338"/>
      <c r="AD121" s="324"/>
      <c r="AE121" s="323">
        <v>80000</v>
      </c>
      <c r="AF121" s="323">
        <v>80000</v>
      </c>
      <c r="AG121" s="339"/>
      <c r="AH121" s="322"/>
      <c r="AI121" s="339"/>
      <c r="AJ121" s="339"/>
      <c r="AK121" s="338"/>
      <c r="AL121" s="324"/>
      <c r="AM121" s="338"/>
      <c r="AN121" s="338"/>
      <c r="AO121" s="339"/>
    </row>
    <row r="122" spans="1:41">
      <c r="A122" s="765" t="s">
        <v>1483</v>
      </c>
      <c r="B122" s="322"/>
      <c r="C122" s="325">
        <v>80000</v>
      </c>
      <c r="D122" s="325">
        <v>20000</v>
      </c>
      <c r="E122" s="589">
        <v>20000</v>
      </c>
      <c r="F122" s="324"/>
      <c r="G122" s="338"/>
      <c r="H122" s="338"/>
      <c r="I122" s="339"/>
      <c r="J122" s="322"/>
      <c r="K122" s="339"/>
      <c r="L122" s="339"/>
      <c r="M122" s="338"/>
      <c r="N122" s="324"/>
      <c r="O122" s="338"/>
      <c r="P122" s="323">
        <v>20000</v>
      </c>
      <c r="Q122" s="588">
        <v>20000</v>
      </c>
      <c r="R122" s="322"/>
      <c r="S122" s="339"/>
      <c r="T122" s="339"/>
      <c r="U122" s="338"/>
      <c r="V122" s="324"/>
      <c r="W122" s="338"/>
      <c r="X122" s="338"/>
      <c r="Y122" s="339"/>
      <c r="Z122" s="322"/>
      <c r="AA122" s="339"/>
      <c r="AB122" s="339"/>
      <c r="AC122" s="338"/>
      <c r="AD122" s="324"/>
      <c r="AE122" s="323">
        <v>80000</v>
      </c>
      <c r="AF122" s="323">
        <v>80000</v>
      </c>
      <c r="AG122" s="339"/>
      <c r="AH122" s="322"/>
      <c r="AI122" s="339"/>
      <c r="AJ122" s="339"/>
      <c r="AK122" s="338"/>
      <c r="AL122" s="324"/>
      <c r="AM122" s="338"/>
      <c r="AN122" s="338"/>
      <c r="AO122" s="339"/>
    </row>
    <row r="123" spans="1:41">
      <c r="A123" s="765" t="s">
        <v>907</v>
      </c>
      <c r="B123" s="322"/>
      <c r="C123" s="325">
        <v>110000</v>
      </c>
      <c r="D123" s="325">
        <v>170000</v>
      </c>
      <c r="E123" s="589">
        <v>60000</v>
      </c>
      <c r="F123" s="324"/>
      <c r="G123" s="338"/>
      <c r="H123" s="338"/>
      <c r="I123" s="339"/>
      <c r="J123" s="322"/>
      <c r="K123" s="339"/>
      <c r="L123" s="339"/>
      <c r="M123" s="338"/>
      <c r="N123" s="324"/>
      <c r="O123" s="323">
        <v>110000</v>
      </c>
      <c r="P123" s="323">
        <v>170000</v>
      </c>
      <c r="Q123" s="588">
        <v>60000</v>
      </c>
      <c r="R123" s="322"/>
      <c r="S123" s="339"/>
      <c r="T123" s="339"/>
      <c r="U123" s="338"/>
      <c r="V123" s="324"/>
      <c r="W123" s="338"/>
      <c r="X123" s="338"/>
      <c r="Y123" s="339"/>
      <c r="Z123" s="322"/>
      <c r="AA123" s="339"/>
      <c r="AB123" s="339"/>
      <c r="AC123" s="338"/>
      <c r="AD123" s="324"/>
      <c r="AE123" s="338"/>
      <c r="AF123" s="338"/>
      <c r="AG123" s="339"/>
      <c r="AH123" s="322"/>
      <c r="AI123" s="339"/>
      <c r="AJ123" s="339"/>
      <c r="AK123" s="338"/>
      <c r="AL123" s="324"/>
      <c r="AM123" s="338"/>
      <c r="AN123" s="338"/>
      <c r="AO123" s="339"/>
    </row>
    <row r="124" spans="1:41">
      <c r="A124" s="763" t="s">
        <v>1484</v>
      </c>
      <c r="B124" s="700">
        <v>67000</v>
      </c>
      <c r="C124" s="325">
        <v>217000</v>
      </c>
      <c r="D124" s="325">
        <v>150000</v>
      </c>
      <c r="E124" s="338"/>
      <c r="F124" s="324"/>
      <c r="G124" s="338"/>
      <c r="H124" s="338"/>
      <c r="I124" s="339"/>
      <c r="J124" s="322"/>
      <c r="K124" s="339"/>
      <c r="L124" s="339"/>
      <c r="M124" s="338"/>
      <c r="N124" s="324"/>
      <c r="O124" s="338"/>
      <c r="P124" s="338"/>
      <c r="Q124" s="339"/>
      <c r="R124" s="322"/>
      <c r="S124" s="339"/>
      <c r="T124" s="339"/>
      <c r="U124" s="338"/>
      <c r="V124" s="324"/>
      <c r="W124" s="338"/>
      <c r="X124" s="338"/>
      <c r="Y124" s="339"/>
      <c r="Z124" s="322"/>
      <c r="AA124" s="339"/>
      <c r="AB124" s="339"/>
      <c r="AC124" s="338"/>
      <c r="AD124" s="699">
        <v>67000</v>
      </c>
      <c r="AE124" s="323">
        <v>217000</v>
      </c>
      <c r="AF124" s="323">
        <v>150000</v>
      </c>
      <c r="AG124" s="339"/>
      <c r="AH124" s="322"/>
      <c r="AI124" s="339"/>
      <c r="AJ124" s="339"/>
      <c r="AK124" s="338"/>
      <c r="AL124" s="324"/>
      <c r="AM124" s="338"/>
      <c r="AN124" s="338"/>
      <c r="AO124" s="339"/>
    </row>
    <row r="125" spans="1:41">
      <c r="A125" s="765" t="s">
        <v>909</v>
      </c>
      <c r="B125" s="700">
        <v>77000</v>
      </c>
      <c r="C125" s="325">
        <v>187000</v>
      </c>
      <c r="D125" s="325">
        <v>170000</v>
      </c>
      <c r="E125" s="589">
        <v>60000</v>
      </c>
      <c r="F125" s="324"/>
      <c r="G125" s="338"/>
      <c r="H125" s="338"/>
      <c r="I125" s="339"/>
      <c r="J125" s="322"/>
      <c r="K125" s="339"/>
      <c r="L125" s="339"/>
      <c r="M125" s="338"/>
      <c r="N125" s="699">
        <v>77000</v>
      </c>
      <c r="O125" s="323">
        <v>187000</v>
      </c>
      <c r="P125" s="323">
        <v>170000</v>
      </c>
      <c r="Q125" s="588">
        <v>60000</v>
      </c>
      <c r="R125" s="322"/>
      <c r="S125" s="339"/>
      <c r="T125" s="339"/>
      <c r="U125" s="338"/>
      <c r="V125" s="324"/>
      <c r="W125" s="338"/>
      <c r="X125" s="338"/>
      <c r="Y125" s="339"/>
      <c r="Z125" s="322"/>
      <c r="AA125" s="339"/>
      <c r="AB125" s="339"/>
      <c r="AC125" s="338"/>
      <c r="AD125" s="324"/>
      <c r="AE125" s="338"/>
      <c r="AF125" s="338"/>
      <c r="AG125" s="339"/>
      <c r="AH125" s="322"/>
      <c r="AI125" s="339"/>
      <c r="AJ125" s="339"/>
      <c r="AK125" s="338"/>
      <c r="AL125" s="324"/>
      <c r="AM125" s="338"/>
      <c r="AN125" s="338"/>
      <c r="AO125" s="339"/>
    </row>
    <row r="126" spans="1:41">
      <c r="A126" s="765" t="s">
        <v>1469</v>
      </c>
      <c r="B126" s="699">
        <v>7795</v>
      </c>
      <c r="C126" s="323">
        <v>13244</v>
      </c>
      <c r="D126" s="323">
        <v>13789</v>
      </c>
      <c r="E126" s="588">
        <v>8340</v>
      </c>
      <c r="F126" s="322"/>
      <c r="G126" s="339"/>
      <c r="H126" s="339"/>
      <c r="I126" s="338"/>
      <c r="J126" s="324"/>
      <c r="K126" s="338"/>
      <c r="L126" s="338"/>
      <c r="M126" s="339"/>
      <c r="N126" s="322"/>
      <c r="O126" s="339"/>
      <c r="P126" s="339"/>
      <c r="Q126" s="338"/>
      <c r="R126" s="324"/>
      <c r="S126" s="338"/>
      <c r="T126" s="338"/>
      <c r="U126" s="339"/>
      <c r="V126" s="700">
        <v>7795</v>
      </c>
      <c r="W126" s="325">
        <v>13244</v>
      </c>
      <c r="X126" s="325">
        <v>13789</v>
      </c>
      <c r="Y126" s="589">
        <v>8340</v>
      </c>
      <c r="Z126" s="324"/>
      <c r="AA126" s="338"/>
      <c r="AB126" s="338"/>
      <c r="AC126" s="339"/>
      <c r="AD126" s="322"/>
      <c r="AE126" s="339"/>
      <c r="AF126" s="339"/>
      <c r="AG126" s="338"/>
      <c r="AH126" s="324"/>
      <c r="AI126" s="338"/>
      <c r="AJ126" s="338"/>
      <c r="AK126" s="339"/>
      <c r="AL126" s="322"/>
      <c r="AM126" s="339"/>
      <c r="AN126" s="339"/>
      <c r="AO126" s="338"/>
    </row>
    <row r="127" spans="1:41">
      <c r="A127" s="764" t="s">
        <v>899</v>
      </c>
      <c r="B127" s="699">
        <v>17178</v>
      </c>
      <c r="C127" s="323">
        <v>141355</v>
      </c>
      <c r="D127" s="323">
        <v>158616</v>
      </c>
      <c r="E127" s="588">
        <v>34439</v>
      </c>
      <c r="F127" s="322"/>
      <c r="G127" s="339"/>
      <c r="H127" s="339"/>
      <c r="I127" s="338"/>
      <c r="J127" s="324"/>
      <c r="K127" s="338"/>
      <c r="L127" s="323">
        <v>1042</v>
      </c>
      <c r="M127" s="588">
        <v>1042</v>
      </c>
      <c r="N127" s="322"/>
      <c r="O127" s="339"/>
      <c r="P127" s="339"/>
      <c r="Q127" s="338"/>
      <c r="R127" s="324"/>
      <c r="S127" s="323">
        <v>1004</v>
      </c>
      <c r="T127" s="323">
        <v>20825</v>
      </c>
      <c r="U127" s="588">
        <v>19821</v>
      </c>
      <c r="V127" s="700">
        <v>6180</v>
      </c>
      <c r="W127" s="325">
        <v>31500</v>
      </c>
      <c r="X127" s="325">
        <v>28080</v>
      </c>
      <c r="Y127" s="589">
        <v>2760</v>
      </c>
      <c r="Z127" s="699">
        <v>456</v>
      </c>
      <c r="AA127" s="323">
        <v>10743</v>
      </c>
      <c r="AB127" s="323">
        <v>10287</v>
      </c>
      <c r="AC127" s="339"/>
      <c r="AD127" s="716">
        <v>1491</v>
      </c>
      <c r="AE127" s="339"/>
      <c r="AF127" s="339"/>
      <c r="AG127" s="594">
        <v>1491</v>
      </c>
      <c r="AH127" s="324"/>
      <c r="AI127" s="338"/>
      <c r="AJ127" s="338"/>
      <c r="AK127" s="339"/>
      <c r="AL127" s="710">
        <v>12033</v>
      </c>
      <c r="AM127" s="714">
        <v>98108</v>
      </c>
      <c r="AN127" s="714">
        <v>98382</v>
      </c>
      <c r="AO127" s="712">
        <v>12307</v>
      </c>
    </row>
    <row r="128" spans="1:41">
      <c r="A128" s="764" t="s">
        <v>1473</v>
      </c>
      <c r="B128" s="699">
        <v>308</v>
      </c>
      <c r="C128" s="323">
        <v>5477</v>
      </c>
      <c r="D128" s="323">
        <v>5169</v>
      </c>
      <c r="E128" s="339"/>
      <c r="F128" s="322"/>
      <c r="G128" s="339"/>
      <c r="H128" s="339"/>
      <c r="I128" s="338"/>
      <c r="J128" s="324"/>
      <c r="K128" s="338"/>
      <c r="L128" s="338"/>
      <c r="M128" s="339"/>
      <c r="N128" s="322"/>
      <c r="O128" s="339"/>
      <c r="P128" s="339"/>
      <c r="Q128" s="338"/>
      <c r="R128" s="324"/>
      <c r="S128" s="338"/>
      <c r="T128" s="338"/>
      <c r="U128" s="339"/>
      <c r="V128" s="322"/>
      <c r="W128" s="339"/>
      <c r="X128" s="339"/>
      <c r="Y128" s="338"/>
      <c r="Z128" s="699">
        <v>308</v>
      </c>
      <c r="AA128" s="323">
        <v>5477</v>
      </c>
      <c r="AB128" s="323">
        <v>5169</v>
      </c>
      <c r="AC128" s="339"/>
      <c r="AD128" s="322"/>
      <c r="AE128" s="339"/>
      <c r="AF128" s="339"/>
      <c r="AG128" s="338"/>
      <c r="AH128" s="324"/>
      <c r="AI128" s="338"/>
      <c r="AJ128" s="338"/>
      <c r="AK128" s="339"/>
      <c r="AL128" s="322"/>
      <c r="AM128" s="339"/>
      <c r="AN128" s="339"/>
      <c r="AO128" s="338"/>
    </row>
    <row r="129" spans="1:41">
      <c r="A129" s="764" t="s">
        <v>1123</v>
      </c>
      <c r="B129" s="324"/>
      <c r="C129" s="323">
        <v>7044</v>
      </c>
      <c r="D129" s="323">
        <v>9216</v>
      </c>
      <c r="E129" s="588">
        <v>2172</v>
      </c>
      <c r="F129" s="322"/>
      <c r="G129" s="339"/>
      <c r="H129" s="339"/>
      <c r="I129" s="338"/>
      <c r="J129" s="324"/>
      <c r="K129" s="338"/>
      <c r="L129" s="338"/>
      <c r="M129" s="339"/>
      <c r="N129" s="322"/>
      <c r="O129" s="325">
        <v>7044</v>
      </c>
      <c r="P129" s="325">
        <v>9216</v>
      </c>
      <c r="Q129" s="589">
        <v>2172</v>
      </c>
      <c r="R129" s="324"/>
      <c r="S129" s="338"/>
      <c r="T129" s="338"/>
      <c r="U129" s="339"/>
      <c r="V129" s="322"/>
      <c r="W129" s="339"/>
      <c r="X129" s="339"/>
      <c r="Y129" s="338"/>
      <c r="Z129" s="324"/>
      <c r="AA129" s="338"/>
      <c r="AB129" s="338"/>
      <c r="AC129" s="339"/>
      <c r="AD129" s="322"/>
      <c r="AE129" s="339"/>
      <c r="AF129" s="339"/>
      <c r="AG129" s="338"/>
      <c r="AH129" s="324"/>
      <c r="AI129" s="338"/>
      <c r="AJ129" s="338"/>
      <c r="AK129" s="339"/>
      <c r="AL129" s="322"/>
      <c r="AM129" s="339"/>
      <c r="AN129" s="339"/>
      <c r="AO129" s="338"/>
    </row>
    <row r="130" spans="1:41">
      <c r="A130" s="764" t="s">
        <v>911</v>
      </c>
      <c r="B130" s="699">
        <v>1212290</v>
      </c>
      <c r="C130" s="323">
        <v>1212290</v>
      </c>
      <c r="D130" s="338"/>
      <c r="E130" s="339"/>
      <c r="F130" s="322"/>
      <c r="G130" s="339"/>
      <c r="H130" s="339"/>
      <c r="I130" s="338"/>
      <c r="J130" s="324"/>
      <c r="K130" s="338"/>
      <c r="L130" s="338"/>
      <c r="M130" s="339"/>
      <c r="N130" s="700">
        <v>1212290</v>
      </c>
      <c r="O130" s="325">
        <v>1212290</v>
      </c>
      <c r="P130" s="339"/>
      <c r="Q130" s="338"/>
      <c r="R130" s="324"/>
      <c r="S130" s="338"/>
      <c r="T130" s="338"/>
      <c r="U130" s="339"/>
      <c r="V130" s="322"/>
      <c r="W130" s="339"/>
      <c r="X130" s="339"/>
      <c r="Y130" s="338"/>
      <c r="Z130" s="324"/>
      <c r="AA130" s="338"/>
      <c r="AB130" s="338"/>
      <c r="AC130" s="339"/>
      <c r="AD130" s="322"/>
      <c r="AE130" s="339"/>
      <c r="AF130" s="339"/>
      <c r="AG130" s="338"/>
      <c r="AH130" s="324"/>
      <c r="AI130" s="338"/>
      <c r="AJ130" s="338"/>
      <c r="AK130" s="339"/>
      <c r="AL130" s="322"/>
      <c r="AM130" s="339"/>
      <c r="AN130" s="339"/>
      <c r="AO130" s="338"/>
    </row>
    <row r="131" spans="1:41">
      <c r="A131" s="764" t="s">
        <v>1485</v>
      </c>
      <c r="B131" s="699">
        <v>3567</v>
      </c>
      <c r="C131" s="323">
        <v>3567</v>
      </c>
      <c r="D131" s="338"/>
      <c r="E131" s="339"/>
      <c r="F131" s="322"/>
      <c r="G131" s="339"/>
      <c r="H131" s="339"/>
      <c r="I131" s="338"/>
      <c r="J131" s="324"/>
      <c r="K131" s="338"/>
      <c r="L131" s="338"/>
      <c r="M131" s="339"/>
      <c r="N131" s="322"/>
      <c r="O131" s="339"/>
      <c r="P131" s="339"/>
      <c r="Q131" s="338"/>
      <c r="R131" s="324"/>
      <c r="S131" s="338"/>
      <c r="T131" s="338"/>
      <c r="U131" s="339"/>
      <c r="V131" s="322"/>
      <c r="W131" s="339"/>
      <c r="X131" s="339"/>
      <c r="Y131" s="338"/>
      <c r="Z131" s="324"/>
      <c r="AA131" s="338"/>
      <c r="AB131" s="338"/>
      <c r="AC131" s="339"/>
      <c r="AD131" s="700">
        <v>3567</v>
      </c>
      <c r="AE131" s="325">
        <v>3567</v>
      </c>
      <c r="AF131" s="339"/>
      <c r="AG131" s="338"/>
      <c r="AH131" s="324"/>
      <c r="AI131" s="338"/>
      <c r="AJ131" s="338"/>
      <c r="AK131" s="339"/>
      <c r="AL131" s="322"/>
      <c r="AM131" s="339"/>
      <c r="AN131" s="339"/>
      <c r="AO131" s="338"/>
    </row>
    <row r="132" spans="1:41">
      <c r="A132" s="764" t="s">
        <v>903</v>
      </c>
      <c r="B132" s="324"/>
      <c r="C132" s="338"/>
      <c r="D132" s="338"/>
      <c r="E132" s="339"/>
      <c r="F132" s="322"/>
      <c r="G132" s="339"/>
      <c r="H132" s="339"/>
      <c r="I132" s="338"/>
      <c r="J132" s="324"/>
      <c r="K132" s="338"/>
      <c r="L132" s="338"/>
      <c r="M132" s="339"/>
      <c r="N132" s="322"/>
      <c r="O132" s="339"/>
      <c r="P132" s="339"/>
      <c r="Q132" s="338"/>
      <c r="R132" s="324"/>
      <c r="S132" s="338"/>
      <c r="T132" s="338"/>
      <c r="U132" s="339"/>
      <c r="V132" s="322"/>
      <c r="W132" s="339"/>
      <c r="X132" s="339"/>
      <c r="Y132" s="338"/>
      <c r="Z132" s="324"/>
      <c r="AA132" s="338"/>
      <c r="AB132" s="338"/>
      <c r="AC132" s="339"/>
      <c r="AD132" s="322"/>
      <c r="AE132" s="339"/>
      <c r="AF132" s="339"/>
      <c r="AG132" s="338"/>
      <c r="AH132" s="324"/>
      <c r="AI132" s="338"/>
      <c r="AJ132" s="338"/>
      <c r="AK132" s="339"/>
      <c r="AL132" s="322"/>
      <c r="AM132" s="339"/>
      <c r="AN132" s="339"/>
      <c r="AO132" s="338"/>
    </row>
    <row r="133" spans="1:41">
      <c r="A133" s="757" t="s">
        <v>905</v>
      </c>
      <c r="B133" s="324"/>
      <c r="C133" s="711">
        <v>9350</v>
      </c>
      <c r="D133" s="711">
        <v>11300</v>
      </c>
      <c r="E133" s="715">
        <v>1950</v>
      </c>
      <c r="F133" s="322"/>
      <c r="G133" s="339"/>
      <c r="H133" s="339"/>
      <c r="I133" s="338"/>
      <c r="J133" s="324"/>
      <c r="K133" s="338"/>
      <c r="L133" s="338"/>
      <c r="M133" s="339"/>
      <c r="N133" s="322"/>
      <c r="O133" s="339"/>
      <c r="P133" s="339"/>
      <c r="Q133" s="338"/>
      <c r="R133" s="324"/>
      <c r="S133" s="338"/>
      <c r="T133" s="338"/>
      <c r="U133" s="339"/>
      <c r="V133" s="322"/>
      <c r="W133" s="339"/>
      <c r="X133" s="339"/>
      <c r="Y133" s="338"/>
      <c r="Z133" s="324"/>
      <c r="AA133" s="338"/>
      <c r="AB133" s="338"/>
      <c r="AC133" s="339"/>
      <c r="AD133" s="322"/>
      <c r="AE133" s="339"/>
      <c r="AF133" s="339"/>
      <c r="AG133" s="338"/>
      <c r="AH133" s="324"/>
      <c r="AI133" s="338"/>
      <c r="AJ133" s="338"/>
      <c r="AK133" s="339"/>
      <c r="AL133" s="322"/>
      <c r="AM133" s="714">
        <v>9350</v>
      </c>
      <c r="AN133" s="714">
        <v>11300</v>
      </c>
      <c r="AO133" s="712">
        <v>1950</v>
      </c>
    </row>
    <row r="134" spans="1:41">
      <c r="A134" s="764" t="s">
        <v>1486</v>
      </c>
      <c r="B134" s="713">
        <v>89356</v>
      </c>
      <c r="C134" s="711">
        <v>562941</v>
      </c>
      <c r="D134" s="711">
        <v>568302</v>
      </c>
      <c r="E134" s="715">
        <v>94717</v>
      </c>
      <c r="F134" s="322"/>
      <c r="G134" s="339"/>
      <c r="H134" s="339"/>
      <c r="I134" s="338"/>
      <c r="J134" s="324"/>
      <c r="K134" s="338"/>
      <c r="L134" s="338"/>
      <c r="M134" s="339"/>
      <c r="N134" s="322"/>
      <c r="O134" s="339"/>
      <c r="P134" s="339"/>
      <c r="Q134" s="338"/>
      <c r="R134" s="324"/>
      <c r="S134" s="338"/>
      <c r="T134" s="338"/>
      <c r="U134" s="339"/>
      <c r="V134" s="322"/>
      <c r="W134" s="339"/>
      <c r="X134" s="339"/>
      <c r="Y134" s="338"/>
      <c r="Z134" s="324"/>
      <c r="AA134" s="338"/>
      <c r="AB134" s="338"/>
      <c r="AC134" s="339"/>
      <c r="AD134" s="322"/>
      <c r="AE134" s="339"/>
      <c r="AF134" s="339"/>
      <c r="AG134" s="338"/>
      <c r="AH134" s="324"/>
      <c r="AI134" s="338"/>
      <c r="AJ134" s="338"/>
      <c r="AK134" s="339"/>
      <c r="AL134" s="710">
        <v>89356</v>
      </c>
      <c r="AM134" s="714">
        <v>562941</v>
      </c>
      <c r="AN134" s="714">
        <v>568302</v>
      </c>
      <c r="AO134" s="712">
        <v>94717</v>
      </c>
    </row>
    <row r="135" spans="1:41">
      <c r="A135" s="757" t="s">
        <v>906</v>
      </c>
      <c r="B135" s="713">
        <v>66766</v>
      </c>
      <c r="C135" s="711">
        <v>199266</v>
      </c>
      <c r="D135" s="323">
        <v>157500</v>
      </c>
      <c r="E135" s="588">
        <v>25000</v>
      </c>
      <c r="F135" s="322"/>
      <c r="G135" s="339"/>
      <c r="H135" s="339"/>
      <c r="I135" s="338"/>
      <c r="J135" s="324"/>
      <c r="K135" s="338"/>
      <c r="L135" s="338"/>
      <c r="M135" s="339"/>
      <c r="N135" s="322"/>
      <c r="O135" s="339"/>
      <c r="P135" s="339"/>
      <c r="Q135" s="338"/>
      <c r="R135" s="324"/>
      <c r="S135" s="338"/>
      <c r="T135" s="323">
        <v>25000</v>
      </c>
      <c r="U135" s="588">
        <v>25000</v>
      </c>
      <c r="V135" s="322"/>
      <c r="W135" s="339"/>
      <c r="X135" s="339"/>
      <c r="Y135" s="338"/>
      <c r="Z135" s="324"/>
      <c r="AA135" s="338"/>
      <c r="AB135" s="338"/>
      <c r="AC135" s="339"/>
      <c r="AD135" s="322"/>
      <c r="AE135" s="339"/>
      <c r="AF135" s="339"/>
      <c r="AG135" s="338"/>
      <c r="AH135" s="324"/>
      <c r="AI135" s="338"/>
      <c r="AJ135" s="338"/>
      <c r="AK135" s="339"/>
      <c r="AL135" s="710">
        <v>66766</v>
      </c>
      <c r="AM135" s="714">
        <v>199266</v>
      </c>
      <c r="AN135" s="714">
        <v>132500</v>
      </c>
      <c r="AO135" s="338"/>
    </row>
    <row r="136" spans="1:41">
      <c r="A136" s="756" t="s">
        <v>583</v>
      </c>
      <c r="B136" s="322"/>
      <c r="C136" s="339"/>
      <c r="D136" s="339"/>
      <c r="E136" s="338"/>
      <c r="F136" s="324"/>
      <c r="G136" s="338"/>
      <c r="H136" s="338"/>
      <c r="I136" s="339"/>
      <c r="J136" s="322"/>
      <c r="K136" s="339"/>
      <c r="L136" s="339"/>
      <c r="M136" s="338"/>
      <c r="N136" s="324"/>
      <c r="O136" s="338"/>
      <c r="P136" s="338"/>
      <c r="Q136" s="339"/>
      <c r="R136" s="322"/>
      <c r="S136" s="339"/>
      <c r="T136" s="339"/>
      <c r="U136" s="338"/>
      <c r="V136" s="324"/>
      <c r="W136" s="338"/>
      <c r="X136" s="338"/>
      <c r="Y136" s="339"/>
      <c r="Z136" s="322"/>
      <c r="AA136" s="339"/>
      <c r="AB136" s="339"/>
      <c r="AC136" s="338"/>
      <c r="AD136" s="324"/>
      <c r="AE136" s="338"/>
      <c r="AF136" s="338"/>
      <c r="AG136" s="339"/>
      <c r="AH136" s="322"/>
      <c r="AI136" s="339"/>
      <c r="AJ136" s="339"/>
      <c r="AK136" s="338"/>
      <c r="AL136" s="324"/>
      <c r="AM136" s="338"/>
      <c r="AN136" s="338"/>
      <c r="AO136" s="339"/>
    </row>
    <row r="137" spans="1:41">
      <c r="A137" s="756" t="s">
        <v>854</v>
      </c>
      <c r="B137" s="710">
        <v>13200</v>
      </c>
      <c r="C137" s="325">
        <v>68610</v>
      </c>
      <c r="D137" s="325">
        <v>64610</v>
      </c>
      <c r="E137" s="589">
        <v>9200</v>
      </c>
      <c r="F137" s="324"/>
      <c r="G137" s="338"/>
      <c r="H137" s="338"/>
      <c r="I137" s="339"/>
      <c r="J137" s="322"/>
      <c r="K137" s="339"/>
      <c r="L137" s="339"/>
      <c r="M137" s="338"/>
      <c r="N137" s="324"/>
      <c r="O137" s="338"/>
      <c r="P137" s="338"/>
      <c r="Q137" s="339"/>
      <c r="R137" s="322"/>
      <c r="S137" s="325">
        <v>9680</v>
      </c>
      <c r="T137" s="325">
        <v>18880</v>
      </c>
      <c r="U137" s="589">
        <v>9200</v>
      </c>
      <c r="V137" s="324"/>
      <c r="W137" s="338"/>
      <c r="X137" s="338"/>
      <c r="Y137" s="339"/>
      <c r="Z137" s="322"/>
      <c r="AA137" s="339"/>
      <c r="AB137" s="339"/>
      <c r="AC137" s="338"/>
      <c r="AD137" s="324"/>
      <c r="AE137" s="338"/>
      <c r="AF137" s="338"/>
      <c r="AG137" s="339"/>
      <c r="AH137" s="322"/>
      <c r="AI137" s="339"/>
      <c r="AJ137" s="339"/>
      <c r="AK137" s="338"/>
      <c r="AL137" s="713">
        <v>13200</v>
      </c>
      <c r="AM137" s="711">
        <v>58930</v>
      </c>
      <c r="AN137" s="711">
        <v>45730</v>
      </c>
      <c r="AO137" s="339"/>
    </row>
    <row r="138" spans="1:41">
      <c r="A138" s="757" t="s">
        <v>912</v>
      </c>
      <c r="B138" s="700">
        <v>2600</v>
      </c>
      <c r="C138" s="339"/>
      <c r="D138" s="325">
        <v>11600</v>
      </c>
      <c r="E138" s="589">
        <v>14200</v>
      </c>
      <c r="F138" s="324"/>
      <c r="G138" s="338"/>
      <c r="H138" s="338"/>
      <c r="I138" s="339"/>
      <c r="J138" s="322"/>
      <c r="K138" s="339"/>
      <c r="L138" s="339"/>
      <c r="M138" s="338"/>
      <c r="N138" s="699">
        <v>2600</v>
      </c>
      <c r="O138" s="338"/>
      <c r="P138" s="323">
        <v>11600</v>
      </c>
      <c r="Q138" s="588">
        <v>14200</v>
      </c>
      <c r="R138" s="322"/>
      <c r="S138" s="339"/>
      <c r="T138" s="339"/>
      <c r="U138" s="338"/>
      <c r="V138" s="324"/>
      <c r="W138" s="338"/>
      <c r="X138" s="338"/>
      <c r="Y138" s="339"/>
      <c r="Z138" s="322"/>
      <c r="AA138" s="339"/>
      <c r="AB138" s="339"/>
      <c r="AC138" s="338"/>
      <c r="AD138" s="324"/>
      <c r="AE138" s="338"/>
      <c r="AF138" s="338"/>
      <c r="AG138" s="339"/>
      <c r="AH138" s="322"/>
      <c r="AI138" s="339"/>
      <c r="AJ138" s="339"/>
      <c r="AK138" s="338"/>
      <c r="AL138" s="324"/>
      <c r="AM138" s="338"/>
      <c r="AN138" s="338"/>
      <c r="AO138" s="339"/>
    </row>
    <row r="139" spans="1:41">
      <c r="A139" s="756" t="s">
        <v>1487</v>
      </c>
      <c r="B139" s="700">
        <v>2800</v>
      </c>
      <c r="C139" s="325">
        <v>1000</v>
      </c>
      <c r="D139" s="325">
        <v>13200</v>
      </c>
      <c r="E139" s="589">
        <v>15000</v>
      </c>
      <c r="F139" s="324"/>
      <c r="G139" s="338"/>
      <c r="H139" s="338"/>
      <c r="I139" s="339"/>
      <c r="J139" s="322"/>
      <c r="K139" s="339"/>
      <c r="L139" s="339"/>
      <c r="M139" s="338"/>
      <c r="N139" s="324"/>
      <c r="O139" s="338"/>
      <c r="P139" s="338"/>
      <c r="Q139" s="339"/>
      <c r="R139" s="322"/>
      <c r="S139" s="339"/>
      <c r="T139" s="339"/>
      <c r="U139" s="338"/>
      <c r="V139" s="324"/>
      <c r="W139" s="338"/>
      <c r="X139" s="338"/>
      <c r="Y139" s="339"/>
      <c r="Z139" s="322"/>
      <c r="AA139" s="339"/>
      <c r="AB139" s="339"/>
      <c r="AC139" s="338"/>
      <c r="AD139" s="699">
        <v>2800</v>
      </c>
      <c r="AE139" s="323">
        <v>1000</v>
      </c>
      <c r="AF139" s="323">
        <v>13200</v>
      </c>
      <c r="AG139" s="588">
        <v>15000</v>
      </c>
      <c r="AH139" s="322"/>
      <c r="AI139" s="339"/>
      <c r="AJ139" s="339"/>
      <c r="AK139" s="338"/>
      <c r="AL139" s="324"/>
      <c r="AM139" s="338"/>
      <c r="AN139" s="338"/>
      <c r="AO139" s="339"/>
    </row>
    <row r="140" spans="1:41">
      <c r="A140" s="316" t="s">
        <v>341</v>
      </c>
      <c r="B140" s="942">
        <v>6323</v>
      </c>
      <c r="C140" s="591">
        <v>46323</v>
      </c>
      <c r="D140" s="591">
        <v>9158818.5899999999</v>
      </c>
      <c r="E140" s="773">
        <v>2019340</v>
      </c>
      <c r="F140" s="943"/>
      <c r="G140" s="708"/>
      <c r="H140" s="708"/>
      <c r="I140" s="708"/>
      <c r="J140" s="944"/>
      <c r="K140" s="595"/>
      <c r="L140" s="591">
        <v>1948</v>
      </c>
      <c r="M140" s="768">
        <v>1948</v>
      </c>
      <c r="N140" s="945">
        <v>6323</v>
      </c>
      <c r="O140" s="703">
        <v>46323</v>
      </c>
      <c r="P140" s="703">
        <v>2454263</v>
      </c>
      <c r="Q140" s="766">
        <v>2414263</v>
      </c>
      <c r="R140" s="944"/>
      <c r="S140" s="595"/>
      <c r="T140" s="595"/>
      <c r="U140" s="595"/>
      <c r="V140" s="945">
        <v>132000</v>
      </c>
      <c r="W140" s="703">
        <v>588804</v>
      </c>
      <c r="X140" s="703">
        <v>456804</v>
      </c>
      <c r="Y140" s="708"/>
      <c r="Z140" s="944"/>
      <c r="AA140" s="591">
        <v>27600</v>
      </c>
      <c r="AB140" s="591">
        <v>27600</v>
      </c>
      <c r="AC140" s="595"/>
      <c r="AD140" s="945">
        <v>370699</v>
      </c>
      <c r="AE140" s="703">
        <v>2740136</v>
      </c>
      <c r="AF140" s="703">
        <v>348149</v>
      </c>
      <c r="AG140" s="767">
        <v>2021288</v>
      </c>
      <c r="AH140" s="944"/>
      <c r="AI140" s="595"/>
      <c r="AJ140" s="595"/>
      <c r="AK140" s="595"/>
      <c r="AL140" s="956">
        <v>1846235</v>
      </c>
      <c r="AM140" s="702">
        <v>10170552.59</v>
      </c>
      <c r="AN140" s="702">
        <v>8324317.5899999999</v>
      </c>
      <c r="AO140" s="708"/>
    </row>
    <row r="141" spans="1:41">
      <c r="A141" s="757" t="s">
        <v>1488</v>
      </c>
      <c r="B141" s="695">
        <v>6323</v>
      </c>
      <c r="C141" s="318">
        <v>6323</v>
      </c>
      <c r="D141" s="331"/>
      <c r="E141" s="330"/>
      <c r="F141" s="317"/>
      <c r="G141" s="330"/>
      <c r="H141" s="330"/>
      <c r="I141" s="331"/>
      <c r="J141" s="319"/>
      <c r="K141" s="331"/>
      <c r="L141" s="331"/>
      <c r="M141" s="330"/>
      <c r="N141" s="697">
        <v>6323</v>
      </c>
      <c r="O141" s="320">
        <v>6323</v>
      </c>
      <c r="P141" s="330"/>
      <c r="Q141" s="331"/>
      <c r="R141" s="319"/>
      <c r="S141" s="331"/>
      <c r="T141" s="331"/>
      <c r="U141" s="330"/>
      <c r="V141" s="317"/>
      <c r="W141" s="330"/>
      <c r="X141" s="330"/>
      <c r="Y141" s="331"/>
      <c r="Z141" s="319"/>
      <c r="AA141" s="331"/>
      <c r="AB141" s="331"/>
      <c r="AC141" s="330"/>
      <c r="AD141" s="317"/>
      <c r="AE141" s="330"/>
      <c r="AF141" s="330"/>
      <c r="AG141" s="331"/>
      <c r="AH141" s="319"/>
      <c r="AI141" s="331"/>
      <c r="AJ141" s="331"/>
      <c r="AK141" s="330"/>
      <c r="AL141" s="317"/>
      <c r="AM141" s="330"/>
      <c r="AN141" s="330"/>
      <c r="AO141" s="331"/>
    </row>
    <row r="142" spans="1:41">
      <c r="A142" s="757" t="s">
        <v>1489</v>
      </c>
      <c r="B142" s="710">
        <v>1846235</v>
      </c>
      <c r="C142" s="714">
        <v>10170552.59</v>
      </c>
      <c r="D142" s="714">
        <v>8324317.5899999999</v>
      </c>
      <c r="E142" s="338"/>
      <c r="F142" s="324"/>
      <c r="G142" s="338"/>
      <c r="H142" s="338"/>
      <c r="I142" s="339"/>
      <c r="J142" s="322"/>
      <c r="K142" s="339"/>
      <c r="L142" s="339"/>
      <c r="M142" s="338"/>
      <c r="N142" s="324"/>
      <c r="O142" s="338"/>
      <c r="P142" s="338"/>
      <c r="Q142" s="339"/>
      <c r="R142" s="322"/>
      <c r="S142" s="339"/>
      <c r="T142" s="339"/>
      <c r="U142" s="338"/>
      <c r="V142" s="324"/>
      <c r="W142" s="338"/>
      <c r="X142" s="338"/>
      <c r="Y142" s="339"/>
      <c r="Z142" s="322"/>
      <c r="AA142" s="339"/>
      <c r="AB142" s="339"/>
      <c r="AC142" s="338"/>
      <c r="AD142" s="324"/>
      <c r="AE142" s="338"/>
      <c r="AF142" s="338"/>
      <c r="AG142" s="339"/>
      <c r="AH142" s="322"/>
      <c r="AI142" s="339"/>
      <c r="AJ142" s="339"/>
      <c r="AK142" s="338"/>
      <c r="AL142" s="713">
        <v>1846235</v>
      </c>
      <c r="AM142" s="711">
        <v>10170552.59</v>
      </c>
      <c r="AN142" s="711">
        <v>8324317.5899999999</v>
      </c>
      <c r="AO142" s="339"/>
    </row>
    <row r="143" spans="1:41">
      <c r="A143" s="757" t="s">
        <v>1490</v>
      </c>
      <c r="B143" s="700">
        <v>662416</v>
      </c>
      <c r="C143" s="325">
        <v>1365129</v>
      </c>
      <c r="D143" s="325">
        <v>702713</v>
      </c>
      <c r="E143" s="338"/>
      <c r="F143" s="324"/>
      <c r="G143" s="338"/>
      <c r="H143" s="338"/>
      <c r="I143" s="339"/>
      <c r="J143" s="322"/>
      <c r="K143" s="339"/>
      <c r="L143" s="339"/>
      <c r="M143" s="338"/>
      <c r="N143" s="324"/>
      <c r="O143" s="338"/>
      <c r="P143" s="338"/>
      <c r="Q143" s="339"/>
      <c r="R143" s="322"/>
      <c r="S143" s="339"/>
      <c r="T143" s="339"/>
      <c r="U143" s="338"/>
      <c r="V143" s="699">
        <v>132000</v>
      </c>
      <c r="W143" s="323">
        <v>588804</v>
      </c>
      <c r="X143" s="323">
        <v>456804</v>
      </c>
      <c r="Y143" s="339"/>
      <c r="Z143" s="322"/>
      <c r="AA143" s="325">
        <v>27600</v>
      </c>
      <c r="AB143" s="325">
        <v>27600</v>
      </c>
      <c r="AC143" s="338"/>
      <c r="AD143" s="699">
        <v>530416</v>
      </c>
      <c r="AE143" s="323">
        <v>748725</v>
      </c>
      <c r="AF143" s="323">
        <v>218309</v>
      </c>
      <c r="AG143" s="339"/>
      <c r="AH143" s="322"/>
      <c r="AI143" s="339"/>
      <c r="AJ143" s="339"/>
      <c r="AK143" s="338"/>
      <c r="AL143" s="324"/>
      <c r="AM143" s="338"/>
      <c r="AN143" s="338"/>
      <c r="AO143" s="339"/>
    </row>
    <row r="144" spans="1:41">
      <c r="A144" s="757" t="s">
        <v>710</v>
      </c>
      <c r="B144" s="322"/>
      <c r="C144" s="325">
        <v>40000</v>
      </c>
      <c r="D144" s="325">
        <v>654414</v>
      </c>
      <c r="E144" s="589">
        <v>614414</v>
      </c>
      <c r="F144" s="324"/>
      <c r="G144" s="338"/>
      <c r="H144" s="338"/>
      <c r="I144" s="339"/>
      <c r="J144" s="322"/>
      <c r="K144" s="339"/>
      <c r="L144" s="339"/>
      <c r="M144" s="338"/>
      <c r="N144" s="324"/>
      <c r="O144" s="323">
        <v>40000</v>
      </c>
      <c r="P144" s="323">
        <v>654414</v>
      </c>
      <c r="Q144" s="588">
        <v>614414</v>
      </c>
      <c r="R144" s="322"/>
      <c r="S144" s="339"/>
      <c r="T144" s="339"/>
      <c r="U144" s="338"/>
      <c r="V144" s="324"/>
      <c r="W144" s="338"/>
      <c r="X144" s="338"/>
      <c r="Y144" s="339"/>
      <c r="Z144" s="322"/>
      <c r="AA144" s="339"/>
      <c r="AB144" s="339"/>
      <c r="AC144" s="338"/>
      <c r="AD144" s="324"/>
      <c r="AE144" s="338"/>
      <c r="AF144" s="338"/>
      <c r="AG144" s="339"/>
      <c r="AH144" s="322"/>
      <c r="AI144" s="339"/>
      <c r="AJ144" s="339"/>
      <c r="AK144" s="338"/>
      <c r="AL144" s="324"/>
      <c r="AM144" s="338"/>
      <c r="AN144" s="338"/>
      <c r="AO144" s="339"/>
    </row>
    <row r="145" spans="1:41">
      <c r="A145" s="757" t="s">
        <v>1491</v>
      </c>
      <c r="B145" s="700">
        <v>1861571</v>
      </c>
      <c r="C145" s="325">
        <v>1991411</v>
      </c>
      <c r="D145" s="325">
        <v>1799849</v>
      </c>
      <c r="E145" s="589">
        <v>1799849</v>
      </c>
      <c r="F145" s="324"/>
      <c r="G145" s="338"/>
      <c r="H145" s="338"/>
      <c r="I145" s="339"/>
      <c r="J145" s="322"/>
      <c r="K145" s="339"/>
      <c r="L145" s="339"/>
      <c r="M145" s="338"/>
      <c r="N145" s="324"/>
      <c r="O145" s="338"/>
      <c r="P145" s="323">
        <v>1799849</v>
      </c>
      <c r="Q145" s="588">
        <v>1799849</v>
      </c>
      <c r="R145" s="322"/>
      <c r="S145" s="339"/>
      <c r="T145" s="339"/>
      <c r="U145" s="338"/>
      <c r="V145" s="324"/>
      <c r="W145" s="338"/>
      <c r="X145" s="338"/>
      <c r="Y145" s="339"/>
      <c r="Z145" s="322"/>
      <c r="AA145" s="339"/>
      <c r="AB145" s="339"/>
      <c r="AC145" s="338"/>
      <c r="AD145" s="699">
        <v>1861571</v>
      </c>
      <c r="AE145" s="323">
        <v>1991411</v>
      </c>
      <c r="AF145" s="323">
        <v>129840</v>
      </c>
      <c r="AG145" s="339"/>
      <c r="AH145" s="322"/>
      <c r="AI145" s="339"/>
      <c r="AJ145" s="339"/>
      <c r="AK145" s="338"/>
      <c r="AL145" s="324"/>
      <c r="AM145" s="338"/>
      <c r="AN145" s="338"/>
      <c r="AO145" s="339"/>
    </row>
    <row r="146" spans="1:41">
      <c r="A146" s="757" t="s">
        <v>1492</v>
      </c>
      <c r="B146" s="716">
        <v>2021288</v>
      </c>
      <c r="C146" s="339"/>
      <c r="D146" s="339"/>
      <c r="E146" s="594">
        <v>2021288</v>
      </c>
      <c r="F146" s="324"/>
      <c r="G146" s="338"/>
      <c r="H146" s="338"/>
      <c r="I146" s="339"/>
      <c r="J146" s="322"/>
      <c r="K146" s="339"/>
      <c r="L146" s="339"/>
      <c r="M146" s="338"/>
      <c r="N146" s="324"/>
      <c r="O146" s="338"/>
      <c r="P146" s="338"/>
      <c r="Q146" s="339"/>
      <c r="R146" s="322"/>
      <c r="S146" s="339"/>
      <c r="T146" s="339"/>
      <c r="U146" s="338"/>
      <c r="V146" s="324"/>
      <c r="W146" s="338"/>
      <c r="X146" s="338"/>
      <c r="Y146" s="339"/>
      <c r="Z146" s="322"/>
      <c r="AA146" s="339"/>
      <c r="AB146" s="339"/>
      <c r="AC146" s="338"/>
      <c r="AD146" s="717">
        <v>2021288</v>
      </c>
      <c r="AE146" s="338"/>
      <c r="AF146" s="338"/>
      <c r="AG146" s="592">
        <v>2021288</v>
      </c>
      <c r="AH146" s="322"/>
      <c r="AI146" s="339"/>
      <c r="AJ146" s="339"/>
      <c r="AK146" s="338"/>
      <c r="AL146" s="324"/>
      <c r="AM146" s="338"/>
      <c r="AN146" s="338"/>
      <c r="AO146" s="339"/>
    </row>
    <row r="147" spans="1:41">
      <c r="A147" s="757" t="s">
        <v>1493</v>
      </c>
      <c r="B147" s="322"/>
      <c r="C147" s="339"/>
      <c r="D147" s="325">
        <v>1948</v>
      </c>
      <c r="E147" s="589">
        <v>1948</v>
      </c>
      <c r="F147" s="324"/>
      <c r="G147" s="338"/>
      <c r="H147" s="338"/>
      <c r="I147" s="339"/>
      <c r="J147" s="322"/>
      <c r="K147" s="339"/>
      <c r="L147" s="325">
        <v>1948</v>
      </c>
      <c r="M147" s="589">
        <v>1948</v>
      </c>
      <c r="N147" s="324"/>
      <c r="O147" s="338"/>
      <c r="P147" s="338"/>
      <c r="Q147" s="339"/>
      <c r="R147" s="322"/>
      <c r="S147" s="339"/>
      <c r="T147" s="339"/>
      <c r="U147" s="338"/>
      <c r="V147" s="324"/>
      <c r="W147" s="338"/>
      <c r="X147" s="338"/>
      <c r="Y147" s="339"/>
      <c r="Z147" s="322"/>
      <c r="AA147" s="339"/>
      <c r="AB147" s="339"/>
      <c r="AC147" s="338"/>
      <c r="AD147" s="324"/>
      <c r="AE147" s="338"/>
      <c r="AF147" s="338"/>
      <c r="AG147" s="339"/>
      <c r="AH147" s="322"/>
      <c r="AI147" s="339"/>
      <c r="AJ147" s="339"/>
      <c r="AK147" s="338"/>
      <c r="AL147" s="324"/>
      <c r="AM147" s="338"/>
      <c r="AN147" s="338"/>
      <c r="AO147" s="339"/>
    </row>
    <row r="148" spans="1:41">
      <c r="A148" s="316" t="s">
        <v>342</v>
      </c>
      <c r="B148" s="700">
        <v>70946294.407000005</v>
      </c>
      <c r="C148" s="323">
        <v>2891663618.5739999</v>
      </c>
      <c r="D148" s="323">
        <v>3483515218</v>
      </c>
      <c r="E148" s="589">
        <v>801312982.72599995</v>
      </c>
      <c r="F148" s="324"/>
      <c r="G148" s="325">
        <v>2319165.8199999998</v>
      </c>
      <c r="H148" s="325">
        <v>33669742.206</v>
      </c>
      <c r="I148" s="588">
        <v>31350576.386</v>
      </c>
      <c r="J148" s="322"/>
      <c r="K148" s="323">
        <v>1749</v>
      </c>
      <c r="L148" s="323">
        <v>18531345</v>
      </c>
      <c r="M148" s="589">
        <v>18529596</v>
      </c>
      <c r="N148" s="699">
        <v>70946294.407000005</v>
      </c>
      <c r="O148" s="325">
        <v>558560714.36899996</v>
      </c>
      <c r="P148" s="325">
        <v>633984648.48399997</v>
      </c>
      <c r="Q148" s="588">
        <v>146370228.52200001</v>
      </c>
      <c r="R148" s="322"/>
      <c r="S148" s="323">
        <v>239290934.59999999</v>
      </c>
      <c r="T148" s="323">
        <v>989568964.83000004</v>
      </c>
      <c r="U148" s="589">
        <v>750278030.23000002</v>
      </c>
      <c r="V148" s="699">
        <v>263549</v>
      </c>
      <c r="W148" s="325">
        <v>199673209.47400001</v>
      </c>
      <c r="X148" s="325">
        <v>199471764.47400001</v>
      </c>
      <c r="Y148" s="588">
        <v>62104</v>
      </c>
      <c r="Z148" s="700">
        <v>17762</v>
      </c>
      <c r="AA148" s="323">
        <v>56180684</v>
      </c>
      <c r="AB148" s="323">
        <v>56162922</v>
      </c>
      <c r="AC148" s="338"/>
      <c r="AD148" s="699">
        <v>65658983.479999997</v>
      </c>
      <c r="AE148" s="325">
        <v>549018149.13999999</v>
      </c>
      <c r="AF148" s="325">
        <v>483359165.76999998</v>
      </c>
      <c r="AG148" s="588">
        <v>0.11</v>
      </c>
      <c r="AH148" s="322"/>
      <c r="AI148" s="338"/>
      <c r="AJ148" s="338"/>
      <c r="AK148" s="338"/>
      <c r="AL148" s="713">
        <v>143521088.81999999</v>
      </c>
      <c r="AM148" s="714">
        <v>1845179726.54</v>
      </c>
      <c r="AN148" s="714">
        <v>1702751313.72</v>
      </c>
      <c r="AO148" s="715">
        <v>1092676</v>
      </c>
    </row>
    <row r="149" spans="1:41">
      <c r="A149" s="321" t="s">
        <v>581</v>
      </c>
      <c r="B149" s="699">
        <v>188625</v>
      </c>
      <c r="C149" s="323">
        <v>1140533</v>
      </c>
      <c r="D149" s="323">
        <v>69395</v>
      </c>
      <c r="E149" s="588">
        <v>258020</v>
      </c>
      <c r="F149" s="322"/>
      <c r="G149" s="339"/>
      <c r="H149" s="339"/>
      <c r="I149" s="338"/>
      <c r="J149" s="324"/>
      <c r="K149" s="338"/>
      <c r="L149" s="338"/>
      <c r="M149" s="339"/>
      <c r="N149" s="700">
        <v>188625</v>
      </c>
      <c r="O149" s="339"/>
      <c r="P149" s="325">
        <v>69395</v>
      </c>
      <c r="Q149" s="589">
        <v>258020</v>
      </c>
      <c r="R149" s="324"/>
      <c r="S149" s="338"/>
      <c r="T149" s="323">
        <v>631982</v>
      </c>
      <c r="U149" s="588">
        <v>631982</v>
      </c>
      <c r="V149" s="322"/>
      <c r="W149" s="339"/>
      <c r="X149" s="339"/>
      <c r="Y149" s="338"/>
      <c r="Z149" s="324"/>
      <c r="AA149" s="338"/>
      <c r="AB149" s="338"/>
      <c r="AC149" s="339"/>
      <c r="AD149" s="700">
        <v>294750</v>
      </c>
      <c r="AE149" s="325">
        <v>456275</v>
      </c>
      <c r="AF149" s="325">
        <v>161525</v>
      </c>
      <c r="AG149" s="338"/>
      <c r="AH149" s="324"/>
      <c r="AI149" s="338"/>
      <c r="AJ149" s="338"/>
      <c r="AK149" s="339"/>
      <c r="AL149" s="710">
        <v>330588</v>
      </c>
      <c r="AM149" s="714">
        <v>684258</v>
      </c>
      <c r="AN149" s="714">
        <v>353670</v>
      </c>
      <c r="AO149" s="338"/>
    </row>
    <row r="150" spans="1:41">
      <c r="A150" s="321" t="s">
        <v>1494</v>
      </c>
      <c r="B150" s="324"/>
      <c r="C150" s="338"/>
      <c r="D150" s="323">
        <v>456275</v>
      </c>
      <c r="E150" s="588">
        <v>456275</v>
      </c>
      <c r="F150" s="322"/>
      <c r="G150" s="339"/>
      <c r="H150" s="339"/>
      <c r="I150" s="338"/>
      <c r="J150" s="324"/>
      <c r="K150" s="338"/>
      <c r="L150" s="338"/>
      <c r="M150" s="339"/>
      <c r="N150" s="322"/>
      <c r="O150" s="339"/>
      <c r="P150" s="325">
        <v>456275</v>
      </c>
      <c r="Q150" s="589">
        <v>456275</v>
      </c>
      <c r="R150" s="324"/>
      <c r="S150" s="338"/>
      <c r="T150" s="338"/>
      <c r="U150" s="339"/>
      <c r="V150" s="322"/>
      <c r="W150" s="339"/>
      <c r="X150" s="339"/>
      <c r="Y150" s="338"/>
      <c r="Z150" s="324"/>
      <c r="AA150" s="338"/>
      <c r="AB150" s="338"/>
      <c r="AC150" s="339"/>
      <c r="AD150" s="322"/>
      <c r="AE150" s="339"/>
      <c r="AF150" s="339"/>
      <c r="AG150" s="338"/>
      <c r="AH150" s="324"/>
      <c r="AI150" s="338"/>
      <c r="AJ150" s="338"/>
      <c r="AK150" s="339"/>
      <c r="AL150" s="322"/>
      <c r="AM150" s="339"/>
      <c r="AN150" s="339"/>
      <c r="AO150" s="338"/>
    </row>
    <row r="151" spans="1:41">
      <c r="A151" s="321" t="s">
        <v>1124</v>
      </c>
      <c r="B151" s="699">
        <v>172899.5</v>
      </c>
      <c r="C151" s="338"/>
      <c r="D151" s="338"/>
      <c r="E151" s="588">
        <v>172899.5</v>
      </c>
      <c r="F151" s="322"/>
      <c r="G151" s="339"/>
      <c r="H151" s="339"/>
      <c r="I151" s="338"/>
      <c r="J151" s="324"/>
      <c r="K151" s="338"/>
      <c r="L151" s="338"/>
      <c r="M151" s="339"/>
      <c r="N151" s="700">
        <v>172899.5</v>
      </c>
      <c r="O151" s="339"/>
      <c r="P151" s="339"/>
      <c r="Q151" s="589">
        <v>172899.5</v>
      </c>
      <c r="R151" s="324"/>
      <c r="S151" s="338"/>
      <c r="T151" s="338"/>
      <c r="U151" s="339"/>
      <c r="V151" s="322"/>
      <c r="W151" s="339"/>
      <c r="X151" s="339"/>
      <c r="Y151" s="338"/>
      <c r="Z151" s="324"/>
      <c r="AA151" s="338"/>
      <c r="AB151" s="338"/>
      <c r="AC151" s="339"/>
      <c r="AD151" s="322"/>
      <c r="AE151" s="339"/>
      <c r="AF151" s="339"/>
      <c r="AG151" s="338"/>
      <c r="AH151" s="324"/>
      <c r="AI151" s="338"/>
      <c r="AJ151" s="338"/>
      <c r="AK151" s="339"/>
      <c r="AL151" s="322"/>
      <c r="AM151" s="339"/>
      <c r="AN151" s="339"/>
      <c r="AO151" s="338"/>
    </row>
    <row r="152" spans="1:41">
      <c r="A152" s="321" t="s">
        <v>583</v>
      </c>
      <c r="B152" s="324"/>
      <c r="C152" s="338"/>
      <c r="D152" s="323">
        <v>268580</v>
      </c>
      <c r="E152" s="588">
        <v>268580</v>
      </c>
      <c r="F152" s="322"/>
      <c r="G152" s="339"/>
      <c r="H152" s="339"/>
      <c r="I152" s="338"/>
      <c r="J152" s="324"/>
      <c r="K152" s="338"/>
      <c r="L152" s="338"/>
      <c r="M152" s="339"/>
      <c r="N152" s="322"/>
      <c r="O152" s="339"/>
      <c r="P152" s="339"/>
      <c r="Q152" s="338"/>
      <c r="R152" s="324"/>
      <c r="S152" s="338"/>
      <c r="T152" s="338"/>
      <c r="U152" s="339"/>
      <c r="V152" s="322"/>
      <c r="W152" s="339"/>
      <c r="X152" s="339"/>
      <c r="Y152" s="338"/>
      <c r="Z152" s="324"/>
      <c r="AA152" s="338"/>
      <c r="AB152" s="338"/>
      <c r="AC152" s="339"/>
      <c r="AD152" s="322"/>
      <c r="AE152" s="339"/>
      <c r="AF152" s="325">
        <v>268580</v>
      </c>
      <c r="AG152" s="589">
        <v>268580</v>
      </c>
      <c r="AH152" s="324"/>
      <c r="AI152" s="338"/>
      <c r="AJ152" s="338"/>
      <c r="AK152" s="339"/>
      <c r="AL152" s="322"/>
      <c r="AM152" s="339"/>
      <c r="AN152" s="339"/>
      <c r="AO152" s="338"/>
    </row>
    <row r="153" spans="1:41">
      <c r="A153" s="321" t="s">
        <v>584</v>
      </c>
      <c r="B153" s="699">
        <v>167610.5</v>
      </c>
      <c r="C153" s="338"/>
      <c r="D153" s="338"/>
      <c r="E153" s="588">
        <v>167610.5</v>
      </c>
      <c r="F153" s="322"/>
      <c r="G153" s="339"/>
      <c r="H153" s="339"/>
      <c r="I153" s="338"/>
      <c r="J153" s="324"/>
      <c r="K153" s="338"/>
      <c r="L153" s="338"/>
      <c r="M153" s="339"/>
      <c r="N153" s="700">
        <v>167610.5</v>
      </c>
      <c r="O153" s="339"/>
      <c r="P153" s="339"/>
      <c r="Q153" s="589">
        <v>167610.5</v>
      </c>
      <c r="R153" s="324"/>
      <c r="S153" s="338"/>
      <c r="T153" s="338"/>
      <c r="U153" s="339"/>
      <c r="V153" s="322"/>
      <c r="W153" s="339"/>
      <c r="X153" s="339"/>
      <c r="Y153" s="338"/>
      <c r="Z153" s="324"/>
      <c r="AA153" s="338"/>
      <c r="AB153" s="338"/>
      <c r="AC153" s="339"/>
      <c r="AD153" s="322"/>
      <c r="AE153" s="339"/>
      <c r="AF153" s="339"/>
      <c r="AG153" s="338"/>
      <c r="AH153" s="324"/>
      <c r="AI153" s="338"/>
      <c r="AJ153" s="338"/>
      <c r="AK153" s="339"/>
      <c r="AL153" s="322"/>
      <c r="AM153" s="339"/>
      <c r="AN153" s="339"/>
      <c r="AO153" s="338"/>
    </row>
    <row r="154" spans="1:41">
      <c r="A154" s="321" t="s">
        <v>708</v>
      </c>
      <c r="B154" s="713">
        <v>39913028</v>
      </c>
      <c r="C154" s="323">
        <v>42348529</v>
      </c>
      <c r="D154" s="323">
        <v>37819722</v>
      </c>
      <c r="E154" s="588">
        <v>35384221</v>
      </c>
      <c r="F154" s="322"/>
      <c r="G154" s="339"/>
      <c r="H154" s="339"/>
      <c r="I154" s="338"/>
      <c r="J154" s="324"/>
      <c r="K154" s="338"/>
      <c r="L154" s="338"/>
      <c r="M154" s="339"/>
      <c r="N154" s="322"/>
      <c r="O154" s="339"/>
      <c r="P154" s="339"/>
      <c r="Q154" s="338"/>
      <c r="R154" s="324"/>
      <c r="S154" s="323">
        <v>903267</v>
      </c>
      <c r="T154" s="323">
        <v>36287488</v>
      </c>
      <c r="U154" s="588">
        <v>35384221</v>
      </c>
      <c r="V154" s="322"/>
      <c r="W154" s="339"/>
      <c r="X154" s="339"/>
      <c r="Y154" s="338"/>
      <c r="Z154" s="324"/>
      <c r="AA154" s="338"/>
      <c r="AB154" s="338"/>
      <c r="AC154" s="339"/>
      <c r="AD154" s="322"/>
      <c r="AE154" s="339"/>
      <c r="AF154" s="339"/>
      <c r="AG154" s="338"/>
      <c r="AH154" s="324"/>
      <c r="AI154" s="338"/>
      <c r="AJ154" s="338"/>
      <c r="AK154" s="339"/>
      <c r="AL154" s="710">
        <v>39913028</v>
      </c>
      <c r="AM154" s="714">
        <v>41445262</v>
      </c>
      <c r="AN154" s="714">
        <v>1532234</v>
      </c>
      <c r="AO154" s="338"/>
    </row>
    <row r="155" spans="1:41">
      <c r="A155" s="321" t="s">
        <v>343</v>
      </c>
      <c r="B155" s="699">
        <v>5349004</v>
      </c>
      <c r="C155" s="323">
        <v>1417500</v>
      </c>
      <c r="D155" s="323">
        <v>193722</v>
      </c>
      <c r="E155" s="588">
        <v>4125226</v>
      </c>
      <c r="F155" s="322"/>
      <c r="G155" s="339"/>
      <c r="H155" s="339"/>
      <c r="I155" s="338"/>
      <c r="J155" s="324"/>
      <c r="K155" s="338"/>
      <c r="L155" s="338"/>
      <c r="M155" s="339"/>
      <c r="N155" s="700">
        <v>5349004</v>
      </c>
      <c r="O155" s="325">
        <v>1417500</v>
      </c>
      <c r="P155" s="325">
        <v>193722</v>
      </c>
      <c r="Q155" s="589">
        <v>4125226</v>
      </c>
      <c r="R155" s="324"/>
      <c r="S155" s="338"/>
      <c r="T155" s="338"/>
      <c r="U155" s="339"/>
      <c r="V155" s="322"/>
      <c r="W155" s="339"/>
      <c r="X155" s="339"/>
      <c r="Y155" s="338"/>
      <c r="Z155" s="324"/>
      <c r="AA155" s="338"/>
      <c r="AB155" s="338"/>
      <c r="AC155" s="339"/>
      <c r="AD155" s="322"/>
      <c r="AE155" s="339"/>
      <c r="AF155" s="339"/>
      <c r="AG155" s="338"/>
      <c r="AH155" s="324"/>
      <c r="AI155" s="338"/>
      <c r="AJ155" s="338"/>
      <c r="AK155" s="339"/>
      <c r="AL155" s="322"/>
      <c r="AM155" s="339"/>
      <c r="AN155" s="339"/>
      <c r="AO155" s="338"/>
    </row>
    <row r="156" spans="1:41">
      <c r="A156" s="321" t="s">
        <v>709</v>
      </c>
      <c r="B156" s="713">
        <v>11551</v>
      </c>
      <c r="C156" s="711">
        <v>11551</v>
      </c>
      <c r="D156" s="338"/>
      <c r="E156" s="339"/>
      <c r="F156" s="322"/>
      <c r="G156" s="339"/>
      <c r="H156" s="339"/>
      <c r="I156" s="338"/>
      <c r="J156" s="324"/>
      <c r="K156" s="338"/>
      <c r="L156" s="338"/>
      <c r="M156" s="339"/>
      <c r="N156" s="322"/>
      <c r="O156" s="339"/>
      <c r="P156" s="339"/>
      <c r="Q156" s="338"/>
      <c r="R156" s="324"/>
      <c r="S156" s="338"/>
      <c r="T156" s="338"/>
      <c r="U156" s="339"/>
      <c r="V156" s="322"/>
      <c r="W156" s="339"/>
      <c r="X156" s="339"/>
      <c r="Y156" s="338"/>
      <c r="Z156" s="324"/>
      <c r="AA156" s="338"/>
      <c r="AB156" s="338"/>
      <c r="AC156" s="339"/>
      <c r="AD156" s="322"/>
      <c r="AE156" s="339"/>
      <c r="AF156" s="339"/>
      <c r="AG156" s="338"/>
      <c r="AH156" s="324"/>
      <c r="AI156" s="338"/>
      <c r="AJ156" s="338"/>
      <c r="AK156" s="339"/>
      <c r="AL156" s="710">
        <v>11551</v>
      </c>
      <c r="AM156" s="714">
        <v>11551</v>
      </c>
      <c r="AN156" s="339"/>
      <c r="AO156" s="338"/>
    </row>
    <row r="157" spans="1:41">
      <c r="A157" s="321" t="s">
        <v>344</v>
      </c>
      <c r="B157" s="699">
        <v>297206</v>
      </c>
      <c r="C157" s="323">
        <v>660331</v>
      </c>
      <c r="D157" s="323">
        <v>363125</v>
      </c>
      <c r="E157" s="339"/>
      <c r="F157" s="322"/>
      <c r="G157" s="339"/>
      <c r="H157" s="339"/>
      <c r="I157" s="338"/>
      <c r="J157" s="324"/>
      <c r="K157" s="338"/>
      <c r="L157" s="338"/>
      <c r="M157" s="339"/>
      <c r="N157" s="700">
        <v>297206</v>
      </c>
      <c r="O157" s="325">
        <v>660331</v>
      </c>
      <c r="P157" s="325">
        <v>363125</v>
      </c>
      <c r="Q157" s="338"/>
      <c r="R157" s="324"/>
      <c r="S157" s="338"/>
      <c r="T157" s="338"/>
      <c r="U157" s="339"/>
      <c r="V157" s="322"/>
      <c r="W157" s="339"/>
      <c r="X157" s="339"/>
      <c r="Y157" s="338"/>
      <c r="Z157" s="324"/>
      <c r="AA157" s="338"/>
      <c r="AB157" s="338"/>
      <c r="AC157" s="339"/>
      <c r="AD157" s="322"/>
      <c r="AE157" s="339"/>
      <c r="AF157" s="339"/>
      <c r="AG157" s="338"/>
      <c r="AH157" s="324"/>
      <c r="AI157" s="338"/>
      <c r="AJ157" s="338"/>
      <c r="AK157" s="339"/>
      <c r="AL157" s="322"/>
      <c r="AM157" s="339"/>
      <c r="AN157" s="339"/>
      <c r="AO157" s="338"/>
    </row>
    <row r="158" spans="1:41">
      <c r="A158" s="321" t="s">
        <v>710</v>
      </c>
      <c r="B158" s="324"/>
      <c r="C158" s="323">
        <v>6209430.9900000002</v>
      </c>
      <c r="D158" s="323">
        <v>7517719.9900000002</v>
      </c>
      <c r="E158" s="588">
        <v>1308289</v>
      </c>
      <c r="F158" s="322"/>
      <c r="G158" s="339"/>
      <c r="H158" s="339"/>
      <c r="I158" s="338"/>
      <c r="J158" s="324"/>
      <c r="K158" s="338"/>
      <c r="L158" s="338"/>
      <c r="M158" s="339"/>
      <c r="N158" s="322"/>
      <c r="O158" s="339"/>
      <c r="P158" s="339"/>
      <c r="Q158" s="338"/>
      <c r="R158" s="324"/>
      <c r="S158" s="338"/>
      <c r="T158" s="323">
        <v>1203322</v>
      </c>
      <c r="U158" s="588">
        <v>1203322</v>
      </c>
      <c r="V158" s="322"/>
      <c r="W158" s="339"/>
      <c r="X158" s="339"/>
      <c r="Y158" s="338"/>
      <c r="Z158" s="324"/>
      <c r="AA158" s="338"/>
      <c r="AB158" s="338"/>
      <c r="AC158" s="339"/>
      <c r="AD158" s="322"/>
      <c r="AE158" s="325">
        <v>386930</v>
      </c>
      <c r="AF158" s="325">
        <v>491897</v>
      </c>
      <c r="AG158" s="589">
        <v>104967</v>
      </c>
      <c r="AH158" s="324"/>
      <c r="AI158" s="338"/>
      <c r="AJ158" s="338"/>
      <c r="AK158" s="339"/>
      <c r="AL158" s="322"/>
      <c r="AM158" s="714">
        <v>5822500.9900000002</v>
      </c>
      <c r="AN158" s="714">
        <v>5822500.9900000002</v>
      </c>
      <c r="AO158" s="338"/>
    </row>
    <row r="159" spans="1:41">
      <c r="A159" s="321" t="s">
        <v>1495</v>
      </c>
      <c r="B159" s="324"/>
      <c r="C159" s="338"/>
      <c r="D159" s="323">
        <v>105900</v>
      </c>
      <c r="E159" s="588">
        <v>105900</v>
      </c>
      <c r="F159" s="322"/>
      <c r="G159" s="339"/>
      <c r="H159" s="325">
        <v>105900</v>
      </c>
      <c r="I159" s="589">
        <v>105900</v>
      </c>
      <c r="J159" s="324"/>
      <c r="K159" s="338"/>
      <c r="L159" s="338"/>
      <c r="M159" s="339"/>
      <c r="N159" s="322"/>
      <c r="O159" s="339"/>
      <c r="P159" s="339"/>
      <c r="Q159" s="338"/>
      <c r="R159" s="324"/>
      <c r="S159" s="338"/>
      <c r="T159" s="338"/>
      <c r="U159" s="339"/>
      <c r="V159" s="322"/>
      <c r="W159" s="339"/>
      <c r="X159" s="339"/>
      <c r="Y159" s="338"/>
      <c r="Z159" s="324"/>
      <c r="AA159" s="338"/>
      <c r="AB159" s="338"/>
      <c r="AC159" s="339"/>
      <c r="AD159" s="322"/>
      <c r="AE159" s="339"/>
      <c r="AF159" s="339"/>
      <c r="AG159" s="338"/>
      <c r="AH159" s="324"/>
      <c r="AI159" s="338"/>
      <c r="AJ159" s="338"/>
      <c r="AK159" s="339"/>
      <c r="AL159" s="322"/>
      <c r="AM159" s="339"/>
      <c r="AN159" s="339"/>
      <c r="AO159" s="338"/>
    </row>
    <row r="160" spans="1:41">
      <c r="A160" s="321" t="s">
        <v>1125</v>
      </c>
      <c r="B160" s="699">
        <v>26900</v>
      </c>
      <c r="C160" s="323">
        <v>2285689</v>
      </c>
      <c r="D160" s="323">
        <v>3689176</v>
      </c>
      <c r="E160" s="588">
        <v>1430387</v>
      </c>
      <c r="F160" s="322"/>
      <c r="G160" s="339"/>
      <c r="H160" s="339"/>
      <c r="I160" s="338"/>
      <c r="J160" s="324"/>
      <c r="K160" s="338"/>
      <c r="L160" s="338"/>
      <c r="M160" s="339"/>
      <c r="N160" s="700">
        <v>26900</v>
      </c>
      <c r="O160" s="325">
        <v>2285689</v>
      </c>
      <c r="P160" s="325">
        <v>3689176</v>
      </c>
      <c r="Q160" s="589">
        <v>1430387</v>
      </c>
      <c r="R160" s="324"/>
      <c r="S160" s="338"/>
      <c r="T160" s="323">
        <v>1225105</v>
      </c>
      <c r="U160" s="588">
        <v>1225105</v>
      </c>
      <c r="V160" s="322"/>
      <c r="W160" s="339"/>
      <c r="X160" s="339"/>
      <c r="Y160" s="338"/>
      <c r="Z160" s="324"/>
      <c r="AA160" s="338"/>
      <c r="AB160" s="338"/>
      <c r="AC160" s="339"/>
      <c r="AD160" s="322"/>
      <c r="AE160" s="325">
        <v>4564366</v>
      </c>
      <c r="AF160" s="325">
        <v>4564366</v>
      </c>
      <c r="AG160" s="338"/>
      <c r="AH160" s="324"/>
      <c r="AI160" s="338"/>
      <c r="AJ160" s="338"/>
      <c r="AK160" s="339"/>
      <c r="AL160" s="710">
        <v>1074190</v>
      </c>
      <c r="AM160" s="714">
        <v>7685481</v>
      </c>
      <c r="AN160" s="714">
        <v>6611291</v>
      </c>
      <c r="AO160" s="338"/>
    </row>
    <row r="161" spans="1:41">
      <c r="A161" s="321" t="s">
        <v>345</v>
      </c>
      <c r="B161" s="699">
        <v>4115240</v>
      </c>
      <c r="C161" s="338"/>
      <c r="D161" s="338"/>
      <c r="E161" s="588">
        <v>4115240</v>
      </c>
      <c r="F161" s="322"/>
      <c r="G161" s="339"/>
      <c r="H161" s="339"/>
      <c r="I161" s="338"/>
      <c r="J161" s="324"/>
      <c r="K161" s="338"/>
      <c r="L161" s="338"/>
      <c r="M161" s="339"/>
      <c r="N161" s="700">
        <v>4115240</v>
      </c>
      <c r="O161" s="339"/>
      <c r="P161" s="339"/>
      <c r="Q161" s="589">
        <v>4115240</v>
      </c>
      <c r="R161" s="324"/>
      <c r="S161" s="338"/>
      <c r="T161" s="338"/>
      <c r="U161" s="339"/>
      <c r="V161" s="322"/>
      <c r="W161" s="339"/>
      <c r="X161" s="339"/>
      <c r="Y161" s="338"/>
      <c r="Z161" s="324"/>
      <c r="AA161" s="338"/>
      <c r="AB161" s="338"/>
      <c r="AC161" s="339"/>
      <c r="AD161" s="322"/>
      <c r="AE161" s="339"/>
      <c r="AF161" s="339"/>
      <c r="AG161" s="338"/>
      <c r="AH161" s="324"/>
      <c r="AI161" s="338"/>
      <c r="AJ161" s="338"/>
      <c r="AK161" s="339"/>
      <c r="AL161" s="322"/>
      <c r="AM161" s="339"/>
      <c r="AN161" s="339"/>
      <c r="AO161" s="338"/>
    </row>
    <row r="162" spans="1:41">
      <c r="A162" s="321" t="s">
        <v>1496</v>
      </c>
      <c r="B162" s="699">
        <v>300000</v>
      </c>
      <c r="C162" s="323">
        <v>300000</v>
      </c>
      <c r="D162" s="323">
        <v>300000</v>
      </c>
      <c r="E162" s="588">
        <v>300000</v>
      </c>
      <c r="F162" s="322"/>
      <c r="G162" s="339"/>
      <c r="H162" s="339"/>
      <c r="I162" s="338"/>
      <c r="J162" s="324"/>
      <c r="K162" s="338"/>
      <c r="L162" s="338"/>
      <c r="M162" s="339"/>
      <c r="N162" s="322"/>
      <c r="O162" s="339"/>
      <c r="P162" s="325">
        <v>300000</v>
      </c>
      <c r="Q162" s="589">
        <v>300000</v>
      </c>
      <c r="R162" s="324"/>
      <c r="S162" s="338"/>
      <c r="T162" s="338"/>
      <c r="U162" s="339"/>
      <c r="V162" s="322"/>
      <c r="W162" s="339"/>
      <c r="X162" s="339"/>
      <c r="Y162" s="338"/>
      <c r="Z162" s="324"/>
      <c r="AA162" s="338"/>
      <c r="AB162" s="338"/>
      <c r="AC162" s="339"/>
      <c r="AD162" s="700">
        <v>300000</v>
      </c>
      <c r="AE162" s="325">
        <v>300000</v>
      </c>
      <c r="AF162" s="339"/>
      <c r="AG162" s="338"/>
      <c r="AH162" s="324"/>
      <c r="AI162" s="338"/>
      <c r="AJ162" s="338"/>
      <c r="AK162" s="339"/>
      <c r="AL162" s="322"/>
      <c r="AM162" s="339"/>
      <c r="AN162" s="339"/>
      <c r="AO162" s="338"/>
    </row>
    <row r="163" spans="1:41" hidden="1">
      <c r="A163" s="311" t="s">
        <v>346</v>
      </c>
      <c r="B163" s="733">
        <v>7077113.8600000003</v>
      </c>
      <c r="C163" s="703">
        <v>95401845.590000004</v>
      </c>
      <c r="D163" s="703">
        <v>1437645</v>
      </c>
      <c r="E163" s="721">
        <v>5639468.8600000003</v>
      </c>
      <c r="F163" s="326"/>
      <c r="G163" s="595"/>
      <c r="H163" s="595"/>
      <c r="I163" s="340"/>
      <c r="J163" s="328"/>
      <c r="K163" s="708"/>
      <c r="L163" s="708"/>
      <c r="M163" s="341"/>
      <c r="N163" s="732">
        <v>7077113.8600000003</v>
      </c>
      <c r="O163" s="595"/>
      <c r="P163" s="591">
        <v>1437645</v>
      </c>
      <c r="Q163" s="593">
        <v>5639468.8600000003</v>
      </c>
      <c r="R163" s="328"/>
      <c r="S163" s="703">
        <v>32671632</v>
      </c>
      <c r="T163" s="708"/>
      <c r="U163" s="721">
        <v>32671632</v>
      </c>
      <c r="V163" s="326"/>
      <c r="W163" s="595"/>
      <c r="X163" s="595"/>
      <c r="Y163" s="340"/>
      <c r="Z163" s="733">
        <v>17112.48</v>
      </c>
      <c r="AA163" s="708"/>
      <c r="AB163" s="708"/>
      <c r="AC163" s="721">
        <v>17112.48</v>
      </c>
      <c r="AD163" s="732">
        <v>12525679.34</v>
      </c>
      <c r="AE163" s="595"/>
      <c r="AF163" s="595"/>
      <c r="AG163" s="593">
        <v>12525679.34</v>
      </c>
      <c r="AH163" s="328"/>
      <c r="AI163" s="708"/>
      <c r="AJ163" s="708"/>
      <c r="AK163" s="341"/>
      <c r="AL163" s="730">
        <v>173184955.66</v>
      </c>
      <c r="AM163" s="706">
        <v>62730213.590000004</v>
      </c>
      <c r="AN163" s="706">
        <v>72071435.760000005</v>
      </c>
      <c r="AO163" s="731">
        <v>163843733.49000001</v>
      </c>
    </row>
    <row r="164" spans="1:41" hidden="1">
      <c r="A164" s="316" t="s">
        <v>713</v>
      </c>
      <c r="B164" s="949">
        <v>22331514.52</v>
      </c>
      <c r="C164" s="611"/>
      <c r="D164" s="611"/>
      <c r="E164" s="950">
        <v>22331514.52</v>
      </c>
      <c r="F164" s="939"/>
      <c r="G164" s="690"/>
      <c r="H164" s="690"/>
      <c r="I164" s="690"/>
      <c r="J164" s="940"/>
      <c r="K164" s="611"/>
      <c r="L164" s="611"/>
      <c r="M164" s="611"/>
      <c r="N164" s="939"/>
      <c r="O164" s="690"/>
      <c r="P164" s="690"/>
      <c r="Q164" s="690"/>
      <c r="R164" s="940"/>
      <c r="S164" s="611"/>
      <c r="T164" s="611"/>
      <c r="U164" s="611"/>
      <c r="V164" s="939"/>
      <c r="W164" s="690"/>
      <c r="X164" s="690"/>
      <c r="Y164" s="690"/>
      <c r="Z164" s="940"/>
      <c r="AA164" s="611"/>
      <c r="AB164" s="611"/>
      <c r="AC164" s="611"/>
      <c r="AD164" s="939"/>
      <c r="AE164" s="690"/>
      <c r="AF164" s="690"/>
      <c r="AG164" s="690"/>
      <c r="AH164" s="940"/>
      <c r="AI164" s="611"/>
      <c r="AJ164" s="611"/>
      <c r="AK164" s="611"/>
      <c r="AL164" s="951">
        <v>22331514.52</v>
      </c>
      <c r="AM164" s="690"/>
      <c r="AN164" s="690"/>
      <c r="AO164" s="953">
        <v>22331514.52</v>
      </c>
    </row>
    <row r="165" spans="1:41" hidden="1">
      <c r="A165" s="772" t="s">
        <v>1497</v>
      </c>
      <c r="B165" s="951">
        <v>1363049.06</v>
      </c>
      <c r="C165" s="690"/>
      <c r="D165" s="690"/>
      <c r="E165" s="953">
        <v>1363049.06</v>
      </c>
      <c r="F165" s="940"/>
      <c r="G165" s="611"/>
      <c r="H165" s="611"/>
      <c r="I165" s="611"/>
      <c r="J165" s="939"/>
      <c r="K165" s="690"/>
      <c r="L165" s="690"/>
      <c r="M165" s="690"/>
      <c r="N165" s="940"/>
      <c r="O165" s="611"/>
      <c r="P165" s="611"/>
      <c r="Q165" s="611"/>
      <c r="R165" s="939"/>
      <c r="S165" s="690"/>
      <c r="T165" s="690"/>
      <c r="U165" s="690"/>
      <c r="V165" s="940"/>
      <c r="W165" s="611"/>
      <c r="X165" s="611"/>
      <c r="Y165" s="611"/>
      <c r="Z165" s="939"/>
      <c r="AA165" s="690"/>
      <c r="AB165" s="690"/>
      <c r="AC165" s="690"/>
      <c r="AD165" s="940"/>
      <c r="AE165" s="611"/>
      <c r="AF165" s="611"/>
      <c r="AG165" s="611"/>
      <c r="AH165" s="939"/>
      <c r="AI165" s="690"/>
      <c r="AJ165" s="690"/>
      <c r="AK165" s="690"/>
      <c r="AL165" s="949">
        <v>1363049.06</v>
      </c>
      <c r="AM165" s="611"/>
      <c r="AN165" s="611"/>
      <c r="AO165" s="950">
        <v>1363049.06</v>
      </c>
    </row>
    <row r="166" spans="1:41" hidden="1">
      <c r="A166" s="757" t="s">
        <v>1497</v>
      </c>
      <c r="B166" s="725">
        <v>1363049.06</v>
      </c>
      <c r="C166" s="330"/>
      <c r="D166" s="330"/>
      <c r="E166" s="727">
        <v>1363049.06</v>
      </c>
      <c r="F166" s="319"/>
      <c r="G166" s="331"/>
      <c r="H166" s="331"/>
      <c r="I166" s="330"/>
      <c r="J166" s="317"/>
      <c r="K166" s="330"/>
      <c r="L166" s="330"/>
      <c r="M166" s="331"/>
      <c r="N166" s="319"/>
      <c r="O166" s="331"/>
      <c r="P166" s="331"/>
      <c r="Q166" s="330"/>
      <c r="R166" s="317"/>
      <c r="S166" s="330"/>
      <c r="T166" s="330"/>
      <c r="U166" s="331"/>
      <c r="V166" s="319"/>
      <c r="W166" s="331"/>
      <c r="X166" s="331"/>
      <c r="Y166" s="330"/>
      <c r="Z166" s="317"/>
      <c r="AA166" s="330"/>
      <c r="AB166" s="330"/>
      <c r="AC166" s="331"/>
      <c r="AD166" s="319"/>
      <c r="AE166" s="331"/>
      <c r="AF166" s="331"/>
      <c r="AG166" s="330"/>
      <c r="AH166" s="317"/>
      <c r="AI166" s="330"/>
      <c r="AJ166" s="330"/>
      <c r="AK166" s="331"/>
      <c r="AL166" s="722">
        <v>1363049.06</v>
      </c>
      <c r="AM166" s="331"/>
      <c r="AN166" s="331"/>
      <c r="AO166" s="724">
        <v>1363049.06</v>
      </c>
    </row>
    <row r="167" spans="1:41" hidden="1">
      <c r="A167" s="757" t="s">
        <v>1498</v>
      </c>
      <c r="B167" s="734">
        <v>162478.28</v>
      </c>
      <c r="C167" s="339"/>
      <c r="D167" s="339"/>
      <c r="E167" s="735">
        <v>162478.28</v>
      </c>
      <c r="F167" s="324"/>
      <c r="G167" s="338"/>
      <c r="H167" s="338"/>
      <c r="I167" s="339"/>
      <c r="J167" s="322"/>
      <c r="K167" s="339"/>
      <c r="L167" s="339"/>
      <c r="M167" s="338"/>
      <c r="N167" s="324"/>
      <c r="O167" s="338"/>
      <c r="P167" s="338"/>
      <c r="Q167" s="339"/>
      <c r="R167" s="322"/>
      <c r="S167" s="339"/>
      <c r="T167" s="339"/>
      <c r="U167" s="338"/>
      <c r="V167" s="324"/>
      <c r="W167" s="338"/>
      <c r="X167" s="338"/>
      <c r="Y167" s="339"/>
      <c r="Z167" s="322"/>
      <c r="AA167" s="339"/>
      <c r="AB167" s="339"/>
      <c r="AC167" s="338"/>
      <c r="AD167" s="324"/>
      <c r="AE167" s="338"/>
      <c r="AF167" s="338"/>
      <c r="AG167" s="339"/>
      <c r="AH167" s="322"/>
      <c r="AI167" s="339"/>
      <c r="AJ167" s="339"/>
      <c r="AK167" s="338"/>
      <c r="AL167" s="736">
        <v>162478.28</v>
      </c>
      <c r="AM167" s="338"/>
      <c r="AN167" s="338"/>
      <c r="AO167" s="737">
        <v>162478.28</v>
      </c>
    </row>
    <row r="168" spans="1:41" hidden="1">
      <c r="A168" s="757" t="s">
        <v>1499</v>
      </c>
      <c r="B168" s="734">
        <v>1327223</v>
      </c>
      <c r="C168" s="339"/>
      <c r="D168" s="339"/>
      <c r="E168" s="735">
        <v>1327223</v>
      </c>
      <c r="F168" s="324"/>
      <c r="G168" s="338"/>
      <c r="H168" s="338"/>
      <c r="I168" s="339"/>
      <c r="J168" s="322"/>
      <c r="K168" s="339"/>
      <c r="L168" s="339"/>
      <c r="M168" s="338"/>
      <c r="N168" s="324"/>
      <c r="O168" s="338"/>
      <c r="P168" s="338"/>
      <c r="Q168" s="339"/>
      <c r="R168" s="322"/>
      <c r="S168" s="339"/>
      <c r="T168" s="339"/>
      <c r="U168" s="338"/>
      <c r="V168" s="324"/>
      <c r="W168" s="338"/>
      <c r="X168" s="338"/>
      <c r="Y168" s="339"/>
      <c r="Z168" s="322"/>
      <c r="AA168" s="339"/>
      <c r="AB168" s="339"/>
      <c r="AC168" s="338"/>
      <c r="AD168" s="324"/>
      <c r="AE168" s="338"/>
      <c r="AF168" s="338"/>
      <c r="AG168" s="339"/>
      <c r="AH168" s="322"/>
      <c r="AI168" s="339"/>
      <c r="AJ168" s="339"/>
      <c r="AK168" s="338"/>
      <c r="AL168" s="736">
        <v>1327223</v>
      </c>
      <c r="AM168" s="338"/>
      <c r="AN168" s="338"/>
      <c r="AO168" s="737">
        <v>1327223</v>
      </c>
    </row>
    <row r="169" spans="1:41" hidden="1">
      <c r="A169" s="757" t="s">
        <v>1500</v>
      </c>
      <c r="B169" s="734">
        <v>1989289.5</v>
      </c>
      <c r="C169" s="339"/>
      <c r="D169" s="339"/>
      <c r="E169" s="735">
        <v>1989289.5</v>
      </c>
      <c r="F169" s="324"/>
      <c r="G169" s="338"/>
      <c r="H169" s="338"/>
      <c r="I169" s="339"/>
      <c r="J169" s="322"/>
      <c r="K169" s="339"/>
      <c r="L169" s="339"/>
      <c r="M169" s="338"/>
      <c r="N169" s="324"/>
      <c r="O169" s="338"/>
      <c r="P169" s="338"/>
      <c r="Q169" s="339"/>
      <c r="R169" s="322"/>
      <c r="S169" s="339"/>
      <c r="T169" s="339"/>
      <c r="U169" s="338"/>
      <c r="V169" s="324"/>
      <c r="W169" s="338"/>
      <c r="X169" s="338"/>
      <c r="Y169" s="339"/>
      <c r="Z169" s="322"/>
      <c r="AA169" s="339"/>
      <c r="AB169" s="339"/>
      <c r="AC169" s="338"/>
      <c r="AD169" s="324"/>
      <c r="AE169" s="338"/>
      <c r="AF169" s="338"/>
      <c r="AG169" s="339"/>
      <c r="AH169" s="322"/>
      <c r="AI169" s="339"/>
      <c r="AJ169" s="339"/>
      <c r="AK169" s="338"/>
      <c r="AL169" s="736">
        <v>1989289.5</v>
      </c>
      <c r="AM169" s="338"/>
      <c r="AN169" s="338"/>
      <c r="AO169" s="737">
        <v>1989289.5</v>
      </c>
    </row>
    <row r="170" spans="1:41" hidden="1">
      <c r="A170" s="756" t="s">
        <v>1501</v>
      </c>
      <c r="B170" s="734">
        <v>3371536.53</v>
      </c>
      <c r="C170" s="339"/>
      <c r="D170" s="339"/>
      <c r="E170" s="735">
        <v>3371536.53</v>
      </c>
      <c r="F170" s="324"/>
      <c r="G170" s="338"/>
      <c r="H170" s="338"/>
      <c r="I170" s="339"/>
      <c r="J170" s="322"/>
      <c r="K170" s="339"/>
      <c r="L170" s="339"/>
      <c r="M170" s="338"/>
      <c r="N170" s="324"/>
      <c r="O170" s="338"/>
      <c r="P170" s="338"/>
      <c r="Q170" s="339"/>
      <c r="R170" s="322"/>
      <c r="S170" s="339"/>
      <c r="T170" s="339"/>
      <c r="U170" s="338"/>
      <c r="V170" s="324"/>
      <c r="W170" s="338"/>
      <c r="X170" s="338"/>
      <c r="Y170" s="339"/>
      <c r="Z170" s="322"/>
      <c r="AA170" s="339"/>
      <c r="AB170" s="339"/>
      <c r="AC170" s="338"/>
      <c r="AD170" s="324"/>
      <c r="AE170" s="338"/>
      <c r="AF170" s="338"/>
      <c r="AG170" s="339"/>
      <c r="AH170" s="322"/>
      <c r="AI170" s="339"/>
      <c r="AJ170" s="339"/>
      <c r="AK170" s="338"/>
      <c r="AL170" s="736">
        <v>3371536.53</v>
      </c>
      <c r="AM170" s="338"/>
      <c r="AN170" s="338"/>
      <c r="AO170" s="737">
        <v>3371536.53</v>
      </c>
    </row>
    <row r="171" spans="1:41" hidden="1">
      <c r="A171" s="757" t="s">
        <v>1502</v>
      </c>
      <c r="B171" s="710">
        <v>2086453.46</v>
      </c>
      <c r="C171" s="339"/>
      <c r="D171" s="339"/>
      <c r="E171" s="712">
        <v>2086453.46</v>
      </c>
      <c r="F171" s="324"/>
      <c r="G171" s="338"/>
      <c r="H171" s="338"/>
      <c r="I171" s="339"/>
      <c r="J171" s="322"/>
      <c r="K171" s="339"/>
      <c r="L171" s="339"/>
      <c r="M171" s="338"/>
      <c r="N171" s="324"/>
      <c r="O171" s="338"/>
      <c r="P171" s="338"/>
      <c r="Q171" s="339"/>
      <c r="R171" s="322"/>
      <c r="S171" s="339"/>
      <c r="T171" s="339"/>
      <c r="U171" s="338"/>
      <c r="V171" s="324"/>
      <c r="W171" s="338"/>
      <c r="X171" s="338"/>
      <c r="Y171" s="339"/>
      <c r="Z171" s="322"/>
      <c r="AA171" s="339"/>
      <c r="AB171" s="339"/>
      <c r="AC171" s="338"/>
      <c r="AD171" s="324"/>
      <c r="AE171" s="338"/>
      <c r="AF171" s="338"/>
      <c r="AG171" s="339"/>
      <c r="AH171" s="322"/>
      <c r="AI171" s="339"/>
      <c r="AJ171" s="339"/>
      <c r="AK171" s="338"/>
      <c r="AL171" s="713">
        <v>2086453.46</v>
      </c>
      <c r="AM171" s="338"/>
      <c r="AN171" s="338"/>
      <c r="AO171" s="715">
        <v>2086453.46</v>
      </c>
    </row>
    <row r="172" spans="1:41" hidden="1">
      <c r="A172" s="757" t="s">
        <v>1503</v>
      </c>
      <c r="B172" s="734">
        <v>2439</v>
      </c>
      <c r="C172" s="339"/>
      <c r="D172" s="339"/>
      <c r="E172" s="735">
        <v>2439</v>
      </c>
      <c r="F172" s="324"/>
      <c r="G172" s="338"/>
      <c r="H172" s="338"/>
      <c r="I172" s="339"/>
      <c r="J172" s="322"/>
      <c r="K172" s="339"/>
      <c r="L172" s="339"/>
      <c r="M172" s="338"/>
      <c r="N172" s="324"/>
      <c r="O172" s="338"/>
      <c r="P172" s="338"/>
      <c r="Q172" s="339"/>
      <c r="R172" s="322"/>
      <c r="S172" s="339"/>
      <c r="T172" s="339"/>
      <c r="U172" s="338"/>
      <c r="V172" s="324"/>
      <c r="W172" s="338"/>
      <c r="X172" s="338"/>
      <c r="Y172" s="339"/>
      <c r="Z172" s="322"/>
      <c r="AA172" s="339"/>
      <c r="AB172" s="339"/>
      <c r="AC172" s="338"/>
      <c r="AD172" s="324"/>
      <c r="AE172" s="338"/>
      <c r="AF172" s="338"/>
      <c r="AG172" s="339"/>
      <c r="AH172" s="322"/>
      <c r="AI172" s="339"/>
      <c r="AJ172" s="339"/>
      <c r="AK172" s="338"/>
      <c r="AL172" s="736">
        <v>2439</v>
      </c>
      <c r="AM172" s="338"/>
      <c r="AN172" s="338"/>
      <c r="AO172" s="737">
        <v>2439</v>
      </c>
    </row>
    <row r="173" spans="1:41" hidden="1">
      <c r="A173" s="757" t="s">
        <v>1504</v>
      </c>
      <c r="B173" s="734">
        <v>41591</v>
      </c>
      <c r="C173" s="339"/>
      <c r="D173" s="339"/>
      <c r="E173" s="735">
        <v>41591</v>
      </c>
      <c r="F173" s="324"/>
      <c r="G173" s="338"/>
      <c r="H173" s="338"/>
      <c r="I173" s="339"/>
      <c r="J173" s="322"/>
      <c r="K173" s="339"/>
      <c r="L173" s="339"/>
      <c r="M173" s="338"/>
      <c r="N173" s="324"/>
      <c r="O173" s="338"/>
      <c r="P173" s="338"/>
      <c r="Q173" s="339"/>
      <c r="R173" s="322"/>
      <c r="S173" s="339"/>
      <c r="T173" s="339"/>
      <c r="U173" s="338"/>
      <c r="V173" s="324"/>
      <c r="W173" s="338"/>
      <c r="X173" s="338"/>
      <c r="Y173" s="339"/>
      <c r="Z173" s="322"/>
      <c r="AA173" s="339"/>
      <c r="AB173" s="339"/>
      <c r="AC173" s="338"/>
      <c r="AD173" s="324"/>
      <c r="AE173" s="338"/>
      <c r="AF173" s="338"/>
      <c r="AG173" s="339"/>
      <c r="AH173" s="322"/>
      <c r="AI173" s="339"/>
      <c r="AJ173" s="339"/>
      <c r="AK173" s="338"/>
      <c r="AL173" s="736">
        <v>41591</v>
      </c>
      <c r="AM173" s="338"/>
      <c r="AN173" s="338"/>
      <c r="AO173" s="737">
        <v>41591</v>
      </c>
    </row>
    <row r="174" spans="1:41" hidden="1">
      <c r="A174" s="757" t="s">
        <v>1505</v>
      </c>
      <c r="B174" s="734">
        <v>615480</v>
      </c>
      <c r="C174" s="339"/>
      <c r="D174" s="339"/>
      <c r="E174" s="735">
        <v>615480</v>
      </c>
      <c r="F174" s="324"/>
      <c r="G174" s="338"/>
      <c r="H174" s="338"/>
      <c r="I174" s="339"/>
      <c r="J174" s="322"/>
      <c r="K174" s="339"/>
      <c r="L174" s="339"/>
      <c r="M174" s="338"/>
      <c r="N174" s="324"/>
      <c r="O174" s="338"/>
      <c r="P174" s="338"/>
      <c r="Q174" s="339"/>
      <c r="R174" s="322"/>
      <c r="S174" s="339"/>
      <c r="T174" s="339"/>
      <c r="U174" s="338"/>
      <c r="V174" s="324"/>
      <c r="W174" s="338"/>
      <c r="X174" s="338"/>
      <c r="Y174" s="339"/>
      <c r="Z174" s="322"/>
      <c r="AA174" s="339"/>
      <c r="AB174" s="339"/>
      <c r="AC174" s="338"/>
      <c r="AD174" s="324"/>
      <c r="AE174" s="338"/>
      <c r="AF174" s="338"/>
      <c r="AG174" s="339"/>
      <c r="AH174" s="322"/>
      <c r="AI174" s="339"/>
      <c r="AJ174" s="339"/>
      <c r="AK174" s="338"/>
      <c r="AL174" s="736">
        <v>615480</v>
      </c>
      <c r="AM174" s="338"/>
      <c r="AN174" s="338"/>
      <c r="AO174" s="737">
        <v>615480</v>
      </c>
    </row>
    <row r="175" spans="1:41" hidden="1">
      <c r="A175" s="756" t="s">
        <v>1506</v>
      </c>
      <c r="B175" s="734">
        <v>36300</v>
      </c>
      <c r="C175" s="339"/>
      <c r="D175" s="339"/>
      <c r="E175" s="735">
        <v>36300</v>
      </c>
      <c r="F175" s="324"/>
      <c r="G175" s="338"/>
      <c r="H175" s="338"/>
      <c r="I175" s="339"/>
      <c r="J175" s="322"/>
      <c r="K175" s="339"/>
      <c r="L175" s="339"/>
      <c r="M175" s="338"/>
      <c r="N175" s="324"/>
      <c r="O175" s="338"/>
      <c r="P175" s="338"/>
      <c r="Q175" s="339"/>
      <c r="R175" s="322"/>
      <c r="S175" s="339"/>
      <c r="T175" s="339"/>
      <c r="U175" s="338"/>
      <c r="V175" s="324"/>
      <c r="W175" s="338"/>
      <c r="X175" s="338"/>
      <c r="Y175" s="339"/>
      <c r="Z175" s="322"/>
      <c r="AA175" s="339"/>
      <c r="AB175" s="339"/>
      <c r="AC175" s="338"/>
      <c r="AD175" s="324"/>
      <c r="AE175" s="338"/>
      <c r="AF175" s="338"/>
      <c r="AG175" s="339"/>
      <c r="AH175" s="322"/>
      <c r="AI175" s="339"/>
      <c r="AJ175" s="339"/>
      <c r="AK175" s="338"/>
      <c r="AL175" s="736">
        <v>36300</v>
      </c>
      <c r="AM175" s="338"/>
      <c r="AN175" s="338"/>
      <c r="AO175" s="737">
        <v>36300</v>
      </c>
    </row>
    <row r="176" spans="1:41" hidden="1">
      <c r="A176" s="757" t="s">
        <v>1507</v>
      </c>
      <c r="B176" s="734">
        <v>17000</v>
      </c>
      <c r="C176" s="339"/>
      <c r="D176" s="339"/>
      <c r="E176" s="735">
        <v>17000</v>
      </c>
      <c r="F176" s="324"/>
      <c r="G176" s="338"/>
      <c r="H176" s="338"/>
      <c r="I176" s="339"/>
      <c r="J176" s="322"/>
      <c r="K176" s="339"/>
      <c r="L176" s="339"/>
      <c r="M176" s="338"/>
      <c r="N176" s="324"/>
      <c r="O176" s="338"/>
      <c r="P176" s="338"/>
      <c r="Q176" s="339"/>
      <c r="R176" s="322"/>
      <c r="S176" s="339"/>
      <c r="T176" s="339"/>
      <c r="U176" s="338"/>
      <c r="V176" s="324"/>
      <c r="W176" s="338"/>
      <c r="X176" s="338"/>
      <c r="Y176" s="339"/>
      <c r="Z176" s="322"/>
      <c r="AA176" s="339"/>
      <c r="AB176" s="339"/>
      <c r="AC176" s="338"/>
      <c r="AD176" s="324"/>
      <c r="AE176" s="338"/>
      <c r="AF176" s="338"/>
      <c r="AG176" s="339"/>
      <c r="AH176" s="322"/>
      <c r="AI176" s="339"/>
      <c r="AJ176" s="339"/>
      <c r="AK176" s="338"/>
      <c r="AL176" s="736">
        <v>17000</v>
      </c>
      <c r="AM176" s="338"/>
      <c r="AN176" s="338"/>
      <c r="AO176" s="737">
        <v>17000</v>
      </c>
    </row>
    <row r="177" spans="1:41" hidden="1">
      <c r="A177" s="757" t="s">
        <v>1508</v>
      </c>
      <c r="B177" s="734">
        <v>398739</v>
      </c>
      <c r="C177" s="339"/>
      <c r="D177" s="339"/>
      <c r="E177" s="735">
        <v>398739</v>
      </c>
      <c r="F177" s="324"/>
      <c r="G177" s="338"/>
      <c r="H177" s="338"/>
      <c r="I177" s="339"/>
      <c r="J177" s="322"/>
      <c r="K177" s="339"/>
      <c r="L177" s="339"/>
      <c r="M177" s="338"/>
      <c r="N177" s="324"/>
      <c r="O177" s="338"/>
      <c r="P177" s="338"/>
      <c r="Q177" s="339"/>
      <c r="R177" s="322"/>
      <c r="S177" s="339"/>
      <c r="T177" s="339"/>
      <c r="U177" s="338"/>
      <c r="V177" s="324"/>
      <c r="W177" s="338"/>
      <c r="X177" s="338"/>
      <c r="Y177" s="339"/>
      <c r="Z177" s="322"/>
      <c r="AA177" s="339"/>
      <c r="AB177" s="339"/>
      <c r="AC177" s="338"/>
      <c r="AD177" s="324"/>
      <c r="AE177" s="338"/>
      <c r="AF177" s="338"/>
      <c r="AG177" s="339"/>
      <c r="AH177" s="322"/>
      <c r="AI177" s="339"/>
      <c r="AJ177" s="339"/>
      <c r="AK177" s="338"/>
      <c r="AL177" s="736">
        <v>398739</v>
      </c>
      <c r="AM177" s="338"/>
      <c r="AN177" s="338"/>
      <c r="AO177" s="737">
        <v>398739</v>
      </c>
    </row>
    <row r="178" spans="1:41" hidden="1">
      <c r="A178" s="757" t="s">
        <v>1509</v>
      </c>
      <c r="B178" s="734">
        <v>717508.92</v>
      </c>
      <c r="C178" s="339"/>
      <c r="D178" s="339"/>
      <c r="E178" s="735">
        <v>717508.92</v>
      </c>
      <c r="F178" s="324"/>
      <c r="G178" s="338"/>
      <c r="H178" s="338"/>
      <c r="I178" s="339"/>
      <c r="J178" s="322"/>
      <c r="K178" s="339"/>
      <c r="L178" s="339"/>
      <c r="M178" s="338"/>
      <c r="N178" s="324"/>
      <c r="O178" s="338"/>
      <c r="P178" s="338"/>
      <c r="Q178" s="339"/>
      <c r="R178" s="322"/>
      <c r="S178" s="339"/>
      <c r="T178" s="339"/>
      <c r="U178" s="338"/>
      <c r="V178" s="324"/>
      <c r="W178" s="338"/>
      <c r="X178" s="338"/>
      <c r="Y178" s="339"/>
      <c r="Z178" s="322"/>
      <c r="AA178" s="339"/>
      <c r="AB178" s="339"/>
      <c r="AC178" s="338"/>
      <c r="AD178" s="324"/>
      <c r="AE178" s="338"/>
      <c r="AF178" s="338"/>
      <c r="AG178" s="339"/>
      <c r="AH178" s="322"/>
      <c r="AI178" s="339"/>
      <c r="AJ178" s="339"/>
      <c r="AK178" s="338"/>
      <c r="AL178" s="736">
        <v>717508.92</v>
      </c>
      <c r="AM178" s="338"/>
      <c r="AN178" s="338"/>
      <c r="AO178" s="737">
        <v>717508.92</v>
      </c>
    </row>
    <row r="179" spans="1:41" hidden="1">
      <c r="A179" s="757" t="s">
        <v>1510</v>
      </c>
      <c r="B179" s="734">
        <v>152430</v>
      </c>
      <c r="C179" s="339"/>
      <c r="D179" s="339"/>
      <c r="E179" s="735">
        <v>152430</v>
      </c>
      <c r="F179" s="324"/>
      <c r="G179" s="338"/>
      <c r="H179" s="338"/>
      <c r="I179" s="339"/>
      <c r="J179" s="322"/>
      <c r="K179" s="339"/>
      <c r="L179" s="339"/>
      <c r="M179" s="338"/>
      <c r="N179" s="324"/>
      <c r="O179" s="338"/>
      <c r="P179" s="338"/>
      <c r="Q179" s="339"/>
      <c r="R179" s="322"/>
      <c r="S179" s="339"/>
      <c r="T179" s="339"/>
      <c r="U179" s="338"/>
      <c r="V179" s="324"/>
      <c r="W179" s="338"/>
      <c r="X179" s="338"/>
      <c r="Y179" s="339"/>
      <c r="Z179" s="322"/>
      <c r="AA179" s="339"/>
      <c r="AB179" s="339"/>
      <c r="AC179" s="338"/>
      <c r="AD179" s="324"/>
      <c r="AE179" s="338"/>
      <c r="AF179" s="338"/>
      <c r="AG179" s="339"/>
      <c r="AH179" s="322"/>
      <c r="AI179" s="339"/>
      <c r="AJ179" s="339"/>
      <c r="AK179" s="338"/>
      <c r="AL179" s="736">
        <v>152430</v>
      </c>
      <c r="AM179" s="338"/>
      <c r="AN179" s="338"/>
      <c r="AO179" s="737">
        <v>152430</v>
      </c>
    </row>
    <row r="180" spans="1:41" hidden="1">
      <c r="A180" s="757" t="s">
        <v>1511</v>
      </c>
      <c r="B180" s="734">
        <v>386976</v>
      </c>
      <c r="C180" s="339"/>
      <c r="D180" s="339"/>
      <c r="E180" s="735">
        <v>386976</v>
      </c>
      <c r="F180" s="324"/>
      <c r="G180" s="338"/>
      <c r="H180" s="338"/>
      <c r="I180" s="339"/>
      <c r="J180" s="322"/>
      <c r="K180" s="339"/>
      <c r="L180" s="339"/>
      <c r="M180" s="338"/>
      <c r="N180" s="324"/>
      <c r="O180" s="338"/>
      <c r="P180" s="338"/>
      <c r="Q180" s="339"/>
      <c r="R180" s="322"/>
      <c r="S180" s="339"/>
      <c r="T180" s="339"/>
      <c r="U180" s="338"/>
      <c r="V180" s="324"/>
      <c r="W180" s="338"/>
      <c r="X180" s="338"/>
      <c r="Y180" s="339"/>
      <c r="Z180" s="322"/>
      <c r="AA180" s="339"/>
      <c r="AB180" s="339"/>
      <c r="AC180" s="338"/>
      <c r="AD180" s="324"/>
      <c r="AE180" s="338"/>
      <c r="AF180" s="338"/>
      <c r="AG180" s="339"/>
      <c r="AH180" s="322"/>
      <c r="AI180" s="339"/>
      <c r="AJ180" s="339"/>
      <c r="AK180" s="338"/>
      <c r="AL180" s="736">
        <v>386976</v>
      </c>
      <c r="AM180" s="338"/>
      <c r="AN180" s="338"/>
      <c r="AO180" s="737">
        <v>386976</v>
      </c>
    </row>
    <row r="181" spans="1:41" hidden="1">
      <c r="A181" s="757" t="s">
        <v>1512</v>
      </c>
      <c r="B181" s="734">
        <v>2511335</v>
      </c>
      <c r="C181" s="339"/>
      <c r="D181" s="339"/>
      <c r="E181" s="735">
        <v>2511335</v>
      </c>
      <c r="F181" s="324"/>
      <c r="G181" s="338"/>
      <c r="H181" s="338"/>
      <c r="I181" s="339"/>
      <c r="J181" s="322"/>
      <c r="K181" s="339"/>
      <c r="L181" s="339"/>
      <c r="M181" s="338"/>
      <c r="N181" s="324"/>
      <c r="O181" s="338"/>
      <c r="P181" s="338"/>
      <c r="Q181" s="339"/>
      <c r="R181" s="322"/>
      <c r="S181" s="339"/>
      <c r="T181" s="339"/>
      <c r="U181" s="338"/>
      <c r="V181" s="324"/>
      <c r="W181" s="338"/>
      <c r="X181" s="338"/>
      <c r="Y181" s="339"/>
      <c r="Z181" s="322"/>
      <c r="AA181" s="339"/>
      <c r="AB181" s="339"/>
      <c r="AC181" s="338"/>
      <c r="AD181" s="324"/>
      <c r="AE181" s="338"/>
      <c r="AF181" s="338"/>
      <c r="AG181" s="339"/>
      <c r="AH181" s="322"/>
      <c r="AI181" s="339"/>
      <c r="AJ181" s="339"/>
      <c r="AK181" s="338"/>
      <c r="AL181" s="736">
        <v>2511335</v>
      </c>
      <c r="AM181" s="338"/>
      <c r="AN181" s="338"/>
      <c r="AO181" s="737">
        <v>2511335</v>
      </c>
    </row>
    <row r="182" spans="1:41" hidden="1">
      <c r="A182" s="757" t="s">
        <v>1513</v>
      </c>
      <c r="B182" s="734">
        <v>363665.28</v>
      </c>
      <c r="C182" s="339"/>
      <c r="D182" s="339"/>
      <c r="E182" s="735">
        <v>363665.28</v>
      </c>
      <c r="F182" s="324"/>
      <c r="G182" s="338"/>
      <c r="H182" s="338"/>
      <c r="I182" s="339"/>
      <c r="J182" s="322"/>
      <c r="K182" s="339"/>
      <c r="L182" s="339"/>
      <c r="M182" s="338"/>
      <c r="N182" s="324"/>
      <c r="O182" s="338"/>
      <c r="P182" s="338"/>
      <c r="Q182" s="339"/>
      <c r="R182" s="322"/>
      <c r="S182" s="339"/>
      <c r="T182" s="339"/>
      <c r="U182" s="338"/>
      <c r="V182" s="324"/>
      <c r="W182" s="338"/>
      <c r="X182" s="338"/>
      <c r="Y182" s="339"/>
      <c r="Z182" s="322"/>
      <c r="AA182" s="339"/>
      <c r="AB182" s="339"/>
      <c r="AC182" s="338"/>
      <c r="AD182" s="324"/>
      <c r="AE182" s="338"/>
      <c r="AF182" s="338"/>
      <c r="AG182" s="339"/>
      <c r="AH182" s="322"/>
      <c r="AI182" s="339"/>
      <c r="AJ182" s="339"/>
      <c r="AK182" s="338"/>
      <c r="AL182" s="736">
        <v>363665.28</v>
      </c>
      <c r="AM182" s="338"/>
      <c r="AN182" s="338"/>
      <c r="AO182" s="737">
        <v>363665.28</v>
      </c>
    </row>
    <row r="183" spans="1:41" hidden="1">
      <c r="A183" s="757" t="s">
        <v>1514</v>
      </c>
      <c r="B183" s="734">
        <v>2998755.01</v>
      </c>
      <c r="C183" s="339"/>
      <c r="D183" s="339"/>
      <c r="E183" s="735">
        <v>2998755.01</v>
      </c>
      <c r="F183" s="324"/>
      <c r="G183" s="338"/>
      <c r="H183" s="338"/>
      <c r="I183" s="339"/>
      <c r="J183" s="322"/>
      <c r="K183" s="339"/>
      <c r="L183" s="339"/>
      <c r="M183" s="338"/>
      <c r="N183" s="324"/>
      <c r="O183" s="338"/>
      <c r="P183" s="338"/>
      <c r="Q183" s="339"/>
      <c r="R183" s="322"/>
      <c r="S183" s="339"/>
      <c r="T183" s="339"/>
      <c r="U183" s="338"/>
      <c r="V183" s="324"/>
      <c r="W183" s="338"/>
      <c r="X183" s="338"/>
      <c r="Y183" s="339"/>
      <c r="Z183" s="322"/>
      <c r="AA183" s="339"/>
      <c r="AB183" s="339"/>
      <c r="AC183" s="338"/>
      <c r="AD183" s="324"/>
      <c r="AE183" s="338"/>
      <c r="AF183" s="338"/>
      <c r="AG183" s="339"/>
      <c r="AH183" s="322"/>
      <c r="AI183" s="339"/>
      <c r="AJ183" s="339"/>
      <c r="AK183" s="338"/>
      <c r="AL183" s="736">
        <v>2998755.01</v>
      </c>
      <c r="AM183" s="338"/>
      <c r="AN183" s="338"/>
      <c r="AO183" s="737">
        <v>2998755.01</v>
      </c>
    </row>
    <row r="184" spans="1:41" hidden="1">
      <c r="A184" s="757" t="s">
        <v>1515</v>
      </c>
      <c r="B184" s="734">
        <v>408777.21</v>
      </c>
      <c r="C184" s="339"/>
      <c r="D184" s="339"/>
      <c r="E184" s="735">
        <v>408777.21</v>
      </c>
      <c r="F184" s="324"/>
      <c r="G184" s="338"/>
      <c r="H184" s="338"/>
      <c r="I184" s="339"/>
      <c r="J184" s="322"/>
      <c r="K184" s="339"/>
      <c r="L184" s="339"/>
      <c r="M184" s="338"/>
      <c r="N184" s="324"/>
      <c r="O184" s="338"/>
      <c r="P184" s="338"/>
      <c r="Q184" s="339"/>
      <c r="R184" s="322"/>
      <c r="S184" s="339"/>
      <c r="T184" s="339"/>
      <c r="U184" s="338"/>
      <c r="V184" s="324"/>
      <c r="W184" s="338"/>
      <c r="X184" s="338"/>
      <c r="Y184" s="339"/>
      <c r="Z184" s="322"/>
      <c r="AA184" s="339"/>
      <c r="AB184" s="339"/>
      <c r="AC184" s="338"/>
      <c r="AD184" s="324"/>
      <c r="AE184" s="338"/>
      <c r="AF184" s="338"/>
      <c r="AG184" s="339"/>
      <c r="AH184" s="322"/>
      <c r="AI184" s="339"/>
      <c r="AJ184" s="339"/>
      <c r="AK184" s="338"/>
      <c r="AL184" s="736">
        <v>408777.21</v>
      </c>
      <c r="AM184" s="338"/>
      <c r="AN184" s="338"/>
      <c r="AO184" s="737">
        <v>408777.21</v>
      </c>
    </row>
    <row r="185" spans="1:41" hidden="1">
      <c r="A185" s="757" t="s">
        <v>1516</v>
      </c>
      <c r="B185" s="734">
        <v>2456660</v>
      </c>
      <c r="C185" s="339"/>
      <c r="D185" s="339"/>
      <c r="E185" s="735">
        <v>2456660</v>
      </c>
      <c r="F185" s="324"/>
      <c r="G185" s="338"/>
      <c r="H185" s="338"/>
      <c r="I185" s="339"/>
      <c r="J185" s="322"/>
      <c r="K185" s="339"/>
      <c r="L185" s="339"/>
      <c r="M185" s="338"/>
      <c r="N185" s="324"/>
      <c r="O185" s="338"/>
      <c r="P185" s="338"/>
      <c r="Q185" s="339"/>
      <c r="R185" s="322"/>
      <c r="S185" s="339"/>
      <c r="T185" s="339"/>
      <c r="U185" s="338"/>
      <c r="V185" s="324"/>
      <c r="W185" s="338"/>
      <c r="X185" s="338"/>
      <c r="Y185" s="339"/>
      <c r="Z185" s="322"/>
      <c r="AA185" s="339"/>
      <c r="AB185" s="339"/>
      <c r="AC185" s="338"/>
      <c r="AD185" s="324"/>
      <c r="AE185" s="338"/>
      <c r="AF185" s="338"/>
      <c r="AG185" s="339"/>
      <c r="AH185" s="322"/>
      <c r="AI185" s="339"/>
      <c r="AJ185" s="339"/>
      <c r="AK185" s="338"/>
      <c r="AL185" s="736">
        <v>2456660</v>
      </c>
      <c r="AM185" s="338"/>
      <c r="AN185" s="338"/>
      <c r="AO185" s="737">
        <v>2456660</v>
      </c>
    </row>
    <row r="186" spans="1:41" hidden="1">
      <c r="A186" s="756" t="s">
        <v>1517</v>
      </c>
      <c r="B186" s="734">
        <v>46422</v>
      </c>
      <c r="C186" s="339"/>
      <c r="D186" s="339"/>
      <c r="E186" s="735">
        <v>46422</v>
      </c>
      <c r="F186" s="324"/>
      <c r="G186" s="338"/>
      <c r="H186" s="338"/>
      <c r="I186" s="339"/>
      <c r="J186" s="322"/>
      <c r="K186" s="339"/>
      <c r="L186" s="339"/>
      <c r="M186" s="338"/>
      <c r="N186" s="324"/>
      <c r="O186" s="338"/>
      <c r="P186" s="338"/>
      <c r="Q186" s="339"/>
      <c r="R186" s="322"/>
      <c r="S186" s="339"/>
      <c r="T186" s="339"/>
      <c r="U186" s="338"/>
      <c r="V186" s="324"/>
      <c r="W186" s="338"/>
      <c r="X186" s="338"/>
      <c r="Y186" s="339"/>
      <c r="Z186" s="322"/>
      <c r="AA186" s="339"/>
      <c r="AB186" s="339"/>
      <c r="AC186" s="338"/>
      <c r="AD186" s="324"/>
      <c r="AE186" s="338"/>
      <c r="AF186" s="338"/>
      <c r="AG186" s="339"/>
      <c r="AH186" s="322"/>
      <c r="AI186" s="339"/>
      <c r="AJ186" s="339"/>
      <c r="AK186" s="338"/>
      <c r="AL186" s="736">
        <v>46422</v>
      </c>
      <c r="AM186" s="338"/>
      <c r="AN186" s="338"/>
      <c r="AO186" s="737">
        <v>46422</v>
      </c>
    </row>
    <row r="187" spans="1:41" hidden="1">
      <c r="A187" s="757" t="s">
        <v>1518</v>
      </c>
      <c r="B187" s="734">
        <v>1061507.4099999999</v>
      </c>
      <c r="C187" s="339"/>
      <c r="D187" s="339"/>
      <c r="E187" s="735">
        <v>1061507.4099999999</v>
      </c>
      <c r="F187" s="324"/>
      <c r="G187" s="338"/>
      <c r="H187" s="338"/>
      <c r="I187" s="339"/>
      <c r="J187" s="322"/>
      <c r="K187" s="339"/>
      <c r="L187" s="339"/>
      <c r="M187" s="338"/>
      <c r="N187" s="324"/>
      <c r="O187" s="338"/>
      <c r="P187" s="338"/>
      <c r="Q187" s="339"/>
      <c r="R187" s="322"/>
      <c r="S187" s="339"/>
      <c r="T187" s="339"/>
      <c r="U187" s="338"/>
      <c r="V187" s="324"/>
      <c r="W187" s="338"/>
      <c r="X187" s="338"/>
      <c r="Y187" s="339"/>
      <c r="Z187" s="322"/>
      <c r="AA187" s="339"/>
      <c r="AB187" s="339"/>
      <c r="AC187" s="338"/>
      <c r="AD187" s="324"/>
      <c r="AE187" s="338"/>
      <c r="AF187" s="338"/>
      <c r="AG187" s="339"/>
      <c r="AH187" s="322"/>
      <c r="AI187" s="339"/>
      <c r="AJ187" s="339"/>
      <c r="AK187" s="338"/>
      <c r="AL187" s="736">
        <v>1061507.4099999999</v>
      </c>
      <c r="AM187" s="338"/>
      <c r="AN187" s="338"/>
      <c r="AO187" s="737">
        <v>1061507.4099999999</v>
      </c>
    </row>
    <row r="188" spans="1:41" hidden="1">
      <c r="A188" s="757" t="s">
        <v>1519</v>
      </c>
      <c r="B188" s="734">
        <v>44747</v>
      </c>
      <c r="C188" s="339"/>
      <c r="D188" s="339"/>
      <c r="E188" s="735">
        <v>44747</v>
      </c>
      <c r="F188" s="324"/>
      <c r="G188" s="338"/>
      <c r="H188" s="338"/>
      <c r="I188" s="339"/>
      <c r="J188" s="322"/>
      <c r="K188" s="339"/>
      <c r="L188" s="339"/>
      <c r="M188" s="338"/>
      <c r="N188" s="324"/>
      <c r="O188" s="338"/>
      <c r="P188" s="338"/>
      <c r="Q188" s="339"/>
      <c r="R188" s="322"/>
      <c r="S188" s="339"/>
      <c r="T188" s="339"/>
      <c r="U188" s="338"/>
      <c r="V188" s="324"/>
      <c r="W188" s="338"/>
      <c r="X188" s="338"/>
      <c r="Y188" s="339"/>
      <c r="Z188" s="322"/>
      <c r="AA188" s="339"/>
      <c r="AB188" s="339"/>
      <c r="AC188" s="338"/>
      <c r="AD188" s="324"/>
      <c r="AE188" s="338"/>
      <c r="AF188" s="338"/>
      <c r="AG188" s="339"/>
      <c r="AH188" s="322"/>
      <c r="AI188" s="339"/>
      <c r="AJ188" s="339"/>
      <c r="AK188" s="338"/>
      <c r="AL188" s="736">
        <v>44747</v>
      </c>
      <c r="AM188" s="338"/>
      <c r="AN188" s="338"/>
      <c r="AO188" s="737">
        <v>44747</v>
      </c>
    </row>
    <row r="189" spans="1:41" hidden="1">
      <c r="A189" s="757" t="s">
        <v>1520</v>
      </c>
      <c r="B189" s="734">
        <v>93127</v>
      </c>
      <c r="C189" s="339"/>
      <c r="D189" s="339"/>
      <c r="E189" s="735">
        <v>93127</v>
      </c>
      <c r="F189" s="324"/>
      <c r="G189" s="338"/>
      <c r="H189" s="338"/>
      <c r="I189" s="339"/>
      <c r="J189" s="322"/>
      <c r="K189" s="339"/>
      <c r="L189" s="339"/>
      <c r="M189" s="338"/>
      <c r="N189" s="324"/>
      <c r="O189" s="338"/>
      <c r="P189" s="338"/>
      <c r="Q189" s="339"/>
      <c r="R189" s="322"/>
      <c r="S189" s="339"/>
      <c r="T189" s="339"/>
      <c r="U189" s="338"/>
      <c r="V189" s="324"/>
      <c r="W189" s="338"/>
      <c r="X189" s="338"/>
      <c r="Y189" s="339"/>
      <c r="Z189" s="322"/>
      <c r="AA189" s="339"/>
      <c r="AB189" s="339"/>
      <c r="AC189" s="338"/>
      <c r="AD189" s="324"/>
      <c r="AE189" s="338"/>
      <c r="AF189" s="338"/>
      <c r="AG189" s="339"/>
      <c r="AH189" s="322"/>
      <c r="AI189" s="339"/>
      <c r="AJ189" s="339"/>
      <c r="AK189" s="338"/>
      <c r="AL189" s="736">
        <v>93127</v>
      </c>
      <c r="AM189" s="338"/>
      <c r="AN189" s="338"/>
      <c r="AO189" s="737">
        <v>93127</v>
      </c>
    </row>
    <row r="190" spans="1:41" hidden="1">
      <c r="A190" s="756" t="s">
        <v>1521</v>
      </c>
      <c r="B190" s="734">
        <v>3621431.78</v>
      </c>
      <c r="C190" s="339"/>
      <c r="D190" s="339"/>
      <c r="E190" s="735">
        <v>3621431.78</v>
      </c>
      <c r="F190" s="324"/>
      <c r="G190" s="338"/>
      <c r="H190" s="338"/>
      <c r="I190" s="339"/>
      <c r="J190" s="322"/>
      <c r="K190" s="339"/>
      <c r="L190" s="339"/>
      <c r="M190" s="338"/>
      <c r="N190" s="324"/>
      <c r="O190" s="338"/>
      <c r="P190" s="338"/>
      <c r="Q190" s="339"/>
      <c r="R190" s="322"/>
      <c r="S190" s="339"/>
      <c r="T190" s="339"/>
      <c r="U190" s="338"/>
      <c r="V190" s="324"/>
      <c r="W190" s="338"/>
      <c r="X190" s="338"/>
      <c r="Y190" s="339"/>
      <c r="Z190" s="322"/>
      <c r="AA190" s="339"/>
      <c r="AB190" s="339"/>
      <c r="AC190" s="338"/>
      <c r="AD190" s="324"/>
      <c r="AE190" s="338"/>
      <c r="AF190" s="338"/>
      <c r="AG190" s="339"/>
      <c r="AH190" s="322"/>
      <c r="AI190" s="339"/>
      <c r="AJ190" s="339"/>
      <c r="AK190" s="338"/>
      <c r="AL190" s="736">
        <v>3621431.78</v>
      </c>
      <c r="AM190" s="338"/>
      <c r="AN190" s="338"/>
      <c r="AO190" s="737">
        <v>3621431.78</v>
      </c>
    </row>
    <row r="191" spans="1:41" hidden="1">
      <c r="A191" s="757" t="s">
        <v>1522</v>
      </c>
      <c r="B191" s="734">
        <v>229500</v>
      </c>
      <c r="C191" s="339"/>
      <c r="D191" s="339"/>
      <c r="E191" s="735">
        <v>229500</v>
      </c>
      <c r="F191" s="324"/>
      <c r="G191" s="338"/>
      <c r="H191" s="338"/>
      <c r="I191" s="339"/>
      <c r="J191" s="322"/>
      <c r="K191" s="339"/>
      <c r="L191" s="339"/>
      <c r="M191" s="338"/>
      <c r="N191" s="324"/>
      <c r="O191" s="338"/>
      <c r="P191" s="338"/>
      <c r="Q191" s="339"/>
      <c r="R191" s="322"/>
      <c r="S191" s="339"/>
      <c r="T191" s="339"/>
      <c r="U191" s="338"/>
      <c r="V191" s="324"/>
      <c r="W191" s="338"/>
      <c r="X191" s="338"/>
      <c r="Y191" s="339"/>
      <c r="Z191" s="322"/>
      <c r="AA191" s="339"/>
      <c r="AB191" s="339"/>
      <c r="AC191" s="338"/>
      <c r="AD191" s="324"/>
      <c r="AE191" s="338"/>
      <c r="AF191" s="338"/>
      <c r="AG191" s="339"/>
      <c r="AH191" s="322"/>
      <c r="AI191" s="339"/>
      <c r="AJ191" s="339"/>
      <c r="AK191" s="338"/>
      <c r="AL191" s="736">
        <v>229500</v>
      </c>
      <c r="AM191" s="338"/>
      <c r="AN191" s="338"/>
      <c r="AO191" s="737">
        <v>229500</v>
      </c>
    </row>
    <row r="192" spans="1:41" hidden="1">
      <c r="A192" s="316" t="s">
        <v>349</v>
      </c>
      <c r="B192" s="955">
        <v>787517.43</v>
      </c>
      <c r="C192" s="595"/>
      <c r="D192" s="595"/>
      <c r="E192" s="773">
        <v>787517.43</v>
      </c>
      <c r="F192" s="943"/>
      <c r="G192" s="708"/>
      <c r="H192" s="708"/>
      <c r="I192" s="708"/>
      <c r="J192" s="944"/>
      <c r="K192" s="595"/>
      <c r="L192" s="595"/>
      <c r="M192" s="595"/>
      <c r="N192" s="943"/>
      <c r="O192" s="708"/>
      <c r="P192" s="708"/>
      <c r="Q192" s="708"/>
      <c r="R192" s="944"/>
      <c r="S192" s="595"/>
      <c r="T192" s="595"/>
      <c r="U192" s="595"/>
      <c r="V192" s="943"/>
      <c r="W192" s="708"/>
      <c r="X192" s="708"/>
      <c r="Y192" s="708"/>
      <c r="Z192" s="944"/>
      <c r="AA192" s="595"/>
      <c r="AB192" s="595"/>
      <c r="AC192" s="595"/>
      <c r="AD192" s="946">
        <v>127598.53</v>
      </c>
      <c r="AE192" s="708"/>
      <c r="AF192" s="708"/>
      <c r="AG192" s="767">
        <v>127598.53</v>
      </c>
      <c r="AH192" s="944"/>
      <c r="AI192" s="595"/>
      <c r="AJ192" s="595"/>
      <c r="AK192" s="595"/>
      <c r="AL192" s="966">
        <v>659918.9</v>
      </c>
      <c r="AM192" s="708"/>
      <c r="AN192" s="708"/>
      <c r="AO192" s="967">
        <v>659918.9</v>
      </c>
    </row>
    <row r="193" spans="1:41" hidden="1">
      <c r="A193" s="756" t="s">
        <v>349</v>
      </c>
      <c r="B193" s="722">
        <v>406802.21</v>
      </c>
      <c r="C193" s="331"/>
      <c r="D193" s="331"/>
      <c r="E193" s="724">
        <v>406802.21</v>
      </c>
      <c r="F193" s="317"/>
      <c r="G193" s="330"/>
      <c r="H193" s="330"/>
      <c r="I193" s="331"/>
      <c r="J193" s="319"/>
      <c r="K193" s="331"/>
      <c r="L193" s="331"/>
      <c r="M193" s="330"/>
      <c r="N193" s="317"/>
      <c r="O193" s="330"/>
      <c r="P193" s="330"/>
      <c r="Q193" s="331"/>
      <c r="R193" s="319"/>
      <c r="S193" s="331"/>
      <c r="T193" s="331"/>
      <c r="U193" s="330"/>
      <c r="V193" s="317"/>
      <c r="W193" s="330"/>
      <c r="X193" s="330"/>
      <c r="Y193" s="331"/>
      <c r="Z193" s="319"/>
      <c r="AA193" s="331"/>
      <c r="AB193" s="331"/>
      <c r="AC193" s="330"/>
      <c r="AD193" s="317"/>
      <c r="AE193" s="330"/>
      <c r="AF193" s="330"/>
      <c r="AG193" s="331"/>
      <c r="AH193" s="319"/>
      <c r="AI193" s="331"/>
      <c r="AJ193" s="331"/>
      <c r="AK193" s="330"/>
      <c r="AL193" s="725">
        <v>406802.21</v>
      </c>
      <c r="AM193" s="330"/>
      <c r="AN193" s="330"/>
      <c r="AO193" s="727">
        <v>406802.21</v>
      </c>
    </row>
    <row r="194" spans="1:41" hidden="1">
      <c r="A194" s="756" t="s">
        <v>1523</v>
      </c>
      <c r="B194" s="734">
        <v>67457.64</v>
      </c>
      <c r="C194" s="339"/>
      <c r="D194" s="339"/>
      <c r="E194" s="735">
        <v>67457.64</v>
      </c>
      <c r="F194" s="324"/>
      <c r="G194" s="338"/>
      <c r="H194" s="338"/>
      <c r="I194" s="339"/>
      <c r="J194" s="322"/>
      <c r="K194" s="339"/>
      <c r="L194" s="339"/>
      <c r="M194" s="338"/>
      <c r="N194" s="324"/>
      <c r="O194" s="338"/>
      <c r="P194" s="338"/>
      <c r="Q194" s="339"/>
      <c r="R194" s="322"/>
      <c r="S194" s="339"/>
      <c r="T194" s="339"/>
      <c r="U194" s="338"/>
      <c r="V194" s="324"/>
      <c r="W194" s="338"/>
      <c r="X194" s="338"/>
      <c r="Y194" s="339"/>
      <c r="Z194" s="322"/>
      <c r="AA194" s="339"/>
      <c r="AB194" s="339"/>
      <c r="AC194" s="338"/>
      <c r="AD194" s="324"/>
      <c r="AE194" s="338"/>
      <c r="AF194" s="338"/>
      <c r="AG194" s="339"/>
      <c r="AH194" s="322"/>
      <c r="AI194" s="339"/>
      <c r="AJ194" s="339"/>
      <c r="AK194" s="338"/>
      <c r="AL194" s="736">
        <v>67457.64</v>
      </c>
      <c r="AM194" s="338"/>
      <c r="AN194" s="338"/>
      <c r="AO194" s="737">
        <v>67457.64</v>
      </c>
    </row>
    <row r="195" spans="1:41" hidden="1">
      <c r="A195" s="757" t="s">
        <v>1524</v>
      </c>
      <c r="B195" s="716">
        <v>117423.53</v>
      </c>
      <c r="C195" s="339"/>
      <c r="D195" s="339"/>
      <c r="E195" s="594">
        <v>117423.53</v>
      </c>
      <c r="F195" s="324"/>
      <c r="G195" s="338"/>
      <c r="H195" s="338"/>
      <c r="I195" s="339"/>
      <c r="J195" s="322"/>
      <c r="K195" s="339"/>
      <c r="L195" s="339"/>
      <c r="M195" s="338"/>
      <c r="N195" s="324"/>
      <c r="O195" s="338"/>
      <c r="P195" s="338"/>
      <c r="Q195" s="339"/>
      <c r="R195" s="322"/>
      <c r="S195" s="339"/>
      <c r="T195" s="339"/>
      <c r="U195" s="338"/>
      <c r="V195" s="324"/>
      <c r="W195" s="338"/>
      <c r="X195" s="338"/>
      <c r="Y195" s="339"/>
      <c r="Z195" s="322"/>
      <c r="AA195" s="339"/>
      <c r="AB195" s="339"/>
      <c r="AC195" s="338"/>
      <c r="AD195" s="717">
        <v>117423.53</v>
      </c>
      <c r="AE195" s="338"/>
      <c r="AF195" s="338"/>
      <c r="AG195" s="592">
        <v>117423.53</v>
      </c>
      <c r="AH195" s="322"/>
      <c r="AI195" s="339"/>
      <c r="AJ195" s="339"/>
      <c r="AK195" s="338"/>
      <c r="AL195" s="324"/>
      <c r="AM195" s="338"/>
      <c r="AN195" s="338"/>
      <c r="AO195" s="339"/>
    </row>
    <row r="196" spans="1:41" hidden="1">
      <c r="A196" s="757" t="s">
        <v>1525</v>
      </c>
      <c r="B196" s="716">
        <v>5570</v>
      </c>
      <c r="C196" s="339"/>
      <c r="D196" s="339"/>
      <c r="E196" s="594">
        <v>5570</v>
      </c>
      <c r="F196" s="324"/>
      <c r="G196" s="338"/>
      <c r="H196" s="338"/>
      <c r="I196" s="339"/>
      <c r="J196" s="322"/>
      <c r="K196" s="339"/>
      <c r="L196" s="339"/>
      <c r="M196" s="338"/>
      <c r="N196" s="324"/>
      <c r="O196" s="338"/>
      <c r="P196" s="338"/>
      <c r="Q196" s="339"/>
      <c r="R196" s="322"/>
      <c r="S196" s="339"/>
      <c r="T196" s="339"/>
      <c r="U196" s="338"/>
      <c r="V196" s="324"/>
      <c r="W196" s="338"/>
      <c r="X196" s="338"/>
      <c r="Y196" s="339"/>
      <c r="Z196" s="322"/>
      <c r="AA196" s="339"/>
      <c r="AB196" s="339"/>
      <c r="AC196" s="338"/>
      <c r="AD196" s="717">
        <v>5570</v>
      </c>
      <c r="AE196" s="338"/>
      <c r="AF196" s="338"/>
      <c r="AG196" s="592">
        <v>5570</v>
      </c>
      <c r="AH196" s="322"/>
      <c r="AI196" s="339"/>
      <c r="AJ196" s="339"/>
      <c r="AK196" s="338"/>
      <c r="AL196" s="324"/>
      <c r="AM196" s="338"/>
      <c r="AN196" s="338"/>
      <c r="AO196" s="339"/>
    </row>
    <row r="197" spans="1:41" hidden="1">
      <c r="A197" s="757" t="s">
        <v>1526</v>
      </c>
      <c r="B197" s="734">
        <v>272000</v>
      </c>
      <c r="C197" s="339"/>
      <c r="D197" s="339"/>
      <c r="E197" s="735">
        <v>272000</v>
      </c>
      <c r="F197" s="324"/>
      <c r="G197" s="338"/>
      <c r="H197" s="338"/>
      <c r="I197" s="339"/>
      <c r="J197" s="322"/>
      <c r="K197" s="339"/>
      <c r="L197" s="339"/>
      <c r="M197" s="338"/>
      <c r="N197" s="324"/>
      <c r="O197" s="338"/>
      <c r="P197" s="338"/>
      <c r="Q197" s="339"/>
      <c r="R197" s="322"/>
      <c r="S197" s="339"/>
      <c r="T197" s="339"/>
      <c r="U197" s="338"/>
      <c r="V197" s="324"/>
      <c r="W197" s="338"/>
      <c r="X197" s="338"/>
      <c r="Y197" s="339"/>
      <c r="Z197" s="322"/>
      <c r="AA197" s="339"/>
      <c r="AB197" s="339"/>
      <c r="AC197" s="338"/>
      <c r="AD197" s="324"/>
      <c r="AE197" s="338"/>
      <c r="AF197" s="338"/>
      <c r="AG197" s="339"/>
      <c r="AH197" s="322"/>
      <c r="AI197" s="339"/>
      <c r="AJ197" s="339"/>
      <c r="AK197" s="338"/>
      <c r="AL197" s="736">
        <v>272000</v>
      </c>
      <c r="AM197" s="338"/>
      <c r="AN197" s="338"/>
      <c r="AO197" s="737">
        <v>272000</v>
      </c>
    </row>
    <row r="198" spans="1:41" hidden="1">
      <c r="A198" s="757" t="s">
        <v>1527</v>
      </c>
      <c r="B198" s="734">
        <v>140000</v>
      </c>
      <c r="C198" s="339"/>
      <c r="D198" s="339"/>
      <c r="E198" s="735">
        <v>140000</v>
      </c>
      <c r="F198" s="324"/>
      <c r="G198" s="338"/>
      <c r="H198" s="338"/>
      <c r="I198" s="339"/>
      <c r="J198" s="322"/>
      <c r="K198" s="339"/>
      <c r="L198" s="339"/>
      <c r="M198" s="338"/>
      <c r="N198" s="324"/>
      <c r="O198" s="338"/>
      <c r="P198" s="338"/>
      <c r="Q198" s="339"/>
      <c r="R198" s="322"/>
      <c r="S198" s="339"/>
      <c r="T198" s="339"/>
      <c r="U198" s="338"/>
      <c r="V198" s="324"/>
      <c r="W198" s="338"/>
      <c r="X198" s="338"/>
      <c r="Y198" s="339"/>
      <c r="Z198" s="322"/>
      <c r="AA198" s="339"/>
      <c r="AB198" s="339"/>
      <c r="AC198" s="338"/>
      <c r="AD198" s="324"/>
      <c r="AE198" s="338"/>
      <c r="AF198" s="338"/>
      <c r="AG198" s="339"/>
      <c r="AH198" s="322"/>
      <c r="AI198" s="339"/>
      <c r="AJ198" s="339"/>
      <c r="AK198" s="338"/>
      <c r="AL198" s="736">
        <v>140000</v>
      </c>
      <c r="AM198" s="338"/>
      <c r="AN198" s="338"/>
      <c r="AO198" s="737">
        <v>140000</v>
      </c>
    </row>
    <row r="199" spans="1:41" hidden="1">
      <c r="A199" s="757" t="s">
        <v>1528</v>
      </c>
      <c r="B199" s="710">
        <v>266425.7</v>
      </c>
      <c r="C199" s="339"/>
      <c r="D199" s="339"/>
      <c r="E199" s="712">
        <v>266425.7</v>
      </c>
      <c r="F199" s="324"/>
      <c r="G199" s="338"/>
      <c r="H199" s="338"/>
      <c r="I199" s="339"/>
      <c r="J199" s="322"/>
      <c r="K199" s="339"/>
      <c r="L199" s="339"/>
      <c r="M199" s="338"/>
      <c r="N199" s="324"/>
      <c r="O199" s="338"/>
      <c r="P199" s="338"/>
      <c r="Q199" s="339"/>
      <c r="R199" s="322"/>
      <c r="S199" s="339"/>
      <c r="T199" s="339"/>
      <c r="U199" s="338"/>
      <c r="V199" s="324"/>
      <c r="W199" s="338"/>
      <c r="X199" s="338"/>
      <c r="Y199" s="339"/>
      <c r="Z199" s="322"/>
      <c r="AA199" s="339"/>
      <c r="AB199" s="339"/>
      <c r="AC199" s="338"/>
      <c r="AD199" s="324"/>
      <c r="AE199" s="338"/>
      <c r="AF199" s="338"/>
      <c r="AG199" s="339"/>
      <c r="AH199" s="322"/>
      <c r="AI199" s="339"/>
      <c r="AJ199" s="339"/>
      <c r="AK199" s="338"/>
      <c r="AL199" s="713">
        <v>266425.7</v>
      </c>
      <c r="AM199" s="338"/>
      <c r="AN199" s="338"/>
      <c r="AO199" s="715">
        <v>266425.7</v>
      </c>
    </row>
    <row r="200" spans="1:41" hidden="1">
      <c r="A200" s="756" t="s">
        <v>1529</v>
      </c>
      <c r="B200" s="716">
        <v>44689.75</v>
      </c>
      <c r="C200" s="339"/>
      <c r="D200" s="339"/>
      <c r="E200" s="594">
        <v>44689.75</v>
      </c>
      <c r="F200" s="324"/>
      <c r="G200" s="338"/>
      <c r="H200" s="338"/>
      <c r="I200" s="339"/>
      <c r="J200" s="322"/>
      <c r="K200" s="339"/>
      <c r="L200" s="339"/>
      <c r="M200" s="338"/>
      <c r="N200" s="324"/>
      <c r="O200" s="338"/>
      <c r="P200" s="338"/>
      <c r="Q200" s="339"/>
      <c r="R200" s="322"/>
      <c r="S200" s="339"/>
      <c r="T200" s="339"/>
      <c r="U200" s="338"/>
      <c r="V200" s="324"/>
      <c r="W200" s="338"/>
      <c r="X200" s="338"/>
      <c r="Y200" s="339"/>
      <c r="Z200" s="322"/>
      <c r="AA200" s="339"/>
      <c r="AB200" s="339"/>
      <c r="AC200" s="338"/>
      <c r="AD200" s="717">
        <v>4605</v>
      </c>
      <c r="AE200" s="338"/>
      <c r="AF200" s="338"/>
      <c r="AG200" s="592">
        <v>4605</v>
      </c>
      <c r="AH200" s="322"/>
      <c r="AI200" s="339"/>
      <c r="AJ200" s="339"/>
      <c r="AK200" s="338"/>
      <c r="AL200" s="736">
        <v>40084.75</v>
      </c>
      <c r="AM200" s="338"/>
      <c r="AN200" s="338"/>
      <c r="AO200" s="737">
        <v>40084.75</v>
      </c>
    </row>
    <row r="201" spans="1:41" hidden="1">
      <c r="A201" s="316" t="s">
        <v>714</v>
      </c>
      <c r="B201" s="958">
        <v>2904251.92</v>
      </c>
      <c r="C201" s="595"/>
      <c r="D201" s="595"/>
      <c r="E201" s="959">
        <v>2904251.92</v>
      </c>
      <c r="F201" s="943"/>
      <c r="G201" s="708"/>
      <c r="H201" s="708"/>
      <c r="I201" s="708"/>
      <c r="J201" s="944"/>
      <c r="K201" s="595"/>
      <c r="L201" s="595"/>
      <c r="M201" s="595"/>
      <c r="N201" s="943"/>
      <c r="O201" s="708"/>
      <c r="P201" s="708"/>
      <c r="Q201" s="708"/>
      <c r="R201" s="944"/>
      <c r="S201" s="595"/>
      <c r="T201" s="595"/>
      <c r="U201" s="595"/>
      <c r="V201" s="943"/>
      <c r="W201" s="708"/>
      <c r="X201" s="708"/>
      <c r="Y201" s="708"/>
      <c r="Z201" s="944"/>
      <c r="AA201" s="595"/>
      <c r="AB201" s="595"/>
      <c r="AC201" s="595"/>
      <c r="AD201" s="943"/>
      <c r="AE201" s="708"/>
      <c r="AF201" s="708"/>
      <c r="AG201" s="708"/>
      <c r="AH201" s="944"/>
      <c r="AI201" s="595"/>
      <c r="AJ201" s="595"/>
      <c r="AK201" s="595"/>
      <c r="AL201" s="966">
        <v>2904251.92</v>
      </c>
      <c r="AM201" s="708"/>
      <c r="AN201" s="708"/>
      <c r="AO201" s="967">
        <v>2904251.92</v>
      </c>
    </row>
    <row r="202" spans="1:41" hidden="1">
      <c r="A202" s="757" t="s">
        <v>1530</v>
      </c>
      <c r="B202" s="722">
        <v>41000</v>
      </c>
      <c r="C202" s="331"/>
      <c r="D202" s="331"/>
      <c r="E202" s="724">
        <v>41000</v>
      </c>
      <c r="F202" s="317"/>
      <c r="G202" s="330"/>
      <c r="H202" s="330"/>
      <c r="I202" s="331"/>
      <c r="J202" s="319"/>
      <c r="K202" s="331"/>
      <c r="L202" s="331"/>
      <c r="M202" s="330"/>
      <c r="N202" s="317"/>
      <c r="O202" s="330"/>
      <c r="P202" s="330"/>
      <c r="Q202" s="331"/>
      <c r="R202" s="319"/>
      <c r="S202" s="331"/>
      <c r="T202" s="331"/>
      <c r="U202" s="330"/>
      <c r="V202" s="317"/>
      <c r="W202" s="330"/>
      <c r="X202" s="330"/>
      <c r="Y202" s="331"/>
      <c r="Z202" s="319"/>
      <c r="AA202" s="331"/>
      <c r="AB202" s="331"/>
      <c r="AC202" s="330"/>
      <c r="AD202" s="317"/>
      <c r="AE202" s="330"/>
      <c r="AF202" s="330"/>
      <c r="AG202" s="331"/>
      <c r="AH202" s="319"/>
      <c r="AI202" s="331"/>
      <c r="AJ202" s="331"/>
      <c r="AK202" s="330"/>
      <c r="AL202" s="725">
        <v>41000</v>
      </c>
      <c r="AM202" s="330"/>
      <c r="AN202" s="330"/>
      <c r="AO202" s="727">
        <v>41000</v>
      </c>
    </row>
    <row r="203" spans="1:41" hidden="1">
      <c r="A203" s="757" t="s">
        <v>1531</v>
      </c>
      <c r="B203" s="710">
        <v>645230.80000000005</v>
      </c>
      <c r="C203" s="339"/>
      <c r="D203" s="339"/>
      <c r="E203" s="712">
        <v>645230.80000000005</v>
      </c>
      <c r="F203" s="324"/>
      <c r="G203" s="338"/>
      <c r="H203" s="338"/>
      <c r="I203" s="339"/>
      <c r="J203" s="322"/>
      <c r="K203" s="339"/>
      <c r="L203" s="339"/>
      <c r="M203" s="338"/>
      <c r="N203" s="324"/>
      <c r="O203" s="338"/>
      <c r="P203" s="338"/>
      <c r="Q203" s="339"/>
      <c r="R203" s="322"/>
      <c r="S203" s="339"/>
      <c r="T203" s="339"/>
      <c r="U203" s="338"/>
      <c r="V203" s="324"/>
      <c r="W203" s="338"/>
      <c r="X203" s="338"/>
      <c r="Y203" s="339"/>
      <c r="Z203" s="322"/>
      <c r="AA203" s="339"/>
      <c r="AB203" s="339"/>
      <c r="AC203" s="338"/>
      <c r="AD203" s="324"/>
      <c r="AE203" s="338"/>
      <c r="AF203" s="338"/>
      <c r="AG203" s="339"/>
      <c r="AH203" s="322"/>
      <c r="AI203" s="339"/>
      <c r="AJ203" s="339"/>
      <c r="AK203" s="338"/>
      <c r="AL203" s="713">
        <v>645230.80000000005</v>
      </c>
      <c r="AM203" s="338"/>
      <c r="AN203" s="338"/>
      <c r="AO203" s="715">
        <v>645230.80000000005</v>
      </c>
    </row>
    <row r="204" spans="1:41" hidden="1">
      <c r="A204" s="757" t="s">
        <v>1532</v>
      </c>
      <c r="B204" s="734">
        <v>8185.96</v>
      </c>
      <c r="C204" s="339"/>
      <c r="D204" s="339"/>
      <c r="E204" s="735">
        <v>8185.96</v>
      </c>
      <c r="F204" s="324"/>
      <c r="G204" s="338"/>
      <c r="H204" s="338"/>
      <c r="I204" s="339"/>
      <c r="J204" s="322"/>
      <c r="K204" s="339"/>
      <c r="L204" s="339"/>
      <c r="M204" s="338"/>
      <c r="N204" s="324"/>
      <c r="O204" s="338"/>
      <c r="P204" s="338"/>
      <c r="Q204" s="339"/>
      <c r="R204" s="322"/>
      <c r="S204" s="339"/>
      <c r="T204" s="339"/>
      <c r="U204" s="338"/>
      <c r="V204" s="324"/>
      <c r="W204" s="338"/>
      <c r="X204" s="338"/>
      <c r="Y204" s="339"/>
      <c r="Z204" s="322"/>
      <c r="AA204" s="339"/>
      <c r="AB204" s="339"/>
      <c r="AC204" s="338"/>
      <c r="AD204" s="324"/>
      <c r="AE204" s="338"/>
      <c r="AF204" s="338"/>
      <c r="AG204" s="339"/>
      <c r="AH204" s="322"/>
      <c r="AI204" s="339"/>
      <c r="AJ204" s="339"/>
      <c r="AK204" s="338"/>
      <c r="AL204" s="736">
        <v>8185.96</v>
      </c>
      <c r="AM204" s="338"/>
      <c r="AN204" s="338"/>
      <c r="AO204" s="737">
        <v>8185.96</v>
      </c>
    </row>
    <row r="205" spans="1:41" hidden="1">
      <c r="A205" s="756" t="s">
        <v>714</v>
      </c>
      <c r="B205" s="734">
        <v>3037882.72</v>
      </c>
      <c r="C205" s="339"/>
      <c r="D205" s="339"/>
      <c r="E205" s="735">
        <v>3037882.72</v>
      </c>
      <c r="F205" s="324"/>
      <c r="G205" s="338"/>
      <c r="H205" s="338"/>
      <c r="I205" s="339"/>
      <c r="J205" s="322"/>
      <c r="K205" s="339"/>
      <c r="L205" s="339"/>
      <c r="M205" s="338"/>
      <c r="N205" s="324"/>
      <c r="O205" s="338"/>
      <c r="P205" s="338"/>
      <c r="Q205" s="339"/>
      <c r="R205" s="322"/>
      <c r="S205" s="339"/>
      <c r="T205" s="339"/>
      <c r="U205" s="338"/>
      <c r="V205" s="324"/>
      <c r="W205" s="338"/>
      <c r="X205" s="338"/>
      <c r="Y205" s="339"/>
      <c r="Z205" s="322"/>
      <c r="AA205" s="339"/>
      <c r="AB205" s="339"/>
      <c r="AC205" s="338"/>
      <c r="AD205" s="324"/>
      <c r="AE205" s="338"/>
      <c r="AF205" s="338"/>
      <c r="AG205" s="339"/>
      <c r="AH205" s="322"/>
      <c r="AI205" s="339"/>
      <c r="AJ205" s="339"/>
      <c r="AK205" s="338"/>
      <c r="AL205" s="736">
        <v>3037882.72</v>
      </c>
      <c r="AM205" s="338"/>
      <c r="AN205" s="338"/>
      <c r="AO205" s="737">
        <v>3037882.72</v>
      </c>
    </row>
    <row r="206" spans="1:41" hidden="1">
      <c r="A206" s="757" t="s">
        <v>1533</v>
      </c>
      <c r="B206" s="734">
        <v>246730</v>
      </c>
      <c r="C206" s="339"/>
      <c r="D206" s="339"/>
      <c r="E206" s="735">
        <v>246730</v>
      </c>
      <c r="F206" s="324"/>
      <c r="G206" s="338"/>
      <c r="H206" s="338"/>
      <c r="I206" s="339"/>
      <c r="J206" s="322"/>
      <c r="K206" s="339"/>
      <c r="L206" s="339"/>
      <c r="M206" s="338"/>
      <c r="N206" s="324"/>
      <c r="O206" s="338"/>
      <c r="P206" s="338"/>
      <c r="Q206" s="339"/>
      <c r="R206" s="322"/>
      <c r="S206" s="339"/>
      <c r="T206" s="339"/>
      <c r="U206" s="338"/>
      <c r="V206" s="324"/>
      <c r="W206" s="338"/>
      <c r="X206" s="338"/>
      <c r="Y206" s="339"/>
      <c r="Z206" s="322"/>
      <c r="AA206" s="339"/>
      <c r="AB206" s="339"/>
      <c r="AC206" s="338"/>
      <c r="AD206" s="324"/>
      <c r="AE206" s="338"/>
      <c r="AF206" s="338"/>
      <c r="AG206" s="339"/>
      <c r="AH206" s="322"/>
      <c r="AI206" s="339"/>
      <c r="AJ206" s="339"/>
      <c r="AK206" s="338"/>
      <c r="AL206" s="736">
        <v>246730</v>
      </c>
      <c r="AM206" s="338"/>
      <c r="AN206" s="338"/>
      <c r="AO206" s="737">
        <v>246730</v>
      </c>
    </row>
    <row r="207" spans="1:41" hidden="1">
      <c r="A207" s="757" t="s">
        <v>1534</v>
      </c>
      <c r="B207" s="734">
        <v>7122.04</v>
      </c>
      <c r="C207" s="339"/>
      <c r="D207" s="339"/>
      <c r="E207" s="735">
        <v>7122.04</v>
      </c>
      <c r="F207" s="324"/>
      <c r="G207" s="338"/>
      <c r="H207" s="338"/>
      <c r="I207" s="339"/>
      <c r="J207" s="322"/>
      <c r="K207" s="339"/>
      <c r="L207" s="339"/>
      <c r="M207" s="338"/>
      <c r="N207" s="324"/>
      <c r="O207" s="338"/>
      <c r="P207" s="338"/>
      <c r="Q207" s="339"/>
      <c r="R207" s="322"/>
      <c r="S207" s="339"/>
      <c r="T207" s="339"/>
      <c r="U207" s="338"/>
      <c r="V207" s="324"/>
      <c r="W207" s="338"/>
      <c r="X207" s="338"/>
      <c r="Y207" s="339"/>
      <c r="Z207" s="322"/>
      <c r="AA207" s="339"/>
      <c r="AB207" s="339"/>
      <c r="AC207" s="338"/>
      <c r="AD207" s="324"/>
      <c r="AE207" s="338"/>
      <c r="AF207" s="338"/>
      <c r="AG207" s="339"/>
      <c r="AH207" s="322"/>
      <c r="AI207" s="339"/>
      <c r="AJ207" s="339"/>
      <c r="AK207" s="338"/>
      <c r="AL207" s="736">
        <v>7122.04</v>
      </c>
      <c r="AM207" s="338"/>
      <c r="AN207" s="338"/>
      <c r="AO207" s="737">
        <v>7122.04</v>
      </c>
    </row>
    <row r="208" spans="1:41" hidden="1">
      <c r="A208" s="757" t="s">
        <v>1535</v>
      </c>
      <c r="B208" s="734">
        <v>17312</v>
      </c>
      <c r="C208" s="339"/>
      <c r="D208" s="339"/>
      <c r="E208" s="735">
        <v>17312</v>
      </c>
      <c r="F208" s="324"/>
      <c r="G208" s="338"/>
      <c r="H208" s="338"/>
      <c r="I208" s="339"/>
      <c r="J208" s="322"/>
      <c r="K208" s="339"/>
      <c r="L208" s="339"/>
      <c r="M208" s="338"/>
      <c r="N208" s="324"/>
      <c r="O208" s="338"/>
      <c r="P208" s="338"/>
      <c r="Q208" s="339"/>
      <c r="R208" s="322"/>
      <c r="S208" s="339"/>
      <c r="T208" s="339"/>
      <c r="U208" s="338"/>
      <c r="V208" s="324"/>
      <c r="W208" s="338"/>
      <c r="X208" s="338"/>
      <c r="Y208" s="339"/>
      <c r="Z208" s="322"/>
      <c r="AA208" s="339"/>
      <c r="AB208" s="339"/>
      <c r="AC208" s="338"/>
      <c r="AD208" s="324"/>
      <c r="AE208" s="338"/>
      <c r="AF208" s="338"/>
      <c r="AG208" s="339"/>
      <c r="AH208" s="322"/>
      <c r="AI208" s="339"/>
      <c r="AJ208" s="339"/>
      <c r="AK208" s="338"/>
      <c r="AL208" s="736">
        <v>17312</v>
      </c>
      <c r="AM208" s="338"/>
      <c r="AN208" s="338"/>
      <c r="AO208" s="737">
        <v>17312</v>
      </c>
    </row>
    <row r="209" spans="1:41" hidden="1">
      <c r="A209" s="757" t="s">
        <v>1536</v>
      </c>
      <c r="B209" s="734">
        <v>191250</v>
      </c>
      <c r="C209" s="339"/>
      <c r="D209" s="339"/>
      <c r="E209" s="735">
        <v>191250</v>
      </c>
      <c r="F209" s="324"/>
      <c r="G209" s="338"/>
      <c r="H209" s="338"/>
      <c r="I209" s="339"/>
      <c r="J209" s="322"/>
      <c r="K209" s="339"/>
      <c r="L209" s="339"/>
      <c r="M209" s="338"/>
      <c r="N209" s="324"/>
      <c r="O209" s="338"/>
      <c r="P209" s="338"/>
      <c r="Q209" s="339"/>
      <c r="R209" s="322"/>
      <c r="S209" s="339"/>
      <c r="T209" s="339"/>
      <c r="U209" s="338"/>
      <c r="V209" s="324"/>
      <c r="W209" s="338"/>
      <c r="X209" s="338"/>
      <c r="Y209" s="339"/>
      <c r="Z209" s="322"/>
      <c r="AA209" s="339"/>
      <c r="AB209" s="339"/>
      <c r="AC209" s="338"/>
      <c r="AD209" s="324"/>
      <c r="AE209" s="338"/>
      <c r="AF209" s="338"/>
      <c r="AG209" s="339"/>
      <c r="AH209" s="322"/>
      <c r="AI209" s="339"/>
      <c r="AJ209" s="339"/>
      <c r="AK209" s="338"/>
      <c r="AL209" s="736">
        <v>191250</v>
      </c>
      <c r="AM209" s="338"/>
      <c r="AN209" s="338"/>
      <c r="AO209" s="737">
        <v>191250</v>
      </c>
    </row>
    <row r="210" spans="1:41" hidden="1">
      <c r="A210" s="316" t="s">
        <v>715</v>
      </c>
      <c r="B210" s="958">
        <v>9699.7000000000007</v>
      </c>
      <c r="C210" s="706">
        <v>422274</v>
      </c>
      <c r="D210" s="595"/>
      <c r="E210" s="959">
        <v>431973.7</v>
      </c>
      <c r="F210" s="943"/>
      <c r="G210" s="708"/>
      <c r="H210" s="708"/>
      <c r="I210" s="708"/>
      <c r="J210" s="944"/>
      <c r="K210" s="595"/>
      <c r="L210" s="595"/>
      <c r="M210" s="595"/>
      <c r="N210" s="943"/>
      <c r="O210" s="708"/>
      <c r="P210" s="708"/>
      <c r="Q210" s="708"/>
      <c r="R210" s="944"/>
      <c r="S210" s="595"/>
      <c r="T210" s="595"/>
      <c r="U210" s="595"/>
      <c r="V210" s="943"/>
      <c r="W210" s="708"/>
      <c r="X210" s="708"/>
      <c r="Y210" s="708"/>
      <c r="Z210" s="944"/>
      <c r="AA210" s="595"/>
      <c r="AB210" s="595"/>
      <c r="AC210" s="595"/>
      <c r="AD210" s="943"/>
      <c r="AE210" s="708"/>
      <c r="AF210" s="708"/>
      <c r="AG210" s="708"/>
      <c r="AH210" s="944"/>
      <c r="AI210" s="595"/>
      <c r="AJ210" s="595"/>
      <c r="AK210" s="595"/>
      <c r="AL210" s="966">
        <v>9699.7000000000007</v>
      </c>
      <c r="AM210" s="702">
        <v>422274</v>
      </c>
      <c r="AN210" s="708"/>
      <c r="AO210" s="967">
        <v>431973.7</v>
      </c>
    </row>
    <row r="211" spans="1:41" hidden="1">
      <c r="A211" s="761" t="s">
        <v>1537</v>
      </c>
      <c r="B211" s="951">
        <v>2696214.94</v>
      </c>
      <c r="C211" s="952">
        <v>195241</v>
      </c>
      <c r="D211" s="690"/>
      <c r="E211" s="953">
        <v>2891455.94</v>
      </c>
      <c r="F211" s="940"/>
      <c r="G211" s="611"/>
      <c r="H211" s="611"/>
      <c r="I211" s="611"/>
      <c r="J211" s="939"/>
      <c r="K211" s="690"/>
      <c r="L211" s="690"/>
      <c r="M211" s="690"/>
      <c r="N211" s="940"/>
      <c r="O211" s="611"/>
      <c r="P211" s="611"/>
      <c r="Q211" s="611"/>
      <c r="R211" s="939"/>
      <c r="S211" s="690"/>
      <c r="T211" s="690"/>
      <c r="U211" s="690"/>
      <c r="V211" s="940"/>
      <c r="W211" s="611"/>
      <c r="X211" s="611"/>
      <c r="Y211" s="611"/>
      <c r="Z211" s="939"/>
      <c r="AA211" s="690"/>
      <c r="AB211" s="690"/>
      <c r="AC211" s="690"/>
      <c r="AD211" s="940"/>
      <c r="AE211" s="611"/>
      <c r="AF211" s="611"/>
      <c r="AG211" s="611"/>
      <c r="AH211" s="939"/>
      <c r="AI211" s="690"/>
      <c r="AJ211" s="690"/>
      <c r="AK211" s="690"/>
      <c r="AL211" s="949">
        <v>2696214.94</v>
      </c>
      <c r="AM211" s="954">
        <v>195241</v>
      </c>
      <c r="AN211" s="611"/>
      <c r="AO211" s="950">
        <v>2891455.94</v>
      </c>
    </row>
    <row r="212" spans="1:41" hidden="1">
      <c r="A212" s="764" t="s">
        <v>1538</v>
      </c>
      <c r="B212" s="725">
        <v>36739</v>
      </c>
      <c r="C212" s="330"/>
      <c r="D212" s="330"/>
      <c r="E212" s="727">
        <v>36739</v>
      </c>
      <c r="F212" s="319"/>
      <c r="G212" s="331"/>
      <c r="H212" s="331"/>
      <c r="I212" s="330"/>
      <c r="J212" s="317"/>
      <c r="K212" s="330"/>
      <c r="L212" s="330"/>
      <c r="M212" s="331"/>
      <c r="N212" s="319"/>
      <c r="O212" s="331"/>
      <c r="P212" s="331"/>
      <c r="Q212" s="330"/>
      <c r="R212" s="317"/>
      <c r="S212" s="330"/>
      <c r="T212" s="330"/>
      <c r="U212" s="331"/>
      <c r="V212" s="319"/>
      <c r="W212" s="331"/>
      <c r="X212" s="331"/>
      <c r="Y212" s="330"/>
      <c r="Z212" s="317"/>
      <c r="AA212" s="330"/>
      <c r="AB212" s="330"/>
      <c r="AC212" s="331"/>
      <c r="AD212" s="319"/>
      <c r="AE212" s="331"/>
      <c r="AF212" s="331"/>
      <c r="AG212" s="330"/>
      <c r="AH212" s="317"/>
      <c r="AI212" s="330"/>
      <c r="AJ212" s="330"/>
      <c r="AK212" s="331"/>
      <c r="AL212" s="722">
        <v>36739</v>
      </c>
      <c r="AM212" s="331"/>
      <c r="AN212" s="331"/>
      <c r="AO212" s="724">
        <v>36739</v>
      </c>
    </row>
    <row r="213" spans="1:41" hidden="1">
      <c r="A213" s="764" t="s">
        <v>1539</v>
      </c>
      <c r="B213" s="736">
        <v>10282</v>
      </c>
      <c r="C213" s="338"/>
      <c r="D213" s="338"/>
      <c r="E213" s="737">
        <v>10282</v>
      </c>
      <c r="F213" s="322"/>
      <c r="G213" s="339"/>
      <c r="H213" s="339"/>
      <c r="I213" s="338"/>
      <c r="J213" s="324"/>
      <c r="K213" s="338"/>
      <c r="L213" s="338"/>
      <c r="M213" s="339"/>
      <c r="N213" s="322"/>
      <c r="O213" s="339"/>
      <c r="P213" s="339"/>
      <c r="Q213" s="338"/>
      <c r="R213" s="324"/>
      <c r="S213" s="338"/>
      <c r="T213" s="338"/>
      <c r="U213" s="339"/>
      <c r="V213" s="322"/>
      <c r="W213" s="339"/>
      <c r="X213" s="339"/>
      <c r="Y213" s="338"/>
      <c r="Z213" s="324"/>
      <c r="AA213" s="338"/>
      <c r="AB213" s="338"/>
      <c r="AC213" s="339"/>
      <c r="AD213" s="322"/>
      <c r="AE213" s="339"/>
      <c r="AF213" s="339"/>
      <c r="AG213" s="338"/>
      <c r="AH213" s="324"/>
      <c r="AI213" s="338"/>
      <c r="AJ213" s="338"/>
      <c r="AK213" s="339"/>
      <c r="AL213" s="734">
        <v>10282</v>
      </c>
      <c r="AM213" s="339"/>
      <c r="AN213" s="339"/>
      <c r="AO213" s="735">
        <v>10282</v>
      </c>
    </row>
    <row r="214" spans="1:41" hidden="1">
      <c r="A214" s="764" t="s">
        <v>1540</v>
      </c>
      <c r="B214" s="736">
        <v>11270</v>
      </c>
      <c r="C214" s="338"/>
      <c r="D214" s="338"/>
      <c r="E214" s="737">
        <v>11270</v>
      </c>
      <c r="F214" s="322"/>
      <c r="G214" s="339"/>
      <c r="H214" s="339"/>
      <c r="I214" s="338"/>
      <c r="J214" s="324"/>
      <c r="K214" s="338"/>
      <c r="L214" s="338"/>
      <c r="M214" s="339"/>
      <c r="N214" s="322"/>
      <c r="O214" s="339"/>
      <c r="P214" s="339"/>
      <c r="Q214" s="338"/>
      <c r="R214" s="324"/>
      <c r="S214" s="338"/>
      <c r="T214" s="338"/>
      <c r="U214" s="339"/>
      <c r="V214" s="322"/>
      <c r="W214" s="339"/>
      <c r="X214" s="339"/>
      <c r="Y214" s="338"/>
      <c r="Z214" s="324"/>
      <c r="AA214" s="338"/>
      <c r="AB214" s="338"/>
      <c r="AC214" s="339"/>
      <c r="AD214" s="322"/>
      <c r="AE214" s="339"/>
      <c r="AF214" s="339"/>
      <c r="AG214" s="338"/>
      <c r="AH214" s="324"/>
      <c r="AI214" s="338"/>
      <c r="AJ214" s="338"/>
      <c r="AK214" s="339"/>
      <c r="AL214" s="734">
        <v>11270</v>
      </c>
      <c r="AM214" s="339"/>
      <c r="AN214" s="339"/>
      <c r="AO214" s="735">
        <v>11270</v>
      </c>
    </row>
    <row r="215" spans="1:41" hidden="1">
      <c r="A215" s="764" t="s">
        <v>1541</v>
      </c>
      <c r="B215" s="736">
        <v>32858</v>
      </c>
      <c r="C215" s="338"/>
      <c r="D215" s="338"/>
      <c r="E215" s="737">
        <v>32858</v>
      </c>
      <c r="F215" s="322"/>
      <c r="G215" s="339"/>
      <c r="H215" s="339"/>
      <c r="I215" s="338"/>
      <c r="J215" s="324"/>
      <c r="K215" s="338"/>
      <c r="L215" s="338"/>
      <c r="M215" s="339"/>
      <c r="N215" s="322"/>
      <c r="O215" s="339"/>
      <c r="P215" s="339"/>
      <c r="Q215" s="338"/>
      <c r="R215" s="324"/>
      <c r="S215" s="338"/>
      <c r="T215" s="338"/>
      <c r="U215" s="339"/>
      <c r="V215" s="322"/>
      <c r="W215" s="339"/>
      <c r="X215" s="339"/>
      <c r="Y215" s="338"/>
      <c r="Z215" s="324"/>
      <c r="AA215" s="338"/>
      <c r="AB215" s="338"/>
      <c r="AC215" s="339"/>
      <c r="AD215" s="322"/>
      <c r="AE215" s="339"/>
      <c r="AF215" s="339"/>
      <c r="AG215" s="338"/>
      <c r="AH215" s="324"/>
      <c r="AI215" s="338"/>
      <c r="AJ215" s="338"/>
      <c r="AK215" s="339"/>
      <c r="AL215" s="734">
        <v>32858</v>
      </c>
      <c r="AM215" s="339"/>
      <c r="AN215" s="339"/>
      <c r="AO215" s="735">
        <v>32858</v>
      </c>
    </row>
    <row r="216" spans="1:41" hidden="1">
      <c r="A216" s="757" t="s">
        <v>1542</v>
      </c>
      <c r="B216" s="736">
        <v>368948.94</v>
      </c>
      <c r="C216" s="711">
        <v>195241</v>
      </c>
      <c r="D216" s="338"/>
      <c r="E216" s="737">
        <v>564189.93999999994</v>
      </c>
      <c r="F216" s="322"/>
      <c r="G216" s="339"/>
      <c r="H216" s="339"/>
      <c r="I216" s="338"/>
      <c r="J216" s="324"/>
      <c r="K216" s="338"/>
      <c r="L216" s="338"/>
      <c r="M216" s="339"/>
      <c r="N216" s="322"/>
      <c r="O216" s="339"/>
      <c r="P216" s="339"/>
      <c r="Q216" s="338"/>
      <c r="R216" s="324"/>
      <c r="S216" s="338"/>
      <c r="T216" s="338"/>
      <c r="U216" s="339"/>
      <c r="V216" s="322"/>
      <c r="W216" s="339"/>
      <c r="X216" s="339"/>
      <c r="Y216" s="338"/>
      <c r="Z216" s="324"/>
      <c r="AA216" s="338"/>
      <c r="AB216" s="338"/>
      <c r="AC216" s="339"/>
      <c r="AD216" s="322"/>
      <c r="AE216" s="339"/>
      <c r="AF216" s="339"/>
      <c r="AG216" s="338"/>
      <c r="AH216" s="324"/>
      <c r="AI216" s="338"/>
      <c r="AJ216" s="338"/>
      <c r="AK216" s="339"/>
      <c r="AL216" s="734">
        <v>368948.94</v>
      </c>
      <c r="AM216" s="714">
        <v>195241</v>
      </c>
      <c r="AN216" s="339"/>
      <c r="AO216" s="735">
        <v>564189.93999999994</v>
      </c>
    </row>
    <row r="217" spans="1:41" hidden="1">
      <c r="A217" s="764" t="s">
        <v>1543</v>
      </c>
      <c r="B217" s="736">
        <v>36350</v>
      </c>
      <c r="C217" s="338"/>
      <c r="D217" s="338"/>
      <c r="E217" s="737">
        <v>36350</v>
      </c>
      <c r="F217" s="322"/>
      <c r="G217" s="339"/>
      <c r="H217" s="339"/>
      <c r="I217" s="338"/>
      <c r="J217" s="324"/>
      <c r="K217" s="338"/>
      <c r="L217" s="338"/>
      <c r="M217" s="339"/>
      <c r="N217" s="322"/>
      <c r="O217" s="339"/>
      <c r="P217" s="339"/>
      <c r="Q217" s="338"/>
      <c r="R217" s="324"/>
      <c r="S217" s="338"/>
      <c r="T217" s="338"/>
      <c r="U217" s="339"/>
      <c r="V217" s="322"/>
      <c r="W217" s="339"/>
      <c r="X217" s="339"/>
      <c r="Y217" s="338"/>
      <c r="Z217" s="324"/>
      <c r="AA217" s="338"/>
      <c r="AB217" s="338"/>
      <c r="AC217" s="339"/>
      <c r="AD217" s="322"/>
      <c r="AE217" s="339"/>
      <c r="AF217" s="339"/>
      <c r="AG217" s="338"/>
      <c r="AH217" s="324"/>
      <c r="AI217" s="338"/>
      <c r="AJ217" s="338"/>
      <c r="AK217" s="339"/>
      <c r="AL217" s="734">
        <v>36350</v>
      </c>
      <c r="AM217" s="339"/>
      <c r="AN217" s="339"/>
      <c r="AO217" s="735">
        <v>36350</v>
      </c>
    </row>
    <row r="218" spans="1:41" hidden="1">
      <c r="A218" s="764" t="s">
        <v>1544</v>
      </c>
      <c r="B218" s="736">
        <v>129681</v>
      </c>
      <c r="C218" s="338"/>
      <c r="D218" s="338"/>
      <c r="E218" s="737">
        <v>129681</v>
      </c>
      <c r="F218" s="322"/>
      <c r="G218" s="339"/>
      <c r="H218" s="339"/>
      <c r="I218" s="338"/>
      <c r="J218" s="324"/>
      <c r="K218" s="338"/>
      <c r="L218" s="338"/>
      <c r="M218" s="339"/>
      <c r="N218" s="322"/>
      <c r="O218" s="339"/>
      <c r="P218" s="339"/>
      <c r="Q218" s="338"/>
      <c r="R218" s="324"/>
      <c r="S218" s="338"/>
      <c r="T218" s="338"/>
      <c r="U218" s="339"/>
      <c r="V218" s="322"/>
      <c r="W218" s="339"/>
      <c r="X218" s="339"/>
      <c r="Y218" s="338"/>
      <c r="Z218" s="324"/>
      <c r="AA218" s="338"/>
      <c r="AB218" s="338"/>
      <c r="AC218" s="339"/>
      <c r="AD218" s="322"/>
      <c r="AE218" s="339"/>
      <c r="AF218" s="339"/>
      <c r="AG218" s="338"/>
      <c r="AH218" s="324"/>
      <c r="AI218" s="338"/>
      <c r="AJ218" s="338"/>
      <c r="AK218" s="339"/>
      <c r="AL218" s="734">
        <v>129681</v>
      </c>
      <c r="AM218" s="339"/>
      <c r="AN218" s="339"/>
      <c r="AO218" s="735">
        <v>129681</v>
      </c>
    </row>
    <row r="219" spans="1:41" hidden="1">
      <c r="A219" s="764" t="s">
        <v>1545</v>
      </c>
      <c r="B219" s="736">
        <v>22371</v>
      </c>
      <c r="C219" s="338"/>
      <c r="D219" s="338"/>
      <c r="E219" s="737">
        <v>22371</v>
      </c>
      <c r="F219" s="322"/>
      <c r="G219" s="339"/>
      <c r="H219" s="339"/>
      <c r="I219" s="338"/>
      <c r="J219" s="324"/>
      <c r="K219" s="338"/>
      <c r="L219" s="338"/>
      <c r="M219" s="339"/>
      <c r="N219" s="322"/>
      <c r="O219" s="339"/>
      <c r="P219" s="339"/>
      <c r="Q219" s="338"/>
      <c r="R219" s="324"/>
      <c r="S219" s="338"/>
      <c r="T219" s="338"/>
      <c r="U219" s="339"/>
      <c r="V219" s="322"/>
      <c r="W219" s="339"/>
      <c r="X219" s="339"/>
      <c r="Y219" s="338"/>
      <c r="Z219" s="324"/>
      <c r="AA219" s="338"/>
      <c r="AB219" s="338"/>
      <c r="AC219" s="339"/>
      <c r="AD219" s="322"/>
      <c r="AE219" s="339"/>
      <c r="AF219" s="339"/>
      <c r="AG219" s="338"/>
      <c r="AH219" s="324"/>
      <c r="AI219" s="338"/>
      <c r="AJ219" s="338"/>
      <c r="AK219" s="339"/>
      <c r="AL219" s="734">
        <v>22371</v>
      </c>
      <c r="AM219" s="339"/>
      <c r="AN219" s="339"/>
      <c r="AO219" s="735">
        <v>22371</v>
      </c>
    </row>
    <row r="220" spans="1:41" hidden="1">
      <c r="A220" s="764" t="s">
        <v>1546</v>
      </c>
      <c r="B220" s="736">
        <v>375000</v>
      </c>
      <c r="C220" s="338"/>
      <c r="D220" s="338"/>
      <c r="E220" s="737">
        <v>375000</v>
      </c>
      <c r="F220" s="322"/>
      <c r="G220" s="339"/>
      <c r="H220" s="339"/>
      <c r="I220" s="338"/>
      <c r="J220" s="324"/>
      <c r="K220" s="338"/>
      <c r="L220" s="338"/>
      <c r="M220" s="339"/>
      <c r="N220" s="322"/>
      <c r="O220" s="339"/>
      <c r="P220" s="339"/>
      <c r="Q220" s="338"/>
      <c r="R220" s="324"/>
      <c r="S220" s="338"/>
      <c r="T220" s="338"/>
      <c r="U220" s="339"/>
      <c r="V220" s="322"/>
      <c r="W220" s="339"/>
      <c r="X220" s="339"/>
      <c r="Y220" s="338"/>
      <c r="Z220" s="324"/>
      <c r="AA220" s="338"/>
      <c r="AB220" s="338"/>
      <c r="AC220" s="339"/>
      <c r="AD220" s="322"/>
      <c r="AE220" s="339"/>
      <c r="AF220" s="339"/>
      <c r="AG220" s="338"/>
      <c r="AH220" s="324"/>
      <c r="AI220" s="338"/>
      <c r="AJ220" s="338"/>
      <c r="AK220" s="339"/>
      <c r="AL220" s="734">
        <v>375000</v>
      </c>
      <c r="AM220" s="339"/>
      <c r="AN220" s="339"/>
      <c r="AO220" s="735">
        <v>375000</v>
      </c>
    </row>
    <row r="221" spans="1:41" hidden="1">
      <c r="A221" s="764" t="s">
        <v>1547</v>
      </c>
      <c r="B221" s="736">
        <v>564041</v>
      </c>
      <c r="C221" s="338"/>
      <c r="D221" s="338"/>
      <c r="E221" s="737">
        <v>564041</v>
      </c>
      <c r="F221" s="322"/>
      <c r="G221" s="339"/>
      <c r="H221" s="339"/>
      <c r="I221" s="338"/>
      <c r="J221" s="324"/>
      <c r="K221" s="338"/>
      <c r="L221" s="338"/>
      <c r="M221" s="339"/>
      <c r="N221" s="322"/>
      <c r="O221" s="339"/>
      <c r="P221" s="339"/>
      <c r="Q221" s="338"/>
      <c r="R221" s="324"/>
      <c r="S221" s="338"/>
      <c r="T221" s="338"/>
      <c r="U221" s="339"/>
      <c r="V221" s="322"/>
      <c r="W221" s="339"/>
      <c r="X221" s="339"/>
      <c r="Y221" s="338"/>
      <c r="Z221" s="324"/>
      <c r="AA221" s="338"/>
      <c r="AB221" s="338"/>
      <c r="AC221" s="339"/>
      <c r="AD221" s="322"/>
      <c r="AE221" s="339"/>
      <c r="AF221" s="339"/>
      <c r="AG221" s="338"/>
      <c r="AH221" s="324"/>
      <c r="AI221" s="338"/>
      <c r="AJ221" s="338"/>
      <c r="AK221" s="339"/>
      <c r="AL221" s="734">
        <v>564041</v>
      </c>
      <c r="AM221" s="339"/>
      <c r="AN221" s="339"/>
      <c r="AO221" s="735">
        <v>564041</v>
      </c>
    </row>
    <row r="222" spans="1:41" hidden="1">
      <c r="A222" s="764" t="s">
        <v>1548</v>
      </c>
      <c r="B222" s="736">
        <v>19040</v>
      </c>
      <c r="C222" s="338"/>
      <c r="D222" s="338"/>
      <c r="E222" s="737">
        <v>19040</v>
      </c>
      <c r="F222" s="322"/>
      <c r="G222" s="339"/>
      <c r="H222" s="339"/>
      <c r="I222" s="338"/>
      <c r="J222" s="324"/>
      <c r="K222" s="338"/>
      <c r="L222" s="338"/>
      <c r="M222" s="339"/>
      <c r="N222" s="322"/>
      <c r="O222" s="339"/>
      <c r="P222" s="339"/>
      <c r="Q222" s="338"/>
      <c r="R222" s="324"/>
      <c r="S222" s="338"/>
      <c r="T222" s="338"/>
      <c r="U222" s="339"/>
      <c r="V222" s="322"/>
      <c r="W222" s="339"/>
      <c r="X222" s="339"/>
      <c r="Y222" s="338"/>
      <c r="Z222" s="324"/>
      <c r="AA222" s="338"/>
      <c r="AB222" s="338"/>
      <c r="AC222" s="339"/>
      <c r="AD222" s="322"/>
      <c r="AE222" s="339"/>
      <c r="AF222" s="339"/>
      <c r="AG222" s="338"/>
      <c r="AH222" s="324"/>
      <c r="AI222" s="338"/>
      <c r="AJ222" s="338"/>
      <c r="AK222" s="339"/>
      <c r="AL222" s="734">
        <v>19040</v>
      </c>
      <c r="AM222" s="339"/>
      <c r="AN222" s="339"/>
      <c r="AO222" s="735">
        <v>19040</v>
      </c>
    </row>
    <row r="223" spans="1:41" hidden="1">
      <c r="A223" s="764" t="s">
        <v>1549</v>
      </c>
      <c r="B223" s="736">
        <v>10313</v>
      </c>
      <c r="C223" s="338"/>
      <c r="D223" s="338"/>
      <c r="E223" s="737">
        <v>10313</v>
      </c>
      <c r="F223" s="322"/>
      <c r="G223" s="339"/>
      <c r="H223" s="339"/>
      <c r="I223" s="338"/>
      <c r="J223" s="324"/>
      <c r="K223" s="338"/>
      <c r="L223" s="338"/>
      <c r="M223" s="339"/>
      <c r="N223" s="322"/>
      <c r="O223" s="339"/>
      <c r="P223" s="339"/>
      <c r="Q223" s="338"/>
      <c r="R223" s="324"/>
      <c r="S223" s="338"/>
      <c r="T223" s="338"/>
      <c r="U223" s="339"/>
      <c r="V223" s="322"/>
      <c r="W223" s="339"/>
      <c r="X223" s="339"/>
      <c r="Y223" s="338"/>
      <c r="Z223" s="324"/>
      <c r="AA223" s="338"/>
      <c r="AB223" s="338"/>
      <c r="AC223" s="339"/>
      <c r="AD223" s="322"/>
      <c r="AE223" s="339"/>
      <c r="AF223" s="339"/>
      <c r="AG223" s="338"/>
      <c r="AH223" s="324"/>
      <c r="AI223" s="338"/>
      <c r="AJ223" s="338"/>
      <c r="AK223" s="339"/>
      <c r="AL223" s="734">
        <v>10313</v>
      </c>
      <c r="AM223" s="339"/>
      <c r="AN223" s="339"/>
      <c r="AO223" s="735">
        <v>10313</v>
      </c>
    </row>
    <row r="224" spans="1:41" hidden="1">
      <c r="A224" s="764" t="s">
        <v>1550</v>
      </c>
      <c r="B224" s="736">
        <v>4262</v>
      </c>
      <c r="C224" s="338"/>
      <c r="D224" s="338"/>
      <c r="E224" s="737">
        <v>4262</v>
      </c>
      <c r="F224" s="322"/>
      <c r="G224" s="339"/>
      <c r="H224" s="339"/>
      <c r="I224" s="338"/>
      <c r="J224" s="324"/>
      <c r="K224" s="338"/>
      <c r="L224" s="338"/>
      <c r="M224" s="339"/>
      <c r="N224" s="322"/>
      <c r="O224" s="339"/>
      <c r="P224" s="339"/>
      <c r="Q224" s="338"/>
      <c r="R224" s="324"/>
      <c r="S224" s="338"/>
      <c r="T224" s="338"/>
      <c r="U224" s="339"/>
      <c r="V224" s="322"/>
      <c r="W224" s="339"/>
      <c r="X224" s="339"/>
      <c r="Y224" s="338"/>
      <c r="Z224" s="324"/>
      <c r="AA224" s="338"/>
      <c r="AB224" s="338"/>
      <c r="AC224" s="339"/>
      <c r="AD224" s="322"/>
      <c r="AE224" s="339"/>
      <c r="AF224" s="339"/>
      <c r="AG224" s="338"/>
      <c r="AH224" s="324"/>
      <c r="AI224" s="338"/>
      <c r="AJ224" s="338"/>
      <c r="AK224" s="339"/>
      <c r="AL224" s="734">
        <v>4262</v>
      </c>
      <c r="AM224" s="339"/>
      <c r="AN224" s="339"/>
      <c r="AO224" s="735">
        <v>4262</v>
      </c>
    </row>
    <row r="225" spans="1:41" hidden="1">
      <c r="A225" s="764" t="s">
        <v>1551</v>
      </c>
      <c r="B225" s="736">
        <v>39823</v>
      </c>
      <c r="C225" s="338"/>
      <c r="D225" s="338"/>
      <c r="E225" s="737">
        <v>39823</v>
      </c>
      <c r="F225" s="322"/>
      <c r="G225" s="339"/>
      <c r="H225" s="339"/>
      <c r="I225" s="338"/>
      <c r="J225" s="324"/>
      <c r="K225" s="338"/>
      <c r="L225" s="338"/>
      <c r="M225" s="339"/>
      <c r="N225" s="322"/>
      <c r="O225" s="339"/>
      <c r="P225" s="339"/>
      <c r="Q225" s="338"/>
      <c r="R225" s="324"/>
      <c r="S225" s="338"/>
      <c r="T225" s="338"/>
      <c r="U225" s="339"/>
      <c r="V225" s="322"/>
      <c r="W225" s="339"/>
      <c r="X225" s="339"/>
      <c r="Y225" s="338"/>
      <c r="Z225" s="324"/>
      <c r="AA225" s="338"/>
      <c r="AB225" s="338"/>
      <c r="AC225" s="339"/>
      <c r="AD225" s="322"/>
      <c r="AE225" s="339"/>
      <c r="AF225" s="339"/>
      <c r="AG225" s="338"/>
      <c r="AH225" s="324"/>
      <c r="AI225" s="338"/>
      <c r="AJ225" s="338"/>
      <c r="AK225" s="339"/>
      <c r="AL225" s="734">
        <v>39823</v>
      </c>
      <c r="AM225" s="339"/>
      <c r="AN225" s="339"/>
      <c r="AO225" s="735">
        <v>39823</v>
      </c>
    </row>
    <row r="226" spans="1:41" hidden="1">
      <c r="A226" s="764" t="s">
        <v>1552</v>
      </c>
      <c r="B226" s="736">
        <v>21613</v>
      </c>
      <c r="C226" s="338"/>
      <c r="D226" s="338"/>
      <c r="E226" s="737">
        <v>21613</v>
      </c>
      <c r="F226" s="322"/>
      <c r="G226" s="339"/>
      <c r="H226" s="339"/>
      <c r="I226" s="338"/>
      <c r="J226" s="324"/>
      <c r="K226" s="338"/>
      <c r="L226" s="338"/>
      <c r="M226" s="339"/>
      <c r="N226" s="322"/>
      <c r="O226" s="339"/>
      <c r="P226" s="339"/>
      <c r="Q226" s="338"/>
      <c r="R226" s="324"/>
      <c r="S226" s="338"/>
      <c r="T226" s="338"/>
      <c r="U226" s="339"/>
      <c r="V226" s="322"/>
      <c r="W226" s="339"/>
      <c r="X226" s="339"/>
      <c r="Y226" s="338"/>
      <c r="Z226" s="324"/>
      <c r="AA226" s="338"/>
      <c r="AB226" s="338"/>
      <c r="AC226" s="339"/>
      <c r="AD226" s="322"/>
      <c r="AE226" s="339"/>
      <c r="AF226" s="339"/>
      <c r="AG226" s="338"/>
      <c r="AH226" s="324"/>
      <c r="AI226" s="338"/>
      <c r="AJ226" s="338"/>
      <c r="AK226" s="339"/>
      <c r="AL226" s="734">
        <v>21613</v>
      </c>
      <c r="AM226" s="339"/>
      <c r="AN226" s="339"/>
      <c r="AO226" s="735">
        <v>21613</v>
      </c>
    </row>
    <row r="227" spans="1:41" hidden="1">
      <c r="A227" s="764" t="s">
        <v>1553</v>
      </c>
      <c r="B227" s="736">
        <v>11321</v>
      </c>
      <c r="C227" s="338"/>
      <c r="D227" s="338"/>
      <c r="E227" s="737">
        <v>11321</v>
      </c>
      <c r="F227" s="322"/>
      <c r="G227" s="339"/>
      <c r="H227" s="339"/>
      <c r="I227" s="338"/>
      <c r="J227" s="324"/>
      <c r="K227" s="338"/>
      <c r="L227" s="338"/>
      <c r="M227" s="339"/>
      <c r="N227" s="322"/>
      <c r="O227" s="339"/>
      <c r="P227" s="339"/>
      <c r="Q227" s="338"/>
      <c r="R227" s="324"/>
      <c r="S227" s="338"/>
      <c r="T227" s="338"/>
      <c r="U227" s="339"/>
      <c r="V227" s="322"/>
      <c r="W227" s="339"/>
      <c r="X227" s="339"/>
      <c r="Y227" s="338"/>
      <c r="Z227" s="324"/>
      <c r="AA227" s="338"/>
      <c r="AB227" s="338"/>
      <c r="AC227" s="339"/>
      <c r="AD227" s="322"/>
      <c r="AE227" s="339"/>
      <c r="AF227" s="339"/>
      <c r="AG227" s="338"/>
      <c r="AH227" s="324"/>
      <c r="AI227" s="338"/>
      <c r="AJ227" s="338"/>
      <c r="AK227" s="339"/>
      <c r="AL227" s="734">
        <v>11321</v>
      </c>
      <c r="AM227" s="339"/>
      <c r="AN227" s="339"/>
      <c r="AO227" s="735">
        <v>11321</v>
      </c>
    </row>
    <row r="228" spans="1:41" hidden="1">
      <c r="A228" s="764" t="s">
        <v>1554</v>
      </c>
      <c r="B228" s="736">
        <v>4928</v>
      </c>
      <c r="C228" s="338"/>
      <c r="D228" s="338"/>
      <c r="E228" s="737">
        <v>4928</v>
      </c>
      <c r="F228" s="322"/>
      <c r="G228" s="339"/>
      <c r="H228" s="339"/>
      <c r="I228" s="338"/>
      <c r="J228" s="324"/>
      <c r="K228" s="338"/>
      <c r="L228" s="338"/>
      <c r="M228" s="339"/>
      <c r="N228" s="322"/>
      <c r="O228" s="339"/>
      <c r="P228" s="339"/>
      <c r="Q228" s="338"/>
      <c r="R228" s="324"/>
      <c r="S228" s="338"/>
      <c r="T228" s="338"/>
      <c r="U228" s="339"/>
      <c r="V228" s="322"/>
      <c r="W228" s="339"/>
      <c r="X228" s="339"/>
      <c r="Y228" s="338"/>
      <c r="Z228" s="324"/>
      <c r="AA228" s="338"/>
      <c r="AB228" s="338"/>
      <c r="AC228" s="339"/>
      <c r="AD228" s="322"/>
      <c r="AE228" s="339"/>
      <c r="AF228" s="339"/>
      <c r="AG228" s="338"/>
      <c r="AH228" s="324"/>
      <c r="AI228" s="338"/>
      <c r="AJ228" s="338"/>
      <c r="AK228" s="339"/>
      <c r="AL228" s="734">
        <v>4928</v>
      </c>
      <c r="AM228" s="339"/>
      <c r="AN228" s="339"/>
      <c r="AO228" s="735">
        <v>4928</v>
      </c>
    </row>
    <row r="229" spans="1:41" hidden="1">
      <c r="A229" s="764" t="s">
        <v>1555</v>
      </c>
      <c r="B229" s="736">
        <v>14923</v>
      </c>
      <c r="C229" s="338"/>
      <c r="D229" s="338"/>
      <c r="E229" s="737">
        <v>14923</v>
      </c>
      <c r="F229" s="322"/>
      <c r="G229" s="339"/>
      <c r="H229" s="339"/>
      <c r="I229" s="338"/>
      <c r="J229" s="324"/>
      <c r="K229" s="338"/>
      <c r="L229" s="338"/>
      <c r="M229" s="339"/>
      <c r="N229" s="322"/>
      <c r="O229" s="339"/>
      <c r="P229" s="339"/>
      <c r="Q229" s="338"/>
      <c r="R229" s="324"/>
      <c r="S229" s="338"/>
      <c r="T229" s="338"/>
      <c r="U229" s="339"/>
      <c r="V229" s="322"/>
      <c r="W229" s="339"/>
      <c r="X229" s="339"/>
      <c r="Y229" s="338"/>
      <c r="Z229" s="324"/>
      <c r="AA229" s="338"/>
      <c r="AB229" s="338"/>
      <c r="AC229" s="339"/>
      <c r="AD229" s="322"/>
      <c r="AE229" s="339"/>
      <c r="AF229" s="339"/>
      <c r="AG229" s="338"/>
      <c r="AH229" s="324"/>
      <c r="AI229" s="338"/>
      <c r="AJ229" s="338"/>
      <c r="AK229" s="339"/>
      <c r="AL229" s="734">
        <v>14923</v>
      </c>
      <c r="AM229" s="339"/>
      <c r="AN229" s="339"/>
      <c r="AO229" s="735">
        <v>14923</v>
      </c>
    </row>
    <row r="230" spans="1:41" hidden="1">
      <c r="A230" s="764" t="s">
        <v>1556</v>
      </c>
      <c r="B230" s="736">
        <v>720000</v>
      </c>
      <c r="C230" s="338"/>
      <c r="D230" s="338"/>
      <c r="E230" s="737">
        <v>720000</v>
      </c>
      <c r="F230" s="322"/>
      <c r="G230" s="339"/>
      <c r="H230" s="339"/>
      <c r="I230" s="338"/>
      <c r="J230" s="324"/>
      <c r="K230" s="338"/>
      <c r="L230" s="338"/>
      <c r="M230" s="339"/>
      <c r="N230" s="322"/>
      <c r="O230" s="339"/>
      <c r="P230" s="339"/>
      <c r="Q230" s="338"/>
      <c r="R230" s="324"/>
      <c r="S230" s="338"/>
      <c r="T230" s="338"/>
      <c r="U230" s="339"/>
      <c r="V230" s="322"/>
      <c r="W230" s="339"/>
      <c r="X230" s="339"/>
      <c r="Y230" s="338"/>
      <c r="Z230" s="324"/>
      <c r="AA230" s="338"/>
      <c r="AB230" s="338"/>
      <c r="AC230" s="339"/>
      <c r="AD230" s="322"/>
      <c r="AE230" s="339"/>
      <c r="AF230" s="339"/>
      <c r="AG230" s="338"/>
      <c r="AH230" s="324"/>
      <c r="AI230" s="338"/>
      <c r="AJ230" s="338"/>
      <c r="AK230" s="339"/>
      <c r="AL230" s="734">
        <v>720000</v>
      </c>
      <c r="AM230" s="339"/>
      <c r="AN230" s="339"/>
      <c r="AO230" s="735">
        <v>720000</v>
      </c>
    </row>
    <row r="231" spans="1:41" hidden="1">
      <c r="A231" s="764" t="s">
        <v>1557</v>
      </c>
      <c r="B231" s="736">
        <v>2968</v>
      </c>
      <c r="C231" s="338"/>
      <c r="D231" s="338"/>
      <c r="E231" s="737">
        <v>2968</v>
      </c>
      <c r="F231" s="322"/>
      <c r="G231" s="339"/>
      <c r="H231" s="339"/>
      <c r="I231" s="338"/>
      <c r="J231" s="324"/>
      <c r="K231" s="338"/>
      <c r="L231" s="338"/>
      <c r="M231" s="339"/>
      <c r="N231" s="322"/>
      <c r="O231" s="339"/>
      <c r="P231" s="339"/>
      <c r="Q231" s="338"/>
      <c r="R231" s="324"/>
      <c r="S231" s="338"/>
      <c r="T231" s="338"/>
      <c r="U231" s="339"/>
      <c r="V231" s="322"/>
      <c r="W231" s="339"/>
      <c r="X231" s="339"/>
      <c r="Y231" s="338"/>
      <c r="Z231" s="324"/>
      <c r="AA231" s="338"/>
      <c r="AB231" s="338"/>
      <c r="AC231" s="339"/>
      <c r="AD231" s="322"/>
      <c r="AE231" s="339"/>
      <c r="AF231" s="339"/>
      <c r="AG231" s="338"/>
      <c r="AH231" s="324"/>
      <c r="AI231" s="338"/>
      <c r="AJ231" s="338"/>
      <c r="AK231" s="339"/>
      <c r="AL231" s="734">
        <v>2968</v>
      </c>
      <c r="AM231" s="339"/>
      <c r="AN231" s="339"/>
      <c r="AO231" s="735">
        <v>2968</v>
      </c>
    </row>
    <row r="232" spans="1:41" hidden="1">
      <c r="A232" s="764" t="s">
        <v>1558</v>
      </c>
      <c r="B232" s="736">
        <v>16796</v>
      </c>
      <c r="C232" s="338"/>
      <c r="D232" s="338"/>
      <c r="E232" s="737">
        <v>16796</v>
      </c>
      <c r="F232" s="322"/>
      <c r="G232" s="339"/>
      <c r="H232" s="339"/>
      <c r="I232" s="338"/>
      <c r="J232" s="324"/>
      <c r="K232" s="338"/>
      <c r="L232" s="338"/>
      <c r="M232" s="339"/>
      <c r="N232" s="322"/>
      <c r="O232" s="339"/>
      <c r="P232" s="339"/>
      <c r="Q232" s="338"/>
      <c r="R232" s="324"/>
      <c r="S232" s="338"/>
      <c r="T232" s="338"/>
      <c r="U232" s="339"/>
      <c r="V232" s="322"/>
      <c r="W232" s="339"/>
      <c r="X232" s="339"/>
      <c r="Y232" s="338"/>
      <c r="Z232" s="324"/>
      <c r="AA232" s="338"/>
      <c r="AB232" s="338"/>
      <c r="AC232" s="339"/>
      <c r="AD232" s="322"/>
      <c r="AE232" s="339"/>
      <c r="AF232" s="339"/>
      <c r="AG232" s="338"/>
      <c r="AH232" s="324"/>
      <c r="AI232" s="338"/>
      <c r="AJ232" s="338"/>
      <c r="AK232" s="339"/>
      <c r="AL232" s="734">
        <v>16796</v>
      </c>
      <c r="AM232" s="339"/>
      <c r="AN232" s="339"/>
      <c r="AO232" s="735">
        <v>16796</v>
      </c>
    </row>
    <row r="233" spans="1:41" hidden="1">
      <c r="A233" s="764" t="s">
        <v>1559</v>
      </c>
      <c r="B233" s="736">
        <v>242687</v>
      </c>
      <c r="C233" s="338"/>
      <c r="D233" s="338"/>
      <c r="E233" s="737">
        <v>242687</v>
      </c>
      <c r="F233" s="322"/>
      <c r="G233" s="339"/>
      <c r="H233" s="339"/>
      <c r="I233" s="338"/>
      <c r="J233" s="324"/>
      <c r="K233" s="338"/>
      <c r="L233" s="338"/>
      <c r="M233" s="339"/>
      <c r="N233" s="322"/>
      <c r="O233" s="339"/>
      <c r="P233" s="339"/>
      <c r="Q233" s="338"/>
      <c r="R233" s="324"/>
      <c r="S233" s="338"/>
      <c r="T233" s="338"/>
      <c r="U233" s="339"/>
      <c r="V233" s="322"/>
      <c r="W233" s="339"/>
      <c r="X233" s="339"/>
      <c r="Y233" s="338"/>
      <c r="Z233" s="324"/>
      <c r="AA233" s="338"/>
      <c r="AB233" s="338"/>
      <c r="AC233" s="339"/>
      <c r="AD233" s="322"/>
      <c r="AE233" s="339"/>
      <c r="AF233" s="339"/>
      <c r="AG233" s="338"/>
      <c r="AH233" s="324"/>
      <c r="AI233" s="338"/>
      <c r="AJ233" s="338"/>
      <c r="AK233" s="339"/>
      <c r="AL233" s="734">
        <v>242687</v>
      </c>
      <c r="AM233" s="339"/>
      <c r="AN233" s="339"/>
      <c r="AO233" s="735">
        <v>242687</v>
      </c>
    </row>
    <row r="234" spans="1:41" hidden="1">
      <c r="A234" s="756" t="s">
        <v>1560</v>
      </c>
      <c r="B234" s="734">
        <v>3199.84</v>
      </c>
      <c r="C234" s="339"/>
      <c r="D234" s="339"/>
      <c r="E234" s="735">
        <v>3199.84</v>
      </c>
      <c r="F234" s="324"/>
      <c r="G234" s="338"/>
      <c r="H234" s="338"/>
      <c r="I234" s="339"/>
      <c r="J234" s="322"/>
      <c r="K234" s="339"/>
      <c r="L234" s="339"/>
      <c r="M234" s="338"/>
      <c r="N234" s="324"/>
      <c r="O234" s="338"/>
      <c r="P234" s="338"/>
      <c r="Q234" s="339"/>
      <c r="R234" s="322"/>
      <c r="S234" s="339"/>
      <c r="T234" s="339"/>
      <c r="U234" s="338"/>
      <c r="V234" s="324"/>
      <c r="W234" s="338"/>
      <c r="X234" s="338"/>
      <c r="Y234" s="339"/>
      <c r="Z234" s="322"/>
      <c r="AA234" s="339"/>
      <c r="AB234" s="339"/>
      <c r="AC234" s="338"/>
      <c r="AD234" s="324"/>
      <c r="AE234" s="338"/>
      <c r="AF234" s="338"/>
      <c r="AG234" s="339"/>
      <c r="AH234" s="322"/>
      <c r="AI234" s="339"/>
      <c r="AJ234" s="339"/>
      <c r="AK234" s="338"/>
      <c r="AL234" s="736">
        <v>3199.84</v>
      </c>
      <c r="AM234" s="338"/>
      <c r="AN234" s="338"/>
      <c r="AO234" s="737">
        <v>3199.84</v>
      </c>
    </row>
    <row r="235" spans="1:41" hidden="1">
      <c r="A235" s="757" t="s">
        <v>1561</v>
      </c>
      <c r="B235" s="734">
        <v>1442463</v>
      </c>
      <c r="C235" s="339"/>
      <c r="D235" s="339"/>
      <c r="E235" s="735">
        <v>1442463</v>
      </c>
      <c r="F235" s="324"/>
      <c r="G235" s="338"/>
      <c r="H235" s="338"/>
      <c r="I235" s="339"/>
      <c r="J235" s="322"/>
      <c r="K235" s="339"/>
      <c r="L235" s="339"/>
      <c r="M235" s="338"/>
      <c r="N235" s="324"/>
      <c r="O235" s="338"/>
      <c r="P235" s="338"/>
      <c r="Q235" s="339"/>
      <c r="R235" s="322"/>
      <c r="S235" s="339"/>
      <c r="T235" s="339"/>
      <c r="U235" s="338"/>
      <c r="V235" s="324"/>
      <c r="W235" s="338"/>
      <c r="X235" s="338"/>
      <c r="Y235" s="339"/>
      <c r="Z235" s="322"/>
      <c r="AA235" s="339"/>
      <c r="AB235" s="339"/>
      <c r="AC235" s="338"/>
      <c r="AD235" s="324"/>
      <c r="AE235" s="338"/>
      <c r="AF235" s="338"/>
      <c r="AG235" s="339"/>
      <c r="AH235" s="322"/>
      <c r="AI235" s="339"/>
      <c r="AJ235" s="339"/>
      <c r="AK235" s="338"/>
      <c r="AL235" s="736">
        <v>1442463</v>
      </c>
      <c r="AM235" s="338"/>
      <c r="AN235" s="338"/>
      <c r="AO235" s="737">
        <v>1442463</v>
      </c>
    </row>
    <row r="236" spans="1:41" hidden="1">
      <c r="A236" s="757" t="s">
        <v>1562</v>
      </c>
      <c r="B236" s="734">
        <v>830487</v>
      </c>
      <c r="C236" s="339"/>
      <c r="D236" s="339"/>
      <c r="E236" s="735">
        <v>830487</v>
      </c>
      <c r="F236" s="324"/>
      <c r="G236" s="338"/>
      <c r="H236" s="338"/>
      <c r="I236" s="339"/>
      <c r="J236" s="322"/>
      <c r="K236" s="339"/>
      <c r="L236" s="339"/>
      <c r="M236" s="338"/>
      <c r="N236" s="324"/>
      <c r="O236" s="338"/>
      <c r="P236" s="338"/>
      <c r="Q236" s="339"/>
      <c r="R236" s="322"/>
      <c r="S236" s="339"/>
      <c r="T236" s="339"/>
      <c r="U236" s="338"/>
      <c r="V236" s="324"/>
      <c r="W236" s="338"/>
      <c r="X236" s="338"/>
      <c r="Y236" s="339"/>
      <c r="Z236" s="322"/>
      <c r="AA236" s="339"/>
      <c r="AB236" s="339"/>
      <c r="AC236" s="338"/>
      <c r="AD236" s="324"/>
      <c r="AE236" s="338"/>
      <c r="AF236" s="338"/>
      <c r="AG236" s="339"/>
      <c r="AH236" s="322"/>
      <c r="AI236" s="339"/>
      <c r="AJ236" s="339"/>
      <c r="AK236" s="338"/>
      <c r="AL236" s="736">
        <v>830487</v>
      </c>
      <c r="AM236" s="338"/>
      <c r="AN236" s="338"/>
      <c r="AO236" s="737">
        <v>830487</v>
      </c>
    </row>
    <row r="237" spans="1:41" hidden="1">
      <c r="A237" s="756" t="s">
        <v>1563</v>
      </c>
      <c r="B237" s="734">
        <v>6199.96</v>
      </c>
      <c r="C237" s="339"/>
      <c r="D237" s="339"/>
      <c r="E237" s="735">
        <v>6199.96</v>
      </c>
      <c r="F237" s="324"/>
      <c r="G237" s="338"/>
      <c r="H237" s="338"/>
      <c r="I237" s="339"/>
      <c r="J237" s="322"/>
      <c r="K237" s="339"/>
      <c r="L237" s="339"/>
      <c r="M237" s="338"/>
      <c r="N237" s="324"/>
      <c r="O237" s="338"/>
      <c r="P237" s="338"/>
      <c r="Q237" s="339"/>
      <c r="R237" s="322"/>
      <c r="S237" s="339"/>
      <c r="T237" s="339"/>
      <c r="U237" s="338"/>
      <c r="V237" s="324"/>
      <c r="W237" s="338"/>
      <c r="X237" s="338"/>
      <c r="Y237" s="339"/>
      <c r="Z237" s="322"/>
      <c r="AA237" s="339"/>
      <c r="AB237" s="339"/>
      <c r="AC237" s="338"/>
      <c r="AD237" s="324"/>
      <c r="AE237" s="338"/>
      <c r="AF237" s="338"/>
      <c r="AG237" s="339"/>
      <c r="AH237" s="322"/>
      <c r="AI237" s="339"/>
      <c r="AJ237" s="339"/>
      <c r="AK237" s="338"/>
      <c r="AL237" s="736">
        <v>6199.96</v>
      </c>
      <c r="AM237" s="338"/>
      <c r="AN237" s="338"/>
      <c r="AO237" s="737">
        <v>6199.96</v>
      </c>
    </row>
    <row r="238" spans="1:41" hidden="1">
      <c r="A238" s="756" t="s">
        <v>1564</v>
      </c>
      <c r="B238" s="734">
        <v>3600</v>
      </c>
      <c r="C238" s="339"/>
      <c r="D238" s="339"/>
      <c r="E238" s="735">
        <v>3600</v>
      </c>
      <c r="F238" s="324"/>
      <c r="G238" s="338"/>
      <c r="H238" s="338"/>
      <c r="I238" s="339"/>
      <c r="J238" s="322"/>
      <c r="K238" s="339"/>
      <c r="L238" s="339"/>
      <c r="M238" s="338"/>
      <c r="N238" s="324"/>
      <c r="O238" s="338"/>
      <c r="P238" s="338"/>
      <c r="Q238" s="339"/>
      <c r="R238" s="322"/>
      <c r="S238" s="339"/>
      <c r="T238" s="339"/>
      <c r="U238" s="338"/>
      <c r="V238" s="324"/>
      <c r="W238" s="338"/>
      <c r="X238" s="338"/>
      <c r="Y238" s="339"/>
      <c r="Z238" s="322"/>
      <c r="AA238" s="339"/>
      <c r="AB238" s="339"/>
      <c r="AC238" s="338"/>
      <c r="AD238" s="324"/>
      <c r="AE238" s="338"/>
      <c r="AF238" s="338"/>
      <c r="AG238" s="339"/>
      <c r="AH238" s="322"/>
      <c r="AI238" s="339"/>
      <c r="AJ238" s="339"/>
      <c r="AK238" s="338"/>
      <c r="AL238" s="736">
        <v>3600</v>
      </c>
      <c r="AM238" s="338"/>
      <c r="AN238" s="338"/>
      <c r="AO238" s="737">
        <v>3600</v>
      </c>
    </row>
    <row r="239" spans="1:41" hidden="1">
      <c r="A239" s="757" t="s">
        <v>1565</v>
      </c>
      <c r="B239" s="734">
        <v>1949.15</v>
      </c>
      <c r="C239" s="714">
        <v>3450</v>
      </c>
      <c r="D239" s="339"/>
      <c r="E239" s="735">
        <v>5399.15</v>
      </c>
      <c r="F239" s="324"/>
      <c r="G239" s="338"/>
      <c r="H239" s="338"/>
      <c r="I239" s="339"/>
      <c r="J239" s="322"/>
      <c r="K239" s="339"/>
      <c r="L239" s="339"/>
      <c r="M239" s="338"/>
      <c r="N239" s="324"/>
      <c r="O239" s="338"/>
      <c r="P239" s="338"/>
      <c r="Q239" s="339"/>
      <c r="R239" s="322"/>
      <c r="S239" s="339"/>
      <c r="T239" s="339"/>
      <c r="U239" s="338"/>
      <c r="V239" s="324"/>
      <c r="W239" s="338"/>
      <c r="X239" s="338"/>
      <c r="Y239" s="339"/>
      <c r="Z239" s="322"/>
      <c r="AA239" s="339"/>
      <c r="AB239" s="339"/>
      <c r="AC239" s="338"/>
      <c r="AD239" s="324"/>
      <c r="AE239" s="338"/>
      <c r="AF239" s="338"/>
      <c r="AG239" s="339"/>
      <c r="AH239" s="322"/>
      <c r="AI239" s="339"/>
      <c r="AJ239" s="339"/>
      <c r="AK239" s="338"/>
      <c r="AL239" s="736">
        <v>1949.15</v>
      </c>
      <c r="AM239" s="711">
        <v>3450</v>
      </c>
      <c r="AN239" s="338"/>
      <c r="AO239" s="737">
        <v>5399.15</v>
      </c>
    </row>
    <row r="240" spans="1:41" hidden="1">
      <c r="A240" s="756" t="s">
        <v>1566</v>
      </c>
      <c r="B240" s="734">
        <v>1800</v>
      </c>
      <c r="C240" s="339"/>
      <c r="D240" s="339"/>
      <c r="E240" s="735">
        <v>1800</v>
      </c>
      <c r="F240" s="324"/>
      <c r="G240" s="338"/>
      <c r="H240" s="338"/>
      <c r="I240" s="339"/>
      <c r="J240" s="322"/>
      <c r="K240" s="339"/>
      <c r="L240" s="339"/>
      <c r="M240" s="338"/>
      <c r="N240" s="324"/>
      <c r="O240" s="338"/>
      <c r="P240" s="338"/>
      <c r="Q240" s="339"/>
      <c r="R240" s="322"/>
      <c r="S240" s="339"/>
      <c r="T240" s="339"/>
      <c r="U240" s="338"/>
      <c r="V240" s="324"/>
      <c r="W240" s="338"/>
      <c r="X240" s="338"/>
      <c r="Y240" s="339"/>
      <c r="Z240" s="322"/>
      <c r="AA240" s="339"/>
      <c r="AB240" s="339"/>
      <c r="AC240" s="338"/>
      <c r="AD240" s="324"/>
      <c r="AE240" s="338"/>
      <c r="AF240" s="338"/>
      <c r="AG240" s="339"/>
      <c r="AH240" s="322"/>
      <c r="AI240" s="339"/>
      <c r="AJ240" s="339"/>
      <c r="AK240" s="338"/>
      <c r="AL240" s="736">
        <v>1800</v>
      </c>
      <c r="AM240" s="338"/>
      <c r="AN240" s="338"/>
      <c r="AO240" s="737">
        <v>1800</v>
      </c>
    </row>
    <row r="241" spans="1:41" hidden="1">
      <c r="A241" s="757" t="s">
        <v>1567</v>
      </c>
      <c r="B241" s="734">
        <v>353002</v>
      </c>
      <c r="C241" s="339"/>
      <c r="D241" s="339"/>
      <c r="E241" s="735">
        <v>353002</v>
      </c>
      <c r="F241" s="324"/>
      <c r="G241" s="338"/>
      <c r="H241" s="338"/>
      <c r="I241" s="339"/>
      <c r="J241" s="322"/>
      <c r="K241" s="339"/>
      <c r="L241" s="339"/>
      <c r="M241" s="338"/>
      <c r="N241" s="324"/>
      <c r="O241" s="338"/>
      <c r="P241" s="338"/>
      <c r="Q241" s="339"/>
      <c r="R241" s="322"/>
      <c r="S241" s="339"/>
      <c r="T241" s="339"/>
      <c r="U241" s="338"/>
      <c r="V241" s="324"/>
      <c r="W241" s="338"/>
      <c r="X241" s="338"/>
      <c r="Y241" s="339"/>
      <c r="Z241" s="322"/>
      <c r="AA241" s="339"/>
      <c r="AB241" s="339"/>
      <c r="AC241" s="338"/>
      <c r="AD241" s="324"/>
      <c r="AE241" s="338"/>
      <c r="AF241" s="338"/>
      <c r="AG241" s="339"/>
      <c r="AH241" s="322"/>
      <c r="AI241" s="339"/>
      <c r="AJ241" s="339"/>
      <c r="AK241" s="338"/>
      <c r="AL241" s="736">
        <v>353002</v>
      </c>
      <c r="AM241" s="338"/>
      <c r="AN241" s="338"/>
      <c r="AO241" s="737">
        <v>353002</v>
      </c>
    </row>
    <row r="242" spans="1:41" hidden="1">
      <c r="A242" s="757" t="s">
        <v>1568</v>
      </c>
      <c r="B242" s="734">
        <v>393827</v>
      </c>
      <c r="C242" s="339"/>
      <c r="D242" s="339"/>
      <c r="E242" s="735">
        <v>393827</v>
      </c>
      <c r="F242" s="324"/>
      <c r="G242" s="338"/>
      <c r="H242" s="338"/>
      <c r="I242" s="339"/>
      <c r="J242" s="322"/>
      <c r="K242" s="339"/>
      <c r="L242" s="339"/>
      <c r="M242" s="338"/>
      <c r="N242" s="324"/>
      <c r="O242" s="338"/>
      <c r="P242" s="338"/>
      <c r="Q242" s="339"/>
      <c r="R242" s="322"/>
      <c r="S242" s="339"/>
      <c r="T242" s="339"/>
      <c r="U242" s="338"/>
      <c r="V242" s="324"/>
      <c r="W242" s="338"/>
      <c r="X242" s="338"/>
      <c r="Y242" s="339"/>
      <c r="Z242" s="322"/>
      <c r="AA242" s="339"/>
      <c r="AB242" s="339"/>
      <c r="AC242" s="338"/>
      <c r="AD242" s="324"/>
      <c r="AE242" s="338"/>
      <c r="AF242" s="338"/>
      <c r="AG242" s="339"/>
      <c r="AH242" s="322"/>
      <c r="AI242" s="339"/>
      <c r="AJ242" s="339"/>
      <c r="AK242" s="338"/>
      <c r="AL242" s="736">
        <v>393827</v>
      </c>
      <c r="AM242" s="338"/>
      <c r="AN242" s="338"/>
      <c r="AO242" s="737">
        <v>393827</v>
      </c>
    </row>
    <row r="243" spans="1:41" hidden="1">
      <c r="A243" s="757" t="s">
        <v>1569</v>
      </c>
      <c r="B243" s="734">
        <v>140</v>
      </c>
      <c r="C243" s="339"/>
      <c r="D243" s="339"/>
      <c r="E243" s="735">
        <v>140</v>
      </c>
      <c r="F243" s="324"/>
      <c r="G243" s="338"/>
      <c r="H243" s="338"/>
      <c r="I243" s="339"/>
      <c r="J243" s="322"/>
      <c r="K243" s="339"/>
      <c r="L243" s="339"/>
      <c r="M243" s="338"/>
      <c r="N243" s="324"/>
      <c r="O243" s="338"/>
      <c r="P243" s="338"/>
      <c r="Q243" s="339"/>
      <c r="R243" s="322"/>
      <c r="S243" s="339"/>
      <c r="T243" s="339"/>
      <c r="U243" s="338"/>
      <c r="V243" s="324"/>
      <c r="W243" s="338"/>
      <c r="X243" s="338"/>
      <c r="Y243" s="339"/>
      <c r="Z243" s="322"/>
      <c r="AA243" s="339"/>
      <c r="AB243" s="339"/>
      <c r="AC243" s="338"/>
      <c r="AD243" s="324"/>
      <c r="AE243" s="338"/>
      <c r="AF243" s="338"/>
      <c r="AG243" s="339"/>
      <c r="AH243" s="322"/>
      <c r="AI243" s="339"/>
      <c r="AJ243" s="339"/>
      <c r="AK243" s="338"/>
      <c r="AL243" s="736">
        <v>140</v>
      </c>
      <c r="AM243" s="338"/>
      <c r="AN243" s="338"/>
      <c r="AO243" s="737">
        <v>140</v>
      </c>
    </row>
    <row r="244" spans="1:41" hidden="1">
      <c r="A244" s="757" t="s">
        <v>1570</v>
      </c>
      <c r="B244" s="734">
        <v>6000</v>
      </c>
      <c r="C244" s="339"/>
      <c r="D244" s="339"/>
      <c r="E244" s="735">
        <v>6000</v>
      </c>
      <c r="F244" s="324"/>
      <c r="G244" s="338"/>
      <c r="H244" s="338"/>
      <c r="I244" s="339"/>
      <c r="J244" s="322"/>
      <c r="K244" s="339"/>
      <c r="L244" s="339"/>
      <c r="M244" s="338"/>
      <c r="N244" s="324"/>
      <c r="O244" s="338"/>
      <c r="P244" s="338"/>
      <c r="Q244" s="339"/>
      <c r="R244" s="322"/>
      <c r="S244" s="339"/>
      <c r="T244" s="339"/>
      <c r="U244" s="338"/>
      <c r="V244" s="324"/>
      <c r="W244" s="338"/>
      <c r="X244" s="338"/>
      <c r="Y244" s="339"/>
      <c r="Z244" s="322"/>
      <c r="AA244" s="339"/>
      <c r="AB244" s="339"/>
      <c r="AC244" s="338"/>
      <c r="AD244" s="324"/>
      <c r="AE244" s="338"/>
      <c r="AF244" s="338"/>
      <c r="AG244" s="339"/>
      <c r="AH244" s="322"/>
      <c r="AI244" s="339"/>
      <c r="AJ244" s="339"/>
      <c r="AK244" s="338"/>
      <c r="AL244" s="736">
        <v>6000</v>
      </c>
      <c r="AM244" s="338"/>
      <c r="AN244" s="338"/>
      <c r="AO244" s="737">
        <v>6000</v>
      </c>
    </row>
    <row r="245" spans="1:41" hidden="1">
      <c r="A245" s="756" t="s">
        <v>1571</v>
      </c>
      <c r="B245" s="734">
        <v>207149</v>
      </c>
      <c r="C245" s="339"/>
      <c r="D245" s="339"/>
      <c r="E245" s="735">
        <v>207149</v>
      </c>
      <c r="F245" s="324"/>
      <c r="G245" s="338"/>
      <c r="H245" s="338"/>
      <c r="I245" s="339"/>
      <c r="J245" s="322"/>
      <c r="K245" s="339"/>
      <c r="L245" s="339"/>
      <c r="M245" s="338"/>
      <c r="N245" s="324"/>
      <c r="O245" s="338"/>
      <c r="P245" s="338"/>
      <c r="Q245" s="339"/>
      <c r="R245" s="322"/>
      <c r="S245" s="339"/>
      <c r="T245" s="339"/>
      <c r="U245" s="338"/>
      <c r="V245" s="324"/>
      <c r="W245" s="338"/>
      <c r="X245" s="338"/>
      <c r="Y245" s="339"/>
      <c r="Z245" s="322"/>
      <c r="AA245" s="339"/>
      <c r="AB245" s="339"/>
      <c r="AC245" s="338"/>
      <c r="AD245" s="324"/>
      <c r="AE245" s="338"/>
      <c r="AF245" s="338"/>
      <c r="AG245" s="339"/>
      <c r="AH245" s="322"/>
      <c r="AI245" s="339"/>
      <c r="AJ245" s="339"/>
      <c r="AK245" s="338"/>
      <c r="AL245" s="736">
        <v>207149</v>
      </c>
      <c r="AM245" s="338"/>
      <c r="AN245" s="338"/>
      <c r="AO245" s="737">
        <v>207149</v>
      </c>
    </row>
    <row r="246" spans="1:41" hidden="1">
      <c r="A246" s="756" t="s">
        <v>1572</v>
      </c>
      <c r="B246" s="710">
        <v>990.7</v>
      </c>
      <c r="C246" s="339"/>
      <c r="D246" s="339"/>
      <c r="E246" s="712">
        <v>990.7</v>
      </c>
      <c r="F246" s="324"/>
      <c r="G246" s="338"/>
      <c r="H246" s="338"/>
      <c r="I246" s="339"/>
      <c r="J246" s="322"/>
      <c r="K246" s="339"/>
      <c r="L246" s="339"/>
      <c r="M246" s="338"/>
      <c r="N246" s="324"/>
      <c r="O246" s="338"/>
      <c r="P246" s="338"/>
      <c r="Q246" s="339"/>
      <c r="R246" s="322"/>
      <c r="S246" s="339"/>
      <c r="T246" s="339"/>
      <c r="U246" s="338"/>
      <c r="V246" s="324"/>
      <c r="W246" s="338"/>
      <c r="X246" s="338"/>
      <c r="Y246" s="339"/>
      <c r="Z246" s="322"/>
      <c r="AA246" s="339"/>
      <c r="AB246" s="339"/>
      <c r="AC246" s="338"/>
      <c r="AD246" s="324"/>
      <c r="AE246" s="338"/>
      <c r="AF246" s="338"/>
      <c r="AG246" s="339"/>
      <c r="AH246" s="322"/>
      <c r="AI246" s="339"/>
      <c r="AJ246" s="339"/>
      <c r="AK246" s="338"/>
      <c r="AL246" s="713">
        <v>990.7</v>
      </c>
      <c r="AM246" s="338"/>
      <c r="AN246" s="338"/>
      <c r="AO246" s="715">
        <v>990.7</v>
      </c>
    </row>
    <row r="247" spans="1:41" hidden="1">
      <c r="A247" s="757" t="s">
        <v>1573</v>
      </c>
      <c r="B247" s="734">
        <v>485816.82</v>
      </c>
      <c r="C247" s="714">
        <v>223583</v>
      </c>
      <c r="D247" s="339"/>
      <c r="E247" s="735">
        <v>709399.82</v>
      </c>
      <c r="F247" s="324"/>
      <c r="G247" s="338"/>
      <c r="H247" s="338"/>
      <c r="I247" s="339"/>
      <c r="J247" s="322"/>
      <c r="K247" s="339"/>
      <c r="L247" s="339"/>
      <c r="M247" s="338"/>
      <c r="N247" s="324"/>
      <c r="O247" s="338"/>
      <c r="P247" s="338"/>
      <c r="Q247" s="339"/>
      <c r="R247" s="322"/>
      <c r="S247" s="339"/>
      <c r="T247" s="339"/>
      <c r="U247" s="338"/>
      <c r="V247" s="324"/>
      <c r="W247" s="338"/>
      <c r="X247" s="338"/>
      <c r="Y247" s="339"/>
      <c r="Z247" s="322"/>
      <c r="AA247" s="339"/>
      <c r="AB247" s="339"/>
      <c r="AC247" s="338"/>
      <c r="AD247" s="324"/>
      <c r="AE247" s="338"/>
      <c r="AF247" s="338"/>
      <c r="AG247" s="339"/>
      <c r="AH247" s="322"/>
      <c r="AI247" s="339"/>
      <c r="AJ247" s="339"/>
      <c r="AK247" s="338"/>
      <c r="AL247" s="736">
        <v>485816.82</v>
      </c>
      <c r="AM247" s="711">
        <v>223583</v>
      </c>
      <c r="AN247" s="338"/>
      <c r="AO247" s="737">
        <v>709399.82</v>
      </c>
    </row>
    <row r="248" spans="1:41" hidden="1">
      <c r="A248" s="757" t="s">
        <v>1574</v>
      </c>
      <c r="B248" s="734">
        <v>2090000</v>
      </c>
      <c r="C248" s="339"/>
      <c r="D248" s="339"/>
      <c r="E248" s="735">
        <v>2090000</v>
      </c>
      <c r="F248" s="324"/>
      <c r="G248" s="338"/>
      <c r="H248" s="338"/>
      <c r="I248" s="339"/>
      <c r="J248" s="322"/>
      <c r="K248" s="339"/>
      <c r="L248" s="339"/>
      <c r="M248" s="338"/>
      <c r="N248" s="324"/>
      <c r="O248" s="338"/>
      <c r="P248" s="338"/>
      <c r="Q248" s="339"/>
      <c r="R248" s="322"/>
      <c r="S248" s="339"/>
      <c r="T248" s="339"/>
      <c r="U248" s="338"/>
      <c r="V248" s="324"/>
      <c r="W248" s="338"/>
      <c r="X248" s="338"/>
      <c r="Y248" s="339"/>
      <c r="Z248" s="322"/>
      <c r="AA248" s="339"/>
      <c r="AB248" s="339"/>
      <c r="AC248" s="338"/>
      <c r="AD248" s="324"/>
      <c r="AE248" s="338"/>
      <c r="AF248" s="338"/>
      <c r="AG248" s="339"/>
      <c r="AH248" s="322"/>
      <c r="AI248" s="339"/>
      <c r="AJ248" s="339"/>
      <c r="AK248" s="338"/>
      <c r="AL248" s="736">
        <v>2090000</v>
      </c>
      <c r="AM248" s="338"/>
      <c r="AN248" s="338"/>
      <c r="AO248" s="737">
        <v>2090000</v>
      </c>
    </row>
    <row r="249" spans="1:41" hidden="1">
      <c r="A249" s="756" t="s">
        <v>1575</v>
      </c>
      <c r="B249" s="734">
        <v>7875</v>
      </c>
      <c r="C249" s="339"/>
      <c r="D249" s="339"/>
      <c r="E249" s="735">
        <v>7875</v>
      </c>
      <c r="F249" s="324"/>
      <c r="G249" s="338"/>
      <c r="H249" s="338"/>
      <c r="I249" s="339"/>
      <c r="J249" s="322"/>
      <c r="K249" s="339"/>
      <c r="L249" s="339"/>
      <c r="M249" s="338"/>
      <c r="N249" s="324"/>
      <c r="O249" s="338"/>
      <c r="P249" s="338"/>
      <c r="Q249" s="339"/>
      <c r="R249" s="322"/>
      <c r="S249" s="339"/>
      <c r="T249" s="339"/>
      <c r="U249" s="338"/>
      <c r="V249" s="324"/>
      <c r="W249" s="338"/>
      <c r="X249" s="338"/>
      <c r="Y249" s="339"/>
      <c r="Z249" s="322"/>
      <c r="AA249" s="339"/>
      <c r="AB249" s="339"/>
      <c r="AC249" s="338"/>
      <c r="AD249" s="324"/>
      <c r="AE249" s="338"/>
      <c r="AF249" s="338"/>
      <c r="AG249" s="339"/>
      <c r="AH249" s="322"/>
      <c r="AI249" s="339"/>
      <c r="AJ249" s="339"/>
      <c r="AK249" s="338"/>
      <c r="AL249" s="736">
        <v>7875</v>
      </c>
      <c r="AM249" s="338"/>
      <c r="AN249" s="338"/>
      <c r="AO249" s="737">
        <v>7875</v>
      </c>
    </row>
    <row r="250" spans="1:41" hidden="1">
      <c r="A250" s="756" t="s">
        <v>1576</v>
      </c>
      <c r="B250" s="734">
        <v>17200</v>
      </c>
      <c r="C250" s="339"/>
      <c r="D250" s="339"/>
      <c r="E250" s="735">
        <v>17200</v>
      </c>
      <c r="F250" s="324"/>
      <c r="G250" s="338"/>
      <c r="H250" s="338"/>
      <c r="I250" s="339"/>
      <c r="J250" s="322"/>
      <c r="K250" s="339"/>
      <c r="L250" s="339"/>
      <c r="M250" s="338"/>
      <c r="N250" s="324"/>
      <c r="O250" s="338"/>
      <c r="P250" s="338"/>
      <c r="Q250" s="339"/>
      <c r="R250" s="322"/>
      <c r="S250" s="339"/>
      <c r="T250" s="339"/>
      <c r="U250" s="338"/>
      <c r="V250" s="324"/>
      <c r="W250" s="338"/>
      <c r="X250" s="338"/>
      <c r="Y250" s="339"/>
      <c r="Z250" s="322"/>
      <c r="AA250" s="339"/>
      <c r="AB250" s="339"/>
      <c r="AC250" s="338"/>
      <c r="AD250" s="324"/>
      <c r="AE250" s="338"/>
      <c r="AF250" s="338"/>
      <c r="AG250" s="339"/>
      <c r="AH250" s="322"/>
      <c r="AI250" s="339"/>
      <c r="AJ250" s="339"/>
      <c r="AK250" s="338"/>
      <c r="AL250" s="736">
        <v>17200</v>
      </c>
      <c r="AM250" s="338"/>
      <c r="AN250" s="338"/>
      <c r="AO250" s="737">
        <v>17200</v>
      </c>
    </row>
    <row r="251" spans="1:41" hidden="1">
      <c r="A251" s="757" t="s">
        <v>1577</v>
      </c>
      <c r="B251" s="710">
        <v>14679305</v>
      </c>
      <c r="C251" s="339"/>
      <c r="D251" s="339"/>
      <c r="E251" s="712">
        <v>14679305</v>
      </c>
      <c r="F251" s="324"/>
      <c r="G251" s="338"/>
      <c r="H251" s="338"/>
      <c r="I251" s="339"/>
      <c r="J251" s="322"/>
      <c r="K251" s="339"/>
      <c r="L251" s="339"/>
      <c r="M251" s="338"/>
      <c r="N251" s="324"/>
      <c r="O251" s="338"/>
      <c r="P251" s="338"/>
      <c r="Q251" s="339"/>
      <c r="R251" s="322"/>
      <c r="S251" s="339"/>
      <c r="T251" s="339"/>
      <c r="U251" s="338"/>
      <c r="V251" s="324"/>
      <c r="W251" s="338"/>
      <c r="X251" s="338"/>
      <c r="Y251" s="339"/>
      <c r="Z251" s="322"/>
      <c r="AA251" s="339"/>
      <c r="AB251" s="339"/>
      <c r="AC251" s="338"/>
      <c r="AD251" s="324"/>
      <c r="AE251" s="338"/>
      <c r="AF251" s="338"/>
      <c r="AG251" s="339"/>
      <c r="AH251" s="322"/>
      <c r="AI251" s="339"/>
      <c r="AJ251" s="339"/>
      <c r="AK251" s="338"/>
      <c r="AL251" s="713">
        <v>14679305</v>
      </c>
      <c r="AM251" s="338"/>
      <c r="AN251" s="338"/>
      <c r="AO251" s="715">
        <v>14679305</v>
      </c>
    </row>
    <row r="252" spans="1:41" hidden="1">
      <c r="A252" s="756" t="s">
        <v>1578</v>
      </c>
      <c r="B252" s="734">
        <v>3500</v>
      </c>
      <c r="C252" s="339"/>
      <c r="D252" s="339"/>
      <c r="E252" s="735">
        <v>3500</v>
      </c>
      <c r="F252" s="324"/>
      <c r="G252" s="338"/>
      <c r="H252" s="338"/>
      <c r="I252" s="339"/>
      <c r="J252" s="322"/>
      <c r="K252" s="339"/>
      <c r="L252" s="339"/>
      <c r="M252" s="338"/>
      <c r="N252" s="324"/>
      <c r="O252" s="338"/>
      <c r="P252" s="338"/>
      <c r="Q252" s="339"/>
      <c r="R252" s="322"/>
      <c r="S252" s="339"/>
      <c r="T252" s="339"/>
      <c r="U252" s="338"/>
      <c r="V252" s="324"/>
      <c r="W252" s="338"/>
      <c r="X252" s="338"/>
      <c r="Y252" s="339"/>
      <c r="Z252" s="322"/>
      <c r="AA252" s="339"/>
      <c r="AB252" s="339"/>
      <c r="AC252" s="338"/>
      <c r="AD252" s="324"/>
      <c r="AE252" s="338"/>
      <c r="AF252" s="338"/>
      <c r="AG252" s="339"/>
      <c r="AH252" s="322"/>
      <c r="AI252" s="339"/>
      <c r="AJ252" s="339"/>
      <c r="AK252" s="338"/>
      <c r="AL252" s="736">
        <v>3500</v>
      </c>
      <c r="AM252" s="338"/>
      <c r="AN252" s="338"/>
      <c r="AO252" s="737">
        <v>3500</v>
      </c>
    </row>
    <row r="253" spans="1:41" hidden="1">
      <c r="A253" s="757" t="s">
        <v>1579</v>
      </c>
      <c r="B253" s="734">
        <v>3530</v>
      </c>
      <c r="C253" s="339"/>
      <c r="D253" s="339"/>
      <c r="E253" s="735">
        <v>3530</v>
      </c>
      <c r="F253" s="324"/>
      <c r="G253" s="338"/>
      <c r="H253" s="338"/>
      <c r="I253" s="339"/>
      <c r="J253" s="322"/>
      <c r="K253" s="339"/>
      <c r="L253" s="339"/>
      <c r="M253" s="338"/>
      <c r="N253" s="324"/>
      <c r="O253" s="338"/>
      <c r="P253" s="338"/>
      <c r="Q253" s="339"/>
      <c r="R253" s="322"/>
      <c r="S253" s="339"/>
      <c r="T253" s="339"/>
      <c r="U253" s="338"/>
      <c r="V253" s="324"/>
      <c r="W253" s="338"/>
      <c r="X253" s="338"/>
      <c r="Y253" s="339"/>
      <c r="Z253" s="322"/>
      <c r="AA253" s="339"/>
      <c r="AB253" s="339"/>
      <c r="AC253" s="338"/>
      <c r="AD253" s="324"/>
      <c r="AE253" s="338"/>
      <c r="AF253" s="338"/>
      <c r="AG253" s="339"/>
      <c r="AH253" s="322"/>
      <c r="AI253" s="339"/>
      <c r="AJ253" s="339"/>
      <c r="AK253" s="338"/>
      <c r="AL253" s="736">
        <v>3530</v>
      </c>
      <c r="AM253" s="338"/>
      <c r="AN253" s="338"/>
      <c r="AO253" s="737">
        <v>3530</v>
      </c>
    </row>
    <row r="254" spans="1:41" hidden="1">
      <c r="A254" s="757" t="s">
        <v>1385</v>
      </c>
      <c r="B254" s="734">
        <v>1820</v>
      </c>
      <c r="C254" s="339"/>
      <c r="D254" s="339"/>
      <c r="E254" s="735">
        <v>1820</v>
      </c>
      <c r="F254" s="324"/>
      <c r="G254" s="338"/>
      <c r="H254" s="338"/>
      <c r="I254" s="339"/>
      <c r="J254" s="322"/>
      <c r="K254" s="339"/>
      <c r="L254" s="339"/>
      <c r="M254" s="338"/>
      <c r="N254" s="324"/>
      <c r="O254" s="338"/>
      <c r="P254" s="338"/>
      <c r="Q254" s="339"/>
      <c r="R254" s="322"/>
      <c r="S254" s="339"/>
      <c r="T254" s="339"/>
      <c r="U254" s="338"/>
      <c r="V254" s="324"/>
      <c r="W254" s="338"/>
      <c r="X254" s="338"/>
      <c r="Y254" s="339"/>
      <c r="Z254" s="322"/>
      <c r="AA254" s="339"/>
      <c r="AB254" s="339"/>
      <c r="AC254" s="338"/>
      <c r="AD254" s="324"/>
      <c r="AE254" s="338"/>
      <c r="AF254" s="338"/>
      <c r="AG254" s="339"/>
      <c r="AH254" s="322"/>
      <c r="AI254" s="339"/>
      <c r="AJ254" s="339"/>
      <c r="AK254" s="338"/>
      <c r="AL254" s="736">
        <v>1820</v>
      </c>
      <c r="AM254" s="338"/>
      <c r="AN254" s="338"/>
      <c r="AO254" s="737">
        <v>1820</v>
      </c>
    </row>
    <row r="255" spans="1:41" hidden="1">
      <c r="A255" s="756" t="s">
        <v>1580</v>
      </c>
      <c r="B255" s="734">
        <v>950</v>
      </c>
      <c r="C255" s="339"/>
      <c r="D255" s="339"/>
      <c r="E255" s="735">
        <v>950</v>
      </c>
      <c r="F255" s="324"/>
      <c r="G255" s="338"/>
      <c r="H255" s="338"/>
      <c r="I255" s="339"/>
      <c r="J255" s="322"/>
      <c r="K255" s="339"/>
      <c r="L255" s="339"/>
      <c r="M255" s="338"/>
      <c r="N255" s="324"/>
      <c r="O255" s="338"/>
      <c r="P255" s="338"/>
      <c r="Q255" s="339"/>
      <c r="R255" s="322"/>
      <c r="S255" s="339"/>
      <c r="T255" s="339"/>
      <c r="U255" s="338"/>
      <c r="V255" s="324"/>
      <c r="W255" s="338"/>
      <c r="X255" s="338"/>
      <c r="Y255" s="339"/>
      <c r="Z255" s="322"/>
      <c r="AA255" s="339"/>
      <c r="AB255" s="339"/>
      <c r="AC255" s="338"/>
      <c r="AD255" s="324"/>
      <c r="AE255" s="338"/>
      <c r="AF255" s="338"/>
      <c r="AG255" s="339"/>
      <c r="AH255" s="322"/>
      <c r="AI255" s="339"/>
      <c r="AJ255" s="339"/>
      <c r="AK255" s="338"/>
      <c r="AL255" s="736">
        <v>950</v>
      </c>
      <c r="AM255" s="338"/>
      <c r="AN255" s="338"/>
      <c r="AO255" s="737">
        <v>950</v>
      </c>
    </row>
    <row r="256" spans="1:41" hidden="1">
      <c r="A256" s="757" t="s">
        <v>1581</v>
      </c>
      <c r="B256" s="734">
        <v>56707</v>
      </c>
      <c r="C256" s="339"/>
      <c r="D256" s="339"/>
      <c r="E256" s="735">
        <v>56707</v>
      </c>
      <c r="F256" s="324"/>
      <c r="G256" s="338"/>
      <c r="H256" s="338"/>
      <c r="I256" s="339"/>
      <c r="J256" s="322"/>
      <c r="K256" s="339"/>
      <c r="L256" s="339"/>
      <c r="M256" s="338"/>
      <c r="N256" s="324"/>
      <c r="O256" s="338"/>
      <c r="P256" s="338"/>
      <c r="Q256" s="339"/>
      <c r="R256" s="322"/>
      <c r="S256" s="339"/>
      <c r="T256" s="339"/>
      <c r="U256" s="338"/>
      <c r="V256" s="324"/>
      <c r="W256" s="338"/>
      <c r="X256" s="338"/>
      <c r="Y256" s="339"/>
      <c r="Z256" s="322"/>
      <c r="AA256" s="339"/>
      <c r="AB256" s="339"/>
      <c r="AC256" s="338"/>
      <c r="AD256" s="324"/>
      <c r="AE256" s="338"/>
      <c r="AF256" s="338"/>
      <c r="AG256" s="339"/>
      <c r="AH256" s="322"/>
      <c r="AI256" s="339"/>
      <c r="AJ256" s="339"/>
      <c r="AK256" s="338"/>
      <c r="AL256" s="736">
        <v>56707</v>
      </c>
      <c r="AM256" s="338"/>
      <c r="AN256" s="338"/>
      <c r="AO256" s="737">
        <v>56707</v>
      </c>
    </row>
    <row r="257" spans="1:41" hidden="1">
      <c r="A257" s="757" t="s">
        <v>1582</v>
      </c>
      <c r="B257" s="734">
        <v>450000</v>
      </c>
      <c r="C257" s="339"/>
      <c r="D257" s="339"/>
      <c r="E257" s="735">
        <v>450000</v>
      </c>
      <c r="F257" s="324"/>
      <c r="G257" s="338"/>
      <c r="H257" s="338"/>
      <c r="I257" s="339"/>
      <c r="J257" s="322"/>
      <c r="K257" s="339"/>
      <c r="L257" s="339"/>
      <c r="M257" s="338"/>
      <c r="N257" s="324"/>
      <c r="O257" s="338"/>
      <c r="P257" s="338"/>
      <c r="Q257" s="339"/>
      <c r="R257" s="322"/>
      <c r="S257" s="339"/>
      <c r="T257" s="339"/>
      <c r="U257" s="338"/>
      <c r="V257" s="324"/>
      <c r="W257" s="338"/>
      <c r="X257" s="338"/>
      <c r="Y257" s="339"/>
      <c r="Z257" s="322"/>
      <c r="AA257" s="339"/>
      <c r="AB257" s="339"/>
      <c r="AC257" s="338"/>
      <c r="AD257" s="324"/>
      <c r="AE257" s="338"/>
      <c r="AF257" s="338"/>
      <c r="AG257" s="339"/>
      <c r="AH257" s="322"/>
      <c r="AI257" s="339"/>
      <c r="AJ257" s="339"/>
      <c r="AK257" s="338"/>
      <c r="AL257" s="736">
        <v>450000</v>
      </c>
      <c r="AM257" s="338"/>
      <c r="AN257" s="338"/>
      <c r="AO257" s="737">
        <v>450000</v>
      </c>
    </row>
    <row r="258" spans="1:41" hidden="1">
      <c r="A258" s="756" t="s">
        <v>1583</v>
      </c>
      <c r="B258" s="734">
        <v>15299.37</v>
      </c>
      <c r="C258" s="339"/>
      <c r="D258" s="339"/>
      <c r="E258" s="735">
        <v>15299.37</v>
      </c>
      <c r="F258" s="324"/>
      <c r="G258" s="338"/>
      <c r="H258" s="338"/>
      <c r="I258" s="339"/>
      <c r="J258" s="322"/>
      <c r="K258" s="339"/>
      <c r="L258" s="339"/>
      <c r="M258" s="338"/>
      <c r="N258" s="324"/>
      <c r="O258" s="338"/>
      <c r="P258" s="338"/>
      <c r="Q258" s="339"/>
      <c r="R258" s="322"/>
      <c r="S258" s="339"/>
      <c r="T258" s="339"/>
      <c r="U258" s="338"/>
      <c r="V258" s="324"/>
      <c r="W258" s="338"/>
      <c r="X258" s="338"/>
      <c r="Y258" s="339"/>
      <c r="Z258" s="322"/>
      <c r="AA258" s="339"/>
      <c r="AB258" s="339"/>
      <c r="AC258" s="338"/>
      <c r="AD258" s="324"/>
      <c r="AE258" s="338"/>
      <c r="AF258" s="338"/>
      <c r="AG258" s="339"/>
      <c r="AH258" s="322"/>
      <c r="AI258" s="339"/>
      <c r="AJ258" s="339"/>
      <c r="AK258" s="338"/>
      <c r="AL258" s="736">
        <v>15299.37</v>
      </c>
      <c r="AM258" s="338"/>
      <c r="AN258" s="338"/>
      <c r="AO258" s="737">
        <v>15299.37</v>
      </c>
    </row>
    <row r="259" spans="1:41" hidden="1">
      <c r="A259" s="757" t="s">
        <v>1584</v>
      </c>
      <c r="B259" s="734">
        <v>21023</v>
      </c>
      <c r="C259" s="339"/>
      <c r="D259" s="339"/>
      <c r="E259" s="735">
        <v>21023</v>
      </c>
      <c r="F259" s="324"/>
      <c r="G259" s="338"/>
      <c r="H259" s="338"/>
      <c r="I259" s="339"/>
      <c r="J259" s="322"/>
      <c r="K259" s="339"/>
      <c r="L259" s="339"/>
      <c r="M259" s="338"/>
      <c r="N259" s="324"/>
      <c r="O259" s="338"/>
      <c r="P259" s="338"/>
      <c r="Q259" s="339"/>
      <c r="R259" s="322"/>
      <c r="S259" s="339"/>
      <c r="T259" s="339"/>
      <c r="U259" s="338"/>
      <c r="V259" s="324"/>
      <c r="W259" s="338"/>
      <c r="X259" s="338"/>
      <c r="Y259" s="339"/>
      <c r="Z259" s="322"/>
      <c r="AA259" s="339"/>
      <c r="AB259" s="339"/>
      <c r="AC259" s="338"/>
      <c r="AD259" s="324"/>
      <c r="AE259" s="338"/>
      <c r="AF259" s="338"/>
      <c r="AG259" s="339"/>
      <c r="AH259" s="322"/>
      <c r="AI259" s="339"/>
      <c r="AJ259" s="339"/>
      <c r="AK259" s="338"/>
      <c r="AL259" s="736">
        <v>21023</v>
      </c>
      <c r="AM259" s="338"/>
      <c r="AN259" s="338"/>
      <c r="AO259" s="737">
        <v>21023</v>
      </c>
    </row>
    <row r="260" spans="1:41" hidden="1">
      <c r="A260" s="757" t="s">
        <v>1585</v>
      </c>
      <c r="B260" s="734">
        <v>15553.33</v>
      </c>
      <c r="C260" s="339"/>
      <c r="D260" s="339"/>
      <c r="E260" s="735">
        <v>15553.33</v>
      </c>
      <c r="F260" s="324"/>
      <c r="G260" s="338"/>
      <c r="H260" s="338"/>
      <c r="I260" s="339"/>
      <c r="J260" s="322"/>
      <c r="K260" s="339"/>
      <c r="L260" s="339"/>
      <c r="M260" s="338"/>
      <c r="N260" s="324"/>
      <c r="O260" s="338"/>
      <c r="P260" s="338"/>
      <c r="Q260" s="339"/>
      <c r="R260" s="322"/>
      <c r="S260" s="339"/>
      <c r="T260" s="339"/>
      <c r="U260" s="338"/>
      <c r="V260" s="324"/>
      <c r="W260" s="338"/>
      <c r="X260" s="338"/>
      <c r="Y260" s="339"/>
      <c r="Z260" s="322"/>
      <c r="AA260" s="339"/>
      <c r="AB260" s="339"/>
      <c r="AC260" s="338"/>
      <c r="AD260" s="324"/>
      <c r="AE260" s="338"/>
      <c r="AF260" s="338"/>
      <c r="AG260" s="339"/>
      <c r="AH260" s="322"/>
      <c r="AI260" s="339"/>
      <c r="AJ260" s="339"/>
      <c r="AK260" s="338"/>
      <c r="AL260" s="736">
        <v>15553.33</v>
      </c>
      <c r="AM260" s="338"/>
      <c r="AN260" s="338"/>
      <c r="AO260" s="737">
        <v>15553.33</v>
      </c>
    </row>
    <row r="261" spans="1:41" hidden="1">
      <c r="A261" s="757" t="s">
        <v>1586</v>
      </c>
      <c r="B261" s="734">
        <v>1899.76</v>
      </c>
      <c r="C261" s="339"/>
      <c r="D261" s="339"/>
      <c r="E261" s="735">
        <v>1899.76</v>
      </c>
      <c r="F261" s="324"/>
      <c r="G261" s="338"/>
      <c r="H261" s="338"/>
      <c r="I261" s="339"/>
      <c r="J261" s="322"/>
      <c r="K261" s="339"/>
      <c r="L261" s="339"/>
      <c r="M261" s="338"/>
      <c r="N261" s="324"/>
      <c r="O261" s="338"/>
      <c r="P261" s="338"/>
      <c r="Q261" s="339"/>
      <c r="R261" s="322"/>
      <c r="S261" s="339"/>
      <c r="T261" s="339"/>
      <c r="U261" s="338"/>
      <c r="V261" s="324"/>
      <c r="W261" s="338"/>
      <c r="X261" s="338"/>
      <c r="Y261" s="339"/>
      <c r="Z261" s="322"/>
      <c r="AA261" s="339"/>
      <c r="AB261" s="339"/>
      <c r="AC261" s="338"/>
      <c r="AD261" s="324"/>
      <c r="AE261" s="338"/>
      <c r="AF261" s="338"/>
      <c r="AG261" s="339"/>
      <c r="AH261" s="322"/>
      <c r="AI261" s="339"/>
      <c r="AJ261" s="339"/>
      <c r="AK261" s="338"/>
      <c r="AL261" s="736">
        <v>1899.76</v>
      </c>
      <c r="AM261" s="338"/>
      <c r="AN261" s="338"/>
      <c r="AO261" s="737">
        <v>1899.76</v>
      </c>
    </row>
    <row r="262" spans="1:41" hidden="1">
      <c r="A262" s="757" t="s">
        <v>1587</v>
      </c>
      <c r="B262" s="734">
        <v>10000</v>
      </c>
      <c r="C262" s="339"/>
      <c r="D262" s="339"/>
      <c r="E262" s="735">
        <v>10000</v>
      </c>
      <c r="F262" s="324"/>
      <c r="G262" s="338"/>
      <c r="H262" s="338"/>
      <c r="I262" s="339"/>
      <c r="J262" s="322"/>
      <c r="K262" s="339"/>
      <c r="L262" s="339"/>
      <c r="M262" s="338"/>
      <c r="N262" s="324"/>
      <c r="O262" s="338"/>
      <c r="P262" s="338"/>
      <c r="Q262" s="339"/>
      <c r="R262" s="322"/>
      <c r="S262" s="339"/>
      <c r="T262" s="339"/>
      <c r="U262" s="338"/>
      <c r="V262" s="324"/>
      <c r="W262" s="338"/>
      <c r="X262" s="338"/>
      <c r="Y262" s="339"/>
      <c r="Z262" s="322"/>
      <c r="AA262" s="339"/>
      <c r="AB262" s="339"/>
      <c r="AC262" s="338"/>
      <c r="AD262" s="324"/>
      <c r="AE262" s="338"/>
      <c r="AF262" s="338"/>
      <c r="AG262" s="339"/>
      <c r="AH262" s="322"/>
      <c r="AI262" s="339"/>
      <c r="AJ262" s="339"/>
      <c r="AK262" s="338"/>
      <c r="AL262" s="736">
        <v>10000</v>
      </c>
      <c r="AM262" s="338"/>
      <c r="AN262" s="338"/>
      <c r="AO262" s="737">
        <v>10000</v>
      </c>
    </row>
    <row r="263" spans="1:41" hidden="1">
      <c r="A263" s="757" t="s">
        <v>1588</v>
      </c>
      <c r="B263" s="734">
        <v>1180</v>
      </c>
      <c r="C263" s="339"/>
      <c r="D263" s="339"/>
      <c r="E263" s="735">
        <v>1180</v>
      </c>
      <c r="F263" s="324"/>
      <c r="G263" s="338"/>
      <c r="H263" s="338"/>
      <c r="I263" s="339"/>
      <c r="J263" s="322"/>
      <c r="K263" s="339"/>
      <c r="L263" s="339"/>
      <c r="M263" s="338"/>
      <c r="N263" s="324"/>
      <c r="O263" s="338"/>
      <c r="P263" s="338"/>
      <c r="Q263" s="339"/>
      <c r="R263" s="322"/>
      <c r="S263" s="339"/>
      <c r="T263" s="339"/>
      <c r="U263" s="338"/>
      <c r="V263" s="324"/>
      <c r="W263" s="338"/>
      <c r="X263" s="338"/>
      <c r="Y263" s="339"/>
      <c r="Z263" s="322"/>
      <c r="AA263" s="339"/>
      <c r="AB263" s="339"/>
      <c r="AC263" s="338"/>
      <c r="AD263" s="324"/>
      <c r="AE263" s="338"/>
      <c r="AF263" s="338"/>
      <c r="AG263" s="339"/>
      <c r="AH263" s="322"/>
      <c r="AI263" s="339"/>
      <c r="AJ263" s="339"/>
      <c r="AK263" s="338"/>
      <c r="AL263" s="736">
        <v>1180</v>
      </c>
      <c r="AM263" s="338"/>
      <c r="AN263" s="338"/>
      <c r="AO263" s="737">
        <v>1180</v>
      </c>
    </row>
    <row r="264" spans="1:41" hidden="1">
      <c r="A264" s="757" t="s">
        <v>1589</v>
      </c>
      <c r="B264" s="734">
        <v>12500</v>
      </c>
      <c r="C264" s="339"/>
      <c r="D264" s="339"/>
      <c r="E264" s="735">
        <v>12500</v>
      </c>
      <c r="F264" s="324"/>
      <c r="G264" s="338"/>
      <c r="H264" s="338"/>
      <c r="I264" s="339"/>
      <c r="J264" s="322"/>
      <c r="K264" s="339"/>
      <c r="L264" s="339"/>
      <c r="M264" s="338"/>
      <c r="N264" s="324"/>
      <c r="O264" s="338"/>
      <c r="P264" s="338"/>
      <c r="Q264" s="339"/>
      <c r="R264" s="322"/>
      <c r="S264" s="339"/>
      <c r="T264" s="339"/>
      <c r="U264" s="338"/>
      <c r="V264" s="324"/>
      <c r="W264" s="338"/>
      <c r="X264" s="338"/>
      <c r="Y264" s="339"/>
      <c r="Z264" s="322"/>
      <c r="AA264" s="339"/>
      <c r="AB264" s="339"/>
      <c r="AC264" s="338"/>
      <c r="AD264" s="324"/>
      <c r="AE264" s="338"/>
      <c r="AF264" s="338"/>
      <c r="AG264" s="339"/>
      <c r="AH264" s="322"/>
      <c r="AI264" s="339"/>
      <c r="AJ264" s="339"/>
      <c r="AK264" s="338"/>
      <c r="AL264" s="736">
        <v>12500</v>
      </c>
      <c r="AM264" s="338"/>
      <c r="AN264" s="338"/>
      <c r="AO264" s="737">
        <v>12500</v>
      </c>
    </row>
    <row r="265" spans="1:41" hidden="1">
      <c r="A265" s="321" t="s">
        <v>384</v>
      </c>
      <c r="B265" s="734">
        <v>18000</v>
      </c>
      <c r="C265" s="339"/>
      <c r="D265" s="339"/>
      <c r="E265" s="735">
        <v>18000</v>
      </c>
      <c r="F265" s="324"/>
      <c r="G265" s="338"/>
      <c r="H265" s="338"/>
      <c r="I265" s="339"/>
      <c r="J265" s="322"/>
      <c r="K265" s="339"/>
      <c r="L265" s="339"/>
      <c r="M265" s="338"/>
      <c r="N265" s="324"/>
      <c r="O265" s="338"/>
      <c r="P265" s="338"/>
      <c r="Q265" s="339"/>
      <c r="R265" s="322"/>
      <c r="S265" s="339"/>
      <c r="T265" s="339"/>
      <c r="U265" s="338"/>
      <c r="V265" s="324"/>
      <c r="W265" s="338"/>
      <c r="X265" s="338"/>
      <c r="Y265" s="339"/>
      <c r="Z265" s="322"/>
      <c r="AA265" s="339"/>
      <c r="AB265" s="339"/>
      <c r="AC265" s="338"/>
      <c r="AD265" s="324"/>
      <c r="AE265" s="338"/>
      <c r="AF265" s="338"/>
      <c r="AG265" s="339"/>
      <c r="AH265" s="322"/>
      <c r="AI265" s="339"/>
      <c r="AJ265" s="339"/>
      <c r="AK265" s="338"/>
      <c r="AL265" s="736">
        <v>18000</v>
      </c>
      <c r="AM265" s="338"/>
      <c r="AN265" s="338"/>
      <c r="AO265" s="737">
        <v>18000</v>
      </c>
    </row>
    <row r="266" spans="1:41" hidden="1">
      <c r="A266" s="756" t="s">
        <v>1590</v>
      </c>
      <c r="B266" s="734">
        <v>66000</v>
      </c>
      <c r="C266" s="339"/>
      <c r="D266" s="339"/>
      <c r="E266" s="735">
        <v>66000</v>
      </c>
      <c r="F266" s="324"/>
      <c r="G266" s="338"/>
      <c r="H266" s="338"/>
      <c r="I266" s="339"/>
      <c r="J266" s="322"/>
      <c r="K266" s="339"/>
      <c r="L266" s="339"/>
      <c r="M266" s="338"/>
      <c r="N266" s="324"/>
      <c r="O266" s="338"/>
      <c r="P266" s="338"/>
      <c r="Q266" s="339"/>
      <c r="R266" s="322"/>
      <c r="S266" s="339"/>
      <c r="T266" s="339"/>
      <c r="U266" s="338"/>
      <c r="V266" s="324"/>
      <c r="W266" s="338"/>
      <c r="X266" s="338"/>
      <c r="Y266" s="339"/>
      <c r="Z266" s="322"/>
      <c r="AA266" s="339"/>
      <c r="AB266" s="339"/>
      <c r="AC266" s="338"/>
      <c r="AD266" s="324"/>
      <c r="AE266" s="338"/>
      <c r="AF266" s="338"/>
      <c r="AG266" s="339"/>
      <c r="AH266" s="322"/>
      <c r="AI266" s="339"/>
      <c r="AJ266" s="339"/>
      <c r="AK266" s="338"/>
      <c r="AL266" s="736">
        <v>66000</v>
      </c>
      <c r="AM266" s="338"/>
      <c r="AN266" s="338"/>
      <c r="AO266" s="737">
        <v>66000</v>
      </c>
    </row>
    <row r="267" spans="1:41" hidden="1">
      <c r="A267" s="757" t="s">
        <v>1591</v>
      </c>
      <c r="B267" s="734">
        <v>4357500</v>
      </c>
      <c r="C267" s="339"/>
      <c r="D267" s="339"/>
      <c r="E267" s="735">
        <v>4357500</v>
      </c>
      <c r="F267" s="324"/>
      <c r="G267" s="338"/>
      <c r="H267" s="338"/>
      <c r="I267" s="339"/>
      <c r="J267" s="322"/>
      <c r="K267" s="339"/>
      <c r="L267" s="339"/>
      <c r="M267" s="338"/>
      <c r="N267" s="324"/>
      <c r="O267" s="338"/>
      <c r="P267" s="338"/>
      <c r="Q267" s="339"/>
      <c r="R267" s="322"/>
      <c r="S267" s="339"/>
      <c r="T267" s="339"/>
      <c r="U267" s="338"/>
      <c r="V267" s="324"/>
      <c r="W267" s="338"/>
      <c r="X267" s="338"/>
      <c r="Y267" s="339"/>
      <c r="Z267" s="322"/>
      <c r="AA267" s="339"/>
      <c r="AB267" s="339"/>
      <c r="AC267" s="338"/>
      <c r="AD267" s="324"/>
      <c r="AE267" s="338"/>
      <c r="AF267" s="338"/>
      <c r="AG267" s="339"/>
      <c r="AH267" s="322"/>
      <c r="AI267" s="339"/>
      <c r="AJ267" s="339"/>
      <c r="AK267" s="338"/>
      <c r="AL267" s="736">
        <v>4357500</v>
      </c>
      <c r="AM267" s="338"/>
      <c r="AN267" s="338"/>
      <c r="AO267" s="737">
        <v>4357500</v>
      </c>
    </row>
    <row r="268" spans="1:41" hidden="1">
      <c r="A268" s="757" t="s">
        <v>1592</v>
      </c>
      <c r="B268" s="734">
        <v>12553</v>
      </c>
      <c r="C268" s="339"/>
      <c r="D268" s="339"/>
      <c r="E268" s="735">
        <v>12553</v>
      </c>
      <c r="F268" s="324"/>
      <c r="G268" s="338"/>
      <c r="H268" s="338"/>
      <c r="I268" s="339"/>
      <c r="J268" s="322"/>
      <c r="K268" s="339"/>
      <c r="L268" s="339"/>
      <c r="M268" s="338"/>
      <c r="N268" s="324"/>
      <c r="O268" s="338"/>
      <c r="P268" s="338"/>
      <c r="Q268" s="339"/>
      <c r="R268" s="322"/>
      <c r="S268" s="339"/>
      <c r="T268" s="339"/>
      <c r="U268" s="338"/>
      <c r="V268" s="324"/>
      <c r="W268" s="338"/>
      <c r="X268" s="338"/>
      <c r="Y268" s="339"/>
      <c r="Z268" s="322"/>
      <c r="AA268" s="339"/>
      <c r="AB268" s="339"/>
      <c r="AC268" s="338"/>
      <c r="AD268" s="324"/>
      <c r="AE268" s="338"/>
      <c r="AF268" s="338"/>
      <c r="AG268" s="339"/>
      <c r="AH268" s="322"/>
      <c r="AI268" s="339"/>
      <c r="AJ268" s="339"/>
      <c r="AK268" s="338"/>
      <c r="AL268" s="736">
        <v>12553</v>
      </c>
      <c r="AM268" s="338"/>
      <c r="AN268" s="338"/>
      <c r="AO268" s="737">
        <v>12553</v>
      </c>
    </row>
    <row r="269" spans="1:41" hidden="1">
      <c r="A269" s="756" t="s">
        <v>1593</v>
      </c>
      <c r="B269" s="734">
        <v>27364.3</v>
      </c>
      <c r="C269" s="339"/>
      <c r="D269" s="339"/>
      <c r="E269" s="735">
        <v>27364.3</v>
      </c>
      <c r="F269" s="324"/>
      <c r="G269" s="338"/>
      <c r="H269" s="338"/>
      <c r="I269" s="339"/>
      <c r="J269" s="322"/>
      <c r="K269" s="339"/>
      <c r="L269" s="339"/>
      <c r="M269" s="338"/>
      <c r="N269" s="324"/>
      <c r="O269" s="338"/>
      <c r="P269" s="338"/>
      <c r="Q269" s="339"/>
      <c r="R269" s="322"/>
      <c r="S269" s="339"/>
      <c r="T269" s="339"/>
      <c r="U269" s="338"/>
      <c r="V269" s="324"/>
      <c r="W269" s="338"/>
      <c r="X269" s="338"/>
      <c r="Y269" s="339"/>
      <c r="Z269" s="322"/>
      <c r="AA269" s="339"/>
      <c r="AB269" s="339"/>
      <c r="AC269" s="338"/>
      <c r="AD269" s="324"/>
      <c r="AE269" s="338"/>
      <c r="AF269" s="338"/>
      <c r="AG269" s="339"/>
      <c r="AH269" s="322"/>
      <c r="AI269" s="339"/>
      <c r="AJ269" s="339"/>
      <c r="AK269" s="338"/>
      <c r="AL269" s="736">
        <v>27364.3</v>
      </c>
      <c r="AM269" s="338"/>
      <c r="AN269" s="338"/>
      <c r="AO269" s="737">
        <v>27364.3</v>
      </c>
    </row>
    <row r="270" spans="1:41" hidden="1">
      <c r="A270" s="757" t="s">
        <v>1594</v>
      </c>
      <c r="B270" s="710">
        <v>9.07</v>
      </c>
      <c r="C270" s="339"/>
      <c r="D270" s="339"/>
      <c r="E270" s="712">
        <v>9.07</v>
      </c>
      <c r="F270" s="324"/>
      <c r="G270" s="338"/>
      <c r="H270" s="338"/>
      <c r="I270" s="339"/>
      <c r="J270" s="322"/>
      <c r="K270" s="339"/>
      <c r="L270" s="339"/>
      <c r="M270" s="338"/>
      <c r="N270" s="324"/>
      <c r="O270" s="338"/>
      <c r="P270" s="338"/>
      <c r="Q270" s="339"/>
      <c r="R270" s="322"/>
      <c r="S270" s="339"/>
      <c r="T270" s="339"/>
      <c r="U270" s="338"/>
      <c r="V270" s="324"/>
      <c r="W270" s="338"/>
      <c r="X270" s="338"/>
      <c r="Y270" s="339"/>
      <c r="Z270" s="322"/>
      <c r="AA270" s="339"/>
      <c r="AB270" s="339"/>
      <c r="AC270" s="338"/>
      <c r="AD270" s="324"/>
      <c r="AE270" s="338"/>
      <c r="AF270" s="338"/>
      <c r="AG270" s="339"/>
      <c r="AH270" s="322"/>
      <c r="AI270" s="339"/>
      <c r="AJ270" s="339"/>
      <c r="AK270" s="338"/>
      <c r="AL270" s="713">
        <v>9.07</v>
      </c>
      <c r="AM270" s="338"/>
      <c r="AN270" s="338"/>
      <c r="AO270" s="715">
        <v>9.07</v>
      </c>
    </row>
    <row r="271" spans="1:41" hidden="1">
      <c r="A271" s="756" t="s">
        <v>1595</v>
      </c>
      <c r="B271" s="734">
        <v>1500</v>
      </c>
      <c r="C271" s="339"/>
      <c r="D271" s="339"/>
      <c r="E271" s="735">
        <v>1500</v>
      </c>
      <c r="F271" s="324"/>
      <c r="G271" s="338"/>
      <c r="H271" s="338"/>
      <c r="I271" s="339"/>
      <c r="J271" s="322"/>
      <c r="K271" s="339"/>
      <c r="L271" s="339"/>
      <c r="M271" s="338"/>
      <c r="N271" s="324"/>
      <c r="O271" s="338"/>
      <c r="P271" s="338"/>
      <c r="Q271" s="339"/>
      <c r="R271" s="322"/>
      <c r="S271" s="339"/>
      <c r="T271" s="339"/>
      <c r="U271" s="338"/>
      <c r="V271" s="324"/>
      <c r="W271" s="338"/>
      <c r="X271" s="338"/>
      <c r="Y271" s="339"/>
      <c r="Z271" s="322"/>
      <c r="AA271" s="339"/>
      <c r="AB271" s="339"/>
      <c r="AC271" s="338"/>
      <c r="AD271" s="324"/>
      <c r="AE271" s="338"/>
      <c r="AF271" s="338"/>
      <c r="AG271" s="339"/>
      <c r="AH271" s="322"/>
      <c r="AI271" s="339"/>
      <c r="AJ271" s="339"/>
      <c r="AK271" s="338"/>
      <c r="AL271" s="736">
        <v>1500</v>
      </c>
      <c r="AM271" s="338"/>
      <c r="AN271" s="338"/>
      <c r="AO271" s="737">
        <v>1500</v>
      </c>
    </row>
    <row r="272" spans="1:41" hidden="1">
      <c r="A272" s="757" t="s">
        <v>1596</v>
      </c>
      <c r="B272" s="734">
        <v>437236</v>
      </c>
      <c r="C272" s="339"/>
      <c r="D272" s="339"/>
      <c r="E272" s="735">
        <v>437236</v>
      </c>
      <c r="F272" s="324"/>
      <c r="G272" s="338"/>
      <c r="H272" s="338"/>
      <c r="I272" s="339"/>
      <c r="J272" s="322"/>
      <c r="K272" s="339"/>
      <c r="L272" s="339"/>
      <c r="M272" s="338"/>
      <c r="N272" s="324"/>
      <c r="O272" s="338"/>
      <c r="P272" s="338"/>
      <c r="Q272" s="339"/>
      <c r="R272" s="322"/>
      <c r="S272" s="339"/>
      <c r="T272" s="339"/>
      <c r="U272" s="338"/>
      <c r="V272" s="324"/>
      <c r="W272" s="338"/>
      <c r="X272" s="338"/>
      <c r="Y272" s="339"/>
      <c r="Z272" s="322"/>
      <c r="AA272" s="339"/>
      <c r="AB272" s="339"/>
      <c r="AC272" s="338"/>
      <c r="AD272" s="324"/>
      <c r="AE272" s="338"/>
      <c r="AF272" s="338"/>
      <c r="AG272" s="339"/>
      <c r="AH272" s="322"/>
      <c r="AI272" s="339"/>
      <c r="AJ272" s="339"/>
      <c r="AK272" s="338"/>
      <c r="AL272" s="736">
        <v>437236</v>
      </c>
      <c r="AM272" s="338"/>
      <c r="AN272" s="338"/>
      <c r="AO272" s="737">
        <v>437236</v>
      </c>
    </row>
    <row r="273" spans="1:41" hidden="1">
      <c r="A273" s="757" t="s">
        <v>1597</v>
      </c>
      <c r="B273" s="734">
        <v>10000</v>
      </c>
      <c r="C273" s="339"/>
      <c r="D273" s="339"/>
      <c r="E273" s="735">
        <v>10000</v>
      </c>
      <c r="F273" s="324"/>
      <c r="G273" s="338"/>
      <c r="H273" s="338"/>
      <c r="I273" s="339"/>
      <c r="J273" s="322"/>
      <c r="K273" s="339"/>
      <c r="L273" s="339"/>
      <c r="M273" s="338"/>
      <c r="N273" s="324"/>
      <c r="O273" s="338"/>
      <c r="P273" s="338"/>
      <c r="Q273" s="339"/>
      <c r="R273" s="322"/>
      <c r="S273" s="339"/>
      <c r="T273" s="339"/>
      <c r="U273" s="338"/>
      <c r="V273" s="324"/>
      <c r="W273" s="338"/>
      <c r="X273" s="338"/>
      <c r="Y273" s="339"/>
      <c r="Z273" s="322"/>
      <c r="AA273" s="339"/>
      <c r="AB273" s="339"/>
      <c r="AC273" s="338"/>
      <c r="AD273" s="324"/>
      <c r="AE273" s="338"/>
      <c r="AF273" s="338"/>
      <c r="AG273" s="339"/>
      <c r="AH273" s="322"/>
      <c r="AI273" s="339"/>
      <c r="AJ273" s="339"/>
      <c r="AK273" s="338"/>
      <c r="AL273" s="736">
        <v>10000</v>
      </c>
      <c r="AM273" s="338"/>
      <c r="AN273" s="338"/>
      <c r="AO273" s="737">
        <v>10000</v>
      </c>
    </row>
    <row r="274" spans="1:41" hidden="1">
      <c r="A274" s="757" t="s">
        <v>1598</v>
      </c>
      <c r="B274" s="734">
        <v>223784</v>
      </c>
      <c r="C274" s="339"/>
      <c r="D274" s="339"/>
      <c r="E274" s="735">
        <v>223784</v>
      </c>
      <c r="F274" s="324"/>
      <c r="G274" s="338"/>
      <c r="H274" s="338"/>
      <c r="I274" s="339"/>
      <c r="J274" s="322"/>
      <c r="K274" s="339"/>
      <c r="L274" s="339"/>
      <c r="M274" s="338"/>
      <c r="N274" s="324"/>
      <c r="O274" s="338"/>
      <c r="P274" s="338"/>
      <c r="Q274" s="339"/>
      <c r="R274" s="322"/>
      <c r="S274" s="339"/>
      <c r="T274" s="339"/>
      <c r="U274" s="338"/>
      <c r="V274" s="324"/>
      <c r="W274" s="338"/>
      <c r="X274" s="338"/>
      <c r="Y274" s="339"/>
      <c r="Z274" s="322"/>
      <c r="AA274" s="339"/>
      <c r="AB274" s="339"/>
      <c r="AC274" s="338"/>
      <c r="AD274" s="324"/>
      <c r="AE274" s="338"/>
      <c r="AF274" s="338"/>
      <c r="AG274" s="339"/>
      <c r="AH274" s="322"/>
      <c r="AI274" s="339"/>
      <c r="AJ274" s="339"/>
      <c r="AK274" s="338"/>
      <c r="AL274" s="736">
        <v>223784</v>
      </c>
      <c r="AM274" s="338"/>
      <c r="AN274" s="338"/>
      <c r="AO274" s="737">
        <v>223784</v>
      </c>
    </row>
    <row r="275" spans="1:41" hidden="1">
      <c r="A275" s="756" t="s">
        <v>1599</v>
      </c>
      <c r="B275" s="734">
        <v>48425</v>
      </c>
      <c r="C275" s="339"/>
      <c r="D275" s="339"/>
      <c r="E275" s="735">
        <v>48425</v>
      </c>
      <c r="F275" s="324"/>
      <c r="G275" s="338"/>
      <c r="H275" s="338"/>
      <c r="I275" s="339"/>
      <c r="J275" s="322"/>
      <c r="K275" s="339"/>
      <c r="L275" s="339"/>
      <c r="M275" s="338"/>
      <c r="N275" s="324"/>
      <c r="O275" s="338"/>
      <c r="P275" s="338"/>
      <c r="Q275" s="339"/>
      <c r="R275" s="322"/>
      <c r="S275" s="339"/>
      <c r="T275" s="339"/>
      <c r="U275" s="338"/>
      <c r="V275" s="324"/>
      <c r="W275" s="338"/>
      <c r="X275" s="338"/>
      <c r="Y275" s="339"/>
      <c r="Z275" s="322"/>
      <c r="AA275" s="339"/>
      <c r="AB275" s="339"/>
      <c r="AC275" s="338"/>
      <c r="AD275" s="324"/>
      <c r="AE275" s="338"/>
      <c r="AF275" s="338"/>
      <c r="AG275" s="339"/>
      <c r="AH275" s="322"/>
      <c r="AI275" s="339"/>
      <c r="AJ275" s="339"/>
      <c r="AK275" s="338"/>
      <c r="AL275" s="736">
        <v>48425</v>
      </c>
      <c r="AM275" s="338"/>
      <c r="AN275" s="338"/>
      <c r="AO275" s="737">
        <v>48425</v>
      </c>
    </row>
    <row r="276" spans="1:41" hidden="1">
      <c r="A276" s="756" t="s">
        <v>1600</v>
      </c>
      <c r="B276" s="734">
        <v>7000</v>
      </c>
      <c r="C276" s="339"/>
      <c r="D276" s="339"/>
      <c r="E276" s="735">
        <v>7000</v>
      </c>
      <c r="F276" s="324"/>
      <c r="G276" s="338"/>
      <c r="H276" s="338"/>
      <c r="I276" s="339"/>
      <c r="J276" s="322"/>
      <c r="K276" s="339"/>
      <c r="L276" s="339"/>
      <c r="M276" s="338"/>
      <c r="N276" s="324"/>
      <c r="O276" s="338"/>
      <c r="P276" s="338"/>
      <c r="Q276" s="339"/>
      <c r="R276" s="322"/>
      <c r="S276" s="339"/>
      <c r="T276" s="339"/>
      <c r="U276" s="338"/>
      <c r="V276" s="324"/>
      <c r="W276" s="338"/>
      <c r="X276" s="338"/>
      <c r="Y276" s="339"/>
      <c r="Z276" s="322"/>
      <c r="AA276" s="339"/>
      <c r="AB276" s="339"/>
      <c r="AC276" s="338"/>
      <c r="AD276" s="324"/>
      <c r="AE276" s="338"/>
      <c r="AF276" s="338"/>
      <c r="AG276" s="339"/>
      <c r="AH276" s="322"/>
      <c r="AI276" s="339"/>
      <c r="AJ276" s="339"/>
      <c r="AK276" s="338"/>
      <c r="AL276" s="736">
        <v>7000</v>
      </c>
      <c r="AM276" s="338"/>
      <c r="AN276" s="338"/>
      <c r="AO276" s="737">
        <v>7000</v>
      </c>
    </row>
    <row r="277" spans="1:41" hidden="1">
      <c r="A277" s="756" t="s">
        <v>1601</v>
      </c>
      <c r="B277" s="734">
        <v>2906</v>
      </c>
      <c r="C277" s="339"/>
      <c r="D277" s="339"/>
      <c r="E277" s="735">
        <v>2906</v>
      </c>
      <c r="F277" s="324"/>
      <c r="G277" s="338"/>
      <c r="H277" s="338"/>
      <c r="I277" s="339"/>
      <c r="J277" s="322"/>
      <c r="K277" s="339"/>
      <c r="L277" s="339"/>
      <c r="M277" s="338"/>
      <c r="N277" s="324"/>
      <c r="O277" s="338"/>
      <c r="P277" s="338"/>
      <c r="Q277" s="339"/>
      <c r="R277" s="322"/>
      <c r="S277" s="339"/>
      <c r="T277" s="339"/>
      <c r="U277" s="338"/>
      <c r="V277" s="324"/>
      <c r="W277" s="338"/>
      <c r="X277" s="338"/>
      <c r="Y277" s="339"/>
      <c r="Z277" s="322"/>
      <c r="AA277" s="339"/>
      <c r="AB277" s="339"/>
      <c r="AC277" s="338"/>
      <c r="AD277" s="324"/>
      <c r="AE277" s="338"/>
      <c r="AF277" s="338"/>
      <c r="AG277" s="339"/>
      <c r="AH277" s="322"/>
      <c r="AI277" s="339"/>
      <c r="AJ277" s="339"/>
      <c r="AK277" s="338"/>
      <c r="AL277" s="736">
        <v>2906</v>
      </c>
      <c r="AM277" s="338"/>
      <c r="AN277" s="338"/>
      <c r="AO277" s="737">
        <v>2906</v>
      </c>
    </row>
    <row r="278" spans="1:41" hidden="1">
      <c r="A278" s="757" t="s">
        <v>1602</v>
      </c>
      <c r="B278" s="734">
        <v>86765</v>
      </c>
      <c r="C278" s="339"/>
      <c r="D278" s="339"/>
      <c r="E278" s="735">
        <v>86765</v>
      </c>
      <c r="F278" s="324"/>
      <c r="G278" s="338"/>
      <c r="H278" s="338"/>
      <c r="I278" s="339"/>
      <c r="J278" s="322"/>
      <c r="K278" s="339"/>
      <c r="L278" s="339"/>
      <c r="M278" s="338"/>
      <c r="N278" s="324"/>
      <c r="O278" s="338"/>
      <c r="P278" s="338"/>
      <c r="Q278" s="339"/>
      <c r="R278" s="322"/>
      <c r="S278" s="339"/>
      <c r="T278" s="339"/>
      <c r="U278" s="338"/>
      <c r="V278" s="324"/>
      <c r="W278" s="338"/>
      <c r="X278" s="338"/>
      <c r="Y278" s="339"/>
      <c r="Z278" s="322"/>
      <c r="AA278" s="339"/>
      <c r="AB278" s="339"/>
      <c r="AC278" s="338"/>
      <c r="AD278" s="324"/>
      <c r="AE278" s="338"/>
      <c r="AF278" s="338"/>
      <c r="AG278" s="339"/>
      <c r="AH278" s="322"/>
      <c r="AI278" s="339"/>
      <c r="AJ278" s="339"/>
      <c r="AK278" s="338"/>
      <c r="AL278" s="736">
        <v>86765</v>
      </c>
      <c r="AM278" s="338"/>
      <c r="AN278" s="338"/>
      <c r="AO278" s="737">
        <v>86765</v>
      </c>
    </row>
    <row r="279" spans="1:41" hidden="1">
      <c r="A279" s="757" t="s">
        <v>1603</v>
      </c>
      <c r="B279" s="734">
        <v>28759</v>
      </c>
      <c r="C279" s="339"/>
      <c r="D279" s="339"/>
      <c r="E279" s="735">
        <v>28759</v>
      </c>
      <c r="F279" s="324"/>
      <c r="G279" s="338"/>
      <c r="H279" s="338"/>
      <c r="I279" s="339"/>
      <c r="J279" s="322"/>
      <c r="K279" s="339"/>
      <c r="L279" s="339"/>
      <c r="M279" s="338"/>
      <c r="N279" s="324"/>
      <c r="O279" s="338"/>
      <c r="P279" s="338"/>
      <c r="Q279" s="339"/>
      <c r="R279" s="322"/>
      <c r="S279" s="339"/>
      <c r="T279" s="339"/>
      <c r="U279" s="338"/>
      <c r="V279" s="324"/>
      <c r="W279" s="338"/>
      <c r="X279" s="338"/>
      <c r="Y279" s="339"/>
      <c r="Z279" s="322"/>
      <c r="AA279" s="339"/>
      <c r="AB279" s="339"/>
      <c r="AC279" s="338"/>
      <c r="AD279" s="324"/>
      <c r="AE279" s="338"/>
      <c r="AF279" s="338"/>
      <c r="AG279" s="339"/>
      <c r="AH279" s="322"/>
      <c r="AI279" s="339"/>
      <c r="AJ279" s="339"/>
      <c r="AK279" s="338"/>
      <c r="AL279" s="736">
        <v>28759</v>
      </c>
      <c r="AM279" s="338"/>
      <c r="AN279" s="338"/>
      <c r="AO279" s="737">
        <v>28759</v>
      </c>
    </row>
    <row r="280" spans="1:41" hidden="1">
      <c r="A280" s="757" t="s">
        <v>1604</v>
      </c>
      <c r="B280" s="734">
        <v>1900</v>
      </c>
      <c r="C280" s="339"/>
      <c r="D280" s="339"/>
      <c r="E280" s="735">
        <v>1900</v>
      </c>
      <c r="F280" s="324"/>
      <c r="G280" s="338"/>
      <c r="H280" s="338"/>
      <c r="I280" s="339"/>
      <c r="J280" s="322"/>
      <c r="K280" s="339"/>
      <c r="L280" s="339"/>
      <c r="M280" s="338"/>
      <c r="N280" s="324"/>
      <c r="O280" s="338"/>
      <c r="P280" s="338"/>
      <c r="Q280" s="339"/>
      <c r="R280" s="322"/>
      <c r="S280" s="339"/>
      <c r="T280" s="339"/>
      <c r="U280" s="338"/>
      <c r="V280" s="324"/>
      <c r="W280" s="338"/>
      <c r="X280" s="338"/>
      <c r="Y280" s="339"/>
      <c r="Z280" s="322"/>
      <c r="AA280" s="339"/>
      <c r="AB280" s="339"/>
      <c r="AC280" s="338"/>
      <c r="AD280" s="324"/>
      <c r="AE280" s="338"/>
      <c r="AF280" s="338"/>
      <c r="AG280" s="339"/>
      <c r="AH280" s="322"/>
      <c r="AI280" s="339"/>
      <c r="AJ280" s="339"/>
      <c r="AK280" s="338"/>
      <c r="AL280" s="736">
        <v>1900</v>
      </c>
      <c r="AM280" s="338"/>
      <c r="AN280" s="338"/>
      <c r="AO280" s="737">
        <v>1900</v>
      </c>
    </row>
    <row r="281" spans="1:41" hidden="1">
      <c r="A281" s="757" t="s">
        <v>1605</v>
      </c>
      <c r="B281" s="734">
        <v>14543</v>
      </c>
      <c r="C281" s="339"/>
      <c r="D281" s="339"/>
      <c r="E281" s="735">
        <v>14543</v>
      </c>
      <c r="F281" s="324"/>
      <c r="G281" s="338"/>
      <c r="H281" s="338"/>
      <c r="I281" s="339"/>
      <c r="J281" s="322"/>
      <c r="K281" s="339"/>
      <c r="L281" s="339"/>
      <c r="M281" s="338"/>
      <c r="N281" s="324"/>
      <c r="O281" s="338"/>
      <c r="P281" s="338"/>
      <c r="Q281" s="339"/>
      <c r="R281" s="322"/>
      <c r="S281" s="339"/>
      <c r="T281" s="339"/>
      <c r="U281" s="338"/>
      <c r="V281" s="324"/>
      <c r="W281" s="338"/>
      <c r="X281" s="338"/>
      <c r="Y281" s="339"/>
      <c r="Z281" s="322"/>
      <c r="AA281" s="339"/>
      <c r="AB281" s="339"/>
      <c r="AC281" s="338"/>
      <c r="AD281" s="324"/>
      <c r="AE281" s="338"/>
      <c r="AF281" s="338"/>
      <c r="AG281" s="339"/>
      <c r="AH281" s="322"/>
      <c r="AI281" s="339"/>
      <c r="AJ281" s="339"/>
      <c r="AK281" s="338"/>
      <c r="AL281" s="736">
        <v>14543</v>
      </c>
      <c r="AM281" s="338"/>
      <c r="AN281" s="338"/>
      <c r="AO281" s="737">
        <v>14543</v>
      </c>
    </row>
    <row r="282" spans="1:41" hidden="1">
      <c r="A282" s="757" t="s">
        <v>1606</v>
      </c>
      <c r="B282" s="734">
        <v>54783</v>
      </c>
      <c r="C282" s="339"/>
      <c r="D282" s="339"/>
      <c r="E282" s="735">
        <v>54783</v>
      </c>
      <c r="F282" s="324"/>
      <c r="G282" s="338"/>
      <c r="H282" s="338"/>
      <c r="I282" s="339"/>
      <c r="J282" s="322"/>
      <c r="K282" s="339"/>
      <c r="L282" s="339"/>
      <c r="M282" s="338"/>
      <c r="N282" s="324"/>
      <c r="O282" s="338"/>
      <c r="P282" s="338"/>
      <c r="Q282" s="339"/>
      <c r="R282" s="322"/>
      <c r="S282" s="339"/>
      <c r="T282" s="339"/>
      <c r="U282" s="338"/>
      <c r="V282" s="324"/>
      <c r="W282" s="338"/>
      <c r="X282" s="338"/>
      <c r="Y282" s="339"/>
      <c r="Z282" s="322"/>
      <c r="AA282" s="339"/>
      <c r="AB282" s="339"/>
      <c r="AC282" s="338"/>
      <c r="AD282" s="324"/>
      <c r="AE282" s="338"/>
      <c r="AF282" s="338"/>
      <c r="AG282" s="339"/>
      <c r="AH282" s="322"/>
      <c r="AI282" s="339"/>
      <c r="AJ282" s="339"/>
      <c r="AK282" s="338"/>
      <c r="AL282" s="736">
        <v>54783</v>
      </c>
      <c r="AM282" s="338"/>
      <c r="AN282" s="338"/>
      <c r="AO282" s="737">
        <v>54783</v>
      </c>
    </row>
    <row r="283" spans="1:41" hidden="1">
      <c r="A283" s="756" t="s">
        <v>1607</v>
      </c>
      <c r="B283" s="734">
        <v>147600</v>
      </c>
      <c r="C283" s="339"/>
      <c r="D283" s="339"/>
      <c r="E283" s="735">
        <v>147600</v>
      </c>
      <c r="F283" s="324"/>
      <c r="G283" s="338"/>
      <c r="H283" s="338"/>
      <c r="I283" s="339"/>
      <c r="J283" s="322"/>
      <c r="K283" s="339"/>
      <c r="L283" s="339"/>
      <c r="M283" s="338"/>
      <c r="N283" s="324"/>
      <c r="O283" s="338"/>
      <c r="P283" s="338"/>
      <c r="Q283" s="339"/>
      <c r="R283" s="322"/>
      <c r="S283" s="339"/>
      <c r="T283" s="339"/>
      <c r="U283" s="338"/>
      <c r="V283" s="324"/>
      <c r="W283" s="338"/>
      <c r="X283" s="338"/>
      <c r="Y283" s="339"/>
      <c r="Z283" s="322"/>
      <c r="AA283" s="339"/>
      <c r="AB283" s="339"/>
      <c r="AC283" s="338"/>
      <c r="AD283" s="324"/>
      <c r="AE283" s="338"/>
      <c r="AF283" s="338"/>
      <c r="AG283" s="339"/>
      <c r="AH283" s="322"/>
      <c r="AI283" s="339"/>
      <c r="AJ283" s="339"/>
      <c r="AK283" s="338"/>
      <c r="AL283" s="736">
        <v>147600</v>
      </c>
      <c r="AM283" s="338"/>
      <c r="AN283" s="338"/>
      <c r="AO283" s="737">
        <v>147600</v>
      </c>
    </row>
    <row r="284" spans="1:41" hidden="1">
      <c r="A284" s="756" t="s">
        <v>1608</v>
      </c>
      <c r="B284" s="734">
        <v>2500</v>
      </c>
      <c r="C284" s="339"/>
      <c r="D284" s="339"/>
      <c r="E284" s="735">
        <v>2500</v>
      </c>
      <c r="F284" s="324"/>
      <c r="G284" s="338"/>
      <c r="H284" s="338"/>
      <c r="I284" s="339"/>
      <c r="J284" s="322"/>
      <c r="K284" s="339"/>
      <c r="L284" s="339"/>
      <c r="M284" s="338"/>
      <c r="N284" s="324"/>
      <c r="O284" s="338"/>
      <c r="P284" s="338"/>
      <c r="Q284" s="339"/>
      <c r="R284" s="322"/>
      <c r="S284" s="339"/>
      <c r="T284" s="339"/>
      <c r="U284" s="338"/>
      <c r="V284" s="324"/>
      <c r="W284" s="338"/>
      <c r="X284" s="338"/>
      <c r="Y284" s="339"/>
      <c r="Z284" s="322"/>
      <c r="AA284" s="339"/>
      <c r="AB284" s="339"/>
      <c r="AC284" s="338"/>
      <c r="AD284" s="324"/>
      <c r="AE284" s="338"/>
      <c r="AF284" s="338"/>
      <c r="AG284" s="339"/>
      <c r="AH284" s="322"/>
      <c r="AI284" s="339"/>
      <c r="AJ284" s="339"/>
      <c r="AK284" s="338"/>
      <c r="AL284" s="736">
        <v>2500</v>
      </c>
      <c r="AM284" s="338"/>
      <c r="AN284" s="338"/>
      <c r="AO284" s="737">
        <v>2500</v>
      </c>
    </row>
    <row r="285" spans="1:41" hidden="1">
      <c r="A285" s="316" t="s">
        <v>716</v>
      </c>
      <c r="B285" s="958">
        <v>608896.24</v>
      </c>
      <c r="C285" s="595"/>
      <c r="D285" s="595"/>
      <c r="E285" s="959">
        <v>608896.24</v>
      </c>
      <c r="F285" s="943"/>
      <c r="G285" s="708"/>
      <c r="H285" s="708"/>
      <c r="I285" s="708"/>
      <c r="J285" s="944"/>
      <c r="K285" s="595"/>
      <c r="L285" s="595"/>
      <c r="M285" s="595"/>
      <c r="N285" s="943"/>
      <c r="O285" s="708"/>
      <c r="P285" s="708"/>
      <c r="Q285" s="708"/>
      <c r="R285" s="944"/>
      <c r="S285" s="595"/>
      <c r="T285" s="595"/>
      <c r="U285" s="595"/>
      <c r="V285" s="943"/>
      <c r="W285" s="708"/>
      <c r="X285" s="708"/>
      <c r="Y285" s="708"/>
      <c r="Z285" s="944"/>
      <c r="AA285" s="595"/>
      <c r="AB285" s="595"/>
      <c r="AC285" s="595"/>
      <c r="AD285" s="943"/>
      <c r="AE285" s="708"/>
      <c r="AF285" s="708"/>
      <c r="AG285" s="708"/>
      <c r="AH285" s="944"/>
      <c r="AI285" s="595"/>
      <c r="AJ285" s="595"/>
      <c r="AK285" s="595"/>
      <c r="AL285" s="966">
        <v>608896.24</v>
      </c>
      <c r="AM285" s="708"/>
      <c r="AN285" s="708"/>
      <c r="AO285" s="967">
        <v>608896.24</v>
      </c>
    </row>
    <row r="286" spans="1:41" hidden="1">
      <c r="A286" s="757" t="s">
        <v>1609</v>
      </c>
      <c r="B286" s="961">
        <v>105103.76</v>
      </c>
      <c r="C286" s="331"/>
      <c r="D286" s="331"/>
      <c r="E286" s="742">
        <v>105103.76</v>
      </c>
      <c r="F286" s="317"/>
      <c r="G286" s="330"/>
      <c r="H286" s="330"/>
      <c r="I286" s="331"/>
      <c r="J286" s="319"/>
      <c r="K286" s="331"/>
      <c r="L286" s="331"/>
      <c r="M286" s="330"/>
      <c r="N286" s="317"/>
      <c r="O286" s="330"/>
      <c r="P286" s="330"/>
      <c r="Q286" s="331"/>
      <c r="R286" s="319"/>
      <c r="S286" s="331"/>
      <c r="T286" s="331"/>
      <c r="U286" s="330"/>
      <c r="V286" s="317"/>
      <c r="W286" s="330"/>
      <c r="X286" s="330"/>
      <c r="Y286" s="331"/>
      <c r="Z286" s="319"/>
      <c r="AA286" s="331"/>
      <c r="AB286" s="331"/>
      <c r="AC286" s="330"/>
      <c r="AD286" s="317"/>
      <c r="AE286" s="330"/>
      <c r="AF286" s="330"/>
      <c r="AG286" s="331"/>
      <c r="AH286" s="319"/>
      <c r="AI286" s="331"/>
      <c r="AJ286" s="331"/>
      <c r="AK286" s="330"/>
      <c r="AL286" s="957">
        <v>105103.76</v>
      </c>
      <c r="AM286" s="330"/>
      <c r="AN286" s="330"/>
      <c r="AO286" s="741">
        <v>105103.76</v>
      </c>
    </row>
    <row r="287" spans="1:41" hidden="1">
      <c r="A287" s="756" t="s">
        <v>1610</v>
      </c>
      <c r="B287" s="734">
        <v>14000</v>
      </c>
      <c r="C287" s="339"/>
      <c r="D287" s="339"/>
      <c r="E287" s="735">
        <v>14000</v>
      </c>
      <c r="F287" s="324"/>
      <c r="G287" s="338"/>
      <c r="H287" s="338"/>
      <c r="I287" s="339"/>
      <c r="J287" s="322"/>
      <c r="K287" s="339"/>
      <c r="L287" s="339"/>
      <c r="M287" s="338"/>
      <c r="N287" s="324"/>
      <c r="O287" s="338"/>
      <c r="P287" s="338"/>
      <c r="Q287" s="339"/>
      <c r="R287" s="322"/>
      <c r="S287" s="339"/>
      <c r="T287" s="339"/>
      <c r="U287" s="338"/>
      <c r="V287" s="324"/>
      <c r="W287" s="338"/>
      <c r="X287" s="338"/>
      <c r="Y287" s="339"/>
      <c r="Z287" s="322"/>
      <c r="AA287" s="339"/>
      <c r="AB287" s="339"/>
      <c r="AC287" s="338"/>
      <c r="AD287" s="324"/>
      <c r="AE287" s="338"/>
      <c r="AF287" s="338"/>
      <c r="AG287" s="339"/>
      <c r="AH287" s="322"/>
      <c r="AI287" s="339"/>
      <c r="AJ287" s="339"/>
      <c r="AK287" s="338"/>
      <c r="AL287" s="736">
        <v>14000</v>
      </c>
      <c r="AM287" s="338"/>
      <c r="AN287" s="338"/>
      <c r="AO287" s="737">
        <v>14000</v>
      </c>
    </row>
    <row r="288" spans="1:41" hidden="1">
      <c r="A288" s="757" t="s">
        <v>1611</v>
      </c>
      <c r="B288" s="734">
        <v>700000</v>
      </c>
      <c r="C288" s="339"/>
      <c r="D288" s="339"/>
      <c r="E288" s="735">
        <v>700000</v>
      </c>
      <c r="F288" s="324"/>
      <c r="G288" s="338"/>
      <c r="H288" s="338"/>
      <c r="I288" s="339"/>
      <c r="J288" s="322"/>
      <c r="K288" s="339"/>
      <c r="L288" s="339"/>
      <c r="M288" s="338"/>
      <c r="N288" s="324"/>
      <c r="O288" s="338"/>
      <c r="P288" s="338"/>
      <c r="Q288" s="339"/>
      <c r="R288" s="322"/>
      <c r="S288" s="339"/>
      <c r="T288" s="339"/>
      <c r="U288" s="338"/>
      <c r="V288" s="324"/>
      <c r="W288" s="338"/>
      <c r="X288" s="338"/>
      <c r="Y288" s="339"/>
      <c r="Z288" s="322"/>
      <c r="AA288" s="339"/>
      <c r="AB288" s="339"/>
      <c r="AC288" s="338"/>
      <c r="AD288" s="324"/>
      <c r="AE288" s="338"/>
      <c r="AF288" s="338"/>
      <c r="AG288" s="339"/>
      <c r="AH288" s="322"/>
      <c r="AI288" s="339"/>
      <c r="AJ288" s="339"/>
      <c r="AK288" s="338"/>
      <c r="AL288" s="736">
        <v>700000</v>
      </c>
      <c r="AM288" s="338"/>
      <c r="AN288" s="338"/>
      <c r="AO288" s="737">
        <v>700000</v>
      </c>
    </row>
    <row r="289" spans="1:41" hidden="1">
      <c r="A289" s="316" t="s">
        <v>717</v>
      </c>
      <c r="B289" s="958">
        <v>745230.88</v>
      </c>
      <c r="C289" s="595"/>
      <c r="D289" s="595"/>
      <c r="E289" s="959">
        <v>745230.88</v>
      </c>
      <c r="F289" s="943"/>
      <c r="G289" s="708"/>
      <c r="H289" s="708"/>
      <c r="I289" s="708"/>
      <c r="J289" s="944"/>
      <c r="K289" s="595"/>
      <c r="L289" s="595"/>
      <c r="M289" s="595"/>
      <c r="N289" s="943"/>
      <c r="O289" s="708"/>
      <c r="P289" s="708"/>
      <c r="Q289" s="708"/>
      <c r="R289" s="944"/>
      <c r="S289" s="595"/>
      <c r="T289" s="595"/>
      <c r="U289" s="595"/>
      <c r="V289" s="943"/>
      <c r="W289" s="708"/>
      <c r="X289" s="708"/>
      <c r="Y289" s="708"/>
      <c r="Z289" s="944"/>
      <c r="AA289" s="595"/>
      <c r="AB289" s="595"/>
      <c r="AC289" s="595"/>
      <c r="AD289" s="943"/>
      <c r="AE289" s="708"/>
      <c r="AF289" s="708"/>
      <c r="AG289" s="708"/>
      <c r="AH289" s="944"/>
      <c r="AI289" s="595"/>
      <c r="AJ289" s="595"/>
      <c r="AK289" s="595"/>
      <c r="AL289" s="966">
        <v>745230.88</v>
      </c>
      <c r="AM289" s="708"/>
      <c r="AN289" s="708"/>
      <c r="AO289" s="967">
        <v>745230.88</v>
      </c>
    </row>
    <row r="290" spans="1:41" hidden="1">
      <c r="A290" s="757" t="s">
        <v>1612</v>
      </c>
      <c r="B290" s="961">
        <v>237057.12</v>
      </c>
      <c r="C290" s="331"/>
      <c r="D290" s="331"/>
      <c r="E290" s="742">
        <v>237057.12</v>
      </c>
      <c r="F290" s="317"/>
      <c r="G290" s="330"/>
      <c r="H290" s="330"/>
      <c r="I290" s="331"/>
      <c r="J290" s="319"/>
      <c r="K290" s="331"/>
      <c r="L290" s="331"/>
      <c r="M290" s="330"/>
      <c r="N290" s="317"/>
      <c r="O290" s="330"/>
      <c r="P290" s="330"/>
      <c r="Q290" s="331"/>
      <c r="R290" s="319"/>
      <c r="S290" s="331"/>
      <c r="T290" s="331"/>
      <c r="U290" s="330"/>
      <c r="V290" s="317"/>
      <c r="W290" s="330"/>
      <c r="X290" s="330"/>
      <c r="Y290" s="331"/>
      <c r="Z290" s="319"/>
      <c r="AA290" s="331"/>
      <c r="AB290" s="331"/>
      <c r="AC290" s="330"/>
      <c r="AD290" s="317"/>
      <c r="AE290" s="330"/>
      <c r="AF290" s="330"/>
      <c r="AG290" s="331"/>
      <c r="AH290" s="319"/>
      <c r="AI290" s="331"/>
      <c r="AJ290" s="331"/>
      <c r="AK290" s="330"/>
      <c r="AL290" s="957">
        <v>237057.12</v>
      </c>
      <c r="AM290" s="330"/>
      <c r="AN290" s="330"/>
      <c r="AO290" s="741">
        <v>237057.12</v>
      </c>
    </row>
    <row r="291" spans="1:41" hidden="1">
      <c r="A291" s="757" t="s">
        <v>1613</v>
      </c>
      <c r="B291" s="734">
        <v>982288</v>
      </c>
      <c r="C291" s="339"/>
      <c r="D291" s="339"/>
      <c r="E291" s="735">
        <v>982288</v>
      </c>
      <c r="F291" s="324"/>
      <c r="G291" s="338"/>
      <c r="H291" s="338"/>
      <c r="I291" s="339"/>
      <c r="J291" s="322"/>
      <c r="K291" s="339"/>
      <c r="L291" s="339"/>
      <c r="M291" s="338"/>
      <c r="N291" s="324"/>
      <c r="O291" s="338"/>
      <c r="P291" s="338"/>
      <c r="Q291" s="339"/>
      <c r="R291" s="322"/>
      <c r="S291" s="339"/>
      <c r="T291" s="339"/>
      <c r="U291" s="338"/>
      <c r="V291" s="324"/>
      <c r="W291" s="338"/>
      <c r="X291" s="338"/>
      <c r="Y291" s="339"/>
      <c r="Z291" s="322"/>
      <c r="AA291" s="339"/>
      <c r="AB291" s="339"/>
      <c r="AC291" s="338"/>
      <c r="AD291" s="324"/>
      <c r="AE291" s="338"/>
      <c r="AF291" s="338"/>
      <c r="AG291" s="339"/>
      <c r="AH291" s="322"/>
      <c r="AI291" s="339"/>
      <c r="AJ291" s="339"/>
      <c r="AK291" s="338"/>
      <c r="AL291" s="736">
        <v>982288</v>
      </c>
      <c r="AM291" s="338"/>
      <c r="AN291" s="338"/>
      <c r="AO291" s="737">
        <v>982288</v>
      </c>
    </row>
    <row r="292" spans="1:41" hidden="1">
      <c r="A292" s="316" t="s">
        <v>719</v>
      </c>
      <c r="B292" s="958">
        <v>8323192.1699999999</v>
      </c>
      <c r="C292" s="595"/>
      <c r="D292" s="595"/>
      <c r="E292" s="959">
        <v>8323192.1699999999</v>
      </c>
      <c r="F292" s="943"/>
      <c r="G292" s="708"/>
      <c r="H292" s="708"/>
      <c r="I292" s="708"/>
      <c r="J292" s="944"/>
      <c r="K292" s="595"/>
      <c r="L292" s="595"/>
      <c r="M292" s="595"/>
      <c r="N292" s="943"/>
      <c r="O292" s="708"/>
      <c r="P292" s="708"/>
      <c r="Q292" s="708"/>
      <c r="R292" s="944"/>
      <c r="S292" s="595"/>
      <c r="T292" s="595"/>
      <c r="U292" s="595"/>
      <c r="V292" s="943"/>
      <c r="W292" s="708"/>
      <c r="X292" s="708"/>
      <c r="Y292" s="708"/>
      <c r="Z292" s="944"/>
      <c r="AA292" s="595"/>
      <c r="AB292" s="595"/>
      <c r="AC292" s="595"/>
      <c r="AD292" s="943"/>
      <c r="AE292" s="708"/>
      <c r="AF292" s="708"/>
      <c r="AG292" s="708"/>
      <c r="AH292" s="944"/>
      <c r="AI292" s="595"/>
      <c r="AJ292" s="595"/>
      <c r="AK292" s="595"/>
      <c r="AL292" s="966">
        <v>8323192.1699999999</v>
      </c>
      <c r="AM292" s="708"/>
      <c r="AN292" s="708"/>
      <c r="AO292" s="967">
        <v>8323192.1699999999</v>
      </c>
    </row>
    <row r="293" spans="1:41" hidden="1">
      <c r="A293" s="757" t="s">
        <v>1614</v>
      </c>
      <c r="B293" s="722">
        <v>473381.84</v>
      </c>
      <c r="C293" s="331"/>
      <c r="D293" s="331"/>
      <c r="E293" s="724">
        <v>473381.84</v>
      </c>
      <c r="F293" s="317"/>
      <c r="G293" s="330"/>
      <c r="H293" s="330"/>
      <c r="I293" s="331"/>
      <c r="J293" s="319"/>
      <c r="K293" s="331"/>
      <c r="L293" s="331"/>
      <c r="M293" s="330"/>
      <c r="N293" s="317"/>
      <c r="O293" s="330"/>
      <c r="P293" s="330"/>
      <c r="Q293" s="331"/>
      <c r="R293" s="319"/>
      <c r="S293" s="331"/>
      <c r="T293" s="331"/>
      <c r="U293" s="330"/>
      <c r="V293" s="317"/>
      <c r="W293" s="330"/>
      <c r="X293" s="330"/>
      <c r="Y293" s="331"/>
      <c r="Z293" s="319"/>
      <c r="AA293" s="331"/>
      <c r="AB293" s="331"/>
      <c r="AC293" s="330"/>
      <c r="AD293" s="317"/>
      <c r="AE293" s="330"/>
      <c r="AF293" s="330"/>
      <c r="AG293" s="331"/>
      <c r="AH293" s="319"/>
      <c r="AI293" s="331"/>
      <c r="AJ293" s="331"/>
      <c r="AK293" s="330"/>
      <c r="AL293" s="725">
        <v>473381.84</v>
      </c>
      <c r="AM293" s="330"/>
      <c r="AN293" s="330"/>
      <c r="AO293" s="727">
        <v>473381.84</v>
      </c>
    </row>
    <row r="294" spans="1:41" hidden="1">
      <c r="A294" s="757" t="s">
        <v>1615</v>
      </c>
      <c r="B294" s="734">
        <v>473329.13</v>
      </c>
      <c r="C294" s="339"/>
      <c r="D294" s="339"/>
      <c r="E294" s="735">
        <v>473329.13</v>
      </c>
      <c r="F294" s="324"/>
      <c r="G294" s="338"/>
      <c r="H294" s="338"/>
      <c r="I294" s="339"/>
      <c r="J294" s="322"/>
      <c r="K294" s="339"/>
      <c r="L294" s="339"/>
      <c r="M294" s="338"/>
      <c r="N294" s="324"/>
      <c r="O294" s="338"/>
      <c r="P294" s="338"/>
      <c r="Q294" s="339"/>
      <c r="R294" s="322"/>
      <c r="S294" s="339"/>
      <c r="T294" s="339"/>
      <c r="U294" s="338"/>
      <c r="V294" s="324"/>
      <c r="W294" s="338"/>
      <c r="X294" s="338"/>
      <c r="Y294" s="339"/>
      <c r="Z294" s="322"/>
      <c r="AA294" s="339"/>
      <c r="AB294" s="339"/>
      <c r="AC294" s="338"/>
      <c r="AD294" s="324"/>
      <c r="AE294" s="338"/>
      <c r="AF294" s="338"/>
      <c r="AG294" s="339"/>
      <c r="AH294" s="322"/>
      <c r="AI294" s="339"/>
      <c r="AJ294" s="339"/>
      <c r="AK294" s="338"/>
      <c r="AL294" s="736">
        <v>473329.13</v>
      </c>
      <c r="AM294" s="338"/>
      <c r="AN294" s="338"/>
      <c r="AO294" s="737">
        <v>473329.13</v>
      </c>
    </row>
    <row r="295" spans="1:41" hidden="1">
      <c r="A295" s="757" t="s">
        <v>1616</v>
      </c>
      <c r="B295" s="734">
        <v>7376481.2000000002</v>
      </c>
      <c r="C295" s="339"/>
      <c r="D295" s="339"/>
      <c r="E295" s="735">
        <v>7376481.2000000002</v>
      </c>
      <c r="F295" s="324"/>
      <c r="G295" s="338"/>
      <c r="H295" s="338"/>
      <c r="I295" s="339"/>
      <c r="J295" s="322"/>
      <c r="K295" s="339"/>
      <c r="L295" s="339"/>
      <c r="M295" s="338"/>
      <c r="N295" s="324"/>
      <c r="O295" s="338"/>
      <c r="P295" s="338"/>
      <c r="Q295" s="339"/>
      <c r="R295" s="322"/>
      <c r="S295" s="339"/>
      <c r="T295" s="339"/>
      <c r="U295" s="338"/>
      <c r="V295" s="324"/>
      <c r="W295" s="338"/>
      <c r="X295" s="338"/>
      <c r="Y295" s="339"/>
      <c r="Z295" s="322"/>
      <c r="AA295" s="339"/>
      <c r="AB295" s="339"/>
      <c r="AC295" s="338"/>
      <c r="AD295" s="324"/>
      <c r="AE295" s="338"/>
      <c r="AF295" s="338"/>
      <c r="AG295" s="339"/>
      <c r="AH295" s="322"/>
      <c r="AI295" s="339"/>
      <c r="AJ295" s="339"/>
      <c r="AK295" s="338"/>
      <c r="AL295" s="736">
        <v>7376481.2000000002</v>
      </c>
      <c r="AM295" s="338"/>
      <c r="AN295" s="338"/>
      <c r="AO295" s="737">
        <v>7376481.2000000002</v>
      </c>
    </row>
    <row r="296" spans="1:41" hidden="1">
      <c r="A296" s="316" t="s">
        <v>720</v>
      </c>
      <c r="B296" s="955">
        <v>199438.96</v>
      </c>
      <c r="C296" s="595"/>
      <c r="D296" s="595"/>
      <c r="E296" s="773">
        <v>199438.96</v>
      </c>
      <c r="F296" s="943"/>
      <c r="G296" s="708"/>
      <c r="H296" s="708"/>
      <c r="I296" s="708"/>
      <c r="J296" s="944"/>
      <c r="K296" s="595"/>
      <c r="L296" s="595"/>
      <c r="M296" s="595"/>
      <c r="N296" s="943"/>
      <c r="O296" s="708"/>
      <c r="P296" s="708"/>
      <c r="Q296" s="708"/>
      <c r="R296" s="944"/>
      <c r="S296" s="595"/>
      <c r="T296" s="595"/>
      <c r="U296" s="595"/>
      <c r="V296" s="943"/>
      <c r="W296" s="708"/>
      <c r="X296" s="708"/>
      <c r="Y296" s="708"/>
      <c r="Z296" s="944"/>
      <c r="AA296" s="595"/>
      <c r="AB296" s="595"/>
      <c r="AC296" s="595"/>
      <c r="AD296" s="946">
        <v>8880.7199999999993</v>
      </c>
      <c r="AE296" s="708"/>
      <c r="AF296" s="708"/>
      <c r="AG296" s="767">
        <v>8880.7199999999993</v>
      </c>
      <c r="AH296" s="944"/>
      <c r="AI296" s="595"/>
      <c r="AJ296" s="595"/>
      <c r="AK296" s="595"/>
      <c r="AL296" s="966">
        <v>190558.24</v>
      </c>
      <c r="AM296" s="708"/>
      <c r="AN296" s="708"/>
      <c r="AO296" s="967">
        <v>190558.24</v>
      </c>
    </row>
    <row r="297" spans="1:41" hidden="1">
      <c r="A297" s="756" t="s">
        <v>1617</v>
      </c>
      <c r="B297" s="722">
        <v>124600.85</v>
      </c>
      <c r="C297" s="331"/>
      <c r="D297" s="331"/>
      <c r="E297" s="724">
        <v>124600.85</v>
      </c>
      <c r="F297" s="317"/>
      <c r="G297" s="330"/>
      <c r="H297" s="330"/>
      <c r="I297" s="331"/>
      <c r="J297" s="319"/>
      <c r="K297" s="331"/>
      <c r="L297" s="331"/>
      <c r="M297" s="330"/>
      <c r="N297" s="317"/>
      <c r="O297" s="330"/>
      <c r="P297" s="330"/>
      <c r="Q297" s="331"/>
      <c r="R297" s="319"/>
      <c r="S297" s="331"/>
      <c r="T297" s="331"/>
      <c r="U297" s="330"/>
      <c r="V297" s="317"/>
      <c r="W297" s="330"/>
      <c r="X297" s="330"/>
      <c r="Y297" s="331"/>
      <c r="Z297" s="319"/>
      <c r="AA297" s="331"/>
      <c r="AB297" s="331"/>
      <c r="AC297" s="330"/>
      <c r="AD297" s="317"/>
      <c r="AE297" s="330"/>
      <c r="AF297" s="330"/>
      <c r="AG297" s="331"/>
      <c r="AH297" s="319"/>
      <c r="AI297" s="331"/>
      <c r="AJ297" s="331"/>
      <c r="AK297" s="330"/>
      <c r="AL297" s="725">
        <v>124600.85</v>
      </c>
      <c r="AM297" s="330"/>
      <c r="AN297" s="330"/>
      <c r="AO297" s="727">
        <v>124600.85</v>
      </c>
    </row>
    <row r="298" spans="1:41" hidden="1">
      <c r="A298" s="757" t="s">
        <v>1618</v>
      </c>
      <c r="B298" s="716">
        <v>2475</v>
      </c>
      <c r="C298" s="339"/>
      <c r="D298" s="339"/>
      <c r="E298" s="594">
        <v>2475</v>
      </c>
      <c r="F298" s="324"/>
      <c r="G298" s="338"/>
      <c r="H298" s="338"/>
      <c r="I298" s="339"/>
      <c r="J298" s="322"/>
      <c r="K298" s="339"/>
      <c r="L298" s="339"/>
      <c r="M298" s="338"/>
      <c r="N298" s="324"/>
      <c r="O298" s="338"/>
      <c r="P298" s="338"/>
      <c r="Q298" s="339"/>
      <c r="R298" s="322"/>
      <c r="S298" s="339"/>
      <c r="T298" s="339"/>
      <c r="U298" s="338"/>
      <c r="V298" s="324"/>
      <c r="W298" s="338"/>
      <c r="X298" s="338"/>
      <c r="Y298" s="339"/>
      <c r="Z298" s="322"/>
      <c r="AA298" s="339"/>
      <c r="AB298" s="339"/>
      <c r="AC298" s="338"/>
      <c r="AD298" s="717">
        <v>2475</v>
      </c>
      <c r="AE298" s="338"/>
      <c r="AF298" s="338"/>
      <c r="AG298" s="592">
        <v>2475</v>
      </c>
      <c r="AH298" s="322"/>
      <c r="AI298" s="339"/>
      <c r="AJ298" s="339"/>
      <c r="AK298" s="338"/>
      <c r="AL298" s="324"/>
      <c r="AM298" s="338"/>
      <c r="AN298" s="338"/>
      <c r="AO298" s="339"/>
    </row>
    <row r="299" spans="1:41" hidden="1">
      <c r="A299" s="757" t="s">
        <v>1619</v>
      </c>
      <c r="B299" s="716">
        <v>6405.72</v>
      </c>
      <c r="C299" s="339"/>
      <c r="D299" s="339"/>
      <c r="E299" s="594">
        <v>6405.72</v>
      </c>
      <c r="F299" s="324"/>
      <c r="G299" s="338"/>
      <c r="H299" s="338"/>
      <c r="I299" s="339"/>
      <c r="J299" s="322"/>
      <c r="K299" s="339"/>
      <c r="L299" s="339"/>
      <c r="M299" s="338"/>
      <c r="N299" s="324"/>
      <c r="O299" s="338"/>
      <c r="P299" s="338"/>
      <c r="Q299" s="339"/>
      <c r="R299" s="322"/>
      <c r="S299" s="339"/>
      <c r="T299" s="339"/>
      <c r="U299" s="338"/>
      <c r="V299" s="324"/>
      <c r="W299" s="338"/>
      <c r="X299" s="338"/>
      <c r="Y299" s="339"/>
      <c r="Z299" s="322"/>
      <c r="AA299" s="339"/>
      <c r="AB299" s="339"/>
      <c r="AC299" s="338"/>
      <c r="AD299" s="717">
        <v>6405.72</v>
      </c>
      <c r="AE299" s="338"/>
      <c r="AF299" s="338"/>
      <c r="AG299" s="592">
        <v>6405.72</v>
      </c>
      <c r="AH299" s="322"/>
      <c r="AI299" s="339"/>
      <c r="AJ299" s="339"/>
      <c r="AK299" s="338"/>
      <c r="AL299" s="324"/>
      <c r="AM299" s="338"/>
      <c r="AN299" s="338"/>
      <c r="AO299" s="339"/>
    </row>
    <row r="300" spans="1:41" hidden="1">
      <c r="A300" s="757" t="s">
        <v>1620</v>
      </c>
      <c r="B300" s="710">
        <v>112072.47</v>
      </c>
      <c r="C300" s="339"/>
      <c r="D300" s="339"/>
      <c r="E300" s="712">
        <v>112072.47</v>
      </c>
      <c r="F300" s="324"/>
      <c r="G300" s="338"/>
      <c r="H300" s="338"/>
      <c r="I300" s="339"/>
      <c r="J300" s="322"/>
      <c r="K300" s="339"/>
      <c r="L300" s="339"/>
      <c r="M300" s="338"/>
      <c r="N300" s="324"/>
      <c r="O300" s="338"/>
      <c r="P300" s="338"/>
      <c r="Q300" s="339"/>
      <c r="R300" s="322"/>
      <c r="S300" s="339"/>
      <c r="T300" s="339"/>
      <c r="U300" s="338"/>
      <c r="V300" s="324"/>
      <c r="W300" s="338"/>
      <c r="X300" s="338"/>
      <c r="Y300" s="339"/>
      <c r="Z300" s="322"/>
      <c r="AA300" s="339"/>
      <c r="AB300" s="339"/>
      <c r="AC300" s="338"/>
      <c r="AD300" s="324"/>
      <c r="AE300" s="338"/>
      <c r="AF300" s="338"/>
      <c r="AG300" s="339"/>
      <c r="AH300" s="322"/>
      <c r="AI300" s="339"/>
      <c r="AJ300" s="339"/>
      <c r="AK300" s="338"/>
      <c r="AL300" s="713">
        <v>112072.47</v>
      </c>
      <c r="AM300" s="338"/>
      <c r="AN300" s="338"/>
      <c r="AO300" s="715">
        <v>112072.47</v>
      </c>
    </row>
    <row r="301" spans="1:41" hidden="1">
      <c r="A301" s="756" t="s">
        <v>1621</v>
      </c>
      <c r="B301" s="734">
        <v>14062.5</v>
      </c>
      <c r="C301" s="339"/>
      <c r="D301" s="339"/>
      <c r="E301" s="735">
        <v>14062.5</v>
      </c>
      <c r="F301" s="324"/>
      <c r="G301" s="338"/>
      <c r="H301" s="338"/>
      <c r="I301" s="339"/>
      <c r="J301" s="322"/>
      <c r="K301" s="339"/>
      <c r="L301" s="339"/>
      <c r="M301" s="338"/>
      <c r="N301" s="324"/>
      <c r="O301" s="338"/>
      <c r="P301" s="338"/>
      <c r="Q301" s="339"/>
      <c r="R301" s="322"/>
      <c r="S301" s="339"/>
      <c r="T301" s="339"/>
      <c r="U301" s="338"/>
      <c r="V301" s="324"/>
      <c r="W301" s="338"/>
      <c r="X301" s="338"/>
      <c r="Y301" s="339"/>
      <c r="Z301" s="322"/>
      <c r="AA301" s="339"/>
      <c r="AB301" s="339"/>
      <c r="AC301" s="338"/>
      <c r="AD301" s="324"/>
      <c r="AE301" s="338"/>
      <c r="AF301" s="338"/>
      <c r="AG301" s="339"/>
      <c r="AH301" s="322"/>
      <c r="AI301" s="339"/>
      <c r="AJ301" s="339"/>
      <c r="AK301" s="338"/>
      <c r="AL301" s="736">
        <v>14062.5</v>
      </c>
      <c r="AM301" s="338"/>
      <c r="AN301" s="338"/>
      <c r="AO301" s="737">
        <v>14062.5</v>
      </c>
    </row>
    <row r="302" spans="1:41" hidden="1">
      <c r="A302" s="757" t="s">
        <v>1622</v>
      </c>
      <c r="B302" s="734">
        <v>29584.75</v>
      </c>
      <c r="C302" s="339"/>
      <c r="D302" s="339"/>
      <c r="E302" s="735">
        <v>29584.75</v>
      </c>
      <c r="F302" s="324"/>
      <c r="G302" s="338"/>
      <c r="H302" s="338"/>
      <c r="I302" s="339"/>
      <c r="J302" s="322"/>
      <c r="K302" s="339"/>
      <c r="L302" s="339"/>
      <c r="M302" s="338"/>
      <c r="N302" s="324"/>
      <c r="O302" s="338"/>
      <c r="P302" s="338"/>
      <c r="Q302" s="339"/>
      <c r="R302" s="322"/>
      <c r="S302" s="339"/>
      <c r="T302" s="339"/>
      <c r="U302" s="338"/>
      <c r="V302" s="324"/>
      <c r="W302" s="338"/>
      <c r="X302" s="338"/>
      <c r="Y302" s="339"/>
      <c r="Z302" s="322"/>
      <c r="AA302" s="339"/>
      <c r="AB302" s="339"/>
      <c r="AC302" s="338"/>
      <c r="AD302" s="324"/>
      <c r="AE302" s="338"/>
      <c r="AF302" s="338"/>
      <c r="AG302" s="339"/>
      <c r="AH302" s="322"/>
      <c r="AI302" s="339"/>
      <c r="AJ302" s="339"/>
      <c r="AK302" s="338"/>
      <c r="AL302" s="736">
        <v>29584.75</v>
      </c>
      <c r="AM302" s="338"/>
      <c r="AN302" s="338"/>
      <c r="AO302" s="737">
        <v>29584.75</v>
      </c>
    </row>
    <row r="303" spans="1:41" hidden="1">
      <c r="A303" s="757" t="s">
        <v>1623</v>
      </c>
      <c r="B303" s="734">
        <v>14000</v>
      </c>
      <c r="C303" s="339"/>
      <c r="D303" s="339"/>
      <c r="E303" s="735">
        <v>14000</v>
      </c>
      <c r="F303" s="324"/>
      <c r="G303" s="338"/>
      <c r="H303" s="338"/>
      <c r="I303" s="339"/>
      <c r="J303" s="322"/>
      <c r="K303" s="339"/>
      <c r="L303" s="339"/>
      <c r="M303" s="338"/>
      <c r="N303" s="324"/>
      <c r="O303" s="338"/>
      <c r="P303" s="338"/>
      <c r="Q303" s="339"/>
      <c r="R303" s="322"/>
      <c r="S303" s="339"/>
      <c r="T303" s="339"/>
      <c r="U303" s="338"/>
      <c r="V303" s="324"/>
      <c r="W303" s="338"/>
      <c r="X303" s="338"/>
      <c r="Y303" s="339"/>
      <c r="Z303" s="322"/>
      <c r="AA303" s="339"/>
      <c r="AB303" s="339"/>
      <c r="AC303" s="338"/>
      <c r="AD303" s="324"/>
      <c r="AE303" s="338"/>
      <c r="AF303" s="338"/>
      <c r="AG303" s="339"/>
      <c r="AH303" s="322"/>
      <c r="AI303" s="339"/>
      <c r="AJ303" s="339"/>
      <c r="AK303" s="338"/>
      <c r="AL303" s="736">
        <v>14000</v>
      </c>
      <c r="AM303" s="338"/>
      <c r="AN303" s="338"/>
      <c r="AO303" s="737">
        <v>14000</v>
      </c>
    </row>
    <row r="304" spans="1:41" hidden="1">
      <c r="A304" s="756" t="s">
        <v>1624</v>
      </c>
      <c r="B304" s="734">
        <v>9398.2999999999993</v>
      </c>
      <c r="C304" s="339"/>
      <c r="D304" s="339"/>
      <c r="E304" s="735">
        <v>9398.2999999999993</v>
      </c>
      <c r="F304" s="324"/>
      <c r="G304" s="338"/>
      <c r="H304" s="338"/>
      <c r="I304" s="339"/>
      <c r="J304" s="322"/>
      <c r="K304" s="339"/>
      <c r="L304" s="339"/>
      <c r="M304" s="338"/>
      <c r="N304" s="324"/>
      <c r="O304" s="338"/>
      <c r="P304" s="338"/>
      <c r="Q304" s="339"/>
      <c r="R304" s="322"/>
      <c r="S304" s="339"/>
      <c r="T304" s="339"/>
      <c r="U304" s="338"/>
      <c r="V304" s="324"/>
      <c r="W304" s="338"/>
      <c r="X304" s="338"/>
      <c r="Y304" s="339"/>
      <c r="Z304" s="322"/>
      <c r="AA304" s="339"/>
      <c r="AB304" s="339"/>
      <c r="AC304" s="338"/>
      <c r="AD304" s="324"/>
      <c r="AE304" s="338"/>
      <c r="AF304" s="338"/>
      <c r="AG304" s="339"/>
      <c r="AH304" s="322"/>
      <c r="AI304" s="339"/>
      <c r="AJ304" s="339"/>
      <c r="AK304" s="338"/>
      <c r="AL304" s="736">
        <v>9398.2999999999993</v>
      </c>
      <c r="AM304" s="338"/>
      <c r="AN304" s="338"/>
      <c r="AO304" s="737">
        <v>9398.2999999999993</v>
      </c>
    </row>
    <row r="305" spans="1:41" hidden="1">
      <c r="A305" s="757" t="s">
        <v>1625</v>
      </c>
      <c r="B305" s="734">
        <v>22800</v>
      </c>
      <c r="C305" s="339"/>
      <c r="D305" s="339"/>
      <c r="E305" s="735">
        <v>22800</v>
      </c>
      <c r="F305" s="324"/>
      <c r="G305" s="338"/>
      <c r="H305" s="338"/>
      <c r="I305" s="339"/>
      <c r="J305" s="322"/>
      <c r="K305" s="339"/>
      <c r="L305" s="339"/>
      <c r="M305" s="338"/>
      <c r="N305" s="324"/>
      <c r="O305" s="338"/>
      <c r="P305" s="338"/>
      <c r="Q305" s="339"/>
      <c r="R305" s="322"/>
      <c r="S305" s="339"/>
      <c r="T305" s="339"/>
      <c r="U305" s="338"/>
      <c r="V305" s="324"/>
      <c r="W305" s="338"/>
      <c r="X305" s="338"/>
      <c r="Y305" s="339"/>
      <c r="Z305" s="322"/>
      <c r="AA305" s="339"/>
      <c r="AB305" s="339"/>
      <c r="AC305" s="338"/>
      <c r="AD305" s="324"/>
      <c r="AE305" s="338"/>
      <c r="AF305" s="338"/>
      <c r="AG305" s="339"/>
      <c r="AH305" s="322"/>
      <c r="AI305" s="339"/>
      <c r="AJ305" s="339"/>
      <c r="AK305" s="338"/>
      <c r="AL305" s="736">
        <v>22800</v>
      </c>
      <c r="AM305" s="338"/>
      <c r="AN305" s="338"/>
      <c r="AO305" s="737">
        <v>22800</v>
      </c>
    </row>
    <row r="306" spans="1:41" hidden="1">
      <c r="A306" s="756" t="s">
        <v>1626</v>
      </c>
      <c r="B306" s="734">
        <v>8820.31</v>
      </c>
      <c r="C306" s="339"/>
      <c r="D306" s="339"/>
      <c r="E306" s="735">
        <v>8820.31</v>
      </c>
      <c r="F306" s="324"/>
      <c r="G306" s="338"/>
      <c r="H306" s="338"/>
      <c r="I306" s="339"/>
      <c r="J306" s="322"/>
      <c r="K306" s="339"/>
      <c r="L306" s="339"/>
      <c r="M306" s="338"/>
      <c r="N306" s="324"/>
      <c r="O306" s="338"/>
      <c r="P306" s="338"/>
      <c r="Q306" s="339"/>
      <c r="R306" s="322"/>
      <c r="S306" s="339"/>
      <c r="T306" s="339"/>
      <c r="U306" s="338"/>
      <c r="V306" s="324"/>
      <c r="W306" s="338"/>
      <c r="X306" s="338"/>
      <c r="Y306" s="339"/>
      <c r="Z306" s="322"/>
      <c r="AA306" s="339"/>
      <c r="AB306" s="339"/>
      <c r="AC306" s="338"/>
      <c r="AD306" s="324"/>
      <c r="AE306" s="338"/>
      <c r="AF306" s="338"/>
      <c r="AG306" s="339"/>
      <c r="AH306" s="322"/>
      <c r="AI306" s="339"/>
      <c r="AJ306" s="339"/>
      <c r="AK306" s="338"/>
      <c r="AL306" s="736">
        <v>8820.31</v>
      </c>
      <c r="AM306" s="338"/>
      <c r="AN306" s="338"/>
      <c r="AO306" s="737">
        <v>8820.31</v>
      </c>
    </row>
    <row r="307" spans="1:41" hidden="1">
      <c r="A307" s="756" t="s">
        <v>1627</v>
      </c>
      <c r="B307" s="734">
        <v>1864</v>
      </c>
      <c r="C307" s="339"/>
      <c r="D307" s="339"/>
      <c r="E307" s="735">
        <v>1864</v>
      </c>
      <c r="F307" s="324"/>
      <c r="G307" s="338"/>
      <c r="H307" s="338"/>
      <c r="I307" s="339"/>
      <c r="J307" s="322"/>
      <c r="K307" s="339"/>
      <c r="L307" s="339"/>
      <c r="M307" s="338"/>
      <c r="N307" s="324"/>
      <c r="O307" s="338"/>
      <c r="P307" s="338"/>
      <c r="Q307" s="339"/>
      <c r="R307" s="322"/>
      <c r="S307" s="339"/>
      <c r="T307" s="339"/>
      <c r="U307" s="338"/>
      <c r="V307" s="324"/>
      <c r="W307" s="338"/>
      <c r="X307" s="338"/>
      <c r="Y307" s="339"/>
      <c r="Z307" s="322"/>
      <c r="AA307" s="339"/>
      <c r="AB307" s="339"/>
      <c r="AC307" s="338"/>
      <c r="AD307" s="324"/>
      <c r="AE307" s="338"/>
      <c r="AF307" s="338"/>
      <c r="AG307" s="339"/>
      <c r="AH307" s="322"/>
      <c r="AI307" s="339"/>
      <c r="AJ307" s="339"/>
      <c r="AK307" s="338"/>
      <c r="AL307" s="736">
        <v>1864</v>
      </c>
      <c r="AM307" s="338"/>
      <c r="AN307" s="338"/>
      <c r="AO307" s="737">
        <v>1864</v>
      </c>
    </row>
    <row r="308" spans="1:41" hidden="1">
      <c r="A308" s="756" t="s">
        <v>1628</v>
      </c>
      <c r="B308" s="734">
        <v>77500</v>
      </c>
      <c r="C308" s="339"/>
      <c r="D308" s="339"/>
      <c r="E308" s="735">
        <v>77500</v>
      </c>
      <c r="F308" s="324"/>
      <c r="G308" s="338"/>
      <c r="H308" s="338"/>
      <c r="I308" s="339"/>
      <c r="J308" s="322"/>
      <c r="K308" s="339"/>
      <c r="L308" s="339"/>
      <c r="M308" s="338"/>
      <c r="N308" s="324"/>
      <c r="O308" s="338"/>
      <c r="P308" s="338"/>
      <c r="Q308" s="339"/>
      <c r="R308" s="322"/>
      <c r="S308" s="339"/>
      <c r="T308" s="339"/>
      <c r="U308" s="338"/>
      <c r="V308" s="324"/>
      <c r="W308" s="338"/>
      <c r="X308" s="338"/>
      <c r="Y308" s="339"/>
      <c r="Z308" s="322"/>
      <c r="AA308" s="339"/>
      <c r="AB308" s="339"/>
      <c r="AC308" s="338"/>
      <c r="AD308" s="324"/>
      <c r="AE308" s="338"/>
      <c r="AF308" s="338"/>
      <c r="AG308" s="339"/>
      <c r="AH308" s="322"/>
      <c r="AI308" s="339"/>
      <c r="AJ308" s="339"/>
      <c r="AK308" s="338"/>
      <c r="AL308" s="736">
        <v>77500</v>
      </c>
      <c r="AM308" s="338"/>
      <c r="AN308" s="338"/>
      <c r="AO308" s="737">
        <v>77500</v>
      </c>
    </row>
    <row r="309" spans="1:41" hidden="1">
      <c r="A309" s="316" t="s">
        <v>721</v>
      </c>
      <c r="B309" s="958">
        <v>169410429.5</v>
      </c>
      <c r="C309" s="706">
        <v>62307939.590000004</v>
      </c>
      <c r="D309" s="706">
        <v>27972492</v>
      </c>
      <c r="E309" s="959">
        <v>203745877.09</v>
      </c>
      <c r="F309" s="943"/>
      <c r="G309" s="708"/>
      <c r="H309" s="708"/>
      <c r="I309" s="708"/>
      <c r="J309" s="944"/>
      <c r="K309" s="595"/>
      <c r="L309" s="595"/>
      <c r="M309" s="595"/>
      <c r="N309" s="943"/>
      <c r="O309" s="708"/>
      <c r="P309" s="708"/>
      <c r="Q309" s="708"/>
      <c r="R309" s="944"/>
      <c r="S309" s="595"/>
      <c r="T309" s="595"/>
      <c r="U309" s="595"/>
      <c r="V309" s="943"/>
      <c r="W309" s="708"/>
      <c r="X309" s="708"/>
      <c r="Y309" s="708"/>
      <c r="Z309" s="944"/>
      <c r="AA309" s="595"/>
      <c r="AB309" s="595"/>
      <c r="AC309" s="595"/>
      <c r="AD309" s="943"/>
      <c r="AE309" s="708"/>
      <c r="AF309" s="708"/>
      <c r="AG309" s="708"/>
      <c r="AH309" s="944"/>
      <c r="AI309" s="595"/>
      <c r="AJ309" s="595"/>
      <c r="AK309" s="595"/>
      <c r="AL309" s="966">
        <v>169410429.5</v>
      </c>
      <c r="AM309" s="702">
        <v>62307939.590000004</v>
      </c>
      <c r="AN309" s="702">
        <v>27972492</v>
      </c>
      <c r="AO309" s="967">
        <v>203745877.09</v>
      </c>
    </row>
    <row r="310" spans="1:41" hidden="1">
      <c r="A310" s="772" t="s">
        <v>1629</v>
      </c>
      <c r="B310" s="951">
        <v>2214427.7000000002</v>
      </c>
      <c r="C310" s="690"/>
      <c r="D310" s="690"/>
      <c r="E310" s="953">
        <v>2214427.7000000002</v>
      </c>
      <c r="F310" s="940"/>
      <c r="G310" s="611"/>
      <c r="H310" s="611"/>
      <c r="I310" s="611"/>
      <c r="J310" s="939"/>
      <c r="K310" s="690"/>
      <c r="L310" s="690"/>
      <c r="M310" s="690"/>
      <c r="N310" s="940"/>
      <c r="O310" s="611"/>
      <c r="P310" s="611"/>
      <c r="Q310" s="611"/>
      <c r="R310" s="939"/>
      <c r="S310" s="690"/>
      <c r="T310" s="690"/>
      <c r="U310" s="690"/>
      <c r="V310" s="940"/>
      <c r="W310" s="611"/>
      <c r="X310" s="611"/>
      <c r="Y310" s="611"/>
      <c r="Z310" s="939"/>
      <c r="AA310" s="690"/>
      <c r="AB310" s="690"/>
      <c r="AC310" s="690"/>
      <c r="AD310" s="940"/>
      <c r="AE310" s="611"/>
      <c r="AF310" s="611"/>
      <c r="AG310" s="611"/>
      <c r="AH310" s="939"/>
      <c r="AI310" s="690"/>
      <c r="AJ310" s="690"/>
      <c r="AK310" s="690"/>
      <c r="AL310" s="949">
        <v>2214427.7000000002</v>
      </c>
      <c r="AM310" s="611"/>
      <c r="AN310" s="611"/>
      <c r="AO310" s="950">
        <v>2214427.7000000002</v>
      </c>
    </row>
    <row r="311" spans="1:41" hidden="1">
      <c r="A311" s="765" t="s">
        <v>1630</v>
      </c>
      <c r="B311" s="725">
        <v>2214427.7000000002</v>
      </c>
      <c r="C311" s="330"/>
      <c r="D311" s="330"/>
      <c r="E311" s="727">
        <v>2214427.7000000002</v>
      </c>
      <c r="F311" s="319"/>
      <c r="G311" s="331"/>
      <c r="H311" s="331"/>
      <c r="I311" s="330"/>
      <c r="J311" s="317"/>
      <c r="K311" s="330"/>
      <c r="L311" s="330"/>
      <c r="M311" s="331"/>
      <c r="N311" s="319"/>
      <c r="O311" s="331"/>
      <c r="P311" s="331"/>
      <c r="Q311" s="330"/>
      <c r="R311" s="317"/>
      <c r="S311" s="330"/>
      <c r="T311" s="330"/>
      <c r="U311" s="331"/>
      <c r="V311" s="319"/>
      <c r="W311" s="331"/>
      <c r="X311" s="331"/>
      <c r="Y311" s="330"/>
      <c r="Z311" s="317"/>
      <c r="AA311" s="330"/>
      <c r="AB311" s="330"/>
      <c r="AC311" s="331"/>
      <c r="AD311" s="319"/>
      <c r="AE311" s="331"/>
      <c r="AF311" s="331"/>
      <c r="AG311" s="330"/>
      <c r="AH311" s="317"/>
      <c r="AI311" s="330"/>
      <c r="AJ311" s="330"/>
      <c r="AK311" s="331"/>
      <c r="AL311" s="722">
        <v>2214427.7000000002</v>
      </c>
      <c r="AM311" s="331"/>
      <c r="AN311" s="331"/>
      <c r="AO311" s="724">
        <v>2214427.7000000002</v>
      </c>
    </row>
    <row r="312" spans="1:41" hidden="1">
      <c r="A312" s="761" t="s">
        <v>1631</v>
      </c>
      <c r="B312" s="966">
        <v>783244.07</v>
      </c>
      <c r="C312" s="702">
        <v>62085698.740000002</v>
      </c>
      <c r="D312" s="702">
        <v>27972492</v>
      </c>
      <c r="E312" s="967">
        <v>34896450.810000002</v>
      </c>
      <c r="F312" s="944"/>
      <c r="G312" s="595"/>
      <c r="H312" s="595"/>
      <c r="I312" s="595"/>
      <c r="J312" s="943"/>
      <c r="K312" s="708"/>
      <c r="L312" s="708"/>
      <c r="M312" s="708"/>
      <c r="N312" s="944"/>
      <c r="O312" s="595"/>
      <c r="P312" s="595"/>
      <c r="Q312" s="595"/>
      <c r="R312" s="943"/>
      <c r="S312" s="708"/>
      <c r="T312" s="708"/>
      <c r="U312" s="708"/>
      <c r="V312" s="944"/>
      <c r="W312" s="595"/>
      <c r="X312" s="595"/>
      <c r="Y312" s="595"/>
      <c r="Z312" s="943"/>
      <c r="AA312" s="708"/>
      <c r="AB312" s="708"/>
      <c r="AC312" s="708"/>
      <c r="AD312" s="944"/>
      <c r="AE312" s="595"/>
      <c r="AF312" s="595"/>
      <c r="AG312" s="595"/>
      <c r="AH312" s="943"/>
      <c r="AI312" s="708"/>
      <c r="AJ312" s="708"/>
      <c r="AK312" s="708"/>
      <c r="AL312" s="958">
        <v>783244.07</v>
      </c>
      <c r="AM312" s="706">
        <v>62085698.740000002</v>
      </c>
      <c r="AN312" s="706">
        <v>27972492</v>
      </c>
      <c r="AO312" s="959">
        <v>34896450.810000002</v>
      </c>
    </row>
    <row r="313" spans="1:41" hidden="1">
      <c r="A313" s="769" t="s">
        <v>1632</v>
      </c>
      <c r="B313" s="940"/>
      <c r="C313" s="954">
        <v>27972492</v>
      </c>
      <c r="D313" s="954">
        <v>27972492</v>
      </c>
      <c r="E313" s="611"/>
      <c r="F313" s="939"/>
      <c r="G313" s="690"/>
      <c r="H313" s="690"/>
      <c r="I313" s="690"/>
      <c r="J313" s="940"/>
      <c r="K313" s="611"/>
      <c r="L313" s="611"/>
      <c r="M313" s="611"/>
      <c r="N313" s="939"/>
      <c r="O313" s="690"/>
      <c r="P313" s="690"/>
      <c r="Q313" s="690"/>
      <c r="R313" s="940"/>
      <c r="S313" s="611"/>
      <c r="T313" s="611"/>
      <c r="U313" s="611"/>
      <c r="V313" s="939"/>
      <c r="W313" s="690"/>
      <c r="X313" s="690"/>
      <c r="Y313" s="690"/>
      <c r="Z313" s="940"/>
      <c r="AA313" s="611"/>
      <c r="AB313" s="611"/>
      <c r="AC313" s="611"/>
      <c r="AD313" s="939"/>
      <c r="AE313" s="690"/>
      <c r="AF313" s="690"/>
      <c r="AG313" s="690"/>
      <c r="AH313" s="940"/>
      <c r="AI313" s="611"/>
      <c r="AJ313" s="611"/>
      <c r="AK313" s="611"/>
      <c r="AL313" s="939"/>
      <c r="AM313" s="952">
        <v>27972492</v>
      </c>
      <c r="AN313" s="952">
        <v>27972492</v>
      </c>
      <c r="AO313" s="690"/>
    </row>
    <row r="314" spans="1:41" hidden="1">
      <c r="A314" s="765" t="s">
        <v>1633</v>
      </c>
      <c r="B314" s="319"/>
      <c r="C314" s="726">
        <v>27972492</v>
      </c>
      <c r="D314" s="726">
        <v>27972492</v>
      </c>
      <c r="E314" s="330"/>
      <c r="F314" s="317"/>
      <c r="G314" s="330"/>
      <c r="H314" s="330"/>
      <c r="I314" s="331"/>
      <c r="J314" s="319"/>
      <c r="K314" s="331"/>
      <c r="L314" s="331"/>
      <c r="M314" s="330"/>
      <c r="N314" s="317"/>
      <c r="O314" s="330"/>
      <c r="P314" s="330"/>
      <c r="Q314" s="331"/>
      <c r="R314" s="319"/>
      <c r="S314" s="331"/>
      <c r="T314" s="331"/>
      <c r="U314" s="330"/>
      <c r="V314" s="317"/>
      <c r="W314" s="330"/>
      <c r="X314" s="330"/>
      <c r="Y314" s="331"/>
      <c r="Z314" s="319"/>
      <c r="AA314" s="331"/>
      <c r="AB314" s="331"/>
      <c r="AC314" s="330"/>
      <c r="AD314" s="317"/>
      <c r="AE314" s="330"/>
      <c r="AF314" s="330"/>
      <c r="AG314" s="331"/>
      <c r="AH314" s="319"/>
      <c r="AI314" s="331"/>
      <c r="AJ314" s="331"/>
      <c r="AK314" s="330"/>
      <c r="AL314" s="317"/>
      <c r="AM314" s="723">
        <v>27972492</v>
      </c>
      <c r="AN314" s="723">
        <v>27972492</v>
      </c>
      <c r="AO314" s="331"/>
    </row>
    <row r="315" spans="1:41" hidden="1">
      <c r="A315" s="765" t="s">
        <v>1634</v>
      </c>
      <c r="B315" s="324"/>
      <c r="C315" s="711">
        <v>330000</v>
      </c>
      <c r="D315" s="338"/>
      <c r="E315" s="737">
        <v>330000</v>
      </c>
      <c r="F315" s="322"/>
      <c r="G315" s="339"/>
      <c r="H315" s="339"/>
      <c r="I315" s="338"/>
      <c r="J315" s="324"/>
      <c r="K315" s="338"/>
      <c r="L315" s="338"/>
      <c r="M315" s="339"/>
      <c r="N315" s="322"/>
      <c r="O315" s="339"/>
      <c r="P315" s="339"/>
      <c r="Q315" s="338"/>
      <c r="R315" s="324"/>
      <c r="S315" s="338"/>
      <c r="T315" s="338"/>
      <c r="U315" s="339"/>
      <c r="V315" s="322"/>
      <c r="W315" s="339"/>
      <c r="X315" s="339"/>
      <c r="Y315" s="338"/>
      <c r="Z315" s="324"/>
      <c r="AA315" s="338"/>
      <c r="AB315" s="338"/>
      <c r="AC315" s="339"/>
      <c r="AD315" s="322"/>
      <c r="AE315" s="339"/>
      <c r="AF315" s="339"/>
      <c r="AG315" s="338"/>
      <c r="AH315" s="324"/>
      <c r="AI315" s="338"/>
      <c r="AJ315" s="338"/>
      <c r="AK315" s="339"/>
      <c r="AL315" s="322"/>
      <c r="AM315" s="714">
        <v>330000</v>
      </c>
      <c r="AN315" s="339"/>
      <c r="AO315" s="735">
        <v>330000</v>
      </c>
    </row>
    <row r="316" spans="1:41" hidden="1">
      <c r="A316" s="765" t="s">
        <v>1635</v>
      </c>
      <c r="B316" s="324"/>
      <c r="C316" s="711">
        <v>174815.94</v>
      </c>
      <c r="D316" s="338"/>
      <c r="E316" s="737">
        <v>174815.94</v>
      </c>
      <c r="F316" s="322"/>
      <c r="G316" s="339"/>
      <c r="H316" s="339"/>
      <c r="I316" s="338"/>
      <c r="J316" s="324"/>
      <c r="K316" s="338"/>
      <c r="L316" s="338"/>
      <c r="M316" s="339"/>
      <c r="N316" s="322"/>
      <c r="O316" s="339"/>
      <c r="P316" s="339"/>
      <c r="Q316" s="338"/>
      <c r="R316" s="324"/>
      <c r="S316" s="338"/>
      <c r="T316" s="338"/>
      <c r="U316" s="339"/>
      <c r="V316" s="322"/>
      <c r="W316" s="339"/>
      <c r="X316" s="339"/>
      <c r="Y316" s="338"/>
      <c r="Z316" s="324"/>
      <c r="AA316" s="338"/>
      <c r="AB316" s="338"/>
      <c r="AC316" s="339"/>
      <c r="AD316" s="322"/>
      <c r="AE316" s="339"/>
      <c r="AF316" s="339"/>
      <c r="AG316" s="338"/>
      <c r="AH316" s="324"/>
      <c r="AI316" s="338"/>
      <c r="AJ316" s="338"/>
      <c r="AK316" s="339"/>
      <c r="AL316" s="322"/>
      <c r="AM316" s="714">
        <v>174815.94</v>
      </c>
      <c r="AN316" s="339"/>
      <c r="AO316" s="735">
        <v>174815.94</v>
      </c>
    </row>
    <row r="317" spans="1:41" hidden="1">
      <c r="A317" s="764" t="s">
        <v>1636</v>
      </c>
      <c r="B317" s="324"/>
      <c r="C317" s="711">
        <v>2373243</v>
      </c>
      <c r="D317" s="338"/>
      <c r="E317" s="737">
        <v>2373243</v>
      </c>
      <c r="F317" s="322"/>
      <c r="G317" s="339"/>
      <c r="H317" s="339"/>
      <c r="I317" s="338"/>
      <c r="J317" s="324"/>
      <c r="K317" s="338"/>
      <c r="L317" s="338"/>
      <c r="M317" s="339"/>
      <c r="N317" s="322"/>
      <c r="O317" s="339"/>
      <c r="P317" s="339"/>
      <c r="Q317" s="338"/>
      <c r="R317" s="324"/>
      <c r="S317" s="338"/>
      <c r="T317" s="338"/>
      <c r="U317" s="339"/>
      <c r="V317" s="322"/>
      <c r="W317" s="339"/>
      <c r="X317" s="339"/>
      <c r="Y317" s="338"/>
      <c r="Z317" s="324"/>
      <c r="AA317" s="338"/>
      <c r="AB317" s="338"/>
      <c r="AC317" s="339"/>
      <c r="AD317" s="322"/>
      <c r="AE317" s="339"/>
      <c r="AF317" s="339"/>
      <c r="AG317" s="338"/>
      <c r="AH317" s="324"/>
      <c r="AI317" s="338"/>
      <c r="AJ317" s="338"/>
      <c r="AK317" s="339"/>
      <c r="AL317" s="322"/>
      <c r="AM317" s="714">
        <v>2373243</v>
      </c>
      <c r="AN317" s="339"/>
      <c r="AO317" s="735">
        <v>2373243</v>
      </c>
    </row>
    <row r="318" spans="1:41" hidden="1">
      <c r="A318" s="765" t="s">
        <v>1637</v>
      </c>
      <c r="B318" s="324"/>
      <c r="C318" s="711">
        <v>115107</v>
      </c>
      <c r="D318" s="338"/>
      <c r="E318" s="737">
        <v>115107</v>
      </c>
      <c r="F318" s="322"/>
      <c r="G318" s="339"/>
      <c r="H318" s="339"/>
      <c r="I318" s="338"/>
      <c r="J318" s="324"/>
      <c r="K318" s="338"/>
      <c r="L318" s="338"/>
      <c r="M318" s="339"/>
      <c r="N318" s="322"/>
      <c r="O318" s="339"/>
      <c r="P318" s="339"/>
      <c r="Q318" s="338"/>
      <c r="R318" s="324"/>
      <c r="S318" s="338"/>
      <c r="T318" s="338"/>
      <c r="U318" s="339"/>
      <c r="V318" s="322"/>
      <c r="W318" s="339"/>
      <c r="X318" s="339"/>
      <c r="Y318" s="338"/>
      <c r="Z318" s="324"/>
      <c r="AA318" s="338"/>
      <c r="AB318" s="338"/>
      <c r="AC318" s="339"/>
      <c r="AD318" s="322"/>
      <c r="AE318" s="339"/>
      <c r="AF318" s="339"/>
      <c r="AG318" s="338"/>
      <c r="AH318" s="324"/>
      <c r="AI318" s="338"/>
      <c r="AJ318" s="338"/>
      <c r="AK318" s="339"/>
      <c r="AL318" s="322"/>
      <c r="AM318" s="714">
        <v>115107</v>
      </c>
      <c r="AN318" s="339"/>
      <c r="AO318" s="735">
        <v>115107</v>
      </c>
    </row>
    <row r="319" spans="1:41" hidden="1">
      <c r="A319" s="765" t="s">
        <v>1638</v>
      </c>
      <c r="B319" s="324"/>
      <c r="C319" s="711">
        <v>119406.6</v>
      </c>
      <c r="D319" s="338"/>
      <c r="E319" s="737">
        <v>119406.6</v>
      </c>
      <c r="F319" s="322"/>
      <c r="G319" s="339"/>
      <c r="H319" s="339"/>
      <c r="I319" s="338"/>
      <c r="J319" s="324"/>
      <c r="K319" s="338"/>
      <c r="L319" s="338"/>
      <c r="M319" s="339"/>
      <c r="N319" s="322"/>
      <c r="O319" s="339"/>
      <c r="P319" s="339"/>
      <c r="Q319" s="338"/>
      <c r="R319" s="324"/>
      <c r="S319" s="338"/>
      <c r="T319" s="338"/>
      <c r="U319" s="339"/>
      <c r="V319" s="322"/>
      <c r="W319" s="339"/>
      <c r="X319" s="339"/>
      <c r="Y319" s="338"/>
      <c r="Z319" s="324"/>
      <c r="AA319" s="338"/>
      <c r="AB319" s="338"/>
      <c r="AC319" s="339"/>
      <c r="AD319" s="322"/>
      <c r="AE319" s="339"/>
      <c r="AF319" s="339"/>
      <c r="AG319" s="338"/>
      <c r="AH319" s="324"/>
      <c r="AI319" s="338"/>
      <c r="AJ319" s="338"/>
      <c r="AK319" s="339"/>
      <c r="AL319" s="322"/>
      <c r="AM319" s="714">
        <v>119406.6</v>
      </c>
      <c r="AN319" s="339"/>
      <c r="AO319" s="735">
        <v>119406.6</v>
      </c>
    </row>
    <row r="320" spans="1:41" hidden="1">
      <c r="A320" s="765" t="s">
        <v>1639</v>
      </c>
      <c r="B320" s="324"/>
      <c r="C320" s="711">
        <v>160100</v>
      </c>
      <c r="D320" s="338"/>
      <c r="E320" s="737">
        <v>160100</v>
      </c>
      <c r="F320" s="322"/>
      <c r="G320" s="339"/>
      <c r="H320" s="339"/>
      <c r="I320" s="338"/>
      <c r="J320" s="324"/>
      <c r="K320" s="338"/>
      <c r="L320" s="338"/>
      <c r="M320" s="339"/>
      <c r="N320" s="322"/>
      <c r="O320" s="339"/>
      <c r="P320" s="339"/>
      <c r="Q320" s="338"/>
      <c r="R320" s="324"/>
      <c r="S320" s="338"/>
      <c r="T320" s="338"/>
      <c r="U320" s="339"/>
      <c r="V320" s="322"/>
      <c r="W320" s="339"/>
      <c r="X320" s="339"/>
      <c r="Y320" s="338"/>
      <c r="Z320" s="324"/>
      <c r="AA320" s="338"/>
      <c r="AB320" s="338"/>
      <c r="AC320" s="339"/>
      <c r="AD320" s="322"/>
      <c r="AE320" s="339"/>
      <c r="AF320" s="339"/>
      <c r="AG320" s="338"/>
      <c r="AH320" s="324"/>
      <c r="AI320" s="338"/>
      <c r="AJ320" s="338"/>
      <c r="AK320" s="339"/>
      <c r="AL320" s="322"/>
      <c r="AM320" s="714">
        <v>160100</v>
      </c>
      <c r="AN320" s="339"/>
      <c r="AO320" s="735">
        <v>160100</v>
      </c>
    </row>
    <row r="321" spans="1:41" hidden="1">
      <c r="A321" s="764" t="s">
        <v>1640</v>
      </c>
      <c r="B321" s="324"/>
      <c r="C321" s="711">
        <v>139025</v>
      </c>
      <c r="D321" s="338"/>
      <c r="E321" s="737">
        <v>139025</v>
      </c>
      <c r="F321" s="322"/>
      <c r="G321" s="339"/>
      <c r="H321" s="339"/>
      <c r="I321" s="338"/>
      <c r="J321" s="324"/>
      <c r="K321" s="338"/>
      <c r="L321" s="338"/>
      <c r="M321" s="339"/>
      <c r="N321" s="322"/>
      <c r="O321" s="339"/>
      <c r="P321" s="339"/>
      <c r="Q321" s="338"/>
      <c r="R321" s="324"/>
      <c r="S321" s="338"/>
      <c r="T321" s="338"/>
      <c r="U321" s="339"/>
      <c r="V321" s="322"/>
      <c r="W321" s="339"/>
      <c r="X321" s="339"/>
      <c r="Y321" s="338"/>
      <c r="Z321" s="324"/>
      <c r="AA321" s="338"/>
      <c r="AB321" s="338"/>
      <c r="AC321" s="339"/>
      <c r="AD321" s="322"/>
      <c r="AE321" s="339"/>
      <c r="AF321" s="339"/>
      <c r="AG321" s="338"/>
      <c r="AH321" s="324"/>
      <c r="AI321" s="338"/>
      <c r="AJ321" s="338"/>
      <c r="AK321" s="339"/>
      <c r="AL321" s="322"/>
      <c r="AM321" s="714">
        <v>139025</v>
      </c>
      <c r="AN321" s="339"/>
      <c r="AO321" s="735">
        <v>139025</v>
      </c>
    </row>
    <row r="322" spans="1:41" hidden="1">
      <c r="A322" s="764" t="s">
        <v>1641</v>
      </c>
      <c r="B322" s="324"/>
      <c r="C322" s="711">
        <v>160000</v>
      </c>
      <c r="D322" s="338"/>
      <c r="E322" s="737">
        <v>160000</v>
      </c>
      <c r="F322" s="322"/>
      <c r="G322" s="339"/>
      <c r="H322" s="339"/>
      <c r="I322" s="338"/>
      <c r="J322" s="324"/>
      <c r="K322" s="338"/>
      <c r="L322" s="338"/>
      <c r="M322" s="339"/>
      <c r="N322" s="322"/>
      <c r="O322" s="339"/>
      <c r="P322" s="339"/>
      <c r="Q322" s="338"/>
      <c r="R322" s="324"/>
      <c r="S322" s="338"/>
      <c r="T322" s="338"/>
      <c r="U322" s="339"/>
      <c r="V322" s="322"/>
      <c r="W322" s="339"/>
      <c r="X322" s="339"/>
      <c r="Y322" s="338"/>
      <c r="Z322" s="324"/>
      <c r="AA322" s="338"/>
      <c r="AB322" s="338"/>
      <c r="AC322" s="339"/>
      <c r="AD322" s="322"/>
      <c r="AE322" s="339"/>
      <c r="AF322" s="339"/>
      <c r="AG322" s="338"/>
      <c r="AH322" s="324"/>
      <c r="AI322" s="338"/>
      <c r="AJ322" s="338"/>
      <c r="AK322" s="339"/>
      <c r="AL322" s="322"/>
      <c r="AM322" s="714">
        <v>160000</v>
      </c>
      <c r="AN322" s="339"/>
      <c r="AO322" s="735">
        <v>160000</v>
      </c>
    </row>
    <row r="323" spans="1:41" hidden="1">
      <c r="A323" s="764" t="s">
        <v>1642</v>
      </c>
      <c r="B323" s="324"/>
      <c r="C323" s="711">
        <v>680000</v>
      </c>
      <c r="D323" s="338"/>
      <c r="E323" s="737">
        <v>680000</v>
      </c>
      <c r="F323" s="322"/>
      <c r="G323" s="339"/>
      <c r="H323" s="339"/>
      <c r="I323" s="338"/>
      <c r="J323" s="324"/>
      <c r="K323" s="338"/>
      <c r="L323" s="338"/>
      <c r="M323" s="339"/>
      <c r="N323" s="322"/>
      <c r="O323" s="339"/>
      <c r="P323" s="339"/>
      <c r="Q323" s="338"/>
      <c r="R323" s="324"/>
      <c r="S323" s="338"/>
      <c r="T323" s="338"/>
      <c r="U323" s="339"/>
      <c r="V323" s="322"/>
      <c r="W323" s="339"/>
      <c r="X323" s="339"/>
      <c r="Y323" s="338"/>
      <c r="Z323" s="324"/>
      <c r="AA323" s="338"/>
      <c r="AB323" s="338"/>
      <c r="AC323" s="339"/>
      <c r="AD323" s="322"/>
      <c r="AE323" s="339"/>
      <c r="AF323" s="339"/>
      <c r="AG323" s="338"/>
      <c r="AH323" s="324"/>
      <c r="AI323" s="338"/>
      <c r="AJ323" s="338"/>
      <c r="AK323" s="339"/>
      <c r="AL323" s="322"/>
      <c r="AM323" s="714">
        <v>680000</v>
      </c>
      <c r="AN323" s="339"/>
      <c r="AO323" s="735">
        <v>680000</v>
      </c>
    </row>
    <row r="324" spans="1:41" hidden="1">
      <c r="A324" s="765" t="s">
        <v>1643</v>
      </c>
      <c r="B324" s="324"/>
      <c r="C324" s="711">
        <v>611000</v>
      </c>
      <c r="D324" s="338"/>
      <c r="E324" s="737">
        <v>611000</v>
      </c>
      <c r="F324" s="322"/>
      <c r="G324" s="339"/>
      <c r="H324" s="339"/>
      <c r="I324" s="338"/>
      <c r="J324" s="324"/>
      <c r="K324" s="338"/>
      <c r="L324" s="338"/>
      <c r="M324" s="339"/>
      <c r="N324" s="322"/>
      <c r="O324" s="339"/>
      <c r="P324" s="339"/>
      <c r="Q324" s="338"/>
      <c r="R324" s="324"/>
      <c r="S324" s="338"/>
      <c r="T324" s="338"/>
      <c r="U324" s="339"/>
      <c r="V324" s="322"/>
      <c r="W324" s="339"/>
      <c r="X324" s="339"/>
      <c r="Y324" s="338"/>
      <c r="Z324" s="324"/>
      <c r="AA324" s="338"/>
      <c r="AB324" s="338"/>
      <c r="AC324" s="339"/>
      <c r="AD324" s="322"/>
      <c r="AE324" s="339"/>
      <c r="AF324" s="339"/>
      <c r="AG324" s="338"/>
      <c r="AH324" s="324"/>
      <c r="AI324" s="338"/>
      <c r="AJ324" s="338"/>
      <c r="AK324" s="339"/>
      <c r="AL324" s="322"/>
      <c r="AM324" s="714">
        <v>611000</v>
      </c>
      <c r="AN324" s="339"/>
      <c r="AO324" s="735">
        <v>611000</v>
      </c>
    </row>
    <row r="325" spans="1:41" hidden="1">
      <c r="A325" s="765" t="s">
        <v>1644</v>
      </c>
      <c r="B325" s="324"/>
      <c r="C325" s="711">
        <v>303963.88</v>
      </c>
      <c r="D325" s="338"/>
      <c r="E325" s="737">
        <v>303963.88</v>
      </c>
      <c r="F325" s="322"/>
      <c r="G325" s="339"/>
      <c r="H325" s="339"/>
      <c r="I325" s="338"/>
      <c r="J325" s="324"/>
      <c r="K325" s="338"/>
      <c r="L325" s="338"/>
      <c r="M325" s="339"/>
      <c r="N325" s="322"/>
      <c r="O325" s="339"/>
      <c r="P325" s="339"/>
      <c r="Q325" s="338"/>
      <c r="R325" s="324"/>
      <c r="S325" s="338"/>
      <c r="T325" s="338"/>
      <c r="U325" s="339"/>
      <c r="V325" s="322"/>
      <c r="W325" s="339"/>
      <c r="X325" s="339"/>
      <c r="Y325" s="338"/>
      <c r="Z325" s="324"/>
      <c r="AA325" s="338"/>
      <c r="AB325" s="338"/>
      <c r="AC325" s="339"/>
      <c r="AD325" s="322"/>
      <c r="AE325" s="339"/>
      <c r="AF325" s="339"/>
      <c r="AG325" s="338"/>
      <c r="AH325" s="324"/>
      <c r="AI325" s="338"/>
      <c r="AJ325" s="338"/>
      <c r="AK325" s="339"/>
      <c r="AL325" s="322"/>
      <c r="AM325" s="714">
        <v>303963.88</v>
      </c>
      <c r="AN325" s="339"/>
      <c r="AO325" s="735">
        <v>303963.88</v>
      </c>
    </row>
    <row r="326" spans="1:41" hidden="1">
      <c r="A326" s="765" t="s">
        <v>1645</v>
      </c>
      <c r="B326" s="324"/>
      <c r="C326" s="711">
        <v>27972492</v>
      </c>
      <c r="D326" s="338"/>
      <c r="E326" s="737">
        <v>27972492</v>
      </c>
      <c r="F326" s="322"/>
      <c r="G326" s="339"/>
      <c r="H326" s="339"/>
      <c r="I326" s="338"/>
      <c r="J326" s="324"/>
      <c r="K326" s="338"/>
      <c r="L326" s="338"/>
      <c r="M326" s="339"/>
      <c r="N326" s="322"/>
      <c r="O326" s="339"/>
      <c r="P326" s="339"/>
      <c r="Q326" s="338"/>
      <c r="R326" s="324"/>
      <c r="S326" s="338"/>
      <c r="T326" s="338"/>
      <c r="U326" s="339"/>
      <c r="V326" s="322"/>
      <c r="W326" s="339"/>
      <c r="X326" s="339"/>
      <c r="Y326" s="338"/>
      <c r="Z326" s="324"/>
      <c r="AA326" s="338"/>
      <c r="AB326" s="338"/>
      <c r="AC326" s="339"/>
      <c r="AD326" s="322"/>
      <c r="AE326" s="339"/>
      <c r="AF326" s="339"/>
      <c r="AG326" s="338"/>
      <c r="AH326" s="324"/>
      <c r="AI326" s="338"/>
      <c r="AJ326" s="338"/>
      <c r="AK326" s="339"/>
      <c r="AL326" s="322"/>
      <c r="AM326" s="714">
        <v>27972492</v>
      </c>
      <c r="AN326" s="339"/>
      <c r="AO326" s="735">
        <v>27972492</v>
      </c>
    </row>
    <row r="327" spans="1:41" hidden="1">
      <c r="A327" s="765" t="s">
        <v>1646</v>
      </c>
      <c r="B327" s="736">
        <v>783244.07</v>
      </c>
      <c r="C327" s="711">
        <v>778800.32</v>
      </c>
      <c r="D327" s="338"/>
      <c r="E327" s="737">
        <v>1562044.39</v>
      </c>
      <c r="F327" s="322"/>
      <c r="G327" s="339"/>
      <c r="H327" s="339"/>
      <c r="I327" s="338"/>
      <c r="J327" s="324"/>
      <c r="K327" s="338"/>
      <c r="L327" s="338"/>
      <c r="M327" s="339"/>
      <c r="N327" s="322"/>
      <c r="O327" s="339"/>
      <c r="P327" s="339"/>
      <c r="Q327" s="338"/>
      <c r="R327" s="324"/>
      <c r="S327" s="338"/>
      <c r="T327" s="338"/>
      <c r="U327" s="339"/>
      <c r="V327" s="322"/>
      <c r="W327" s="339"/>
      <c r="X327" s="339"/>
      <c r="Y327" s="338"/>
      <c r="Z327" s="324"/>
      <c r="AA327" s="338"/>
      <c r="AB327" s="338"/>
      <c r="AC327" s="339"/>
      <c r="AD327" s="322"/>
      <c r="AE327" s="339"/>
      <c r="AF327" s="339"/>
      <c r="AG327" s="338"/>
      <c r="AH327" s="324"/>
      <c r="AI327" s="338"/>
      <c r="AJ327" s="338"/>
      <c r="AK327" s="339"/>
      <c r="AL327" s="734">
        <v>783244.07</v>
      </c>
      <c r="AM327" s="714">
        <v>778800.32</v>
      </c>
      <c r="AN327" s="339"/>
      <c r="AO327" s="735">
        <v>1562044.39</v>
      </c>
    </row>
    <row r="328" spans="1:41" hidden="1">
      <c r="A328" s="764" t="s">
        <v>1647</v>
      </c>
      <c r="B328" s="324"/>
      <c r="C328" s="711">
        <v>79148</v>
      </c>
      <c r="D328" s="338"/>
      <c r="E328" s="737">
        <v>79148</v>
      </c>
      <c r="F328" s="322"/>
      <c r="G328" s="339"/>
      <c r="H328" s="339"/>
      <c r="I328" s="338"/>
      <c r="J328" s="324"/>
      <c r="K328" s="338"/>
      <c r="L328" s="338"/>
      <c r="M328" s="339"/>
      <c r="N328" s="322"/>
      <c r="O328" s="339"/>
      <c r="P328" s="339"/>
      <c r="Q328" s="338"/>
      <c r="R328" s="324"/>
      <c r="S328" s="338"/>
      <c r="T328" s="338"/>
      <c r="U328" s="339"/>
      <c r="V328" s="322"/>
      <c r="W328" s="339"/>
      <c r="X328" s="339"/>
      <c r="Y328" s="338"/>
      <c r="Z328" s="324"/>
      <c r="AA328" s="338"/>
      <c r="AB328" s="338"/>
      <c r="AC328" s="339"/>
      <c r="AD328" s="322"/>
      <c r="AE328" s="339"/>
      <c r="AF328" s="339"/>
      <c r="AG328" s="338"/>
      <c r="AH328" s="324"/>
      <c r="AI328" s="338"/>
      <c r="AJ328" s="338"/>
      <c r="AK328" s="339"/>
      <c r="AL328" s="322"/>
      <c r="AM328" s="714">
        <v>79148</v>
      </c>
      <c r="AN328" s="339"/>
      <c r="AO328" s="735">
        <v>79148</v>
      </c>
    </row>
    <row r="329" spans="1:41" hidden="1">
      <c r="A329" s="764" t="s">
        <v>1648</v>
      </c>
      <c r="B329" s="324"/>
      <c r="C329" s="711">
        <v>36105</v>
      </c>
      <c r="D329" s="338"/>
      <c r="E329" s="737">
        <v>36105</v>
      </c>
      <c r="F329" s="322"/>
      <c r="G329" s="339"/>
      <c r="H329" s="339"/>
      <c r="I329" s="338"/>
      <c r="J329" s="324"/>
      <c r="K329" s="338"/>
      <c r="L329" s="338"/>
      <c r="M329" s="339"/>
      <c r="N329" s="322"/>
      <c r="O329" s="339"/>
      <c r="P329" s="339"/>
      <c r="Q329" s="338"/>
      <c r="R329" s="324"/>
      <c r="S329" s="338"/>
      <c r="T329" s="338"/>
      <c r="U329" s="339"/>
      <c r="V329" s="322"/>
      <c r="W329" s="339"/>
      <c r="X329" s="339"/>
      <c r="Y329" s="338"/>
      <c r="Z329" s="324"/>
      <c r="AA329" s="338"/>
      <c r="AB329" s="338"/>
      <c r="AC329" s="339"/>
      <c r="AD329" s="322"/>
      <c r="AE329" s="339"/>
      <c r="AF329" s="339"/>
      <c r="AG329" s="338"/>
      <c r="AH329" s="324"/>
      <c r="AI329" s="338"/>
      <c r="AJ329" s="338"/>
      <c r="AK329" s="339"/>
      <c r="AL329" s="322"/>
      <c r="AM329" s="714">
        <v>36105</v>
      </c>
      <c r="AN329" s="339"/>
      <c r="AO329" s="735">
        <v>36105</v>
      </c>
    </row>
    <row r="330" spans="1:41" hidden="1">
      <c r="A330" s="765" t="s">
        <v>1649</v>
      </c>
      <c r="B330" s="324"/>
      <c r="C330" s="711">
        <v>60500</v>
      </c>
      <c r="D330" s="338"/>
      <c r="E330" s="737">
        <v>60500</v>
      </c>
      <c r="F330" s="322"/>
      <c r="G330" s="339"/>
      <c r="H330" s="339"/>
      <c r="I330" s="338"/>
      <c r="J330" s="324"/>
      <c r="K330" s="338"/>
      <c r="L330" s="338"/>
      <c r="M330" s="339"/>
      <c r="N330" s="322"/>
      <c r="O330" s="339"/>
      <c r="P330" s="339"/>
      <c r="Q330" s="338"/>
      <c r="R330" s="324"/>
      <c r="S330" s="338"/>
      <c r="T330" s="338"/>
      <c r="U330" s="339"/>
      <c r="V330" s="322"/>
      <c r="W330" s="339"/>
      <c r="X330" s="339"/>
      <c r="Y330" s="338"/>
      <c r="Z330" s="324"/>
      <c r="AA330" s="338"/>
      <c r="AB330" s="338"/>
      <c r="AC330" s="339"/>
      <c r="AD330" s="322"/>
      <c r="AE330" s="339"/>
      <c r="AF330" s="339"/>
      <c r="AG330" s="338"/>
      <c r="AH330" s="324"/>
      <c r="AI330" s="338"/>
      <c r="AJ330" s="338"/>
      <c r="AK330" s="339"/>
      <c r="AL330" s="322"/>
      <c r="AM330" s="714">
        <v>60500</v>
      </c>
      <c r="AN330" s="339"/>
      <c r="AO330" s="735">
        <v>60500</v>
      </c>
    </row>
    <row r="331" spans="1:41" hidden="1">
      <c r="A331" s="764" t="s">
        <v>1650</v>
      </c>
      <c r="B331" s="324"/>
      <c r="C331" s="711">
        <v>19500</v>
      </c>
      <c r="D331" s="338"/>
      <c r="E331" s="737">
        <v>19500</v>
      </c>
      <c r="F331" s="322"/>
      <c r="G331" s="339"/>
      <c r="H331" s="339"/>
      <c r="I331" s="338"/>
      <c r="J331" s="324"/>
      <c r="K331" s="338"/>
      <c r="L331" s="338"/>
      <c r="M331" s="339"/>
      <c r="N331" s="322"/>
      <c r="O331" s="339"/>
      <c r="P331" s="339"/>
      <c r="Q331" s="338"/>
      <c r="R331" s="324"/>
      <c r="S331" s="338"/>
      <c r="T331" s="338"/>
      <c r="U331" s="339"/>
      <c r="V331" s="322"/>
      <c r="W331" s="339"/>
      <c r="X331" s="339"/>
      <c r="Y331" s="338"/>
      <c r="Z331" s="324"/>
      <c r="AA331" s="338"/>
      <c r="AB331" s="338"/>
      <c r="AC331" s="339"/>
      <c r="AD331" s="322"/>
      <c r="AE331" s="339"/>
      <c r="AF331" s="339"/>
      <c r="AG331" s="338"/>
      <c r="AH331" s="324"/>
      <c r="AI331" s="338"/>
      <c r="AJ331" s="338"/>
      <c r="AK331" s="339"/>
      <c r="AL331" s="322"/>
      <c r="AM331" s="714">
        <v>19500</v>
      </c>
      <c r="AN331" s="339"/>
      <c r="AO331" s="735">
        <v>19500</v>
      </c>
    </row>
    <row r="332" spans="1:41" hidden="1">
      <c r="A332" s="757" t="s">
        <v>1651</v>
      </c>
      <c r="B332" s="734">
        <v>114000</v>
      </c>
      <c r="C332" s="339"/>
      <c r="D332" s="339"/>
      <c r="E332" s="735">
        <v>114000</v>
      </c>
      <c r="F332" s="324"/>
      <c r="G332" s="338"/>
      <c r="H332" s="338"/>
      <c r="I332" s="339"/>
      <c r="J332" s="322"/>
      <c r="K332" s="339"/>
      <c r="L332" s="339"/>
      <c r="M332" s="338"/>
      <c r="N332" s="324"/>
      <c r="O332" s="338"/>
      <c r="P332" s="338"/>
      <c r="Q332" s="339"/>
      <c r="R332" s="322"/>
      <c r="S332" s="339"/>
      <c r="T332" s="339"/>
      <c r="U332" s="338"/>
      <c r="V332" s="324"/>
      <c r="W332" s="338"/>
      <c r="X332" s="338"/>
      <c r="Y332" s="339"/>
      <c r="Z332" s="322"/>
      <c r="AA332" s="339"/>
      <c r="AB332" s="339"/>
      <c r="AC332" s="338"/>
      <c r="AD332" s="324"/>
      <c r="AE332" s="338"/>
      <c r="AF332" s="338"/>
      <c r="AG332" s="339"/>
      <c r="AH332" s="322"/>
      <c r="AI332" s="339"/>
      <c r="AJ332" s="339"/>
      <c r="AK332" s="338"/>
      <c r="AL332" s="736">
        <v>114000</v>
      </c>
      <c r="AM332" s="338"/>
      <c r="AN332" s="338"/>
      <c r="AO332" s="737">
        <v>114000</v>
      </c>
    </row>
    <row r="333" spans="1:41" hidden="1">
      <c r="A333" s="757" t="s">
        <v>348</v>
      </c>
      <c r="B333" s="734">
        <v>29000</v>
      </c>
      <c r="C333" s="339"/>
      <c r="D333" s="339"/>
      <c r="E333" s="735">
        <v>29000</v>
      </c>
      <c r="F333" s="324"/>
      <c r="G333" s="338"/>
      <c r="H333" s="338"/>
      <c r="I333" s="339"/>
      <c r="J333" s="322"/>
      <c r="K333" s="339"/>
      <c r="L333" s="339"/>
      <c r="M333" s="338"/>
      <c r="N333" s="324"/>
      <c r="O333" s="338"/>
      <c r="P333" s="338"/>
      <c r="Q333" s="339"/>
      <c r="R333" s="322"/>
      <c r="S333" s="339"/>
      <c r="T333" s="339"/>
      <c r="U333" s="338"/>
      <c r="V333" s="324"/>
      <c r="W333" s="338"/>
      <c r="X333" s="338"/>
      <c r="Y333" s="339"/>
      <c r="Z333" s="322"/>
      <c r="AA333" s="339"/>
      <c r="AB333" s="339"/>
      <c r="AC333" s="338"/>
      <c r="AD333" s="324"/>
      <c r="AE333" s="338"/>
      <c r="AF333" s="338"/>
      <c r="AG333" s="339"/>
      <c r="AH333" s="322"/>
      <c r="AI333" s="339"/>
      <c r="AJ333" s="339"/>
      <c r="AK333" s="338"/>
      <c r="AL333" s="736">
        <v>29000</v>
      </c>
      <c r="AM333" s="338"/>
      <c r="AN333" s="338"/>
      <c r="AO333" s="737">
        <v>29000</v>
      </c>
    </row>
    <row r="334" spans="1:41" hidden="1">
      <c r="A334" s="757" t="s">
        <v>1652</v>
      </c>
      <c r="B334" s="734">
        <v>63000</v>
      </c>
      <c r="C334" s="339"/>
      <c r="D334" s="339"/>
      <c r="E334" s="735">
        <v>63000</v>
      </c>
      <c r="F334" s="324"/>
      <c r="G334" s="338"/>
      <c r="H334" s="338"/>
      <c r="I334" s="339"/>
      <c r="J334" s="322"/>
      <c r="K334" s="339"/>
      <c r="L334" s="339"/>
      <c r="M334" s="338"/>
      <c r="N334" s="324"/>
      <c r="O334" s="338"/>
      <c r="P334" s="338"/>
      <c r="Q334" s="339"/>
      <c r="R334" s="322"/>
      <c r="S334" s="339"/>
      <c r="T334" s="339"/>
      <c r="U334" s="338"/>
      <c r="V334" s="324"/>
      <c r="W334" s="338"/>
      <c r="X334" s="338"/>
      <c r="Y334" s="339"/>
      <c r="Z334" s="322"/>
      <c r="AA334" s="339"/>
      <c r="AB334" s="339"/>
      <c r="AC334" s="338"/>
      <c r="AD334" s="324"/>
      <c r="AE334" s="338"/>
      <c r="AF334" s="338"/>
      <c r="AG334" s="339"/>
      <c r="AH334" s="322"/>
      <c r="AI334" s="339"/>
      <c r="AJ334" s="339"/>
      <c r="AK334" s="338"/>
      <c r="AL334" s="736">
        <v>63000</v>
      </c>
      <c r="AM334" s="338"/>
      <c r="AN334" s="338"/>
      <c r="AO334" s="737">
        <v>63000</v>
      </c>
    </row>
    <row r="335" spans="1:41" hidden="1">
      <c r="A335" s="757" t="s">
        <v>1653</v>
      </c>
      <c r="B335" s="734">
        <v>1051000</v>
      </c>
      <c r="C335" s="339"/>
      <c r="D335" s="339"/>
      <c r="E335" s="735">
        <v>1051000</v>
      </c>
      <c r="F335" s="324"/>
      <c r="G335" s="338"/>
      <c r="H335" s="338"/>
      <c r="I335" s="339"/>
      <c r="J335" s="322"/>
      <c r="K335" s="339"/>
      <c r="L335" s="339"/>
      <c r="M335" s="338"/>
      <c r="N335" s="324"/>
      <c r="O335" s="338"/>
      <c r="P335" s="338"/>
      <c r="Q335" s="339"/>
      <c r="R335" s="322"/>
      <c r="S335" s="339"/>
      <c r="T335" s="339"/>
      <c r="U335" s="338"/>
      <c r="V335" s="324"/>
      <c r="W335" s="338"/>
      <c r="X335" s="338"/>
      <c r="Y335" s="339"/>
      <c r="Z335" s="322"/>
      <c r="AA335" s="339"/>
      <c r="AB335" s="339"/>
      <c r="AC335" s="338"/>
      <c r="AD335" s="324"/>
      <c r="AE335" s="338"/>
      <c r="AF335" s="338"/>
      <c r="AG335" s="339"/>
      <c r="AH335" s="322"/>
      <c r="AI335" s="339"/>
      <c r="AJ335" s="339"/>
      <c r="AK335" s="338"/>
      <c r="AL335" s="736">
        <v>1051000</v>
      </c>
      <c r="AM335" s="338"/>
      <c r="AN335" s="338"/>
      <c r="AO335" s="737">
        <v>1051000</v>
      </c>
    </row>
    <row r="336" spans="1:41" hidden="1">
      <c r="A336" s="757" t="s">
        <v>1654</v>
      </c>
      <c r="B336" s="710">
        <v>10800</v>
      </c>
      <c r="C336" s="339"/>
      <c r="D336" s="339"/>
      <c r="E336" s="712">
        <v>10800</v>
      </c>
      <c r="F336" s="324"/>
      <c r="G336" s="338"/>
      <c r="H336" s="338"/>
      <c r="I336" s="339"/>
      <c r="J336" s="322"/>
      <c r="K336" s="339"/>
      <c r="L336" s="339"/>
      <c r="M336" s="338"/>
      <c r="N336" s="324"/>
      <c r="O336" s="338"/>
      <c r="P336" s="338"/>
      <c r="Q336" s="339"/>
      <c r="R336" s="322"/>
      <c r="S336" s="339"/>
      <c r="T336" s="339"/>
      <c r="U336" s="338"/>
      <c r="V336" s="324"/>
      <c r="W336" s="338"/>
      <c r="X336" s="338"/>
      <c r="Y336" s="339"/>
      <c r="Z336" s="322"/>
      <c r="AA336" s="339"/>
      <c r="AB336" s="339"/>
      <c r="AC336" s="338"/>
      <c r="AD336" s="324"/>
      <c r="AE336" s="338"/>
      <c r="AF336" s="338"/>
      <c r="AG336" s="339"/>
      <c r="AH336" s="322"/>
      <c r="AI336" s="339"/>
      <c r="AJ336" s="339"/>
      <c r="AK336" s="338"/>
      <c r="AL336" s="713">
        <v>10800</v>
      </c>
      <c r="AM336" s="338"/>
      <c r="AN336" s="338"/>
      <c r="AO336" s="715">
        <v>10800</v>
      </c>
    </row>
    <row r="337" spans="1:41" hidden="1">
      <c r="A337" s="757" t="s">
        <v>1655</v>
      </c>
      <c r="B337" s="734">
        <v>117359</v>
      </c>
      <c r="C337" s="339"/>
      <c r="D337" s="339"/>
      <c r="E337" s="735">
        <v>117359</v>
      </c>
      <c r="F337" s="324"/>
      <c r="G337" s="338"/>
      <c r="H337" s="338"/>
      <c r="I337" s="339"/>
      <c r="J337" s="322"/>
      <c r="K337" s="339"/>
      <c r="L337" s="339"/>
      <c r="M337" s="338"/>
      <c r="N337" s="324"/>
      <c r="O337" s="338"/>
      <c r="P337" s="338"/>
      <c r="Q337" s="339"/>
      <c r="R337" s="322"/>
      <c r="S337" s="339"/>
      <c r="T337" s="339"/>
      <c r="U337" s="338"/>
      <c r="V337" s="324"/>
      <c r="W337" s="338"/>
      <c r="X337" s="338"/>
      <c r="Y337" s="339"/>
      <c r="Z337" s="322"/>
      <c r="AA337" s="339"/>
      <c r="AB337" s="339"/>
      <c r="AC337" s="338"/>
      <c r="AD337" s="324"/>
      <c r="AE337" s="338"/>
      <c r="AF337" s="338"/>
      <c r="AG337" s="339"/>
      <c r="AH337" s="322"/>
      <c r="AI337" s="339"/>
      <c r="AJ337" s="339"/>
      <c r="AK337" s="338"/>
      <c r="AL337" s="736">
        <v>117359</v>
      </c>
      <c r="AM337" s="338"/>
      <c r="AN337" s="338"/>
      <c r="AO337" s="737">
        <v>117359</v>
      </c>
    </row>
    <row r="338" spans="1:41" hidden="1">
      <c r="A338" s="757" t="s">
        <v>1656</v>
      </c>
      <c r="B338" s="710">
        <v>35575768.880000003</v>
      </c>
      <c r="C338" s="339"/>
      <c r="D338" s="339"/>
      <c r="E338" s="712">
        <v>35575768.880000003</v>
      </c>
      <c r="F338" s="324"/>
      <c r="G338" s="338"/>
      <c r="H338" s="338"/>
      <c r="I338" s="339"/>
      <c r="J338" s="322"/>
      <c r="K338" s="339"/>
      <c r="L338" s="339"/>
      <c r="M338" s="338"/>
      <c r="N338" s="324"/>
      <c r="O338" s="338"/>
      <c r="P338" s="338"/>
      <c r="Q338" s="339"/>
      <c r="R338" s="322"/>
      <c r="S338" s="339"/>
      <c r="T338" s="339"/>
      <c r="U338" s="338"/>
      <c r="V338" s="324"/>
      <c r="W338" s="338"/>
      <c r="X338" s="338"/>
      <c r="Y338" s="339"/>
      <c r="Z338" s="322"/>
      <c r="AA338" s="339"/>
      <c r="AB338" s="339"/>
      <c r="AC338" s="338"/>
      <c r="AD338" s="324"/>
      <c r="AE338" s="338"/>
      <c r="AF338" s="338"/>
      <c r="AG338" s="339"/>
      <c r="AH338" s="322"/>
      <c r="AI338" s="339"/>
      <c r="AJ338" s="339"/>
      <c r="AK338" s="338"/>
      <c r="AL338" s="713">
        <v>35575768.880000003</v>
      </c>
      <c r="AM338" s="338"/>
      <c r="AN338" s="338"/>
      <c r="AO338" s="715">
        <v>35575768.880000003</v>
      </c>
    </row>
    <row r="339" spans="1:41" hidden="1">
      <c r="A339" s="756" t="s">
        <v>1657</v>
      </c>
      <c r="B339" s="734">
        <v>187187</v>
      </c>
      <c r="C339" s="339"/>
      <c r="D339" s="339"/>
      <c r="E339" s="735">
        <v>187187</v>
      </c>
      <c r="F339" s="324"/>
      <c r="G339" s="338"/>
      <c r="H339" s="338"/>
      <c r="I339" s="339"/>
      <c r="J339" s="322"/>
      <c r="K339" s="339"/>
      <c r="L339" s="339"/>
      <c r="M339" s="338"/>
      <c r="N339" s="324"/>
      <c r="O339" s="338"/>
      <c r="P339" s="338"/>
      <c r="Q339" s="339"/>
      <c r="R339" s="322"/>
      <c r="S339" s="339"/>
      <c r="T339" s="339"/>
      <c r="U339" s="338"/>
      <c r="V339" s="324"/>
      <c r="W339" s="338"/>
      <c r="X339" s="338"/>
      <c r="Y339" s="339"/>
      <c r="Z339" s="322"/>
      <c r="AA339" s="339"/>
      <c r="AB339" s="339"/>
      <c r="AC339" s="338"/>
      <c r="AD339" s="324"/>
      <c r="AE339" s="338"/>
      <c r="AF339" s="338"/>
      <c r="AG339" s="339"/>
      <c r="AH339" s="322"/>
      <c r="AI339" s="339"/>
      <c r="AJ339" s="339"/>
      <c r="AK339" s="338"/>
      <c r="AL339" s="736">
        <v>187187</v>
      </c>
      <c r="AM339" s="338"/>
      <c r="AN339" s="338"/>
      <c r="AO339" s="737">
        <v>187187</v>
      </c>
    </row>
    <row r="340" spans="1:41" hidden="1">
      <c r="A340" s="757" t="s">
        <v>1658</v>
      </c>
      <c r="B340" s="734">
        <v>1600000</v>
      </c>
      <c r="C340" s="339"/>
      <c r="D340" s="339"/>
      <c r="E340" s="735">
        <v>1600000</v>
      </c>
      <c r="F340" s="324"/>
      <c r="G340" s="338"/>
      <c r="H340" s="338"/>
      <c r="I340" s="339"/>
      <c r="J340" s="322"/>
      <c r="K340" s="339"/>
      <c r="L340" s="339"/>
      <c r="M340" s="338"/>
      <c r="N340" s="324"/>
      <c r="O340" s="338"/>
      <c r="P340" s="338"/>
      <c r="Q340" s="339"/>
      <c r="R340" s="322"/>
      <c r="S340" s="339"/>
      <c r="T340" s="339"/>
      <c r="U340" s="338"/>
      <c r="V340" s="324"/>
      <c r="W340" s="338"/>
      <c r="X340" s="338"/>
      <c r="Y340" s="339"/>
      <c r="Z340" s="322"/>
      <c r="AA340" s="339"/>
      <c r="AB340" s="339"/>
      <c r="AC340" s="338"/>
      <c r="AD340" s="324"/>
      <c r="AE340" s="338"/>
      <c r="AF340" s="338"/>
      <c r="AG340" s="339"/>
      <c r="AH340" s="322"/>
      <c r="AI340" s="339"/>
      <c r="AJ340" s="339"/>
      <c r="AK340" s="338"/>
      <c r="AL340" s="736">
        <v>1600000</v>
      </c>
      <c r="AM340" s="338"/>
      <c r="AN340" s="338"/>
      <c r="AO340" s="737">
        <v>1600000</v>
      </c>
    </row>
    <row r="341" spans="1:41" hidden="1">
      <c r="A341" s="757" t="s">
        <v>1659</v>
      </c>
      <c r="B341" s="734">
        <v>41634.75</v>
      </c>
      <c r="C341" s="714">
        <v>103750</v>
      </c>
      <c r="D341" s="339"/>
      <c r="E341" s="735">
        <v>145384.75</v>
      </c>
      <c r="F341" s="324"/>
      <c r="G341" s="338"/>
      <c r="H341" s="338"/>
      <c r="I341" s="339"/>
      <c r="J341" s="322"/>
      <c r="K341" s="339"/>
      <c r="L341" s="339"/>
      <c r="M341" s="338"/>
      <c r="N341" s="324"/>
      <c r="O341" s="338"/>
      <c r="P341" s="338"/>
      <c r="Q341" s="339"/>
      <c r="R341" s="322"/>
      <c r="S341" s="339"/>
      <c r="T341" s="339"/>
      <c r="U341" s="338"/>
      <c r="V341" s="324"/>
      <c r="W341" s="338"/>
      <c r="X341" s="338"/>
      <c r="Y341" s="339"/>
      <c r="Z341" s="322"/>
      <c r="AA341" s="339"/>
      <c r="AB341" s="339"/>
      <c r="AC341" s="338"/>
      <c r="AD341" s="324"/>
      <c r="AE341" s="338"/>
      <c r="AF341" s="338"/>
      <c r="AG341" s="339"/>
      <c r="AH341" s="322"/>
      <c r="AI341" s="339"/>
      <c r="AJ341" s="339"/>
      <c r="AK341" s="338"/>
      <c r="AL341" s="736">
        <v>41634.75</v>
      </c>
      <c r="AM341" s="711">
        <v>103750</v>
      </c>
      <c r="AN341" s="338"/>
      <c r="AO341" s="737">
        <v>145384.75</v>
      </c>
    </row>
    <row r="342" spans="1:41" hidden="1">
      <c r="A342" s="757" t="s">
        <v>1660</v>
      </c>
      <c r="B342" s="734">
        <v>682204.16000000003</v>
      </c>
      <c r="C342" s="714">
        <v>79140</v>
      </c>
      <c r="D342" s="339"/>
      <c r="E342" s="735">
        <v>761344.16</v>
      </c>
      <c r="F342" s="324"/>
      <c r="G342" s="338"/>
      <c r="H342" s="338"/>
      <c r="I342" s="339"/>
      <c r="J342" s="322"/>
      <c r="K342" s="339"/>
      <c r="L342" s="339"/>
      <c r="M342" s="338"/>
      <c r="N342" s="324"/>
      <c r="O342" s="338"/>
      <c r="P342" s="338"/>
      <c r="Q342" s="339"/>
      <c r="R342" s="322"/>
      <c r="S342" s="339"/>
      <c r="T342" s="339"/>
      <c r="U342" s="338"/>
      <c r="V342" s="324"/>
      <c r="W342" s="338"/>
      <c r="X342" s="338"/>
      <c r="Y342" s="339"/>
      <c r="Z342" s="322"/>
      <c r="AA342" s="339"/>
      <c r="AB342" s="339"/>
      <c r="AC342" s="338"/>
      <c r="AD342" s="324"/>
      <c r="AE342" s="338"/>
      <c r="AF342" s="338"/>
      <c r="AG342" s="339"/>
      <c r="AH342" s="322"/>
      <c r="AI342" s="339"/>
      <c r="AJ342" s="339"/>
      <c r="AK342" s="338"/>
      <c r="AL342" s="736">
        <v>682204.16000000003</v>
      </c>
      <c r="AM342" s="711">
        <v>79140</v>
      </c>
      <c r="AN342" s="338"/>
      <c r="AO342" s="737">
        <v>761344.16</v>
      </c>
    </row>
    <row r="343" spans="1:41" hidden="1">
      <c r="A343" s="757" t="s">
        <v>1661</v>
      </c>
      <c r="B343" s="734">
        <v>270000</v>
      </c>
      <c r="C343" s="339"/>
      <c r="D343" s="339"/>
      <c r="E343" s="735">
        <v>270000</v>
      </c>
      <c r="F343" s="324"/>
      <c r="G343" s="338"/>
      <c r="H343" s="338"/>
      <c r="I343" s="339"/>
      <c r="J343" s="322"/>
      <c r="K343" s="339"/>
      <c r="L343" s="339"/>
      <c r="M343" s="338"/>
      <c r="N343" s="324"/>
      <c r="O343" s="338"/>
      <c r="P343" s="338"/>
      <c r="Q343" s="339"/>
      <c r="R343" s="322"/>
      <c r="S343" s="339"/>
      <c r="T343" s="339"/>
      <c r="U343" s="338"/>
      <c r="V343" s="324"/>
      <c r="W343" s="338"/>
      <c r="X343" s="338"/>
      <c r="Y343" s="339"/>
      <c r="Z343" s="322"/>
      <c r="AA343" s="339"/>
      <c r="AB343" s="339"/>
      <c r="AC343" s="338"/>
      <c r="AD343" s="324"/>
      <c r="AE343" s="338"/>
      <c r="AF343" s="338"/>
      <c r="AG343" s="339"/>
      <c r="AH343" s="322"/>
      <c r="AI343" s="339"/>
      <c r="AJ343" s="339"/>
      <c r="AK343" s="338"/>
      <c r="AL343" s="736">
        <v>270000</v>
      </c>
      <c r="AM343" s="338"/>
      <c r="AN343" s="338"/>
      <c r="AO343" s="737">
        <v>270000</v>
      </c>
    </row>
    <row r="344" spans="1:41" hidden="1">
      <c r="A344" s="757" t="s">
        <v>1662</v>
      </c>
      <c r="B344" s="734">
        <v>103035</v>
      </c>
      <c r="C344" s="339"/>
      <c r="D344" s="339"/>
      <c r="E344" s="735">
        <v>103035</v>
      </c>
      <c r="F344" s="324"/>
      <c r="G344" s="338"/>
      <c r="H344" s="338"/>
      <c r="I344" s="339"/>
      <c r="J344" s="322"/>
      <c r="K344" s="339"/>
      <c r="L344" s="339"/>
      <c r="M344" s="338"/>
      <c r="N344" s="324"/>
      <c r="O344" s="338"/>
      <c r="P344" s="338"/>
      <c r="Q344" s="339"/>
      <c r="R344" s="322"/>
      <c r="S344" s="339"/>
      <c r="T344" s="339"/>
      <c r="U344" s="338"/>
      <c r="V344" s="324"/>
      <c r="W344" s="338"/>
      <c r="X344" s="338"/>
      <c r="Y344" s="339"/>
      <c r="Z344" s="322"/>
      <c r="AA344" s="339"/>
      <c r="AB344" s="339"/>
      <c r="AC344" s="338"/>
      <c r="AD344" s="324"/>
      <c r="AE344" s="338"/>
      <c r="AF344" s="338"/>
      <c r="AG344" s="339"/>
      <c r="AH344" s="322"/>
      <c r="AI344" s="339"/>
      <c r="AJ344" s="339"/>
      <c r="AK344" s="338"/>
      <c r="AL344" s="736">
        <v>103035</v>
      </c>
      <c r="AM344" s="338"/>
      <c r="AN344" s="338"/>
      <c r="AO344" s="737">
        <v>103035</v>
      </c>
    </row>
    <row r="345" spans="1:41" hidden="1">
      <c r="A345" s="757" t="s">
        <v>1663</v>
      </c>
      <c r="B345" s="734">
        <v>544142</v>
      </c>
      <c r="C345" s="339"/>
      <c r="D345" s="339"/>
      <c r="E345" s="735">
        <v>544142</v>
      </c>
      <c r="F345" s="324"/>
      <c r="G345" s="338"/>
      <c r="H345" s="338"/>
      <c r="I345" s="339"/>
      <c r="J345" s="322"/>
      <c r="K345" s="339"/>
      <c r="L345" s="339"/>
      <c r="M345" s="338"/>
      <c r="N345" s="324"/>
      <c r="O345" s="338"/>
      <c r="P345" s="338"/>
      <c r="Q345" s="339"/>
      <c r="R345" s="322"/>
      <c r="S345" s="339"/>
      <c r="T345" s="339"/>
      <c r="U345" s="338"/>
      <c r="V345" s="324"/>
      <c r="W345" s="338"/>
      <c r="X345" s="338"/>
      <c r="Y345" s="339"/>
      <c r="Z345" s="322"/>
      <c r="AA345" s="339"/>
      <c r="AB345" s="339"/>
      <c r="AC345" s="338"/>
      <c r="AD345" s="324"/>
      <c r="AE345" s="338"/>
      <c r="AF345" s="338"/>
      <c r="AG345" s="339"/>
      <c r="AH345" s="322"/>
      <c r="AI345" s="339"/>
      <c r="AJ345" s="339"/>
      <c r="AK345" s="338"/>
      <c r="AL345" s="736">
        <v>544142</v>
      </c>
      <c r="AM345" s="338"/>
      <c r="AN345" s="338"/>
      <c r="AO345" s="737">
        <v>544142</v>
      </c>
    </row>
    <row r="346" spans="1:41" hidden="1">
      <c r="A346" s="757" t="s">
        <v>1664</v>
      </c>
      <c r="B346" s="734">
        <v>121516.1</v>
      </c>
      <c r="C346" s="339"/>
      <c r="D346" s="339"/>
      <c r="E346" s="735">
        <v>121516.1</v>
      </c>
      <c r="F346" s="324"/>
      <c r="G346" s="338"/>
      <c r="H346" s="338"/>
      <c r="I346" s="339"/>
      <c r="J346" s="322"/>
      <c r="K346" s="339"/>
      <c r="L346" s="339"/>
      <c r="M346" s="338"/>
      <c r="N346" s="324"/>
      <c r="O346" s="338"/>
      <c r="P346" s="338"/>
      <c r="Q346" s="339"/>
      <c r="R346" s="322"/>
      <c r="S346" s="339"/>
      <c r="T346" s="339"/>
      <c r="U346" s="338"/>
      <c r="V346" s="324"/>
      <c r="W346" s="338"/>
      <c r="X346" s="338"/>
      <c r="Y346" s="339"/>
      <c r="Z346" s="322"/>
      <c r="AA346" s="339"/>
      <c r="AB346" s="339"/>
      <c r="AC346" s="338"/>
      <c r="AD346" s="324"/>
      <c r="AE346" s="338"/>
      <c r="AF346" s="338"/>
      <c r="AG346" s="339"/>
      <c r="AH346" s="322"/>
      <c r="AI346" s="339"/>
      <c r="AJ346" s="339"/>
      <c r="AK346" s="338"/>
      <c r="AL346" s="736">
        <v>121516.1</v>
      </c>
      <c r="AM346" s="338"/>
      <c r="AN346" s="338"/>
      <c r="AO346" s="737">
        <v>121516.1</v>
      </c>
    </row>
    <row r="347" spans="1:41" hidden="1">
      <c r="A347" s="757" t="s">
        <v>1665</v>
      </c>
      <c r="B347" s="734">
        <v>6808023.6900000004</v>
      </c>
      <c r="C347" s="339"/>
      <c r="D347" s="339"/>
      <c r="E347" s="735">
        <v>6808023.6900000004</v>
      </c>
      <c r="F347" s="324"/>
      <c r="G347" s="338"/>
      <c r="H347" s="338"/>
      <c r="I347" s="339"/>
      <c r="J347" s="322"/>
      <c r="K347" s="339"/>
      <c r="L347" s="339"/>
      <c r="M347" s="338"/>
      <c r="N347" s="324"/>
      <c r="O347" s="338"/>
      <c r="P347" s="338"/>
      <c r="Q347" s="339"/>
      <c r="R347" s="322"/>
      <c r="S347" s="339"/>
      <c r="T347" s="339"/>
      <c r="U347" s="338"/>
      <c r="V347" s="324"/>
      <c r="W347" s="338"/>
      <c r="X347" s="338"/>
      <c r="Y347" s="339"/>
      <c r="Z347" s="322"/>
      <c r="AA347" s="339"/>
      <c r="AB347" s="339"/>
      <c r="AC347" s="338"/>
      <c r="AD347" s="324"/>
      <c r="AE347" s="338"/>
      <c r="AF347" s="338"/>
      <c r="AG347" s="339"/>
      <c r="AH347" s="322"/>
      <c r="AI347" s="339"/>
      <c r="AJ347" s="339"/>
      <c r="AK347" s="338"/>
      <c r="AL347" s="736">
        <v>6808023.6900000004</v>
      </c>
      <c r="AM347" s="338"/>
      <c r="AN347" s="338"/>
      <c r="AO347" s="737">
        <v>6808023.6900000004</v>
      </c>
    </row>
    <row r="348" spans="1:41" hidden="1">
      <c r="A348" s="757" t="s">
        <v>1666</v>
      </c>
      <c r="B348" s="734">
        <v>1321000</v>
      </c>
      <c r="C348" s="339"/>
      <c r="D348" s="339"/>
      <c r="E348" s="735">
        <v>1321000</v>
      </c>
      <c r="F348" s="324"/>
      <c r="G348" s="338"/>
      <c r="H348" s="338"/>
      <c r="I348" s="339"/>
      <c r="J348" s="322"/>
      <c r="K348" s="339"/>
      <c r="L348" s="339"/>
      <c r="M348" s="338"/>
      <c r="N348" s="324"/>
      <c r="O348" s="338"/>
      <c r="P348" s="338"/>
      <c r="Q348" s="339"/>
      <c r="R348" s="322"/>
      <c r="S348" s="339"/>
      <c r="T348" s="339"/>
      <c r="U348" s="338"/>
      <c r="V348" s="324"/>
      <c r="W348" s="338"/>
      <c r="X348" s="338"/>
      <c r="Y348" s="339"/>
      <c r="Z348" s="322"/>
      <c r="AA348" s="339"/>
      <c r="AB348" s="339"/>
      <c r="AC348" s="338"/>
      <c r="AD348" s="324"/>
      <c r="AE348" s="338"/>
      <c r="AF348" s="338"/>
      <c r="AG348" s="339"/>
      <c r="AH348" s="322"/>
      <c r="AI348" s="339"/>
      <c r="AJ348" s="339"/>
      <c r="AK348" s="338"/>
      <c r="AL348" s="736">
        <v>1321000</v>
      </c>
      <c r="AM348" s="338"/>
      <c r="AN348" s="338"/>
      <c r="AO348" s="737">
        <v>1321000</v>
      </c>
    </row>
    <row r="349" spans="1:41" hidden="1">
      <c r="A349" s="757" t="s">
        <v>1667</v>
      </c>
      <c r="B349" s="734">
        <v>410677</v>
      </c>
      <c r="C349" s="339"/>
      <c r="D349" s="339"/>
      <c r="E349" s="735">
        <v>410677</v>
      </c>
      <c r="F349" s="324"/>
      <c r="G349" s="338"/>
      <c r="H349" s="338"/>
      <c r="I349" s="339"/>
      <c r="J349" s="322"/>
      <c r="K349" s="339"/>
      <c r="L349" s="339"/>
      <c r="M349" s="338"/>
      <c r="N349" s="324"/>
      <c r="O349" s="338"/>
      <c r="P349" s="338"/>
      <c r="Q349" s="339"/>
      <c r="R349" s="322"/>
      <c r="S349" s="339"/>
      <c r="T349" s="339"/>
      <c r="U349" s="338"/>
      <c r="V349" s="324"/>
      <c r="W349" s="338"/>
      <c r="X349" s="338"/>
      <c r="Y349" s="339"/>
      <c r="Z349" s="322"/>
      <c r="AA349" s="339"/>
      <c r="AB349" s="339"/>
      <c r="AC349" s="338"/>
      <c r="AD349" s="324"/>
      <c r="AE349" s="338"/>
      <c r="AF349" s="338"/>
      <c r="AG349" s="339"/>
      <c r="AH349" s="322"/>
      <c r="AI349" s="339"/>
      <c r="AJ349" s="339"/>
      <c r="AK349" s="338"/>
      <c r="AL349" s="736">
        <v>410677</v>
      </c>
      <c r="AM349" s="338"/>
      <c r="AN349" s="338"/>
      <c r="AO349" s="737">
        <v>410677</v>
      </c>
    </row>
    <row r="350" spans="1:41" hidden="1">
      <c r="A350" s="756" t="s">
        <v>1668</v>
      </c>
      <c r="B350" s="734">
        <v>121825.9</v>
      </c>
      <c r="C350" s="339"/>
      <c r="D350" s="339"/>
      <c r="E350" s="735">
        <v>121825.9</v>
      </c>
      <c r="F350" s="324"/>
      <c r="G350" s="338"/>
      <c r="H350" s="338"/>
      <c r="I350" s="339"/>
      <c r="J350" s="322"/>
      <c r="K350" s="339"/>
      <c r="L350" s="339"/>
      <c r="M350" s="338"/>
      <c r="N350" s="324"/>
      <c r="O350" s="338"/>
      <c r="P350" s="338"/>
      <c r="Q350" s="339"/>
      <c r="R350" s="322"/>
      <c r="S350" s="339"/>
      <c r="T350" s="339"/>
      <c r="U350" s="338"/>
      <c r="V350" s="324"/>
      <c r="W350" s="338"/>
      <c r="X350" s="338"/>
      <c r="Y350" s="339"/>
      <c r="Z350" s="322"/>
      <c r="AA350" s="339"/>
      <c r="AB350" s="339"/>
      <c r="AC350" s="338"/>
      <c r="AD350" s="324"/>
      <c r="AE350" s="338"/>
      <c r="AF350" s="338"/>
      <c r="AG350" s="339"/>
      <c r="AH350" s="322"/>
      <c r="AI350" s="339"/>
      <c r="AJ350" s="339"/>
      <c r="AK350" s="338"/>
      <c r="AL350" s="736">
        <v>121825.9</v>
      </c>
      <c r="AM350" s="338"/>
      <c r="AN350" s="338"/>
      <c r="AO350" s="737">
        <v>121825.9</v>
      </c>
    </row>
    <row r="351" spans="1:41" hidden="1">
      <c r="A351" s="757" t="s">
        <v>1669</v>
      </c>
      <c r="B351" s="734">
        <v>1971000</v>
      </c>
      <c r="C351" s="339"/>
      <c r="D351" s="339"/>
      <c r="E351" s="735">
        <v>1971000</v>
      </c>
      <c r="F351" s="324"/>
      <c r="G351" s="338"/>
      <c r="H351" s="338"/>
      <c r="I351" s="339"/>
      <c r="J351" s="322"/>
      <c r="K351" s="339"/>
      <c r="L351" s="339"/>
      <c r="M351" s="338"/>
      <c r="N351" s="324"/>
      <c r="O351" s="338"/>
      <c r="P351" s="338"/>
      <c r="Q351" s="339"/>
      <c r="R351" s="322"/>
      <c r="S351" s="339"/>
      <c r="T351" s="339"/>
      <c r="U351" s="338"/>
      <c r="V351" s="324"/>
      <c r="W351" s="338"/>
      <c r="X351" s="338"/>
      <c r="Y351" s="339"/>
      <c r="Z351" s="322"/>
      <c r="AA351" s="339"/>
      <c r="AB351" s="339"/>
      <c r="AC351" s="338"/>
      <c r="AD351" s="324"/>
      <c r="AE351" s="338"/>
      <c r="AF351" s="338"/>
      <c r="AG351" s="339"/>
      <c r="AH351" s="322"/>
      <c r="AI351" s="339"/>
      <c r="AJ351" s="339"/>
      <c r="AK351" s="338"/>
      <c r="AL351" s="736">
        <v>1971000</v>
      </c>
      <c r="AM351" s="338"/>
      <c r="AN351" s="338"/>
      <c r="AO351" s="737">
        <v>1971000</v>
      </c>
    </row>
    <row r="352" spans="1:41" hidden="1">
      <c r="A352" s="756" t="s">
        <v>1670</v>
      </c>
      <c r="B352" s="734">
        <v>1400000</v>
      </c>
      <c r="C352" s="339"/>
      <c r="D352" s="339"/>
      <c r="E352" s="735">
        <v>1400000</v>
      </c>
      <c r="F352" s="324"/>
      <c r="G352" s="338"/>
      <c r="H352" s="338"/>
      <c r="I352" s="339"/>
      <c r="J352" s="322"/>
      <c r="K352" s="339"/>
      <c r="L352" s="339"/>
      <c r="M352" s="338"/>
      <c r="N352" s="324"/>
      <c r="O352" s="338"/>
      <c r="P352" s="338"/>
      <c r="Q352" s="339"/>
      <c r="R352" s="322"/>
      <c r="S352" s="339"/>
      <c r="T352" s="339"/>
      <c r="U352" s="338"/>
      <c r="V352" s="324"/>
      <c r="W352" s="338"/>
      <c r="X352" s="338"/>
      <c r="Y352" s="339"/>
      <c r="Z352" s="322"/>
      <c r="AA352" s="339"/>
      <c r="AB352" s="339"/>
      <c r="AC352" s="338"/>
      <c r="AD352" s="324"/>
      <c r="AE352" s="338"/>
      <c r="AF352" s="338"/>
      <c r="AG352" s="339"/>
      <c r="AH352" s="322"/>
      <c r="AI352" s="339"/>
      <c r="AJ352" s="339"/>
      <c r="AK352" s="338"/>
      <c r="AL352" s="736">
        <v>1400000</v>
      </c>
      <c r="AM352" s="338"/>
      <c r="AN352" s="338"/>
      <c r="AO352" s="737">
        <v>1400000</v>
      </c>
    </row>
    <row r="353" spans="1:41" hidden="1">
      <c r="A353" s="757" t="s">
        <v>1671</v>
      </c>
      <c r="B353" s="734">
        <v>957980.15</v>
      </c>
      <c r="C353" s="339"/>
      <c r="D353" s="339"/>
      <c r="E353" s="735">
        <v>957980.15</v>
      </c>
      <c r="F353" s="324"/>
      <c r="G353" s="338"/>
      <c r="H353" s="338"/>
      <c r="I353" s="339"/>
      <c r="J353" s="322"/>
      <c r="K353" s="339"/>
      <c r="L353" s="339"/>
      <c r="M353" s="338"/>
      <c r="N353" s="324"/>
      <c r="O353" s="338"/>
      <c r="P353" s="338"/>
      <c r="Q353" s="339"/>
      <c r="R353" s="322"/>
      <c r="S353" s="339"/>
      <c r="T353" s="339"/>
      <c r="U353" s="338"/>
      <c r="V353" s="324"/>
      <c r="W353" s="338"/>
      <c r="X353" s="338"/>
      <c r="Y353" s="339"/>
      <c r="Z353" s="322"/>
      <c r="AA353" s="339"/>
      <c r="AB353" s="339"/>
      <c r="AC353" s="338"/>
      <c r="AD353" s="324"/>
      <c r="AE353" s="338"/>
      <c r="AF353" s="338"/>
      <c r="AG353" s="339"/>
      <c r="AH353" s="322"/>
      <c r="AI353" s="339"/>
      <c r="AJ353" s="339"/>
      <c r="AK353" s="338"/>
      <c r="AL353" s="736">
        <v>957980.15</v>
      </c>
      <c r="AM353" s="338"/>
      <c r="AN353" s="338"/>
      <c r="AO353" s="737">
        <v>957980.15</v>
      </c>
    </row>
    <row r="354" spans="1:41" hidden="1">
      <c r="A354" s="757" t="s">
        <v>1672</v>
      </c>
      <c r="B354" s="734">
        <v>1989524.41</v>
      </c>
      <c r="C354" s="339"/>
      <c r="D354" s="339"/>
      <c r="E354" s="735">
        <v>1989524.41</v>
      </c>
      <c r="F354" s="324"/>
      <c r="G354" s="338"/>
      <c r="H354" s="338"/>
      <c r="I354" s="339"/>
      <c r="J354" s="322"/>
      <c r="K354" s="339"/>
      <c r="L354" s="339"/>
      <c r="M354" s="338"/>
      <c r="N354" s="324"/>
      <c r="O354" s="338"/>
      <c r="P354" s="338"/>
      <c r="Q354" s="339"/>
      <c r="R354" s="322"/>
      <c r="S354" s="339"/>
      <c r="T354" s="339"/>
      <c r="U354" s="338"/>
      <c r="V354" s="324"/>
      <c r="W354" s="338"/>
      <c r="X354" s="338"/>
      <c r="Y354" s="339"/>
      <c r="Z354" s="322"/>
      <c r="AA354" s="339"/>
      <c r="AB354" s="339"/>
      <c r="AC354" s="338"/>
      <c r="AD354" s="324"/>
      <c r="AE354" s="338"/>
      <c r="AF354" s="338"/>
      <c r="AG354" s="339"/>
      <c r="AH354" s="322"/>
      <c r="AI354" s="339"/>
      <c r="AJ354" s="339"/>
      <c r="AK354" s="338"/>
      <c r="AL354" s="736">
        <v>1989524.41</v>
      </c>
      <c r="AM354" s="338"/>
      <c r="AN354" s="338"/>
      <c r="AO354" s="737">
        <v>1989524.41</v>
      </c>
    </row>
    <row r="355" spans="1:41" hidden="1">
      <c r="A355" s="757" t="s">
        <v>1673</v>
      </c>
      <c r="B355" s="734">
        <v>1528023</v>
      </c>
      <c r="C355" s="339"/>
      <c r="D355" s="339"/>
      <c r="E355" s="735">
        <v>1528023</v>
      </c>
      <c r="F355" s="324"/>
      <c r="G355" s="338"/>
      <c r="H355" s="338"/>
      <c r="I355" s="339"/>
      <c r="J355" s="322"/>
      <c r="K355" s="339"/>
      <c r="L355" s="339"/>
      <c r="M355" s="338"/>
      <c r="N355" s="324"/>
      <c r="O355" s="338"/>
      <c r="P355" s="338"/>
      <c r="Q355" s="339"/>
      <c r="R355" s="322"/>
      <c r="S355" s="339"/>
      <c r="T355" s="339"/>
      <c r="U355" s="338"/>
      <c r="V355" s="324"/>
      <c r="W355" s="338"/>
      <c r="X355" s="338"/>
      <c r="Y355" s="339"/>
      <c r="Z355" s="322"/>
      <c r="AA355" s="339"/>
      <c r="AB355" s="339"/>
      <c r="AC355" s="338"/>
      <c r="AD355" s="324"/>
      <c r="AE355" s="338"/>
      <c r="AF355" s="338"/>
      <c r="AG355" s="339"/>
      <c r="AH355" s="322"/>
      <c r="AI355" s="339"/>
      <c r="AJ355" s="339"/>
      <c r="AK355" s="338"/>
      <c r="AL355" s="736">
        <v>1528023</v>
      </c>
      <c r="AM355" s="338"/>
      <c r="AN355" s="338"/>
      <c r="AO355" s="737">
        <v>1528023</v>
      </c>
    </row>
    <row r="356" spans="1:41" hidden="1">
      <c r="A356" s="757" t="s">
        <v>1674</v>
      </c>
      <c r="B356" s="734">
        <v>359500</v>
      </c>
      <c r="C356" s="339"/>
      <c r="D356" s="339"/>
      <c r="E356" s="735">
        <v>359500</v>
      </c>
      <c r="F356" s="324"/>
      <c r="G356" s="338"/>
      <c r="H356" s="338"/>
      <c r="I356" s="339"/>
      <c r="J356" s="322"/>
      <c r="K356" s="339"/>
      <c r="L356" s="339"/>
      <c r="M356" s="338"/>
      <c r="N356" s="324"/>
      <c r="O356" s="338"/>
      <c r="P356" s="338"/>
      <c r="Q356" s="339"/>
      <c r="R356" s="322"/>
      <c r="S356" s="339"/>
      <c r="T356" s="339"/>
      <c r="U356" s="338"/>
      <c r="V356" s="324"/>
      <c r="W356" s="338"/>
      <c r="X356" s="338"/>
      <c r="Y356" s="339"/>
      <c r="Z356" s="322"/>
      <c r="AA356" s="339"/>
      <c r="AB356" s="339"/>
      <c r="AC356" s="338"/>
      <c r="AD356" s="324"/>
      <c r="AE356" s="338"/>
      <c r="AF356" s="338"/>
      <c r="AG356" s="339"/>
      <c r="AH356" s="322"/>
      <c r="AI356" s="339"/>
      <c r="AJ356" s="339"/>
      <c r="AK356" s="338"/>
      <c r="AL356" s="736">
        <v>359500</v>
      </c>
      <c r="AM356" s="338"/>
      <c r="AN356" s="338"/>
      <c r="AO356" s="737">
        <v>359500</v>
      </c>
    </row>
    <row r="357" spans="1:41" hidden="1">
      <c r="A357" s="757" t="s">
        <v>1675</v>
      </c>
      <c r="B357" s="734">
        <v>695450</v>
      </c>
      <c r="C357" s="339"/>
      <c r="D357" s="339"/>
      <c r="E357" s="735">
        <v>695450</v>
      </c>
      <c r="F357" s="324"/>
      <c r="G357" s="338"/>
      <c r="H357" s="338"/>
      <c r="I357" s="339"/>
      <c r="J357" s="322"/>
      <c r="K357" s="339"/>
      <c r="L357" s="339"/>
      <c r="M357" s="338"/>
      <c r="N357" s="324"/>
      <c r="O357" s="338"/>
      <c r="P357" s="338"/>
      <c r="Q357" s="339"/>
      <c r="R357" s="322"/>
      <c r="S357" s="339"/>
      <c r="T357" s="339"/>
      <c r="U357" s="338"/>
      <c r="V357" s="324"/>
      <c r="W357" s="338"/>
      <c r="X357" s="338"/>
      <c r="Y357" s="339"/>
      <c r="Z357" s="322"/>
      <c r="AA357" s="339"/>
      <c r="AB357" s="339"/>
      <c r="AC357" s="338"/>
      <c r="AD357" s="324"/>
      <c r="AE357" s="338"/>
      <c r="AF357" s="338"/>
      <c r="AG357" s="339"/>
      <c r="AH357" s="322"/>
      <c r="AI357" s="339"/>
      <c r="AJ357" s="339"/>
      <c r="AK357" s="338"/>
      <c r="AL357" s="736">
        <v>695450</v>
      </c>
      <c r="AM357" s="338"/>
      <c r="AN357" s="338"/>
      <c r="AO357" s="737">
        <v>695450</v>
      </c>
    </row>
    <row r="358" spans="1:41" hidden="1">
      <c r="A358" s="757" t="s">
        <v>1676</v>
      </c>
      <c r="B358" s="734">
        <v>297880.59999999998</v>
      </c>
      <c r="C358" s="339"/>
      <c r="D358" s="339"/>
      <c r="E358" s="735">
        <v>297880.59999999998</v>
      </c>
      <c r="F358" s="324"/>
      <c r="G358" s="338"/>
      <c r="H358" s="338"/>
      <c r="I358" s="339"/>
      <c r="J358" s="322"/>
      <c r="K358" s="339"/>
      <c r="L358" s="339"/>
      <c r="M358" s="338"/>
      <c r="N358" s="324"/>
      <c r="O358" s="338"/>
      <c r="P358" s="338"/>
      <c r="Q358" s="339"/>
      <c r="R358" s="322"/>
      <c r="S358" s="339"/>
      <c r="T358" s="339"/>
      <c r="U358" s="338"/>
      <c r="V358" s="324"/>
      <c r="W358" s="338"/>
      <c r="X358" s="338"/>
      <c r="Y358" s="339"/>
      <c r="Z358" s="322"/>
      <c r="AA358" s="339"/>
      <c r="AB358" s="339"/>
      <c r="AC358" s="338"/>
      <c r="AD358" s="324"/>
      <c r="AE358" s="338"/>
      <c r="AF358" s="338"/>
      <c r="AG358" s="339"/>
      <c r="AH358" s="322"/>
      <c r="AI358" s="339"/>
      <c r="AJ358" s="339"/>
      <c r="AK358" s="338"/>
      <c r="AL358" s="736">
        <v>297880.59999999998</v>
      </c>
      <c r="AM358" s="338"/>
      <c r="AN358" s="338"/>
      <c r="AO358" s="737">
        <v>297880.59999999998</v>
      </c>
    </row>
    <row r="359" spans="1:41" hidden="1">
      <c r="A359" s="757" t="s">
        <v>1677</v>
      </c>
      <c r="B359" s="734">
        <v>780000</v>
      </c>
      <c r="C359" s="339"/>
      <c r="D359" s="339"/>
      <c r="E359" s="735">
        <v>780000</v>
      </c>
      <c r="F359" s="324"/>
      <c r="G359" s="338"/>
      <c r="H359" s="338"/>
      <c r="I359" s="339"/>
      <c r="J359" s="322"/>
      <c r="K359" s="339"/>
      <c r="L359" s="339"/>
      <c r="M359" s="338"/>
      <c r="N359" s="324"/>
      <c r="O359" s="338"/>
      <c r="P359" s="338"/>
      <c r="Q359" s="339"/>
      <c r="R359" s="322"/>
      <c r="S359" s="339"/>
      <c r="T359" s="339"/>
      <c r="U359" s="338"/>
      <c r="V359" s="324"/>
      <c r="W359" s="338"/>
      <c r="X359" s="338"/>
      <c r="Y359" s="339"/>
      <c r="Z359" s="322"/>
      <c r="AA359" s="339"/>
      <c r="AB359" s="339"/>
      <c r="AC359" s="338"/>
      <c r="AD359" s="324"/>
      <c r="AE359" s="338"/>
      <c r="AF359" s="338"/>
      <c r="AG359" s="339"/>
      <c r="AH359" s="322"/>
      <c r="AI359" s="339"/>
      <c r="AJ359" s="339"/>
      <c r="AK359" s="338"/>
      <c r="AL359" s="736">
        <v>780000</v>
      </c>
      <c r="AM359" s="338"/>
      <c r="AN359" s="338"/>
      <c r="AO359" s="737">
        <v>780000</v>
      </c>
    </row>
    <row r="360" spans="1:41" hidden="1">
      <c r="A360" s="757" t="s">
        <v>1678</v>
      </c>
      <c r="B360" s="734">
        <v>171718</v>
      </c>
      <c r="C360" s="339"/>
      <c r="D360" s="339"/>
      <c r="E360" s="735">
        <v>171718</v>
      </c>
      <c r="F360" s="324"/>
      <c r="G360" s="338"/>
      <c r="H360" s="338"/>
      <c r="I360" s="339"/>
      <c r="J360" s="322"/>
      <c r="K360" s="339"/>
      <c r="L360" s="339"/>
      <c r="M360" s="338"/>
      <c r="N360" s="324"/>
      <c r="O360" s="338"/>
      <c r="P360" s="338"/>
      <c r="Q360" s="339"/>
      <c r="R360" s="322"/>
      <c r="S360" s="339"/>
      <c r="T360" s="339"/>
      <c r="U360" s="338"/>
      <c r="V360" s="324"/>
      <c r="W360" s="338"/>
      <c r="X360" s="338"/>
      <c r="Y360" s="339"/>
      <c r="Z360" s="322"/>
      <c r="AA360" s="339"/>
      <c r="AB360" s="339"/>
      <c r="AC360" s="338"/>
      <c r="AD360" s="324"/>
      <c r="AE360" s="338"/>
      <c r="AF360" s="338"/>
      <c r="AG360" s="339"/>
      <c r="AH360" s="322"/>
      <c r="AI360" s="339"/>
      <c r="AJ360" s="339"/>
      <c r="AK360" s="338"/>
      <c r="AL360" s="736">
        <v>171718</v>
      </c>
      <c r="AM360" s="338"/>
      <c r="AN360" s="338"/>
      <c r="AO360" s="737">
        <v>171718</v>
      </c>
    </row>
    <row r="361" spans="1:41" hidden="1">
      <c r="A361" s="757" t="s">
        <v>1679</v>
      </c>
      <c r="B361" s="734">
        <v>74100</v>
      </c>
      <c r="C361" s="339"/>
      <c r="D361" s="339"/>
      <c r="E361" s="735">
        <v>74100</v>
      </c>
      <c r="F361" s="324"/>
      <c r="G361" s="338"/>
      <c r="H361" s="338"/>
      <c r="I361" s="339"/>
      <c r="J361" s="322"/>
      <c r="K361" s="339"/>
      <c r="L361" s="339"/>
      <c r="M361" s="338"/>
      <c r="N361" s="324"/>
      <c r="O361" s="338"/>
      <c r="P361" s="338"/>
      <c r="Q361" s="339"/>
      <c r="R361" s="322"/>
      <c r="S361" s="339"/>
      <c r="T361" s="339"/>
      <c r="U361" s="338"/>
      <c r="V361" s="324"/>
      <c r="W361" s="338"/>
      <c r="X361" s="338"/>
      <c r="Y361" s="339"/>
      <c r="Z361" s="322"/>
      <c r="AA361" s="339"/>
      <c r="AB361" s="339"/>
      <c r="AC361" s="338"/>
      <c r="AD361" s="324"/>
      <c r="AE361" s="338"/>
      <c r="AF361" s="338"/>
      <c r="AG361" s="339"/>
      <c r="AH361" s="322"/>
      <c r="AI361" s="339"/>
      <c r="AJ361" s="339"/>
      <c r="AK361" s="338"/>
      <c r="AL361" s="736">
        <v>74100</v>
      </c>
      <c r="AM361" s="338"/>
      <c r="AN361" s="338"/>
      <c r="AO361" s="737">
        <v>74100</v>
      </c>
    </row>
    <row r="362" spans="1:41" hidden="1">
      <c r="A362" s="757" t="s">
        <v>1680</v>
      </c>
      <c r="B362" s="734">
        <v>123211</v>
      </c>
      <c r="C362" s="339"/>
      <c r="D362" s="339"/>
      <c r="E362" s="735">
        <v>123211</v>
      </c>
      <c r="F362" s="324"/>
      <c r="G362" s="338"/>
      <c r="H362" s="338"/>
      <c r="I362" s="339"/>
      <c r="J362" s="322"/>
      <c r="K362" s="339"/>
      <c r="L362" s="339"/>
      <c r="M362" s="338"/>
      <c r="N362" s="324"/>
      <c r="O362" s="338"/>
      <c r="P362" s="338"/>
      <c r="Q362" s="339"/>
      <c r="R362" s="322"/>
      <c r="S362" s="339"/>
      <c r="T362" s="339"/>
      <c r="U362" s="338"/>
      <c r="V362" s="324"/>
      <c r="W362" s="338"/>
      <c r="X362" s="338"/>
      <c r="Y362" s="339"/>
      <c r="Z362" s="322"/>
      <c r="AA362" s="339"/>
      <c r="AB362" s="339"/>
      <c r="AC362" s="338"/>
      <c r="AD362" s="324"/>
      <c r="AE362" s="338"/>
      <c r="AF362" s="338"/>
      <c r="AG362" s="339"/>
      <c r="AH362" s="322"/>
      <c r="AI362" s="339"/>
      <c r="AJ362" s="339"/>
      <c r="AK362" s="338"/>
      <c r="AL362" s="736">
        <v>123211</v>
      </c>
      <c r="AM362" s="338"/>
      <c r="AN362" s="338"/>
      <c r="AO362" s="737">
        <v>123211</v>
      </c>
    </row>
    <row r="363" spans="1:41" hidden="1">
      <c r="A363" s="756" t="s">
        <v>1681</v>
      </c>
      <c r="B363" s="734">
        <v>902500</v>
      </c>
      <c r="C363" s="339"/>
      <c r="D363" s="339"/>
      <c r="E363" s="735">
        <v>902500</v>
      </c>
      <c r="F363" s="324"/>
      <c r="G363" s="338"/>
      <c r="H363" s="338"/>
      <c r="I363" s="339"/>
      <c r="J363" s="322"/>
      <c r="K363" s="339"/>
      <c r="L363" s="339"/>
      <c r="M363" s="338"/>
      <c r="N363" s="324"/>
      <c r="O363" s="338"/>
      <c r="P363" s="338"/>
      <c r="Q363" s="339"/>
      <c r="R363" s="322"/>
      <c r="S363" s="339"/>
      <c r="T363" s="339"/>
      <c r="U363" s="338"/>
      <c r="V363" s="324"/>
      <c r="W363" s="338"/>
      <c r="X363" s="338"/>
      <c r="Y363" s="339"/>
      <c r="Z363" s="322"/>
      <c r="AA363" s="339"/>
      <c r="AB363" s="339"/>
      <c r="AC363" s="338"/>
      <c r="AD363" s="324"/>
      <c r="AE363" s="338"/>
      <c r="AF363" s="338"/>
      <c r="AG363" s="339"/>
      <c r="AH363" s="322"/>
      <c r="AI363" s="339"/>
      <c r="AJ363" s="339"/>
      <c r="AK363" s="338"/>
      <c r="AL363" s="736">
        <v>902500</v>
      </c>
      <c r="AM363" s="338"/>
      <c r="AN363" s="338"/>
      <c r="AO363" s="737">
        <v>902500</v>
      </c>
    </row>
    <row r="364" spans="1:41" hidden="1">
      <c r="A364" s="757" t="s">
        <v>1682</v>
      </c>
      <c r="B364" s="734">
        <v>456000</v>
      </c>
      <c r="C364" s="339"/>
      <c r="D364" s="339"/>
      <c r="E364" s="735">
        <v>456000</v>
      </c>
      <c r="F364" s="324"/>
      <c r="G364" s="338"/>
      <c r="H364" s="338"/>
      <c r="I364" s="339"/>
      <c r="J364" s="322"/>
      <c r="K364" s="339"/>
      <c r="L364" s="339"/>
      <c r="M364" s="338"/>
      <c r="N364" s="324"/>
      <c r="O364" s="338"/>
      <c r="P364" s="338"/>
      <c r="Q364" s="339"/>
      <c r="R364" s="322"/>
      <c r="S364" s="339"/>
      <c r="T364" s="339"/>
      <c r="U364" s="338"/>
      <c r="V364" s="324"/>
      <c r="W364" s="338"/>
      <c r="X364" s="338"/>
      <c r="Y364" s="339"/>
      <c r="Z364" s="322"/>
      <c r="AA364" s="339"/>
      <c r="AB364" s="339"/>
      <c r="AC364" s="338"/>
      <c r="AD364" s="324"/>
      <c r="AE364" s="338"/>
      <c r="AF364" s="338"/>
      <c r="AG364" s="339"/>
      <c r="AH364" s="322"/>
      <c r="AI364" s="339"/>
      <c r="AJ364" s="339"/>
      <c r="AK364" s="338"/>
      <c r="AL364" s="736">
        <v>456000</v>
      </c>
      <c r="AM364" s="338"/>
      <c r="AN364" s="338"/>
      <c r="AO364" s="737">
        <v>456000</v>
      </c>
    </row>
    <row r="365" spans="1:41" hidden="1">
      <c r="A365" s="757" t="s">
        <v>1683</v>
      </c>
      <c r="B365" s="734">
        <v>378295.68</v>
      </c>
      <c r="C365" s="339"/>
      <c r="D365" s="339"/>
      <c r="E365" s="735">
        <v>378295.68</v>
      </c>
      <c r="F365" s="324"/>
      <c r="G365" s="338"/>
      <c r="H365" s="338"/>
      <c r="I365" s="339"/>
      <c r="J365" s="322"/>
      <c r="K365" s="339"/>
      <c r="L365" s="339"/>
      <c r="M365" s="338"/>
      <c r="N365" s="324"/>
      <c r="O365" s="338"/>
      <c r="P365" s="338"/>
      <c r="Q365" s="339"/>
      <c r="R365" s="322"/>
      <c r="S365" s="339"/>
      <c r="T365" s="339"/>
      <c r="U365" s="338"/>
      <c r="V365" s="324"/>
      <c r="W365" s="338"/>
      <c r="X365" s="338"/>
      <c r="Y365" s="339"/>
      <c r="Z365" s="322"/>
      <c r="AA365" s="339"/>
      <c r="AB365" s="339"/>
      <c r="AC365" s="338"/>
      <c r="AD365" s="324"/>
      <c r="AE365" s="338"/>
      <c r="AF365" s="338"/>
      <c r="AG365" s="339"/>
      <c r="AH365" s="322"/>
      <c r="AI365" s="339"/>
      <c r="AJ365" s="339"/>
      <c r="AK365" s="338"/>
      <c r="AL365" s="736">
        <v>378295.68</v>
      </c>
      <c r="AM365" s="338"/>
      <c r="AN365" s="338"/>
      <c r="AO365" s="737">
        <v>378295.68</v>
      </c>
    </row>
    <row r="366" spans="1:41" hidden="1">
      <c r="A366" s="756" t="s">
        <v>1684</v>
      </c>
      <c r="B366" s="734">
        <v>449302</v>
      </c>
      <c r="C366" s="339"/>
      <c r="D366" s="339"/>
      <c r="E366" s="735">
        <v>449302</v>
      </c>
      <c r="F366" s="324"/>
      <c r="G366" s="338"/>
      <c r="H366" s="338"/>
      <c r="I366" s="339"/>
      <c r="J366" s="322"/>
      <c r="K366" s="339"/>
      <c r="L366" s="339"/>
      <c r="M366" s="338"/>
      <c r="N366" s="324"/>
      <c r="O366" s="338"/>
      <c r="P366" s="338"/>
      <c r="Q366" s="339"/>
      <c r="R366" s="322"/>
      <c r="S366" s="339"/>
      <c r="T366" s="339"/>
      <c r="U366" s="338"/>
      <c r="V366" s="324"/>
      <c r="W366" s="338"/>
      <c r="X366" s="338"/>
      <c r="Y366" s="339"/>
      <c r="Z366" s="322"/>
      <c r="AA366" s="339"/>
      <c r="AB366" s="339"/>
      <c r="AC366" s="338"/>
      <c r="AD366" s="324"/>
      <c r="AE366" s="338"/>
      <c r="AF366" s="338"/>
      <c r="AG366" s="339"/>
      <c r="AH366" s="322"/>
      <c r="AI366" s="339"/>
      <c r="AJ366" s="339"/>
      <c r="AK366" s="338"/>
      <c r="AL366" s="736">
        <v>449302</v>
      </c>
      <c r="AM366" s="338"/>
      <c r="AN366" s="338"/>
      <c r="AO366" s="737">
        <v>449302</v>
      </c>
    </row>
    <row r="367" spans="1:41" hidden="1">
      <c r="A367" s="757" t="s">
        <v>1685</v>
      </c>
      <c r="B367" s="734">
        <v>125818649</v>
      </c>
      <c r="C367" s="339"/>
      <c r="D367" s="339"/>
      <c r="E367" s="735">
        <v>125818649</v>
      </c>
      <c r="F367" s="324"/>
      <c r="G367" s="338"/>
      <c r="H367" s="338"/>
      <c r="I367" s="339"/>
      <c r="J367" s="322"/>
      <c r="K367" s="339"/>
      <c r="L367" s="339"/>
      <c r="M367" s="338"/>
      <c r="N367" s="324"/>
      <c r="O367" s="338"/>
      <c r="P367" s="338"/>
      <c r="Q367" s="339"/>
      <c r="R367" s="322"/>
      <c r="S367" s="339"/>
      <c r="T367" s="339"/>
      <c r="U367" s="338"/>
      <c r="V367" s="324"/>
      <c r="W367" s="338"/>
      <c r="X367" s="338"/>
      <c r="Y367" s="339"/>
      <c r="Z367" s="322"/>
      <c r="AA367" s="339"/>
      <c r="AB367" s="339"/>
      <c r="AC367" s="338"/>
      <c r="AD367" s="324"/>
      <c r="AE367" s="338"/>
      <c r="AF367" s="338"/>
      <c r="AG367" s="339"/>
      <c r="AH367" s="322"/>
      <c r="AI367" s="339"/>
      <c r="AJ367" s="339"/>
      <c r="AK367" s="338"/>
      <c r="AL367" s="736">
        <v>125818649</v>
      </c>
      <c r="AM367" s="338"/>
      <c r="AN367" s="338"/>
      <c r="AO367" s="737">
        <v>125818649</v>
      </c>
    </row>
    <row r="368" spans="1:41" hidden="1">
      <c r="A368" s="757" t="s">
        <v>1686</v>
      </c>
      <c r="B368" s="734">
        <v>133335</v>
      </c>
      <c r="C368" s="339"/>
      <c r="D368" s="339"/>
      <c r="E368" s="735">
        <v>133335</v>
      </c>
      <c r="F368" s="324"/>
      <c r="G368" s="338"/>
      <c r="H368" s="338"/>
      <c r="I368" s="339"/>
      <c r="J368" s="322"/>
      <c r="K368" s="339"/>
      <c r="L368" s="339"/>
      <c r="M368" s="338"/>
      <c r="N368" s="324"/>
      <c r="O368" s="338"/>
      <c r="P368" s="338"/>
      <c r="Q368" s="339"/>
      <c r="R368" s="322"/>
      <c r="S368" s="339"/>
      <c r="T368" s="339"/>
      <c r="U368" s="338"/>
      <c r="V368" s="324"/>
      <c r="W368" s="338"/>
      <c r="X368" s="338"/>
      <c r="Y368" s="339"/>
      <c r="Z368" s="322"/>
      <c r="AA368" s="339"/>
      <c r="AB368" s="339"/>
      <c r="AC368" s="338"/>
      <c r="AD368" s="324"/>
      <c r="AE368" s="338"/>
      <c r="AF368" s="338"/>
      <c r="AG368" s="339"/>
      <c r="AH368" s="322"/>
      <c r="AI368" s="339"/>
      <c r="AJ368" s="339"/>
      <c r="AK368" s="338"/>
      <c r="AL368" s="736">
        <v>133335</v>
      </c>
      <c r="AM368" s="338"/>
      <c r="AN368" s="338"/>
      <c r="AO368" s="737">
        <v>133335</v>
      </c>
    </row>
    <row r="369" spans="1:41" hidden="1">
      <c r="A369" s="757" t="s">
        <v>1687</v>
      </c>
      <c r="B369" s="734">
        <v>14438887.67</v>
      </c>
      <c r="C369" s="339"/>
      <c r="D369" s="339"/>
      <c r="E369" s="735">
        <v>14438887.67</v>
      </c>
      <c r="F369" s="324"/>
      <c r="G369" s="338"/>
      <c r="H369" s="338"/>
      <c r="I369" s="339"/>
      <c r="J369" s="322"/>
      <c r="K369" s="339"/>
      <c r="L369" s="339"/>
      <c r="M369" s="338"/>
      <c r="N369" s="324"/>
      <c r="O369" s="338"/>
      <c r="P369" s="338"/>
      <c r="Q369" s="339"/>
      <c r="R369" s="322"/>
      <c r="S369" s="339"/>
      <c r="T369" s="339"/>
      <c r="U369" s="338"/>
      <c r="V369" s="324"/>
      <c r="W369" s="338"/>
      <c r="X369" s="338"/>
      <c r="Y369" s="339"/>
      <c r="Z369" s="322"/>
      <c r="AA369" s="339"/>
      <c r="AB369" s="339"/>
      <c r="AC369" s="338"/>
      <c r="AD369" s="324"/>
      <c r="AE369" s="338"/>
      <c r="AF369" s="338"/>
      <c r="AG369" s="339"/>
      <c r="AH369" s="322"/>
      <c r="AI369" s="339"/>
      <c r="AJ369" s="339"/>
      <c r="AK369" s="338"/>
      <c r="AL369" s="736">
        <v>14438887.67</v>
      </c>
      <c r="AM369" s="338"/>
      <c r="AN369" s="338"/>
      <c r="AO369" s="737">
        <v>14438887.67</v>
      </c>
    </row>
    <row r="370" spans="1:41" hidden="1">
      <c r="A370" s="757" t="s">
        <v>1688</v>
      </c>
      <c r="B370" s="734">
        <v>11247507.539999999</v>
      </c>
      <c r="C370" s="339"/>
      <c r="D370" s="339"/>
      <c r="E370" s="735">
        <v>11247507.539999999</v>
      </c>
      <c r="F370" s="324"/>
      <c r="G370" s="338"/>
      <c r="H370" s="338"/>
      <c r="I370" s="339"/>
      <c r="J370" s="322"/>
      <c r="K370" s="339"/>
      <c r="L370" s="339"/>
      <c r="M370" s="338"/>
      <c r="N370" s="324"/>
      <c r="O370" s="338"/>
      <c r="P370" s="338"/>
      <c r="Q370" s="339"/>
      <c r="R370" s="322"/>
      <c r="S370" s="339"/>
      <c r="T370" s="339"/>
      <c r="U370" s="338"/>
      <c r="V370" s="324"/>
      <c r="W370" s="338"/>
      <c r="X370" s="338"/>
      <c r="Y370" s="339"/>
      <c r="Z370" s="322"/>
      <c r="AA370" s="339"/>
      <c r="AB370" s="339"/>
      <c r="AC370" s="338"/>
      <c r="AD370" s="324"/>
      <c r="AE370" s="338"/>
      <c r="AF370" s="338"/>
      <c r="AG370" s="339"/>
      <c r="AH370" s="322"/>
      <c r="AI370" s="339"/>
      <c r="AJ370" s="339"/>
      <c r="AK370" s="338"/>
      <c r="AL370" s="736">
        <v>11247507.539999999</v>
      </c>
      <c r="AM370" s="338"/>
      <c r="AN370" s="338"/>
      <c r="AO370" s="737">
        <v>11247507.539999999</v>
      </c>
    </row>
    <row r="371" spans="1:41" hidden="1">
      <c r="A371" s="757" t="s">
        <v>1689</v>
      </c>
      <c r="B371" s="734">
        <v>454939</v>
      </c>
      <c r="C371" s="339"/>
      <c r="D371" s="339"/>
      <c r="E371" s="735">
        <v>454939</v>
      </c>
      <c r="F371" s="324"/>
      <c r="G371" s="338"/>
      <c r="H371" s="338"/>
      <c r="I371" s="339"/>
      <c r="J371" s="322"/>
      <c r="K371" s="339"/>
      <c r="L371" s="339"/>
      <c r="M371" s="338"/>
      <c r="N371" s="324"/>
      <c r="O371" s="338"/>
      <c r="P371" s="338"/>
      <c r="Q371" s="339"/>
      <c r="R371" s="322"/>
      <c r="S371" s="339"/>
      <c r="T371" s="339"/>
      <c r="U371" s="338"/>
      <c r="V371" s="324"/>
      <c r="W371" s="338"/>
      <c r="X371" s="338"/>
      <c r="Y371" s="339"/>
      <c r="Z371" s="322"/>
      <c r="AA371" s="339"/>
      <c r="AB371" s="339"/>
      <c r="AC371" s="338"/>
      <c r="AD371" s="324"/>
      <c r="AE371" s="338"/>
      <c r="AF371" s="338"/>
      <c r="AG371" s="339"/>
      <c r="AH371" s="322"/>
      <c r="AI371" s="339"/>
      <c r="AJ371" s="339"/>
      <c r="AK371" s="338"/>
      <c r="AL371" s="736">
        <v>454939</v>
      </c>
      <c r="AM371" s="338"/>
      <c r="AN371" s="338"/>
      <c r="AO371" s="737">
        <v>454939</v>
      </c>
    </row>
    <row r="372" spans="1:41" hidden="1">
      <c r="A372" s="757" t="s">
        <v>1690</v>
      </c>
      <c r="B372" s="734">
        <v>1021641.64</v>
      </c>
      <c r="C372" s="339"/>
      <c r="D372" s="339"/>
      <c r="E372" s="735">
        <v>1021641.64</v>
      </c>
      <c r="F372" s="324"/>
      <c r="G372" s="338"/>
      <c r="H372" s="338"/>
      <c r="I372" s="339"/>
      <c r="J372" s="322"/>
      <c r="K372" s="339"/>
      <c r="L372" s="339"/>
      <c r="M372" s="338"/>
      <c r="N372" s="324"/>
      <c r="O372" s="338"/>
      <c r="P372" s="338"/>
      <c r="Q372" s="339"/>
      <c r="R372" s="322"/>
      <c r="S372" s="339"/>
      <c r="T372" s="339"/>
      <c r="U372" s="338"/>
      <c r="V372" s="324"/>
      <c r="W372" s="338"/>
      <c r="X372" s="338"/>
      <c r="Y372" s="339"/>
      <c r="Z372" s="322"/>
      <c r="AA372" s="339"/>
      <c r="AB372" s="339"/>
      <c r="AC372" s="338"/>
      <c r="AD372" s="324"/>
      <c r="AE372" s="338"/>
      <c r="AF372" s="338"/>
      <c r="AG372" s="339"/>
      <c r="AH372" s="322"/>
      <c r="AI372" s="339"/>
      <c r="AJ372" s="339"/>
      <c r="AK372" s="338"/>
      <c r="AL372" s="736">
        <v>1021641.64</v>
      </c>
      <c r="AM372" s="338"/>
      <c r="AN372" s="338"/>
      <c r="AO372" s="737">
        <v>1021641.64</v>
      </c>
    </row>
    <row r="373" spans="1:41" hidden="1">
      <c r="A373" s="757" t="s">
        <v>1691</v>
      </c>
      <c r="B373" s="734">
        <v>1807504</v>
      </c>
      <c r="C373" s="339"/>
      <c r="D373" s="339"/>
      <c r="E373" s="735">
        <v>1807504</v>
      </c>
      <c r="F373" s="324"/>
      <c r="G373" s="338"/>
      <c r="H373" s="338"/>
      <c r="I373" s="339"/>
      <c r="J373" s="322"/>
      <c r="K373" s="339"/>
      <c r="L373" s="339"/>
      <c r="M373" s="338"/>
      <c r="N373" s="324"/>
      <c r="O373" s="338"/>
      <c r="P373" s="338"/>
      <c r="Q373" s="339"/>
      <c r="R373" s="322"/>
      <c r="S373" s="339"/>
      <c r="T373" s="339"/>
      <c r="U373" s="338"/>
      <c r="V373" s="324"/>
      <c r="W373" s="338"/>
      <c r="X373" s="338"/>
      <c r="Y373" s="339"/>
      <c r="Z373" s="322"/>
      <c r="AA373" s="339"/>
      <c r="AB373" s="339"/>
      <c r="AC373" s="338"/>
      <c r="AD373" s="324"/>
      <c r="AE373" s="338"/>
      <c r="AF373" s="338"/>
      <c r="AG373" s="339"/>
      <c r="AH373" s="322"/>
      <c r="AI373" s="339"/>
      <c r="AJ373" s="339"/>
      <c r="AK373" s="338"/>
      <c r="AL373" s="736">
        <v>1807504</v>
      </c>
      <c r="AM373" s="338"/>
      <c r="AN373" s="338"/>
      <c r="AO373" s="737">
        <v>1807504</v>
      </c>
    </row>
    <row r="374" spans="1:41" hidden="1">
      <c r="A374" s="756" t="s">
        <v>1692</v>
      </c>
      <c r="B374" s="734">
        <v>44800</v>
      </c>
      <c r="C374" s="339"/>
      <c r="D374" s="339"/>
      <c r="E374" s="735">
        <v>44800</v>
      </c>
      <c r="F374" s="324"/>
      <c r="G374" s="338"/>
      <c r="H374" s="338"/>
      <c r="I374" s="339"/>
      <c r="J374" s="322"/>
      <c r="K374" s="339"/>
      <c r="L374" s="339"/>
      <c r="M374" s="338"/>
      <c r="N374" s="324"/>
      <c r="O374" s="338"/>
      <c r="P374" s="338"/>
      <c r="Q374" s="339"/>
      <c r="R374" s="322"/>
      <c r="S374" s="339"/>
      <c r="T374" s="339"/>
      <c r="U374" s="338"/>
      <c r="V374" s="324"/>
      <c r="W374" s="338"/>
      <c r="X374" s="338"/>
      <c r="Y374" s="339"/>
      <c r="Z374" s="322"/>
      <c r="AA374" s="339"/>
      <c r="AB374" s="339"/>
      <c r="AC374" s="338"/>
      <c r="AD374" s="324"/>
      <c r="AE374" s="338"/>
      <c r="AF374" s="338"/>
      <c r="AG374" s="339"/>
      <c r="AH374" s="322"/>
      <c r="AI374" s="339"/>
      <c r="AJ374" s="339"/>
      <c r="AK374" s="338"/>
      <c r="AL374" s="736">
        <v>44800</v>
      </c>
      <c r="AM374" s="338"/>
      <c r="AN374" s="338"/>
      <c r="AO374" s="737">
        <v>44800</v>
      </c>
    </row>
    <row r="375" spans="1:41" hidden="1">
      <c r="A375" s="756" t="s">
        <v>1693</v>
      </c>
      <c r="B375" s="734">
        <v>74343.149999999994</v>
      </c>
      <c r="C375" s="339"/>
      <c r="D375" s="339"/>
      <c r="E375" s="735">
        <v>74343.149999999994</v>
      </c>
      <c r="F375" s="324"/>
      <c r="G375" s="338"/>
      <c r="H375" s="338"/>
      <c r="I375" s="339"/>
      <c r="J375" s="322"/>
      <c r="K375" s="339"/>
      <c r="L375" s="339"/>
      <c r="M375" s="338"/>
      <c r="N375" s="324"/>
      <c r="O375" s="338"/>
      <c r="P375" s="338"/>
      <c r="Q375" s="339"/>
      <c r="R375" s="322"/>
      <c r="S375" s="339"/>
      <c r="T375" s="339"/>
      <c r="U375" s="338"/>
      <c r="V375" s="324"/>
      <c r="W375" s="338"/>
      <c r="X375" s="338"/>
      <c r="Y375" s="339"/>
      <c r="Z375" s="322"/>
      <c r="AA375" s="339"/>
      <c r="AB375" s="339"/>
      <c r="AC375" s="338"/>
      <c r="AD375" s="324"/>
      <c r="AE375" s="338"/>
      <c r="AF375" s="338"/>
      <c r="AG375" s="339"/>
      <c r="AH375" s="322"/>
      <c r="AI375" s="339"/>
      <c r="AJ375" s="339"/>
      <c r="AK375" s="338"/>
      <c r="AL375" s="736">
        <v>74343.149999999994</v>
      </c>
      <c r="AM375" s="338"/>
      <c r="AN375" s="338"/>
      <c r="AO375" s="737">
        <v>74343.149999999994</v>
      </c>
    </row>
    <row r="376" spans="1:41" hidden="1">
      <c r="A376" s="756" t="s">
        <v>1694</v>
      </c>
      <c r="B376" s="734">
        <v>448103.6</v>
      </c>
      <c r="C376" s="339"/>
      <c r="D376" s="339"/>
      <c r="E376" s="735">
        <v>448103.6</v>
      </c>
      <c r="F376" s="324"/>
      <c r="G376" s="338"/>
      <c r="H376" s="338"/>
      <c r="I376" s="339"/>
      <c r="J376" s="322"/>
      <c r="K376" s="339"/>
      <c r="L376" s="339"/>
      <c r="M376" s="338"/>
      <c r="N376" s="324"/>
      <c r="O376" s="338"/>
      <c r="P376" s="338"/>
      <c r="Q376" s="339"/>
      <c r="R376" s="322"/>
      <c r="S376" s="339"/>
      <c r="T376" s="339"/>
      <c r="U376" s="338"/>
      <c r="V376" s="324"/>
      <c r="W376" s="338"/>
      <c r="X376" s="338"/>
      <c r="Y376" s="339"/>
      <c r="Z376" s="322"/>
      <c r="AA376" s="339"/>
      <c r="AB376" s="339"/>
      <c r="AC376" s="338"/>
      <c r="AD376" s="324"/>
      <c r="AE376" s="338"/>
      <c r="AF376" s="338"/>
      <c r="AG376" s="339"/>
      <c r="AH376" s="322"/>
      <c r="AI376" s="339"/>
      <c r="AJ376" s="339"/>
      <c r="AK376" s="338"/>
      <c r="AL376" s="736">
        <v>448103.6</v>
      </c>
      <c r="AM376" s="338"/>
      <c r="AN376" s="338"/>
      <c r="AO376" s="737">
        <v>448103.6</v>
      </c>
    </row>
    <row r="377" spans="1:41" hidden="1">
      <c r="A377" s="757" t="s">
        <v>1695</v>
      </c>
      <c r="B377" s="734">
        <v>10790</v>
      </c>
      <c r="C377" s="339"/>
      <c r="D377" s="339"/>
      <c r="E377" s="735">
        <v>10790</v>
      </c>
      <c r="F377" s="324"/>
      <c r="G377" s="338"/>
      <c r="H377" s="338"/>
      <c r="I377" s="339"/>
      <c r="J377" s="322"/>
      <c r="K377" s="339"/>
      <c r="L377" s="339"/>
      <c r="M377" s="338"/>
      <c r="N377" s="324"/>
      <c r="O377" s="338"/>
      <c r="P377" s="338"/>
      <c r="Q377" s="339"/>
      <c r="R377" s="322"/>
      <c r="S377" s="339"/>
      <c r="T377" s="339"/>
      <c r="U377" s="338"/>
      <c r="V377" s="324"/>
      <c r="W377" s="338"/>
      <c r="X377" s="338"/>
      <c r="Y377" s="339"/>
      <c r="Z377" s="322"/>
      <c r="AA377" s="339"/>
      <c r="AB377" s="339"/>
      <c r="AC377" s="338"/>
      <c r="AD377" s="324"/>
      <c r="AE377" s="338"/>
      <c r="AF377" s="338"/>
      <c r="AG377" s="339"/>
      <c r="AH377" s="322"/>
      <c r="AI377" s="339"/>
      <c r="AJ377" s="339"/>
      <c r="AK377" s="338"/>
      <c r="AL377" s="736">
        <v>10790</v>
      </c>
      <c r="AM377" s="338"/>
      <c r="AN377" s="338"/>
      <c r="AO377" s="737">
        <v>10790</v>
      </c>
    </row>
    <row r="378" spans="1:41" hidden="1">
      <c r="A378" s="757" t="s">
        <v>1696</v>
      </c>
      <c r="B378" s="734">
        <v>591589.46</v>
      </c>
      <c r="C378" s="339"/>
      <c r="D378" s="339"/>
      <c r="E378" s="735">
        <v>591589.46</v>
      </c>
      <c r="F378" s="324"/>
      <c r="G378" s="338"/>
      <c r="H378" s="338"/>
      <c r="I378" s="339"/>
      <c r="J378" s="322"/>
      <c r="K378" s="339"/>
      <c r="L378" s="339"/>
      <c r="M378" s="338"/>
      <c r="N378" s="324"/>
      <c r="O378" s="338"/>
      <c r="P378" s="338"/>
      <c r="Q378" s="339"/>
      <c r="R378" s="322"/>
      <c r="S378" s="339"/>
      <c r="T378" s="339"/>
      <c r="U378" s="338"/>
      <c r="V378" s="324"/>
      <c r="W378" s="338"/>
      <c r="X378" s="338"/>
      <c r="Y378" s="339"/>
      <c r="Z378" s="322"/>
      <c r="AA378" s="339"/>
      <c r="AB378" s="339"/>
      <c r="AC378" s="338"/>
      <c r="AD378" s="324"/>
      <c r="AE378" s="338"/>
      <c r="AF378" s="338"/>
      <c r="AG378" s="339"/>
      <c r="AH378" s="322"/>
      <c r="AI378" s="339"/>
      <c r="AJ378" s="339"/>
      <c r="AK378" s="338"/>
      <c r="AL378" s="736">
        <v>591589.46</v>
      </c>
      <c r="AM378" s="338"/>
      <c r="AN378" s="338"/>
      <c r="AO378" s="737">
        <v>591589.46</v>
      </c>
    </row>
    <row r="379" spans="1:41" hidden="1">
      <c r="A379" s="757" t="s">
        <v>1697</v>
      </c>
      <c r="B379" s="734">
        <v>13496232</v>
      </c>
      <c r="C379" s="714">
        <v>7350.85</v>
      </c>
      <c r="D379" s="339"/>
      <c r="E379" s="735">
        <v>13503582.85</v>
      </c>
      <c r="F379" s="324"/>
      <c r="G379" s="338"/>
      <c r="H379" s="338"/>
      <c r="I379" s="339"/>
      <c r="J379" s="322"/>
      <c r="K379" s="339"/>
      <c r="L379" s="339"/>
      <c r="M379" s="338"/>
      <c r="N379" s="324"/>
      <c r="O379" s="338"/>
      <c r="P379" s="338"/>
      <c r="Q379" s="339"/>
      <c r="R379" s="322"/>
      <c r="S379" s="339"/>
      <c r="T379" s="339"/>
      <c r="U379" s="338"/>
      <c r="V379" s="324"/>
      <c r="W379" s="338"/>
      <c r="X379" s="338"/>
      <c r="Y379" s="339"/>
      <c r="Z379" s="322"/>
      <c r="AA379" s="339"/>
      <c r="AB379" s="339"/>
      <c r="AC379" s="338"/>
      <c r="AD379" s="324"/>
      <c r="AE379" s="338"/>
      <c r="AF379" s="338"/>
      <c r="AG379" s="339"/>
      <c r="AH379" s="322"/>
      <c r="AI379" s="339"/>
      <c r="AJ379" s="339"/>
      <c r="AK379" s="338"/>
      <c r="AL379" s="736">
        <v>13496232</v>
      </c>
      <c r="AM379" s="711">
        <v>7350.85</v>
      </c>
      <c r="AN379" s="338"/>
      <c r="AO379" s="737">
        <v>13503582.85</v>
      </c>
    </row>
    <row r="380" spans="1:41" hidden="1">
      <c r="A380" s="756" t="s">
        <v>1698</v>
      </c>
      <c r="B380" s="734">
        <v>677247</v>
      </c>
      <c r="C380" s="339"/>
      <c r="D380" s="339"/>
      <c r="E380" s="735">
        <v>677247</v>
      </c>
      <c r="F380" s="324"/>
      <c r="G380" s="338"/>
      <c r="H380" s="338"/>
      <c r="I380" s="339"/>
      <c r="J380" s="322"/>
      <c r="K380" s="339"/>
      <c r="L380" s="339"/>
      <c r="M380" s="338"/>
      <c r="N380" s="324"/>
      <c r="O380" s="338"/>
      <c r="P380" s="338"/>
      <c r="Q380" s="339"/>
      <c r="R380" s="322"/>
      <c r="S380" s="339"/>
      <c r="T380" s="339"/>
      <c r="U380" s="338"/>
      <c r="V380" s="324"/>
      <c r="W380" s="338"/>
      <c r="X380" s="338"/>
      <c r="Y380" s="339"/>
      <c r="Z380" s="322"/>
      <c r="AA380" s="339"/>
      <c r="AB380" s="339"/>
      <c r="AC380" s="338"/>
      <c r="AD380" s="324"/>
      <c r="AE380" s="338"/>
      <c r="AF380" s="338"/>
      <c r="AG380" s="339"/>
      <c r="AH380" s="322"/>
      <c r="AI380" s="339"/>
      <c r="AJ380" s="339"/>
      <c r="AK380" s="338"/>
      <c r="AL380" s="736">
        <v>677247</v>
      </c>
      <c r="AM380" s="338"/>
      <c r="AN380" s="338"/>
      <c r="AO380" s="737">
        <v>677247</v>
      </c>
    </row>
    <row r="381" spans="1:41" hidden="1">
      <c r="A381" s="757" t="s">
        <v>1699</v>
      </c>
      <c r="B381" s="734">
        <v>1827327.98</v>
      </c>
      <c r="C381" s="339"/>
      <c r="D381" s="339"/>
      <c r="E381" s="735">
        <v>1827327.98</v>
      </c>
      <c r="F381" s="324"/>
      <c r="G381" s="338"/>
      <c r="H381" s="338"/>
      <c r="I381" s="339"/>
      <c r="J381" s="322"/>
      <c r="K381" s="339"/>
      <c r="L381" s="339"/>
      <c r="M381" s="338"/>
      <c r="N381" s="324"/>
      <c r="O381" s="338"/>
      <c r="P381" s="338"/>
      <c r="Q381" s="339"/>
      <c r="R381" s="322"/>
      <c r="S381" s="339"/>
      <c r="T381" s="339"/>
      <c r="U381" s="338"/>
      <c r="V381" s="324"/>
      <c r="W381" s="338"/>
      <c r="X381" s="338"/>
      <c r="Y381" s="339"/>
      <c r="Z381" s="322"/>
      <c r="AA381" s="339"/>
      <c r="AB381" s="339"/>
      <c r="AC381" s="338"/>
      <c r="AD381" s="324"/>
      <c r="AE381" s="338"/>
      <c r="AF381" s="338"/>
      <c r="AG381" s="339"/>
      <c r="AH381" s="322"/>
      <c r="AI381" s="339"/>
      <c r="AJ381" s="339"/>
      <c r="AK381" s="338"/>
      <c r="AL381" s="736">
        <v>1827327.98</v>
      </c>
      <c r="AM381" s="338"/>
      <c r="AN381" s="338"/>
      <c r="AO381" s="737">
        <v>1827327.98</v>
      </c>
    </row>
    <row r="382" spans="1:41" hidden="1">
      <c r="A382" s="757" t="s">
        <v>1700</v>
      </c>
      <c r="B382" s="734">
        <v>562540</v>
      </c>
      <c r="C382" s="339"/>
      <c r="D382" s="339"/>
      <c r="E382" s="735">
        <v>562540</v>
      </c>
      <c r="F382" s="324"/>
      <c r="G382" s="338"/>
      <c r="H382" s="338"/>
      <c r="I382" s="339"/>
      <c r="J382" s="322"/>
      <c r="K382" s="339"/>
      <c r="L382" s="339"/>
      <c r="M382" s="338"/>
      <c r="N382" s="324"/>
      <c r="O382" s="338"/>
      <c r="P382" s="338"/>
      <c r="Q382" s="339"/>
      <c r="R382" s="322"/>
      <c r="S382" s="339"/>
      <c r="T382" s="339"/>
      <c r="U382" s="338"/>
      <c r="V382" s="324"/>
      <c r="W382" s="338"/>
      <c r="X382" s="338"/>
      <c r="Y382" s="339"/>
      <c r="Z382" s="322"/>
      <c r="AA382" s="339"/>
      <c r="AB382" s="339"/>
      <c r="AC382" s="338"/>
      <c r="AD382" s="324"/>
      <c r="AE382" s="338"/>
      <c r="AF382" s="338"/>
      <c r="AG382" s="339"/>
      <c r="AH382" s="322"/>
      <c r="AI382" s="339"/>
      <c r="AJ382" s="339"/>
      <c r="AK382" s="338"/>
      <c r="AL382" s="736">
        <v>562540</v>
      </c>
      <c r="AM382" s="338"/>
      <c r="AN382" s="338"/>
      <c r="AO382" s="737">
        <v>562540</v>
      </c>
    </row>
    <row r="383" spans="1:41" hidden="1">
      <c r="A383" s="757" t="s">
        <v>1701</v>
      </c>
      <c r="B383" s="734">
        <v>803272</v>
      </c>
      <c r="C383" s="339"/>
      <c r="D383" s="339"/>
      <c r="E383" s="735">
        <v>803272</v>
      </c>
      <c r="F383" s="324"/>
      <c r="G383" s="338"/>
      <c r="H383" s="338"/>
      <c r="I383" s="339"/>
      <c r="J383" s="322"/>
      <c r="K383" s="339"/>
      <c r="L383" s="339"/>
      <c r="M383" s="338"/>
      <c r="N383" s="324"/>
      <c r="O383" s="338"/>
      <c r="P383" s="338"/>
      <c r="Q383" s="339"/>
      <c r="R383" s="322"/>
      <c r="S383" s="339"/>
      <c r="T383" s="339"/>
      <c r="U383" s="338"/>
      <c r="V383" s="324"/>
      <c r="W383" s="338"/>
      <c r="X383" s="338"/>
      <c r="Y383" s="339"/>
      <c r="Z383" s="322"/>
      <c r="AA383" s="339"/>
      <c r="AB383" s="339"/>
      <c r="AC383" s="338"/>
      <c r="AD383" s="324"/>
      <c r="AE383" s="338"/>
      <c r="AF383" s="338"/>
      <c r="AG383" s="339"/>
      <c r="AH383" s="322"/>
      <c r="AI383" s="339"/>
      <c r="AJ383" s="339"/>
      <c r="AK383" s="338"/>
      <c r="AL383" s="736">
        <v>803272</v>
      </c>
      <c r="AM383" s="338"/>
      <c r="AN383" s="338"/>
      <c r="AO383" s="737">
        <v>803272</v>
      </c>
    </row>
    <row r="384" spans="1:41" hidden="1">
      <c r="A384" s="757" t="s">
        <v>1702</v>
      </c>
      <c r="B384" s="734">
        <v>1026518.78</v>
      </c>
      <c r="C384" s="714">
        <v>32000</v>
      </c>
      <c r="D384" s="339"/>
      <c r="E384" s="735">
        <v>1058518.78</v>
      </c>
      <c r="F384" s="324"/>
      <c r="G384" s="338"/>
      <c r="H384" s="338"/>
      <c r="I384" s="339"/>
      <c r="J384" s="322"/>
      <c r="K384" s="339"/>
      <c r="L384" s="339"/>
      <c r="M384" s="338"/>
      <c r="N384" s="324"/>
      <c r="O384" s="338"/>
      <c r="P384" s="338"/>
      <c r="Q384" s="339"/>
      <c r="R384" s="322"/>
      <c r="S384" s="339"/>
      <c r="T384" s="339"/>
      <c r="U384" s="338"/>
      <c r="V384" s="324"/>
      <c r="W384" s="338"/>
      <c r="X384" s="338"/>
      <c r="Y384" s="339"/>
      <c r="Z384" s="322"/>
      <c r="AA384" s="339"/>
      <c r="AB384" s="339"/>
      <c r="AC384" s="338"/>
      <c r="AD384" s="324"/>
      <c r="AE384" s="338"/>
      <c r="AF384" s="338"/>
      <c r="AG384" s="339"/>
      <c r="AH384" s="322"/>
      <c r="AI384" s="339"/>
      <c r="AJ384" s="339"/>
      <c r="AK384" s="338"/>
      <c r="AL384" s="736">
        <v>1026518.78</v>
      </c>
      <c r="AM384" s="711">
        <v>32000</v>
      </c>
      <c r="AN384" s="338"/>
      <c r="AO384" s="737">
        <v>1058518.78</v>
      </c>
    </row>
    <row r="385" spans="1:41" hidden="1">
      <c r="A385" s="757" t="s">
        <v>1703</v>
      </c>
      <c r="B385" s="734">
        <v>24703</v>
      </c>
      <c r="C385" s="339"/>
      <c r="D385" s="339"/>
      <c r="E385" s="735">
        <v>24703</v>
      </c>
      <c r="F385" s="324"/>
      <c r="G385" s="338"/>
      <c r="H385" s="338"/>
      <c r="I385" s="339"/>
      <c r="J385" s="322"/>
      <c r="K385" s="339"/>
      <c r="L385" s="339"/>
      <c r="M385" s="338"/>
      <c r="N385" s="324"/>
      <c r="O385" s="338"/>
      <c r="P385" s="338"/>
      <c r="Q385" s="339"/>
      <c r="R385" s="322"/>
      <c r="S385" s="339"/>
      <c r="T385" s="339"/>
      <c r="U385" s="338"/>
      <c r="V385" s="324"/>
      <c r="W385" s="338"/>
      <c r="X385" s="338"/>
      <c r="Y385" s="339"/>
      <c r="Z385" s="322"/>
      <c r="AA385" s="339"/>
      <c r="AB385" s="339"/>
      <c r="AC385" s="338"/>
      <c r="AD385" s="324"/>
      <c r="AE385" s="338"/>
      <c r="AF385" s="338"/>
      <c r="AG385" s="339"/>
      <c r="AH385" s="322"/>
      <c r="AI385" s="339"/>
      <c r="AJ385" s="339"/>
      <c r="AK385" s="338"/>
      <c r="AL385" s="736">
        <v>24703</v>
      </c>
      <c r="AM385" s="338"/>
      <c r="AN385" s="338"/>
      <c r="AO385" s="737">
        <v>24703</v>
      </c>
    </row>
    <row r="386" spans="1:41" hidden="1">
      <c r="A386" s="757" t="s">
        <v>1415</v>
      </c>
      <c r="B386" s="734">
        <v>6324.96</v>
      </c>
      <c r="C386" s="339"/>
      <c r="D386" s="339"/>
      <c r="E386" s="735">
        <v>6324.96</v>
      </c>
      <c r="F386" s="324"/>
      <c r="G386" s="338"/>
      <c r="H386" s="338"/>
      <c r="I386" s="339"/>
      <c r="J386" s="322"/>
      <c r="K386" s="339"/>
      <c r="L386" s="339"/>
      <c r="M386" s="338"/>
      <c r="N386" s="324"/>
      <c r="O386" s="338"/>
      <c r="P386" s="338"/>
      <c r="Q386" s="339"/>
      <c r="R386" s="322"/>
      <c r="S386" s="339"/>
      <c r="T386" s="339"/>
      <c r="U386" s="338"/>
      <c r="V386" s="324"/>
      <c r="W386" s="338"/>
      <c r="X386" s="338"/>
      <c r="Y386" s="339"/>
      <c r="Z386" s="322"/>
      <c r="AA386" s="339"/>
      <c r="AB386" s="339"/>
      <c r="AC386" s="338"/>
      <c r="AD386" s="324"/>
      <c r="AE386" s="338"/>
      <c r="AF386" s="338"/>
      <c r="AG386" s="339"/>
      <c r="AH386" s="322"/>
      <c r="AI386" s="339"/>
      <c r="AJ386" s="339"/>
      <c r="AK386" s="338"/>
      <c r="AL386" s="736">
        <v>6324.96</v>
      </c>
      <c r="AM386" s="338"/>
      <c r="AN386" s="338"/>
      <c r="AO386" s="737">
        <v>6324.96</v>
      </c>
    </row>
    <row r="387" spans="1:41" hidden="1">
      <c r="A387" s="757" t="s">
        <v>1704</v>
      </c>
      <c r="B387" s="734">
        <v>104158.73</v>
      </c>
      <c r="C387" s="339"/>
      <c r="D387" s="339"/>
      <c r="E387" s="735">
        <v>104158.73</v>
      </c>
      <c r="F387" s="324"/>
      <c r="G387" s="338"/>
      <c r="H387" s="338"/>
      <c r="I387" s="339"/>
      <c r="J387" s="322"/>
      <c r="K387" s="339"/>
      <c r="L387" s="339"/>
      <c r="M387" s="338"/>
      <c r="N387" s="324"/>
      <c r="O387" s="338"/>
      <c r="P387" s="338"/>
      <c r="Q387" s="339"/>
      <c r="R387" s="322"/>
      <c r="S387" s="339"/>
      <c r="T387" s="339"/>
      <c r="U387" s="338"/>
      <c r="V387" s="324"/>
      <c r="W387" s="338"/>
      <c r="X387" s="338"/>
      <c r="Y387" s="339"/>
      <c r="Z387" s="322"/>
      <c r="AA387" s="339"/>
      <c r="AB387" s="339"/>
      <c r="AC387" s="338"/>
      <c r="AD387" s="324"/>
      <c r="AE387" s="338"/>
      <c r="AF387" s="338"/>
      <c r="AG387" s="339"/>
      <c r="AH387" s="322"/>
      <c r="AI387" s="339"/>
      <c r="AJ387" s="339"/>
      <c r="AK387" s="338"/>
      <c r="AL387" s="736">
        <v>104158.73</v>
      </c>
      <c r="AM387" s="338"/>
      <c r="AN387" s="338"/>
      <c r="AO387" s="737">
        <v>104158.73</v>
      </c>
    </row>
    <row r="388" spans="1:41" hidden="1">
      <c r="A388" s="756" t="s">
        <v>1417</v>
      </c>
      <c r="B388" s="734">
        <v>290</v>
      </c>
      <c r="C388" s="339"/>
      <c r="D388" s="339"/>
      <c r="E388" s="735">
        <v>290</v>
      </c>
      <c r="F388" s="324"/>
      <c r="G388" s="338"/>
      <c r="H388" s="338"/>
      <c r="I388" s="339"/>
      <c r="J388" s="322"/>
      <c r="K388" s="339"/>
      <c r="L388" s="339"/>
      <c r="M388" s="338"/>
      <c r="N388" s="324"/>
      <c r="O388" s="338"/>
      <c r="P388" s="338"/>
      <c r="Q388" s="339"/>
      <c r="R388" s="322"/>
      <c r="S388" s="339"/>
      <c r="T388" s="339"/>
      <c r="U388" s="338"/>
      <c r="V388" s="324"/>
      <c r="W388" s="338"/>
      <c r="X388" s="338"/>
      <c r="Y388" s="339"/>
      <c r="Z388" s="322"/>
      <c r="AA388" s="339"/>
      <c r="AB388" s="339"/>
      <c r="AC388" s="338"/>
      <c r="AD388" s="324"/>
      <c r="AE388" s="338"/>
      <c r="AF388" s="338"/>
      <c r="AG388" s="339"/>
      <c r="AH388" s="322"/>
      <c r="AI388" s="339"/>
      <c r="AJ388" s="339"/>
      <c r="AK388" s="338"/>
      <c r="AL388" s="736">
        <v>290</v>
      </c>
      <c r="AM388" s="338"/>
      <c r="AN388" s="338"/>
      <c r="AO388" s="737">
        <v>290</v>
      </c>
    </row>
    <row r="389" spans="1:41" hidden="1">
      <c r="A389" s="757" t="s">
        <v>1705</v>
      </c>
      <c r="B389" s="734">
        <v>919561</v>
      </c>
      <c r="C389" s="339"/>
      <c r="D389" s="339"/>
      <c r="E389" s="735">
        <v>919561</v>
      </c>
      <c r="F389" s="324"/>
      <c r="G389" s="338"/>
      <c r="H389" s="338"/>
      <c r="I389" s="339"/>
      <c r="J389" s="322"/>
      <c r="K389" s="339"/>
      <c r="L389" s="339"/>
      <c r="M389" s="338"/>
      <c r="N389" s="324"/>
      <c r="O389" s="338"/>
      <c r="P389" s="338"/>
      <c r="Q389" s="339"/>
      <c r="R389" s="322"/>
      <c r="S389" s="339"/>
      <c r="T389" s="339"/>
      <c r="U389" s="338"/>
      <c r="V389" s="324"/>
      <c r="W389" s="338"/>
      <c r="X389" s="338"/>
      <c r="Y389" s="339"/>
      <c r="Z389" s="322"/>
      <c r="AA389" s="339"/>
      <c r="AB389" s="339"/>
      <c r="AC389" s="338"/>
      <c r="AD389" s="324"/>
      <c r="AE389" s="338"/>
      <c r="AF389" s="338"/>
      <c r="AG389" s="339"/>
      <c r="AH389" s="322"/>
      <c r="AI389" s="339"/>
      <c r="AJ389" s="339"/>
      <c r="AK389" s="338"/>
      <c r="AL389" s="736">
        <v>919561</v>
      </c>
      <c r="AM389" s="338"/>
      <c r="AN389" s="338"/>
      <c r="AO389" s="737">
        <v>919561</v>
      </c>
    </row>
    <row r="390" spans="1:41" hidden="1">
      <c r="A390" s="756" t="s">
        <v>1706</v>
      </c>
      <c r="B390" s="734">
        <v>36500</v>
      </c>
      <c r="C390" s="339"/>
      <c r="D390" s="339"/>
      <c r="E390" s="735">
        <v>36500</v>
      </c>
      <c r="F390" s="324"/>
      <c r="G390" s="338"/>
      <c r="H390" s="338"/>
      <c r="I390" s="339"/>
      <c r="J390" s="322"/>
      <c r="K390" s="339"/>
      <c r="L390" s="339"/>
      <c r="M390" s="338"/>
      <c r="N390" s="324"/>
      <c r="O390" s="338"/>
      <c r="P390" s="338"/>
      <c r="Q390" s="339"/>
      <c r="R390" s="322"/>
      <c r="S390" s="339"/>
      <c r="T390" s="339"/>
      <c r="U390" s="338"/>
      <c r="V390" s="324"/>
      <c r="W390" s="338"/>
      <c r="X390" s="338"/>
      <c r="Y390" s="339"/>
      <c r="Z390" s="322"/>
      <c r="AA390" s="339"/>
      <c r="AB390" s="339"/>
      <c r="AC390" s="338"/>
      <c r="AD390" s="324"/>
      <c r="AE390" s="338"/>
      <c r="AF390" s="338"/>
      <c r="AG390" s="339"/>
      <c r="AH390" s="322"/>
      <c r="AI390" s="339"/>
      <c r="AJ390" s="339"/>
      <c r="AK390" s="338"/>
      <c r="AL390" s="736">
        <v>36500</v>
      </c>
      <c r="AM390" s="338"/>
      <c r="AN390" s="338"/>
      <c r="AO390" s="737">
        <v>36500</v>
      </c>
    </row>
    <row r="391" spans="1:41" hidden="1">
      <c r="A391" s="757" t="s">
        <v>1707</v>
      </c>
      <c r="B391" s="734">
        <v>111700</v>
      </c>
      <c r="C391" s="339"/>
      <c r="D391" s="339"/>
      <c r="E391" s="735">
        <v>111700</v>
      </c>
      <c r="F391" s="324"/>
      <c r="G391" s="338"/>
      <c r="H391" s="338"/>
      <c r="I391" s="339"/>
      <c r="J391" s="322"/>
      <c r="K391" s="339"/>
      <c r="L391" s="339"/>
      <c r="M391" s="338"/>
      <c r="N391" s="324"/>
      <c r="O391" s="338"/>
      <c r="P391" s="338"/>
      <c r="Q391" s="339"/>
      <c r="R391" s="322"/>
      <c r="S391" s="339"/>
      <c r="T391" s="339"/>
      <c r="U391" s="338"/>
      <c r="V391" s="324"/>
      <c r="W391" s="338"/>
      <c r="X391" s="338"/>
      <c r="Y391" s="339"/>
      <c r="Z391" s="322"/>
      <c r="AA391" s="339"/>
      <c r="AB391" s="339"/>
      <c r="AC391" s="338"/>
      <c r="AD391" s="324"/>
      <c r="AE391" s="338"/>
      <c r="AF391" s="338"/>
      <c r="AG391" s="339"/>
      <c r="AH391" s="322"/>
      <c r="AI391" s="339"/>
      <c r="AJ391" s="339"/>
      <c r="AK391" s="338"/>
      <c r="AL391" s="736">
        <v>111700</v>
      </c>
      <c r="AM391" s="338"/>
      <c r="AN391" s="338"/>
      <c r="AO391" s="737">
        <v>111700</v>
      </c>
    </row>
    <row r="392" spans="1:41" hidden="1">
      <c r="A392" s="756" t="s">
        <v>1708</v>
      </c>
      <c r="B392" s="734">
        <v>190771.66</v>
      </c>
      <c r="C392" s="339"/>
      <c r="D392" s="339"/>
      <c r="E392" s="735">
        <v>190771.66</v>
      </c>
      <c r="F392" s="324"/>
      <c r="G392" s="338"/>
      <c r="H392" s="338"/>
      <c r="I392" s="339"/>
      <c r="J392" s="322"/>
      <c r="K392" s="339"/>
      <c r="L392" s="339"/>
      <c r="M392" s="338"/>
      <c r="N392" s="324"/>
      <c r="O392" s="338"/>
      <c r="P392" s="338"/>
      <c r="Q392" s="339"/>
      <c r="R392" s="322"/>
      <c r="S392" s="339"/>
      <c r="T392" s="339"/>
      <c r="U392" s="338"/>
      <c r="V392" s="324"/>
      <c r="W392" s="338"/>
      <c r="X392" s="338"/>
      <c r="Y392" s="339"/>
      <c r="Z392" s="322"/>
      <c r="AA392" s="339"/>
      <c r="AB392" s="339"/>
      <c r="AC392" s="338"/>
      <c r="AD392" s="324"/>
      <c r="AE392" s="338"/>
      <c r="AF392" s="338"/>
      <c r="AG392" s="339"/>
      <c r="AH392" s="322"/>
      <c r="AI392" s="339"/>
      <c r="AJ392" s="339"/>
      <c r="AK392" s="338"/>
      <c r="AL392" s="736">
        <v>190771.66</v>
      </c>
      <c r="AM392" s="338"/>
      <c r="AN392" s="338"/>
      <c r="AO392" s="737">
        <v>190771.66</v>
      </c>
    </row>
    <row r="393" spans="1:41" hidden="1">
      <c r="A393" s="316" t="s">
        <v>722</v>
      </c>
      <c r="B393" s="958">
        <v>1933937.9</v>
      </c>
      <c r="C393" s="595"/>
      <c r="D393" s="595"/>
      <c r="E393" s="959">
        <v>1933937.9</v>
      </c>
      <c r="F393" s="943"/>
      <c r="G393" s="708"/>
      <c r="H393" s="708"/>
      <c r="I393" s="708"/>
      <c r="J393" s="944"/>
      <c r="K393" s="595"/>
      <c r="L393" s="595"/>
      <c r="M393" s="595"/>
      <c r="N393" s="943"/>
      <c r="O393" s="708"/>
      <c r="P393" s="708"/>
      <c r="Q393" s="708"/>
      <c r="R393" s="944"/>
      <c r="S393" s="595"/>
      <c r="T393" s="595"/>
      <c r="U393" s="595"/>
      <c r="V393" s="943"/>
      <c r="W393" s="708"/>
      <c r="X393" s="708"/>
      <c r="Y393" s="708"/>
      <c r="Z393" s="944"/>
      <c r="AA393" s="595"/>
      <c r="AB393" s="595"/>
      <c r="AC393" s="595"/>
      <c r="AD393" s="943"/>
      <c r="AE393" s="708"/>
      <c r="AF393" s="708"/>
      <c r="AG393" s="708"/>
      <c r="AH393" s="944"/>
      <c r="AI393" s="595"/>
      <c r="AJ393" s="595"/>
      <c r="AK393" s="595"/>
      <c r="AL393" s="966">
        <v>1933937.9</v>
      </c>
      <c r="AM393" s="708"/>
      <c r="AN393" s="708"/>
      <c r="AO393" s="967">
        <v>1933937.9</v>
      </c>
    </row>
    <row r="394" spans="1:41" hidden="1">
      <c r="A394" s="757" t="s">
        <v>1709</v>
      </c>
      <c r="B394" s="722">
        <v>131266.09</v>
      </c>
      <c r="C394" s="331"/>
      <c r="D394" s="331"/>
      <c r="E394" s="724">
        <v>131266.09</v>
      </c>
      <c r="F394" s="317"/>
      <c r="G394" s="330"/>
      <c r="H394" s="330"/>
      <c r="I394" s="331"/>
      <c r="J394" s="319"/>
      <c r="K394" s="331"/>
      <c r="L394" s="331"/>
      <c r="M394" s="330"/>
      <c r="N394" s="317"/>
      <c r="O394" s="330"/>
      <c r="P394" s="330"/>
      <c r="Q394" s="331"/>
      <c r="R394" s="319"/>
      <c r="S394" s="331"/>
      <c r="T394" s="331"/>
      <c r="U394" s="330"/>
      <c r="V394" s="317"/>
      <c r="W394" s="330"/>
      <c r="X394" s="330"/>
      <c r="Y394" s="331"/>
      <c r="Z394" s="319"/>
      <c r="AA394" s="331"/>
      <c r="AB394" s="331"/>
      <c r="AC394" s="330"/>
      <c r="AD394" s="317"/>
      <c r="AE394" s="330"/>
      <c r="AF394" s="330"/>
      <c r="AG394" s="331"/>
      <c r="AH394" s="319"/>
      <c r="AI394" s="331"/>
      <c r="AJ394" s="331"/>
      <c r="AK394" s="330"/>
      <c r="AL394" s="725">
        <v>131266.09</v>
      </c>
      <c r="AM394" s="330"/>
      <c r="AN394" s="330"/>
      <c r="AO394" s="727">
        <v>131266.09</v>
      </c>
    </row>
    <row r="395" spans="1:41" hidden="1">
      <c r="A395" s="757" t="s">
        <v>1710</v>
      </c>
      <c r="B395" s="710">
        <v>1871.39</v>
      </c>
      <c r="C395" s="339"/>
      <c r="D395" s="339"/>
      <c r="E395" s="712">
        <v>1871.39</v>
      </c>
      <c r="F395" s="324"/>
      <c r="G395" s="338"/>
      <c r="H395" s="338"/>
      <c r="I395" s="339"/>
      <c r="J395" s="322"/>
      <c r="K395" s="339"/>
      <c r="L395" s="339"/>
      <c r="M395" s="338"/>
      <c r="N395" s="324"/>
      <c r="O395" s="338"/>
      <c r="P395" s="338"/>
      <c r="Q395" s="339"/>
      <c r="R395" s="322"/>
      <c r="S395" s="339"/>
      <c r="T395" s="339"/>
      <c r="U395" s="338"/>
      <c r="V395" s="324"/>
      <c r="W395" s="338"/>
      <c r="X395" s="338"/>
      <c r="Y395" s="339"/>
      <c r="Z395" s="322"/>
      <c r="AA395" s="339"/>
      <c r="AB395" s="339"/>
      <c r="AC395" s="338"/>
      <c r="AD395" s="324"/>
      <c r="AE395" s="338"/>
      <c r="AF395" s="338"/>
      <c r="AG395" s="339"/>
      <c r="AH395" s="322"/>
      <c r="AI395" s="339"/>
      <c r="AJ395" s="339"/>
      <c r="AK395" s="338"/>
      <c r="AL395" s="713">
        <v>1871.39</v>
      </c>
      <c r="AM395" s="338"/>
      <c r="AN395" s="338"/>
      <c r="AO395" s="715">
        <v>1871.39</v>
      </c>
    </row>
    <row r="396" spans="1:41" hidden="1">
      <c r="A396" s="757" t="s">
        <v>1711</v>
      </c>
      <c r="B396" s="734">
        <v>1804543.2</v>
      </c>
      <c r="C396" s="339"/>
      <c r="D396" s="339"/>
      <c r="E396" s="735">
        <v>1804543.2</v>
      </c>
      <c r="F396" s="324"/>
      <c r="G396" s="338"/>
      <c r="H396" s="338"/>
      <c r="I396" s="339"/>
      <c r="J396" s="322"/>
      <c r="K396" s="339"/>
      <c r="L396" s="339"/>
      <c r="M396" s="338"/>
      <c r="N396" s="324"/>
      <c r="O396" s="338"/>
      <c r="P396" s="338"/>
      <c r="Q396" s="339"/>
      <c r="R396" s="322"/>
      <c r="S396" s="339"/>
      <c r="T396" s="339"/>
      <c r="U396" s="338"/>
      <c r="V396" s="324"/>
      <c r="W396" s="338"/>
      <c r="X396" s="338"/>
      <c r="Y396" s="339"/>
      <c r="Z396" s="322"/>
      <c r="AA396" s="339"/>
      <c r="AB396" s="339"/>
      <c r="AC396" s="338"/>
      <c r="AD396" s="324"/>
      <c r="AE396" s="338"/>
      <c r="AF396" s="338"/>
      <c r="AG396" s="339"/>
      <c r="AH396" s="322"/>
      <c r="AI396" s="339"/>
      <c r="AJ396" s="339"/>
      <c r="AK396" s="338"/>
      <c r="AL396" s="736">
        <v>1804543.2</v>
      </c>
      <c r="AM396" s="338"/>
      <c r="AN396" s="338"/>
      <c r="AO396" s="737">
        <v>1804543.2</v>
      </c>
    </row>
    <row r="397" spans="1:41" hidden="1">
      <c r="A397" s="316" t="s">
        <v>723</v>
      </c>
      <c r="B397" s="955">
        <v>4607783.47</v>
      </c>
      <c r="C397" s="595"/>
      <c r="D397" s="595"/>
      <c r="E397" s="773">
        <v>4607783.47</v>
      </c>
      <c r="F397" s="943"/>
      <c r="G397" s="708"/>
      <c r="H397" s="708"/>
      <c r="I397" s="708"/>
      <c r="J397" s="944"/>
      <c r="K397" s="595"/>
      <c r="L397" s="595"/>
      <c r="M397" s="595"/>
      <c r="N397" s="943"/>
      <c r="O397" s="708"/>
      <c r="P397" s="708"/>
      <c r="Q397" s="708"/>
      <c r="R397" s="944"/>
      <c r="S397" s="595"/>
      <c r="T397" s="595"/>
      <c r="U397" s="595"/>
      <c r="V397" s="943"/>
      <c r="W397" s="708"/>
      <c r="X397" s="708"/>
      <c r="Y397" s="708"/>
      <c r="Z397" s="944"/>
      <c r="AA397" s="595"/>
      <c r="AB397" s="595"/>
      <c r="AC397" s="595"/>
      <c r="AD397" s="946">
        <v>4607783.47</v>
      </c>
      <c r="AE397" s="708"/>
      <c r="AF397" s="708"/>
      <c r="AG397" s="767">
        <v>4607783.47</v>
      </c>
      <c r="AH397" s="944"/>
      <c r="AI397" s="595"/>
      <c r="AJ397" s="595"/>
      <c r="AK397" s="595"/>
      <c r="AL397" s="943"/>
      <c r="AM397" s="708"/>
      <c r="AN397" s="708"/>
      <c r="AO397" s="708"/>
    </row>
    <row r="398" spans="1:41" hidden="1">
      <c r="A398" s="757" t="s">
        <v>1712</v>
      </c>
      <c r="B398" s="738">
        <v>2200885.2599999998</v>
      </c>
      <c r="C398" s="331"/>
      <c r="D398" s="331"/>
      <c r="E398" s="739">
        <v>2200885.2599999998</v>
      </c>
      <c r="F398" s="317"/>
      <c r="G398" s="330"/>
      <c r="H398" s="330"/>
      <c r="I398" s="331"/>
      <c r="J398" s="319"/>
      <c r="K398" s="331"/>
      <c r="L398" s="331"/>
      <c r="M398" s="330"/>
      <c r="N398" s="317"/>
      <c r="O398" s="330"/>
      <c r="P398" s="330"/>
      <c r="Q398" s="331"/>
      <c r="R398" s="319"/>
      <c r="S398" s="331"/>
      <c r="T398" s="331"/>
      <c r="U398" s="330"/>
      <c r="V398" s="317"/>
      <c r="W398" s="330"/>
      <c r="X398" s="330"/>
      <c r="Y398" s="331"/>
      <c r="Z398" s="319"/>
      <c r="AA398" s="331"/>
      <c r="AB398" s="331"/>
      <c r="AC398" s="330"/>
      <c r="AD398" s="728">
        <v>2200885.2599999998</v>
      </c>
      <c r="AE398" s="330"/>
      <c r="AF398" s="330"/>
      <c r="AG398" s="729">
        <v>2200885.2599999998</v>
      </c>
      <c r="AH398" s="319"/>
      <c r="AI398" s="331"/>
      <c r="AJ398" s="331"/>
      <c r="AK398" s="330"/>
      <c r="AL398" s="317"/>
      <c r="AM398" s="330"/>
      <c r="AN398" s="330"/>
      <c r="AO398" s="331"/>
    </row>
    <row r="399" spans="1:41" hidden="1">
      <c r="A399" s="757" t="s">
        <v>1713</v>
      </c>
      <c r="B399" s="716">
        <v>722652.41</v>
      </c>
      <c r="C399" s="339"/>
      <c r="D399" s="339"/>
      <c r="E399" s="594">
        <v>722652.41</v>
      </c>
      <c r="F399" s="324"/>
      <c r="G399" s="338"/>
      <c r="H399" s="338"/>
      <c r="I399" s="339"/>
      <c r="J399" s="322"/>
      <c r="K399" s="339"/>
      <c r="L399" s="339"/>
      <c r="M399" s="338"/>
      <c r="N399" s="324"/>
      <c r="O399" s="338"/>
      <c r="P399" s="338"/>
      <c r="Q399" s="339"/>
      <c r="R399" s="322"/>
      <c r="S399" s="339"/>
      <c r="T399" s="339"/>
      <c r="U399" s="338"/>
      <c r="V399" s="324"/>
      <c r="W399" s="338"/>
      <c r="X399" s="338"/>
      <c r="Y399" s="339"/>
      <c r="Z399" s="322"/>
      <c r="AA399" s="339"/>
      <c r="AB399" s="339"/>
      <c r="AC399" s="338"/>
      <c r="AD399" s="717">
        <v>722652.41</v>
      </c>
      <c r="AE399" s="338"/>
      <c r="AF399" s="338"/>
      <c r="AG399" s="592">
        <v>722652.41</v>
      </c>
      <c r="AH399" s="322"/>
      <c r="AI399" s="339"/>
      <c r="AJ399" s="339"/>
      <c r="AK399" s="338"/>
      <c r="AL399" s="324"/>
      <c r="AM399" s="338"/>
      <c r="AN399" s="338"/>
      <c r="AO399" s="339"/>
    </row>
    <row r="400" spans="1:41" hidden="1">
      <c r="A400" s="757" t="s">
        <v>1714</v>
      </c>
      <c r="B400" s="716">
        <v>969901.42</v>
      </c>
      <c r="C400" s="339"/>
      <c r="D400" s="339"/>
      <c r="E400" s="594">
        <v>969901.42</v>
      </c>
      <c r="F400" s="324"/>
      <c r="G400" s="338"/>
      <c r="H400" s="338"/>
      <c r="I400" s="339"/>
      <c r="J400" s="322"/>
      <c r="K400" s="339"/>
      <c r="L400" s="339"/>
      <c r="M400" s="338"/>
      <c r="N400" s="324"/>
      <c r="O400" s="338"/>
      <c r="P400" s="338"/>
      <c r="Q400" s="339"/>
      <c r="R400" s="322"/>
      <c r="S400" s="339"/>
      <c r="T400" s="339"/>
      <c r="U400" s="338"/>
      <c r="V400" s="324"/>
      <c r="W400" s="338"/>
      <c r="X400" s="338"/>
      <c r="Y400" s="339"/>
      <c r="Z400" s="322"/>
      <c r="AA400" s="339"/>
      <c r="AB400" s="339"/>
      <c r="AC400" s="338"/>
      <c r="AD400" s="717">
        <v>969901.42</v>
      </c>
      <c r="AE400" s="338"/>
      <c r="AF400" s="338"/>
      <c r="AG400" s="592">
        <v>969901.42</v>
      </c>
      <c r="AH400" s="322"/>
      <c r="AI400" s="339"/>
      <c r="AJ400" s="339"/>
      <c r="AK400" s="338"/>
      <c r="AL400" s="324"/>
      <c r="AM400" s="338"/>
      <c r="AN400" s="338"/>
      <c r="AO400" s="339"/>
    </row>
    <row r="401" spans="1:41" hidden="1">
      <c r="A401" s="757" t="s">
        <v>1715</v>
      </c>
      <c r="B401" s="716">
        <v>714344.38</v>
      </c>
      <c r="C401" s="339"/>
      <c r="D401" s="339"/>
      <c r="E401" s="594">
        <v>714344.38</v>
      </c>
      <c r="F401" s="324"/>
      <c r="G401" s="338"/>
      <c r="H401" s="338"/>
      <c r="I401" s="339"/>
      <c r="J401" s="322"/>
      <c r="K401" s="339"/>
      <c r="L401" s="339"/>
      <c r="M401" s="338"/>
      <c r="N401" s="324"/>
      <c r="O401" s="338"/>
      <c r="P401" s="338"/>
      <c r="Q401" s="339"/>
      <c r="R401" s="322"/>
      <c r="S401" s="339"/>
      <c r="T401" s="339"/>
      <c r="U401" s="338"/>
      <c r="V401" s="324"/>
      <c r="W401" s="338"/>
      <c r="X401" s="338"/>
      <c r="Y401" s="339"/>
      <c r="Z401" s="322"/>
      <c r="AA401" s="339"/>
      <c r="AB401" s="339"/>
      <c r="AC401" s="338"/>
      <c r="AD401" s="717">
        <v>714344.38</v>
      </c>
      <c r="AE401" s="338"/>
      <c r="AF401" s="338"/>
      <c r="AG401" s="592">
        <v>714344.38</v>
      </c>
      <c r="AH401" s="322"/>
      <c r="AI401" s="339"/>
      <c r="AJ401" s="339"/>
      <c r="AK401" s="338"/>
      <c r="AL401" s="324"/>
      <c r="AM401" s="338"/>
      <c r="AN401" s="338"/>
      <c r="AO401" s="339"/>
    </row>
    <row r="402" spans="1:41" hidden="1">
      <c r="A402" s="316" t="s">
        <v>1126</v>
      </c>
      <c r="B402" s="955">
        <v>1244814.94</v>
      </c>
      <c r="C402" s="595"/>
      <c r="D402" s="595"/>
      <c r="E402" s="773">
        <v>1244814.94</v>
      </c>
      <c r="F402" s="943"/>
      <c r="G402" s="708"/>
      <c r="H402" s="708"/>
      <c r="I402" s="708"/>
      <c r="J402" s="944"/>
      <c r="K402" s="595"/>
      <c r="L402" s="595"/>
      <c r="M402" s="595"/>
      <c r="N402" s="946">
        <v>1244814.94</v>
      </c>
      <c r="O402" s="708"/>
      <c r="P402" s="708"/>
      <c r="Q402" s="767">
        <v>1244814.94</v>
      </c>
      <c r="R402" s="944"/>
      <c r="S402" s="595"/>
      <c r="T402" s="595"/>
      <c r="U402" s="595"/>
      <c r="V402" s="943"/>
      <c r="W402" s="708"/>
      <c r="X402" s="708"/>
      <c r="Y402" s="708"/>
      <c r="Z402" s="944"/>
      <c r="AA402" s="595"/>
      <c r="AB402" s="595"/>
      <c r="AC402" s="595"/>
      <c r="AD402" s="943"/>
      <c r="AE402" s="708"/>
      <c r="AF402" s="708"/>
      <c r="AG402" s="708"/>
      <c r="AH402" s="944"/>
      <c r="AI402" s="595"/>
      <c r="AJ402" s="595"/>
      <c r="AK402" s="595"/>
      <c r="AL402" s="943"/>
      <c r="AM402" s="708"/>
      <c r="AN402" s="708"/>
      <c r="AO402" s="708"/>
    </row>
    <row r="403" spans="1:41" hidden="1">
      <c r="A403" s="757" t="s">
        <v>1127</v>
      </c>
      <c r="B403" s="738">
        <v>1244814.94</v>
      </c>
      <c r="C403" s="331"/>
      <c r="D403" s="331"/>
      <c r="E403" s="739">
        <v>1244814.94</v>
      </c>
      <c r="F403" s="317"/>
      <c r="G403" s="330"/>
      <c r="H403" s="330"/>
      <c r="I403" s="331"/>
      <c r="J403" s="319"/>
      <c r="K403" s="331"/>
      <c r="L403" s="331"/>
      <c r="M403" s="330"/>
      <c r="N403" s="728">
        <v>1244814.94</v>
      </c>
      <c r="O403" s="330"/>
      <c r="P403" s="330"/>
      <c r="Q403" s="729">
        <v>1244814.94</v>
      </c>
      <c r="R403" s="319"/>
      <c r="S403" s="331"/>
      <c r="T403" s="331"/>
      <c r="U403" s="330"/>
      <c r="V403" s="317"/>
      <c r="W403" s="330"/>
      <c r="X403" s="330"/>
      <c r="Y403" s="331"/>
      <c r="Z403" s="319"/>
      <c r="AA403" s="331"/>
      <c r="AB403" s="331"/>
      <c r="AC403" s="330"/>
      <c r="AD403" s="317"/>
      <c r="AE403" s="330"/>
      <c r="AF403" s="330"/>
      <c r="AG403" s="331"/>
      <c r="AH403" s="319"/>
      <c r="AI403" s="331"/>
      <c r="AJ403" s="331"/>
      <c r="AK403" s="330"/>
      <c r="AL403" s="317"/>
      <c r="AM403" s="330"/>
      <c r="AN403" s="330"/>
      <c r="AO403" s="331"/>
    </row>
    <row r="404" spans="1:41" hidden="1">
      <c r="A404" s="321" t="s">
        <v>347</v>
      </c>
      <c r="B404" s="717">
        <v>58773.32</v>
      </c>
      <c r="C404" s="338"/>
      <c r="D404" s="338"/>
      <c r="E404" s="592">
        <v>58773.32</v>
      </c>
      <c r="F404" s="322"/>
      <c r="G404" s="339"/>
      <c r="H404" s="339"/>
      <c r="I404" s="338"/>
      <c r="J404" s="324"/>
      <c r="K404" s="338"/>
      <c r="L404" s="338"/>
      <c r="M404" s="339"/>
      <c r="N404" s="716">
        <v>58773.32</v>
      </c>
      <c r="O404" s="339"/>
      <c r="P404" s="339"/>
      <c r="Q404" s="594">
        <v>58773.32</v>
      </c>
      <c r="R404" s="324"/>
      <c r="S404" s="338"/>
      <c r="T404" s="338"/>
      <c r="U404" s="339"/>
      <c r="V404" s="322"/>
      <c r="W404" s="339"/>
      <c r="X404" s="339"/>
      <c r="Y404" s="338"/>
      <c r="Z404" s="324"/>
      <c r="AA404" s="338"/>
      <c r="AB404" s="338"/>
      <c r="AC404" s="339"/>
      <c r="AD404" s="322"/>
      <c r="AE404" s="339"/>
      <c r="AF404" s="339"/>
      <c r="AG404" s="338"/>
      <c r="AH404" s="324"/>
      <c r="AI404" s="338"/>
      <c r="AJ404" s="338"/>
      <c r="AK404" s="339"/>
      <c r="AL404" s="322"/>
      <c r="AM404" s="339"/>
      <c r="AN404" s="339"/>
      <c r="AO404" s="338"/>
    </row>
    <row r="405" spans="1:41" hidden="1">
      <c r="A405" s="321" t="s">
        <v>585</v>
      </c>
      <c r="B405" s="717">
        <v>23000</v>
      </c>
      <c r="C405" s="338"/>
      <c r="D405" s="338"/>
      <c r="E405" s="592">
        <v>23000</v>
      </c>
      <c r="F405" s="322"/>
      <c r="G405" s="339"/>
      <c r="H405" s="339"/>
      <c r="I405" s="338"/>
      <c r="J405" s="324"/>
      <c r="K405" s="338"/>
      <c r="L405" s="338"/>
      <c r="M405" s="339"/>
      <c r="N405" s="716">
        <v>23000</v>
      </c>
      <c r="O405" s="339"/>
      <c r="P405" s="339"/>
      <c r="Q405" s="594">
        <v>23000</v>
      </c>
      <c r="R405" s="324"/>
      <c r="S405" s="338"/>
      <c r="T405" s="338"/>
      <c r="U405" s="339"/>
      <c r="V405" s="322"/>
      <c r="W405" s="339"/>
      <c r="X405" s="339"/>
      <c r="Y405" s="338"/>
      <c r="Z405" s="324"/>
      <c r="AA405" s="338"/>
      <c r="AB405" s="338"/>
      <c r="AC405" s="339"/>
      <c r="AD405" s="322"/>
      <c r="AE405" s="339"/>
      <c r="AF405" s="339"/>
      <c r="AG405" s="338"/>
      <c r="AH405" s="324"/>
      <c r="AI405" s="338"/>
      <c r="AJ405" s="338"/>
      <c r="AK405" s="339"/>
      <c r="AL405" s="322"/>
      <c r="AM405" s="339"/>
      <c r="AN405" s="339"/>
      <c r="AO405" s="338"/>
    </row>
    <row r="406" spans="1:41" hidden="1">
      <c r="A406" s="321" t="s">
        <v>348</v>
      </c>
      <c r="B406" s="717">
        <v>2236.33</v>
      </c>
      <c r="C406" s="338"/>
      <c r="D406" s="338"/>
      <c r="E406" s="592">
        <v>2236.33</v>
      </c>
      <c r="F406" s="322"/>
      <c r="G406" s="339"/>
      <c r="H406" s="339"/>
      <c r="I406" s="338"/>
      <c r="J406" s="324"/>
      <c r="K406" s="338"/>
      <c r="L406" s="338"/>
      <c r="M406" s="339"/>
      <c r="N406" s="716">
        <v>2236.33</v>
      </c>
      <c r="O406" s="339"/>
      <c r="P406" s="339"/>
      <c r="Q406" s="594">
        <v>2236.33</v>
      </c>
      <c r="R406" s="324"/>
      <c r="S406" s="338"/>
      <c r="T406" s="338"/>
      <c r="U406" s="339"/>
      <c r="V406" s="322"/>
      <c r="W406" s="339"/>
      <c r="X406" s="339"/>
      <c r="Y406" s="338"/>
      <c r="Z406" s="324"/>
      <c r="AA406" s="338"/>
      <c r="AB406" s="338"/>
      <c r="AC406" s="339"/>
      <c r="AD406" s="322"/>
      <c r="AE406" s="339"/>
      <c r="AF406" s="339"/>
      <c r="AG406" s="338"/>
      <c r="AH406" s="324"/>
      <c r="AI406" s="338"/>
      <c r="AJ406" s="338"/>
      <c r="AK406" s="339"/>
      <c r="AL406" s="322"/>
      <c r="AM406" s="339"/>
      <c r="AN406" s="339"/>
      <c r="AO406" s="338"/>
    </row>
    <row r="407" spans="1:41" hidden="1">
      <c r="A407" s="321" t="s">
        <v>349</v>
      </c>
      <c r="B407" s="717">
        <v>1350</v>
      </c>
      <c r="C407" s="338"/>
      <c r="D407" s="338"/>
      <c r="E407" s="592">
        <v>1350</v>
      </c>
      <c r="F407" s="322"/>
      <c r="G407" s="339"/>
      <c r="H407" s="339"/>
      <c r="I407" s="338"/>
      <c r="J407" s="324"/>
      <c r="K407" s="338"/>
      <c r="L407" s="338"/>
      <c r="M407" s="339"/>
      <c r="N407" s="716">
        <v>1350</v>
      </c>
      <c r="O407" s="339"/>
      <c r="P407" s="339"/>
      <c r="Q407" s="594">
        <v>1350</v>
      </c>
      <c r="R407" s="324"/>
      <c r="S407" s="338"/>
      <c r="T407" s="338"/>
      <c r="U407" s="339"/>
      <c r="V407" s="322"/>
      <c r="W407" s="339"/>
      <c r="X407" s="339"/>
      <c r="Y407" s="338"/>
      <c r="Z407" s="717">
        <v>20912.939999999999</v>
      </c>
      <c r="AA407" s="338"/>
      <c r="AB407" s="338"/>
      <c r="AC407" s="592">
        <v>20912.939999999999</v>
      </c>
      <c r="AD407" s="322"/>
      <c r="AE407" s="339"/>
      <c r="AF407" s="339"/>
      <c r="AG407" s="338"/>
      <c r="AH407" s="324"/>
      <c r="AI407" s="338"/>
      <c r="AJ407" s="338"/>
      <c r="AK407" s="339"/>
      <c r="AL407" s="322"/>
      <c r="AM407" s="339"/>
      <c r="AN407" s="339"/>
      <c r="AO407" s="338"/>
    </row>
    <row r="408" spans="1:41" hidden="1">
      <c r="A408" s="321" t="s">
        <v>586</v>
      </c>
      <c r="B408" s="717">
        <v>41388</v>
      </c>
      <c r="C408" s="338"/>
      <c r="D408" s="338"/>
      <c r="E408" s="592">
        <v>41388</v>
      </c>
      <c r="F408" s="322"/>
      <c r="G408" s="339"/>
      <c r="H408" s="339"/>
      <c r="I408" s="338"/>
      <c r="J408" s="324"/>
      <c r="K408" s="338"/>
      <c r="L408" s="338"/>
      <c r="M408" s="339"/>
      <c r="N408" s="716">
        <v>41388</v>
      </c>
      <c r="O408" s="339"/>
      <c r="P408" s="339"/>
      <c r="Q408" s="594">
        <v>41388</v>
      </c>
      <c r="R408" s="324"/>
      <c r="S408" s="338"/>
      <c r="T408" s="338"/>
      <c r="U408" s="339"/>
      <c r="V408" s="322"/>
      <c r="W408" s="339"/>
      <c r="X408" s="339"/>
      <c r="Y408" s="338"/>
      <c r="Z408" s="324"/>
      <c r="AA408" s="338"/>
      <c r="AB408" s="338"/>
      <c r="AC408" s="339"/>
      <c r="AD408" s="322"/>
      <c r="AE408" s="339"/>
      <c r="AF408" s="339"/>
      <c r="AG408" s="338"/>
      <c r="AH408" s="324"/>
      <c r="AI408" s="338"/>
      <c r="AJ408" s="338"/>
      <c r="AK408" s="339"/>
      <c r="AL408" s="322"/>
      <c r="AM408" s="339"/>
      <c r="AN408" s="339"/>
      <c r="AO408" s="338"/>
    </row>
    <row r="409" spans="1:41" hidden="1">
      <c r="A409" s="321" t="s">
        <v>724</v>
      </c>
      <c r="B409" s="717">
        <v>46850.6</v>
      </c>
      <c r="C409" s="338"/>
      <c r="D409" s="338"/>
      <c r="E409" s="592">
        <v>46850.6</v>
      </c>
      <c r="F409" s="322"/>
      <c r="G409" s="339"/>
      <c r="H409" s="339"/>
      <c r="I409" s="338"/>
      <c r="J409" s="324"/>
      <c r="K409" s="338"/>
      <c r="L409" s="338"/>
      <c r="M409" s="339"/>
      <c r="N409" s="322"/>
      <c r="O409" s="339"/>
      <c r="P409" s="339"/>
      <c r="Q409" s="338"/>
      <c r="R409" s="324"/>
      <c r="S409" s="338"/>
      <c r="T409" s="338"/>
      <c r="U409" s="339"/>
      <c r="V409" s="322"/>
      <c r="W409" s="339"/>
      <c r="X409" s="339"/>
      <c r="Y409" s="338"/>
      <c r="Z409" s="324"/>
      <c r="AA409" s="338"/>
      <c r="AB409" s="338"/>
      <c r="AC409" s="339"/>
      <c r="AD409" s="716">
        <v>46850.6</v>
      </c>
      <c r="AE409" s="339"/>
      <c r="AF409" s="339"/>
      <c r="AG409" s="594">
        <v>46850.6</v>
      </c>
      <c r="AH409" s="324"/>
      <c r="AI409" s="338"/>
      <c r="AJ409" s="338"/>
      <c r="AK409" s="339"/>
      <c r="AL409" s="322"/>
      <c r="AM409" s="339"/>
      <c r="AN409" s="339"/>
      <c r="AO409" s="338"/>
    </row>
    <row r="410" spans="1:41" hidden="1">
      <c r="A410" s="321" t="s">
        <v>725</v>
      </c>
      <c r="B410" s="717">
        <v>423294.06</v>
      </c>
      <c r="C410" s="338"/>
      <c r="D410" s="338"/>
      <c r="E410" s="592">
        <v>423294.06</v>
      </c>
      <c r="F410" s="322"/>
      <c r="G410" s="339"/>
      <c r="H410" s="339"/>
      <c r="I410" s="338"/>
      <c r="J410" s="324"/>
      <c r="K410" s="338"/>
      <c r="L410" s="338"/>
      <c r="M410" s="339"/>
      <c r="N410" s="322"/>
      <c r="O410" s="339"/>
      <c r="P410" s="339"/>
      <c r="Q410" s="338"/>
      <c r="R410" s="324"/>
      <c r="S410" s="338"/>
      <c r="T410" s="338"/>
      <c r="U410" s="339"/>
      <c r="V410" s="322"/>
      <c r="W410" s="339"/>
      <c r="X410" s="339"/>
      <c r="Y410" s="338"/>
      <c r="Z410" s="717">
        <v>9017</v>
      </c>
      <c r="AA410" s="338"/>
      <c r="AB410" s="338"/>
      <c r="AC410" s="592">
        <v>9017</v>
      </c>
      <c r="AD410" s="322"/>
      <c r="AE410" s="339"/>
      <c r="AF410" s="339"/>
      <c r="AG410" s="338"/>
      <c r="AH410" s="324"/>
      <c r="AI410" s="338"/>
      <c r="AJ410" s="338"/>
      <c r="AK410" s="339"/>
      <c r="AL410" s="734">
        <v>414277.06</v>
      </c>
      <c r="AM410" s="339"/>
      <c r="AN410" s="339"/>
      <c r="AO410" s="735">
        <v>414277.06</v>
      </c>
    </row>
    <row r="411" spans="1:41" hidden="1">
      <c r="A411" s="321" t="s">
        <v>350</v>
      </c>
      <c r="B411" s="717">
        <v>1119150.96</v>
      </c>
      <c r="C411" s="338"/>
      <c r="D411" s="338"/>
      <c r="E411" s="592">
        <v>1119150.96</v>
      </c>
      <c r="F411" s="322"/>
      <c r="G411" s="339"/>
      <c r="H411" s="339"/>
      <c r="I411" s="338"/>
      <c r="J411" s="324"/>
      <c r="K411" s="338"/>
      <c r="L411" s="338"/>
      <c r="M411" s="339"/>
      <c r="N411" s="716">
        <v>1119150.96</v>
      </c>
      <c r="O411" s="339"/>
      <c r="P411" s="339"/>
      <c r="Q411" s="594">
        <v>1119150.96</v>
      </c>
      <c r="R411" s="324"/>
      <c r="S411" s="338"/>
      <c r="T411" s="338"/>
      <c r="U411" s="339"/>
      <c r="V411" s="322"/>
      <c r="W411" s="339"/>
      <c r="X411" s="339"/>
      <c r="Y411" s="338"/>
      <c r="Z411" s="324"/>
      <c r="AA411" s="338"/>
      <c r="AB411" s="338"/>
      <c r="AC411" s="339"/>
      <c r="AD411" s="716">
        <v>300040.93</v>
      </c>
      <c r="AE411" s="339"/>
      <c r="AF411" s="339"/>
      <c r="AG411" s="594">
        <v>300040.93</v>
      </c>
      <c r="AH411" s="324"/>
      <c r="AI411" s="338"/>
      <c r="AJ411" s="338"/>
      <c r="AK411" s="339"/>
      <c r="AL411" s="322"/>
      <c r="AM411" s="339"/>
      <c r="AN411" s="339"/>
      <c r="AO411" s="338"/>
    </row>
    <row r="412" spans="1:41" hidden="1">
      <c r="A412" s="321" t="s">
        <v>1716</v>
      </c>
      <c r="B412" s="736">
        <v>78600</v>
      </c>
      <c r="C412" s="338"/>
      <c r="D412" s="338"/>
      <c r="E412" s="737">
        <v>78600</v>
      </c>
      <c r="F412" s="322"/>
      <c r="G412" s="339"/>
      <c r="H412" s="339"/>
      <c r="I412" s="338"/>
      <c r="J412" s="324"/>
      <c r="K412" s="338"/>
      <c r="L412" s="338"/>
      <c r="M412" s="339"/>
      <c r="N412" s="322"/>
      <c r="O412" s="339"/>
      <c r="P412" s="339"/>
      <c r="Q412" s="338"/>
      <c r="R412" s="324"/>
      <c r="S412" s="338"/>
      <c r="T412" s="338"/>
      <c r="U412" s="339"/>
      <c r="V412" s="322"/>
      <c r="W412" s="339"/>
      <c r="X412" s="339"/>
      <c r="Y412" s="338"/>
      <c r="Z412" s="324"/>
      <c r="AA412" s="338"/>
      <c r="AB412" s="338"/>
      <c r="AC412" s="339"/>
      <c r="AD412" s="322"/>
      <c r="AE412" s="339"/>
      <c r="AF412" s="339"/>
      <c r="AG412" s="338"/>
      <c r="AH412" s="324"/>
      <c r="AI412" s="338"/>
      <c r="AJ412" s="338"/>
      <c r="AK412" s="339"/>
      <c r="AL412" s="734">
        <v>78600</v>
      </c>
      <c r="AM412" s="339"/>
      <c r="AN412" s="339"/>
      <c r="AO412" s="735">
        <v>78600</v>
      </c>
    </row>
    <row r="413" spans="1:41" hidden="1">
      <c r="A413" s="321" t="s">
        <v>726</v>
      </c>
      <c r="B413" s="717">
        <v>46439.5</v>
      </c>
      <c r="C413" s="338"/>
      <c r="D413" s="338"/>
      <c r="E413" s="592">
        <v>46439.5</v>
      </c>
      <c r="F413" s="322"/>
      <c r="G413" s="339"/>
      <c r="H413" s="339"/>
      <c r="I413" s="338"/>
      <c r="J413" s="324"/>
      <c r="K413" s="338"/>
      <c r="L413" s="338"/>
      <c r="M413" s="339"/>
      <c r="N413" s="322"/>
      <c r="O413" s="339"/>
      <c r="P413" s="339"/>
      <c r="Q413" s="338"/>
      <c r="R413" s="324"/>
      <c r="S413" s="338"/>
      <c r="T413" s="338"/>
      <c r="U413" s="339"/>
      <c r="V413" s="322"/>
      <c r="W413" s="339"/>
      <c r="X413" s="339"/>
      <c r="Y413" s="338"/>
      <c r="Z413" s="324"/>
      <c r="AA413" s="338"/>
      <c r="AB413" s="338"/>
      <c r="AC413" s="339"/>
      <c r="AD413" s="716">
        <v>46439.5</v>
      </c>
      <c r="AE413" s="339"/>
      <c r="AF413" s="339"/>
      <c r="AG413" s="594">
        <v>46439.5</v>
      </c>
      <c r="AH413" s="324"/>
      <c r="AI413" s="338"/>
      <c r="AJ413" s="338"/>
      <c r="AK413" s="339"/>
      <c r="AL413" s="322"/>
      <c r="AM413" s="339"/>
      <c r="AN413" s="339"/>
      <c r="AO413" s="338"/>
    </row>
    <row r="414" spans="1:41" hidden="1">
      <c r="A414" s="321" t="s">
        <v>727</v>
      </c>
      <c r="B414" s="717">
        <v>35244.910000000003</v>
      </c>
      <c r="C414" s="338"/>
      <c r="D414" s="338"/>
      <c r="E414" s="592">
        <v>35244.910000000003</v>
      </c>
      <c r="F414" s="322"/>
      <c r="G414" s="339"/>
      <c r="H414" s="339"/>
      <c r="I414" s="338"/>
      <c r="J414" s="324"/>
      <c r="K414" s="338"/>
      <c r="L414" s="338"/>
      <c r="M414" s="339"/>
      <c r="N414" s="322"/>
      <c r="O414" s="339"/>
      <c r="P414" s="339"/>
      <c r="Q414" s="338"/>
      <c r="R414" s="324"/>
      <c r="S414" s="338"/>
      <c r="T414" s="338"/>
      <c r="U414" s="339"/>
      <c r="V414" s="322"/>
      <c r="W414" s="339"/>
      <c r="X414" s="339"/>
      <c r="Y414" s="338"/>
      <c r="Z414" s="324"/>
      <c r="AA414" s="338"/>
      <c r="AB414" s="338"/>
      <c r="AC414" s="339"/>
      <c r="AD414" s="716">
        <v>35244.910000000003</v>
      </c>
      <c r="AE414" s="339"/>
      <c r="AF414" s="339"/>
      <c r="AG414" s="594">
        <v>35244.910000000003</v>
      </c>
      <c r="AH414" s="324"/>
      <c r="AI414" s="338"/>
      <c r="AJ414" s="338"/>
      <c r="AK414" s="339"/>
      <c r="AL414" s="322"/>
      <c r="AM414" s="339"/>
      <c r="AN414" s="339"/>
      <c r="AO414" s="338"/>
    </row>
    <row r="415" spans="1:41" hidden="1">
      <c r="A415" s="321" t="s">
        <v>728</v>
      </c>
      <c r="B415" s="717">
        <v>59631.24</v>
      </c>
      <c r="C415" s="338"/>
      <c r="D415" s="338"/>
      <c r="E415" s="592">
        <v>59631.24</v>
      </c>
      <c r="F415" s="322"/>
      <c r="G415" s="339"/>
      <c r="H415" s="339"/>
      <c r="I415" s="338"/>
      <c r="J415" s="324"/>
      <c r="K415" s="338"/>
      <c r="L415" s="338"/>
      <c r="M415" s="339"/>
      <c r="N415" s="322"/>
      <c r="O415" s="339"/>
      <c r="P415" s="339"/>
      <c r="Q415" s="338"/>
      <c r="R415" s="324"/>
      <c r="S415" s="338"/>
      <c r="T415" s="338"/>
      <c r="U415" s="339"/>
      <c r="V415" s="322"/>
      <c r="W415" s="339"/>
      <c r="X415" s="339"/>
      <c r="Y415" s="338"/>
      <c r="Z415" s="324"/>
      <c r="AA415" s="338"/>
      <c r="AB415" s="338"/>
      <c r="AC415" s="339"/>
      <c r="AD415" s="716">
        <v>59631.24</v>
      </c>
      <c r="AE415" s="339"/>
      <c r="AF415" s="339"/>
      <c r="AG415" s="594">
        <v>59631.24</v>
      </c>
      <c r="AH415" s="324"/>
      <c r="AI415" s="338"/>
      <c r="AJ415" s="338"/>
      <c r="AK415" s="339"/>
      <c r="AL415" s="322"/>
      <c r="AM415" s="339"/>
      <c r="AN415" s="339"/>
      <c r="AO415" s="338"/>
    </row>
    <row r="416" spans="1:41" hidden="1">
      <c r="A416" s="321" t="s">
        <v>351</v>
      </c>
      <c r="B416" s="717">
        <v>282848.64000000001</v>
      </c>
      <c r="C416" s="338"/>
      <c r="D416" s="338"/>
      <c r="E416" s="592">
        <v>282848.64000000001</v>
      </c>
      <c r="F416" s="322"/>
      <c r="G416" s="339"/>
      <c r="H416" s="339"/>
      <c r="I416" s="338"/>
      <c r="J416" s="324"/>
      <c r="K416" s="338"/>
      <c r="L416" s="338"/>
      <c r="M416" s="339"/>
      <c r="N416" s="716">
        <v>282848.64000000001</v>
      </c>
      <c r="O416" s="339"/>
      <c r="P416" s="339"/>
      <c r="Q416" s="594">
        <v>282848.64000000001</v>
      </c>
      <c r="R416" s="324"/>
      <c r="S416" s="338"/>
      <c r="T416" s="338"/>
      <c r="U416" s="339"/>
      <c r="V416" s="322"/>
      <c r="W416" s="339"/>
      <c r="X416" s="339"/>
      <c r="Y416" s="338"/>
      <c r="Z416" s="324"/>
      <c r="AA416" s="338"/>
      <c r="AB416" s="338"/>
      <c r="AC416" s="339"/>
      <c r="AD416" s="322"/>
      <c r="AE416" s="339"/>
      <c r="AF416" s="339"/>
      <c r="AG416" s="338"/>
      <c r="AH416" s="324"/>
      <c r="AI416" s="338"/>
      <c r="AJ416" s="338"/>
      <c r="AK416" s="339"/>
      <c r="AL416" s="322"/>
      <c r="AM416" s="339"/>
      <c r="AN416" s="339"/>
      <c r="AO416" s="338"/>
    </row>
    <row r="417" spans="1:41" hidden="1">
      <c r="A417" s="321" t="s">
        <v>729</v>
      </c>
      <c r="B417" s="717">
        <v>6943508.8600000003</v>
      </c>
      <c r="C417" s="338"/>
      <c r="D417" s="338"/>
      <c r="E417" s="592">
        <v>6943508.8600000003</v>
      </c>
      <c r="F417" s="322"/>
      <c r="G417" s="339"/>
      <c r="H417" s="339"/>
      <c r="I417" s="338"/>
      <c r="J417" s="324"/>
      <c r="K417" s="338"/>
      <c r="L417" s="338"/>
      <c r="M417" s="339"/>
      <c r="N417" s="322"/>
      <c r="O417" s="339"/>
      <c r="P417" s="339"/>
      <c r="Q417" s="338"/>
      <c r="R417" s="324"/>
      <c r="S417" s="338"/>
      <c r="T417" s="338"/>
      <c r="U417" s="339"/>
      <c r="V417" s="322"/>
      <c r="W417" s="339"/>
      <c r="X417" s="339"/>
      <c r="Y417" s="338"/>
      <c r="Z417" s="324"/>
      <c r="AA417" s="338"/>
      <c r="AB417" s="338"/>
      <c r="AC417" s="339"/>
      <c r="AD417" s="716">
        <v>6943508.8600000003</v>
      </c>
      <c r="AE417" s="339"/>
      <c r="AF417" s="339"/>
      <c r="AG417" s="594">
        <v>6943508.8600000003</v>
      </c>
      <c r="AH417" s="324"/>
      <c r="AI417" s="338"/>
      <c r="AJ417" s="338"/>
      <c r="AK417" s="339"/>
      <c r="AL417" s="322"/>
      <c r="AM417" s="339"/>
      <c r="AN417" s="339"/>
      <c r="AO417" s="338"/>
    </row>
    <row r="418" spans="1:41" hidden="1">
      <c r="A418" s="321" t="s">
        <v>730</v>
      </c>
      <c r="B418" s="736">
        <v>7618.64</v>
      </c>
      <c r="C418" s="338"/>
      <c r="D418" s="338"/>
      <c r="E418" s="737">
        <v>7618.64</v>
      </c>
      <c r="F418" s="322"/>
      <c r="G418" s="339"/>
      <c r="H418" s="339"/>
      <c r="I418" s="338"/>
      <c r="J418" s="324"/>
      <c r="K418" s="338"/>
      <c r="L418" s="338"/>
      <c r="M418" s="339"/>
      <c r="N418" s="322"/>
      <c r="O418" s="339"/>
      <c r="P418" s="339"/>
      <c r="Q418" s="338"/>
      <c r="R418" s="324"/>
      <c r="S418" s="338"/>
      <c r="T418" s="338"/>
      <c r="U418" s="339"/>
      <c r="V418" s="322"/>
      <c r="W418" s="339"/>
      <c r="X418" s="339"/>
      <c r="Y418" s="338"/>
      <c r="Z418" s="324"/>
      <c r="AA418" s="338"/>
      <c r="AB418" s="338"/>
      <c r="AC418" s="339"/>
      <c r="AD418" s="322"/>
      <c r="AE418" s="339"/>
      <c r="AF418" s="339"/>
      <c r="AG418" s="338"/>
      <c r="AH418" s="324"/>
      <c r="AI418" s="338"/>
      <c r="AJ418" s="338"/>
      <c r="AK418" s="339"/>
      <c r="AL418" s="734">
        <v>7618.64</v>
      </c>
      <c r="AM418" s="339"/>
      <c r="AN418" s="339"/>
      <c r="AO418" s="735">
        <v>7618.64</v>
      </c>
    </row>
    <row r="419" spans="1:41" hidden="1">
      <c r="A419" s="321" t="s">
        <v>1717</v>
      </c>
      <c r="B419" s="717">
        <v>7638.76</v>
      </c>
      <c r="C419" s="338"/>
      <c r="D419" s="338"/>
      <c r="E419" s="592">
        <v>7638.76</v>
      </c>
      <c r="F419" s="322"/>
      <c r="G419" s="339"/>
      <c r="H419" s="339"/>
      <c r="I419" s="338"/>
      <c r="J419" s="324"/>
      <c r="K419" s="338"/>
      <c r="L419" s="338"/>
      <c r="M419" s="339"/>
      <c r="N419" s="322"/>
      <c r="O419" s="339"/>
      <c r="P419" s="339"/>
      <c r="Q419" s="338"/>
      <c r="R419" s="324"/>
      <c r="S419" s="338"/>
      <c r="T419" s="338"/>
      <c r="U419" s="339"/>
      <c r="V419" s="322"/>
      <c r="W419" s="339"/>
      <c r="X419" s="339"/>
      <c r="Y419" s="338"/>
      <c r="Z419" s="717">
        <v>7638.76</v>
      </c>
      <c r="AA419" s="338"/>
      <c r="AB419" s="338"/>
      <c r="AC419" s="592">
        <v>7638.76</v>
      </c>
      <c r="AD419" s="322"/>
      <c r="AE419" s="339"/>
      <c r="AF419" s="339"/>
      <c r="AG419" s="338"/>
      <c r="AH419" s="324"/>
      <c r="AI419" s="338"/>
      <c r="AJ419" s="338"/>
      <c r="AK419" s="339"/>
      <c r="AL419" s="322"/>
      <c r="AM419" s="339"/>
      <c r="AN419" s="339"/>
      <c r="AO419" s="338"/>
    </row>
    <row r="420" spans="1:41" hidden="1">
      <c r="A420" s="321" t="s">
        <v>587</v>
      </c>
      <c r="B420" s="717">
        <v>12542.37</v>
      </c>
      <c r="C420" s="338"/>
      <c r="D420" s="338"/>
      <c r="E420" s="592">
        <v>12542.37</v>
      </c>
      <c r="F420" s="322"/>
      <c r="G420" s="339"/>
      <c r="H420" s="339"/>
      <c r="I420" s="338"/>
      <c r="J420" s="324"/>
      <c r="K420" s="338"/>
      <c r="L420" s="338"/>
      <c r="M420" s="339"/>
      <c r="N420" s="716">
        <v>12542.37</v>
      </c>
      <c r="O420" s="339"/>
      <c r="P420" s="339"/>
      <c r="Q420" s="594">
        <v>12542.37</v>
      </c>
      <c r="R420" s="324"/>
      <c r="S420" s="338"/>
      <c r="T420" s="338"/>
      <c r="U420" s="339"/>
      <c r="V420" s="322"/>
      <c r="W420" s="339"/>
      <c r="X420" s="339"/>
      <c r="Y420" s="338"/>
      <c r="Z420" s="324"/>
      <c r="AA420" s="338"/>
      <c r="AB420" s="338"/>
      <c r="AC420" s="339"/>
      <c r="AD420" s="322"/>
      <c r="AE420" s="339"/>
      <c r="AF420" s="339"/>
      <c r="AG420" s="338"/>
      <c r="AH420" s="324"/>
      <c r="AI420" s="338"/>
      <c r="AJ420" s="338"/>
      <c r="AK420" s="339"/>
      <c r="AL420" s="322"/>
      <c r="AM420" s="339"/>
      <c r="AN420" s="339"/>
      <c r="AO420" s="338"/>
    </row>
    <row r="421" spans="1:41" hidden="1">
      <c r="A421" s="321" t="s">
        <v>588</v>
      </c>
      <c r="B421" s="717">
        <v>17500</v>
      </c>
      <c r="C421" s="338"/>
      <c r="D421" s="338"/>
      <c r="E421" s="592">
        <v>17500</v>
      </c>
      <c r="F421" s="322"/>
      <c r="G421" s="339"/>
      <c r="H421" s="339"/>
      <c r="I421" s="338"/>
      <c r="J421" s="324"/>
      <c r="K421" s="338"/>
      <c r="L421" s="338"/>
      <c r="M421" s="339"/>
      <c r="N421" s="716">
        <v>17500</v>
      </c>
      <c r="O421" s="339"/>
      <c r="P421" s="339"/>
      <c r="Q421" s="594">
        <v>17500</v>
      </c>
      <c r="R421" s="324"/>
      <c r="S421" s="338"/>
      <c r="T421" s="338"/>
      <c r="U421" s="339"/>
      <c r="V421" s="322"/>
      <c r="W421" s="339"/>
      <c r="X421" s="339"/>
      <c r="Y421" s="338"/>
      <c r="Z421" s="324"/>
      <c r="AA421" s="338"/>
      <c r="AB421" s="338"/>
      <c r="AC421" s="339"/>
      <c r="AD421" s="322"/>
      <c r="AE421" s="339"/>
      <c r="AF421" s="339"/>
      <c r="AG421" s="338"/>
      <c r="AH421" s="324"/>
      <c r="AI421" s="338"/>
      <c r="AJ421" s="338"/>
      <c r="AK421" s="339"/>
      <c r="AL421" s="322"/>
      <c r="AM421" s="339"/>
      <c r="AN421" s="339"/>
      <c r="AO421" s="338"/>
    </row>
    <row r="422" spans="1:41" hidden="1">
      <c r="A422" s="321" t="s">
        <v>732</v>
      </c>
      <c r="B422" s="699">
        <v>743564.7</v>
      </c>
      <c r="C422" s="338"/>
      <c r="D422" s="323">
        <v>183376</v>
      </c>
      <c r="E422" s="588">
        <v>926940.7</v>
      </c>
      <c r="F422" s="322"/>
      <c r="G422" s="339"/>
      <c r="H422" s="339"/>
      <c r="I422" s="338"/>
      <c r="J422" s="324"/>
      <c r="K422" s="338"/>
      <c r="L422" s="338"/>
      <c r="M422" s="339"/>
      <c r="N422" s="700">
        <v>743564.7</v>
      </c>
      <c r="O422" s="339"/>
      <c r="P422" s="325">
        <v>183376</v>
      </c>
      <c r="Q422" s="589">
        <v>926940.7</v>
      </c>
      <c r="R422" s="324"/>
      <c r="S422" s="338"/>
      <c r="T422" s="338"/>
      <c r="U422" s="339"/>
      <c r="V422" s="322"/>
      <c r="W422" s="339"/>
      <c r="X422" s="339"/>
      <c r="Y422" s="338"/>
      <c r="Z422" s="699">
        <v>20456.22</v>
      </c>
      <c r="AA422" s="338"/>
      <c r="AB422" s="338"/>
      <c r="AC422" s="588">
        <v>20456.22</v>
      </c>
      <c r="AD422" s="700">
        <v>2184484.42</v>
      </c>
      <c r="AE422" s="339"/>
      <c r="AF422" s="339"/>
      <c r="AG422" s="589">
        <v>2184484.42</v>
      </c>
      <c r="AH422" s="324"/>
      <c r="AI422" s="338"/>
      <c r="AJ422" s="338"/>
      <c r="AK422" s="339"/>
      <c r="AL422" s="710">
        <v>71772177.010000005</v>
      </c>
      <c r="AM422" s="339"/>
      <c r="AN422" s="714">
        <v>6759936.7599999998</v>
      </c>
      <c r="AO422" s="712">
        <v>78532113.769999996</v>
      </c>
    </row>
    <row r="423" spans="1:41" hidden="1">
      <c r="A423" s="321" t="s">
        <v>733</v>
      </c>
      <c r="B423" s="736">
        <v>37339007</v>
      </c>
      <c r="C423" s="323">
        <v>32671632</v>
      </c>
      <c r="D423" s="711">
        <v>37339007</v>
      </c>
      <c r="E423" s="592">
        <v>32671632</v>
      </c>
      <c r="F423" s="322"/>
      <c r="G423" s="339"/>
      <c r="H423" s="339"/>
      <c r="I423" s="338"/>
      <c r="J423" s="324"/>
      <c r="K423" s="338"/>
      <c r="L423" s="338"/>
      <c r="M423" s="339"/>
      <c r="N423" s="322"/>
      <c r="O423" s="339"/>
      <c r="P423" s="339"/>
      <c r="Q423" s="338"/>
      <c r="R423" s="324"/>
      <c r="S423" s="323">
        <v>32671632</v>
      </c>
      <c r="T423" s="338"/>
      <c r="U423" s="592">
        <v>32671632</v>
      </c>
      <c r="V423" s="322"/>
      <c r="W423" s="339"/>
      <c r="X423" s="339"/>
      <c r="Y423" s="338"/>
      <c r="Z423" s="324"/>
      <c r="AA423" s="338"/>
      <c r="AB423" s="338"/>
      <c r="AC423" s="339"/>
      <c r="AD423" s="322"/>
      <c r="AE423" s="339"/>
      <c r="AF423" s="339"/>
      <c r="AG423" s="338"/>
      <c r="AH423" s="324"/>
      <c r="AI423" s="338"/>
      <c r="AJ423" s="338"/>
      <c r="AK423" s="339"/>
      <c r="AL423" s="734">
        <v>37339007</v>
      </c>
      <c r="AM423" s="339"/>
      <c r="AN423" s="714">
        <v>37339007</v>
      </c>
      <c r="AO423" s="338"/>
    </row>
    <row r="424" spans="1:41" hidden="1">
      <c r="A424" s="321" t="s">
        <v>352</v>
      </c>
      <c r="B424" s="717">
        <v>5017074</v>
      </c>
      <c r="C424" s="338"/>
      <c r="D424" s="323">
        <v>1254269</v>
      </c>
      <c r="E424" s="592">
        <v>3762805</v>
      </c>
      <c r="F424" s="322"/>
      <c r="G424" s="339"/>
      <c r="H424" s="339"/>
      <c r="I424" s="338"/>
      <c r="J424" s="324"/>
      <c r="K424" s="338"/>
      <c r="L424" s="338"/>
      <c r="M424" s="339"/>
      <c r="N424" s="716">
        <v>5017074</v>
      </c>
      <c r="O424" s="339"/>
      <c r="P424" s="325">
        <v>1254269</v>
      </c>
      <c r="Q424" s="594">
        <v>3762805</v>
      </c>
      <c r="R424" s="324"/>
      <c r="S424" s="338"/>
      <c r="T424" s="338"/>
      <c r="U424" s="339"/>
      <c r="V424" s="322"/>
      <c r="W424" s="339"/>
      <c r="X424" s="339"/>
      <c r="Y424" s="338"/>
      <c r="Z424" s="324"/>
      <c r="AA424" s="338"/>
      <c r="AB424" s="338"/>
      <c r="AC424" s="339"/>
      <c r="AD424" s="322"/>
      <c r="AE424" s="339"/>
      <c r="AF424" s="339"/>
      <c r="AG424" s="338"/>
      <c r="AH424" s="324"/>
      <c r="AI424" s="338"/>
      <c r="AJ424" s="338"/>
      <c r="AK424" s="339"/>
      <c r="AL424" s="322"/>
      <c r="AM424" s="339"/>
      <c r="AN424" s="339"/>
      <c r="AO424" s="338"/>
    </row>
    <row r="425" spans="1:41" hidden="1">
      <c r="A425" s="321" t="s">
        <v>734</v>
      </c>
      <c r="B425" s="717">
        <v>65900</v>
      </c>
      <c r="C425" s="338"/>
      <c r="D425" s="338"/>
      <c r="E425" s="592">
        <v>65900</v>
      </c>
      <c r="F425" s="322"/>
      <c r="G425" s="339"/>
      <c r="H425" s="339"/>
      <c r="I425" s="338"/>
      <c r="J425" s="324"/>
      <c r="K425" s="338"/>
      <c r="L425" s="338"/>
      <c r="M425" s="339"/>
      <c r="N425" s="322"/>
      <c r="O425" s="339"/>
      <c r="P425" s="339"/>
      <c r="Q425" s="338"/>
      <c r="R425" s="324"/>
      <c r="S425" s="338"/>
      <c r="T425" s="338"/>
      <c r="U425" s="339"/>
      <c r="V425" s="322"/>
      <c r="W425" s="339"/>
      <c r="X425" s="339"/>
      <c r="Y425" s="338"/>
      <c r="Z425" s="324"/>
      <c r="AA425" s="338"/>
      <c r="AB425" s="338"/>
      <c r="AC425" s="339"/>
      <c r="AD425" s="716">
        <v>65900</v>
      </c>
      <c r="AE425" s="339"/>
      <c r="AF425" s="339"/>
      <c r="AG425" s="594">
        <v>65900</v>
      </c>
      <c r="AH425" s="324"/>
      <c r="AI425" s="338"/>
      <c r="AJ425" s="338"/>
      <c r="AK425" s="339"/>
      <c r="AL425" s="322"/>
      <c r="AM425" s="339"/>
      <c r="AN425" s="339"/>
      <c r="AO425" s="338"/>
    </row>
    <row r="426" spans="1:41" hidden="1">
      <c r="A426" s="321" t="s">
        <v>735</v>
      </c>
      <c r="B426" s="717">
        <v>2465700</v>
      </c>
      <c r="C426" s="338"/>
      <c r="D426" s="338"/>
      <c r="E426" s="592">
        <v>2465700</v>
      </c>
      <c r="F426" s="322"/>
      <c r="G426" s="339"/>
      <c r="H426" s="339"/>
      <c r="I426" s="338"/>
      <c r="J426" s="324"/>
      <c r="K426" s="338"/>
      <c r="L426" s="338"/>
      <c r="M426" s="339"/>
      <c r="N426" s="322"/>
      <c r="O426" s="339"/>
      <c r="P426" s="339"/>
      <c r="Q426" s="338"/>
      <c r="R426" s="324"/>
      <c r="S426" s="338"/>
      <c r="T426" s="338"/>
      <c r="U426" s="339"/>
      <c r="V426" s="322"/>
      <c r="W426" s="339"/>
      <c r="X426" s="339"/>
      <c r="Y426" s="338"/>
      <c r="Z426" s="324"/>
      <c r="AA426" s="338"/>
      <c r="AB426" s="338"/>
      <c r="AC426" s="339"/>
      <c r="AD426" s="716">
        <v>2465700</v>
      </c>
      <c r="AE426" s="339"/>
      <c r="AF426" s="339"/>
      <c r="AG426" s="594">
        <v>2465700</v>
      </c>
      <c r="AH426" s="324"/>
      <c r="AI426" s="338"/>
      <c r="AJ426" s="338"/>
      <c r="AK426" s="339"/>
      <c r="AL426" s="322"/>
      <c r="AM426" s="339"/>
      <c r="AN426" s="339"/>
      <c r="AO426" s="338"/>
    </row>
    <row r="427" spans="1:41" hidden="1">
      <c r="A427" s="321" t="s">
        <v>736</v>
      </c>
      <c r="B427" s="717">
        <v>1276</v>
      </c>
      <c r="C427" s="338"/>
      <c r="D427" s="338"/>
      <c r="E427" s="592">
        <v>1276</v>
      </c>
      <c r="F427" s="322"/>
      <c r="G427" s="339"/>
      <c r="H427" s="339"/>
      <c r="I427" s="338"/>
      <c r="J427" s="324"/>
      <c r="K427" s="338"/>
      <c r="L427" s="338"/>
      <c r="M427" s="339"/>
      <c r="N427" s="322"/>
      <c r="O427" s="339"/>
      <c r="P427" s="339"/>
      <c r="Q427" s="338"/>
      <c r="R427" s="324"/>
      <c r="S427" s="338"/>
      <c r="T427" s="338"/>
      <c r="U427" s="339"/>
      <c r="V427" s="322"/>
      <c r="W427" s="339"/>
      <c r="X427" s="339"/>
      <c r="Y427" s="338"/>
      <c r="Z427" s="324"/>
      <c r="AA427" s="338"/>
      <c r="AB427" s="338"/>
      <c r="AC427" s="339"/>
      <c r="AD427" s="716">
        <v>1276</v>
      </c>
      <c r="AE427" s="339"/>
      <c r="AF427" s="339"/>
      <c r="AG427" s="594">
        <v>1276</v>
      </c>
      <c r="AH427" s="324"/>
      <c r="AI427" s="338"/>
      <c r="AJ427" s="338"/>
      <c r="AK427" s="339"/>
      <c r="AL427" s="322"/>
      <c r="AM427" s="339"/>
      <c r="AN427" s="339"/>
      <c r="AO427" s="338"/>
    </row>
    <row r="428" spans="1:41" hidden="1">
      <c r="A428" s="321" t="s">
        <v>737</v>
      </c>
      <c r="B428" s="717">
        <v>1309</v>
      </c>
      <c r="C428" s="338"/>
      <c r="D428" s="338"/>
      <c r="E428" s="592">
        <v>1309</v>
      </c>
      <c r="F428" s="322"/>
      <c r="G428" s="339"/>
      <c r="H428" s="339"/>
      <c r="I428" s="338"/>
      <c r="J428" s="324"/>
      <c r="K428" s="338"/>
      <c r="L428" s="338"/>
      <c r="M428" s="339"/>
      <c r="N428" s="322"/>
      <c r="O428" s="339"/>
      <c r="P428" s="339"/>
      <c r="Q428" s="338"/>
      <c r="R428" s="324"/>
      <c r="S428" s="338"/>
      <c r="T428" s="338"/>
      <c r="U428" s="339"/>
      <c r="V428" s="322"/>
      <c r="W428" s="339"/>
      <c r="X428" s="339"/>
      <c r="Y428" s="338"/>
      <c r="Z428" s="324"/>
      <c r="AA428" s="338"/>
      <c r="AB428" s="338"/>
      <c r="AC428" s="339"/>
      <c r="AD428" s="716">
        <v>1309</v>
      </c>
      <c r="AE428" s="339"/>
      <c r="AF428" s="339"/>
      <c r="AG428" s="594">
        <v>1309</v>
      </c>
      <c r="AH428" s="324"/>
      <c r="AI428" s="338"/>
      <c r="AJ428" s="338"/>
      <c r="AK428" s="339"/>
      <c r="AL428" s="322"/>
      <c r="AM428" s="339"/>
      <c r="AN428" s="339"/>
      <c r="AO428" s="338"/>
    </row>
    <row r="429" spans="1:41" hidden="1">
      <c r="A429" s="311" t="s">
        <v>353</v>
      </c>
      <c r="B429" s="733">
        <v>56560560</v>
      </c>
      <c r="C429" s="703">
        <v>2802232.07</v>
      </c>
      <c r="D429" s="703">
        <v>2809057.72</v>
      </c>
      <c r="E429" s="721">
        <v>56560560</v>
      </c>
      <c r="F429" s="326"/>
      <c r="G429" s="595"/>
      <c r="H429" s="595"/>
      <c r="I429" s="340"/>
      <c r="J429" s="328"/>
      <c r="K429" s="708"/>
      <c r="L429" s="708"/>
      <c r="M429" s="341"/>
      <c r="N429" s="732">
        <v>56560560</v>
      </c>
      <c r="O429" s="595"/>
      <c r="P429" s="595"/>
      <c r="Q429" s="593">
        <v>56560560</v>
      </c>
      <c r="R429" s="328"/>
      <c r="S429" s="708"/>
      <c r="T429" s="708"/>
      <c r="U429" s="341"/>
      <c r="V429" s="326"/>
      <c r="W429" s="595"/>
      <c r="X429" s="595"/>
      <c r="Y429" s="340"/>
      <c r="Z429" s="328"/>
      <c r="AA429" s="708"/>
      <c r="AB429" s="708"/>
      <c r="AC429" s="341"/>
      <c r="AD429" s="732">
        <v>15802960.9</v>
      </c>
      <c r="AE429" s="591">
        <v>2802232.07</v>
      </c>
      <c r="AF429" s="591">
        <v>2791557.72</v>
      </c>
      <c r="AG429" s="593">
        <v>15813635.25</v>
      </c>
      <c r="AH429" s="328"/>
      <c r="AI429" s="708"/>
      <c r="AJ429" s="708"/>
      <c r="AK429" s="341"/>
      <c r="AL429" s="730">
        <v>17500</v>
      </c>
      <c r="AM429" s="595"/>
      <c r="AN429" s="706">
        <v>17500</v>
      </c>
      <c r="AO429" s="340"/>
    </row>
    <row r="430" spans="1:41" hidden="1">
      <c r="A430" s="316" t="s">
        <v>738</v>
      </c>
      <c r="B430" s="947">
        <v>15677960.779999999</v>
      </c>
      <c r="C430" s="587">
        <v>2802232.07</v>
      </c>
      <c r="D430" s="587">
        <v>2791557.72</v>
      </c>
      <c r="E430" s="759">
        <v>15688635.130000001</v>
      </c>
      <c r="F430" s="939"/>
      <c r="G430" s="690"/>
      <c r="H430" s="690"/>
      <c r="I430" s="690"/>
      <c r="J430" s="940"/>
      <c r="K430" s="611"/>
      <c r="L430" s="611"/>
      <c r="M430" s="611"/>
      <c r="N430" s="939"/>
      <c r="O430" s="690"/>
      <c r="P430" s="690"/>
      <c r="Q430" s="690"/>
      <c r="R430" s="940"/>
      <c r="S430" s="611"/>
      <c r="T430" s="611"/>
      <c r="U430" s="611"/>
      <c r="V430" s="939"/>
      <c r="W430" s="690"/>
      <c r="X430" s="690"/>
      <c r="Y430" s="690"/>
      <c r="Z430" s="940"/>
      <c r="AA430" s="611"/>
      <c r="AB430" s="611"/>
      <c r="AC430" s="611"/>
      <c r="AD430" s="948">
        <v>15677960.779999999</v>
      </c>
      <c r="AE430" s="691">
        <v>2802232.07</v>
      </c>
      <c r="AF430" s="691">
        <v>2791557.72</v>
      </c>
      <c r="AG430" s="758">
        <v>15688635.130000001</v>
      </c>
      <c r="AH430" s="940"/>
      <c r="AI430" s="611"/>
      <c r="AJ430" s="611"/>
      <c r="AK430" s="611"/>
      <c r="AL430" s="939"/>
      <c r="AM430" s="690"/>
      <c r="AN430" s="690"/>
      <c r="AO430" s="690"/>
    </row>
    <row r="431" spans="1:41" hidden="1">
      <c r="A431" s="756" t="s">
        <v>1718</v>
      </c>
      <c r="B431" s="738">
        <v>266850</v>
      </c>
      <c r="C431" s="318">
        <v>88990</v>
      </c>
      <c r="D431" s="318">
        <v>355840</v>
      </c>
      <c r="E431" s="330"/>
      <c r="F431" s="317"/>
      <c r="G431" s="330"/>
      <c r="H431" s="330"/>
      <c r="I431" s="331"/>
      <c r="J431" s="319"/>
      <c r="K431" s="331"/>
      <c r="L431" s="331"/>
      <c r="M431" s="330"/>
      <c r="N431" s="317"/>
      <c r="O431" s="330"/>
      <c r="P431" s="330"/>
      <c r="Q431" s="331"/>
      <c r="R431" s="319"/>
      <c r="S431" s="331"/>
      <c r="T431" s="331"/>
      <c r="U431" s="330"/>
      <c r="V431" s="317"/>
      <c r="W431" s="330"/>
      <c r="X431" s="330"/>
      <c r="Y431" s="331"/>
      <c r="Z431" s="319"/>
      <c r="AA431" s="331"/>
      <c r="AB431" s="331"/>
      <c r="AC431" s="330"/>
      <c r="AD431" s="728">
        <v>266850</v>
      </c>
      <c r="AE431" s="320">
        <v>88990</v>
      </c>
      <c r="AF431" s="320">
        <v>355840</v>
      </c>
      <c r="AG431" s="331"/>
      <c r="AH431" s="319"/>
      <c r="AI431" s="331"/>
      <c r="AJ431" s="331"/>
      <c r="AK431" s="330"/>
      <c r="AL431" s="317"/>
      <c r="AM431" s="330"/>
      <c r="AN431" s="330"/>
      <c r="AO431" s="331"/>
    </row>
    <row r="432" spans="1:41" hidden="1">
      <c r="A432" s="757" t="s">
        <v>1719</v>
      </c>
      <c r="B432" s="716">
        <v>1854533.86</v>
      </c>
      <c r="C432" s="325">
        <v>1233780</v>
      </c>
      <c r="D432" s="325">
        <v>875534</v>
      </c>
      <c r="E432" s="594">
        <v>2212779.86</v>
      </c>
      <c r="F432" s="324"/>
      <c r="G432" s="338"/>
      <c r="H432" s="338"/>
      <c r="I432" s="339"/>
      <c r="J432" s="322"/>
      <c r="K432" s="339"/>
      <c r="L432" s="339"/>
      <c r="M432" s="338"/>
      <c r="N432" s="324"/>
      <c r="O432" s="338"/>
      <c r="P432" s="338"/>
      <c r="Q432" s="339"/>
      <c r="R432" s="322"/>
      <c r="S432" s="339"/>
      <c r="T432" s="339"/>
      <c r="U432" s="338"/>
      <c r="V432" s="324"/>
      <c r="W432" s="338"/>
      <c r="X432" s="338"/>
      <c r="Y432" s="339"/>
      <c r="Z432" s="322"/>
      <c r="AA432" s="339"/>
      <c r="AB432" s="339"/>
      <c r="AC432" s="338"/>
      <c r="AD432" s="717">
        <v>1854533.86</v>
      </c>
      <c r="AE432" s="323">
        <v>1233780</v>
      </c>
      <c r="AF432" s="323">
        <v>875534</v>
      </c>
      <c r="AG432" s="592">
        <v>2212779.86</v>
      </c>
      <c r="AH432" s="322"/>
      <c r="AI432" s="339"/>
      <c r="AJ432" s="339"/>
      <c r="AK432" s="338"/>
      <c r="AL432" s="324"/>
      <c r="AM432" s="338"/>
      <c r="AN432" s="338"/>
      <c r="AO432" s="339"/>
    </row>
    <row r="433" spans="1:41" hidden="1">
      <c r="A433" s="757" t="s">
        <v>1720</v>
      </c>
      <c r="B433" s="716">
        <v>11027500</v>
      </c>
      <c r="C433" s="339"/>
      <c r="D433" s="339"/>
      <c r="E433" s="594">
        <v>11027500</v>
      </c>
      <c r="F433" s="324"/>
      <c r="G433" s="338"/>
      <c r="H433" s="338"/>
      <c r="I433" s="339"/>
      <c r="J433" s="322"/>
      <c r="K433" s="339"/>
      <c r="L433" s="339"/>
      <c r="M433" s="338"/>
      <c r="N433" s="324"/>
      <c r="O433" s="338"/>
      <c r="P433" s="338"/>
      <c r="Q433" s="339"/>
      <c r="R433" s="322"/>
      <c r="S433" s="339"/>
      <c r="T433" s="339"/>
      <c r="U433" s="338"/>
      <c r="V433" s="324"/>
      <c r="W433" s="338"/>
      <c r="X433" s="338"/>
      <c r="Y433" s="339"/>
      <c r="Z433" s="322"/>
      <c r="AA433" s="339"/>
      <c r="AB433" s="339"/>
      <c r="AC433" s="338"/>
      <c r="AD433" s="717">
        <v>11027500</v>
      </c>
      <c r="AE433" s="338"/>
      <c r="AF433" s="338"/>
      <c r="AG433" s="592">
        <v>11027500</v>
      </c>
      <c r="AH433" s="322"/>
      <c r="AI433" s="339"/>
      <c r="AJ433" s="339"/>
      <c r="AK433" s="338"/>
      <c r="AL433" s="324"/>
      <c r="AM433" s="338"/>
      <c r="AN433" s="338"/>
      <c r="AO433" s="339"/>
    </row>
    <row r="434" spans="1:41" hidden="1">
      <c r="A434" s="756" t="s">
        <v>1721</v>
      </c>
      <c r="B434" s="716">
        <v>80721.649999999994</v>
      </c>
      <c r="C434" s="325">
        <v>1479462.07</v>
      </c>
      <c r="D434" s="325">
        <v>1560183.72</v>
      </c>
      <c r="E434" s="338"/>
      <c r="F434" s="324"/>
      <c r="G434" s="338"/>
      <c r="H434" s="338"/>
      <c r="I434" s="339"/>
      <c r="J434" s="322"/>
      <c r="K434" s="339"/>
      <c r="L434" s="339"/>
      <c r="M434" s="338"/>
      <c r="N434" s="324"/>
      <c r="O434" s="338"/>
      <c r="P434" s="338"/>
      <c r="Q434" s="339"/>
      <c r="R434" s="322"/>
      <c r="S434" s="339"/>
      <c r="T434" s="339"/>
      <c r="U434" s="338"/>
      <c r="V434" s="324"/>
      <c r="W434" s="338"/>
      <c r="X434" s="338"/>
      <c r="Y434" s="339"/>
      <c r="Z434" s="322"/>
      <c r="AA434" s="339"/>
      <c r="AB434" s="339"/>
      <c r="AC434" s="338"/>
      <c r="AD434" s="717">
        <v>80721.649999999994</v>
      </c>
      <c r="AE434" s="323">
        <v>1479462.07</v>
      </c>
      <c r="AF434" s="323">
        <v>1560183.72</v>
      </c>
      <c r="AG434" s="339"/>
      <c r="AH434" s="322"/>
      <c r="AI434" s="339"/>
      <c r="AJ434" s="339"/>
      <c r="AK434" s="338"/>
      <c r="AL434" s="324"/>
      <c r="AM434" s="338"/>
      <c r="AN434" s="338"/>
      <c r="AO434" s="339"/>
    </row>
    <row r="435" spans="1:41" hidden="1">
      <c r="A435" s="756" t="s">
        <v>1722</v>
      </c>
      <c r="B435" s="716">
        <v>416861</v>
      </c>
      <c r="C435" s="339"/>
      <c r="D435" s="339"/>
      <c r="E435" s="594">
        <v>416861</v>
      </c>
      <c r="F435" s="324"/>
      <c r="G435" s="338"/>
      <c r="H435" s="338"/>
      <c r="I435" s="339"/>
      <c r="J435" s="322"/>
      <c r="K435" s="339"/>
      <c r="L435" s="339"/>
      <c r="M435" s="338"/>
      <c r="N435" s="324"/>
      <c r="O435" s="338"/>
      <c r="P435" s="338"/>
      <c r="Q435" s="339"/>
      <c r="R435" s="322"/>
      <c r="S435" s="339"/>
      <c r="T435" s="339"/>
      <c r="U435" s="338"/>
      <c r="V435" s="324"/>
      <c r="W435" s="338"/>
      <c r="X435" s="338"/>
      <c r="Y435" s="339"/>
      <c r="Z435" s="322"/>
      <c r="AA435" s="339"/>
      <c r="AB435" s="339"/>
      <c r="AC435" s="338"/>
      <c r="AD435" s="717">
        <v>416861</v>
      </c>
      <c r="AE435" s="338"/>
      <c r="AF435" s="338"/>
      <c r="AG435" s="592">
        <v>416861</v>
      </c>
      <c r="AH435" s="322"/>
      <c r="AI435" s="339"/>
      <c r="AJ435" s="339"/>
      <c r="AK435" s="338"/>
      <c r="AL435" s="324"/>
      <c r="AM435" s="338"/>
      <c r="AN435" s="338"/>
      <c r="AO435" s="339"/>
    </row>
    <row r="436" spans="1:41" hidden="1">
      <c r="A436" s="756" t="s">
        <v>1723</v>
      </c>
      <c r="B436" s="716">
        <v>7500</v>
      </c>
      <c r="C436" s="339"/>
      <c r="D436" s="339"/>
      <c r="E436" s="594">
        <v>7500</v>
      </c>
      <c r="F436" s="324"/>
      <c r="G436" s="338"/>
      <c r="H436" s="338"/>
      <c r="I436" s="339"/>
      <c r="J436" s="322"/>
      <c r="K436" s="339"/>
      <c r="L436" s="339"/>
      <c r="M436" s="338"/>
      <c r="N436" s="324"/>
      <c r="O436" s="338"/>
      <c r="P436" s="338"/>
      <c r="Q436" s="339"/>
      <c r="R436" s="322"/>
      <c r="S436" s="339"/>
      <c r="T436" s="339"/>
      <c r="U436" s="338"/>
      <c r="V436" s="324"/>
      <c r="W436" s="338"/>
      <c r="X436" s="338"/>
      <c r="Y436" s="339"/>
      <c r="Z436" s="322"/>
      <c r="AA436" s="339"/>
      <c r="AB436" s="339"/>
      <c r="AC436" s="338"/>
      <c r="AD436" s="717">
        <v>7500</v>
      </c>
      <c r="AE436" s="338"/>
      <c r="AF436" s="338"/>
      <c r="AG436" s="592">
        <v>7500</v>
      </c>
      <c r="AH436" s="322"/>
      <c r="AI436" s="339"/>
      <c r="AJ436" s="339"/>
      <c r="AK436" s="338"/>
      <c r="AL436" s="324"/>
      <c r="AM436" s="338"/>
      <c r="AN436" s="338"/>
      <c r="AO436" s="339"/>
    </row>
    <row r="437" spans="1:41" hidden="1">
      <c r="A437" s="757" t="s">
        <v>1724</v>
      </c>
      <c r="B437" s="716">
        <v>80500</v>
      </c>
      <c r="C437" s="339"/>
      <c r="D437" s="339"/>
      <c r="E437" s="594">
        <v>80500</v>
      </c>
      <c r="F437" s="324"/>
      <c r="G437" s="338"/>
      <c r="H437" s="338"/>
      <c r="I437" s="339"/>
      <c r="J437" s="322"/>
      <c r="K437" s="339"/>
      <c r="L437" s="339"/>
      <c r="M437" s="338"/>
      <c r="N437" s="324"/>
      <c r="O437" s="338"/>
      <c r="P437" s="338"/>
      <c r="Q437" s="339"/>
      <c r="R437" s="322"/>
      <c r="S437" s="339"/>
      <c r="T437" s="339"/>
      <c r="U437" s="338"/>
      <c r="V437" s="324"/>
      <c r="W437" s="338"/>
      <c r="X437" s="338"/>
      <c r="Y437" s="339"/>
      <c r="Z437" s="322"/>
      <c r="AA437" s="339"/>
      <c r="AB437" s="339"/>
      <c r="AC437" s="338"/>
      <c r="AD437" s="717">
        <v>80500</v>
      </c>
      <c r="AE437" s="338"/>
      <c r="AF437" s="338"/>
      <c r="AG437" s="592">
        <v>80500</v>
      </c>
      <c r="AH437" s="322"/>
      <c r="AI437" s="339"/>
      <c r="AJ437" s="339"/>
      <c r="AK437" s="338"/>
      <c r="AL437" s="324"/>
      <c r="AM437" s="338"/>
      <c r="AN437" s="338"/>
      <c r="AO437" s="339"/>
    </row>
    <row r="438" spans="1:41" hidden="1">
      <c r="A438" s="757" t="s">
        <v>1725</v>
      </c>
      <c r="B438" s="716">
        <v>82300</v>
      </c>
      <c r="C438" s="339"/>
      <c r="D438" s="339"/>
      <c r="E438" s="594">
        <v>82300</v>
      </c>
      <c r="F438" s="324"/>
      <c r="G438" s="338"/>
      <c r="H438" s="338"/>
      <c r="I438" s="339"/>
      <c r="J438" s="322"/>
      <c r="K438" s="339"/>
      <c r="L438" s="339"/>
      <c r="M438" s="338"/>
      <c r="N438" s="324"/>
      <c r="O438" s="338"/>
      <c r="P438" s="338"/>
      <c r="Q438" s="339"/>
      <c r="R438" s="322"/>
      <c r="S438" s="339"/>
      <c r="T438" s="339"/>
      <c r="U438" s="338"/>
      <c r="V438" s="324"/>
      <c r="W438" s="338"/>
      <c r="X438" s="338"/>
      <c r="Y438" s="339"/>
      <c r="Z438" s="322"/>
      <c r="AA438" s="339"/>
      <c r="AB438" s="339"/>
      <c r="AC438" s="338"/>
      <c r="AD438" s="717">
        <v>82300</v>
      </c>
      <c r="AE438" s="338"/>
      <c r="AF438" s="338"/>
      <c r="AG438" s="592">
        <v>82300</v>
      </c>
      <c r="AH438" s="322"/>
      <c r="AI438" s="339"/>
      <c r="AJ438" s="339"/>
      <c r="AK438" s="338"/>
      <c r="AL438" s="324"/>
      <c r="AM438" s="338"/>
      <c r="AN438" s="338"/>
      <c r="AO438" s="339"/>
    </row>
    <row r="439" spans="1:41" hidden="1">
      <c r="A439" s="757" t="s">
        <v>1726</v>
      </c>
      <c r="B439" s="716">
        <v>703734.37</v>
      </c>
      <c r="C439" s="339"/>
      <c r="D439" s="339"/>
      <c r="E439" s="594">
        <v>703734.37</v>
      </c>
      <c r="F439" s="324"/>
      <c r="G439" s="338"/>
      <c r="H439" s="338"/>
      <c r="I439" s="339"/>
      <c r="J439" s="322"/>
      <c r="K439" s="339"/>
      <c r="L439" s="339"/>
      <c r="M439" s="338"/>
      <c r="N439" s="324"/>
      <c r="O439" s="338"/>
      <c r="P439" s="338"/>
      <c r="Q439" s="339"/>
      <c r="R439" s="322"/>
      <c r="S439" s="339"/>
      <c r="T439" s="339"/>
      <c r="U439" s="338"/>
      <c r="V439" s="324"/>
      <c r="W439" s="338"/>
      <c r="X439" s="338"/>
      <c r="Y439" s="339"/>
      <c r="Z439" s="322"/>
      <c r="AA439" s="339"/>
      <c r="AB439" s="339"/>
      <c r="AC439" s="338"/>
      <c r="AD439" s="717">
        <v>703734.37</v>
      </c>
      <c r="AE439" s="338"/>
      <c r="AF439" s="338"/>
      <c r="AG439" s="592">
        <v>703734.37</v>
      </c>
      <c r="AH439" s="322"/>
      <c r="AI439" s="339"/>
      <c r="AJ439" s="339"/>
      <c r="AK439" s="338"/>
      <c r="AL439" s="324"/>
      <c r="AM439" s="338"/>
      <c r="AN439" s="338"/>
      <c r="AO439" s="339"/>
    </row>
    <row r="440" spans="1:41" hidden="1">
      <c r="A440" s="756" t="s">
        <v>1727</v>
      </c>
      <c r="B440" s="716">
        <v>586099.9</v>
      </c>
      <c r="C440" s="339"/>
      <c r="D440" s="339"/>
      <c r="E440" s="594">
        <v>586099.9</v>
      </c>
      <c r="F440" s="324"/>
      <c r="G440" s="338"/>
      <c r="H440" s="338"/>
      <c r="I440" s="339"/>
      <c r="J440" s="322"/>
      <c r="K440" s="339"/>
      <c r="L440" s="339"/>
      <c r="M440" s="338"/>
      <c r="N440" s="324"/>
      <c r="O440" s="338"/>
      <c r="P440" s="338"/>
      <c r="Q440" s="339"/>
      <c r="R440" s="322"/>
      <c r="S440" s="339"/>
      <c r="T440" s="339"/>
      <c r="U440" s="338"/>
      <c r="V440" s="324"/>
      <c r="W440" s="338"/>
      <c r="X440" s="338"/>
      <c r="Y440" s="339"/>
      <c r="Z440" s="322"/>
      <c r="AA440" s="339"/>
      <c r="AB440" s="339"/>
      <c r="AC440" s="338"/>
      <c r="AD440" s="717">
        <v>586099.9</v>
      </c>
      <c r="AE440" s="338"/>
      <c r="AF440" s="338"/>
      <c r="AG440" s="592">
        <v>586099.9</v>
      </c>
      <c r="AH440" s="322"/>
      <c r="AI440" s="339"/>
      <c r="AJ440" s="339"/>
      <c r="AK440" s="338"/>
      <c r="AL440" s="324"/>
      <c r="AM440" s="338"/>
      <c r="AN440" s="338"/>
      <c r="AO440" s="339"/>
    </row>
    <row r="441" spans="1:41" hidden="1">
      <c r="A441" s="756" t="s">
        <v>1728</v>
      </c>
      <c r="B441" s="716">
        <v>571360</v>
      </c>
      <c r="C441" s="339"/>
      <c r="D441" s="339"/>
      <c r="E441" s="594">
        <v>571360</v>
      </c>
      <c r="F441" s="324"/>
      <c r="G441" s="338"/>
      <c r="H441" s="338"/>
      <c r="I441" s="339"/>
      <c r="J441" s="322"/>
      <c r="K441" s="339"/>
      <c r="L441" s="339"/>
      <c r="M441" s="338"/>
      <c r="N441" s="324"/>
      <c r="O441" s="338"/>
      <c r="P441" s="338"/>
      <c r="Q441" s="339"/>
      <c r="R441" s="322"/>
      <c r="S441" s="339"/>
      <c r="T441" s="339"/>
      <c r="U441" s="338"/>
      <c r="V441" s="324"/>
      <c r="W441" s="338"/>
      <c r="X441" s="338"/>
      <c r="Y441" s="339"/>
      <c r="Z441" s="322"/>
      <c r="AA441" s="339"/>
      <c r="AB441" s="339"/>
      <c r="AC441" s="338"/>
      <c r="AD441" s="717">
        <v>571360</v>
      </c>
      <c r="AE441" s="338"/>
      <c r="AF441" s="338"/>
      <c r="AG441" s="592">
        <v>571360</v>
      </c>
      <c r="AH441" s="322"/>
      <c r="AI441" s="339"/>
      <c r="AJ441" s="339"/>
      <c r="AK441" s="338"/>
      <c r="AL441" s="324"/>
      <c r="AM441" s="338"/>
      <c r="AN441" s="338"/>
      <c r="AO441" s="339"/>
    </row>
    <row r="442" spans="1:41" hidden="1">
      <c r="A442" s="321" t="s">
        <v>739</v>
      </c>
      <c r="B442" s="717">
        <v>125000.12</v>
      </c>
      <c r="C442" s="338"/>
      <c r="D442" s="338"/>
      <c r="E442" s="592">
        <v>125000.12</v>
      </c>
      <c r="F442" s="322"/>
      <c r="G442" s="339"/>
      <c r="H442" s="339"/>
      <c r="I442" s="338"/>
      <c r="J442" s="324"/>
      <c r="K442" s="338"/>
      <c r="L442" s="338"/>
      <c r="M442" s="339"/>
      <c r="N442" s="322"/>
      <c r="O442" s="339"/>
      <c r="P442" s="339"/>
      <c r="Q442" s="338"/>
      <c r="R442" s="324"/>
      <c r="S442" s="338"/>
      <c r="T442" s="338"/>
      <c r="U442" s="339"/>
      <c r="V442" s="322"/>
      <c r="W442" s="339"/>
      <c r="X442" s="339"/>
      <c r="Y442" s="338"/>
      <c r="Z442" s="324"/>
      <c r="AA442" s="338"/>
      <c r="AB442" s="338"/>
      <c r="AC442" s="339"/>
      <c r="AD442" s="716">
        <v>125000.12</v>
      </c>
      <c r="AE442" s="339"/>
      <c r="AF442" s="339"/>
      <c r="AG442" s="594">
        <v>125000.12</v>
      </c>
      <c r="AH442" s="324"/>
      <c r="AI442" s="338"/>
      <c r="AJ442" s="338"/>
      <c r="AK442" s="339"/>
      <c r="AL442" s="322"/>
      <c r="AM442" s="339"/>
      <c r="AN442" s="339"/>
      <c r="AO442" s="338"/>
    </row>
    <row r="443" spans="1:41" hidden="1">
      <c r="A443" s="321" t="s">
        <v>1719</v>
      </c>
      <c r="B443" s="324"/>
      <c r="C443" s="338"/>
      <c r="D443" s="338"/>
      <c r="E443" s="339"/>
      <c r="F443" s="322"/>
      <c r="G443" s="339"/>
      <c r="H443" s="339"/>
      <c r="I443" s="338"/>
      <c r="J443" s="324"/>
      <c r="K443" s="338"/>
      <c r="L443" s="338"/>
      <c r="M443" s="339"/>
      <c r="N443" s="322"/>
      <c r="O443" s="339"/>
      <c r="P443" s="339"/>
      <c r="Q443" s="338"/>
      <c r="R443" s="324"/>
      <c r="S443" s="338"/>
      <c r="T443" s="338"/>
      <c r="U443" s="339"/>
      <c r="V443" s="322"/>
      <c r="W443" s="339"/>
      <c r="X443" s="339"/>
      <c r="Y443" s="338"/>
      <c r="Z443" s="324"/>
      <c r="AA443" s="338"/>
      <c r="AB443" s="338"/>
      <c r="AC443" s="339"/>
      <c r="AD443" s="322"/>
      <c r="AE443" s="339"/>
      <c r="AF443" s="339"/>
      <c r="AG443" s="338"/>
      <c r="AH443" s="324"/>
      <c r="AI443" s="338"/>
      <c r="AJ443" s="338"/>
      <c r="AK443" s="339"/>
      <c r="AL443" s="322"/>
      <c r="AM443" s="339"/>
      <c r="AN443" s="339"/>
      <c r="AO443" s="338"/>
    </row>
    <row r="444" spans="1:41" hidden="1">
      <c r="A444" s="321" t="s">
        <v>741</v>
      </c>
      <c r="B444" s="736">
        <v>17500</v>
      </c>
      <c r="C444" s="338"/>
      <c r="D444" s="711">
        <v>17500</v>
      </c>
      <c r="E444" s="339"/>
      <c r="F444" s="322"/>
      <c r="G444" s="339"/>
      <c r="H444" s="339"/>
      <c r="I444" s="338"/>
      <c r="J444" s="324"/>
      <c r="K444" s="338"/>
      <c r="L444" s="338"/>
      <c r="M444" s="339"/>
      <c r="N444" s="322"/>
      <c r="O444" s="339"/>
      <c r="P444" s="339"/>
      <c r="Q444" s="338"/>
      <c r="R444" s="324"/>
      <c r="S444" s="338"/>
      <c r="T444" s="338"/>
      <c r="U444" s="339"/>
      <c r="V444" s="322"/>
      <c r="W444" s="339"/>
      <c r="X444" s="339"/>
      <c r="Y444" s="338"/>
      <c r="Z444" s="324"/>
      <c r="AA444" s="338"/>
      <c r="AB444" s="338"/>
      <c r="AC444" s="339"/>
      <c r="AD444" s="322"/>
      <c r="AE444" s="339"/>
      <c r="AF444" s="339"/>
      <c r="AG444" s="338"/>
      <c r="AH444" s="324"/>
      <c r="AI444" s="338"/>
      <c r="AJ444" s="338"/>
      <c r="AK444" s="339"/>
      <c r="AL444" s="734">
        <v>17500</v>
      </c>
      <c r="AM444" s="339"/>
      <c r="AN444" s="714">
        <v>17500</v>
      </c>
      <c r="AO444" s="338"/>
    </row>
    <row r="445" spans="1:41" hidden="1">
      <c r="A445" s="321" t="s">
        <v>1720</v>
      </c>
      <c r="B445" s="324"/>
      <c r="C445" s="338"/>
      <c r="D445" s="338"/>
      <c r="E445" s="339"/>
      <c r="F445" s="322"/>
      <c r="G445" s="339"/>
      <c r="H445" s="339"/>
      <c r="I445" s="338"/>
      <c r="J445" s="324"/>
      <c r="K445" s="338"/>
      <c r="L445" s="338"/>
      <c r="M445" s="339"/>
      <c r="N445" s="322"/>
      <c r="O445" s="339"/>
      <c r="P445" s="339"/>
      <c r="Q445" s="338"/>
      <c r="R445" s="324"/>
      <c r="S445" s="338"/>
      <c r="T445" s="338"/>
      <c r="U445" s="339"/>
      <c r="V445" s="322"/>
      <c r="W445" s="339"/>
      <c r="X445" s="339"/>
      <c r="Y445" s="338"/>
      <c r="Z445" s="324"/>
      <c r="AA445" s="338"/>
      <c r="AB445" s="338"/>
      <c r="AC445" s="339"/>
      <c r="AD445" s="322"/>
      <c r="AE445" s="339"/>
      <c r="AF445" s="339"/>
      <c r="AG445" s="338"/>
      <c r="AH445" s="324"/>
      <c r="AI445" s="338"/>
      <c r="AJ445" s="338"/>
      <c r="AK445" s="339"/>
      <c r="AL445" s="322"/>
      <c r="AM445" s="339"/>
      <c r="AN445" s="339"/>
      <c r="AO445" s="338"/>
    </row>
    <row r="446" spans="1:41" hidden="1">
      <c r="A446" s="321" t="s">
        <v>354</v>
      </c>
      <c r="B446" s="717">
        <v>56560560</v>
      </c>
      <c r="C446" s="338"/>
      <c r="D446" s="338"/>
      <c r="E446" s="592">
        <v>56560560</v>
      </c>
      <c r="F446" s="322"/>
      <c r="G446" s="339"/>
      <c r="H446" s="339"/>
      <c r="I446" s="338"/>
      <c r="J446" s="324"/>
      <c r="K446" s="338"/>
      <c r="L446" s="338"/>
      <c r="M446" s="339"/>
      <c r="N446" s="716">
        <v>56560560</v>
      </c>
      <c r="O446" s="339"/>
      <c r="P446" s="339"/>
      <c r="Q446" s="594">
        <v>56560560</v>
      </c>
      <c r="R446" s="324"/>
      <c r="S446" s="338"/>
      <c r="T446" s="338"/>
      <c r="U446" s="339"/>
      <c r="V446" s="322"/>
      <c r="W446" s="339"/>
      <c r="X446" s="339"/>
      <c r="Y446" s="338"/>
      <c r="Z446" s="324"/>
      <c r="AA446" s="338"/>
      <c r="AB446" s="338"/>
      <c r="AC446" s="339"/>
      <c r="AD446" s="322"/>
      <c r="AE446" s="339"/>
      <c r="AF446" s="339"/>
      <c r="AG446" s="338"/>
      <c r="AH446" s="324"/>
      <c r="AI446" s="338"/>
      <c r="AJ446" s="338"/>
      <c r="AK446" s="339"/>
      <c r="AL446" s="322"/>
      <c r="AM446" s="339"/>
      <c r="AN446" s="339"/>
      <c r="AO446" s="338"/>
    </row>
    <row r="447" spans="1:41" hidden="1">
      <c r="A447" s="321" t="s">
        <v>1722</v>
      </c>
      <c r="B447" s="324"/>
      <c r="C447" s="338"/>
      <c r="D447" s="338"/>
      <c r="E447" s="339"/>
      <c r="F447" s="322"/>
      <c r="G447" s="339"/>
      <c r="H447" s="339"/>
      <c r="I447" s="338"/>
      <c r="J447" s="324"/>
      <c r="K447" s="338"/>
      <c r="L447" s="338"/>
      <c r="M447" s="339"/>
      <c r="N447" s="322"/>
      <c r="O447" s="339"/>
      <c r="P447" s="339"/>
      <c r="Q447" s="338"/>
      <c r="R447" s="324"/>
      <c r="S447" s="338"/>
      <c r="T447" s="338"/>
      <c r="U447" s="339"/>
      <c r="V447" s="322"/>
      <c r="W447" s="339"/>
      <c r="X447" s="339"/>
      <c r="Y447" s="338"/>
      <c r="Z447" s="324"/>
      <c r="AA447" s="338"/>
      <c r="AB447" s="338"/>
      <c r="AC447" s="339"/>
      <c r="AD447" s="322"/>
      <c r="AE447" s="339"/>
      <c r="AF447" s="339"/>
      <c r="AG447" s="338"/>
      <c r="AH447" s="324"/>
      <c r="AI447" s="338"/>
      <c r="AJ447" s="338"/>
      <c r="AK447" s="339"/>
      <c r="AL447" s="322"/>
      <c r="AM447" s="339"/>
      <c r="AN447" s="339"/>
      <c r="AO447" s="338"/>
    </row>
    <row r="448" spans="1:41" hidden="1">
      <c r="A448" s="321" t="s">
        <v>1723</v>
      </c>
      <c r="B448" s="324"/>
      <c r="C448" s="338"/>
      <c r="D448" s="338"/>
      <c r="E448" s="339"/>
      <c r="F448" s="322"/>
      <c r="G448" s="339"/>
      <c r="H448" s="339"/>
      <c r="I448" s="338"/>
      <c r="J448" s="324"/>
      <c r="K448" s="338"/>
      <c r="L448" s="338"/>
      <c r="M448" s="339"/>
      <c r="N448" s="322"/>
      <c r="O448" s="339"/>
      <c r="P448" s="339"/>
      <c r="Q448" s="338"/>
      <c r="R448" s="324"/>
      <c r="S448" s="338"/>
      <c r="T448" s="338"/>
      <c r="U448" s="339"/>
      <c r="V448" s="322"/>
      <c r="W448" s="339"/>
      <c r="X448" s="339"/>
      <c r="Y448" s="338"/>
      <c r="Z448" s="324"/>
      <c r="AA448" s="338"/>
      <c r="AB448" s="338"/>
      <c r="AC448" s="339"/>
      <c r="AD448" s="322"/>
      <c r="AE448" s="339"/>
      <c r="AF448" s="339"/>
      <c r="AG448" s="338"/>
      <c r="AH448" s="324"/>
      <c r="AI448" s="338"/>
      <c r="AJ448" s="338"/>
      <c r="AK448" s="339"/>
      <c r="AL448" s="322"/>
      <c r="AM448" s="339"/>
      <c r="AN448" s="339"/>
      <c r="AO448" s="338"/>
    </row>
    <row r="449" spans="1:41" hidden="1">
      <c r="A449" s="321" t="s">
        <v>1725</v>
      </c>
      <c r="B449" s="324"/>
      <c r="C449" s="338"/>
      <c r="D449" s="338"/>
      <c r="E449" s="339"/>
      <c r="F449" s="322"/>
      <c r="G449" s="339"/>
      <c r="H449" s="339"/>
      <c r="I449" s="338"/>
      <c r="J449" s="324"/>
      <c r="K449" s="338"/>
      <c r="L449" s="338"/>
      <c r="M449" s="339"/>
      <c r="N449" s="322"/>
      <c r="O449" s="339"/>
      <c r="P449" s="339"/>
      <c r="Q449" s="338"/>
      <c r="R449" s="324"/>
      <c r="S449" s="338"/>
      <c r="T449" s="338"/>
      <c r="U449" s="339"/>
      <c r="V449" s="322"/>
      <c r="W449" s="339"/>
      <c r="X449" s="339"/>
      <c r="Y449" s="338"/>
      <c r="Z449" s="324"/>
      <c r="AA449" s="338"/>
      <c r="AB449" s="338"/>
      <c r="AC449" s="339"/>
      <c r="AD449" s="322"/>
      <c r="AE449" s="339"/>
      <c r="AF449" s="339"/>
      <c r="AG449" s="338"/>
      <c r="AH449" s="324"/>
      <c r="AI449" s="338"/>
      <c r="AJ449" s="338"/>
      <c r="AK449" s="339"/>
      <c r="AL449" s="322"/>
      <c r="AM449" s="339"/>
      <c r="AN449" s="339"/>
      <c r="AO449" s="338"/>
    </row>
    <row r="450" spans="1:41" hidden="1">
      <c r="A450" s="321" t="s">
        <v>1726</v>
      </c>
      <c r="B450" s="324"/>
      <c r="C450" s="338"/>
      <c r="D450" s="338"/>
      <c r="E450" s="339"/>
      <c r="F450" s="322"/>
      <c r="G450" s="339"/>
      <c r="H450" s="339"/>
      <c r="I450" s="338"/>
      <c r="J450" s="324"/>
      <c r="K450" s="338"/>
      <c r="L450" s="338"/>
      <c r="M450" s="339"/>
      <c r="N450" s="322"/>
      <c r="O450" s="339"/>
      <c r="P450" s="339"/>
      <c r="Q450" s="338"/>
      <c r="R450" s="324"/>
      <c r="S450" s="338"/>
      <c r="T450" s="338"/>
      <c r="U450" s="339"/>
      <c r="V450" s="322"/>
      <c r="W450" s="339"/>
      <c r="X450" s="339"/>
      <c r="Y450" s="338"/>
      <c r="Z450" s="324"/>
      <c r="AA450" s="338"/>
      <c r="AB450" s="338"/>
      <c r="AC450" s="339"/>
      <c r="AD450" s="322"/>
      <c r="AE450" s="339"/>
      <c r="AF450" s="339"/>
      <c r="AG450" s="338"/>
      <c r="AH450" s="324"/>
      <c r="AI450" s="338"/>
      <c r="AJ450" s="338"/>
      <c r="AK450" s="339"/>
      <c r="AL450" s="322"/>
      <c r="AM450" s="339"/>
      <c r="AN450" s="339"/>
      <c r="AO450" s="338"/>
    </row>
    <row r="451" spans="1:41">
      <c r="A451" s="311" t="s">
        <v>355</v>
      </c>
      <c r="B451" s="733">
        <v>367076546.46200001</v>
      </c>
      <c r="C451" s="703">
        <v>2780241427.1900001</v>
      </c>
      <c r="D451" s="703">
        <v>2474321549.1550002</v>
      </c>
      <c r="E451" s="721">
        <v>768209721.77400005</v>
      </c>
      <c r="F451" s="326"/>
      <c r="G451" s="591">
        <v>1029232</v>
      </c>
      <c r="H451" s="595"/>
      <c r="I451" s="593">
        <v>1029232</v>
      </c>
      <c r="J451" s="328"/>
      <c r="K451" s="703">
        <v>5341890</v>
      </c>
      <c r="L451" s="703">
        <v>3430017</v>
      </c>
      <c r="M451" s="721">
        <v>1911873</v>
      </c>
      <c r="N451" s="732">
        <v>367076546.46200001</v>
      </c>
      <c r="O451" s="591">
        <v>1854902585.224</v>
      </c>
      <c r="P451" s="591">
        <v>1687133134.4200001</v>
      </c>
      <c r="Q451" s="593">
        <v>534845997.26599997</v>
      </c>
      <c r="R451" s="328"/>
      <c r="S451" s="703">
        <v>435597636.75</v>
      </c>
      <c r="T451" s="703">
        <v>181677447.25999999</v>
      </c>
      <c r="U451" s="721">
        <v>253920189.49000001</v>
      </c>
      <c r="V451" s="732">
        <v>29551113.960000001</v>
      </c>
      <c r="W451" s="591">
        <v>209007116.47999999</v>
      </c>
      <c r="X451" s="591">
        <v>192138833.84999999</v>
      </c>
      <c r="Y451" s="593">
        <v>46419396.590000004</v>
      </c>
      <c r="Z451" s="733">
        <v>41276592.586000003</v>
      </c>
      <c r="AA451" s="703">
        <v>74709902</v>
      </c>
      <c r="AB451" s="703">
        <v>76215821</v>
      </c>
      <c r="AC451" s="721">
        <v>39770673.586000003</v>
      </c>
      <c r="AD451" s="732">
        <v>129884813.723</v>
      </c>
      <c r="AE451" s="591">
        <v>442045430.61000001</v>
      </c>
      <c r="AF451" s="591">
        <v>548791195.01499999</v>
      </c>
      <c r="AG451" s="593">
        <v>23139049.318</v>
      </c>
      <c r="AH451" s="718">
        <v>2225.5</v>
      </c>
      <c r="AI451" s="708"/>
      <c r="AJ451" s="708"/>
      <c r="AK451" s="719">
        <v>2225.5</v>
      </c>
      <c r="AL451" s="730">
        <v>261575097.97</v>
      </c>
      <c r="AM451" s="706">
        <v>1612510219.3499999</v>
      </c>
      <c r="AN451" s="706">
        <v>1472068235.03</v>
      </c>
      <c r="AO451" s="731">
        <v>402017082.29000002</v>
      </c>
    </row>
    <row r="452" spans="1:41">
      <c r="A452" s="316" t="s">
        <v>356</v>
      </c>
      <c r="B452" s="738">
        <v>19514385.813999999</v>
      </c>
      <c r="C452" s="330"/>
      <c r="D452" s="330"/>
      <c r="E452" s="739">
        <v>19514385.813999999</v>
      </c>
      <c r="F452" s="317"/>
      <c r="G452" s="331"/>
      <c r="H452" s="331"/>
      <c r="I452" s="331"/>
      <c r="J452" s="319"/>
      <c r="K452" s="330"/>
      <c r="L452" s="330"/>
      <c r="M452" s="330"/>
      <c r="N452" s="728">
        <v>19514385.813999999</v>
      </c>
      <c r="O452" s="331"/>
      <c r="P452" s="331"/>
      <c r="Q452" s="729">
        <v>19514385.813999999</v>
      </c>
      <c r="R452" s="319"/>
      <c r="S452" s="330"/>
      <c r="T452" s="330"/>
      <c r="U452" s="330"/>
      <c r="V452" s="728">
        <v>22900673.960000001</v>
      </c>
      <c r="W452" s="331"/>
      <c r="X452" s="331"/>
      <c r="Y452" s="729">
        <v>22900673.960000001</v>
      </c>
      <c r="Z452" s="738">
        <v>39770673.586000003</v>
      </c>
      <c r="AA452" s="330"/>
      <c r="AB452" s="330"/>
      <c r="AC452" s="739">
        <v>39770673.586000003</v>
      </c>
      <c r="AD452" s="728">
        <v>113866.008</v>
      </c>
      <c r="AE452" s="331"/>
      <c r="AF452" s="331"/>
      <c r="AG452" s="729">
        <v>113866.008</v>
      </c>
      <c r="AH452" s="722">
        <v>137.5</v>
      </c>
      <c r="AI452" s="330"/>
      <c r="AJ452" s="330"/>
      <c r="AK452" s="724">
        <v>137.5</v>
      </c>
      <c r="AL452" s="725">
        <v>187479006</v>
      </c>
      <c r="AM452" s="331"/>
      <c r="AN452" s="331"/>
      <c r="AO452" s="727">
        <v>187479006</v>
      </c>
    </row>
    <row r="453" spans="1:41">
      <c r="A453" s="316" t="s">
        <v>357</v>
      </c>
      <c r="B453" s="955">
        <v>600000</v>
      </c>
      <c r="C453" s="591">
        <v>8876037.3100000005</v>
      </c>
      <c r="D453" s="591">
        <v>180000</v>
      </c>
      <c r="E453" s="773">
        <v>7674881.1100000003</v>
      </c>
      <c r="F453" s="943"/>
      <c r="G453" s="703">
        <v>40000</v>
      </c>
      <c r="H453" s="708"/>
      <c r="I453" s="767">
        <v>40000</v>
      </c>
      <c r="J453" s="944"/>
      <c r="K453" s="591">
        <v>9000</v>
      </c>
      <c r="L453" s="595"/>
      <c r="M453" s="773">
        <v>9000</v>
      </c>
      <c r="N453" s="946">
        <v>600000</v>
      </c>
      <c r="O453" s="703">
        <v>3831357</v>
      </c>
      <c r="P453" s="703">
        <v>180000</v>
      </c>
      <c r="Q453" s="767">
        <v>4251357</v>
      </c>
      <c r="R453" s="944"/>
      <c r="S453" s="591">
        <v>7724458</v>
      </c>
      <c r="T453" s="591">
        <v>98576.89</v>
      </c>
      <c r="U453" s="773">
        <v>7625881.1100000003</v>
      </c>
      <c r="V453" s="946">
        <v>40000</v>
      </c>
      <c r="W453" s="708"/>
      <c r="X453" s="703">
        <v>40000</v>
      </c>
      <c r="Y453" s="708"/>
      <c r="Z453" s="955">
        <v>9000</v>
      </c>
      <c r="AA453" s="595"/>
      <c r="AB453" s="591">
        <v>9000</v>
      </c>
      <c r="AC453" s="595"/>
      <c r="AD453" s="946">
        <v>3175600</v>
      </c>
      <c r="AE453" s="703">
        <v>100000</v>
      </c>
      <c r="AF453" s="703">
        <v>3275600</v>
      </c>
      <c r="AG453" s="708"/>
      <c r="AH453" s="944"/>
      <c r="AI453" s="595"/>
      <c r="AJ453" s="595"/>
      <c r="AK453" s="595"/>
      <c r="AL453" s="966">
        <v>9080649.6899999995</v>
      </c>
      <c r="AM453" s="702">
        <v>1002579.31</v>
      </c>
      <c r="AN453" s="702">
        <v>10083229</v>
      </c>
      <c r="AO453" s="708"/>
    </row>
    <row r="454" spans="1:41">
      <c r="A454" s="761" t="s">
        <v>1729</v>
      </c>
      <c r="B454" s="939"/>
      <c r="C454" s="691">
        <v>180000</v>
      </c>
      <c r="D454" s="691">
        <v>180000</v>
      </c>
      <c r="E454" s="690"/>
      <c r="F454" s="940"/>
      <c r="G454" s="611"/>
      <c r="H454" s="611"/>
      <c r="I454" s="611"/>
      <c r="J454" s="939"/>
      <c r="K454" s="690"/>
      <c r="L454" s="690"/>
      <c r="M454" s="690"/>
      <c r="N454" s="940"/>
      <c r="O454" s="587">
        <v>180000</v>
      </c>
      <c r="P454" s="587">
        <v>180000</v>
      </c>
      <c r="Q454" s="611"/>
      <c r="R454" s="939"/>
      <c r="S454" s="690"/>
      <c r="T454" s="690"/>
      <c r="U454" s="690"/>
      <c r="V454" s="940"/>
      <c r="W454" s="611"/>
      <c r="X454" s="611"/>
      <c r="Y454" s="611"/>
      <c r="Z454" s="939"/>
      <c r="AA454" s="690"/>
      <c r="AB454" s="690"/>
      <c r="AC454" s="690"/>
      <c r="AD454" s="940"/>
      <c r="AE454" s="611"/>
      <c r="AF454" s="611"/>
      <c r="AG454" s="611"/>
      <c r="AH454" s="939"/>
      <c r="AI454" s="690"/>
      <c r="AJ454" s="690"/>
      <c r="AK454" s="690"/>
      <c r="AL454" s="940"/>
      <c r="AM454" s="611"/>
      <c r="AN454" s="611"/>
      <c r="AO454" s="611"/>
    </row>
    <row r="455" spans="1:41">
      <c r="A455" s="765" t="s">
        <v>1730</v>
      </c>
      <c r="B455" s="317"/>
      <c r="C455" s="320">
        <v>180000</v>
      </c>
      <c r="D455" s="320">
        <v>180000</v>
      </c>
      <c r="E455" s="331"/>
      <c r="F455" s="319"/>
      <c r="G455" s="331"/>
      <c r="H455" s="331"/>
      <c r="I455" s="330"/>
      <c r="J455" s="317"/>
      <c r="K455" s="330"/>
      <c r="L455" s="330"/>
      <c r="M455" s="331"/>
      <c r="N455" s="319"/>
      <c r="O455" s="318">
        <v>180000</v>
      </c>
      <c r="P455" s="318">
        <v>180000</v>
      </c>
      <c r="Q455" s="330"/>
      <c r="R455" s="317"/>
      <c r="S455" s="330"/>
      <c r="T455" s="330"/>
      <c r="U455" s="331"/>
      <c r="V455" s="319"/>
      <c r="W455" s="331"/>
      <c r="X455" s="331"/>
      <c r="Y455" s="330"/>
      <c r="Z455" s="317"/>
      <c r="AA455" s="330"/>
      <c r="AB455" s="330"/>
      <c r="AC455" s="331"/>
      <c r="AD455" s="319"/>
      <c r="AE455" s="331"/>
      <c r="AF455" s="331"/>
      <c r="AG455" s="330"/>
      <c r="AH455" s="317"/>
      <c r="AI455" s="330"/>
      <c r="AJ455" s="330"/>
      <c r="AK455" s="331"/>
      <c r="AL455" s="319"/>
      <c r="AM455" s="331"/>
      <c r="AN455" s="331"/>
      <c r="AO455" s="330"/>
    </row>
    <row r="456" spans="1:41">
      <c r="A456" s="756" t="s">
        <v>1731</v>
      </c>
      <c r="B456" s="716">
        <v>2630721</v>
      </c>
      <c r="C456" s="325">
        <v>2630721</v>
      </c>
      <c r="D456" s="325">
        <v>2630721</v>
      </c>
      <c r="E456" s="594">
        <v>2630721</v>
      </c>
      <c r="F456" s="324"/>
      <c r="G456" s="338"/>
      <c r="H456" s="338"/>
      <c r="I456" s="339"/>
      <c r="J456" s="322"/>
      <c r="K456" s="339"/>
      <c r="L456" s="339"/>
      <c r="M456" s="338"/>
      <c r="N456" s="324"/>
      <c r="O456" s="323">
        <v>2630721</v>
      </c>
      <c r="P456" s="338"/>
      <c r="Q456" s="592">
        <v>2630721</v>
      </c>
      <c r="R456" s="322"/>
      <c r="S456" s="339"/>
      <c r="T456" s="339"/>
      <c r="U456" s="338"/>
      <c r="V456" s="324"/>
      <c r="W456" s="338"/>
      <c r="X456" s="338"/>
      <c r="Y456" s="339"/>
      <c r="Z456" s="322"/>
      <c r="AA456" s="339"/>
      <c r="AB456" s="339"/>
      <c r="AC456" s="338"/>
      <c r="AD456" s="717">
        <v>2630721</v>
      </c>
      <c r="AE456" s="338"/>
      <c r="AF456" s="323">
        <v>2630721</v>
      </c>
      <c r="AG456" s="339"/>
      <c r="AH456" s="322"/>
      <c r="AI456" s="339"/>
      <c r="AJ456" s="339"/>
      <c r="AK456" s="338"/>
      <c r="AL456" s="324"/>
      <c r="AM456" s="338"/>
      <c r="AN456" s="338"/>
      <c r="AO456" s="339"/>
    </row>
    <row r="457" spans="1:41">
      <c r="A457" s="757" t="s">
        <v>1732</v>
      </c>
      <c r="B457" s="734">
        <v>35000</v>
      </c>
      <c r="C457" s="325">
        <v>35000</v>
      </c>
      <c r="D457" s="714">
        <v>35000</v>
      </c>
      <c r="E457" s="594">
        <v>35000</v>
      </c>
      <c r="F457" s="324"/>
      <c r="G457" s="338"/>
      <c r="H457" s="338"/>
      <c r="I457" s="339"/>
      <c r="J457" s="322"/>
      <c r="K457" s="339"/>
      <c r="L457" s="339"/>
      <c r="M457" s="338"/>
      <c r="N457" s="324"/>
      <c r="O457" s="338"/>
      <c r="P457" s="338"/>
      <c r="Q457" s="339"/>
      <c r="R457" s="322"/>
      <c r="S457" s="325">
        <v>35000</v>
      </c>
      <c r="T457" s="339"/>
      <c r="U457" s="594">
        <v>35000</v>
      </c>
      <c r="V457" s="324"/>
      <c r="W457" s="338"/>
      <c r="X457" s="338"/>
      <c r="Y457" s="339"/>
      <c r="Z457" s="322"/>
      <c r="AA457" s="339"/>
      <c r="AB457" s="339"/>
      <c r="AC457" s="338"/>
      <c r="AD457" s="324"/>
      <c r="AE457" s="338"/>
      <c r="AF457" s="338"/>
      <c r="AG457" s="339"/>
      <c r="AH457" s="322"/>
      <c r="AI457" s="339"/>
      <c r="AJ457" s="339"/>
      <c r="AK457" s="338"/>
      <c r="AL457" s="736">
        <v>35000</v>
      </c>
      <c r="AM457" s="338"/>
      <c r="AN457" s="711">
        <v>35000</v>
      </c>
      <c r="AO457" s="339"/>
    </row>
    <row r="458" spans="1:41">
      <c r="A458" s="757" t="s">
        <v>1733</v>
      </c>
      <c r="B458" s="716">
        <v>40000</v>
      </c>
      <c r="C458" s="325">
        <v>40000</v>
      </c>
      <c r="D458" s="325">
        <v>40000</v>
      </c>
      <c r="E458" s="594">
        <v>40000</v>
      </c>
      <c r="F458" s="324"/>
      <c r="G458" s="323">
        <v>40000</v>
      </c>
      <c r="H458" s="338"/>
      <c r="I458" s="592">
        <v>40000</v>
      </c>
      <c r="J458" s="322"/>
      <c r="K458" s="339"/>
      <c r="L458" s="339"/>
      <c r="M458" s="338"/>
      <c r="N458" s="324"/>
      <c r="O458" s="338"/>
      <c r="P458" s="338"/>
      <c r="Q458" s="339"/>
      <c r="R458" s="322"/>
      <c r="S458" s="339"/>
      <c r="T458" s="339"/>
      <c r="U458" s="338"/>
      <c r="V458" s="717">
        <v>40000</v>
      </c>
      <c r="W458" s="338"/>
      <c r="X458" s="323">
        <v>40000</v>
      </c>
      <c r="Y458" s="339"/>
      <c r="Z458" s="322"/>
      <c r="AA458" s="339"/>
      <c r="AB458" s="339"/>
      <c r="AC458" s="338"/>
      <c r="AD458" s="324"/>
      <c r="AE458" s="338"/>
      <c r="AF458" s="338"/>
      <c r="AG458" s="339"/>
      <c r="AH458" s="322"/>
      <c r="AI458" s="339"/>
      <c r="AJ458" s="339"/>
      <c r="AK458" s="338"/>
      <c r="AL458" s="324"/>
      <c r="AM458" s="338"/>
      <c r="AN458" s="338"/>
      <c r="AO458" s="339"/>
    </row>
    <row r="459" spans="1:41">
      <c r="A459" s="757" t="s">
        <v>1734</v>
      </c>
      <c r="B459" s="734">
        <v>2953309</v>
      </c>
      <c r="C459" s="325">
        <v>2953309</v>
      </c>
      <c r="D459" s="714">
        <v>2953309</v>
      </c>
      <c r="E459" s="594">
        <v>2953309</v>
      </c>
      <c r="F459" s="324"/>
      <c r="G459" s="338"/>
      <c r="H459" s="338"/>
      <c r="I459" s="339"/>
      <c r="J459" s="322"/>
      <c r="K459" s="339"/>
      <c r="L459" s="339"/>
      <c r="M459" s="338"/>
      <c r="N459" s="324"/>
      <c r="O459" s="338"/>
      <c r="P459" s="338"/>
      <c r="Q459" s="339"/>
      <c r="R459" s="322"/>
      <c r="S459" s="325">
        <v>2953309</v>
      </c>
      <c r="T459" s="339"/>
      <c r="U459" s="594">
        <v>2953309</v>
      </c>
      <c r="V459" s="324"/>
      <c r="W459" s="338"/>
      <c r="X459" s="338"/>
      <c r="Y459" s="339"/>
      <c r="Z459" s="322"/>
      <c r="AA459" s="339"/>
      <c r="AB459" s="339"/>
      <c r="AC459" s="338"/>
      <c r="AD459" s="324"/>
      <c r="AE459" s="338"/>
      <c r="AF459" s="338"/>
      <c r="AG459" s="339"/>
      <c r="AH459" s="322"/>
      <c r="AI459" s="339"/>
      <c r="AJ459" s="339"/>
      <c r="AK459" s="338"/>
      <c r="AL459" s="736">
        <v>2953309</v>
      </c>
      <c r="AM459" s="338"/>
      <c r="AN459" s="711">
        <v>2953309</v>
      </c>
      <c r="AO459" s="339"/>
    </row>
    <row r="460" spans="1:41">
      <c r="A460" s="757" t="s">
        <v>1735</v>
      </c>
      <c r="B460" s="716">
        <v>258659</v>
      </c>
      <c r="C460" s="325">
        <v>258659</v>
      </c>
      <c r="D460" s="325">
        <v>258659</v>
      </c>
      <c r="E460" s="594">
        <v>258659</v>
      </c>
      <c r="F460" s="324"/>
      <c r="G460" s="338"/>
      <c r="H460" s="338"/>
      <c r="I460" s="339"/>
      <c r="J460" s="322"/>
      <c r="K460" s="339"/>
      <c r="L460" s="339"/>
      <c r="M460" s="338"/>
      <c r="N460" s="324"/>
      <c r="O460" s="323">
        <v>258659</v>
      </c>
      <c r="P460" s="338"/>
      <c r="Q460" s="592">
        <v>258659</v>
      </c>
      <c r="R460" s="322"/>
      <c r="S460" s="339"/>
      <c r="T460" s="339"/>
      <c r="U460" s="338"/>
      <c r="V460" s="324"/>
      <c r="W460" s="338"/>
      <c r="X460" s="338"/>
      <c r="Y460" s="339"/>
      <c r="Z460" s="322"/>
      <c r="AA460" s="339"/>
      <c r="AB460" s="339"/>
      <c r="AC460" s="338"/>
      <c r="AD460" s="717">
        <v>258659</v>
      </c>
      <c r="AE460" s="338"/>
      <c r="AF460" s="323">
        <v>258659</v>
      </c>
      <c r="AG460" s="339"/>
      <c r="AH460" s="322"/>
      <c r="AI460" s="339"/>
      <c r="AJ460" s="339"/>
      <c r="AK460" s="338"/>
      <c r="AL460" s="324"/>
      <c r="AM460" s="338"/>
      <c r="AN460" s="338"/>
      <c r="AO460" s="339"/>
    </row>
    <row r="461" spans="1:41">
      <c r="A461" s="757" t="s">
        <v>1736</v>
      </c>
      <c r="B461" s="716">
        <v>9000</v>
      </c>
      <c r="C461" s="325">
        <v>9000</v>
      </c>
      <c r="D461" s="325">
        <v>9000</v>
      </c>
      <c r="E461" s="594">
        <v>9000</v>
      </c>
      <c r="F461" s="324"/>
      <c r="G461" s="338"/>
      <c r="H461" s="338"/>
      <c r="I461" s="339"/>
      <c r="J461" s="322"/>
      <c r="K461" s="325">
        <v>9000</v>
      </c>
      <c r="L461" s="339"/>
      <c r="M461" s="594">
        <v>9000</v>
      </c>
      <c r="N461" s="324"/>
      <c r="O461" s="338"/>
      <c r="P461" s="338"/>
      <c r="Q461" s="339"/>
      <c r="R461" s="322"/>
      <c r="S461" s="339"/>
      <c r="T461" s="339"/>
      <c r="U461" s="338"/>
      <c r="V461" s="324"/>
      <c r="W461" s="338"/>
      <c r="X461" s="338"/>
      <c r="Y461" s="339"/>
      <c r="Z461" s="716">
        <v>9000</v>
      </c>
      <c r="AA461" s="339"/>
      <c r="AB461" s="325">
        <v>9000</v>
      </c>
      <c r="AC461" s="338"/>
      <c r="AD461" s="324"/>
      <c r="AE461" s="338"/>
      <c r="AF461" s="338"/>
      <c r="AG461" s="339"/>
      <c r="AH461" s="322"/>
      <c r="AI461" s="339"/>
      <c r="AJ461" s="339"/>
      <c r="AK461" s="338"/>
      <c r="AL461" s="324"/>
      <c r="AM461" s="338"/>
      <c r="AN461" s="338"/>
      <c r="AO461" s="339"/>
    </row>
    <row r="462" spans="1:41">
      <c r="A462" s="757" t="s">
        <v>1737</v>
      </c>
      <c r="B462" s="322"/>
      <c r="C462" s="325">
        <v>100000</v>
      </c>
      <c r="D462" s="325">
        <v>100000</v>
      </c>
      <c r="E462" s="594">
        <v>100000</v>
      </c>
      <c r="F462" s="324"/>
      <c r="G462" s="338"/>
      <c r="H462" s="338"/>
      <c r="I462" s="339"/>
      <c r="J462" s="322"/>
      <c r="K462" s="339"/>
      <c r="L462" s="339"/>
      <c r="M462" s="338"/>
      <c r="N462" s="324"/>
      <c r="O462" s="323">
        <v>100000</v>
      </c>
      <c r="P462" s="338"/>
      <c r="Q462" s="592">
        <v>100000</v>
      </c>
      <c r="R462" s="322"/>
      <c r="S462" s="339"/>
      <c r="T462" s="339"/>
      <c r="U462" s="338"/>
      <c r="V462" s="324"/>
      <c r="W462" s="338"/>
      <c r="X462" s="338"/>
      <c r="Y462" s="339"/>
      <c r="Z462" s="322"/>
      <c r="AA462" s="339"/>
      <c r="AB462" s="339"/>
      <c r="AC462" s="338"/>
      <c r="AD462" s="324"/>
      <c r="AE462" s="323">
        <v>100000</v>
      </c>
      <c r="AF462" s="323">
        <v>100000</v>
      </c>
      <c r="AG462" s="339"/>
      <c r="AH462" s="322"/>
      <c r="AI462" s="339"/>
      <c r="AJ462" s="339"/>
      <c r="AK462" s="338"/>
      <c r="AL462" s="324"/>
      <c r="AM462" s="338"/>
      <c r="AN462" s="338"/>
      <c r="AO462" s="339"/>
    </row>
    <row r="463" spans="1:41">
      <c r="A463" s="757" t="s">
        <v>1738</v>
      </c>
      <c r="B463" s="322"/>
      <c r="C463" s="325">
        <v>33000</v>
      </c>
      <c r="D463" s="339"/>
      <c r="E463" s="594">
        <v>33000</v>
      </c>
      <c r="F463" s="324"/>
      <c r="G463" s="338"/>
      <c r="H463" s="338"/>
      <c r="I463" s="339"/>
      <c r="J463" s="322"/>
      <c r="K463" s="339"/>
      <c r="L463" s="339"/>
      <c r="M463" s="338"/>
      <c r="N463" s="324"/>
      <c r="O463" s="323">
        <v>33000</v>
      </c>
      <c r="P463" s="338"/>
      <c r="Q463" s="592">
        <v>33000</v>
      </c>
      <c r="R463" s="322"/>
      <c r="S463" s="339"/>
      <c r="T463" s="339"/>
      <c r="U463" s="338"/>
      <c r="V463" s="324"/>
      <c r="W463" s="338"/>
      <c r="X463" s="338"/>
      <c r="Y463" s="339"/>
      <c r="Z463" s="322"/>
      <c r="AA463" s="339"/>
      <c r="AB463" s="339"/>
      <c r="AC463" s="338"/>
      <c r="AD463" s="324"/>
      <c r="AE463" s="338"/>
      <c r="AF463" s="338"/>
      <c r="AG463" s="339"/>
      <c r="AH463" s="322"/>
      <c r="AI463" s="339"/>
      <c r="AJ463" s="339"/>
      <c r="AK463" s="338"/>
      <c r="AL463" s="324"/>
      <c r="AM463" s="338"/>
      <c r="AN463" s="338"/>
      <c r="AO463" s="339"/>
    </row>
    <row r="464" spans="1:41">
      <c r="A464" s="757" t="s">
        <v>1739</v>
      </c>
      <c r="B464" s="734">
        <v>2500000</v>
      </c>
      <c r="C464" s="325">
        <v>2500000</v>
      </c>
      <c r="D464" s="714">
        <v>2500000</v>
      </c>
      <c r="E464" s="594">
        <v>2500000</v>
      </c>
      <c r="F464" s="324"/>
      <c r="G464" s="338"/>
      <c r="H464" s="338"/>
      <c r="I464" s="339"/>
      <c r="J464" s="322"/>
      <c r="K464" s="339"/>
      <c r="L464" s="339"/>
      <c r="M464" s="338"/>
      <c r="N464" s="324"/>
      <c r="O464" s="338"/>
      <c r="P464" s="338"/>
      <c r="Q464" s="339"/>
      <c r="R464" s="322"/>
      <c r="S464" s="325">
        <v>2500000</v>
      </c>
      <c r="T464" s="339"/>
      <c r="U464" s="594">
        <v>2500000</v>
      </c>
      <c r="V464" s="324"/>
      <c r="W464" s="338"/>
      <c r="X464" s="338"/>
      <c r="Y464" s="339"/>
      <c r="Z464" s="322"/>
      <c r="AA464" s="339"/>
      <c r="AB464" s="339"/>
      <c r="AC464" s="338"/>
      <c r="AD464" s="324"/>
      <c r="AE464" s="338"/>
      <c r="AF464" s="338"/>
      <c r="AG464" s="339"/>
      <c r="AH464" s="322"/>
      <c r="AI464" s="339"/>
      <c r="AJ464" s="339"/>
      <c r="AK464" s="338"/>
      <c r="AL464" s="736">
        <v>2500000</v>
      </c>
      <c r="AM464" s="338"/>
      <c r="AN464" s="711">
        <v>2500000</v>
      </c>
      <c r="AO464" s="339"/>
    </row>
    <row r="465" spans="1:41">
      <c r="A465" s="756" t="s">
        <v>1740</v>
      </c>
      <c r="B465" s="734">
        <v>5800</v>
      </c>
      <c r="C465" s="325">
        <v>5800</v>
      </c>
      <c r="D465" s="714">
        <v>5800</v>
      </c>
      <c r="E465" s="594">
        <v>5800</v>
      </c>
      <c r="F465" s="324"/>
      <c r="G465" s="338"/>
      <c r="H465" s="338"/>
      <c r="I465" s="339"/>
      <c r="J465" s="322"/>
      <c r="K465" s="339"/>
      <c r="L465" s="339"/>
      <c r="M465" s="338"/>
      <c r="N465" s="324"/>
      <c r="O465" s="338"/>
      <c r="P465" s="338"/>
      <c r="Q465" s="339"/>
      <c r="R465" s="322"/>
      <c r="S465" s="325">
        <v>5800</v>
      </c>
      <c r="T465" s="339"/>
      <c r="U465" s="594">
        <v>5800</v>
      </c>
      <c r="V465" s="324"/>
      <c r="W465" s="338"/>
      <c r="X465" s="338"/>
      <c r="Y465" s="339"/>
      <c r="Z465" s="322"/>
      <c r="AA465" s="339"/>
      <c r="AB465" s="339"/>
      <c r="AC465" s="338"/>
      <c r="AD465" s="324"/>
      <c r="AE465" s="338"/>
      <c r="AF465" s="338"/>
      <c r="AG465" s="339"/>
      <c r="AH465" s="322"/>
      <c r="AI465" s="339"/>
      <c r="AJ465" s="339"/>
      <c r="AK465" s="338"/>
      <c r="AL465" s="736">
        <v>5800</v>
      </c>
      <c r="AM465" s="338"/>
      <c r="AN465" s="711">
        <v>5800</v>
      </c>
      <c r="AO465" s="339"/>
    </row>
    <row r="466" spans="1:41">
      <c r="A466" s="757" t="s">
        <v>917</v>
      </c>
      <c r="B466" s="716">
        <v>600000</v>
      </c>
      <c r="C466" s="339"/>
      <c r="D466" s="339"/>
      <c r="E466" s="594">
        <v>600000</v>
      </c>
      <c r="F466" s="324"/>
      <c r="G466" s="338"/>
      <c r="H466" s="338"/>
      <c r="I466" s="339"/>
      <c r="J466" s="322"/>
      <c r="K466" s="339"/>
      <c r="L466" s="339"/>
      <c r="M466" s="338"/>
      <c r="N466" s="717">
        <v>600000</v>
      </c>
      <c r="O466" s="338"/>
      <c r="P466" s="338"/>
      <c r="Q466" s="592">
        <v>600000</v>
      </c>
      <c r="R466" s="322"/>
      <c r="S466" s="339"/>
      <c r="T466" s="339"/>
      <c r="U466" s="338"/>
      <c r="V466" s="324"/>
      <c r="W466" s="338"/>
      <c r="X466" s="338"/>
      <c r="Y466" s="339"/>
      <c r="Z466" s="322"/>
      <c r="AA466" s="339"/>
      <c r="AB466" s="339"/>
      <c r="AC466" s="338"/>
      <c r="AD466" s="324"/>
      <c r="AE466" s="338"/>
      <c r="AF466" s="338"/>
      <c r="AG466" s="339"/>
      <c r="AH466" s="322"/>
      <c r="AI466" s="339"/>
      <c r="AJ466" s="339"/>
      <c r="AK466" s="338"/>
      <c r="AL466" s="324"/>
      <c r="AM466" s="338"/>
      <c r="AN466" s="338"/>
      <c r="AO466" s="339"/>
    </row>
    <row r="467" spans="1:41">
      <c r="A467" s="756" t="s">
        <v>1741</v>
      </c>
      <c r="B467" s="322"/>
      <c r="C467" s="325">
        <v>500</v>
      </c>
      <c r="D467" s="339"/>
      <c r="E467" s="594">
        <v>500</v>
      </c>
      <c r="F467" s="324"/>
      <c r="G467" s="338"/>
      <c r="H467" s="338"/>
      <c r="I467" s="339"/>
      <c r="J467" s="322"/>
      <c r="K467" s="339"/>
      <c r="L467" s="339"/>
      <c r="M467" s="338"/>
      <c r="N467" s="324"/>
      <c r="O467" s="323">
        <v>500</v>
      </c>
      <c r="P467" s="338"/>
      <c r="Q467" s="592">
        <v>500</v>
      </c>
      <c r="R467" s="322"/>
      <c r="S467" s="339"/>
      <c r="T467" s="339"/>
      <c r="U467" s="338"/>
      <c r="V467" s="324"/>
      <c r="W467" s="338"/>
      <c r="X467" s="338"/>
      <c r="Y467" s="339"/>
      <c r="Z467" s="322"/>
      <c r="AA467" s="339"/>
      <c r="AB467" s="339"/>
      <c r="AC467" s="338"/>
      <c r="AD467" s="324"/>
      <c r="AE467" s="338"/>
      <c r="AF467" s="338"/>
      <c r="AG467" s="339"/>
      <c r="AH467" s="322"/>
      <c r="AI467" s="339"/>
      <c r="AJ467" s="339"/>
      <c r="AK467" s="338"/>
      <c r="AL467" s="324"/>
      <c r="AM467" s="338"/>
      <c r="AN467" s="338"/>
      <c r="AO467" s="339"/>
    </row>
    <row r="468" spans="1:41">
      <c r="A468" s="756" t="s">
        <v>1742</v>
      </c>
      <c r="B468" s="716">
        <v>50000</v>
      </c>
      <c r="C468" s="325">
        <v>50000</v>
      </c>
      <c r="D468" s="325">
        <v>50000</v>
      </c>
      <c r="E468" s="594">
        <v>50000</v>
      </c>
      <c r="F468" s="324"/>
      <c r="G468" s="338"/>
      <c r="H468" s="338"/>
      <c r="I468" s="339"/>
      <c r="J468" s="322"/>
      <c r="K468" s="339"/>
      <c r="L468" s="339"/>
      <c r="M468" s="338"/>
      <c r="N468" s="324"/>
      <c r="O468" s="323">
        <v>50000</v>
      </c>
      <c r="P468" s="338"/>
      <c r="Q468" s="592">
        <v>50000</v>
      </c>
      <c r="R468" s="322"/>
      <c r="S468" s="339"/>
      <c r="T468" s="339"/>
      <c r="U468" s="338"/>
      <c r="V468" s="324"/>
      <c r="W468" s="338"/>
      <c r="X468" s="338"/>
      <c r="Y468" s="339"/>
      <c r="Z468" s="322"/>
      <c r="AA468" s="339"/>
      <c r="AB468" s="339"/>
      <c r="AC468" s="338"/>
      <c r="AD468" s="717">
        <v>50000</v>
      </c>
      <c r="AE468" s="338"/>
      <c r="AF468" s="323">
        <v>50000</v>
      </c>
      <c r="AG468" s="339"/>
      <c r="AH468" s="322"/>
      <c r="AI468" s="339"/>
      <c r="AJ468" s="339"/>
      <c r="AK468" s="338"/>
      <c r="AL468" s="324"/>
      <c r="AM468" s="338"/>
      <c r="AN468" s="338"/>
      <c r="AO468" s="339"/>
    </row>
    <row r="469" spans="1:41">
      <c r="A469" s="756" t="s">
        <v>1743</v>
      </c>
      <c r="B469" s="734">
        <v>200000</v>
      </c>
      <c r="C469" s="325">
        <v>200000</v>
      </c>
      <c r="D469" s="714">
        <v>200000</v>
      </c>
      <c r="E469" s="594">
        <v>200000</v>
      </c>
      <c r="F469" s="324"/>
      <c r="G469" s="338"/>
      <c r="H469" s="338"/>
      <c r="I469" s="339"/>
      <c r="J469" s="322"/>
      <c r="K469" s="339"/>
      <c r="L469" s="339"/>
      <c r="M469" s="338"/>
      <c r="N469" s="324"/>
      <c r="O469" s="338"/>
      <c r="P469" s="338"/>
      <c r="Q469" s="339"/>
      <c r="R469" s="322"/>
      <c r="S469" s="325">
        <v>200000</v>
      </c>
      <c r="T469" s="339"/>
      <c r="U469" s="594">
        <v>200000</v>
      </c>
      <c r="V469" s="324"/>
      <c r="W469" s="338"/>
      <c r="X469" s="338"/>
      <c r="Y469" s="339"/>
      <c r="Z469" s="322"/>
      <c r="AA469" s="339"/>
      <c r="AB469" s="339"/>
      <c r="AC469" s="338"/>
      <c r="AD469" s="324"/>
      <c r="AE469" s="338"/>
      <c r="AF469" s="338"/>
      <c r="AG469" s="339"/>
      <c r="AH469" s="322"/>
      <c r="AI469" s="339"/>
      <c r="AJ469" s="339"/>
      <c r="AK469" s="338"/>
      <c r="AL469" s="736">
        <v>200000</v>
      </c>
      <c r="AM469" s="338"/>
      <c r="AN469" s="711">
        <v>200000</v>
      </c>
      <c r="AO469" s="339"/>
    </row>
    <row r="470" spans="1:41">
      <c r="A470" s="757" t="s">
        <v>1744</v>
      </c>
      <c r="B470" s="322"/>
      <c r="C470" s="325">
        <v>93046</v>
      </c>
      <c r="D470" s="339"/>
      <c r="E470" s="594">
        <v>93046</v>
      </c>
      <c r="F470" s="324"/>
      <c r="G470" s="338"/>
      <c r="H470" s="338"/>
      <c r="I470" s="339"/>
      <c r="J470" s="322"/>
      <c r="K470" s="339"/>
      <c r="L470" s="339"/>
      <c r="M470" s="338"/>
      <c r="N470" s="324"/>
      <c r="O470" s="323">
        <v>93046</v>
      </c>
      <c r="P470" s="338"/>
      <c r="Q470" s="592">
        <v>93046</v>
      </c>
      <c r="R470" s="322"/>
      <c r="S470" s="339"/>
      <c r="T470" s="339"/>
      <c r="U470" s="338"/>
      <c r="V470" s="324"/>
      <c r="W470" s="338"/>
      <c r="X470" s="338"/>
      <c r="Y470" s="339"/>
      <c r="Z470" s="322"/>
      <c r="AA470" s="339"/>
      <c r="AB470" s="339"/>
      <c r="AC470" s="338"/>
      <c r="AD470" s="324"/>
      <c r="AE470" s="338"/>
      <c r="AF470" s="338"/>
      <c r="AG470" s="339"/>
      <c r="AH470" s="322"/>
      <c r="AI470" s="339"/>
      <c r="AJ470" s="339"/>
      <c r="AK470" s="338"/>
      <c r="AL470" s="324"/>
      <c r="AM470" s="338"/>
      <c r="AN470" s="338"/>
      <c r="AO470" s="339"/>
    </row>
    <row r="471" spans="1:41">
      <c r="A471" s="757" t="s">
        <v>1745</v>
      </c>
      <c r="B471" s="322"/>
      <c r="C471" s="325">
        <v>249211</v>
      </c>
      <c r="D471" s="339"/>
      <c r="E471" s="594">
        <v>249211</v>
      </c>
      <c r="F471" s="324"/>
      <c r="G471" s="338"/>
      <c r="H471" s="338"/>
      <c r="I471" s="339"/>
      <c r="J471" s="322"/>
      <c r="K471" s="339"/>
      <c r="L471" s="339"/>
      <c r="M471" s="338"/>
      <c r="N471" s="324"/>
      <c r="O471" s="323">
        <v>249211</v>
      </c>
      <c r="P471" s="338"/>
      <c r="Q471" s="592">
        <v>249211</v>
      </c>
      <c r="R471" s="322"/>
      <c r="S471" s="339"/>
      <c r="T471" s="339"/>
      <c r="U471" s="338"/>
      <c r="V471" s="324"/>
      <c r="W471" s="338"/>
      <c r="X471" s="338"/>
      <c r="Y471" s="339"/>
      <c r="Z471" s="322"/>
      <c r="AA471" s="339"/>
      <c r="AB471" s="339"/>
      <c r="AC471" s="338"/>
      <c r="AD471" s="324"/>
      <c r="AE471" s="338"/>
      <c r="AF471" s="338"/>
      <c r="AG471" s="339"/>
      <c r="AH471" s="322"/>
      <c r="AI471" s="339"/>
      <c r="AJ471" s="339"/>
      <c r="AK471" s="338"/>
      <c r="AL471" s="324"/>
      <c r="AM471" s="338"/>
      <c r="AN471" s="338"/>
      <c r="AO471" s="339"/>
    </row>
    <row r="472" spans="1:41">
      <c r="A472" s="757" t="s">
        <v>1746</v>
      </c>
      <c r="B472" s="734">
        <v>1356191.69</v>
      </c>
      <c r="C472" s="714">
        <v>1002579.31</v>
      </c>
      <c r="D472" s="325">
        <v>2457347.89</v>
      </c>
      <c r="E472" s="589">
        <v>98576.89</v>
      </c>
      <c r="F472" s="324"/>
      <c r="G472" s="338"/>
      <c r="H472" s="338"/>
      <c r="I472" s="339"/>
      <c r="J472" s="322"/>
      <c r="K472" s="339"/>
      <c r="L472" s="339"/>
      <c r="M472" s="338"/>
      <c r="N472" s="324"/>
      <c r="O472" s="338"/>
      <c r="P472" s="338"/>
      <c r="Q472" s="339"/>
      <c r="R472" s="322"/>
      <c r="S472" s="339"/>
      <c r="T472" s="325">
        <v>98576.89</v>
      </c>
      <c r="U472" s="589">
        <v>98576.89</v>
      </c>
      <c r="V472" s="324"/>
      <c r="W472" s="338"/>
      <c r="X472" s="338"/>
      <c r="Y472" s="339"/>
      <c r="Z472" s="322"/>
      <c r="AA472" s="339"/>
      <c r="AB472" s="339"/>
      <c r="AC472" s="338"/>
      <c r="AD472" s="324"/>
      <c r="AE472" s="338"/>
      <c r="AF472" s="338"/>
      <c r="AG472" s="339"/>
      <c r="AH472" s="322"/>
      <c r="AI472" s="339"/>
      <c r="AJ472" s="339"/>
      <c r="AK472" s="338"/>
      <c r="AL472" s="736">
        <v>1356191.69</v>
      </c>
      <c r="AM472" s="711">
        <v>1002579.31</v>
      </c>
      <c r="AN472" s="711">
        <v>2358771</v>
      </c>
      <c r="AO472" s="339"/>
    </row>
    <row r="473" spans="1:41">
      <c r="A473" s="757" t="s">
        <v>1747</v>
      </c>
      <c r="B473" s="716">
        <v>236220</v>
      </c>
      <c r="C473" s="325">
        <v>236220</v>
      </c>
      <c r="D473" s="325">
        <v>236220</v>
      </c>
      <c r="E473" s="594">
        <v>236220</v>
      </c>
      <c r="F473" s="324"/>
      <c r="G473" s="338"/>
      <c r="H473" s="338"/>
      <c r="I473" s="339"/>
      <c r="J473" s="322"/>
      <c r="K473" s="339"/>
      <c r="L473" s="339"/>
      <c r="M473" s="338"/>
      <c r="N473" s="324"/>
      <c r="O473" s="323">
        <v>236220</v>
      </c>
      <c r="P473" s="338"/>
      <c r="Q473" s="592">
        <v>236220</v>
      </c>
      <c r="R473" s="322"/>
      <c r="S473" s="339"/>
      <c r="T473" s="339"/>
      <c r="U473" s="338"/>
      <c r="V473" s="324"/>
      <c r="W473" s="338"/>
      <c r="X473" s="338"/>
      <c r="Y473" s="339"/>
      <c r="Z473" s="322"/>
      <c r="AA473" s="339"/>
      <c r="AB473" s="339"/>
      <c r="AC473" s="338"/>
      <c r="AD473" s="717">
        <v>236220</v>
      </c>
      <c r="AE473" s="338"/>
      <c r="AF473" s="323">
        <v>236220</v>
      </c>
      <c r="AG473" s="339"/>
      <c r="AH473" s="322"/>
      <c r="AI473" s="339"/>
      <c r="AJ473" s="339"/>
      <c r="AK473" s="338"/>
      <c r="AL473" s="324"/>
      <c r="AM473" s="338"/>
      <c r="AN473" s="338"/>
      <c r="AO473" s="339"/>
    </row>
    <row r="474" spans="1:41">
      <c r="A474" s="757" t="s">
        <v>1748</v>
      </c>
      <c r="B474" s="734">
        <v>2030349</v>
      </c>
      <c r="C474" s="325">
        <v>2030349</v>
      </c>
      <c r="D474" s="714">
        <v>2030349</v>
      </c>
      <c r="E474" s="594">
        <v>2030349</v>
      </c>
      <c r="F474" s="324"/>
      <c r="G474" s="338"/>
      <c r="H474" s="338"/>
      <c r="I474" s="339"/>
      <c r="J474" s="322"/>
      <c r="K474" s="339"/>
      <c r="L474" s="339"/>
      <c r="M474" s="338"/>
      <c r="N474" s="324"/>
      <c r="O474" s="338"/>
      <c r="P474" s="338"/>
      <c r="Q474" s="339"/>
      <c r="R474" s="322"/>
      <c r="S474" s="325">
        <v>2030349</v>
      </c>
      <c r="T474" s="339"/>
      <c r="U474" s="594">
        <v>2030349</v>
      </c>
      <c r="V474" s="324"/>
      <c r="W474" s="338"/>
      <c r="X474" s="338"/>
      <c r="Y474" s="339"/>
      <c r="Z474" s="322"/>
      <c r="AA474" s="339"/>
      <c r="AB474" s="339"/>
      <c r="AC474" s="338"/>
      <c r="AD474" s="324"/>
      <c r="AE474" s="338"/>
      <c r="AF474" s="338"/>
      <c r="AG474" s="339"/>
      <c r="AH474" s="322"/>
      <c r="AI474" s="339"/>
      <c r="AJ474" s="339"/>
      <c r="AK474" s="338"/>
      <c r="AL474" s="736">
        <v>2030349</v>
      </c>
      <c r="AM474" s="338"/>
      <c r="AN474" s="711">
        <v>2030349</v>
      </c>
      <c r="AO474" s="339"/>
    </row>
    <row r="475" spans="1:41">
      <c r="A475" s="316" t="s">
        <v>358</v>
      </c>
      <c r="B475" s="955">
        <v>10000</v>
      </c>
      <c r="C475" s="591">
        <v>3368642.96</v>
      </c>
      <c r="D475" s="591">
        <v>530000</v>
      </c>
      <c r="E475" s="773">
        <v>2848642.96</v>
      </c>
      <c r="F475" s="943"/>
      <c r="G475" s="708"/>
      <c r="H475" s="708"/>
      <c r="I475" s="708"/>
      <c r="J475" s="944"/>
      <c r="K475" s="595"/>
      <c r="L475" s="595"/>
      <c r="M475" s="595"/>
      <c r="N475" s="946">
        <v>10000</v>
      </c>
      <c r="O475" s="703">
        <v>3368642.96</v>
      </c>
      <c r="P475" s="703">
        <v>530000</v>
      </c>
      <c r="Q475" s="767">
        <v>2848642.96</v>
      </c>
      <c r="R475" s="944"/>
      <c r="S475" s="591">
        <v>662793</v>
      </c>
      <c r="T475" s="591">
        <v>27900</v>
      </c>
      <c r="U475" s="773">
        <v>634893</v>
      </c>
      <c r="V475" s="943"/>
      <c r="W475" s="703">
        <v>40508</v>
      </c>
      <c r="X475" s="703">
        <v>40508</v>
      </c>
      <c r="Y475" s="708"/>
      <c r="Z475" s="944"/>
      <c r="AA475" s="595"/>
      <c r="AB475" s="595"/>
      <c r="AC475" s="595"/>
      <c r="AD475" s="946">
        <v>3544776.39</v>
      </c>
      <c r="AE475" s="703">
        <v>276804</v>
      </c>
      <c r="AF475" s="703">
        <v>3821580.39</v>
      </c>
      <c r="AG475" s="708"/>
      <c r="AH475" s="944"/>
      <c r="AI475" s="595"/>
      <c r="AJ475" s="595"/>
      <c r="AK475" s="595"/>
      <c r="AL475" s="966">
        <v>649920</v>
      </c>
      <c r="AM475" s="702">
        <v>138873</v>
      </c>
      <c r="AN475" s="702">
        <v>788793</v>
      </c>
      <c r="AO475" s="708"/>
    </row>
    <row r="476" spans="1:41">
      <c r="A476" s="772" t="s">
        <v>1749</v>
      </c>
      <c r="B476" s="948">
        <v>375257</v>
      </c>
      <c r="C476" s="691">
        <v>500</v>
      </c>
      <c r="D476" s="691">
        <v>375757</v>
      </c>
      <c r="E476" s="690"/>
      <c r="F476" s="940"/>
      <c r="G476" s="611"/>
      <c r="H476" s="611"/>
      <c r="I476" s="611"/>
      <c r="J476" s="939"/>
      <c r="K476" s="690"/>
      <c r="L476" s="690"/>
      <c r="M476" s="690"/>
      <c r="N476" s="940"/>
      <c r="O476" s="611"/>
      <c r="P476" s="611"/>
      <c r="Q476" s="611"/>
      <c r="R476" s="939"/>
      <c r="S476" s="690"/>
      <c r="T476" s="690"/>
      <c r="U476" s="690"/>
      <c r="V476" s="940"/>
      <c r="W476" s="611"/>
      <c r="X476" s="611"/>
      <c r="Y476" s="611"/>
      <c r="Z476" s="939"/>
      <c r="AA476" s="690"/>
      <c r="AB476" s="690"/>
      <c r="AC476" s="690"/>
      <c r="AD476" s="947">
        <v>375257</v>
      </c>
      <c r="AE476" s="587">
        <v>500</v>
      </c>
      <c r="AF476" s="587">
        <v>375757</v>
      </c>
      <c r="AG476" s="611"/>
      <c r="AH476" s="939"/>
      <c r="AI476" s="690"/>
      <c r="AJ476" s="690"/>
      <c r="AK476" s="690"/>
      <c r="AL476" s="940"/>
      <c r="AM476" s="611"/>
      <c r="AN476" s="611"/>
      <c r="AO476" s="611"/>
    </row>
    <row r="477" spans="1:41">
      <c r="A477" s="757" t="s">
        <v>1741</v>
      </c>
      <c r="B477" s="317"/>
      <c r="C477" s="320">
        <v>500</v>
      </c>
      <c r="D477" s="320">
        <v>500</v>
      </c>
      <c r="E477" s="331"/>
      <c r="F477" s="319"/>
      <c r="G477" s="331"/>
      <c r="H477" s="331"/>
      <c r="I477" s="330"/>
      <c r="J477" s="317"/>
      <c r="K477" s="330"/>
      <c r="L477" s="330"/>
      <c r="M477" s="331"/>
      <c r="N477" s="319"/>
      <c r="O477" s="331"/>
      <c r="P477" s="331"/>
      <c r="Q477" s="330"/>
      <c r="R477" s="317"/>
      <c r="S477" s="330"/>
      <c r="T477" s="330"/>
      <c r="U477" s="331"/>
      <c r="V477" s="319"/>
      <c r="W477" s="331"/>
      <c r="X477" s="331"/>
      <c r="Y477" s="330"/>
      <c r="Z477" s="317"/>
      <c r="AA477" s="330"/>
      <c r="AB477" s="330"/>
      <c r="AC477" s="331"/>
      <c r="AD477" s="319"/>
      <c r="AE477" s="318">
        <v>500</v>
      </c>
      <c r="AF477" s="318">
        <v>500</v>
      </c>
      <c r="AG477" s="330"/>
      <c r="AH477" s="317"/>
      <c r="AI477" s="330"/>
      <c r="AJ477" s="330"/>
      <c r="AK477" s="331"/>
      <c r="AL477" s="319"/>
      <c r="AM477" s="331"/>
      <c r="AN477" s="331"/>
      <c r="AO477" s="330"/>
    </row>
    <row r="478" spans="1:41">
      <c r="A478" s="764" t="s">
        <v>1750</v>
      </c>
      <c r="B478" s="717">
        <v>33000</v>
      </c>
      <c r="C478" s="338"/>
      <c r="D478" s="323">
        <v>33000</v>
      </c>
      <c r="E478" s="339"/>
      <c r="F478" s="322"/>
      <c r="G478" s="339"/>
      <c r="H478" s="339"/>
      <c r="I478" s="338"/>
      <c r="J478" s="324"/>
      <c r="K478" s="338"/>
      <c r="L478" s="338"/>
      <c r="M478" s="339"/>
      <c r="N478" s="322"/>
      <c r="O478" s="339"/>
      <c r="P478" s="339"/>
      <c r="Q478" s="338"/>
      <c r="R478" s="324"/>
      <c r="S478" s="338"/>
      <c r="T478" s="338"/>
      <c r="U478" s="339"/>
      <c r="V478" s="322"/>
      <c r="W478" s="339"/>
      <c r="X478" s="339"/>
      <c r="Y478" s="338"/>
      <c r="Z478" s="324"/>
      <c r="AA478" s="338"/>
      <c r="AB478" s="338"/>
      <c r="AC478" s="339"/>
      <c r="AD478" s="716">
        <v>33000</v>
      </c>
      <c r="AE478" s="339"/>
      <c r="AF478" s="325">
        <v>33000</v>
      </c>
      <c r="AG478" s="338"/>
      <c r="AH478" s="324"/>
      <c r="AI478" s="338"/>
      <c r="AJ478" s="338"/>
      <c r="AK478" s="339"/>
      <c r="AL478" s="322"/>
      <c r="AM478" s="339"/>
      <c r="AN478" s="339"/>
      <c r="AO478" s="338"/>
    </row>
    <row r="479" spans="1:41">
      <c r="A479" s="764" t="s">
        <v>1744</v>
      </c>
      <c r="B479" s="717">
        <v>93046</v>
      </c>
      <c r="C479" s="338"/>
      <c r="D479" s="323">
        <v>93046</v>
      </c>
      <c r="E479" s="339"/>
      <c r="F479" s="322"/>
      <c r="G479" s="339"/>
      <c r="H479" s="339"/>
      <c r="I479" s="338"/>
      <c r="J479" s="324"/>
      <c r="K479" s="338"/>
      <c r="L479" s="338"/>
      <c r="M479" s="339"/>
      <c r="N479" s="322"/>
      <c r="O479" s="339"/>
      <c r="P479" s="339"/>
      <c r="Q479" s="338"/>
      <c r="R479" s="324"/>
      <c r="S479" s="338"/>
      <c r="T479" s="338"/>
      <c r="U479" s="339"/>
      <c r="V479" s="322"/>
      <c r="W479" s="339"/>
      <c r="X479" s="339"/>
      <c r="Y479" s="338"/>
      <c r="Z479" s="324"/>
      <c r="AA479" s="338"/>
      <c r="AB479" s="338"/>
      <c r="AC479" s="339"/>
      <c r="AD479" s="716">
        <v>93046</v>
      </c>
      <c r="AE479" s="339"/>
      <c r="AF479" s="325">
        <v>93046</v>
      </c>
      <c r="AG479" s="338"/>
      <c r="AH479" s="324"/>
      <c r="AI479" s="338"/>
      <c r="AJ479" s="338"/>
      <c r="AK479" s="339"/>
      <c r="AL479" s="322"/>
      <c r="AM479" s="339"/>
      <c r="AN479" s="339"/>
      <c r="AO479" s="338"/>
    </row>
    <row r="480" spans="1:41">
      <c r="A480" s="765" t="s">
        <v>1745</v>
      </c>
      <c r="B480" s="717">
        <v>249211</v>
      </c>
      <c r="C480" s="338"/>
      <c r="D480" s="323">
        <v>249211</v>
      </c>
      <c r="E480" s="339"/>
      <c r="F480" s="322"/>
      <c r="G480" s="339"/>
      <c r="H480" s="339"/>
      <c r="I480" s="338"/>
      <c r="J480" s="324"/>
      <c r="K480" s="338"/>
      <c r="L480" s="338"/>
      <c r="M480" s="339"/>
      <c r="N480" s="322"/>
      <c r="O480" s="339"/>
      <c r="P480" s="339"/>
      <c r="Q480" s="338"/>
      <c r="R480" s="324"/>
      <c r="S480" s="338"/>
      <c r="T480" s="338"/>
      <c r="U480" s="339"/>
      <c r="V480" s="322"/>
      <c r="W480" s="339"/>
      <c r="X480" s="339"/>
      <c r="Y480" s="338"/>
      <c r="Z480" s="324"/>
      <c r="AA480" s="338"/>
      <c r="AB480" s="338"/>
      <c r="AC480" s="339"/>
      <c r="AD480" s="716">
        <v>249211</v>
      </c>
      <c r="AE480" s="339"/>
      <c r="AF480" s="325">
        <v>249211</v>
      </c>
      <c r="AG480" s="338"/>
      <c r="AH480" s="324"/>
      <c r="AI480" s="338"/>
      <c r="AJ480" s="338"/>
      <c r="AK480" s="339"/>
      <c r="AL480" s="322"/>
      <c r="AM480" s="339"/>
      <c r="AN480" s="339"/>
      <c r="AO480" s="338"/>
    </row>
    <row r="481" spans="1:41">
      <c r="A481" s="772" t="s">
        <v>918</v>
      </c>
      <c r="B481" s="946">
        <v>2190428.62</v>
      </c>
      <c r="C481" s="703">
        <v>3936</v>
      </c>
      <c r="D481" s="703">
        <v>2194364.62</v>
      </c>
      <c r="E481" s="708"/>
      <c r="F481" s="944"/>
      <c r="G481" s="595"/>
      <c r="H481" s="595"/>
      <c r="I481" s="595"/>
      <c r="J481" s="943"/>
      <c r="K481" s="708"/>
      <c r="L481" s="708"/>
      <c r="M481" s="708"/>
      <c r="N481" s="944"/>
      <c r="O481" s="595"/>
      <c r="P481" s="595"/>
      <c r="Q481" s="595"/>
      <c r="R481" s="943"/>
      <c r="S481" s="708"/>
      <c r="T481" s="708"/>
      <c r="U481" s="708"/>
      <c r="V481" s="944"/>
      <c r="W481" s="595"/>
      <c r="X481" s="595"/>
      <c r="Y481" s="595"/>
      <c r="Z481" s="943"/>
      <c r="AA481" s="708"/>
      <c r="AB481" s="708"/>
      <c r="AC481" s="708"/>
      <c r="AD481" s="955">
        <v>2190428.62</v>
      </c>
      <c r="AE481" s="591">
        <v>3936</v>
      </c>
      <c r="AF481" s="591">
        <v>2194364.62</v>
      </c>
      <c r="AG481" s="595"/>
      <c r="AH481" s="943"/>
      <c r="AI481" s="708"/>
      <c r="AJ481" s="708"/>
      <c r="AK481" s="708"/>
      <c r="AL481" s="944"/>
      <c r="AM481" s="595"/>
      <c r="AN481" s="595"/>
      <c r="AO481" s="595"/>
    </row>
    <row r="482" spans="1:41">
      <c r="A482" s="764" t="s">
        <v>1751</v>
      </c>
      <c r="B482" s="728">
        <v>423330</v>
      </c>
      <c r="C482" s="330"/>
      <c r="D482" s="320">
        <v>423330</v>
      </c>
      <c r="E482" s="331"/>
      <c r="F482" s="319"/>
      <c r="G482" s="331"/>
      <c r="H482" s="331"/>
      <c r="I482" s="330"/>
      <c r="J482" s="317"/>
      <c r="K482" s="330"/>
      <c r="L482" s="330"/>
      <c r="M482" s="331"/>
      <c r="N482" s="319"/>
      <c r="O482" s="331"/>
      <c r="P482" s="331"/>
      <c r="Q482" s="330"/>
      <c r="R482" s="317"/>
      <c r="S482" s="330"/>
      <c r="T482" s="330"/>
      <c r="U482" s="331"/>
      <c r="V482" s="319"/>
      <c r="W482" s="331"/>
      <c r="X482" s="331"/>
      <c r="Y482" s="330"/>
      <c r="Z482" s="317"/>
      <c r="AA482" s="330"/>
      <c r="AB482" s="330"/>
      <c r="AC482" s="331"/>
      <c r="AD482" s="738">
        <v>423330</v>
      </c>
      <c r="AE482" s="331"/>
      <c r="AF482" s="318">
        <v>423330</v>
      </c>
      <c r="AG482" s="330"/>
      <c r="AH482" s="317"/>
      <c r="AI482" s="330"/>
      <c r="AJ482" s="330"/>
      <c r="AK482" s="331"/>
      <c r="AL482" s="319"/>
      <c r="AM482" s="331"/>
      <c r="AN482" s="331"/>
      <c r="AO482" s="330"/>
    </row>
    <row r="483" spans="1:41">
      <c r="A483" s="764" t="s">
        <v>1752</v>
      </c>
      <c r="B483" s="717">
        <v>4950</v>
      </c>
      <c r="C483" s="338"/>
      <c r="D483" s="323">
        <v>4950</v>
      </c>
      <c r="E483" s="339"/>
      <c r="F483" s="322"/>
      <c r="G483" s="339"/>
      <c r="H483" s="339"/>
      <c r="I483" s="338"/>
      <c r="J483" s="324"/>
      <c r="K483" s="338"/>
      <c r="L483" s="338"/>
      <c r="M483" s="339"/>
      <c r="N483" s="322"/>
      <c r="O483" s="339"/>
      <c r="P483" s="339"/>
      <c r="Q483" s="338"/>
      <c r="R483" s="324"/>
      <c r="S483" s="338"/>
      <c r="T483" s="338"/>
      <c r="U483" s="339"/>
      <c r="V483" s="322"/>
      <c r="W483" s="339"/>
      <c r="X483" s="339"/>
      <c r="Y483" s="338"/>
      <c r="Z483" s="324"/>
      <c r="AA483" s="338"/>
      <c r="AB483" s="338"/>
      <c r="AC483" s="339"/>
      <c r="AD483" s="716">
        <v>4950</v>
      </c>
      <c r="AE483" s="339"/>
      <c r="AF483" s="325">
        <v>4950</v>
      </c>
      <c r="AG483" s="338"/>
      <c r="AH483" s="324"/>
      <c r="AI483" s="338"/>
      <c r="AJ483" s="338"/>
      <c r="AK483" s="339"/>
      <c r="AL483" s="322"/>
      <c r="AM483" s="339"/>
      <c r="AN483" s="339"/>
      <c r="AO483" s="338"/>
    </row>
    <row r="484" spans="1:41">
      <c r="A484" s="764" t="s">
        <v>1753</v>
      </c>
      <c r="B484" s="717">
        <v>23010.62</v>
      </c>
      <c r="C484" s="338"/>
      <c r="D484" s="323">
        <v>23010.62</v>
      </c>
      <c r="E484" s="339"/>
      <c r="F484" s="322"/>
      <c r="G484" s="339"/>
      <c r="H484" s="339"/>
      <c r="I484" s="338"/>
      <c r="J484" s="324"/>
      <c r="K484" s="338"/>
      <c r="L484" s="338"/>
      <c r="M484" s="339"/>
      <c r="N484" s="322"/>
      <c r="O484" s="339"/>
      <c r="P484" s="339"/>
      <c r="Q484" s="338"/>
      <c r="R484" s="324"/>
      <c r="S484" s="338"/>
      <c r="T484" s="338"/>
      <c r="U484" s="339"/>
      <c r="V484" s="322"/>
      <c r="W484" s="339"/>
      <c r="X484" s="339"/>
      <c r="Y484" s="338"/>
      <c r="Z484" s="324"/>
      <c r="AA484" s="338"/>
      <c r="AB484" s="338"/>
      <c r="AC484" s="339"/>
      <c r="AD484" s="716">
        <v>23010.62</v>
      </c>
      <c r="AE484" s="339"/>
      <c r="AF484" s="325">
        <v>23010.62</v>
      </c>
      <c r="AG484" s="338"/>
      <c r="AH484" s="324"/>
      <c r="AI484" s="338"/>
      <c r="AJ484" s="338"/>
      <c r="AK484" s="339"/>
      <c r="AL484" s="322"/>
      <c r="AM484" s="339"/>
      <c r="AN484" s="339"/>
      <c r="AO484" s="338"/>
    </row>
    <row r="485" spans="1:41">
      <c r="A485" s="764" t="s">
        <v>1754</v>
      </c>
      <c r="B485" s="717">
        <v>189219</v>
      </c>
      <c r="C485" s="323">
        <v>3936</v>
      </c>
      <c r="D485" s="323">
        <v>193155</v>
      </c>
      <c r="E485" s="339"/>
      <c r="F485" s="322"/>
      <c r="G485" s="339"/>
      <c r="H485" s="339"/>
      <c r="I485" s="338"/>
      <c r="J485" s="324"/>
      <c r="K485" s="338"/>
      <c r="L485" s="338"/>
      <c r="M485" s="339"/>
      <c r="N485" s="322"/>
      <c r="O485" s="339"/>
      <c r="P485" s="339"/>
      <c r="Q485" s="338"/>
      <c r="R485" s="324"/>
      <c r="S485" s="338"/>
      <c r="T485" s="338"/>
      <c r="U485" s="339"/>
      <c r="V485" s="322"/>
      <c r="W485" s="339"/>
      <c r="X485" s="339"/>
      <c r="Y485" s="338"/>
      <c r="Z485" s="324"/>
      <c r="AA485" s="338"/>
      <c r="AB485" s="338"/>
      <c r="AC485" s="339"/>
      <c r="AD485" s="716">
        <v>189219</v>
      </c>
      <c r="AE485" s="325">
        <v>3936</v>
      </c>
      <c r="AF485" s="325">
        <v>193155</v>
      </c>
      <c r="AG485" s="338"/>
      <c r="AH485" s="324"/>
      <c r="AI485" s="338"/>
      <c r="AJ485" s="338"/>
      <c r="AK485" s="339"/>
      <c r="AL485" s="322"/>
      <c r="AM485" s="339"/>
      <c r="AN485" s="339"/>
      <c r="AO485" s="338"/>
    </row>
    <row r="486" spans="1:41">
      <c r="A486" s="765" t="s">
        <v>1755</v>
      </c>
      <c r="B486" s="717">
        <v>45911</v>
      </c>
      <c r="C486" s="338"/>
      <c r="D486" s="323">
        <v>45911</v>
      </c>
      <c r="E486" s="339"/>
      <c r="F486" s="322"/>
      <c r="G486" s="339"/>
      <c r="H486" s="339"/>
      <c r="I486" s="338"/>
      <c r="J486" s="324"/>
      <c r="K486" s="338"/>
      <c r="L486" s="338"/>
      <c r="M486" s="339"/>
      <c r="N486" s="322"/>
      <c r="O486" s="339"/>
      <c r="P486" s="339"/>
      <c r="Q486" s="338"/>
      <c r="R486" s="324"/>
      <c r="S486" s="338"/>
      <c r="T486" s="338"/>
      <c r="U486" s="339"/>
      <c r="V486" s="322"/>
      <c r="W486" s="339"/>
      <c r="X486" s="339"/>
      <c r="Y486" s="338"/>
      <c r="Z486" s="324"/>
      <c r="AA486" s="338"/>
      <c r="AB486" s="338"/>
      <c r="AC486" s="339"/>
      <c r="AD486" s="716">
        <v>45911</v>
      </c>
      <c r="AE486" s="339"/>
      <c r="AF486" s="325">
        <v>45911</v>
      </c>
      <c r="AG486" s="338"/>
      <c r="AH486" s="324"/>
      <c r="AI486" s="338"/>
      <c r="AJ486" s="338"/>
      <c r="AK486" s="339"/>
      <c r="AL486" s="322"/>
      <c r="AM486" s="339"/>
      <c r="AN486" s="339"/>
      <c r="AO486" s="338"/>
    </row>
    <row r="487" spans="1:41">
      <c r="A487" s="764" t="s">
        <v>1756</v>
      </c>
      <c r="B487" s="717">
        <v>5028</v>
      </c>
      <c r="C487" s="338"/>
      <c r="D487" s="323">
        <v>5028</v>
      </c>
      <c r="E487" s="339"/>
      <c r="F487" s="322"/>
      <c r="G487" s="339"/>
      <c r="H487" s="339"/>
      <c r="I487" s="338"/>
      <c r="J487" s="324"/>
      <c r="K487" s="338"/>
      <c r="L487" s="338"/>
      <c r="M487" s="339"/>
      <c r="N487" s="322"/>
      <c r="O487" s="339"/>
      <c r="P487" s="339"/>
      <c r="Q487" s="338"/>
      <c r="R487" s="324"/>
      <c r="S487" s="338"/>
      <c r="T487" s="338"/>
      <c r="U487" s="339"/>
      <c r="V487" s="322"/>
      <c r="W487" s="339"/>
      <c r="X487" s="339"/>
      <c r="Y487" s="338"/>
      <c r="Z487" s="324"/>
      <c r="AA487" s="338"/>
      <c r="AB487" s="338"/>
      <c r="AC487" s="339"/>
      <c r="AD487" s="716">
        <v>5028</v>
      </c>
      <c r="AE487" s="339"/>
      <c r="AF487" s="325">
        <v>5028</v>
      </c>
      <c r="AG487" s="338"/>
      <c r="AH487" s="324"/>
      <c r="AI487" s="338"/>
      <c r="AJ487" s="338"/>
      <c r="AK487" s="339"/>
      <c r="AL487" s="322"/>
      <c r="AM487" s="339"/>
      <c r="AN487" s="339"/>
      <c r="AO487" s="338"/>
    </row>
    <row r="488" spans="1:41">
      <c r="A488" s="764" t="s">
        <v>911</v>
      </c>
      <c r="B488" s="717">
        <v>1498980</v>
      </c>
      <c r="C488" s="338"/>
      <c r="D488" s="323">
        <v>1498980</v>
      </c>
      <c r="E488" s="339"/>
      <c r="F488" s="322"/>
      <c r="G488" s="339"/>
      <c r="H488" s="339"/>
      <c r="I488" s="338"/>
      <c r="J488" s="324"/>
      <c r="K488" s="338"/>
      <c r="L488" s="338"/>
      <c r="M488" s="339"/>
      <c r="N488" s="322"/>
      <c r="O488" s="339"/>
      <c r="P488" s="339"/>
      <c r="Q488" s="338"/>
      <c r="R488" s="324"/>
      <c r="S488" s="338"/>
      <c r="T488" s="338"/>
      <c r="U488" s="339"/>
      <c r="V488" s="322"/>
      <c r="W488" s="339"/>
      <c r="X488" s="339"/>
      <c r="Y488" s="338"/>
      <c r="Z488" s="324"/>
      <c r="AA488" s="338"/>
      <c r="AB488" s="338"/>
      <c r="AC488" s="339"/>
      <c r="AD488" s="716">
        <v>1498980</v>
      </c>
      <c r="AE488" s="339"/>
      <c r="AF488" s="325">
        <v>1498980</v>
      </c>
      <c r="AG488" s="338"/>
      <c r="AH488" s="324"/>
      <c r="AI488" s="338"/>
      <c r="AJ488" s="338"/>
      <c r="AK488" s="339"/>
      <c r="AL488" s="322"/>
      <c r="AM488" s="339"/>
      <c r="AN488" s="339"/>
      <c r="AO488" s="338"/>
    </row>
    <row r="489" spans="1:41">
      <c r="A489" s="761" t="s">
        <v>1757</v>
      </c>
      <c r="B489" s="943"/>
      <c r="C489" s="703">
        <v>2194364.62</v>
      </c>
      <c r="D489" s="708"/>
      <c r="E489" s="767">
        <v>2194364.62</v>
      </c>
      <c r="F489" s="944"/>
      <c r="G489" s="595"/>
      <c r="H489" s="595"/>
      <c r="I489" s="595"/>
      <c r="J489" s="943"/>
      <c r="K489" s="708"/>
      <c r="L489" s="708"/>
      <c r="M489" s="708"/>
      <c r="N489" s="944"/>
      <c r="O489" s="591">
        <v>2194364.62</v>
      </c>
      <c r="P489" s="595"/>
      <c r="Q489" s="773">
        <v>2194364.62</v>
      </c>
      <c r="R489" s="943"/>
      <c r="S489" s="708"/>
      <c r="T489" s="708"/>
      <c r="U489" s="708"/>
      <c r="V489" s="944"/>
      <c r="W489" s="595"/>
      <c r="X489" s="595"/>
      <c r="Y489" s="595"/>
      <c r="Z489" s="943"/>
      <c r="AA489" s="708"/>
      <c r="AB489" s="708"/>
      <c r="AC489" s="708"/>
      <c r="AD489" s="944"/>
      <c r="AE489" s="595"/>
      <c r="AF489" s="595"/>
      <c r="AG489" s="595"/>
      <c r="AH489" s="943"/>
      <c r="AI489" s="708"/>
      <c r="AJ489" s="708"/>
      <c r="AK489" s="708"/>
      <c r="AL489" s="944"/>
      <c r="AM489" s="595"/>
      <c r="AN489" s="595"/>
      <c r="AO489" s="595"/>
    </row>
    <row r="490" spans="1:41">
      <c r="A490" s="764" t="s">
        <v>1758</v>
      </c>
      <c r="B490" s="317"/>
      <c r="C490" s="320">
        <v>423330</v>
      </c>
      <c r="D490" s="330"/>
      <c r="E490" s="729">
        <v>423330</v>
      </c>
      <c r="F490" s="319"/>
      <c r="G490" s="331"/>
      <c r="H490" s="331"/>
      <c r="I490" s="330"/>
      <c r="J490" s="317"/>
      <c r="K490" s="330"/>
      <c r="L490" s="330"/>
      <c r="M490" s="331"/>
      <c r="N490" s="319"/>
      <c r="O490" s="318">
        <v>423330</v>
      </c>
      <c r="P490" s="331"/>
      <c r="Q490" s="739">
        <v>423330</v>
      </c>
      <c r="R490" s="317"/>
      <c r="S490" s="330"/>
      <c r="T490" s="330"/>
      <c r="U490" s="331"/>
      <c r="V490" s="319"/>
      <c r="W490" s="331"/>
      <c r="X490" s="331"/>
      <c r="Y490" s="330"/>
      <c r="Z490" s="317"/>
      <c r="AA490" s="330"/>
      <c r="AB490" s="330"/>
      <c r="AC490" s="331"/>
      <c r="AD490" s="319"/>
      <c r="AE490" s="331"/>
      <c r="AF490" s="331"/>
      <c r="AG490" s="330"/>
      <c r="AH490" s="317"/>
      <c r="AI490" s="330"/>
      <c r="AJ490" s="330"/>
      <c r="AK490" s="331"/>
      <c r="AL490" s="319"/>
      <c r="AM490" s="331"/>
      <c r="AN490" s="331"/>
      <c r="AO490" s="330"/>
    </row>
    <row r="491" spans="1:41">
      <c r="A491" s="764" t="s">
        <v>1752</v>
      </c>
      <c r="B491" s="324"/>
      <c r="C491" s="323">
        <v>4950</v>
      </c>
      <c r="D491" s="338"/>
      <c r="E491" s="592">
        <v>4950</v>
      </c>
      <c r="F491" s="322"/>
      <c r="G491" s="339"/>
      <c r="H491" s="339"/>
      <c r="I491" s="338"/>
      <c r="J491" s="324"/>
      <c r="K491" s="338"/>
      <c r="L491" s="338"/>
      <c r="M491" s="339"/>
      <c r="N491" s="322"/>
      <c r="O491" s="325">
        <v>4950</v>
      </c>
      <c r="P491" s="339"/>
      <c r="Q491" s="594">
        <v>4950</v>
      </c>
      <c r="R491" s="324"/>
      <c r="S491" s="338"/>
      <c r="T491" s="338"/>
      <c r="U491" s="339"/>
      <c r="V491" s="322"/>
      <c r="W491" s="339"/>
      <c r="X491" s="339"/>
      <c r="Y491" s="338"/>
      <c r="Z491" s="324"/>
      <c r="AA491" s="338"/>
      <c r="AB491" s="338"/>
      <c r="AC491" s="339"/>
      <c r="AD491" s="322"/>
      <c r="AE491" s="339"/>
      <c r="AF491" s="339"/>
      <c r="AG491" s="338"/>
      <c r="AH491" s="324"/>
      <c r="AI491" s="338"/>
      <c r="AJ491" s="338"/>
      <c r="AK491" s="339"/>
      <c r="AL491" s="322"/>
      <c r="AM491" s="339"/>
      <c r="AN491" s="339"/>
      <c r="AO491" s="338"/>
    </row>
    <row r="492" spans="1:41">
      <c r="A492" s="764" t="s">
        <v>1753</v>
      </c>
      <c r="B492" s="324"/>
      <c r="C492" s="323">
        <v>23010.62</v>
      </c>
      <c r="D492" s="338"/>
      <c r="E492" s="592">
        <v>23010.62</v>
      </c>
      <c r="F492" s="322"/>
      <c r="G492" s="339"/>
      <c r="H492" s="339"/>
      <c r="I492" s="338"/>
      <c r="J492" s="324"/>
      <c r="K492" s="338"/>
      <c r="L492" s="338"/>
      <c r="M492" s="339"/>
      <c r="N492" s="322"/>
      <c r="O492" s="325">
        <v>23010.62</v>
      </c>
      <c r="P492" s="339"/>
      <c r="Q492" s="594">
        <v>23010.62</v>
      </c>
      <c r="R492" s="324"/>
      <c r="S492" s="338"/>
      <c r="T492" s="338"/>
      <c r="U492" s="339"/>
      <c r="V492" s="322"/>
      <c r="W492" s="339"/>
      <c r="X492" s="339"/>
      <c r="Y492" s="338"/>
      <c r="Z492" s="324"/>
      <c r="AA492" s="338"/>
      <c r="AB492" s="338"/>
      <c r="AC492" s="339"/>
      <c r="AD492" s="322"/>
      <c r="AE492" s="339"/>
      <c r="AF492" s="339"/>
      <c r="AG492" s="338"/>
      <c r="AH492" s="324"/>
      <c r="AI492" s="338"/>
      <c r="AJ492" s="338"/>
      <c r="AK492" s="339"/>
      <c r="AL492" s="322"/>
      <c r="AM492" s="339"/>
      <c r="AN492" s="339"/>
      <c r="AO492" s="338"/>
    </row>
    <row r="493" spans="1:41">
      <c r="A493" s="764" t="s">
        <v>1754</v>
      </c>
      <c r="B493" s="324"/>
      <c r="C493" s="323">
        <v>193155</v>
      </c>
      <c r="D493" s="338"/>
      <c r="E493" s="592">
        <v>193155</v>
      </c>
      <c r="F493" s="322"/>
      <c r="G493" s="339"/>
      <c r="H493" s="339"/>
      <c r="I493" s="338"/>
      <c r="J493" s="324"/>
      <c r="K493" s="338"/>
      <c r="L493" s="338"/>
      <c r="M493" s="339"/>
      <c r="N493" s="322"/>
      <c r="O493" s="325">
        <v>193155</v>
      </c>
      <c r="P493" s="339"/>
      <c r="Q493" s="594">
        <v>193155</v>
      </c>
      <c r="R493" s="324"/>
      <c r="S493" s="338"/>
      <c r="T493" s="338"/>
      <c r="U493" s="339"/>
      <c r="V493" s="322"/>
      <c r="W493" s="339"/>
      <c r="X493" s="339"/>
      <c r="Y493" s="338"/>
      <c r="Z493" s="324"/>
      <c r="AA493" s="338"/>
      <c r="AB493" s="338"/>
      <c r="AC493" s="339"/>
      <c r="AD493" s="322"/>
      <c r="AE493" s="339"/>
      <c r="AF493" s="339"/>
      <c r="AG493" s="338"/>
      <c r="AH493" s="324"/>
      <c r="AI493" s="338"/>
      <c r="AJ493" s="338"/>
      <c r="AK493" s="339"/>
      <c r="AL493" s="322"/>
      <c r="AM493" s="339"/>
      <c r="AN493" s="339"/>
      <c r="AO493" s="338"/>
    </row>
    <row r="494" spans="1:41">
      <c r="A494" s="765" t="s">
        <v>1755</v>
      </c>
      <c r="B494" s="324"/>
      <c r="C494" s="323">
        <v>45911</v>
      </c>
      <c r="D494" s="338"/>
      <c r="E494" s="592">
        <v>45911</v>
      </c>
      <c r="F494" s="322"/>
      <c r="G494" s="339"/>
      <c r="H494" s="339"/>
      <c r="I494" s="338"/>
      <c r="J494" s="324"/>
      <c r="K494" s="338"/>
      <c r="L494" s="338"/>
      <c r="M494" s="339"/>
      <c r="N494" s="322"/>
      <c r="O494" s="325">
        <v>45911</v>
      </c>
      <c r="P494" s="339"/>
      <c r="Q494" s="594">
        <v>45911</v>
      </c>
      <c r="R494" s="324"/>
      <c r="S494" s="338"/>
      <c r="T494" s="338"/>
      <c r="U494" s="339"/>
      <c r="V494" s="322"/>
      <c r="W494" s="339"/>
      <c r="X494" s="339"/>
      <c r="Y494" s="338"/>
      <c r="Z494" s="324"/>
      <c r="AA494" s="338"/>
      <c r="AB494" s="338"/>
      <c r="AC494" s="339"/>
      <c r="AD494" s="322"/>
      <c r="AE494" s="339"/>
      <c r="AF494" s="339"/>
      <c r="AG494" s="338"/>
      <c r="AH494" s="324"/>
      <c r="AI494" s="338"/>
      <c r="AJ494" s="338"/>
      <c r="AK494" s="339"/>
      <c r="AL494" s="322"/>
      <c r="AM494" s="339"/>
      <c r="AN494" s="339"/>
      <c r="AO494" s="338"/>
    </row>
    <row r="495" spans="1:41">
      <c r="A495" s="764" t="s">
        <v>1756</v>
      </c>
      <c r="B495" s="324"/>
      <c r="C495" s="323">
        <v>5028</v>
      </c>
      <c r="D495" s="338"/>
      <c r="E495" s="592">
        <v>5028</v>
      </c>
      <c r="F495" s="322"/>
      <c r="G495" s="339"/>
      <c r="H495" s="339"/>
      <c r="I495" s="338"/>
      <c r="J495" s="324"/>
      <c r="K495" s="338"/>
      <c r="L495" s="338"/>
      <c r="M495" s="339"/>
      <c r="N495" s="322"/>
      <c r="O495" s="325">
        <v>5028</v>
      </c>
      <c r="P495" s="339"/>
      <c r="Q495" s="594">
        <v>5028</v>
      </c>
      <c r="R495" s="324"/>
      <c r="S495" s="338"/>
      <c r="T495" s="338"/>
      <c r="U495" s="339"/>
      <c r="V495" s="322"/>
      <c r="W495" s="339"/>
      <c r="X495" s="339"/>
      <c r="Y495" s="338"/>
      <c r="Z495" s="324"/>
      <c r="AA495" s="338"/>
      <c r="AB495" s="338"/>
      <c r="AC495" s="339"/>
      <c r="AD495" s="322"/>
      <c r="AE495" s="339"/>
      <c r="AF495" s="339"/>
      <c r="AG495" s="338"/>
      <c r="AH495" s="324"/>
      <c r="AI495" s="338"/>
      <c r="AJ495" s="338"/>
      <c r="AK495" s="339"/>
      <c r="AL495" s="322"/>
      <c r="AM495" s="339"/>
      <c r="AN495" s="339"/>
      <c r="AO495" s="338"/>
    </row>
    <row r="496" spans="1:41">
      <c r="A496" s="764" t="s">
        <v>1759</v>
      </c>
      <c r="B496" s="324"/>
      <c r="C496" s="323">
        <v>1498980</v>
      </c>
      <c r="D496" s="338"/>
      <c r="E496" s="592">
        <v>1498980</v>
      </c>
      <c r="F496" s="322"/>
      <c r="G496" s="339"/>
      <c r="H496" s="339"/>
      <c r="I496" s="338"/>
      <c r="J496" s="324"/>
      <c r="K496" s="338"/>
      <c r="L496" s="338"/>
      <c r="M496" s="339"/>
      <c r="N496" s="322"/>
      <c r="O496" s="325">
        <v>1498980</v>
      </c>
      <c r="P496" s="339"/>
      <c r="Q496" s="594">
        <v>1498980</v>
      </c>
      <c r="R496" s="324"/>
      <c r="S496" s="338"/>
      <c r="T496" s="338"/>
      <c r="U496" s="339"/>
      <c r="V496" s="322"/>
      <c r="W496" s="339"/>
      <c r="X496" s="339"/>
      <c r="Y496" s="338"/>
      <c r="Z496" s="324"/>
      <c r="AA496" s="338"/>
      <c r="AB496" s="338"/>
      <c r="AC496" s="339"/>
      <c r="AD496" s="322"/>
      <c r="AE496" s="339"/>
      <c r="AF496" s="339"/>
      <c r="AG496" s="338"/>
      <c r="AH496" s="324"/>
      <c r="AI496" s="338"/>
      <c r="AJ496" s="338"/>
      <c r="AK496" s="339"/>
      <c r="AL496" s="322"/>
      <c r="AM496" s="339"/>
      <c r="AN496" s="339"/>
      <c r="AO496" s="338"/>
    </row>
    <row r="497" spans="1:41">
      <c r="A497" s="772" t="s">
        <v>921</v>
      </c>
      <c r="B497" s="946">
        <v>10000</v>
      </c>
      <c r="C497" s="703">
        <v>334500</v>
      </c>
      <c r="D497" s="703">
        <v>30000</v>
      </c>
      <c r="E497" s="767">
        <v>314500</v>
      </c>
      <c r="F497" s="944"/>
      <c r="G497" s="595"/>
      <c r="H497" s="595"/>
      <c r="I497" s="595"/>
      <c r="J497" s="943"/>
      <c r="K497" s="708"/>
      <c r="L497" s="708"/>
      <c r="M497" s="708"/>
      <c r="N497" s="955">
        <v>10000</v>
      </c>
      <c r="O497" s="591">
        <v>334500</v>
      </c>
      <c r="P497" s="591">
        <v>30000</v>
      </c>
      <c r="Q497" s="773">
        <v>314500</v>
      </c>
      <c r="R497" s="943"/>
      <c r="S497" s="703">
        <v>102900</v>
      </c>
      <c r="T497" s="703">
        <v>27900</v>
      </c>
      <c r="U497" s="767">
        <v>75000</v>
      </c>
      <c r="V497" s="944"/>
      <c r="W497" s="595"/>
      <c r="X497" s="595"/>
      <c r="Y497" s="595"/>
      <c r="Z497" s="943"/>
      <c r="AA497" s="708"/>
      <c r="AB497" s="708"/>
      <c r="AC497" s="708"/>
      <c r="AD497" s="944"/>
      <c r="AE497" s="595"/>
      <c r="AF497" s="595"/>
      <c r="AG497" s="595"/>
      <c r="AH497" s="943"/>
      <c r="AI497" s="708"/>
      <c r="AJ497" s="708"/>
      <c r="AK497" s="708"/>
      <c r="AL497" s="958">
        <v>123900</v>
      </c>
      <c r="AM497" s="706">
        <v>105000</v>
      </c>
      <c r="AN497" s="706">
        <v>228900</v>
      </c>
      <c r="AO497" s="595"/>
    </row>
    <row r="498" spans="1:41">
      <c r="A498" s="764" t="s">
        <v>1760</v>
      </c>
      <c r="B498" s="317"/>
      <c r="C498" s="320">
        <v>35000</v>
      </c>
      <c r="D498" s="330"/>
      <c r="E498" s="729">
        <v>35000</v>
      </c>
      <c r="F498" s="319"/>
      <c r="G498" s="331"/>
      <c r="H498" s="331"/>
      <c r="I498" s="330"/>
      <c r="J498" s="317"/>
      <c r="K498" s="330"/>
      <c r="L498" s="330"/>
      <c r="M498" s="331"/>
      <c r="N498" s="319"/>
      <c r="O498" s="318">
        <v>35000</v>
      </c>
      <c r="P498" s="331"/>
      <c r="Q498" s="739">
        <v>35000</v>
      </c>
      <c r="R498" s="317"/>
      <c r="S498" s="330"/>
      <c r="T498" s="330"/>
      <c r="U498" s="331"/>
      <c r="V498" s="319"/>
      <c r="W498" s="331"/>
      <c r="X498" s="331"/>
      <c r="Y498" s="330"/>
      <c r="Z498" s="317"/>
      <c r="AA498" s="330"/>
      <c r="AB498" s="330"/>
      <c r="AC498" s="331"/>
      <c r="AD498" s="319"/>
      <c r="AE498" s="331"/>
      <c r="AF498" s="331"/>
      <c r="AG498" s="330"/>
      <c r="AH498" s="317"/>
      <c r="AI498" s="330"/>
      <c r="AJ498" s="330"/>
      <c r="AK498" s="331"/>
      <c r="AL498" s="319"/>
      <c r="AM498" s="331"/>
      <c r="AN498" s="331"/>
      <c r="AO498" s="330"/>
    </row>
    <row r="499" spans="1:41">
      <c r="A499" s="764" t="s">
        <v>1761</v>
      </c>
      <c r="B499" s="324"/>
      <c r="C499" s="323">
        <v>70000</v>
      </c>
      <c r="D499" s="323">
        <v>5000</v>
      </c>
      <c r="E499" s="592">
        <v>65000</v>
      </c>
      <c r="F499" s="322"/>
      <c r="G499" s="339"/>
      <c r="H499" s="339"/>
      <c r="I499" s="338"/>
      <c r="J499" s="324"/>
      <c r="K499" s="338"/>
      <c r="L499" s="338"/>
      <c r="M499" s="339"/>
      <c r="N499" s="322"/>
      <c r="O499" s="325">
        <v>70000</v>
      </c>
      <c r="P499" s="325">
        <v>5000</v>
      </c>
      <c r="Q499" s="594">
        <v>65000</v>
      </c>
      <c r="R499" s="324"/>
      <c r="S499" s="338"/>
      <c r="T499" s="338"/>
      <c r="U499" s="339"/>
      <c r="V499" s="322"/>
      <c r="W499" s="339"/>
      <c r="X499" s="339"/>
      <c r="Y499" s="338"/>
      <c r="Z499" s="324"/>
      <c r="AA499" s="338"/>
      <c r="AB499" s="338"/>
      <c r="AC499" s="339"/>
      <c r="AD499" s="322"/>
      <c r="AE499" s="339"/>
      <c r="AF499" s="339"/>
      <c r="AG499" s="338"/>
      <c r="AH499" s="324"/>
      <c r="AI499" s="338"/>
      <c r="AJ499" s="338"/>
      <c r="AK499" s="339"/>
      <c r="AL499" s="322"/>
      <c r="AM499" s="339"/>
      <c r="AN499" s="339"/>
      <c r="AO499" s="338"/>
    </row>
    <row r="500" spans="1:41">
      <c r="A500" s="764" t="s">
        <v>1762</v>
      </c>
      <c r="B500" s="324"/>
      <c r="C500" s="323">
        <v>6000</v>
      </c>
      <c r="D500" s="323">
        <v>2000</v>
      </c>
      <c r="E500" s="592">
        <v>4000</v>
      </c>
      <c r="F500" s="322"/>
      <c r="G500" s="339"/>
      <c r="H500" s="339"/>
      <c r="I500" s="338"/>
      <c r="J500" s="324"/>
      <c r="K500" s="338"/>
      <c r="L500" s="338"/>
      <c r="M500" s="339"/>
      <c r="N500" s="322"/>
      <c r="O500" s="325">
        <v>6000</v>
      </c>
      <c r="P500" s="325">
        <v>2000</v>
      </c>
      <c r="Q500" s="594">
        <v>4000</v>
      </c>
      <c r="R500" s="324"/>
      <c r="S500" s="338"/>
      <c r="T500" s="338"/>
      <c r="U500" s="339"/>
      <c r="V500" s="322"/>
      <c r="W500" s="339"/>
      <c r="X500" s="339"/>
      <c r="Y500" s="338"/>
      <c r="Z500" s="324"/>
      <c r="AA500" s="338"/>
      <c r="AB500" s="338"/>
      <c r="AC500" s="339"/>
      <c r="AD500" s="322"/>
      <c r="AE500" s="339"/>
      <c r="AF500" s="339"/>
      <c r="AG500" s="338"/>
      <c r="AH500" s="324"/>
      <c r="AI500" s="338"/>
      <c r="AJ500" s="338"/>
      <c r="AK500" s="339"/>
      <c r="AL500" s="322"/>
      <c r="AM500" s="339"/>
      <c r="AN500" s="339"/>
      <c r="AO500" s="338"/>
    </row>
    <row r="501" spans="1:41">
      <c r="A501" s="764" t="s">
        <v>1763</v>
      </c>
      <c r="B501" s="324"/>
      <c r="C501" s="323">
        <v>30000</v>
      </c>
      <c r="D501" s="323">
        <v>12000</v>
      </c>
      <c r="E501" s="592">
        <v>18000</v>
      </c>
      <c r="F501" s="322"/>
      <c r="G501" s="339"/>
      <c r="H501" s="339"/>
      <c r="I501" s="338"/>
      <c r="J501" s="324"/>
      <c r="K501" s="338"/>
      <c r="L501" s="338"/>
      <c r="M501" s="339"/>
      <c r="N501" s="322"/>
      <c r="O501" s="325">
        <v>30000</v>
      </c>
      <c r="P501" s="325">
        <v>12000</v>
      </c>
      <c r="Q501" s="594">
        <v>18000</v>
      </c>
      <c r="R501" s="324"/>
      <c r="S501" s="338"/>
      <c r="T501" s="338"/>
      <c r="U501" s="339"/>
      <c r="V501" s="322"/>
      <c r="W501" s="339"/>
      <c r="X501" s="339"/>
      <c r="Y501" s="338"/>
      <c r="Z501" s="324"/>
      <c r="AA501" s="338"/>
      <c r="AB501" s="338"/>
      <c r="AC501" s="339"/>
      <c r="AD501" s="322"/>
      <c r="AE501" s="339"/>
      <c r="AF501" s="339"/>
      <c r="AG501" s="338"/>
      <c r="AH501" s="324"/>
      <c r="AI501" s="338"/>
      <c r="AJ501" s="338"/>
      <c r="AK501" s="339"/>
      <c r="AL501" s="322"/>
      <c r="AM501" s="339"/>
      <c r="AN501" s="339"/>
      <c r="AO501" s="338"/>
    </row>
    <row r="502" spans="1:41">
      <c r="A502" s="764" t="s">
        <v>1128</v>
      </c>
      <c r="B502" s="717">
        <v>10000</v>
      </c>
      <c r="C502" s="338"/>
      <c r="D502" s="323">
        <v>6000</v>
      </c>
      <c r="E502" s="592">
        <v>4000</v>
      </c>
      <c r="F502" s="322"/>
      <c r="G502" s="339"/>
      <c r="H502" s="339"/>
      <c r="I502" s="338"/>
      <c r="J502" s="324"/>
      <c r="K502" s="338"/>
      <c r="L502" s="338"/>
      <c r="M502" s="339"/>
      <c r="N502" s="716">
        <v>10000</v>
      </c>
      <c r="O502" s="339"/>
      <c r="P502" s="325">
        <v>6000</v>
      </c>
      <c r="Q502" s="594">
        <v>4000</v>
      </c>
      <c r="R502" s="324"/>
      <c r="S502" s="338"/>
      <c r="T502" s="338"/>
      <c r="U502" s="339"/>
      <c r="V502" s="322"/>
      <c r="W502" s="339"/>
      <c r="X502" s="339"/>
      <c r="Y502" s="338"/>
      <c r="Z502" s="324"/>
      <c r="AA502" s="338"/>
      <c r="AB502" s="338"/>
      <c r="AC502" s="339"/>
      <c r="AD502" s="322"/>
      <c r="AE502" s="339"/>
      <c r="AF502" s="339"/>
      <c r="AG502" s="338"/>
      <c r="AH502" s="324"/>
      <c r="AI502" s="338"/>
      <c r="AJ502" s="338"/>
      <c r="AK502" s="339"/>
      <c r="AL502" s="322"/>
      <c r="AM502" s="339"/>
      <c r="AN502" s="339"/>
      <c r="AO502" s="338"/>
    </row>
    <row r="503" spans="1:41">
      <c r="A503" s="764" t="s">
        <v>1764</v>
      </c>
      <c r="B503" s="324"/>
      <c r="C503" s="323">
        <v>193500</v>
      </c>
      <c r="D503" s="323">
        <v>5000</v>
      </c>
      <c r="E503" s="592">
        <v>188500</v>
      </c>
      <c r="F503" s="322"/>
      <c r="G503" s="339"/>
      <c r="H503" s="339"/>
      <c r="I503" s="338"/>
      <c r="J503" s="324"/>
      <c r="K503" s="338"/>
      <c r="L503" s="338"/>
      <c r="M503" s="339"/>
      <c r="N503" s="322"/>
      <c r="O503" s="325">
        <v>193500</v>
      </c>
      <c r="P503" s="325">
        <v>5000</v>
      </c>
      <c r="Q503" s="594">
        <v>188500</v>
      </c>
      <c r="R503" s="324"/>
      <c r="S503" s="338"/>
      <c r="T503" s="338"/>
      <c r="U503" s="339"/>
      <c r="V503" s="322"/>
      <c r="W503" s="339"/>
      <c r="X503" s="339"/>
      <c r="Y503" s="338"/>
      <c r="Z503" s="324"/>
      <c r="AA503" s="338"/>
      <c r="AB503" s="338"/>
      <c r="AC503" s="339"/>
      <c r="AD503" s="322"/>
      <c r="AE503" s="339"/>
      <c r="AF503" s="339"/>
      <c r="AG503" s="338"/>
      <c r="AH503" s="324"/>
      <c r="AI503" s="338"/>
      <c r="AJ503" s="338"/>
      <c r="AK503" s="339"/>
      <c r="AL503" s="322"/>
      <c r="AM503" s="339"/>
      <c r="AN503" s="339"/>
      <c r="AO503" s="338"/>
    </row>
    <row r="504" spans="1:41">
      <c r="A504" s="764" t="s">
        <v>1765</v>
      </c>
      <c r="B504" s="736">
        <v>4000</v>
      </c>
      <c r="C504" s="338"/>
      <c r="D504" s="711">
        <v>4000</v>
      </c>
      <c r="E504" s="339"/>
      <c r="F504" s="322"/>
      <c r="G504" s="339"/>
      <c r="H504" s="339"/>
      <c r="I504" s="338"/>
      <c r="J504" s="324"/>
      <c r="K504" s="338"/>
      <c r="L504" s="338"/>
      <c r="M504" s="339"/>
      <c r="N504" s="322"/>
      <c r="O504" s="339"/>
      <c r="P504" s="339"/>
      <c r="Q504" s="338"/>
      <c r="R504" s="324"/>
      <c r="S504" s="338"/>
      <c r="T504" s="338"/>
      <c r="U504" s="339"/>
      <c r="V504" s="322"/>
      <c r="W504" s="339"/>
      <c r="X504" s="339"/>
      <c r="Y504" s="338"/>
      <c r="Z504" s="324"/>
      <c r="AA504" s="338"/>
      <c r="AB504" s="338"/>
      <c r="AC504" s="339"/>
      <c r="AD504" s="322"/>
      <c r="AE504" s="339"/>
      <c r="AF504" s="339"/>
      <c r="AG504" s="338"/>
      <c r="AH504" s="324"/>
      <c r="AI504" s="338"/>
      <c r="AJ504" s="338"/>
      <c r="AK504" s="339"/>
      <c r="AL504" s="734">
        <v>4000</v>
      </c>
      <c r="AM504" s="339"/>
      <c r="AN504" s="714">
        <v>4000</v>
      </c>
      <c r="AO504" s="338"/>
    </row>
    <row r="505" spans="1:41">
      <c r="A505" s="764" t="s">
        <v>1766</v>
      </c>
      <c r="B505" s="324"/>
      <c r="C505" s="323">
        <v>110000</v>
      </c>
      <c r="D505" s="323">
        <v>64000</v>
      </c>
      <c r="E505" s="592">
        <v>46000</v>
      </c>
      <c r="F505" s="322"/>
      <c r="G505" s="339"/>
      <c r="H505" s="339"/>
      <c r="I505" s="338"/>
      <c r="J505" s="324"/>
      <c r="K505" s="338"/>
      <c r="L505" s="338"/>
      <c r="M505" s="339"/>
      <c r="N505" s="322"/>
      <c r="O505" s="339"/>
      <c r="P505" s="339"/>
      <c r="Q505" s="338"/>
      <c r="R505" s="324"/>
      <c r="S505" s="323">
        <v>50000</v>
      </c>
      <c r="T505" s="323">
        <v>4000</v>
      </c>
      <c r="U505" s="592">
        <v>46000</v>
      </c>
      <c r="V505" s="322"/>
      <c r="W505" s="339"/>
      <c r="X505" s="339"/>
      <c r="Y505" s="338"/>
      <c r="Z505" s="324"/>
      <c r="AA505" s="338"/>
      <c r="AB505" s="338"/>
      <c r="AC505" s="339"/>
      <c r="AD505" s="322"/>
      <c r="AE505" s="339"/>
      <c r="AF505" s="339"/>
      <c r="AG505" s="338"/>
      <c r="AH505" s="324"/>
      <c r="AI505" s="338"/>
      <c r="AJ505" s="338"/>
      <c r="AK505" s="339"/>
      <c r="AL505" s="322"/>
      <c r="AM505" s="714">
        <v>60000</v>
      </c>
      <c r="AN505" s="714">
        <v>60000</v>
      </c>
      <c r="AO505" s="338"/>
    </row>
    <row r="506" spans="1:41">
      <c r="A506" s="764" t="s">
        <v>1767</v>
      </c>
      <c r="B506" s="324"/>
      <c r="C506" s="323">
        <v>78000</v>
      </c>
      <c r="D506" s="323">
        <v>49000</v>
      </c>
      <c r="E506" s="592">
        <v>29000</v>
      </c>
      <c r="F506" s="322"/>
      <c r="G506" s="339"/>
      <c r="H506" s="339"/>
      <c r="I506" s="338"/>
      <c r="J506" s="324"/>
      <c r="K506" s="338"/>
      <c r="L506" s="338"/>
      <c r="M506" s="339"/>
      <c r="N506" s="322"/>
      <c r="O506" s="339"/>
      <c r="P506" s="339"/>
      <c r="Q506" s="338"/>
      <c r="R506" s="324"/>
      <c r="S506" s="323">
        <v>33000</v>
      </c>
      <c r="T506" s="323">
        <v>4000</v>
      </c>
      <c r="U506" s="592">
        <v>29000</v>
      </c>
      <c r="V506" s="322"/>
      <c r="W506" s="339"/>
      <c r="X506" s="339"/>
      <c r="Y506" s="338"/>
      <c r="Z506" s="324"/>
      <c r="AA506" s="338"/>
      <c r="AB506" s="338"/>
      <c r="AC506" s="339"/>
      <c r="AD506" s="322"/>
      <c r="AE506" s="339"/>
      <c r="AF506" s="339"/>
      <c r="AG506" s="338"/>
      <c r="AH506" s="324"/>
      <c r="AI506" s="338"/>
      <c r="AJ506" s="338"/>
      <c r="AK506" s="339"/>
      <c r="AL506" s="322"/>
      <c r="AM506" s="714">
        <v>45000</v>
      </c>
      <c r="AN506" s="714">
        <v>45000</v>
      </c>
      <c r="AO506" s="338"/>
    </row>
    <row r="507" spans="1:41">
      <c r="A507" s="765" t="s">
        <v>1768</v>
      </c>
      <c r="B507" s="736">
        <v>119900</v>
      </c>
      <c r="C507" s="323">
        <v>19900</v>
      </c>
      <c r="D507" s="323">
        <v>139800</v>
      </c>
      <c r="E507" s="339"/>
      <c r="F507" s="322"/>
      <c r="G507" s="339"/>
      <c r="H507" s="339"/>
      <c r="I507" s="338"/>
      <c r="J507" s="324"/>
      <c r="K507" s="338"/>
      <c r="L507" s="338"/>
      <c r="M507" s="339"/>
      <c r="N507" s="322"/>
      <c r="O507" s="339"/>
      <c r="P507" s="339"/>
      <c r="Q507" s="338"/>
      <c r="R507" s="324"/>
      <c r="S507" s="323">
        <v>19900</v>
      </c>
      <c r="T507" s="323">
        <v>19900</v>
      </c>
      <c r="U507" s="339"/>
      <c r="V507" s="322"/>
      <c r="W507" s="339"/>
      <c r="X507" s="339"/>
      <c r="Y507" s="338"/>
      <c r="Z507" s="324"/>
      <c r="AA507" s="338"/>
      <c r="AB507" s="338"/>
      <c r="AC507" s="339"/>
      <c r="AD507" s="322"/>
      <c r="AE507" s="339"/>
      <c r="AF507" s="339"/>
      <c r="AG507" s="338"/>
      <c r="AH507" s="324"/>
      <c r="AI507" s="338"/>
      <c r="AJ507" s="338"/>
      <c r="AK507" s="339"/>
      <c r="AL507" s="734">
        <v>119900</v>
      </c>
      <c r="AM507" s="339"/>
      <c r="AN507" s="714">
        <v>119900</v>
      </c>
      <c r="AO507" s="338"/>
    </row>
    <row r="508" spans="1:41">
      <c r="A508" s="772" t="s">
        <v>1769</v>
      </c>
      <c r="B508" s="946">
        <v>222500</v>
      </c>
      <c r="C508" s="703">
        <v>202953</v>
      </c>
      <c r="D508" s="703">
        <v>425453</v>
      </c>
      <c r="E508" s="708"/>
      <c r="F508" s="944"/>
      <c r="G508" s="595"/>
      <c r="H508" s="595"/>
      <c r="I508" s="595"/>
      <c r="J508" s="943"/>
      <c r="K508" s="708"/>
      <c r="L508" s="708"/>
      <c r="M508" s="708"/>
      <c r="N508" s="944"/>
      <c r="O508" s="595"/>
      <c r="P508" s="595"/>
      <c r="Q508" s="595"/>
      <c r="R508" s="943"/>
      <c r="S508" s="708"/>
      <c r="T508" s="708"/>
      <c r="U508" s="708"/>
      <c r="V508" s="944"/>
      <c r="W508" s="595"/>
      <c r="X508" s="595"/>
      <c r="Y508" s="595"/>
      <c r="Z508" s="943"/>
      <c r="AA508" s="708"/>
      <c r="AB508" s="708"/>
      <c r="AC508" s="708"/>
      <c r="AD508" s="955">
        <v>222500</v>
      </c>
      <c r="AE508" s="591">
        <v>202953</v>
      </c>
      <c r="AF508" s="591">
        <v>425453</v>
      </c>
      <c r="AG508" s="595"/>
      <c r="AH508" s="943"/>
      <c r="AI508" s="708"/>
      <c r="AJ508" s="708"/>
      <c r="AK508" s="708"/>
      <c r="AL508" s="944"/>
      <c r="AM508" s="595"/>
      <c r="AN508" s="595"/>
      <c r="AO508" s="595"/>
    </row>
    <row r="509" spans="1:41">
      <c r="A509" s="764" t="s">
        <v>1770</v>
      </c>
      <c r="B509" s="728">
        <v>5000</v>
      </c>
      <c r="C509" s="320">
        <v>10000</v>
      </c>
      <c r="D509" s="320">
        <v>15000</v>
      </c>
      <c r="E509" s="331"/>
      <c r="F509" s="319"/>
      <c r="G509" s="331"/>
      <c r="H509" s="331"/>
      <c r="I509" s="330"/>
      <c r="J509" s="317"/>
      <c r="K509" s="330"/>
      <c r="L509" s="330"/>
      <c r="M509" s="331"/>
      <c r="N509" s="319"/>
      <c r="O509" s="331"/>
      <c r="P509" s="331"/>
      <c r="Q509" s="330"/>
      <c r="R509" s="317"/>
      <c r="S509" s="330"/>
      <c r="T509" s="330"/>
      <c r="U509" s="331"/>
      <c r="V509" s="319"/>
      <c r="W509" s="331"/>
      <c r="X509" s="331"/>
      <c r="Y509" s="330"/>
      <c r="Z509" s="317"/>
      <c r="AA509" s="330"/>
      <c r="AB509" s="330"/>
      <c r="AC509" s="331"/>
      <c r="AD509" s="738">
        <v>5000</v>
      </c>
      <c r="AE509" s="318">
        <v>10000</v>
      </c>
      <c r="AF509" s="318">
        <v>15000</v>
      </c>
      <c r="AG509" s="330"/>
      <c r="AH509" s="317"/>
      <c r="AI509" s="330"/>
      <c r="AJ509" s="330"/>
      <c r="AK509" s="331"/>
      <c r="AL509" s="319"/>
      <c r="AM509" s="331"/>
      <c r="AN509" s="331"/>
      <c r="AO509" s="330"/>
    </row>
    <row r="510" spans="1:41">
      <c r="A510" s="757" t="s">
        <v>1771</v>
      </c>
      <c r="B510" s="324"/>
      <c r="C510" s="323">
        <v>122953</v>
      </c>
      <c r="D510" s="323">
        <v>122953</v>
      </c>
      <c r="E510" s="339"/>
      <c r="F510" s="322"/>
      <c r="G510" s="339"/>
      <c r="H510" s="339"/>
      <c r="I510" s="338"/>
      <c r="J510" s="324"/>
      <c r="K510" s="338"/>
      <c r="L510" s="338"/>
      <c r="M510" s="339"/>
      <c r="N510" s="322"/>
      <c r="O510" s="339"/>
      <c r="P510" s="339"/>
      <c r="Q510" s="338"/>
      <c r="R510" s="324"/>
      <c r="S510" s="338"/>
      <c r="T510" s="338"/>
      <c r="U510" s="339"/>
      <c r="V510" s="322"/>
      <c r="W510" s="339"/>
      <c r="X510" s="339"/>
      <c r="Y510" s="338"/>
      <c r="Z510" s="324"/>
      <c r="AA510" s="338"/>
      <c r="AB510" s="338"/>
      <c r="AC510" s="339"/>
      <c r="AD510" s="322"/>
      <c r="AE510" s="325">
        <v>122953</v>
      </c>
      <c r="AF510" s="325">
        <v>122953</v>
      </c>
      <c r="AG510" s="338"/>
      <c r="AH510" s="324"/>
      <c r="AI510" s="338"/>
      <c r="AJ510" s="338"/>
      <c r="AK510" s="339"/>
      <c r="AL510" s="322"/>
      <c r="AM510" s="339"/>
      <c r="AN510" s="339"/>
      <c r="AO510" s="338"/>
    </row>
    <row r="511" spans="1:41">
      <c r="A511" s="764" t="s">
        <v>1772</v>
      </c>
      <c r="B511" s="717">
        <v>213500</v>
      </c>
      <c r="C511" s="338"/>
      <c r="D511" s="323">
        <v>213500</v>
      </c>
      <c r="E511" s="339"/>
      <c r="F511" s="322"/>
      <c r="G511" s="339"/>
      <c r="H511" s="339"/>
      <c r="I511" s="338"/>
      <c r="J511" s="324"/>
      <c r="K511" s="338"/>
      <c r="L511" s="338"/>
      <c r="M511" s="339"/>
      <c r="N511" s="322"/>
      <c r="O511" s="339"/>
      <c r="P511" s="339"/>
      <c r="Q511" s="338"/>
      <c r="R511" s="324"/>
      <c r="S511" s="338"/>
      <c r="T511" s="338"/>
      <c r="U511" s="339"/>
      <c r="V511" s="322"/>
      <c r="W511" s="339"/>
      <c r="X511" s="339"/>
      <c r="Y511" s="338"/>
      <c r="Z511" s="324"/>
      <c r="AA511" s="338"/>
      <c r="AB511" s="338"/>
      <c r="AC511" s="339"/>
      <c r="AD511" s="716">
        <v>213500</v>
      </c>
      <c r="AE511" s="339"/>
      <c r="AF511" s="325">
        <v>213500</v>
      </c>
      <c r="AG511" s="338"/>
      <c r="AH511" s="324"/>
      <c r="AI511" s="338"/>
      <c r="AJ511" s="338"/>
      <c r="AK511" s="339"/>
      <c r="AL511" s="322"/>
      <c r="AM511" s="339"/>
      <c r="AN511" s="339"/>
      <c r="AO511" s="338"/>
    </row>
    <row r="512" spans="1:41">
      <c r="A512" s="764" t="s">
        <v>1773</v>
      </c>
      <c r="B512" s="717">
        <v>4000</v>
      </c>
      <c r="C512" s="323">
        <v>70000</v>
      </c>
      <c r="D512" s="323">
        <v>74000</v>
      </c>
      <c r="E512" s="339"/>
      <c r="F512" s="322"/>
      <c r="G512" s="339"/>
      <c r="H512" s="339"/>
      <c r="I512" s="338"/>
      <c r="J512" s="324"/>
      <c r="K512" s="338"/>
      <c r="L512" s="338"/>
      <c r="M512" s="339"/>
      <c r="N512" s="322"/>
      <c r="O512" s="339"/>
      <c r="P512" s="339"/>
      <c r="Q512" s="338"/>
      <c r="R512" s="324"/>
      <c r="S512" s="338"/>
      <c r="T512" s="338"/>
      <c r="U512" s="339"/>
      <c r="V512" s="322"/>
      <c r="W512" s="339"/>
      <c r="X512" s="339"/>
      <c r="Y512" s="338"/>
      <c r="Z512" s="324"/>
      <c r="AA512" s="338"/>
      <c r="AB512" s="338"/>
      <c r="AC512" s="339"/>
      <c r="AD512" s="716">
        <v>4000</v>
      </c>
      <c r="AE512" s="325">
        <v>70000</v>
      </c>
      <c r="AF512" s="325">
        <v>74000</v>
      </c>
      <c r="AG512" s="338"/>
      <c r="AH512" s="324"/>
      <c r="AI512" s="338"/>
      <c r="AJ512" s="338"/>
      <c r="AK512" s="339"/>
      <c r="AL512" s="322"/>
      <c r="AM512" s="339"/>
      <c r="AN512" s="339"/>
      <c r="AO512" s="338"/>
    </row>
    <row r="513" spans="1:41">
      <c r="A513" s="757" t="s">
        <v>1774</v>
      </c>
      <c r="B513" s="716">
        <v>589778.34</v>
      </c>
      <c r="C513" s="325">
        <v>589778.34</v>
      </c>
      <c r="D513" s="325">
        <v>589778.34</v>
      </c>
      <c r="E513" s="594">
        <v>589778.34</v>
      </c>
      <c r="F513" s="324"/>
      <c r="G513" s="338"/>
      <c r="H513" s="338"/>
      <c r="I513" s="339"/>
      <c r="J513" s="322"/>
      <c r="K513" s="339"/>
      <c r="L513" s="339"/>
      <c r="M513" s="338"/>
      <c r="N513" s="324"/>
      <c r="O513" s="323">
        <v>589778.34</v>
      </c>
      <c r="P513" s="338"/>
      <c r="Q513" s="592">
        <v>589778.34</v>
      </c>
      <c r="R513" s="322"/>
      <c r="S513" s="339"/>
      <c r="T513" s="339"/>
      <c r="U513" s="338"/>
      <c r="V513" s="324"/>
      <c r="W513" s="338"/>
      <c r="X513" s="338"/>
      <c r="Y513" s="339"/>
      <c r="Z513" s="322"/>
      <c r="AA513" s="339"/>
      <c r="AB513" s="339"/>
      <c r="AC513" s="338"/>
      <c r="AD513" s="717">
        <v>589778.34</v>
      </c>
      <c r="AE513" s="338"/>
      <c r="AF513" s="323">
        <v>589778.34</v>
      </c>
      <c r="AG513" s="339"/>
      <c r="AH513" s="322"/>
      <c r="AI513" s="339"/>
      <c r="AJ513" s="339"/>
      <c r="AK513" s="338"/>
      <c r="AL513" s="324"/>
      <c r="AM513" s="338"/>
      <c r="AN513" s="338"/>
      <c r="AO513" s="339"/>
    </row>
    <row r="514" spans="1:41" hidden="1">
      <c r="A514" s="757" t="s">
        <v>1444</v>
      </c>
      <c r="B514" s="322"/>
      <c r="C514" s="339"/>
      <c r="D514" s="339"/>
      <c r="E514" s="338"/>
      <c r="F514" s="324"/>
      <c r="G514" s="338"/>
      <c r="H514" s="338"/>
      <c r="I514" s="339"/>
      <c r="J514" s="322"/>
      <c r="K514" s="339"/>
      <c r="L514" s="339"/>
      <c r="M514" s="338"/>
      <c r="N514" s="324"/>
      <c r="O514" s="338"/>
      <c r="P514" s="338"/>
      <c r="Q514" s="339"/>
      <c r="R514" s="322"/>
      <c r="S514" s="339"/>
      <c r="T514" s="339"/>
      <c r="U514" s="338"/>
      <c r="V514" s="324"/>
      <c r="W514" s="338"/>
      <c r="X514" s="338"/>
      <c r="Y514" s="339"/>
      <c r="Z514" s="322"/>
      <c r="AA514" s="339"/>
      <c r="AB514" s="339"/>
      <c r="AC514" s="338"/>
      <c r="AD514" s="324"/>
      <c r="AE514" s="338"/>
      <c r="AF514" s="338"/>
      <c r="AG514" s="339"/>
      <c r="AH514" s="322"/>
      <c r="AI514" s="339"/>
      <c r="AJ514" s="339"/>
      <c r="AK514" s="338"/>
      <c r="AL514" s="324"/>
      <c r="AM514" s="338"/>
      <c r="AN514" s="338"/>
      <c r="AO514" s="339"/>
    </row>
    <row r="515" spans="1:41">
      <c r="A515" s="757" t="s">
        <v>926</v>
      </c>
      <c r="B515" s="322"/>
      <c r="C515" s="325">
        <v>250000</v>
      </c>
      <c r="D515" s="325">
        <v>500000</v>
      </c>
      <c r="E515" s="589">
        <v>250000</v>
      </c>
      <c r="F515" s="324"/>
      <c r="G515" s="338"/>
      <c r="H515" s="338"/>
      <c r="I515" s="339"/>
      <c r="J515" s="322"/>
      <c r="K515" s="339"/>
      <c r="L515" s="339"/>
      <c r="M515" s="338"/>
      <c r="N515" s="324"/>
      <c r="O515" s="323">
        <v>250000</v>
      </c>
      <c r="P515" s="323">
        <v>500000</v>
      </c>
      <c r="Q515" s="588">
        <v>250000</v>
      </c>
      <c r="R515" s="322"/>
      <c r="S515" s="339"/>
      <c r="T515" s="339"/>
      <c r="U515" s="338"/>
      <c r="V515" s="324"/>
      <c r="W515" s="338"/>
      <c r="X515" s="338"/>
      <c r="Y515" s="339"/>
      <c r="Z515" s="322"/>
      <c r="AA515" s="339"/>
      <c r="AB515" s="339"/>
      <c r="AC515" s="338"/>
      <c r="AD515" s="324"/>
      <c r="AE515" s="338"/>
      <c r="AF515" s="338"/>
      <c r="AG515" s="339"/>
      <c r="AH515" s="322"/>
      <c r="AI515" s="339"/>
      <c r="AJ515" s="339"/>
      <c r="AK515" s="338"/>
      <c r="AL515" s="324"/>
      <c r="AM515" s="338"/>
      <c r="AN515" s="338"/>
      <c r="AO515" s="339"/>
    </row>
    <row r="516" spans="1:41">
      <c r="A516" s="756" t="s">
        <v>367</v>
      </c>
      <c r="B516" s="716">
        <v>166812.43</v>
      </c>
      <c r="C516" s="325">
        <v>69415</v>
      </c>
      <c r="D516" s="325">
        <v>236227.43</v>
      </c>
      <c r="E516" s="338"/>
      <c r="F516" s="324"/>
      <c r="G516" s="338"/>
      <c r="H516" s="338"/>
      <c r="I516" s="339"/>
      <c r="J516" s="322"/>
      <c r="K516" s="339"/>
      <c r="L516" s="339"/>
      <c r="M516" s="338"/>
      <c r="N516" s="324"/>
      <c r="O516" s="338"/>
      <c r="P516" s="338"/>
      <c r="Q516" s="339"/>
      <c r="R516" s="322"/>
      <c r="S516" s="339"/>
      <c r="T516" s="339"/>
      <c r="U516" s="338"/>
      <c r="V516" s="324"/>
      <c r="W516" s="338"/>
      <c r="X516" s="338"/>
      <c r="Y516" s="339"/>
      <c r="Z516" s="322"/>
      <c r="AA516" s="339"/>
      <c r="AB516" s="339"/>
      <c r="AC516" s="338"/>
      <c r="AD516" s="717">
        <v>166812.43</v>
      </c>
      <c r="AE516" s="323">
        <v>69415</v>
      </c>
      <c r="AF516" s="323">
        <v>236227.43</v>
      </c>
      <c r="AG516" s="339"/>
      <c r="AH516" s="322"/>
      <c r="AI516" s="339"/>
      <c r="AJ516" s="339"/>
      <c r="AK516" s="338"/>
      <c r="AL516" s="324"/>
      <c r="AM516" s="338"/>
      <c r="AN516" s="338"/>
      <c r="AO516" s="339"/>
    </row>
    <row r="517" spans="1:41">
      <c r="A517" s="757" t="s">
        <v>1775</v>
      </c>
      <c r="B517" s="322"/>
      <c r="C517" s="325">
        <v>40508</v>
      </c>
      <c r="D517" s="325">
        <v>40508</v>
      </c>
      <c r="E517" s="338"/>
      <c r="F517" s="324"/>
      <c r="G517" s="338"/>
      <c r="H517" s="338"/>
      <c r="I517" s="339"/>
      <c r="J517" s="322"/>
      <c r="K517" s="339"/>
      <c r="L517" s="339"/>
      <c r="M517" s="338"/>
      <c r="N517" s="324"/>
      <c r="O517" s="338"/>
      <c r="P517" s="338"/>
      <c r="Q517" s="339"/>
      <c r="R517" s="322"/>
      <c r="S517" s="339"/>
      <c r="T517" s="339"/>
      <c r="U517" s="338"/>
      <c r="V517" s="324"/>
      <c r="W517" s="323">
        <v>40508</v>
      </c>
      <c r="X517" s="323">
        <v>40508</v>
      </c>
      <c r="Y517" s="339"/>
      <c r="Z517" s="322"/>
      <c r="AA517" s="339"/>
      <c r="AB517" s="339"/>
      <c r="AC517" s="338"/>
      <c r="AD517" s="324"/>
      <c r="AE517" s="338"/>
      <c r="AF517" s="338"/>
      <c r="AG517" s="339"/>
      <c r="AH517" s="322"/>
      <c r="AI517" s="339"/>
      <c r="AJ517" s="339"/>
      <c r="AK517" s="338"/>
      <c r="AL517" s="324"/>
      <c r="AM517" s="338"/>
      <c r="AN517" s="338"/>
      <c r="AO517" s="339"/>
    </row>
    <row r="518" spans="1:41">
      <c r="A518" s="757" t="s">
        <v>1776</v>
      </c>
      <c r="B518" s="734">
        <v>21338</v>
      </c>
      <c r="C518" s="325">
        <v>21338</v>
      </c>
      <c r="D518" s="714">
        <v>21338</v>
      </c>
      <c r="E518" s="594">
        <v>21338</v>
      </c>
      <c r="F518" s="324"/>
      <c r="G518" s="338"/>
      <c r="H518" s="338"/>
      <c r="I518" s="339"/>
      <c r="J518" s="322"/>
      <c r="K518" s="339"/>
      <c r="L518" s="339"/>
      <c r="M518" s="338"/>
      <c r="N518" s="324"/>
      <c r="O518" s="338"/>
      <c r="P518" s="338"/>
      <c r="Q518" s="339"/>
      <c r="R518" s="322"/>
      <c r="S518" s="325">
        <v>21338</v>
      </c>
      <c r="T518" s="339"/>
      <c r="U518" s="594">
        <v>21338</v>
      </c>
      <c r="V518" s="324"/>
      <c r="W518" s="338"/>
      <c r="X518" s="338"/>
      <c r="Y518" s="339"/>
      <c r="Z518" s="322"/>
      <c r="AA518" s="339"/>
      <c r="AB518" s="339"/>
      <c r="AC518" s="338"/>
      <c r="AD518" s="324"/>
      <c r="AE518" s="338"/>
      <c r="AF518" s="338"/>
      <c r="AG518" s="339"/>
      <c r="AH518" s="322"/>
      <c r="AI518" s="339"/>
      <c r="AJ518" s="339"/>
      <c r="AK518" s="338"/>
      <c r="AL518" s="736">
        <v>21338</v>
      </c>
      <c r="AM518" s="338"/>
      <c r="AN518" s="711">
        <v>21338</v>
      </c>
      <c r="AO518" s="339"/>
    </row>
    <row r="519" spans="1:41">
      <c r="A519" s="756" t="s">
        <v>1777</v>
      </c>
      <c r="B519" s="734">
        <v>504682</v>
      </c>
      <c r="C519" s="325">
        <v>572428</v>
      </c>
      <c r="D519" s="714">
        <v>538555</v>
      </c>
      <c r="E519" s="594">
        <v>538555</v>
      </c>
      <c r="F519" s="324"/>
      <c r="G519" s="338"/>
      <c r="H519" s="338"/>
      <c r="I519" s="339"/>
      <c r="J519" s="322"/>
      <c r="K519" s="339"/>
      <c r="L519" s="339"/>
      <c r="M519" s="338"/>
      <c r="N519" s="324"/>
      <c r="O519" s="338"/>
      <c r="P519" s="338"/>
      <c r="Q519" s="339"/>
      <c r="R519" s="322"/>
      <c r="S519" s="325">
        <v>538555</v>
      </c>
      <c r="T519" s="339"/>
      <c r="U519" s="594">
        <v>538555</v>
      </c>
      <c r="V519" s="324"/>
      <c r="W519" s="338"/>
      <c r="X519" s="338"/>
      <c r="Y519" s="339"/>
      <c r="Z519" s="322"/>
      <c r="AA519" s="339"/>
      <c r="AB519" s="339"/>
      <c r="AC519" s="338"/>
      <c r="AD519" s="324"/>
      <c r="AE519" s="338"/>
      <c r="AF519" s="338"/>
      <c r="AG519" s="339"/>
      <c r="AH519" s="322"/>
      <c r="AI519" s="339"/>
      <c r="AJ519" s="339"/>
      <c r="AK519" s="338"/>
      <c r="AL519" s="736">
        <v>504682</v>
      </c>
      <c r="AM519" s="711">
        <v>33873</v>
      </c>
      <c r="AN519" s="711">
        <v>538555</v>
      </c>
      <c r="AO519" s="339"/>
    </row>
    <row r="520" spans="1:41">
      <c r="A520" s="316" t="s">
        <v>359</v>
      </c>
      <c r="B520" s="716">
        <v>58682307</v>
      </c>
      <c r="C520" s="323">
        <v>2583512688.73</v>
      </c>
      <c r="D520" s="323">
        <v>2197372715.2509999</v>
      </c>
      <c r="E520" s="594">
        <v>477326975.38999999</v>
      </c>
      <c r="F520" s="324"/>
      <c r="G520" s="339"/>
      <c r="H520" s="339"/>
      <c r="I520" s="339"/>
      <c r="J520" s="322"/>
      <c r="K520" s="323">
        <v>4927500</v>
      </c>
      <c r="L520" s="323">
        <v>3426845</v>
      </c>
      <c r="M520" s="594">
        <v>1500655</v>
      </c>
      <c r="N520" s="717">
        <v>58682307</v>
      </c>
      <c r="O520" s="325">
        <v>857325725.05999994</v>
      </c>
      <c r="P520" s="325">
        <v>773869964.13999999</v>
      </c>
      <c r="Q520" s="592">
        <v>142138067.91999999</v>
      </c>
      <c r="R520" s="322"/>
      <c r="S520" s="323">
        <v>419180947.83999997</v>
      </c>
      <c r="T520" s="323">
        <v>181411426.37</v>
      </c>
      <c r="U520" s="594">
        <v>237769521.47</v>
      </c>
      <c r="V520" s="717">
        <v>5764143</v>
      </c>
      <c r="W520" s="325">
        <v>208820901.47999999</v>
      </c>
      <c r="X520" s="325">
        <v>191066321.84999999</v>
      </c>
      <c r="Y520" s="592">
        <v>23518722.629999999</v>
      </c>
      <c r="Z520" s="716">
        <v>1161719</v>
      </c>
      <c r="AA520" s="323">
        <v>74626076</v>
      </c>
      <c r="AB520" s="323">
        <v>75787795</v>
      </c>
      <c r="AC520" s="338"/>
      <c r="AD520" s="717">
        <v>26062486.890999999</v>
      </c>
      <c r="AE520" s="325">
        <v>266992967</v>
      </c>
      <c r="AF520" s="325">
        <v>293055453.89099997</v>
      </c>
      <c r="AG520" s="339"/>
      <c r="AH520" s="322"/>
      <c r="AI520" s="338"/>
      <c r="AJ520" s="338"/>
      <c r="AK520" s="338"/>
      <c r="AL520" s="736">
        <v>58198653.020000003</v>
      </c>
      <c r="AM520" s="714">
        <v>1608964296.4100001</v>
      </c>
      <c r="AN520" s="714">
        <v>1452624873.1400001</v>
      </c>
      <c r="AO520" s="737">
        <v>214538076.28999999</v>
      </c>
    </row>
    <row r="521" spans="1:41">
      <c r="A521" s="316" t="s">
        <v>360</v>
      </c>
      <c r="B521" s="955">
        <v>43842.03</v>
      </c>
      <c r="C521" s="591">
        <v>508575</v>
      </c>
      <c r="D521" s="591">
        <v>463525.49</v>
      </c>
      <c r="E521" s="773">
        <v>62644</v>
      </c>
      <c r="F521" s="943"/>
      <c r="G521" s="708"/>
      <c r="H521" s="708"/>
      <c r="I521" s="708"/>
      <c r="J521" s="944"/>
      <c r="K521" s="591">
        <v>8053</v>
      </c>
      <c r="L521" s="591">
        <v>3172</v>
      </c>
      <c r="M521" s="773">
        <v>4881</v>
      </c>
      <c r="N521" s="946">
        <v>43842.03</v>
      </c>
      <c r="O521" s="703">
        <v>88475.68</v>
      </c>
      <c r="P521" s="703">
        <v>85680</v>
      </c>
      <c r="Q521" s="767">
        <v>46637.71</v>
      </c>
      <c r="R521" s="944"/>
      <c r="S521" s="591">
        <v>70050</v>
      </c>
      <c r="T521" s="591">
        <v>14375</v>
      </c>
      <c r="U521" s="773">
        <v>55675</v>
      </c>
      <c r="V521" s="943"/>
      <c r="W521" s="708"/>
      <c r="X521" s="708"/>
      <c r="Y521" s="708"/>
      <c r="Z521" s="955">
        <v>7335</v>
      </c>
      <c r="AA521" s="591">
        <v>15000</v>
      </c>
      <c r="AB521" s="591">
        <v>22335</v>
      </c>
      <c r="AC521" s="595"/>
      <c r="AD521" s="946">
        <v>3650.68</v>
      </c>
      <c r="AE521" s="703">
        <v>175472</v>
      </c>
      <c r="AF521" s="703">
        <v>179122.68</v>
      </c>
      <c r="AG521" s="708"/>
      <c r="AH521" s="958">
        <v>2088</v>
      </c>
      <c r="AI521" s="595"/>
      <c r="AJ521" s="595"/>
      <c r="AK521" s="959">
        <v>2088</v>
      </c>
      <c r="AL521" s="966">
        <v>4520.8100000000004</v>
      </c>
      <c r="AM521" s="702">
        <v>240000</v>
      </c>
      <c r="AN521" s="702">
        <v>244520.81</v>
      </c>
      <c r="AO521" s="708"/>
    </row>
    <row r="522" spans="1:41">
      <c r="A522" s="321" t="s">
        <v>928</v>
      </c>
      <c r="B522" s="738">
        <v>43842.03</v>
      </c>
      <c r="C522" s="318">
        <v>508575</v>
      </c>
      <c r="D522" s="318">
        <v>463525.49</v>
      </c>
      <c r="E522" s="739">
        <v>62644</v>
      </c>
      <c r="F522" s="317"/>
      <c r="G522" s="330"/>
      <c r="H522" s="330"/>
      <c r="I522" s="331"/>
      <c r="J522" s="319"/>
      <c r="K522" s="318">
        <v>8053</v>
      </c>
      <c r="L522" s="318">
        <v>3172</v>
      </c>
      <c r="M522" s="739">
        <v>4881</v>
      </c>
      <c r="N522" s="728">
        <v>43842.03</v>
      </c>
      <c r="O522" s="320">
        <v>88475.68</v>
      </c>
      <c r="P522" s="320">
        <v>85680</v>
      </c>
      <c r="Q522" s="729">
        <v>46637.71</v>
      </c>
      <c r="R522" s="319"/>
      <c r="S522" s="318">
        <v>70050</v>
      </c>
      <c r="T522" s="318">
        <v>14375</v>
      </c>
      <c r="U522" s="739">
        <v>55675</v>
      </c>
      <c r="V522" s="317"/>
      <c r="W522" s="330"/>
      <c r="X522" s="330"/>
      <c r="Y522" s="331"/>
      <c r="Z522" s="738">
        <v>7335</v>
      </c>
      <c r="AA522" s="318">
        <v>15000</v>
      </c>
      <c r="AB522" s="318">
        <v>22335</v>
      </c>
      <c r="AC522" s="330"/>
      <c r="AD522" s="728">
        <v>3650.68</v>
      </c>
      <c r="AE522" s="320">
        <v>175472</v>
      </c>
      <c r="AF522" s="320">
        <v>179122.68</v>
      </c>
      <c r="AG522" s="331"/>
      <c r="AH522" s="722">
        <v>2088</v>
      </c>
      <c r="AI522" s="331"/>
      <c r="AJ522" s="331"/>
      <c r="AK522" s="724">
        <v>2088</v>
      </c>
      <c r="AL522" s="725">
        <v>4520.8100000000004</v>
      </c>
      <c r="AM522" s="723">
        <v>240000</v>
      </c>
      <c r="AN522" s="723">
        <v>244520.81</v>
      </c>
      <c r="AO522" s="331"/>
    </row>
    <row r="523" spans="1:41">
      <c r="A523" s="316" t="s">
        <v>361</v>
      </c>
      <c r="B523" s="955">
        <v>660107.69799999997</v>
      </c>
      <c r="C523" s="591">
        <v>912931338.15999997</v>
      </c>
      <c r="D523" s="591">
        <v>901163010.37</v>
      </c>
      <c r="E523" s="773">
        <v>12428435.488</v>
      </c>
      <c r="F523" s="943"/>
      <c r="G523" s="708"/>
      <c r="H523" s="708"/>
      <c r="I523" s="708"/>
      <c r="J523" s="944"/>
      <c r="K523" s="595"/>
      <c r="L523" s="595"/>
      <c r="M523" s="595"/>
      <c r="N523" s="946">
        <v>660107.69799999997</v>
      </c>
      <c r="O523" s="703">
        <v>912931338.15999997</v>
      </c>
      <c r="P523" s="703">
        <v>901163010.37</v>
      </c>
      <c r="Q523" s="767">
        <v>12428435.488</v>
      </c>
      <c r="R523" s="944"/>
      <c r="S523" s="595"/>
      <c r="T523" s="595"/>
      <c r="U523" s="595"/>
      <c r="V523" s="943"/>
      <c r="W523" s="708"/>
      <c r="X523" s="708"/>
      <c r="Y523" s="708"/>
      <c r="Z523" s="944"/>
      <c r="AA523" s="595"/>
      <c r="AB523" s="595"/>
      <c r="AC523" s="595"/>
      <c r="AD523" s="946">
        <v>30743584.219999999</v>
      </c>
      <c r="AE523" s="703">
        <v>165614625.30000001</v>
      </c>
      <c r="AF523" s="703">
        <v>173338776.21000001</v>
      </c>
      <c r="AG523" s="767">
        <v>23019433.309999999</v>
      </c>
      <c r="AH523" s="944"/>
      <c r="AI523" s="595"/>
      <c r="AJ523" s="595"/>
      <c r="AK523" s="595"/>
      <c r="AL523" s="943"/>
      <c r="AM523" s="708"/>
      <c r="AN523" s="708"/>
      <c r="AO523" s="708"/>
    </row>
    <row r="524" spans="1:41">
      <c r="A524" s="757" t="s">
        <v>1778</v>
      </c>
      <c r="B524" s="738">
        <v>1100</v>
      </c>
      <c r="C524" s="331"/>
      <c r="D524" s="331"/>
      <c r="E524" s="739">
        <v>1100</v>
      </c>
      <c r="F524" s="317"/>
      <c r="G524" s="330"/>
      <c r="H524" s="330"/>
      <c r="I524" s="331"/>
      <c r="J524" s="319"/>
      <c r="K524" s="331"/>
      <c r="L524" s="331"/>
      <c r="M524" s="330"/>
      <c r="N524" s="317"/>
      <c r="O524" s="330"/>
      <c r="P524" s="330"/>
      <c r="Q524" s="331"/>
      <c r="R524" s="319"/>
      <c r="S524" s="331"/>
      <c r="T524" s="331"/>
      <c r="U524" s="330"/>
      <c r="V524" s="317"/>
      <c r="W524" s="330"/>
      <c r="X524" s="330"/>
      <c r="Y524" s="331"/>
      <c r="Z524" s="319"/>
      <c r="AA524" s="331"/>
      <c r="AB524" s="331"/>
      <c r="AC524" s="330"/>
      <c r="AD524" s="728">
        <v>1100</v>
      </c>
      <c r="AE524" s="330"/>
      <c r="AF524" s="330"/>
      <c r="AG524" s="729">
        <v>1100</v>
      </c>
      <c r="AH524" s="319"/>
      <c r="AI524" s="331"/>
      <c r="AJ524" s="331"/>
      <c r="AK524" s="330"/>
      <c r="AL524" s="317"/>
      <c r="AM524" s="330"/>
      <c r="AN524" s="330"/>
      <c r="AO524" s="331"/>
    </row>
    <row r="525" spans="1:41">
      <c r="A525" s="757" t="s">
        <v>1779</v>
      </c>
      <c r="B525" s="716">
        <v>820.8</v>
      </c>
      <c r="C525" s="339"/>
      <c r="D525" s="339"/>
      <c r="E525" s="594">
        <v>820.8</v>
      </c>
      <c r="F525" s="324"/>
      <c r="G525" s="338"/>
      <c r="H525" s="338"/>
      <c r="I525" s="339"/>
      <c r="J525" s="322"/>
      <c r="K525" s="339"/>
      <c r="L525" s="339"/>
      <c r="M525" s="338"/>
      <c r="N525" s="324"/>
      <c r="O525" s="338"/>
      <c r="P525" s="338"/>
      <c r="Q525" s="339"/>
      <c r="R525" s="322"/>
      <c r="S525" s="339"/>
      <c r="T525" s="339"/>
      <c r="U525" s="338"/>
      <c r="V525" s="324"/>
      <c r="W525" s="338"/>
      <c r="X525" s="338"/>
      <c r="Y525" s="339"/>
      <c r="Z525" s="322"/>
      <c r="AA525" s="339"/>
      <c r="AB525" s="339"/>
      <c r="AC525" s="338"/>
      <c r="AD525" s="717">
        <v>820.8</v>
      </c>
      <c r="AE525" s="338"/>
      <c r="AF525" s="338"/>
      <c r="AG525" s="592">
        <v>820.8</v>
      </c>
      <c r="AH525" s="322"/>
      <c r="AI525" s="339"/>
      <c r="AJ525" s="339"/>
      <c r="AK525" s="338"/>
      <c r="AL525" s="324"/>
      <c r="AM525" s="338"/>
      <c r="AN525" s="338"/>
      <c r="AO525" s="339"/>
    </row>
    <row r="526" spans="1:41">
      <c r="A526" s="757" t="s">
        <v>1780</v>
      </c>
      <c r="B526" s="716">
        <v>219541</v>
      </c>
      <c r="C526" s="339"/>
      <c r="D526" s="339"/>
      <c r="E526" s="594">
        <v>219541</v>
      </c>
      <c r="F526" s="324"/>
      <c r="G526" s="338"/>
      <c r="H526" s="338"/>
      <c r="I526" s="339"/>
      <c r="J526" s="322"/>
      <c r="K526" s="339"/>
      <c r="L526" s="339"/>
      <c r="M526" s="338"/>
      <c r="N526" s="324"/>
      <c r="O526" s="338"/>
      <c r="P526" s="338"/>
      <c r="Q526" s="339"/>
      <c r="R526" s="322"/>
      <c r="S526" s="339"/>
      <c r="T526" s="339"/>
      <c r="U526" s="338"/>
      <c r="V526" s="324"/>
      <c r="W526" s="338"/>
      <c r="X526" s="338"/>
      <c r="Y526" s="339"/>
      <c r="Z526" s="322"/>
      <c r="AA526" s="339"/>
      <c r="AB526" s="339"/>
      <c r="AC526" s="338"/>
      <c r="AD526" s="717">
        <v>219541</v>
      </c>
      <c r="AE526" s="338"/>
      <c r="AF526" s="338"/>
      <c r="AG526" s="592">
        <v>219541</v>
      </c>
      <c r="AH526" s="322"/>
      <c r="AI526" s="339"/>
      <c r="AJ526" s="339"/>
      <c r="AK526" s="338"/>
      <c r="AL526" s="324"/>
      <c r="AM526" s="338"/>
      <c r="AN526" s="338"/>
      <c r="AO526" s="339"/>
    </row>
    <row r="527" spans="1:41">
      <c r="A527" s="757" t="s">
        <v>1781</v>
      </c>
      <c r="B527" s="716">
        <v>300000</v>
      </c>
      <c r="C527" s="339"/>
      <c r="D527" s="339"/>
      <c r="E527" s="594">
        <v>300000</v>
      </c>
      <c r="F527" s="324"/>
      <c r="G527" s="338"/>
      <c r="H527" s="338"/>
      <c r="I527" s="339"/>
      <c r="J527" s="322"/>
      <c r="K527" s="339"/>
      <c r="L527" s="339"/>
      <c r="M527" s="338"/>
      <c r="N527" s="324"/>
      <c r="O527" s="338"/>
      <c r="P527" s="338"/>
      <c r="Q527" s="339"/>
      <c r="R527" s="322"/>
      <c r="S527" s="339"/>
      <c r="T527" s="339"/>
      <c r="U527" s="338"/>
      <c r="V527" s="324"/>
      <c r="W527" s="338"/>
      <c r="X527" s="338"/>
      <c r="Y527" s="339"/>
      <c r="Z527" s="322"/>
      <c r="AA527" s="339"/>
      <c r="AB527" s="339"/>
      <c r="AC527" s="338"/>
      <c r="AD527" s="717">
        <v>300000</v>
      </c>
      <c r="AE527" s="338"/>
      <c r="AF527" s="338"/>
      <c r="AG527" s="592">
        <v>300000</v>
      </c>
      <c r="AH527" s="322"/>
      <c r="AI527" s="339"/>
      <c r="AJ527" s="339"/>
      <c r="AK527" s="338"/>
      <c r="AL527" s="324"/>
      <c r="AM527" s="338"/>
      <c r="AN527" s="338"/>
      <c r="AO527" s="339"/>
    </row>
    <row r="528" spans="1:41">
      <c r="A528" s="757" t="s">
        <v>1782</v>
      </c>
      <c r="B528" s="716">
        <v>860000</v>
      </c>
      <c r="C528" s="339"/>
      <c r="D528" s="339"/>
      <c r="E528" s="594">
        <v>860000</v>
      </c>
      <c r="F528" s="324"/>
      <c r="G528" s="338"/>
      <c r="H528" s="338"/>
      <c r="I528" s="339"/>
      <c r="J528" s="322"/>
      <c r="K528" s="339"/>
      <c r="L528" s="339"/>
      <c r="M528" s="338"/>
      <c r="N528" s="324"/>
      <c r="O528" s="338"/>
      <c r="P528" s="338"/>
      <c r="Q528" s="339"/>
      <c r="R528" s="322"/>
      <c r="S528" s="339"/>
      <c r="T528" s="339"/>
      <c r="U528" s="338"/>
      <c r="V528" s="324"/>
      <c r="W528" s="338"/>
      <c r="X528" s="338"/>
      <c r="Y528" s="339"/>
      <c r="Z528" s="322"/>
      <c r="AA528" s="339"/>
      <c r="AB528" s="339"/>
      <c r="AC528" s="338"/>
      <c r="AD528" s="717">
        <v>860000</v>
      </c>
      <c r="AE528" s="338"/>
      <c r="AF528" s="338"/>
      <c r="AG528" s="592">
        <v>860000</v>
      </c>
      <c r="AH528" s="322"/>
      <c r="AI528" s="339"/>
      <c r="AJ528" s="339"/>
      <c r="AK528" s="338"/>
      <c r="AL528" s="324"/>
      <c r="AM528" s="338"/>
      <c r="AN528" s="338"/>
      <c r="AO528" s="339"/>
    </row>
    <row r="529" spans="1:41">
      <c r="A529" s="757" t="s">
        <v>1783</v>
      </c>
      <c r="B529" s="716">
        <v>47697.08</v>
      </c>
      <c r="C529" s="339"/>
      <c r="D529" s="339"/>
      <c r="E529" s="594">
        <v>47697.08</v>
      </c>
      <c r="F529" s="324"/>
      <c r="G529" s="338"/>
      <c r="H529" s="338"/>
      <c r="I529" s="339"/>
      <c r="J529" s="322"/>
      <c r="K529" s="339"/>
      <c r="L529" s="339"/>
      <c r="M529" s="338"/>
      <c r="N529" s="324"/>
      <c r="O529" s="338"/>
      <c r="P529" s="338"/>
      <c r="Q529" s="339"/>
      <c r="R529" s="322"/>
      <c r="S529" s="339"/>
      <c r="T529" s="339"/>
      <c r="U529" s="338"/>
      <c r="V529" s="324"/>
      <c r="W529" s="338"/>
      <c r="X529" s="338"/>
      <c r="Y529" s="339"/>
      <c r="Z529" s="322"/>
      <c r="AA529" s="339"/>
      <c r="AB529" s="339"/>
      <c r="AC529" s="338"/>
      <c r="AD529" s="717">
        <v>47697.08</v>
      </c>
      <c r="AE529" s="338"/>
      <c r="AF529" s="338"/>
      <c r="AG529" s="592">
        <v>47697.08</v>
      </c>
      <c r="AH529" s="322"/>
      <c r="AI529" s="339"/>
      <c r="AJ529" s="339"/>
      <c r="AK529" s="338"/>
      <c r="AL529" s="324"/>
      <c r="AM529" s="338"/>
      <c r="AN529" s="338"/>
      <c r="AO529" s="339"/>
    </row>
    <row r="530" spans="1:41">
      <c r="A530" s="757" t="s">
        <v>929</v>
      </c>
      <c r="B530" s="716">
        <v>11524.11</v>
      </c>
      <c r="C530" s="339"/>
      <c r="D530" s="339"/>
      <c r="E530" s="594">
        <v>11524.11</v>
      </c>
      <c r="F530" s="324"/>
      <c r="G530" s="338"/>
      <c r="H530" s="338"/>
      <c r="I530" s="339"/>
      <c r="J530" s="322"/>
      <c r="K530" s="339"/>
      <c r="L530" s="339"/>
      <c r="M530" s="338"/>
      <c r="N530" s="717">
        <v>11524.11</v>
      </c>
      <c r="O530" s="338"/>
      <c r="P530" s="338"/>
      <c r="Q530" s="592">
        <v>11524.11</v>
      </c>
      <c r="R530" s="322"/>
      <c r="S530" s="339"/>
      <c r="T530" s="339"/>
      <c r="U530" s="338"/>
      <c r="V530" s="324"/>
      <c r="W530" s="338"/>
      <c r="X530" s="338"/>
      <c r="Y530" s="339"/>
      <c r="Z530" s="322"/>
      <c r="AA530" s="339"/>
      <c r="AB530" s="339"/>
      <c r="AC530" s="338"/>
      <c r="AD530" s="324"/>
      <c r="AE530" s="338"/>
      <c r="AF530" s="338"/>
      <c r="AG530" s="339"/>
      <c r="AH530" s="322"/>
      <c r="AI530" s="339"/>
      <c r="AJ530" s="339"/>
      <c r="AK530" s="338"/>
      <c r="AL530" s="324"/>
      <c r="AM530" s="338"/>
      <c r="AN530" s="338"/>
      <c r="AO530" s="339"/>
    </row>
    <row r="531" spans="1:41">
      <c r="A531" s="757" t="s">
        <v>1784</v>
      </c>
      <c r="B531" s="716">
        <v>160312.07800000001</v>
      </c>
      <c r="C531" s="325">
        <v>912931338.15999997</v>
      </c>
      <c r="D531" s="325">
        <v>901163010.37</v>
      </c>
      <c r="E531" s="594">
        <v>11928639.868000001</v>
      </c>
      <c r="F531" s="324"/>
      <c r="G531" s="338"/>
      <c r="H531" s="338"/>
      <c r="I531" s="339"/>
      <c r="J531" s="322"/>
      <c r="K531" s="339"/>
      <c r="L531" s="339"/>
      <c r="M531" s="338"/>
      <c r="N531" s="717">
        <v>160312.07800000001</v>
      </c>
      <c r="O531" s="323">
        <v>912931338.15999997</v>
      </c>
      <c r="P531" s="323">
        <v>901163010.37</v>
      </c>
      <c r="Q531" s="592">
        <v>11928639.868000001</v>
      </c>
      <c r="R531" s="322"/>
      <c r="S531" s="339"/>
      <c r="T531" s="339"/>
      <c r="U531" s="338"/>
      <c r="V531" s="324"/>
      <c r="W531" s="338"/>
      <c r="X531" s="338"/>
      <c r="Y531" s="339"/>
      <c r="Z531" s="322"/>
      <c r="AA531" s="339"/>
      <c r="AB531" s="339"/>
      <c r="AC531" s="338"/>
      <c r="AD531" s="324"/>
      <c r="AE531" s="338"/>
      <c r="AF531" s="338"/>
      <c r="AG531" s="339"/>
      <c r="AH531" s="322"/>
      <c r="AI531" s="339"/>
      <c r="AJ531" s="339"/>
      <c r="AK531" s="338"/>
      <c r="AL531" s="324"/>
      <c r="AM531" s="338"/>
      <c r="AN531" s="338"/>
      <c r="AO531" s="339"/>
    </row>
    <row r="532" spans="1:41">
      <c r="A532" s="757" t="s">
        <v>1785</v>
      </c>
      <c r="B532" s="716">
        <v>20000000</v>
      </c>
      <c r="C532" s="339"/>
      <c r="D532" s="339"/>
      <c r="E532" s="594">
        <v>20000000</v>
      </c>
      <c r="F532" s="324"/>
      <c r="G532" s="338"/>
      <c r="H532" s="338"/>
      <c r="I532" s="339"/>
      <c r="J532" s="322"/>
      <c r="K532" s="339"/>
      <c r="L532" s="339"/>
      <c r="M532" s="338"/>
      <c r="N532" s="324"/>
      <c r="O532" s="338"/>
      <c r="P532" s="338"/>
      <c r="Q532" s="339"/>
      <c r="R532" s="322"/>
      <c r="S532" s="339"/>
      <c r="T532" s="339"/>
      <c r="U532" s="338"/>
      <c r="V532" s="324"/>
      <c r="W532" s="338"/>
      <c r="X532" s="338"/>
      <c r="Y532" s="339"/>
      <c r="Z532" s="322"/>
      <c r="AA532" s="339"/>
      <c r="AB532" s="339"/>
      <c r="AC532" s="338"/>
      <c r="AD532" s="717">
        <v>20000000</v>
      </c>
      <c r="AE532" s="338"/>
      <c r="AF532" s="338"/>
      <c r="AG532" s="592">
        <v>20000000</v>
      </c>
      <c r="AH532" s="322"/>
      <c r="AI532" s="339"/>
      <c r="AJ532" s="339"/>
      <c r="AK532" s="338"/>
      <c r="AL532" s="324"/>
      <c r="AM532" s="338"/>
      <c r="AN532" s="338"/>
      <c r="AO532" s="339"/>
    </row>
    <row r="533" spans="1:41">
      <c r="A533" s="757" t="s">
        <v>1130</v>
      </c>
      <c r="B533" s="716">
        <v>167609.5</v>
      </c>
      <c r="C533" s="339"/>
      <c r="D533" s="339"/>
      <c r="E533" s="594">
        <v>167609.5</v>
      </c>
      <c r="F533" s="324"/>
      <c r="G533" s="338"/>
      <c r="H533" s="338"/>
      <c r="I533" s="339"/>
      <c r="J533" s="322"/>
      <c r="K533" s="339"/>
      <c r="L533" s="339"/>
      <c r="M533" s="338"/>
      <c r="N533" s="717">
        <v>167609.5</v>
      </c>
      <c r="O533" s="338"/>
      <c r="P533" s="338"/>
      <c r="Q533" s="592">
        <v>167609.5</v>
      </c>
      <c r="R533" s="322"/>
      <c r="S533" s="339"/>
      <c r="T533" s="339"/>
      <c r="U533" s="338"/>
      <c r="V533" s="324"/>
      <c r="W533" s="338"/>
      <c r="X533" s="338"/>
      <c r="Y533" s="339"/>
      <c r="Z533" s="322"/>
      <c r="AA533" s="339"/>
      <c r="AB533" s="339"/>
      <c r="AC533" s="338"/>
      <c r="AD533" s="324"/>
      <c r="AE533" s="338"/>
      <c r="AF533" s="338"/>
      <c r="AG533" s="339"/>
      <c r="AH533" s="322"/>
      <c r="AI533" s="339"/>
      <c r="AJ533" s="339"/>
      <c r="AK533" s="338"/>
      <c r="AL533" s="324"/>
      <c r="AM533" s="338"/>
      <c r="AN533" s="338"/>
      <c r="AO533" s="339"/>
    </row>
    <row r="534" spans="1:41">
      <c r="A534" s="757" t="s">
        <v>932</v>
      </c>
      <c r="B534" s="716">
        <v>172899.5</v>
      </c>
      <c r="C534" s="339"/>
      <c r="D534" s="339"/>
      <c r="E534" s="594">
        <v>172899.5</v>
      </c>
      <c r="F534" s="324"/>
      <c r="G534" s="338"/>
      <c r="H534" s="338"/>
      <c r="I534" s="339"/>
      <c r="J534" s="322"/>
      <c r="K534" s="339"/>
      <c r="L534" s="339"/>
      <c r="M534" s="338"/>
      <c r="N534" s="717">
        <v>172899.5</v>
      </c>
      <c r="O534" s="338"/>
      <c r="P534" s="338"/>
      <c r="Q534" s="592">
        <v>172899.5</v>
      </c>
      <c r="R534" s="322"/>
      <c r="S534" s="339"/>
      <c r="T534" s="339"/>
      <c r="U534" s="338"/>
      <c r="V534" s="324"/>
      <c r="W534" s="338"/>
      <c r="X534" s="338"/>
      <c r="Y534" s="339"/>
      <c r="Z534" s="322"/>
      <c r="AA534" s="339"/>
      <c r="AB534" s="339"/>
      <c r="AC534" s="338"/>
      <c r="AD534" s="324"/>
      <c r="AE534" s="338"/>
      <c r="AF534" s="338"/>
      <c r="AG534" s="339"/>
      <c r="AH534" s="322"/>
      <c r="AI534" s="339"/>
      <c r="AJ534" s="339"/>
      <c r="AK534" s="338"/>
      <c r="AL534" s="324"/>
      <c r="AM534" s="338"/>
      <c r="AN534" s="338"/>
      <c r="AO534" s="339"/>
    </row>
    <row r="535" spans="1:41">
      <c r="A535" s="757" t="s">
        <v>1786</v>
      </c>
      <c r="B535" s="716">
        <v>1480001.1</v>
      </c>
      <c r="C535" s="339"/>
      <c r="D535" s="339"/>
      <c r="E535" s="594">
        <v>1480001.1</v>
      </c>
      <c r="F535" s="324"/>
      <c r="G535" s="338"/>
      <c r="H535" s="338"/>
      <c r="I535" s="339"/>
      <c r="J535" s="322"/>
      <c r="K535" s="339"/>
      <c r="L535" s="339"/>
      <c r="M535" s="338"/>
      <c r="N535" s="324"/>
      <c r="O535" s="338"/>
      <c r="P535" s="338"/>
      <c r="Q535" s="339"/>
      <c r="R535" s="322"/>
      <c r="S535" s="339"/>
      <c r="T535" s="339"/>
      <c r="U535" s="338"/>
      <c r="V535" s="324"/>
      <c r="W535" s="338"/>
      <c r="X535" s="338"/>
      <c r="Y535" s="339"/>
      <c r="Z535" s="322"/>
      <c r="AA535" s="339"/>
      <c r="AB535" s="339"/>
      <c r="AC535" s="338"/>
      <c r="AD535" s="717">
        <v>1480001.1</v>
      </c>
      <c r="AE535" s="338"/>
      <c r="AF535" s="338"/>
      <c r="AG535" s="592">
        <v>1480001.1</v>
      </c>
      <c r="AH535" s="322"/>
      <c r="AI535" s="339"/>
      <c r="AJ535" s="339"/>
      <c r="AK535" s="338"/>
      <c r="AL535" s="324"/>
      <c r="AM535" s="338"/>
      <c r="AN535" s="338"/>
      <c r="AO535" s="339"/>
    </row>
    <row r="536" spans="1:41">
      <c r="A536" s="757" t="s">
        <v>933</v>
      </c>
      <c r="B536" s="716">
        <v>139088.91</v>
      </c>
      <c r="C536" s="339"/>
      <c r="D536" s="339"/>
      <c r="E536" s="594">
        <v>139088.91</v>
      </c>
      <c r="F536" s="324"/>
      <c r="G536" s="338"/>
      <c r="H536" s="338"/>
      <c r="I536" s="339"/>
      <c r="J536" s="322"/>
      <c r="K536" s="339"/>
      <c r="L536" s="339"/>
      <c r="M536" s="338"/>
      <c r="N536" s="717">
        <v>139088.91</v>
      </c>
      <c r="O536" s="338"/>
      <c r="P536" s="338"/>
      <c r="Q536" s="592">
        <v>139088.91</v>
      </c>
      <c r="R536" s="322"/>
      <c r="S536" s="339"/>
      <c r="T536" s="339"/>
      <c r="U536" s="338"/>
      <c r="V536" s="324"/>
      <c r="W536" s="338"/>
      <c r="X536" s="338"/>
      <c r="Y536" s="339"/>
      <c r="Z536" s="322"/>
      <c r="AA536" s="339"/>
      <c r="AB536" s="339"/>
      <c r="AC536" s="338"/>
      <c r="AD536" s="324"/>
      <c r="AE536" s="338"/>
      <c r="AF536" s="338"/>
      <c r="AG536" s="339"/>
      <c r="AH536" s="322"/>
      <c r="AI536" s="339"/>
      <c r="AJ536" s="339"/>
      <c r="AK536" s="338"/>
      <c r="AL536" s="324"/>
      <c r="AM536" s="338"/>
      <c r="AN536" s="338"/>
      <c r="AO536" s="339"/>
    </row>
    <row r="537" spans="1:41">
      <c r="A537" s="757" t="s">
        <v>1787</v>
      </c>
      <c r="B537" s="716">
        <v>7834424.2400000002</v>
      </c>
      <c r="C537" s="325">
        <v>165614625.30000001</v>
      </c>
      <c r="D537" s="325">
        <v>173338776.21000001</v>
      </c>
      <c r="E537" s="594">
        <v>110273.33</v>
      </c>
      <c r="F537" s="324"/>
      <c r="G537" s="338"/>
      <c r="H537" s="338"/>
      <c r="I537" s="339"/>
      <c r="J537" s="322"/>
      <c r="K537" s="339"/>
      <c r="L537" s="339"/>
      <c r="M537" s="338"/>
      <c r="N537" s="324"/>
      <c r="O537" s="338"/>
      <c r="P537" s="338"/>
      <c r="Q537" s="339"/>
      <c r="R537" s="322"/>
      <c r="S537" s="339"/>
      <c r="T537" s="339"/>
      <c r="U537" s="338"/>
      <c r="V537" s="324"/>
      <c r="W537" s="338"/>
      <c r="X537" s="338"/>
      <c r="Y537" s="339"/>
      <c r="Z537" s="322"/>
      <c r="AA537" s="339"/>
      <c r="AB537" s="339"/>
      <c r="AC537" s="338"/>
      <c r="AD537" s="717">
        <v>7834424.2400000002</v>
      </c>
      <c r="AE537" s="323">
        <v>165614625.30000001</v>
      </c>
      <c r="AF537" s="323">
        <v>173338776.21000001</v>
      </c>
      <c r="AG537" s="592">
        <v>110273.33</v>
      </c>
      <c r="AH537" s="322"/>
      <c r="AI537" s="339"/>
      <c r="AJ537" s="339"/>
      <c r="AK537" s="338"/>
      <c r="AL537" s="324"/>
      <c r="AM537" s="338"/>
      <c r="AN537" s="338"/>
      <c r="AO537" s="339"/>
    </row>
    <row r="538" spans="1:41">
      <c r="A538" s="757" t="s">
        <v>935</v>
      </c>
      <c r="B538" s="716">
        <v>8673.6</v>
      </c>
      <c r="C538" s="339"/>
      <c r="D538" s="339"/>
      <c r="E538" s="594">
        <v>8673.6</v>
      </c>
      <c r="F538" s="324"/>
      <c r="G538" s="338"/>
      <c r="H538" s="338"/>
      <c r="I538" s="339"/>
      <c r="J538" s="322"/>
      <c r="K538" s="339"/>
      <c r="L538" s="339"/>
      <c r="M538" s="338"/>
      <c r="N538" s="717">
        <v>8673.6</v>
      </c>
      <c r="O538" s="338"/>
      <c r="P538" s="338"/>
      <c r="Q538" s="592">
        <v>8673.6</v>
      </c>
      <c r="R538" s="322"/>
      <c r="S538" s="339"/>
      <c r="T538" s="339"/>
      <c r="U538" s="338"/>
      <c r="V538" s="324"/>
      <c r="W538" s="338"/>
      <c r="X538" s="338"/>
      <c r="Y538" s="339"/>
      <c r="Z538" s="322"/>
      <c r="AA538" s="339"/>
      <c r="AB538" s="339"/>
      <c r="AC538" s="338"/>
      <c r="AD538" s="324"/>
      <c r="AE538" s="338"/>
      <c r="AF538" s="338"/>
      <c r="AG538" s="339"/>
      <c r="AH538" s="322"/>
      <c r="AI538" s="339"/>
      <c r="AJ538" s="339"/>
      <c r="AK538" s="338"/>
      <c r="AL538" s="324"/>
      <c r="AM538" s="338"/>
      <c r="AN538" s="338"/>
      <c r="AO538" s="339"/>
    </row>
    <row r="539" spans="1:41">
      <c r="A539" s="316" t="s">
        <v>590</v>
      </c>
      <c r="B539" s="955">
        <v>161358400</v>
      </c>
      <c r="C539" s="595"/>
      <c r="D539" s="595"/>
      <c r="E539" s="773">
        <v>161358400</v>
      </c>
      <c r="F539" s="943"/>
      <c r="G539" s="708"/>
      <c r="H539" s="708"/>
      <c r="I539" s="708"/>
      <c r="J539" s="944"/>
      <c r="K539" s="595"/>
      <c r="L539" s="595"/>
      <c r="M539" s="595"/>
      <c r="N539" s="946">
        <v>161358400</v>
      </c>
      <c r="O539" s="708"/>
      <c r="P539" s="708"/>
      <c r="Q539" s="767">
        <v>161358400</v>
      </c>
      <c r="R539" s="944"/>
      <c r="S539" s="595"/>
      <c r="T539" s="595"/>
      <c r="U539" s="595"/>
      <c r="V539" s="943"/>
      <c r="W539" s="708"/>
      <c r="X539" s="708"/>
      <c r="Y539" s="708"/>
      <c r="Z539" s="944"/>
      <c r="AA539" s="595"/>
      <c r="AB539" s="595"/>
      <c r="AC539" s="595"/>
      <c r="AD539" s="943"/>
      <c r="AE539" s="708"/>
      <c r="AF539" s="708"/>
      <c r="AG539" s="708"/>
      <c r="AH539" s="944"/>
      <c r="AI539" s="595"/>
      <c r="AJ539" s="595"/>
      <c r="AK539" s="595"/>
      <c r="AL539" s="943"/>
      <c r="AM539" s="708"/>
      <c r="AN539" s="708"/>
      <c r="AO539" s="708"/>
    </row>
    <row r="540" spans="1:41">
      <c r="A540" s="757" t="s">
        <v>363</v>
      </c>
      <c r="B540" s="738">
        <v>161358400</v>
      </c>
      <c r="C540" s="331"/>
      <c r="D540" s="331"/>
      <c r="E540" s="739">
        <v>161358400</v>
      </c>
      <c r="F540" s="317"/>
      <c r="G540" s="330"/>
      <c r="H540" s="330"/>
      <c r="I540" s="331"/>
      <c r="J540" s="319"/>
      <c r="K540" s="331"/>
      <c r="L540" s="331"/>
      <c r="M540" s="330"/>
      <c r="N540" s="728">
        <v>161358400</v>
      </c>
      <c r="O540" s="330"/>
      <c r="P540" s="330"/>
      <c r="Q540" s="729">
        <v>161358400</v>
      </c>
      <c r="R540" s="319"/>
      <c r="S540" s="331"/>
      <c r="T540" s="331"/>
      <c r="U540" s="330"/>
      <c r="V540" s="317"/>
      <c r="W540" s="330"/>
      <c r="X540" s="330"/>
      <c r="Y540" s="331"/>
      <c r="Z540" s="319"/>
      <c r="AA540" s="331"/>
      <c r="AB540" s="331"/>
      <c r="AC540" s="330"/>
      <c r="AD540" s="317"/>
      <c r="AE540" s="330"/>
      <c r="AF540" s="330"/>
      <c r="AG540" s="331"/>
      <c r="AH540" s="319"/>
      <c r="AI540" s="331"/>
      <c r="AJ540" s="331"/>
      <c r="AK540" s="330"/>
      <c r="AL540" s="317"/>
      <c r="AM540" s="330"/>
      <c r="AN540" s="330"/>
      <c r="AO540" s="331"/>
    </row>
    <row r="541" spans="1:41">
      <c r="A541" s="316" t="s">
        <v>591</v>
      </c>
      <c r="B541" s="955">
        <v>41874840</v>
      </c>
      <c r="C541" s="595"/>
      <c r="D541" s="595"/>
      <c r="E541" s="773">
        <v>41874840</v>
      </c>
      <c r="F541" s="943"/>
      <c r="G541" s="708"/>
      <c r="H541" s="708"/>
      <c r="I541" s="708"/>
      <c r="J541" s="944"/>
      <c r="K541" s="595"/>
      <c r="L541" s="595"/>
      <c r="M541" s="595"/>
      <c r="N541" s="946">
        <v>41874840</v>
      </c>
      <c r="O541" s="708"/>
      <c r="P541" s="708"/>
      <c r="Q541" s="767">
        <v>41874840</v>
      </c>
      <c r="R541" s="944"/>
      <c r="S541" s="595"/>
      <c r="T541" s="595"/>
      <c r="U541" s="595"/>
      <c r="V541" s="943"/>
      <c r="W541" s="708"/>
      <c r="X541" s="708"/>
      <c r="Y541" s="708"/>
      <c r="Z541" s="944"/>
      <c r="AA541" s="595"/>
      <c r="AB541" s="595"/>
      <c r="AC541" s="595"/>
      <c r="AD541" s="943"/>
      <c r="AE541" s="708"/>
      <c r="AF541" s="708"/>
      <c r="AG541" s="708"/>
      <c r="AH541" s="944"/>
      <c r="AI541" s="595"/>
      <c r="AJ541" s="595"/>
      <c r="AK541" s="595"/>
      <c r="AL541" s="943"/>
      <c r="AM541" s="708"/>
      <c r="AN541" s="708"/>
      <c r="AO541" s="708"/>
    </row>
    <row r="542" spans="1:41">
      <c r="A542" s="757" t="s">
        <v>364</v>
      </c>
      <c r="B542" s="738">
        <v>41874840</v>
      </c>
      <c r="C542" s="331"/>
      <c r="D542" s="331"/>
      <c r="E542" s="739">
        <v>41874840</v>
      </c>
      <c r="F542" s="317"/>
      <c r="G542" s="330"/>
      <c r="H542" s="330"/>
      <c r="I542" s="331"/>
      <c r="J542" s="319"/>
      <c r="K542" s="331"/>
      <c r="L542" s="331"/>
      <c r="M542" s="330"/>
      <c r="N542" s="728">
        <v>41874840</v>
      </c>
      <c r="O542" s="330"/>
      <c r="P542" s="330"/>
      <c r="Q542" s="729">
        <v>41874840</v>
      </c>
      <c r="R542" s="319"/>
      <c r="S542" s="331"/>
      <c r="T542" s="331"/>
      <c r="U542" s="330"/>
      <c r="V542" s="317"/>
      <c r="W542" s="330"/>
      <c r="X542" s="330"/>
      <c r="Y542" s="331"/>
      <c r="Z542" s="319"/>
      <c r="AA542" s="331"/>
      <c r="AB542" s="331"/>
      <c r="AC542" s="330"/>
      <c r="AD542" s="317"/>
      <c r="AE542" s="330"/>
      <c r="AF542" s="330"/>
      <c r="AG542" s="331"/>
      <c r="AH542" s="319"/>
      <c r="AI542" s="331"/>
      <c r="AJ542" s="331"/>
      <c r="AK542" s="330"/>
      <c r="AL542" s="317"/>
      <c r="AM542" s="330"/>
      <c r="AN542" s="330"/>
      <c r="AO542" s="331"/>
    </row>
    <row r="543" spans="1:41">
      <c r="A543" s="316" t="s">
        <v>1788</v>
      </c>
      <c r="B543" s="944"/>
      <c r="C543" s="591">
        <v>536912</v>
      </c>
      <c r="D543" s="591">
        <v>531162</v>
      </c>
      <c r="E543" s="773">
        <v>5750</v>
      </c>
      <c r="F543" s="943"/>
      <c r="G543" s="708"/>
      <c r="H543" s="708"/>
      <c r="I543" s="708"/>
      <c r="J543" s="944"/>
      <c r="K543" s="595"/>
      <c r="L543" s="595"/>
      <c r="M543" s="595"/>
      <c r="N543" s="943"/>
      <c r="O543" s="708"/>
      <c r="P543" s="708"/>
      <c r="Q543" s="708"/>
      <c r="R543" s="944"/>
      <c r="S543" s="591">
        <v>125169</v>
      </c>
      <c r="T543" s="591">
        <v>125169</v>
      </c>
      <c r="U543" s="595"/>
      <c r="V543" s="943"/>
      <c r="W543" s="708"/>
      <c r="X543" s="708"/>
      <c r="Y543" s="708"/>
      <c r="Z543" s="944"/>
      <c r="AA543" s="591">
        <v>660</v>
      </c>
      <c r="AB543" s="591">
        <v>660</v>
      </c>
      <c r="AC543" s="595"/>
      <c r="AD543" s="943"/>
      <c r="AE543" s="703">
        <v>15650</v>
      </c>
      <c r="AF543" s="703">
        <v>9900</v>
      </c>
      <c r="AG543" s="767">
        <v>5750</v>
      </c>
      <c r="AH543" s="944"/>
      <c r="AI543" s="595"/>
      <c r="AJ543" s="595"/>
      <c r="AK543" s="595"/>
      <c r="AL543" s="943"/>
      <c r="AM543" s="702">
        <v>395433</v>
      </c>
      <c r="AN543" s="702">
        <v>395433</v>
      </c>
      <c r="AO543" s="708"/>
    </row>
    <row r="544" spans="1:41">
      <c r="A544" s="756" t="s">
        <v>936</v>
      </c>
      <c r="B544" s="319"/>
      <c r="C544" s="331"/>
      <c r="D544" s="331"/>
      <c r="E544" s="330"/>
      <c r="F544" s="317"/>
      <c r="G544" s="330"/>
      <c r="H544" s="330"/>
      <c r="I544" s="331"/>
      <c r="J544" s="319"/>
      <c r="K544" s="331"/>
      <c r="L544" s="331"/>
      <c r="M544" s="330"/>
      <c r="N544" s="317"/>
      <c r="O544" s="330"/>
      <c r="P544" s="330"/>
      <c r="Q544" s="331"/>
      <c r="R544" s="319"/>
      <c r="S544" s="331"/>
      <c r="T544" s="331"/>
      <c r="U544" s="330"/>
      <c r="V544" s="317"/>
      <c r="W544" s="330"/>
      <c r="X544" s="330"/>
      <c r="Y544" s="331"/>
      <c r="Z544" s="319"/>
      <c r="AA544" s="331"/>
      <c r="AB544" s="331"/>
      <c r="AC544" s="330"/>
      <c r="AD544" s="317"/>
      <c r="AE544" s="330"/>
      <c r="AF544" s="330"/>
      <c r="AG544" s="331"/>
      <c r="AH544" s="319"/>
      <c r="AI544" s="331"/>
      <c r="AJ544" s="331"/>
      <c r="AK544" s="330"/>
      <c r="AL544" s="317"/>
      <c r="AM544" s="330"/>
      <c r="AN544" s="330"/>
      <c r="AO544" s="331"/>
    </row>
    <row r="545" spans="1:41">
      <c r="A545" s="756" t="s">
        <v>751</v>
      </c>
      <c r="B545" s="322"/>
      <c r="C545" s="325">
        <v>536252</v>
      </c>
      <c r="D545" s="325">
        <v>530502</v>
      </c>
      <c r="E545" s="594">
        <v>5750</v>
      </c>
      <c r="F545" s="324"/>
      <c r="G545" s="338"/>
      <c r="H545" s="338"/>
      <c r="I545" s="339"/>
      <c r="J545" s="322"/>
      <c r="K545" s="339"/>
      <c r="L545" s="339"/>
      <c r="M545" s="338"/>
      <c r="N545" s="324"/>
      <c r="O545" s="338"/>
      <c r="P545" s="338"/>
      <c r="Q545" s="339"/>
      <c r="R545" s="322"/>
      <c r="S545" s="325">
        <v>125169</v>
      </c>
      <c r="T545" s="325">
        <v>125169</v>
      </c>
      <c r="U545" s="338"/>
      <c r="V545" s="324"/>
      <c r="W545" s="338"/>
      <c r="X545" s="338"/>
      <c r="Y545" s="339"/>
      <c r="Z545" s="322"/>
      <c r="AA545" s="339"/>
      <c r="AB545" s="339"/>
      <c r="AC545" s="338"/>
      <c r="AD545" s="324"/>
      <c r="AE545" s="323">
        <v>15650</v>
      </c>
      <c r="AF545" s="323">
        <v>9900</v>
      </c>
      <c r="AG545" s="592">
        <v>5750</v>
      </c>
      <c r="AH545" s="322"/>
      <c r="AI545" s="339"/>
      <c r="AJ545" s="339"/>
      <c r="AK545" s="338"/>
      <c r="AL545" s="324"/>
      <c r="AM545" s="711">
        <v>395433</v>
      </c>
      <c r="AN545" s="711">
        <v>395433</v>
      </c>
      <c r="AO545" s="339"/>
    </row>
    <row r="546" spans="1:41">
      <c r="A546" s="756" t="s">
        <v>1789</v>
      </c>
      <c r="B546" s="322"/>
      <c r="C546" s="325">
        <v>660</v>
      </c>
      <c r="D546" s="325">
        <v>660</v>
      </c>
      <c r="E546" s="338"/>
      <c r="F546" s="324"/>
      <c r="G546" s="338"/>
      <c r="H546" s="338"/>
      <c r="I546" s="339"/>
      <c r="J546" s="322"/>
      <c r="K546" s="339"/>
      <c r="L546" s="339"/>
      <c r="M546" s="338"/>
      <c r="N546" s="324"/>
      <c r="O546" s="338"/>
      <c r="P546" s="338"/>
      <c r="Q546" s="339"/>
      <c r="R546" s="322"/>
      <c r="S546" s="339"/>
      <c r="T546" s="339"/>
      <c r="U546" s="338"/>
      <c r="V546" s="324"/>
      <c r="W546" s="338"/>
      <c r="X546" s="338"/>
      <c r="Y546" s="339"/>
      <c r="Z546" s="322"/>
      <c r="AA546" s="325">
        <v>660</v>
      </c>
      <c r="AB546" s="325">
        <v>660</v>
      </c>
      <c r="AC546" s="338"/>
      <c r="AD546" s="324"/>
      <c r="AE546" s="338"/>
      <c r="AF546" s="338"/>
      <c r="AG546" s="339"/>
      <c r="AH546" s="322"/>
      <c r="AI546" s="339"/>
      <c r="AJ546" s="339"/>
      <c r="AK546" s="338"/>
      <c r="AL546" s="324"/>
      <c r="AM546" s="338"/>
      <c r="AN546" s="338"/>
      <c r="AO546" s="339"/>
    </row>
    <row r="547" spans="1:41">
      <c r="A547" s="316" t="s">
        <v>1790</v>
      </c>
      <c r="B547" s="955">
        <v>5616898.3799999999</v>
      </c>
      <c r="C547" s="591">
        <v>4572425</v>
      </c>
      <c r="D547" s="591">
        <v>5279790</v>
      </c>
      <c r="E547" s="773">
        <v>4572425</v>
      </c>
      <c r="F547" s="943"/>
      <c r="G547" s="703">
        <v>613950</v>
      </c>
      <c r="H547" s="708"/>
      <c r="I547" s="767">
        <v>613950</v>
      </c>
      <c r="J547" s="944"/>
      <c r="K547" s="591">
        <v>282925</v>
      </c>
      <c r="L547" s="595"/>
      <c r="M547" s="773">
        <v>282925</v>
      </c>
      <c r="N547" s="946">
        <v>5616898.3799999999</v>
      </c>
      <c r="O547" s="703">
        <v>960501</v>
      </c>
      <c r="P547" s="708"/>
      <c r="Q547" s="767">
        <v>6577399.3799999999</v>
      </c>
      <c r="R547" s="944"/>
      <c r="S547" s="591">
        <v>3675550</v>
      </c>
      <c r="T547" s="595"/>
      <c r="U547" s="773">
        <v>3675550</v>
      </c>
      <c r="V547" s="946">
        <v>613950</v>
      </c>
      <c r="W547" s="708"/>
      <c r="X547" s="703">
        <v>613950</v>
      </c>
      <c r="Y547" s="708"/>
      <c r="Z547" s="955">
        <v>282925</v>
      </c>
      <c r="AA547" s="595"/>
      <c r="AB547" s="591">
        <v>282925</v>
      </c>
      <c r="AC547" s="595"/>
      <c r="AD547" s="946">
        <v>707365</v>
      </c>
      <c r="AE547" s="708"/>
      <c r="AF547" s="703">
        <v>707365</v>
      </c>
      <c r="AG547" s="708"/>
      <c r="AH547" s="944"/>
      <c r="AI547" s="595"/>
      <c r="AJ547" s="595"/>
      <c r="AK547" s="595"/>
      <c r="AL547" s="966">
        <v>3675550</v>
      </c>
      <c r="AM547" s="708"/>
      <c r="AN547" s="702">
        <v>3675550</v>
      </c>
      <c r="AO547" s="708"/>
    </row>
    <row r="548" spans="1:41">
      <c r="A548" s="757" t="s">
        <v>1791</v>
      </c>
      <c r="B548" s="738">
        <v>3126204.15</v>
      </c>
      <c r="C548" s="318">
        <v>721084</v>
      </c>
      <c r="D548" s="318">
        <v>721084</v>
      </c>
      <c r="E548" s="739">
        <v>721084</v>
      </c>
      <c r="F548" s="317"/>
      <c r="G548" s="320">
        <v>613950</v>
      </c>
      <c r="H548" s="330"/>
      <c r="I548" s="729">
        <v>613950</v>
      </c>
      <c r="J548" s="319"/>
      <c r="K548" s="331"/>
      <c r="L548" s="331"/>
      <c r="M548" s="330"/>
      <c r="N548" s="728">
        <v>3126204.15</v>
      </c>
      <c r="O548" s="330"/>
      <c r="P548" s="330"/>
      <c r="Q548" s="729">
        <v>3126204.15</v>
      </c>
      <c r="R548" s="319"/>
      <c r="S548" s="318">
        <v>107134</v>
      </c>
      <c r="T548" s="331"/>
      <c r="U548" s="739">
        <v>107134</v>
      </c>
      <c r="V548" s="728">
        <v>613950</v>
      </c>
      <c r="W548" s="330"/>
      <c r="X548" s="320">
        <v>613950</v>
      </c>
      <c r="Y548" s="331"/>
      <c r="Z548" s="319"/>
      <c r="AA548" s="331"/>
      <c r="AB548" s="331"/>
      <c r="AC548" s="330"/>
      <c r="AD548" s="317"/>
      <c r="AE548" s="330"/>
      <c r="AF548" s="330"/>
      <c r="AG548" s="331"/>
      <c r="AH548" s="319"/>
      <c r="AI548" s="331"/>
      <c r="AJ548" s="331"/>
      <c r="AK548" s="330"/>
      <c r="AL548" s="725">
        <v>107134</v>
      </c>
      <c r="AM548" s="330"/>
      <c r="AN548" s="723">
        <v>107134</v>
      </c>
      <c r="AO548" s="331"/>
    </row>
    <row r="549" spans="1:41">
      <c r="A549" s="757" t="s">
        <v>1792</v>
      </c>
      <c r="B549" s="716">
        <v>140522.29999999999</v>
      </c>
      <c r="C549" s="325">
        <v>282925</v>
      </c>
      <c r="D549" s="325">
        <v>282925</v>
      </c>
      <c r="E549" s="594">
        <v>282925</v>
      </c>
      <c r="F549" s="324"/>
      <c r="G549" s="338"/>
      <c r="H549" s="338"/>
      <c r="I549" s="339"/>
      <c r="J549" s="322"/>
      <c r="K549" s="325">
        <v>282925</v>
      </c>
      <c r="L549" s="339"/>
      <c r="M549" s="594">
        <v>282925</v>
      </c>
      <c r="N549" s="717">
        <v>140522.29999999999</v>
      </c>
      <c r="O549" s="338"/>
      <c r="P549" s="338"/>
      <c r="Q549" s="592">
        <v>140522.29999999999</v>
      </c>
      <c r="R549" s="322"/>
      <c r="S549" s="339"/>
      <c r="T549" s="339"/>
      <c r="U549" s="338"/>
      <c r="V549" s="324"/>
      <c r="W549" s="338"/>
      <c r="X549" s="338"/>
      <c r="Y549" s="339"/>
      <c r="Z549" s="716">
        <v>282925</v>
      </c>
      <c r="AA549" s="339"/>
      <c r="AB549" s="325">
        <v>282925</v>
      </c>
      <c r="AC549" s="338"/>
      <c r="AD549" s="324"/>
      <c r="AE549" s="338"/>
      <c r="AF549" s="338"/>
      <c r="AG549" s="339"/>
      <c r="AH549" s="322"/>
      <c r="AI549" s="339"/>
      <c r="AJ549" s="339"/>
      <c r="AK549" s="338"/>
      <c r="AL549" s="324"/>
      <c r="AM549" s="338"/>
      <c r="AN549" s="338"/>
      <c r="AO549" s="339"/>
    </row>
    <row r="550" spans="1:41">
      <c r="A550" s="757" t="s">
        <v>1793</v>
      </c>
      <c r="B550" s="716">
        <v>1288227.3999999999</v>
      </c>
      <c r="C550" s="339"/>
      <c r="D550" s="339"/>
      <c r="E550" s="594">
        <v>1288227.3999999999</v>
      </c>
      <c r="F550" s="324"/>
      <c r="G550" s="338"/>
      <c r="H550" s="338"/>
      <c r="I550" s="339"/>
      <c r="J550" s="322"/>
      <c r="K550" s="339"/>
      <c r="L550" s="339"/>
      <c r="M550" s="338"/>
      <c r="N550" s="717">
        <v>1288227.3999999999</v>
      </c>
      <c r="O550" s="338"/>
      <c r="P550" s="338"/>
      <c r="Q550" s="592">
        <v>1288227.3999999999</v>
      </c>
      <c r="R550" s="322"/>
      <c r="S550" s="339"/>
      <c r="T550" s="339"/>
      <c r="U550" s="338"/>
      <c r="V550" s="324"/>
      <c r="W550" s="338"/>
      <c r="X550" s="338"/>
      <c r="Y550" s="339"/>
      <c r="Z550" s="322"/>
      <c r="AA550" s="339"/>
      <c r="AB550" s="339"/>
      <c r="AC550" s="338"/>
      <c r="AD550" s="324"/>
      <c r="AE550" s="338"/>
      <c r="AF550" s="338"/>
      <c r="AG550" s="339"/>
      <c r="AH550" s="322"/>
      <c r="AI550" s="339"/>
      <c r="AJ550" s="339"/>
      <c r="AK550" s="338"/>
      <c r="AL550" s="324"/>
      <c r="AM550" s="338"/>
      <c r="AN550" s="338"/>
      <c r="AO550" s="339"/>
    </row>
    <row r="551" spans="1:41">
      <c r="A551" s="757" t="s">
        <v>1794</v>
      </c>
      <c r="B551" s="734">
        <v>101543</v>
      </c>
      <c r="C551" s="325">
        <v>101543</v>
      </c>
      <c r="D551" s="714">
        <v>101543</v>
      </c>
      <c r="E551" s="594">
        <v>101543</v>
      </c>
      <c r="F551" s="324"/>
      <c r="G551" s="338"/>
      <c r="H551" s="338"/>
      <c r="I551" s="339"/>
      <c r="J551" s="322"/>
      <c r="K551" s="339"/>
      <c r="L551" s="339"/>
      <c r="M551" s="338"/>
      <c r="N551" s="324"/>
      <c r="O551" s="338"/>
      <c r="P551" s="338"/>
      <c r="Q551" s="339"/>
      <c r="R551" s="322"/>
      <c r="S551" s="325">
        <v>101543</v>
      </c>
      <c r="T551" s="339"/>
      <c r="U551" s="594">
        <v>101543</v>
      </c>
      <c r="V551" s="324"/>
      <c r="W551" s="338"/>
      <c r="X551" s="338"/>
      <c r="Y551" s="339"/>
      <c r="Z551" s="322"/>
      <c r="AA551" s="339"/>
      <c r="AB551" s="339"/>
      <c r="AC551" s="338"/>
      <c r="AD551" s="324"/>
      <c r="AE551" s="338"/>
      <c r="AF551" s="338"/>
      <c r="AG551" s="339"/>
      <c r="AH551" s="322"/>
      <c r="AI551" s="339"/>
      <c r="AJ551" s="339"/>
      <c r="AK551" s="338"/>
      <c r="AL551" s="736">
        <v>101543</v>
      </c>
      <c r="AM551" s="338"/>
      <c r="AN551" s="711">
        <v>101543</v>
      </c>
      <c r="AO551" s="339"/>
    </row>
    <row r="552" spans="1:41">
      <c r="A552" s="757" t="s">
        <v>1795</v>
      </c>
      <c r="B552" s="716">
        <v>1061944.53</v>
      </c>
      <c r="C552" s="325">
        <v>253136</v>
      </c>
      <c r="D552" s="325">
        <v>861543</v>
      </c>
      <c r="E552" s="594">
        <v>1315080.53</v>
      </c>
      <c r="F552" s="324"/>
      <c r="G552" s="338"/>
      <c r="H552" s="338"/>
      <c r="I552" s="339"/>
      <c r="J552" s="322"/>
      <c r="K552" s="339"/>
      <c r="L552" s="339"/>
      <c r="M552" s="338"/>
      <c r="N552" s="717">
        <v>1061944.53</v>
      </c>
      <c r="O552" s="323">
        <v>253136</v>
      </c>
      <c r="P552" s="338"/>
      <c r="Q552" s="592">
        <v>1315080.53</v>
      </c>
      <c r="R552" s="322"/>
      <c r="S552" s="325">
        <v>154178</v>
      </c>
      <c r="T552" s="339"/>
      <c r="U552" s="594">
        <v>154178</v>
      </c>
      <c r="V552" s="324"/>
      <c r="W552" s="338"/>
      <c r="X552" s="338"/>
      <c r="Y552" s="339"/>
      <c r="Z552" s="322"/>
      <c r="AA552" s="339"/>
      <c r="AB552" s="339"/>
      <c r="AC552" s="338"/>
      <c r="AD552" s="717">
        <v>707365</v>
      </c>
      <c r="AE552" s="338"/>
      <c r="AF552" s="323">
        <v>707365</v>
      </c>
      <c r="AG552" s="339"/>
      <c r="AH552" s="322"/>
      <c r="AI552" s="339"/>
      <c r="AJ552" s="339"/>
      <c r="AK552" s="338"/>
      <c r="AL552" s="736">
        <v>154178</v>
      </c>
      <c r="AM552" s="338"/>
      <c r="AN552" s="711">
        <v>154178</v>
      </c>
      <c r="AO552" s="339"/>
    </row>
    <row r="553" spans="1:41">
      <c r="A553" s="757" t="s">
        <v>1796</v>
      </c>
      <c r="B553" s="322"/>
      <c r="C553" s="325">
        <v>707365</v>
      </c>
      <c r="D553" s="339"/>
      <c r="E553" s="594">
        <v>707365</v>
      </c>
      <c r="F553" s="324"/>
      <c r="G553" s="338"/>
      <c r="H553" s="338"/>
      <c r="I553" s="339"/>
      <c r="J553" s="322"/>
      <c r="K553" s="339"/>
      <c r="L553" s="339"/>
      <c r="M553" s="338"/>
      <c r="N553" s="324"/>
      <c r="O553" s="323">
        <v>707365</v>
      </c>
      <c r="P553" s="338"/>
      <c r="Q553" s="592">
        <v>707365</v>
      </c>
      <c r="R553" s="322"/>
      <c r="S553" s="339"/>
      <c r="T553" s="339"/>
      <c r="U553" s="338"/>
      <c r="V553" s="324"/>
      <c r="W553" s="338"/>
      <c r="X553" s="338"/>
      <c r="Y553" s="339"/>
      <c r="Z553" s="322"/>
      <c r="AA553" s="339"/>
      <c r="AB553" s="339"/>
      <c r="AC553" s="338"/>
      <c r="AD553" s="324"/>
      <c r="AE553" s="338"/>
      <c r="AF553" s="338"/>
      <c r="AG553" s="339"/>
      <c r="AH553" s="322"/>
      <c r="AI553" s="339"/>
      <c r="AJ553" s="339"/>
      <c r="AK553" s="338"/>
      <c r="AL553" s="324"/>
      <c r="AM553" s="338"/>
      <c r="AN553" s="338"/>
      <c r="AO553" s="339"/>
    </row>
    <row r="554" spans="1:41">
      <c r="A554" s="757" t="s">
        <v>1797</v>
      </c>
      <c r="B554" s="734">
        <v>3189239</v>
      </c>
      <c r="C554" s="325">
        <v>3189239</v>
      </c>
      <c r="D554" s="714">
        <v>3189239</v>
      </c>
      <c r="E554" s="594">
        <v>3189239</v>
      </c>
      <c r="F554" s="324"/>
      <c r="G554" s="338"/>
      <c r="H554" s="338"/>
      <c r="I554" s="339"/>
      <c r="J554" s="322"/>
      <c r="K554" s="339"/>
      <c r="L554" s="339"/>
      <c r="M554" s="338"/>
      <c r="N554" s="324"/>
      <c r="O554" s="338"/>
      <c r="P554" s="338"/>
      <c r="Q554" s="339"/>
      <c r="R554" s="322"/>
      <c r="S554" s="325">
        <v>3189239</v>
      </c>
      <c r="T554" s="339"/>
      <c r="U554" s="594">
        <v>3189239</v>
      </c>
      <c r="V554" s="324"/>
      <c r="W554" s="338"/>
      <c r="X554" s="338"/>
      <c r="Y554" s="339"/>
      <c r="Z554" s="322"/>
      <c r="AA554" s="339"/>
      <c r="AB554" s="339"/>
      <c r="AC554" s="338"/>
      <c r="AD554" s="324"/>
      <c r="AE554" s="338"/>
      <c r="AF554" s="338"/>
      <c r="AG554" s="339"/>
      <c r="AH554" s="322"/>
      <c r="AI554" s="339"/>
      <c r="AJ554" s="339"/>
      <c r="AK554" s="338"/>
      <c r="AL554" s="736">
        <v>3189239</v>
      </c>
      <c r="AM554" s="338"/>
      <c r="AN554" s="711">
        <v>3189239</v>
      </c>
      <c r="AO554" s="339"/>
    </row>
    <row r="555" spans="1:41">
      <c r="A555" s="757" t="s">
        <v>1798</v>
      </c>
      <c r="B555" s="734">
        <v>123456</v>
      </c>
      <c r="C555" s="325">
        <v>123456</v>
      </c>
      <c r="D555" s="714">
        <v>123456</v>
      </c>
      <c r="E555" s="594">
        <v>123456</v>
      </c>
      <c r="F555" s="324"/>
      <c r="G555" s="338"/>
      <c r="H555" s="338"/>
      <c r="I555" s="339"/>
      <c r="J555" s="322"/>
      <c r="K555" s="339"/>
      <c r="L555" s="339"/>
      <c r="M555" s="338"/>
      <c r="N555" s="324"/>
      <c r="O555" s="338"/>
      <c r="P555" s="338"/>
      <c r="Q555" s="339"/>
      <c r="R555" s="322"/>
      <c r="S555" s="325">
        <v>123456</v>
      </c>
      <c r="T555" s="339"/>
      <c r="U555" s="594">
        <v>123456</v>
      </c>
      <c r="V555" s="324"/>
      <c r="W555" s="338"/>
      <c r="X555" s="338"/>
      <c r="Y555" s="339"/>
      <c r="Z555" s="322"/>
      <c r="AA555" s="339"/>
      <c r="AB555" s="339"/>
      <c r="AC555" s="338"/>
      <c r="AD555" s="324"/>
      <c r="AE555" s="338"/>
      <c r="AF555" s="338"/>
      <c r="AG555" s="339"/>
      <c r="AH555" s="322"/>
      <c r="AI555" s="339"/>
      <c r="AJ555" s="339"/>
      <c r="AK555" s="338"/>
      <c r="AL555" s="736">
        <v>123456</v>
      </c>
      <c r="AM555" s="338"/>
      <c r="AN555" s="711">
        <v>123456</v>
      </c>
      <c r="AO555" s="339"/>
    </row>
    <row r="556" spans="1:41">
      <c r="A556" s="316" t="s">
        <v>592</v>
      </c>
      <c r="B556" s="955">
        <v>8832</v>
      </c>
      <c r="C556" s="591">
        <v>53818.49</v>
      </c>
      <c r="D556" s="591">
        <v>2800236.1039999998</v>
      </c>
      <c r="E556" s="773">
        <v>52386.49</v>
      </c>
      <c r="F556" s="943"/>
      <c r="G556" s="708"/>
      <c r="H556" s="708"/>
      <c r="I556" s="708"/>
      <c r="J556" s="944"/>
      <c r="K556" s="591">
        <v>2012</v>
      </c>
      <c r="L556" s="595"/>
      <c r="M556" s="773">
        <v>2012</v>
      </c>
      <c r="N556" s="946">
        <v>8832</v>
      </c>
      <c r="O556" s="703">
        <v>2747849.6140000001</v>
      </c>
      <c r="P556" s="708"/>
      <c r="Q556" s="767">
        <v>2756681.6140000001</v>
      </c>
      <c r="R556" s="944"/>
      <c r="S556" s="591">
        <v>50374.49</v>
      </c>
      <c r="T556" s="595"/>
      <c r="U556" s="773">
        <v>50374.49</v>
      </c>
      <c r="V556" s="943"/>
      <c r="W556" s="708"/>
      <c r="X556" s="708"/>
      <c r="Y556" s="708"/>
      <c r="Z556" s="955">
        <v>580</v>
      </c>
      <c r="AA556" s="591">
        <v>1432</v>
      </c>
      <c r="AB556" s="591">
        <v>2012</v>
      </c>
      <c r="AC556" s="595"/>
      <c r="AD556" s="946">
        <v>2747849.6140000001</v>
      </c>
      <c r="AE556" s="708"/>
      <c r="AF556" s="703">
        <v>2747849.6140000001</v>
      </c>
      <c r="AG556" s="708"/>
      <c r="AH556" s="944"/>
      <c r="AI556" s="595"/>
      <c r="AJ556" s="595"/>
      <c r="AK556" s="595"/>
      <c r="AL556" s="966">
        <v>50374.49</v>
      </c>
      <c r="AM556" s="708"/>
      <c r="AN556" s="702">
        <v>50374.49</v>
      </c>
      <c r="AO556" s="708"/>
    </row>
    <row r="557" spans="1:41">
      <c r="A557" s="757" t="s">
        <v>1799</v>
      </c>
      <c r="B557" s="738">
        <v>8832</v>
      </c>
      <c r="C557" s="318">
        <v>53818.49</v>
      </c>
      <c r="D557" s="318">
        <v>1291327.8600000001</v>
      </c>
      <c r="E557" s="739">
        <v>52386.49</v>
      </c>
      <c r="F557" s="317"/>
      <c r="G557" s="330"/>
      <c r="H557" s="330"/>
      <c r="I557" s="331"/>
      <c r="J557" s="319"/>
      <c r="K557" s="318">
        <v>2012</v>
      </c>
      <c r="L557" s="331"/>
      <c r="M557" s="739">
        <v>2012</v>
      </c>
      <c r="N557" s="728">
        <v>8832</v>
      </c>
      <c r="O557" s="330"/>
      <c r="P557" s="330"/>
      <c r="Q557" s="729">
        <v>8832</v>
      </c>
      <c r="R557" s="319"/>
      <c r="S557" s="318">
        <v>50374.49</v>
      </c>
      <c r="T557" s="331"/>
      <c r="U557" s="739">
        <v>50374.49</v>
      </c>
      <c r="V557" s="317"/>
      <c r="W557" s="330"/>
      <c r="X557" s="330"/>
      <c r="Y557" s="331"/>
      <c r="Z557" s="738">
        <v>580</v>
      </c>
      <c r="AA557" s="318">
        <v>1432</v>
      </c>
      <c r="AB557" s="318">
        <v>2012</v>
      </c>
      <c r="AC557" s="330"/>
      <c r="AD557" s="728">
        <v>1238941.3700000001</v>
      </c>
      <c r="AE557" s="330"/>
      <c r="AF557" s="320">
        <v>1238941.3700000001</v>
      </c>
      <c r="AG557" s="331"/>
      <c r="AH557" s="319"/>
      <c r="AI557" s="331"/>
      <c r="AJ557" s="331"/>
      <c r="AK557" s="330"/>
      <c r="AL557" s="725">
        <v>50374.49</v>
      </c>
      <c r="AM557" s="330"/>
      <c r="AN557" s="723">
        <v>50374.49</v>
      </c>
      <c r="AO557" s="331"/>
    </row>
    <row r="558" spans="1:41">
      <c r="A558" s="757" t="s">
        <v>1800</v>
      </c>
      <c r="B558" s="322"/>
      <c r="C558" s="325">
        <v>1238941.3700000001</v>
      </c>
      <c r="D558" s="339"/>
      <c r="E558" s="594">
        <v>1238941.3700000001</v>
      </c>
      <c r="F558" s="324"/>
      <c r="G558" s="338"/>
      <c r="H558" s="338"/>
      <c r="I558" s="339"/>
      <c r="J558" s="322"/>
      <c r="K558" s="339"/>
      <c r="L558" s="339"/>
      <c r="M558" s="338"/>
      <c r="N558" s="324"/>
      <c r="O558" s="323">
        <v>1238941.3700000001</v>
      </c>
      <c r="P558" s="338"/>
      <c r="Q558" s="592">
        <v>1238941.3700000001</v>
      </c>
      <c r="R558" s="322"/>
      <c r="S558" s="339"/>
      <c r="T558" s="339"/>
      <c r="U558" s="338"/>
      <c r="V558" s="324"/>
      <c r="W558" s="338"/>
      <c r="X558" s="338"/>
      <c r="Y558" s="339"/>
      <c r="Z558" s="322"/>
      <c r="AA558" s="339"/>
      <c r="AB558" s="339"/>
      <c r="AC558" s="338"/>
      <c r="AD558" s="324"/>
      <c r="AE558" s="338"/>
      <c r="AF558" s="338"/>
      <c r="AG558" s="339"/>
      <c r="AH558" s="322"/>
      <c r="AI558" s="339"/>
      <c r="AJ558" s="339"/>
      <c r="AK558" s="338"/>
      <c r="AL558" s="324"/>
      <c r="AM558" s="338"/>
      <c r="AN558" s="338"/>
      <c r="AO558" s="339"/>
    </row>
    <row r="559" spans="1:41">
      <c r="A559" s="757" t="s">
        <v>1801</v>
      </c>
      <c r="B559" s="322"/>
      <c r="C559" s="325">
        <v>1508908.2439999999</v>
      </c>
      <c r="D559" s="339"/>
      <c r="E559" s="594">
        <v>1508908.2439999999</v>
      </c>
      <c r="F559" s="324"/>
      <c r="G559" s="338"/>
      <c r="H559" s="338"/>
      <c r="I559" s="339"/>
      <c r="J559" s="322"/>
      <c r="K559" s="339"/>
      <c r="L559" s="339"/>
      <c r="M559" s="338"/>
      <c r="N559" s="324"/>
      <c r="O559" s="323">
        <v>1508908.2439999999</v>
      </c>
      <c r="P559" s="338"/>
      <c r="Q559" s="592">
        <v>1508908.2439999999</v>
      </c>
      <c r="R559" s="322"/>
      <c r="S559" s="339"/>
      <c r="T559" s="339"/>
      <c r="U559" s="338"/>
      <c r="V559" s="324"/>
      <c r="W559" s="338"/>
      <c r="X559" s="338"/>
      <c r="Y559" s="339"/>
      <c r="Z559" s="322"/>
      <c r="AA559" s="339"/>
      <c r="AB559" s="339"/>
      <c r="AC559" s="338"/>
      <c r="AD559" s="324"/>
      <c r="AE559" s="338"/>
      <c r="AF559" s="338"/>
      <c r="AG559" s="339"/>
      <c r="AH559" s="322"/>
      <c r="AI559" s="339"/>
      <c r="AJ559" s="339"/>
      <c r="AK559" s="338"/>
      <c r="AL559" s="324"/>
      <c r="AM559" s="338"/>
      <c r="AN559" s="338"/>
      <c r="AO559" s="339"/>
    </row>
    <row r="560" spans="1:41">
      <c r="A560" s="757" t="s">
        <v>753</v>
      </c>
      <c r="B560" s="716">
        <v>1508908.2439999999</v>
      </c>
      <c r="C560" s="339"/>
      <c r="D560" s="325">
        <v>1508908.2439999999</v>
      </c>
      <c r="E560" s="338"/>
      <c r="F560" s="324"/>
      <c r="G560" s="338"/>
      <c r="H560" s="338"/>
      <c r="I560" s="339"/>
      <c r="J560" s="322"/>
      <c r="K560" s="339"/>
      <c r="L560" s="339"/>
      <c r="M560" s="338"/>
      <c r="N560" s="324"/>
      <c r="O560" s="338"/>
      <c r="P560" s="338"/>
      <c r="Q560" s="339"/>
      <c r="R560" s="322"/>
      <c r="S560" s="339"/>
      <c r="T560" s="339"/>
      <c r="U560" s="338"/>
      <c r="V560" s="324"/>
      <c r="W560" s="338"/>
      <c r="X560" s="338"/>
      <c r="Y560" s="339"/>
      <c r="Z560" s="322"/>
      <c r="AA560" s="339"/>
      <c r="AB560" s="339"/>
      <c r="AC560" s="338"/>
      <c r="AD560" s="717">
        <v>1508908.2439999999</v>
      </c>
      <c r="AE560" s="338"/>
      <c r="AF560" s="323">
        <v>1508908.2439999999</v>
      </c>
      <c r="AG560" s="339"/>
      <c r="AH560" s="322"/>
      <c r="AI560" s="339"/>
      <c r="AJ560" s="339"/>
      <c r="AK560" s="338"/>
      <c r="AL560" s="324"/>
      <c r="AM560" s="338"/>
      <c r="AN560" s="338"/>
      <c r="AO560" s="339"/>
    </row>
    <row r="561" spans="1:41">
      <c r="A561" s="316" t="s">
        <v>593</v>
      </c>
      <c r="B561" s="955">
        <v>613670</v>
      </c>
      <c r="C561" s="591">
        <v>4819549</v>
      </c>
      <c r="D561" s="591">
        <v>6700231</v>
      </c>
      <c r="E561" s="773">
        <v>3623635</v>
      </c>
      <c r="F561" s="943"/>
      <c r="G561" s="703">
        <v>375282</v>
      </c>
      <c r="H561" s="708"/>
      <c r="I561" s="767">
        <v>375282</v>
      </c>
      <c r="J561" s="944"/>
      <c r="K561" s="591">
        <v>76776</v>
      </c>
      <c r="L561" s="595"/>
      <c r="M561" s="773">
        <v>76776</v>
      </c>
      <c r="N561" s="946">
        <v>613670</v>
      </c>
      <c r="O561" s="703">
        <v>3789809</v>
      </c>
      <c r="P561" s="708"/>
      <c r="Q561" s="767">
        <v>4403479</v>
      </c>
      <c r="R561" s="944"/>
      <c r="S561" s="591">
        <v>3171577</v>
      </c>
      <c r="T561" s="595"/>
      <c r="U561" s="773">
        <v>3171577</v>
      </c>
      <c r="V561" s="946">
        <v>229575</v>
      </c>
      <c r="W561" s="703">
        <v>145707</v>
      </c>
      <c r="X561" s="703">
        <v>375282</v>
      </c>
      <c r="Y561" s="708"/>
      <c r="Z561" s="955">
        <v>21223</v>
      </c>
      <c r="AA561" s="591">
        <v>52166</v>
      </c>
      <c r="AB561" s="591">
        <v>73389</v>
      </c>
      <c r="AC561" s="595"/>
      <c r="AD561" s="946">
        <v>3337826</v>
      </c>
      <c r="AE561" s="708"/>
      <c r="AF561" s="703">
        <v>3337826</v>
      </c>
      <c r="AG561" s="708"/>
      <c r="AH561" s="944"/>
      <c r="AI561" s="595"/>
      <c r="AJ561" s="595"/>
      <c r="AK561" s="595"/>
      <c r="AL561" s="966">
        <v>1915693</v>
      </c>
      <c r="AM561" s="702">
        <v>998041</v>
      </c>
      <c r="AN561" s="702">
        <v>2913734</v>
      </c>
      <c r="AO561" s="708"/>
    </row>
    <row r="562" spans="1:41">
      <c r="A562" s="757" t="s">
        <v>1802</v>
      </c>
      <c r="B562" s="319"/>
      <c r="C562" s="318">
        <v>3337826</v>
      </c>
      <c r="D562" s="331"/>
      <c r="E562" s="739">
        <v>3337826</v>
      </c>
      <c r="F562" s="317"/>
      <c r="G562" s="330"/>
      <c r="H562" s="330"/>
      <c r="I562" s="331"/>
      <c r="J562" s="319"/>
      <c r="K562" s="331"/>
      <c r="L562" s="331"/>
      <c r="M562" s="330"/>
      <c r="N562" s="317"/>
      <c r="O562" s="320">
        <v>3337826</v>
      </c>
      <c r="P562" s="330"/>
      <c r="Q562" s="729">
        <v>3337826</v>
      </c>
      <c r="R562" s="319"/>
      <c r="S562" s="331"/>
      <c r="T562" s="331"/>
      <c r="U562" s="330"/>
      <c r="V562" s="317"/>
      <c r="W562" s="330"/>
      <c r="X562" s="330"/>
      <c r="Y562" s="331"/>
      <c r="Z562" s="319"/>
      <c r="AA562" s="331"/>
      <c r="AB562" s="331"/>
      <c r="AC562" s="330"/>
      <c r="AD562" s="317"/>
      <c r="AE562" s="330"/>
      <c r="AF562" s="330"/>
      <c r="AG562" s="331"/>
      <c r="AH562" s="319"/>
      <c r="AI562" s="331"/>
      <c r="AJ562" s="331"/>
      <c r="AK562" s="330"/>
      <c r="AL562" s="317"/>
      <c r="AM562" s="330"/>
      <c r="AN562" s="330"/>
      <c r="AO562" s="331"/>
    </row>
    <row r="563" spans="1:41">
      <c r="A563" s="757" t="s">
        <v>938</v>
      </c>
      <c r="B563" s="716">
        <v>613670</v>
      </c>
      <c r="C563" s="325">
        <v>4819549</v>
      </c>
      <c r="D563" s="325">
        <v>6700231</v>
      </c>
      <c r="E563" s="594">
        <v>3623635</v>
      </c>
      <c r="F563" s="324"/>
      <c r="G563" s="323">
        <v>375282</v>
      </c>
      <c r="H563" s="338"/>
      <c r="I563" s="592">
        <v>375282</v>
      </c>
      <c r="J563" s="322"/>
      <c r="K563" s="325">
        <v>76776</v>
      </c>
      <c r="L563" s="339"/>
      <c r="M563" s="594">
        <v>76776</v>
      </c>
      <c r="N563" s="717">
        <v>613670</v>
      </c>
      <c r="O563" s="323">
        <v>18510</v>
      </c>
      <c r="P563" s="338"/>
      <c r="Q563" s="592">
        <v>632180</v>
      </c>
      <c r="R563" s="322"/>
      <c r="S563" s="325">
        <v>3171577</v>
      </c>
      <c r="T563" s="339"/>
      <c r="U563" s="594">
        <v>3171577</v>
      </c>
      <c r="V563" s="717">
        <v>229575</v>
      </c>
      <c r="W563" s="323">
        <v>145707</v>
      </c>
      <c r="X563" s="323">
        <v>375282</v>
      </c>
      <c r="Y563" s="339"/>
      <c r="Z563" s="716">
        <v>21223</v>
      </c>
      <c r="AA563" s="325">
        <v>52166</v>
      </c>
      <c r="AB563" s="325">
        <v>73389</v>
      </c>
      <c r="AC563" s="338"/>
      <c r="AD563" s="717">
        <v>3337826</v>
      </c>
      <c r="AE563" s="338"/>
      <c r="AF563" s="323">
        <v>3337826</v>
      </c>
      <c r="AG563" s="339"/>
      <c r="AH563" s="322"/>
      <c r="AI563" s="339"/>
      <c r="AJ563" s="339"/>
      <c r="AK563" s="338"/>
      <c r="AL563" s="736">
        <v>1915693</v>
      </c>
      <c r="AM563" s="711">
        <v>998041</v>
      </c>
      <c r="AN563" s="711">
        <v>2913734</v>
      </c>
      <c r="AO563" s="339"/>
    </row>
    <row r="564" spans="1:41">
      <c r="A564" s="757" t="s">
        <v>1803</v>
      </c>
      <c r="B564" s="322"/>
      <c r="C564" s="325">
        <v>433473</v>
      </c>
      <c r="D564" s="339"/>
      <c r="E564" s="594">
        <v>433473</v>
      </c>
      <c r="F564" s="324"/>
      <c r="G564" s="338"/>
      <c r="H564" s="338"/>
      <c r="I564" s="339"/>
      <c r="J564" s="322"/>
      <c r="K564" s="339"/>
      <c r="L564" s="339"/>
      <c r="M564" s="338"/>
      <c r="N564" s="324"/>
      <c r="O564" s="323">
        <v>433473</v>
      </c>
      <c r="P564" s="338"/>
      <c r="Q564" s="592">
        <v>433473</v>
      </c>
      <c r="R564" s="322"/>
      <c r="S564" s="339"/>
      <c r="T564" s="339"/>
      <c r="U564" s="338"/>
      <c r="V564" s="324"/>
      <c r="W564" s="338"/>
      <c r="X564" s="338"/>
      <c r="Y564" s="339"/>
      <c r="Z564" s="322"/>
      <c r="AA564" s="339"/>
      <c r="AB564" s="339"/>
      <c r="AC564" s="338"/>
      <c r="AD564" s="324"/>
      <c r="AE564" s="338"/>
      <c r="AF564" s="338"/>
      <c r="AG564" s="339"/>
      <c r="AH564" s="322"/>
      <c r="AI564" s="339"/>
      <c r="AJ564" s="339"/>
      <c r="AK564" s="338"/>
      <c r="AL564" s="324"/>
      <c r="AM564" s="338"/>
      <c r="AN564" s="338"/>
      <c r="AO564" s="339"/>
    </row>
    <row r="565" spans="1:41">
      <c r="A565" s="321" t="s">
        <v>1804</v>
      </c>
      <c r="B565" s="324"/>
      <c r="C565" s="323">
        <v>1181582</v>
      </c>
      <c r="D565" s="338"/>
      <c r="E565" s="592">
        <v>1181582</v>
      </c>
      <c r="F565" s="322"/>
      <c r="G565" s="339"/>
      <c r="H565" s="339"/>
      <c r="I565" s="338"/>
      <c r="J565" s="324"/>
      <c r="K565" s="338"/>
      <c r="L565" s="338"/>
      <c r="M565" s="339"/>
      <c r="N565" s="322"/>
      <c r="O565" s="325">
        <v>1181582</v>
      </c>
      <c r="P565" s="339"/>
      <c r="Q565" s="594">
        <v>1181582</v>
      </c>
      <c r="R565" s="324"/>
      <c r="S565" s="338"/>
      <c r="T565" s="338"/>
      <c r="U565" s="339"/>
      <c r="V565" s="322"/>
      <c r="W565" s="339"/>
      <c r="X565" s="339"/>
      <c r="Y565" s="338"/>
      <c r="Z565" s="324"/>
      <c r="AA565" s="338"/>
      <c r="AB565" s="338"/>
      <c r="AC565" s="339"/>
      <c r="AD565" s="322"/>
      <c r="AE565" s="339"/>
      <c r="AF565" s="339"/>
      <c r="AG565" s="338"/>
      <c r="AH565" s="324"/>
      <c r="AI565" s="338"/>
      <c r="AJ565" s="338"/>
      <c r="AK565" s="339"/>
      <c r="AL565" s="322"/>
      <c r="AM565" s="339"/>
      <c r="AN565" s="339"/>
      <c r="AO565" s="338"/>
    </row>
    <row r="566" spans="1:41">
      <c r="A566" s="321" t="s">
        <v>1805</v>
      </c>
      <c r="B566" s="717">
        <v>827286</v>
      </c>
      <c r="C566" s="323">
        <v>862714</v>
      </c>
      <c r="D566" s="323">
        <v>862714</v>
      </c>
      <c r="E566" s="592">
        <v>862714</v>
      </c>
      <c r="F566" s="322"/>
      <c r="G566" s="339"/>
      <c r="H566" s="339"/>
      <c r="I566" s="338"/>
      <c r="J566" s="324"/>
      <c r="K566" s="338"/>
      <c r="L566" s="338"/>
      <c r="M566" s="339"/>
      <c r="N566" s="322"/>
      <c r="O566" s="325">
        <v>862714</v>
      </c>
      <c r="P566" s="339"/>
      <c r="Q566" s="594">
        <v>862714</v>
      </c>
      <c r="R566" s="324"/>
      <c r="S566" s="338"/>
      <c r="T566" s="338"/>
      <c r="U566" s="339"/>
      <c r="V566" s="322"/>
      <c r="W566" s="339"/>
      <c r="X566" s="339"/>
      <c r="Y566" s="338"/>
      <c r="Z566" s="324"/>
      <c r="AA566" s="338"/>
      <c r="AB566" s="338"/>
      <c r="AC566" s="339"/>
      <c r="AD566" s="716">
        <v>827286</v>
      </c>
      <c r="AE566" s="325">
        <v>35428</v>
      </c>
      <c r="AF566" s="325">
        <v>862714</v>
      </c>
      <c r="AG566" s="338"/>
      <c r="AH566" s="324"/>
      <c r="AI566" s="338"/>
      <c r="AJ566" s="338"/>
      <c r="AK566" s="339"/>
      <c r="AL566" s="322"/>
      <c r="AM566" s="339"/>
      <c r="AN566" s="339"/>
      <c r="AO566" s="338"/>
    </row>
    <row r="567" spans="1:41">
      <c r="A567" s="321" t="s">
        <v>1806</v>
      </c>
      <c r="B567" s="717">
        <v>924910</v>
      </c>
      <c r="C567" s="323">
        <v>256672</v>
      </c>
      <c r="D567" s="323">
        <v>1181582</v>
      </c>
      <c r="E567" s="339"/>
      <c r="F567" s="322"/>
      <c r="G567" s="339"/>
      <c r="H567" s="339"/>
      <c r="I567" s="338"/>
      <c r="J567" s="324"/>
      <c r="K567" s="338"/>
      <c r="L567" s="338"/>
      <c r="M567" s="339"/>
      <c r="N567" s="322"/>
      <c r="O567" s="339"/>
      <c r="P567" s="339"/>
      <c r="Q567" s="338"/>
      <c r="R567" s="324"/>
      <c r="S567" s="338"/>
      <c r="T567" s="338"/>
      <c r="U567" s="339"/>
      <c r="V567" s="322"/>
      <c r="W567" s="339"/>
      <c r="X567" s="339"/>
      <c r="Y567" s="338"/>
      <c r="Z567" s="324"/>
      <c r="AA567" s="338"/>
      <c r="AB567" s="338"/>
      <c r="AC567" s="339"/>
      <c r="AD567" s="716">
        <v>924910</v>
      </c>
      <c r="AE567" s="325">
        <v>256672</v>
      </c>
      <c r="AF567" s="325">
        <v>1181582</v>
      </c>
      <c r="AG567" s="338"/>
      <c r="AH567" s="324"/>
      <c r="AI567" s="338"/>
      <c r="AJ567" s="338"/>
      <c r="AK567" s="339"/>
      <c r="AL567" s="322"/>
      <c r="AM567" s="339"/>
      <c r="AN567" s="339"/>
      <c r="AO567" s="338"/>
    </row>
    <row r="568" spans="1:41" hidden="1">
      <c r="A568" s="321" t="s">
        <v>744</v>
      </c>
      <c r="B568" s="699">
        <v>7562257.0800000001</v>
      </c>
      <c r="C568" s="323">
        <v>8577812.3100000005</v>
      </c>
      <c r="D568" s="323">
        <v>1015555.23</v>
      </c>
      <c r="E568" s="339"/>
      <c r="F568" s="322"/>
      <c r="G568" s="339"/>
      <c r="H568" s="339"/>
      <c r="I568" s="338"/>
      <c r="J568" s="324"/>
      <c r="K568" s="338"/>
      <c r="L568" s="338"/>
      <c r="M568" s="339"/>
      <c r="N568" s="322"/>
      <c r="O568" s="339"/>
      <c r="P568" s="339"/>
      <c r="Q568" s="338"/>
      <c r="R568" s="324"/>
      <c r="S568" s="338"/>
      <c r="T568" s="338"/>
      <c r="U568" s="339"/>
      <c r="V568" s="322"/>
      <c r="W568" s="339"/>
      <c r="X568" s="339"/>
      <c r="Y568" s="338"/>
      <c r="Z568" s="324"/>
      <c r="AA568" s="338"/>
      <c r="AB568" s="338"/>
      <c r="AC568" s="339"/>
      <c r="AD568" s="700">
        <v>7562257.0800000001</v>
      </c>
      <c r="AE568" s="325">
        <v>8577812.3100000005</v>
      </c>
      <c r="AF568" s="325">
        <v>1015555.23</v>
      </c>
      <c r="AG568" s="338"/>
      <c r="AH568" s="324"/>
      <c r="AI568" s="338"/>
      <c r="AJ568" s="338"/>
      <c r="AK568" s="339"/>
      <c r="AL568" s="322"/>
      <c r="AM568" s="339"/>
      <c r="AN568" s="339"/>
      <c r="AO568" s="338"/>
    </row>
    <row r="569" spans="1:41" hidden="1">
      <c r="A569" s="321" t="s">
        <v>594</v>
      </c>
      <c r="B569" s="717">
        <v>241881.79</v>
      </c>
      <c r="C569" s="338"/>
      <c r="D569" s="323">
        <v>2669.35</v>
      </c>
      <c r="E569" s="592">
        <v>239212.44</v>
      </c>
      <c r="F569" s="322"/>
      <c r="G569" s="339"/>
      <c r="H569" s="339"/>
      <c r="I569" s="338"/>
      <c r="J569" s="324"/>
      <c r="K569" s="338"/>
      <c r="L569" s="338"/>
      <c r="M569" s="339"/>
      <c r="N569" s="716">
        <v>241881.79</v>
      </c>
      <c r="O569" s="339"/>
      <c r="P569" s="325">
        <v>2669.35</v>
      </c>
      <c r="Q569" s="594">
        <v>239212.44</v>
      </c>
      <c r="R569" s="324"/>
      <c r="S569" s="338"/>
      <c r="T569" s="338"/>
      <c r="U569" s="339"/>
      <c r="V569" s="322"/>
      <c r="W569" s="339"/>
      <c r="X569" s="339"/>
      <c r="Y569" s="338"/>
      <c r="Z569" s="324"/>
      <c r="AA569" s="338"/>
      <c r="AB569" s="338"/>
      <c r="AC569" s="339"/>
      <c r="AD569" s="322"/>
      <c r="AE569" s="339"/>
      <c r="AF569" s="339"/>
      <c r="AG569" s="338"/>
      <c r="AH569" s="324"/>
      <c r="AI569" s="338"/>
      <c r="AJ569" s="338"/>
      <c r="AK569" s="339"/>
      <c r="AL569" s="322"/>
      <c r="AM569" s="339"/>
      <c r="AN569" s="339"/>
      <c r="AO569" s="338"/>
    </row>
    <row r="570" spans="1:41" hidden="1">
      <c r="A570" s="321" t="s">
        <v>1807</v>
      </c>
      <c r="B570" s="324"/>
      <c r="C570" s="338"/>
      <c r="D570" s="323">
        <v>8577812.3100000005</v>
      </c>
      <c r="E570" s="588">
        <v>8577812.3100000005</v>
      </c>
      <c r="F570" s="322"/>
      <c r="G570" s="339"/>
      <c r="H570" s="339"/>
      <c r="I570" s="338"/>
      <c r="J570" s="324"/>
      <c r="K570" s="338"/>
      <c r="L570" s="338"/>
      <c r="M570" s="339"/>
      <c r="N570" s="322"/>
      <c r="O570" s="339"/>
      <c r="P570" s="325">
        <v>8577812.3100000005</v>
      </c>
      <c r="Q570" s="589">
        <v>8577812.3100000005</v>
      </c>
      <c r="R570" s="324"/>
      <c r="S570" s="338"/>
      <c r="T570" s="338"/>
      <c r="U570" s="339"/>
      <c r="V570" s="322"/>
      <c r="W570" s="339"/>
      <c r="X570" s="339"/>
      <c r="Y570" s="338"/>
      <c r="Z570" s="324"/>
      <c r="AA570" s="338"/>
      <c r="AB570" s="338"/>
      <c r="AC570" s="339"/>
      <c r="AD570" s="322"/>
      <c r="AE570" s="339"/>
      <c r="AF570" s="339"/>
      <c r="AG570" s="338"/>
      <c r="AH570" s="324"/>
      <c r="AI570" s="338"/>
      <c r="AJ570" s="338"/>
      <c r="AK570" s="339"/>
      <c r="AL570" s="322"/>
      <c r="AM570" s="339"/>
      <c r="AN570" s="339"/>
      <c r="AO570" s="338"/>
    </row>
    <row r="571" spans="1:41">
      <c r="A571" s="321" t="s">
        <v>1808</v>
      </c>
      <c r="B571" s="736">
        <v>105437</v>
      </c>
      <c r="C571" s="711">
        <v>11716</v>
      </c>
      <c r="D571" s="711">
        <v>117153</v>
      </c>
      <c r="E571" s="339"/>
      <c r="F571" s="322"/>
      <c r="G571" s="339"/>
      <c r="H571" s="339"/>
      <c r="I571" s="338"/>
      <c r="J571" s="324"/>
      <c r="K571" s="338"/>
      <c r="L571" s="338"/>
      <c r="M571" s="339"/>
      <c r="N571" s="322"/>
      <c r="O571" s="339"/>
      <c r="P571" s="339"/>
      <c r="Q571" s="338"/>
      <c r="R571" s="324"/>
      <c r="S571" s="338"/>
      <c r="T571" s="338"/>
      <c r="U571" s="339"/>
      <c r="V571" s="322"/>
      <c r="W571" s="339"/>
      <c r="X571" s="339"/>
      <c r="Y571" s="338"/>
      <c r="Z571" s="324"/>
      <c r="AA571" s="338"/>
      <c r="AB571" s="338"/>
      <c r="AC571" s="339"/>
      <c r="AD571" s="322"/>
      <c r="AE571" s="339"/>
      <c r="AF571" s="339"/>
      <c r="AG571" s="338"/>
      <c r="AH571" s="324"/>
      <c r="AI571" s="338"/>
      <c r="AJ571" s="338"/>
      <c r="AK571" s="339"/>
      <c r="AL571" s="734">
        <v>105437</v>
      </c>
      <c r="AM571" s="714">
        <v>11716</v>
      </c>
      <c r="AN571" s="714">
        <v>117153</v>
      </c>
      <c r="AO571" s="338"/>
    </row>
    <row r="572" spans="1:41">
      <c r="A572" s="321" t="s">
        <v>1809</v>
      </c>
      <c r="B572" s="717">
        <v>64641180</v>
      </c>
      <c r="C572" s="338"/>
      <c r="D572" s="323">
        <v>64641180</v>
      </c>
      <c r="E572" s="339"/>
      <c r="F572" s="322"/>
      <c r="G572" s="339"/>
      <c r="H572" s="339"/>
      <c r="I572" s="338"/>
      <c r="J572" s="324"/>
      <c r="K572" s="338"/>
      <c r="L572" s="338"/>
      <c r="M572" s="339"/>
      <c r="N572" s="322"/>
      <c r="O572" s="339"/>
      <c r="P572" s="339"/>
      <c r="Q572" s="338"/>
      <c r="R572" s="324"/>
      <c r="S572" s="338"/>
      <c r="T572" s="338"/>
      <c r="U572" s="339"/>
      <c r="V572" s="322"/>
      <c r="W572" s="339"/>
      <c r="X572" s="339"/>
      <c r="Y572" s="338"/>
      <c r="Z572" s="324"/>
      <c r="AA572" s="338"/>
      <c r="AB572" s="338"/>
      <c r="AC572" s="339"/>
      <c r="AD572" s="716">
        <v>64641180</v>
      </c>
      <c r="AE572" s="339"/>
      <c r="AF572" s="325">
        <v>64641180</v>
      </c>
      <c r="AG572" s="338"/>
      <c r="AH572" s="324"/>
      <c r="AI572" s="338"/>
      <c r="AJ572" s="338"/>
      <c r="AK572" s="339"/>
      <c r="AL572" s="322"/>
      <c r="AM572" s="339"/>
      <c r="AN572" s="339"/>
      <c r="AO572" s="338"/>
    </row>
    <row r="573" spans="1:41">
      <c r="A573" s="321" t="s">
        <v>1810</v>
      </c>
      <c r="B573" s="324"/>
      <c r="C573" s="323">
        <v>64641180</v>
      </c>
      <c r="D573" s="338"/>
      <c r="E573" s="592">
        <v>64641180</v>
      </c>
      <c r="F573" s="322"/>
      <c r="G573" s="339"/>
      <c r="H573" s="339"/>
      <c r="I573" s="338"/>
      <c r="J573" s="324"/>
      <c r="K573" s="338"/>
      <c r="L573" s="338"/>
      <c r="M573" s="339"/>
      <c r="N573" s="322"/>
      <c r="O573" s="325">
        <v>64641180</v>
      </c>
      <c r="P573" s="339"/>
      <c r="Q573" s="594">
        <v>64641180</v>
      </c>
      <c r="R573" s="324"/>
      <c r="S573" s="338"/>
      <c r="T573" s="338"/>
      <c r="U573" s="339"/>
      <c r="V573" s="322"/>
      <c r="W573" s="339"/>
      <c r="X573" s="339"/>
      <c r="Y573" s="338"/>
      <c r="Z573" s="324"/>
      <c r="AA573" s="338"/>
      <c r="AB573" s="338"/>
      <c r="AC573" s="339"/>
      <c r="AD573" s="322"/>
      <c r="AE573" s="339"/>
      <c r="AF573" s="339"/>
      <c r="AG573" s="338"/>
      <c r="AH573" s="324"/>
      <c r="AI573" s="338"/>
      <c r="AJ573" s="338"/>
      <c r="AK573" s="339"/>
      <c r="AL573" s="322"/>
      <c r="AM573" s="339"/>
      <c r="AN573" s="339"/>
      <c r="AO573" s="338"/>
    </row>
    <row r="574" spans="1:41">
      <c r="A574" s="321" t="s">
        <v>1811</v>
      </c>
      <c r="B574" s="717">
        <v>616690</v>
      </c>
      <c r="C574" s="338"/>
      <c r="D574" s="323">
        <v>616690</v>
      </c>
      <c r="E574" s="339"/>
      <c r="F574" s="322"/>
      <c r="G574" s="339"/>
      <c r="H574" s="339"/>
      <c r="I574" s="338"/>
      <c r="J574" s="324"/>
      <c r="K574" s="338"/>
      <c r="L574" s="338"/>
      <c r="M574" s="339"/>
      <c r="N574" s="322"/>
      <c r="O574" s="339"/>
      <c r="P574" s="339"/>
      <c r="Q574" s="338"/>
      <c r="R574" s="324"/>
      <c r="S574" s="338"/>
      <c r="T574" s="338"/>
      <c r="U574" s="339"/>
      <c r="V574" s="322"/>
      <c r="W574" s="339"/>
      <c r="X574" s="339"/>
      <c r="Y574" s="338"/>
      <c r="Z574" s="324"/>
      <c r="AA574" s="338"/>
      <c r="AB574" s="338"/>
      <c r="AC574" s="339"/>
      <c r="AD574" s="716">
        <v>616690</v>
      </c>
      <c r="AE574" s="339"/>
      <c r="AF574" s="325">
        <v>616690</v>
      </c>
      <c r="AG574" s="338"/>
      <c r="AH574" s="324"/>
      <c r="AI574" s="338"/>
      <c r="AJ574" s="338"/>
      <c r="AK574" s="339"/>
      <c r="AL574" s="322"/>
      <c r="AM574" s="339"/>
      <c r="AN574" s="339"/>
      <c r="AO574" s="338"/>
    </row>
    <row r="575" spans="1:41">
      <c r="A575" s="321" t="s">
        <v>365</v>
      </c>
      <c r="B575" s="717">
        <v>65520125</v>
      </c>
      <c r="C575" s="338"/>
      <c r="D575" s="338"/>
      <c r="E575" s="592">
        <v>65520125</v>
      </c>
      <c r="F575" s="322"/>
      <c r="G575" s="339"/>
      <c r="H575" s="339"/>
      <c r="I575" s="338"/>
      <c r="J575" s="324"/>
      <c r="K575" s="338"/>
      <c r="L575" s="338"/>
      <c r="M575" s="339"/>
      <c r="N575" s="716">
        <v>65520125</v>
      </c>
      <c r="O575" s="339"/>
      <c r="P575" s="339"/>
      <c r="Q575" s="594">
        <v>65520125</v>
      </c>
      <c r="R575" s="324"/>
      <c r="S575" s="338"/>
      <c r="T575" s="338"/>
      <c r="U575" s="339"/>
      <c r="V575" s="322"/>
      <c r="W575" s="339"/>
      <c r="X575" s="339"/>
      <c r="Y575" s="338"/>
      <c r="Z575" s="324"/>
      <c r="AA575" s="338"/>
      <c r="AB575" s="338"/>
      <c r="AC575" s="339"/>
      <c r="AD575" s="322"/>
      <c r="AE575" s="339"/>
      <c r="AF575" s="339"/>
      <c r="AG575" s="338"/>
      <c r="AH575" s="324"/>
      <c r="AI575" s="338"/>
      <c r="AJ575" s="338"/>
      <c r="AK575" s="339"/>
      <c r="AL575" s="322"/>
      <c r="AM575" s="339"/>
      <c r="AN575" s="339"/>
      <c r="AO575" s="338"/>
    </row>
    <row r="576" spans="1:41">
      <c r="A576" s="321" t="s">
        <v>1131</v>
      </c>
      <c r="B576" s="717">
        <v>12262500</v>
      </c>
      <c r="C576" s="338"/>
      <c r="D576" s="338"/>
      <c r="E576" s="592">
        <v>12262500</v>
      </c>
      <c r="F576" s="322"/>
      <c r="G576" s="339"/>
      <c r="H576" s="339"/>
      <c r="I576" s="338"/>
      <c r="J576" s="324"/>
      <c r="K576" s="338"/>
      <c r="L576" s="338"/>
      <c r="M576" s="339"/>
      <c r="N576" s="716">
        <v>12262500</v>
      </c>
      <c r="O576" s="339"/>
      <c r="P576" s="339"/>
      <c r="Q576" s="594">
        <v>12262500</v>
      </c>
      <c r="R576" s="324"/>
      <c r="S576" s="338"/>
      <c r="T576" s="338"/>
      <c r="U576" s="339"/>
      <c r="V576" s="322"/>
      <c r="W576" s="339"/>
      <c r="X576" s="339"/>
      <c r="Y576" s="338"/>
      <c r="Z576" s="324"/>
      <c r="AA576" s="338"/>
      <c r="AB576" s="338"/>
      <c r="AC576" s="339"/>
      <c r="AD576" s="322"/>
      <c r="AE576" s="339"/>
      <c r="AF576" s="339"/>
      <c r="AG576" s="338"/>
      <c r="AH576" s="324"/>
      <c r="AI576" s="338"/>
      <c r="AJ576" s="338"/>
      <c r="AK576" s="339"/>
      <c r="AL576" s="322"/>
      <c r="AM576" s="339"/>
      <c r="AN576" s="339"/>
      <c r="AO576" s="338"/>
    </row>
    <row r="577" spans="1:41">
      <c r="A577" s="321" t="s">
        <v>748</v>
      </c>
      <c r="B577" s="717">
        <v>23137</v>
      </c>
      <c r="C577" s="323">
        <v>23137</v>
      </c>
      <c r="D577" s="323">
        <v>2531373</v>
      </c>
      <c r="E577" s="592">
        <v>23137</v>
      </c>
      <c r="F577" s="322"/>
      <c r="G577" s="339"/>
      <c r="H577" s="339"/>
      <c r="I577" s="338"/>
      <c r="J577" s="324"/>
      <c r="K577" s="323">
        <v>23137</v>
      </c>
      <c r="L577" s="338"/>
      <c r="M577" s="592">
        <v>23137</v>
      </c>
      <c r="N577" s="322"/>
      <c r="O577" s="325">
        <v>2772471</v>
      </c>
      <c r="P577" s="325">
        <v>2531373</v>
      </c>
      <c r="Q577" s="594">
        <v>241098</v>
      </c>
      <c r="R577" s="324"/>
      <c r="S577" s="338"/>
      <c r="T577" s="338"/>
      <c r="U577" s="339"/>
      <c r="V577" s="322"/>
      <c r="W577" s="339"/>
      <c r="X577" s="339"/>
      <c r="Y577" s="338"/>
      <c r="Z577" s="717">
        <v>23137</v>
      </c>
      <c r="AA577" s="338"/>
      <c r="AB577" s="323">
        <v>23137</v>
      </c>
      <c r="AC577" s="339"/>
      <c r="AD577" s="322"/>
      <c r="AE577" s="339"/>
      <c r="AF577" s="339"/>
      <c r="AG577" s="338"/>
      <c r="AH577" s="324"/>
      <c r="AI577" s="338"/>
      <c r="AJ577" s="338"/>
      <c r="AK577" s="339"/>
      <c r="AL577" s="322"/>
      <c r="AM577" s="339"/>
      <c r="AN577" s="339"/>
      <c r="AO577" s="338"/>
    </row>
    <row r="578" spans="1:41">
      <c r="A578" s="321" t="s">
        <v>750</v>
      </c>
      <c r="B578" s="717">
        <v>2772</v>
      </c>
      <c r="C578" s="338"/>
      <c r="D578" s="323">
        <v>2772</v>
      </c>
      <c r="E578" s="339"/>
      <c r="F578" s="322"/>
      <c r="G578" s="339"/>
      <c r="H578" s="339"/>
      <c r="I578" s="338"/>
      <c r="J578" s="324"/>
      <c r="K578" s="338"/>
      <c r="L578" s="338"/>
      <c r="M578" s="339"/>
      <c r="N578" s="322"/>
      <c r="O578" s="339"/>
      <c r="P578" s="339"/>
      <c r="Q578" s="338"/>
      <c r="R578" s="324"/>
      <c r="S578" s="338"/>
      <c r="T578" s="338"/>
      <c r="U578" s="339"/>
      <c r="V578" s="716">
        <v>2772</v>
      </c>
      <c r="W578" s="339"/>
      <c r="X578" s="325">
        <v>2772</v>
      </c>
      <c r="Y578" s="338"/>
      <c r="Z578" s="324"/>
      <c r="AA578" s="338"/>
      <c r="AB578" s="338"/>
      <c r="AC578" s="339"/>
      <c r="AD578" s="322"/>
      <c r="AE578" s="339"/>
      <c r="AF578" s="339"/>
      <c r="AG578" s="338"/>
      <c r="AH578" s="324"/>
      <c r="AI578" s="338"/>
      <c r="AJ578" s="338"/>
      <c r="AK578" s="339"/>
      <c r="AL578" s="322"/>
      <c r="AM578" s="339"/>
      <c r="AN578" s="339"/>
      <c r="AO578" s="338"/>
    </row>
    <row r="579" spans="1:41">
      <c r="A579" s="321" t="s">
        <v>367</v>
      </c>
      <c r="B579" s="717">
        <v>68022.75</v>
      </c>
      <c r="C579" s="323">
        <v>1723053.05</v>
      </c>
      <c r="D579" s="323">
        <v>192625.25</v>
      </c>
      <c r="E579" s="592">
        <v>949204.42</v>
      </c>
      <c r="F579" s="322"/>
      <c r="G579" s="339"/>
      <c r="H579" s="339"/>
      <c r="I579" s="338"/>
      <c r="J579" s="324"/>
      <c r="K579" s="323">
        <v>12487</v>
      </c>
      <c r="L579" s="338"/>
      <c r="M579" s="592">
        <v>12487</v>
      </c>
      <c r="N579" s="716">
        <v>68022.75</v>
      </c>
      <c r="O579" s="325">
        <v>400939.75</v>
      </c>
      <c r="P579" s="325">
        <v>192625.25</v>
      </c>
      <c r="Q579" s="594">
        <v>276337.25</v>
      </c>
      <c r="R579" s="324"/>
      <c r="S579" s="323">
        <v>936717.42</v>
      </c>
      <c r="T579" s="338"/>
      <c r="U579" s="592">
        <v>936717.42</v>
      </c>
      <c r="V579" s="322"/>
      <c r="W579" s="339"/>
      <c r="X579" s="339"/>
      <c r="Y579" s="338"/>
      <c r="Z579" s="324"/>
      <c r="AA579" s="323">
        <v>14568</v>
      </c>
      <c r="AB579" s="323">
        <v>14568</v>
      </c>
      <c r="AC579" s="339"/>
      <c r="AD579" s="322"/>
      <c r="AE579" s="339"/>
      <c r="AF579" s="339"/>
      <c r="AG579" s="338"/>
      <c r="AH579" s="324"/>
      <c r="AI579" s="338"/>
      <c r="AJ579" s="338"/>
      <c r="AK579" s="339"/>
      <c r="AL579" s="734">
        <v>415293.96</v>
      </c>
      <c r="AM579" s="714">
        <v>759280.63</v>
      </c>
      <c r="AN579" s="714">
        <v>1174574.5900000001</v>
      </c>
      <c r="AO579" s="338"/>
    </row>
    <row r="580" spans="1:41">
      <c r="A580" s="321" t="s">
        <v>751</v>
      </c>
      <c r="B580" s="324"/>
      <c r="C580" s="338"/>
      <c r="D580" s="338"/>
      <c r="E580" s="339"/>
      <c r="F580" s="322"/>
      <c r="G580" s="339"/>
      <c r="H580" s="339"/>
      <c r="I580" s="338"/>
      <c r="J580" s="324"/>
      <c r="K580" s="338"/>
      <c r="L580" s="338"/>
      <c r="M580" s="339"/>
      <c r="N580" s="322"/>
      <c r="O580" s="339"/>
      <c r="P580" s="339"/>
      <c r="Q580" s="338"/>
      <c r="R580" s="324"/>
      <c r="S580" s="338"/>
      <c r="T580" s="338"/>
      <c r="U580" s="339"/>
      <c r="V580" s="322"/>
      <c r="W580" s="339"/>
      <c r="X580" s="339"/>
      <c r="Y580" s="338"/>
      <c r="Z580" s="324"/>
      <c r="AA580" s="338"/>
      <c r="AB580" s="338"/>
      <c r="AC580" s="339"/>
      <c r="AD580" s="322"/>
      <c r="AE580" s="339"/>
      <c r="AF580" s="339"/>
      <c r="AG580" s="338"/>
      <c r="AH580" s="324"/>
      <c r="AI580" s="338"/>
      <c r="AJ580" s="338"/>
      <c r="AK580" s="339"/>
      <c r="AL580" s="322"/>
      <c r="AM580" s="339"/>
      <c r="AN580" s="339"/>
      <c r="AO580" s="338"/>
    </row>
    <row r="581" spans="1:41">
      <c r="A581" s="321" t="s">
        <v>1799</v>
      </c>
      <c r="B581" s="324"/>
      <c r="C581" s="338"/>
      <c r="D581" s="338"/>
      <c r="E581" s="339"/>
      <c r="F581" s="322"/>
      <c r="G581" s="339"/>
      <c r="H581" s="339"/>
      <c r="I581" s="338"/>
      <c r="J581" s="324"/>
      <c r="K581" s="338"/>
      <c r="L581" s="338"/>
      <c r="M581" s="339"/>
      <c r="N581" s="322"/>
      <c r="O581" s="339"/>
      <c r="P581" s="339"/>
      <c r="Q581" s="338"/>
      <c r="R581" s="324"/>
      <c r="S581" s="338"/>
      <c r="T581" s="338"/>
      <c r="U581" s="339"/>
      <c r="V581" s="322"/>
      <c r="W581" s="339"/>
      <c r="X581" s="339"/>
      <c r="Y581" s="338"/>
      <c r="Z581" s="324"/>
      <c r="AA581" s="338"/>
      <c r="AB581" s="338"/>
      <c r="AC581" s="339"/>
      <c r="AD581" s="322"/>
      <c r="AE581" s="339"/>
      <c r="AF581" s="339"/>
      <c r="AG581" s="338"/>
      <c r="AH581" s="324"/>
      <c r="AI581" s="338"/>
      <c r="AJ581" s="338"/>
      <c r="AK581" s="339"/>
      <c r="AL581" s="322"/>
      <c r="AM581" s="339"/>
      <c r="AN581" s="339"/>
      <c r="AO581" s="338"/>
    </row>
    <row r="582" spans="1:41">
      <c r="A582" s="321" t="s">
        <v>753</v>
      </c>
      <c r="B582" s="324"/>
      <c r="C582" s="338"/>
      <c r="D582" s="338"/>
      <c r="E582" s="339"/>
      <c r="F582" s="322"/>
      <c r="G582" s="339"/>
      <c r="H582" s="339"/>
      <c r="I582" s="338"/>
      <c r="J582" s="324"/>
      <c r="K582" s="338"/>
      <c r="L582" s="338"/>
      <c r="M582" s="339"/>
      <c r="N582" s="322"/>
      <c r="O582" s="339"/>
      <c r="P582" s="339"/>
      <c r="Q582" s="338"/>
      <c r="R582" s="324"/>
      <c r="S582" s="338"/>
      <c r="T582" s="338"/>
      <c r="U582" s="339"/>
      <c r="V582" s="322"/>
      <c r="W582" s="339"/>
      <c r="X582" s="339"/>
      <c r="Y582" s="338"/>
      <c r="Z582" s="324"/>
      <c r="AA582" s="338"/>
      <c r="AB582" s="338"/>
      <c r="AC582" s="339"/>
      <c r="AD582" s="322"/>
      <c r="AE582" s="339"/>
      <c r="AF582" s="339"/>
      <c r="AG582" s="338"/>
      <c r="AH582" s="324"/>
      <c r="AI582" s="338"/>
      <c r="AJ582" s="338"/>
      <c r="AK582" s="339"/>
      <c r="AL582" s="322"/>
      <c r="AM582" s="339"/>
      <c r="AN582" s="339"/>
      <c r="AO582" s="338"/>
    </row>
    <row r="583" spans="1:41">
      <c r="A583" s="321" t="s">
        <v>1812</v>
      </c>
      <c r="B583" s="717">
        <v>734</v>
      </c>
      <c r="C583" s="338"/>
      <c r="D583" s="338"/>
      <c r="E583" s="592">
        <v>734</v>
      </c>
      <c r="F583" s="322"/>
      <c r="G583" s="339"/>
      <c r="H583" s="339"/>
      <c r="I583" s="338"/>
      <c r="J583" s="324"/>
      <c r="K583" s="338"/>
      <c r="L583" s="338"/>
      <c r="M583" s="339"/>
      <c r="N583" s="716">
        <v>734</v>
      </c>
      <c r="O583" s="339"/>
      <c r="P583" s="339"/>
      <c r="Q583" s="594">
        <v>734</v>
      </c>
      <c r="R583" s="324"/>
      <c r="S583" s="338"/>
      <c r="T583" s="338"/>
      <c r="U583" s="339"/>
      <c r="V583" s="322"/>
      <c r="W583" s="339"/>
      <c r="X583" s="339"/>
      <c r="Y583" s="338"/>
      <c r="Z583" s="324"/>
      <c r="AA583" s="338"/>
      <c r="AB583" s="338"/>
      <c r="AC583" s="339"/>
      <c r="AD583" s="322"/>
      <c r="AE583" s="339"/>
      <c r="AF583" s="339"/>
      <c r="AG583" s="338"/>
      <c r="AH583" s="324"/>
      <c r="AI583" s="338"/>
      <c r="AJ583" s="338"/>
      <c r="AK583" s="339"/>
      <c r="AL583" s="322"/>
      <c r="AM583" s="339"/>
      <c r="AN583" s="339"/>
      <c r="AO583" s="338"/>
    </row>
    <row r="584" spans="1:41">
      <c r="A584" s="311" t="s">
        <v>754</v>
      </c>
      <c r="B584" s="733">
        <v>0.33600000000000002</v>
      </c>
      <c r="C584" s="703">
        <v>4222752211.7779999</v>
      </c>
      <c r="D584" s="703">
        <v>4466840833.2939997</v>
      </c>
      <c r="E584" s="740">
        <v>244088621.18000001</v>
      </c>
      <c r="F584" s="326"/>
      <c r="G584" s="591">
        <v>33819257.206</v>
      </c>
      <c r="H584" s="591">
        <v>3498417.82</v>
      </c>
      <c r="I584" s="593">
        <v>30320839.386</v>
      </c>
      <c r="J584" s="328"/>
      <c r="K584" s="703">
        <v>3483084</v>
      </c>
      <c r="L584" s="703">
        <v>28117555.208000001</v>
      </c>
      <c r="M584" s="740">
        <v>24634471.208000001</v>
      </c>
      <c r="N584" s="326"/>
      <c r="O584" s="591">
        <v>692465324.24000001</v>
      </c>
      <c r="P584" s="591">
        <v>448376702.84399998</v>
      </c>
      <c r="Q584" s="593">
        <v>244088621.396</v>
      </c>
      <c r="R584" s="328"/>
      <c r="S584" s="703">
        <v>777573873.52999997</v>
      </c>
      <c r="T584" s="703">
        <v>381326098.81</v>
      </c>
      <c r="U584" s="721">
        <v>396247774.72000003</v>
      </c>
      <c r="V584" s="709">
        <v>37813703.267999999</v>
      </c>
      <c r="W584" s="591">
        <v>197315370.19999999</v>
      </c>
      <c r="X584" s="591">
        <v>210034964.97600001</v>
      </c>
      <c r="Y584" s="590">
        <v>50533298.044</v>
      </c>
      <c r="Z584" s="720">
        <v>48386905.795999996</v>
      </c>
      <c r="AA584" s="703">
        <v>101752417.918</v>
      </c>
      <c r="AB584" s="703">
        <v>55916846</v>
      </c>
      <c r="AC584" s="740">
        <v>2551333.878</v>
      </c>
      <c r="AD584" s="732">
        <v>344453161.17000002</v>
      </c>
      <c r="AE584" s="591">
        <v>1707432582.974</v>
      </c>
      <c r="AF584" s="591">
        <v>1971928270.47</v>
      </c>
      <c r="AG584" s="593">
        <v>79957473.673999995</v>
      </c>
      <c r="AH584" s="701">
        <v>48366.48</v>
      </c>
      <c r="AI584" s="708"/>
      <c r="AJ584" s="708"/>
      <c r="AK584" s="704">
        <v>48366.48</v>
      </c>
      <c r="AL584" s="705">
        <v>258204185.28999999</v>
      </c>
      <c r="AM584" s="706">
        <v>1401375625.95</v>
      </c>
      <c r="AN584" s="706">
        <v>1816018680.01</v>
      </c>
      <c r="AO584" s="707">
        <v>672847239.35000002</v>
      </c>
    </row>
    <row r="585" spans="1:41">
      <c r="A585" s="321" t="s">
        <v>1813</v>
      </c>
      <c r="B585" s="317"/>
      <c r="C585" s="320">
        <v>150020</v>
      </c>
      <c r="D585" s="330"/>
      <c r="E585" s="729">
        <v>150020</v>
      </c>
      <c r="F585" s="319"/>
      <c r="G585" s="331"/>
      <c r="H585" s="331"/>
      <c r="I585" s="330"/>
      <c r="J585" s="317"/>
      <c r="K585" s="330"/>
      <c r="L585" s="330"/>
      <c r="M585" s="331"/>
      <c r="N585" s="319"/>
      <c r="O585" s="318">
        <v>150020</v>
      </c>
      <c r="P585" s="331"/>
      <c r="Q585" s="739">
        <v>150020</v>
      </c>
      <c r="R585" s="317"/>
      <c r="S585" s="330"/>
      <c r="T585" s="330"/>
      <c r="U585" s="331"/>
      <c r="V585" s="319"/>
      <c r="W585" s="331"/>
      <c r="X585" s="331"/>
      <c r="Y585" s="330"/>
      <c r="Z585" s="317"/>
      <c r="AA585" s="330"/>
      <c r="AB585" s="330"/>
      <c r="AC585" s="331"/>
      <c r="AD585" s="319"/>
      <c r="AE585" s="331"/>
      <c r="AF585" s="331"/>
      <c r="AG585" s="330"/>
      <c r="AH585" s="317"/>
      <c r="AI585" s="330"/>
      <c r="AJ585" s="330"/>
      <c r="AK585" s="331"/>
      <c r="AL585" s="319"/>
      <c r="AM585" s="331"/>
      <c r="AN585" s="331"/>
      <c r="AO585" s="330"/>
    </row>
    <row r="586" spans="1:41">
      <c r="A586" s="321" t="s">
        <v>755</v>
      </c>
      <c r="B586" s="717">
        <v>70058361.268000007</v>
      </c>
      <c r="C586" s="323">
        <v>176215707.77000001</v>
      </c>
      <c r="D586" s="323">
        <v>193966972.38</v>
      </c>
      <c r="E586" s="592">
        <v>52307096.658</v>
      </c>
      <c r="F586" s="322"/>
      <c r="G586" s="339"/>
      <c r="H586" s="339"/>
      <c r="I586" s="338"/>
      <c r="J586" s="324"/>
      <c r="K586" s="338"/>
      <c r="L586" s="338"/>
      <c r="M586" s="339"/>
      <c r="N586" s="322"/>
      <c r="O586" s="339"/>
      <c r="P586" s="339"/>
      <c r="Q586" s="338"/>
      <c r="R586" s="324"/>
      <c r="S586" s="338"/>
      <c r="T586" s="338"/>
      <c r="U586" s="339"/>
      <c r="V586" s="322"/>
      <c r="W586" s="339"/>
      <c r="X586" s="339"/>
      <c r="Y586" s="338"/>
      <c r="Z586" s="699">
        <v>10741342</v>
      </c>
      <c r="AA586" s="338"/>
      <c r="AB586" s="338"/>
      <c r="AC586" s="588">
        <v>10741342</v>
      </c>
      <c r="AD586" s="700">
        <v>3758714.892</v>
      </c>
      <c r="AE586" s="325">
        <v>176215707.77000001</v>
      </c>
      <c r="AF586" s="325">
        <v>193966972.38</v>
      </c>
      <c r="AG586" s="589">
        <v>21509979.502</v>
      </c>
      <c r="AH586" s="324"/>
      <c r="AI586" s="338"/>
      <c r="AJ586" s="338"/>
      <c r="AK586" s="339"/>
      <c r="AL586" s="734">
        <v>84558418.159999996</v>
      </c>
      <c r="AM586" s="339"/>
      <c r="AN586" s="339"/>
      <c r="AO586" s="735">
        <v>84558418.159999996</v>
      </c>
    </row>
    <row r="587" spans="1:41">
      <c r="A587" s="321" t="s">
        <v>756</v>
      </c>
      <c r="B587" s="717">
        <v>48386905.795999996</v>
      </c>
      <c r="C587" s="323">
        <v>55855809</v>
      </c>
      <c r="D587" s="323">
        <v>73726877.709999993</v>
      </c>
      <c r="E587" s="592">
        <v>30515837.085999999</v>
      </c>
      <c r="F587" s="322"/>
      <c r="G587" s="339"/>
      <c r="H587" s="339"/>
      <c r="I587" s="338"/>
      <c r="J587" s="324"/>
      <c r="K587" s="338"/>
      <c r="L587" s="338"/>
      <c r="M587" s="339"/>
      <c r="N587" s="322"/>
      <c r="O587" s="339"/>
      <c r="P587" s="339"/>
      <c r="Q587" s="338"/>
      <c r="R587" s="324"/>
      <c r="S587" s="338"/>
      <c r="T587" s="338"/>
      <c r="U587" s="339"/>
      <c r="V587" s="716">
        <v>10741342</v>
      </c>
      <c r="W587" s="339"/>
      <c r="X587" s="339"/>
      <c r="Y587" s="594">
        <v>10741342</v>
      </c>
      <c r="Z587" s="324"/>
      <c r="AA587" s="338"/>
      <c r="AB587" s="338"/>
      <c r="AC587" s="339"/>
      <c r="AD587" s="700">
        <v>425986170.204</v>
      </c>
      <c r="AE587" s="325">
        <v>47786115</v>
      </c>
      <c r="AF587" s="325">
        <v>73726877.709999993</v>
      </c>
      <c r="AG587" s="589">
        <v>451926932.91399997</v>
      </c>
      <c r="AH587" s="324"/>
      <c r="AI587" s="338"/>
      <c r="AJ587" s="338"/>
      <c r="AK587" s="339"/>
      <c r="AL587" s="734">
        <v>463631734</v>
      </c>
      <c r="AM587" s="714">
        <v>8069694</v>
      </c>
      <c r="AN587" s="339"/>
      <c r="AO587" s="735">
        <v>471701428</v>
      </c>
    </row>
    <row r="588" spans="1:41">
      <c r="A588" s="321" t="s">
        <v>1814</v>
      </c>
      <c r="B588" s="324"/>
      <c r="C588" s="323">
        <v>60717</v>
      </c>
      <c r="D588" s="323">
        <v>3390749</v>
      </c>
      <c r="E588" s="588">
        <v>3330032</v>
      </c>
      <c r="F588" s="322"/>
      <c r="G588" s="339"/>
      <c r="H588" s="339"/>
      <c r="I588" s="338"/>
      <c r="J588" s="324"/>
      <c r="K588" s="338"/>
      <c r="L588" s="338"/>
      <c r="M588" s="339"/>
      <c r="N588" s="322"/>
      <c r="O588" s="325">
        <v>60717</v>
      </c>
      <c r="P588" s="325">
        <v>3390749</v>
      </c>
      <c r="Q588" s="589">
        <v>3330032</v>
      </c>
      <c r="R588" s="324"/>
      <c r="S588" s="338"/>
      <c r="T588" s="338"/>
      <c r="U588" s="339"/>
      <c r="V588" s="322"/>
      <c r="W588" s="339"/>
      <c r="X588" s="339"/>
      <c r="Y588" s="338"/>
      <c r="Z588" s="324"/>
      <c r="AA588" s="338"/>
      <c r="AB588" s="338"/>
      <c r="AC588" s="339"/>
      <c r="AD588" s="322"/>
      <c r="AE588" s="339"/>
      <c r="AF588" s="339"/>
      <c r="AG588" s="338"/>
      <c r="AH588" s="324"/>
      <c r="AI588" s="338"/>
      <c r="AJ588" s="338"/>
      <c r="AK588" s="339"/>
      <c r="AL588" s="322"/>
      <c r="AM588" s="339"/>
      <c r="AN588" s="339"/>
      <c r="AO588" s="338"/>
    </row>
    <row r="589" spans="1:41">
      <c r="A589" s="321" t="s">
        <v>757</v>
      </c>
      <c r="B589" s="717">
        <v>246007964.13600001</v>
      </c>
      <c r="C589" s="323">
        <v>1690271241.54</v>
      </c>
      <c r="D589" s="323">
        <v>1669864175.5599999</v>
      </c>
      <c r="E589" s="592">
        <v>266415030.116</v>
      </c>
      <c r="F589" s="322"/>
      <c r="G589" s="339"/>
      <c r="H589" s="325">
        <v>150020</v>
      </c>
      <c r="I589" s="589">
        <v>150020</v>
      </c>
      <c r="J589" s="324"/>
      <c r="K589" s="323">
        <v>3390749</v>
      </c>
      <c r="L589" s="323">
        <v>60717</v>
      </c>
      <c r="M589" s="592">
        <v>3330032</v>
      </c>
      <c r="N589" s="322"/>
      <c r="O589" s="339"/>
      <c r="P589" s="339"/>
      <c r="Q589" s="338"/>
      <c r="R589" s="324"/>
      <c r="S589" s="323">
        <v>158462349.38</v>
      </c>
      <c r="T589" s="323">
        <v>248744459.93000001</v>
      </c>
      <c r="U589" s="588">
        <v>90282110.549999997</v>
      </c>
      <c r="V589" s="716">
        <v>3758714.892</v>
      </c>
      <c r="W589" s="325">
        <v>193966972.38</v>
      </c>
      <c r="X589" s="325">
        <v>176215707.77000001</v>
      </c>
      <c r="Y589" s="594">
        <v>21509979.502</v>
      </c>
      <c r="Z589" s="717">
        <v>425986170.204</v>
      </c>
      <c r="AA589" s="323">
        <v>73726877.709999993</v>
      </c>
      <c r="AB589" s="323">
        <v>47786115</v>
      </c>
      <c r="AC589" s="592">
        <v>451926932.91399997</v>
      </c>
      <c r="AD589" s="322"/>
      <c r="AE589" s="339"/>
      <c r="AF589" s="339"/>
      <c r="AG589" s="338"/>
      <c r="AH589" s="736">
        <v>25637492.52</v>
      </c>
      <c r="AI589" s="338"/>
      <c r="AJ589" s="338"/>
      <c r="AK589" s="737">
        <v>25637492.52</v>
      </c>
      <c r="AL589" s="710">
        <v>209374413.47999999</v>
      </c>
      <c r="AM589" s="714">
        <v>1260724293.0699999</v>
      </c>
      <c r="AN589" s="714">
        <v>1196907155.8599999</v>
      </c>
      <c r="AO589" s="712">
        <v>145557276.27000001</v>
      </c>
    </row>
    <row r="590" spans="1:41">
      <c r="A590" s="321" t="s">
        <v>758</v>
      </c>
      <c r="B590" s="713">
        <v>622705782.97000003</v>
      </c>
      <c r="C590" s="338"/>
      <c r="D590" s="338"/>
      <c r="E590" s="715">
        <v>622705782.97000003</v>
      </c>
      <c r="F590" s="322"/>
      <c r="G590" s="339"/>
      <c r="H590" s="339"/>
      <c r="I590" s="338"/>
      <c r="J590" s="324"/>
      <c r="K590" s="338"/>
      <c r="L590" s="338"/>
      <c r="M590" s="339"/>
      <c r="N590" s="322"/>
      <c r="O590" s="339"/>
      <c r="P590" s="339"/>
      <c r="Q590" s="338"/>
      <c r="R590" s="324"/>
      <c r="S590" s="338"/>
      <c r="T590" s="338"/>
      <c r="U590" s="339"/>
      <c r="V590" s="322"/>
      <c r="W590" s="339"/>
      <c r="X590" s="339"/>
      <c r="Y590" s="338"/>
      <c r="Z590" s="324"/>
      <c r="AA590" s="338"/>
      <c r="AB590" s="338"/>
      <c r="AC590" s="339"/>
      <c r="AD590" s="322"/>
      <c r="AE590" s="339"/>
      <c r="AF590" s="339"/>
      <c r="AG590" s="338"/>
      <c r="AH590" s="324"/>
      <c r="AI590" s="338"/>
      <c r="AJ590" s="338"/>
      <c r="AK590" s="339"/>
      <c r="AL590" s="710">
        <v>622705782.97000003</v>
      </c>
      <c r="AM590" s="339"/>
      <c r="AN590" s="339"/>
      <c r="AO590" s="712">
        <v>622705782.97000003</v>
      </c>
    </row>
    <row r="591" spans="1:41">
      <c r="A591" s="321" t="s">
        <v>759</v>
      </c>
      <c r="B591" s="717">
        <v>0.35</v>
      </c>
      <c r="C591" s="338"/>
      <c r="D591" s="338"/>
      <c r="E591" s="592">
        <v>0.35</v>
      </c>
      <c r="F591" s="322"/>
      <c r="G591" s="339"/>
      <c r="H591" s="339"/>
      <c r="I591" s="338"/>
      <c r="J591" s="324"/>
      <c r="K591" s="338"/>
      <c r="L591" s="338"/>
      <c r="M591" s="339"/>
      <c r="N591" s="322"/>
      <c r="O591" s="339"/>
      <c r="P591" s="339"/>
      <c r="Q591" s="338"/>
      <c r="R591" s="324"/>
      <c r="S591" s="338"/>
      <c r="T591" s="338"/>
      <c r="U591" s="339"/>
      <c r="V591" s="716">
        <v>32244658</v>
      </c>
      <c r="W591" s="339"/>
      <c r="X591" s="339"/>
      <c r="Y591" s="594">
        <v>32244658</v>
      </c>
      <c r="Z591" s="324"/>
      <c r="AA591" s="338"/>
      <c r="AB591" s="338"/>
      <c r="AC591" s="339"/>
      <c r="AD591" s="700">
        <v>32244657.649999999</v>
      </c>
      <c r="AE591" s="339"/>
      <c r="AF591" s="339"/>
      <c r="AG591" s="589">
        <v>32244657.649999999</v>
      </c>
      <c r="AH591" s="324"/>
      <c r="AI591" s="338"/>
      <c r="AJ591" s="338"/>
      <c r="AK591" s="339"/>
      <c r="AL591" s="322"/>
      <c r="AM591" s="339"/>
      <c r="AN591" s="339"/>
      <c r="AO591" s="338"/>
    </row>
    <row r="592" spans="1:41">
      <c r="A592" s="321" t="s">
        <v>760</v>
      </c>
      <c r="B592" s="717">
        <v>48366.48</v>
      </c>
      <c r="C592" s="338"/>
      <c r="D592" s="338"/>
      <c r="E592" s="592">
        <v>48366.48</v>
      </c>
      <c r="F592" s="322"/>
      <c r="G592" s="339"/>
      <c r="H592" s="339"/>
      <c r="I592" s="338"/>
      <c r="J592" s="324"/>
      <c r="K592" s="338"/>
      <c r="L592" s="338"/>
      <c r="M592" s="339"/>
      <c r="N592" s="322"/>
      <c r="O592" s="339"/>
      <c r="P592" s="339"/>
      <c r="Q592" s="338"/>
      <c r="R592" s="324"/>
      <c r="S592" s="338"/>
      <c r="T592" s="338"/>
      <c r="U592" s="339"/>
      <c r="V592" s="322"/>
      <c r="W592" s="339"/>
      <c r="X592" s="339"/>
      <c r="Y592" s="338"/>
      <c r="Z592" s="324"/>
      <c r="AA592" s="338"/>
      <c r="AB592" s="338"/>
      <c r="AC592" s="339"/>
      <c r="AD592" s="700">
        <v>25637492.52</v>
      </c>
      <c r="AE592" s="339"/>
      <c r="AF592" s="339"/>
      <c r="AG592" s="589">
        <v>25637492.52</v>
      </c>
      <c r="AH592" s="324"/>
      <c r="AI592" s="338"/>
      <c r="AJ592" s="338"/>
      <c r="AK592" s="339"/>
      <c r="AL592" s="734">
        <v>25685859</v>
      </c>
      <c r="AM592" s="339"/>
      <c r="AN592" s="339"/>
      <c r="AO592" s="735">
        <v>25685859</v>
      </c>
    </row>
    <row r="593" spans="1:41">
      <c r="A593" s="321" t="s">
        <v>1815</v>
      </c>
      <c r="B593" s="324"/>
      <c r="C593" s="323">
        <v>3348397.82</v>
      </c>
      <c r="D593" s="323">
        <v>33819257.206</v>
      </c>
      <c r="E593" s="588">
        <v>30470859.386</v>
      </c>
      <c r="F593" s="322"/>
      <c r="G593" s="339"/>
      <c r="H593" s="339"/>
      <c r="I593" s="338"/>
      <c r="J593" s="324"/>
      <c r="K593" s="338"/>
      <c r="L593" s="338"/>
      <c r="M593" s="339"/>
      <c r="N593" s="322"/>
      <c r="O593" s="339"/>
      <c r="P593" s="339"/>
      <c r="Q593" s="338"/>
      <c r="R593" s="324"/>
      <c r="S593" s="338"/>
      <c r="T593" s="338"/>
      <c r="U593" s="339"/>
      <c r="V593" s="322"/>
      <c r="W593" s="325">
        <v>3348397.82</v>
      </c>
      <c r="X593" s="325">
        <v>33819257.206</v>
      </c>
      <c r="Y593" s="589">
        <v>30470859.386</v>
      </c>
      <c r="Z593" s="324"/>
      <c r="AA593" s="338"/>
      <c r="AB593" s="338"/>
      <c r="AC593" s="339"/>
      <c r="AD593" s="322"/>
      <c r="AE593" s="339"/>
      <c r="AF593" s="339"/>
      <c r="AG593" s="338"/>
      <c r="AH593" s="324"/>
      <c r="AI593" s="338"/>
      <c r="AJ593" s="338"/>
      <c r="AK593" s="339"/>
      <c r="AL593" s="322"/>
      <c r="AM593" s="339"/>
      <c r="AN593" s="339"/>
      <c r="AO593" s="338"/>
    </row>
    <row r="594" spans="1:41">
      <c r="A594" s="321" t="s">
        <v>1816</v>
      </c>
      <c r="B594" s="324"/>
      <c r="C594" s="323">
        <v>28025540.208000001</v>
      </c>
      <c r="D594" s="323">
        <v>61037</v>
      </c>
      <c r="E594" s="592">
        <v>27964503.208000001</v>
      </c>
      <c r="F594" s="322"/>
      <c r="G594" s="339"/>
      <c r="H594" s="339"/>
      <c r="I594" s="338"/>
      <c r="J594" s="324"/>
      <c r="K594" s="338"/>
      <c r="L594" s="338"/>
      <c r="M594" s="339"/>
      <c r="N594" s="322"/>
      <c r="O594" s="339"/>
      <c r="P594" s="339"/>
      <c r="Q594" s="338"/>
      <c r="R594" s="324"/>
      <c r="S594" s="338"/>
      <c r="T594" s="338"/>
      <c r="U594" s="339"/>
      <c r="V594" s="322"/>
      <c r="W594" s="339"/>
      <c r="X594" s="339"/>
      <c r="Y594" s="338"/>
      <c r="Z594" s="324"/>
      <c r="AA594" s="323">
        <v>28025540.208000001</v>
      </c>
      <c r="AB594" s="323">
        <v>61037</v>
      </c>
      <c r="AC594" s="592">
        <v>27964503.208000001</v>
      </c>
      <c r="AD594" s="322"/>
      <c r="AE594" s="339"/>
      <c r="AF594" s="339"/>
      <c r="AG594" s="338"/>
      <c r="AH594" s="324"/>
      <c r="AI594" s="338"/>
      <c r="AJ594" s="338"/>
      <c r="AK594" s="339"/>
      <c r="AL594" s="322"/>
      <c r="AM594" s="339"/>
      <c r="AN594" s="339"/>
      <c r="AO594" s="338"/>
    </row>
    <row r="595" spans="1:41">
      <c r="A595" s="321" t="s">
        <v>1817</v>
      </c>
      <c r="B595" s="324"/>
      <c r="C595" s="323">
        <v>286523604.46399999</v>
      </c>
      <c r="D595" s="323">
        <v>443510127.31</v>
      </c>
      <c r="E595" s="588">
        <v>156986522.84599999</v>
      </c>
      <c r="F595" s="322"/>
      <c r="G595" s="339"/>
      <c r="H595" s="339"/>
      <c r="I595" s="338"/>
      <c r="J595" s="324"/>
      <c r="K595" s="338"/>
      <c r="L595" s="338"/>
      <c r="M595" s="339"/>
      <c r="N595" s="322"/>
      <c r="O595" s="339"/>
      <c r="P595" s="339"/>
      <c r="Q595" s="338"/>
      <c r="R595" s="324"/>
      <c r="S595" s="338"/>
      <c r="T595" s="338"/>
      <c r="U595" s="339"/>
      <c r="V595" s="322"/>
      <c r="W595" s="339"/>
      <c r="X595" s="339"/>
      <c r="Y595" s="338"/>
      <c r="Z595" s="324"/>
      <c r="AA595" s="338"/>
      <c r="AB595" s="338"/>
      <c r="AC595" s="339"/>
      <c r="AD595" s="322"/>
      <c r="AE595" s="325">
        <v>286523604.46399999</v>
      </c>
      <c r="AF595" s="325">
        <v>443510127.31</v>
      </c>
      <c r="AG595" s="589">
        <v>156986522.84599999</v>
      </c>
      <c r="AH595" s="324"/>
      <c r="AI595" s="338"/>
      <c r="AJ595" s="338"/>
      <c r="AK595" s="339"/>
      <c r="AL595" s="322"/>
      <c r="AM595" s="339"/>
      <c r="AN595" s="339"/>
      <c r="AO595" s="338"/>
    </row>
    <row r="596" spans="1:41">
      <c r="A596" s="321" t="s">
        <v>1818</v>
      </c>
      <c r="B596" s="324"/>
      <c r="C596" s="711">
        <v>132581638.88</v>
      </c>
      <c r="D596" s="711">
        <v>619111524.14999998</v>
      </c>
      <c r="E596" s="715">
        <v>486529885.26999998</v>
      </c>
      <c r="F596" s="322"/>
      <c r="G596" s="339"/>
      <c r="H596" s="339"/>
      <c r="I596" s="338"/>
      <c r="J596" s="324"/>
      <c r="K596" s="338"/>
      <c r="L596" s="338"/>
      <c r="M596" s="339"/>
      <c r="N596" s="322"/>
      <c r="O596" s="339"/>
      <c r="P596" s="339"/>
      <c r="Q596" s="338"/>
      <c r="R596" s="324"/>
      <c r="S596" s="338"/>
      <c r="T596" s="338"/>
      <c r="U596" s="339"/>
      <c r="V596" s="322"/>
      <c r="W596" s="339"/>
      <c r="X596" s="339"/>
      <c r="Y596" s="338"/>
      <c r="Z596" s="324"/>
      <c r="AA596" s="338"/>
      <c r="AB596" s="338"/>
      <c r="AC596" s="339"/>
      <c r="AD596" s="322"/>
      <c r="AE596" s="339"/>
      <c r="AF596" s="339"/>
      <c r="AG596" s="338"/>
      <c r="AH596" s="324"/>
      <c r="AI596" s="338"/>
      <c r="AJ596" s="338"/>
      <c r="AK596" s="339"/>
      <c r="AL596" s="322"/>
      <c r="AM596" s="714">
        <v>132581638.88</v>
      </c>
      <c r="AN596" s="714">
        <v>619111524.14999998</v>
      </c>
      <c r="AO596" s="712">
        <v>486529885.26999998</v>
      </c>
    </row>
    <row r="597" spans="1:41">
      <c r="A597" s="321" t="s">
        <v>1819</v>
      </c>
      <c r="B597" s="324"/>
      <c r="C597" s="323">
        <v>33819257.206</v>
      </c>
      <c r="D597" s="323">
        <v>3348397.82</v>
      </c>
      <c r="E597" s="592">
        <v>30470859.386</v>
      </c>
      <c r="F597" s="322"/>
      <c r="G597" s="325">
        <v>33819257.206</v>
      </c>
      <c r="H597" s="325">
        <v>3348397.82</v>
      </c>
      <c r="I597" s="594">
        <v>30470859.386</v>
      </c>
      <c r="J597" s="324"/>
      <c r="K597" s="338"/>
      <c r="L597" s="338"/>
      <c r="M597" s="339"/>
      <c r="N597" s="322"/>
      <c r="O597" s="339"/>
      <c r="P597" s="339"/>
      <c r="Q597" s="338"/>
      <c r="R597" s="324"/>
      <c r="S597" s="338"/>
      <c r="T597" s="338"/>
      <c r="U597" s="339"/>
      <c r="V597" s="322"/>
      <c r="W597" s="339"/>
      <c r="X597" s="339"/>
      <c r="Y597" s="338"/>
      <c r="Z597" s="324"/>
      <c r="AA597" s="338"/>
      <c r="AB597" s="338"/>
      <c r="AC597" s="339"/>
      <c r="AD597" s="322"/>
      <c r="AE597" s="339"/>
      <c r="AF597" s="339"/>
      <c r="AG597" s="338"/>
      <c r="AH597" s="324"/>
      <c r="AI597" s="338"/>
      <c r="AJ597" s="338"/>
      <c r="AK597" s="339"/>
      <c r="AL597" s="322"/>
      <c r="AM597" s="339"/>
      <c r="AN597" s="339"/>
      <c r="AO597" s="338"/>
    </row>
    <row r="598" spans="1:41">
      <c r="A598" s="321" t="s">
        <v>1820</v>
      </c>
      <c r="B598" s="324"/>
      <c r="C598" s="323">
        <v>92335</v>
      </c>
      <c r="D598" s="323">
        <v>28056838.208000001</v>
      </c>
      <c r="E598" s="588">
        <v>27964503.208000001</v>
      </c>
      <c r="F598" s="322"/>
      <c r="G598" s="339"/>
      <c r="H598" s="339"/>
      <c r="I598" s="338"/>
      <c r="J598" s="324"/>
      <c r="K598" s="323">
        <v>92335</v>
      </c>
      <c r="L598" s="323">
        <v>28056838.208000001</v>
      </c>
      <c r="M598" s="588">
        <v>27964503.208000001</v>
      </c>
      <c r="N598" s="322"/>
      <c r="O598" s="339"/>
      <c r="P598" s="339"/>
      <c r="Q598" s="338"/>
      <c r="R598" s="324"/>
      <c r="S598" s="338"/>
      <c r="T598" s="338"/>
      <c r="U598" s="339"/>
      <c r="V598" s="322"/>
      <c r="W598" s="339"/>
      <c r="X598" s="339"/>
      <c r="Y598" s="338"/>
      <c r="Z598" s="324"/>
      <c r="AA598" s="338"/>
      <c r="AB598" s="338"/>
      <c r="AC598" s="339"/>
      <c r="AD598" s="322"/>
      <c r="AE598" s="339"/>
      <c r="AF598" s="339"/>
      <c r="AG598" s="338"/>
      <c r="AH598" s="324"/>
      <c r="AI598" s="338"/>
      <c r="AJ598" s="338"/>
      <c r="AK598" s="339"/>
      <c r="AL598" s="322"/>
      <c r="AM598" s="339"/>
      <c r="AN598" s="339"/>
      <c r="AO598" s="338"/>
    </row>
    <row r="599" spans="1:41">
      <c r="A599" s="321" t="s">
        <v>1821</v>
      </c>
      <c r="B599" s="324"/>
      <c r="C599" s="323">
        <v>443510127.31</v>
      </c>
      <c r="D599" s="323">
        <v>286523604.46399999</v>
      </c>
      <c r="E599" s="592">
        <v>156986522.84599999</v>
      </c>
      <c r="F599" s="322"/>
      <c r="G599" s="339"/>
      <c r="H599" s="339"/>
      <c r="I599" s="338"/>
      <c r="J599" s="324"/>
      <c r="K599" s="338"/>
      <c r="L599" s="338"/>
      <c r="M599" s="339"/>
      <c r="N599" s="322"/>
      <c r="O599" s="325">
        <v>443510127.31</v>
      </c>
      <c r="P599" s="325">
        <v>286523604.46399999</v>
      </c>
      <c r="Q599" s="594">
        <v>156986522.84599999</v>
      </c>
      <c r="R599" s="324"/>
      <c r="S599" s="338"/>
      <c r="T599" s="338"/>
      <c r="U599" s="339"/>
      <c r="V599" s="322"/>
      <c r="W599" s="339"/>
      <c r="X599" s="339"/>
      <c r="Y599" s="338"/>
      <c r="Z599" s="324"/>
      <c r="AA599" s="338"/>
      <c r="AB599" s="338"/>
      <c r="AC599" s="339"/>
      <c r="AD599" s="322"/>
      <c r="AE599" s="339"/>
      <c r="AF599" s="339"/>
      <c r="AG599" s="338"/>
      <c r="AH599" s="324"/>
      <c r="AI599" s="338"/>
      <c r="AJ599" s="338"/>
      <c r="AK599" s="339"/>
      <c r="AL599" s="322"/>
      <c r="AM599" s="339"/>
      <c r="AN599" s="339"/>
      <c r="AO599" s="338"/>
    </row>
    <row r="600" spans="1:41">
      <c r="A600" s="321" t="s">
        <v>1822</v>
      </c>
      <c r="B600" s="324"/>
      <c r="C600" s="323">
        <v>619111524.14999998</v>
      </c>
      <c r="D600" s="323">
        <v>132581638.88</v>
      </c>
      <c r="E600" s="592">
        <v>486529885.26999998</v>
      </c>
      <c r="F600" s="322"/>
      <c r="G600" s="339"/>
      <c r="H600" s="339"/>
      <c r="I600" s="338"/>
      <c r="J600" s="324"/>
      <c r="K600" s="338"/>
      <c r="L600" s="338"/>
      <c r="M600" s="339"/>
      <c r="N600" s="322"/>
      <c r="O600" s="339"/>
      <c r="P600" s="339"/>
      <c r="Q600" s="338"/>
      <c r="R600" s="324"/>
      <c r="S600" s="323">
        <v>619111524.14999998</v>
      </c>
      <c r="T600" s="323">
        <v>132581638.88</v>
      </c>
      <c r="U600" s="592">
        <v>486529885.26999998</v>
      </c>
      <c r="V600" s="322"/>
      <c r="W600" s="339"/>
      <c r="X600" s="339"/>
      <c r="Y600" s="338"/>
      <c r="Z600" s="324"/>
      <c r="AA600" s="338"/>
      <c r="AB600" s="338"/>
      <c r="AC600" s="339"/>
      <c r="AD600" s="322"/>
      <c r="AE600" s="339"/>
      <c r="AF600" s="339"/>
      <c r="AG600" s="338"/>
      <c r="AH600" s="324"/>
      <c r="AI600" s="338"/>
      <c r="AJ600" s="338"/>
      <c r="AK600" s="339"/>
      <c r="AL600" s="322"/>
      <c r="AM600" s="339"/>
      <c r="AN600" s="339"/>
      <c r="AO600" s="338"/>
    </row>
    <row r="601" spans="1:41">
      <c r="A601" s="321" t="s">
        <v>1823</v>
      </c>
      <c r="B601" s="324"/>
      <c r="C601" s="323">
        <v>248744459.93000001</v>
      </c>
      <c r="D601" s="323">
        <v>158462349.38</v>
      </c>
      <c r="E601" s="592">
        <v>90282110.549999997</v>
      </c>
      <c r="F601" s="322"/>
      <c r="G601" s="339"/>
      <c r="H601" s="339"/>
      <c r="I601" s="338"/>
      <c r="J601" s="324"/>
      <c r="K601" s="338"/>
      <c r="L601" s="338"/>
      <c r="M601" s="339"/>
      <c r="N601" s="322"/>
      <c r="O601" s="325">
        <v>248744459.93000001</v>
      </c>
      <c r="P601" s="325">
        <v>158462349.38</v>
      </c>
      <c r="Q601" s="594">
        <v>90282110.549999997</v>
      </c>
      <c r="R601" s="324"/>
      <c r="S601" s="338"/>
      <c r="T601" s="338"/>
      <c r="U601" s="339"/>
      <c r="V601" s="322"/>
      <c r="W601" s="339"/>
      <c r="X601" s="339"/>
      <c r="Y601" s="338"/>
      <c r="Z601" s="324"/>
      <c r="AA601" s="338"/>
      <c r="AB601" s="338"/>
      <c r="AC601" s="339"/>
      <c r="AD601" s="322"/>
      <c r="AE601" s="339"/>
      <c r="AF601" s="339"/>
      <c r="AG601" s="338"/>
      <c r="AH601" s="324"/>
      <c r="AI601" s="338"/>
      <c r="AJ601" s="338"/>
      <c r="AK601" s="339"/>
      <c r="AL601" s="322"/>
      <c r="AM601" s="339"/>
      <c r="AN601" s="339"/>
      <c r="AO601" s="338"/>
    </row>
    <row r="602" spans="1:41">
      <c r="A602" s="321" t="s">
        <v>761</v>
      </c>
      <c r="B602" s="699">
        <v>364501597.69999999</v>
      </c>
      <c r="C602" s="323">
        <v>1196907155.74</v>
      </c>
      <c r="D602" s="323">
        <v>1268793987.0699999</v>
      </c>
      <c r="E602" s="588">
        <v>436388429.02999997</v>
      </c>
      <c r="F602" s="322"/>
      <c r="G602" s="339"/>
      <c r="H602" s="339"/>
      <c r="I602" s="338"/>
      <c r="J602" s="324"/>
      <c r="K602" s="338"/>
      <c r="L602" s="338"/>
      <c r="M602" s="339"/>
      <c r="N602" s="322"/>
      <c r="O602" s="339"/>
      <c r="P602" s="339"/>
      <c r="Q602" s="338"/>
      <c r="R602" s="324"/>
      <c r="S602" s="338"/>
      <c r="T602" s="338"/>
      <c r="U602" s="339"/>
      <c r="V602" s="700">
        <v>84558418.159999996</v>
      </c>
      <c r="W602" s="339"/>
      <c r="X602" s="339"/>
      <c r="Y602" s="589">
        <v>84558418.159999996</v>
      </c>
      <c r="Z602" s="699">
        <v>463631734</v>
      </c>
      <c r="AA602" s="338"/>
      <c r="AB602" s="323">
        <v>8069694</v>
      </c>
      <c r="AC602" s="588">
        <v>471701428</v>
      </c>
      <c r="AD602" s="716">
        <v>209374413.46000001</v>
      </c>
      <c r="AE602" s="325">
        <v>1196907155.74</v>
      </c>
      <c r="AF602" s="325">
        <v>1260724293.0699999</v>
      </c>
      <c r="AG602" s="594">
        <v>145557276.13</v>
      </c>
      <c r="AH602" s="713">
        <v>25685859</v>
      </c>
      <c r="AI602" s="338"/>
      <c r="AJ602" s="338"/>
      <c r="AK602" s="715">
        <v>25685859</v>
      </c>
      <c r="AL602" s="322"/>
      <c r="AM602" s="339"/>
      <c r="AN602" s="339"/>
      <c r="AO602" s="338"/>
    </row>
    <row r="603" spans="1:41">
      <c r="A603" s="321" t="s">
        <v>762</v>
      </c>
      <c r="B603" s="717">
        <v>622705782.97599995</v>
      </c>
      <c r="C603" s="338"/>
      <c r="D603" s="338"/>
      <c r="E603" s="592">
        <v>622705782.97599995</v>
      </c>
      <c r="F603" s="322"/>
      <c r="G603" s="339"/>
      <c r="H603" s="339"/>
      <c r="I603" s="338"/>
      <c r="J603" s="324"/>
      <c r="K603" s="338"/>
      <c r="L603" s="338"/>
      <c r="M603" s="339"/>
      <c r="N603" s="322"/>
      <c r="O603" s="339"/>
      <c r="P603" s="339"/>
      <c r="Q603" s="338"/>
      <c r="R603" s="324"/>
      <c r="S603" s="338"/>
      <c r="T603" s="338"/>
      <c r="U603" s="339"/>
      <c r="V603" s="322"/>
      <c r="W603" s="339"/>
      <c r="X603" s="339"/>
      <c r="Y603" s="338"/>
      <c r="Z603" s="324"/>
      <c r="AA603" s="338"/>
      <c r="AB603" s="338"/>
      <c r="AC603" s="339"/>
      <c r="AD603" s="716">
        <v>622705782.97599995</v>
      </c>
      <c r="AE603" s="339"/>
      <c r="AF603" s="339"/>
      <c r="AG603" s="594">
        <v>622705782.97599995</v>
      </c>
      <c r="AH603" s="324"/>
      <c r="AI603" s="338"/>
      <c r="AJ603" s="338"/>
      <c r="AK603" s="339"/>
      <c r="AL603" s="322"/>
      <c r="AM603" s="339"/>
      <c r="AN603" s="339"/>
      <c r="AO603" s="338"/>
    </row>
    <row r="604" spans="1:41">
      <c r="A604" s="311" t="s">
        <v>368</v>
      </c>
      <c r="B604" s="733">
        <v>345591.79499999998</v>
      </c>
      <c r="C604" s="708"/>
      <c r="D604" s="708"/>
      <c r="E604" s="721">
        <v>345591.79499999998</v>
      </c>
      <c r="F604" s="326"/>
      <c r="G604" s="595"/>
      <c r="H604" s="595"/>
      <c r="I604" s="340"/>
      <c r="J604" s="328"/>
      <c r="K604" s="708"/>
      <c r="L604" s="708"/>
      <c r="M604" s="341"/>
      <c r="N604" s="732">
        <v>345591.79499999998</v>
      </c>
      <c r="O604" s="595"/>
      <c r="P604" s="595"/>
      <c r="Q604" s="593">
        <v>345591.79499999998</v>
      </c>
      <c r="R604" s="328"/>
      <c r="S604" s="708"/>
      <c r="T604" s="708"/>
      <c r="U604" s="341"/>
      <c r="V604" s="326"/>
      <c r="W604" s="595"/>
      <c r="X604" s="595"/>
      <c r="Y604" s="340"/>
      <c r="Z604" s="328"/>
      <c r="AA604" s="708"/>
      <c r="AB604" s="708"/>
      <c r="AC604" s="341"/>
      <c r="AD604" s="326"/>
      <c r="AE604" s="595"/>
      <c r="AF604" s="595"/>
      <c r="AG604" s="340"/>
      <c r="AH604" s="328"/>
      <c r="AI604" s="708"/>
      <c r="AJ604" s="708"/>
      <c r="AK604" s="341"/>
      <c r="AL604" s="326"/>
      <c r="AM604" s="595"/>
      <c r="AN604" s="595"/>
      <c r="AO604" s="340"/>
    </row>
    <row r="605" spans="1:41">
      <c r="A605" s="321" t="s">
        <v>369</v>
      </c>
      <c r="B605" s="728">
        <v>345591.79499999998</v>
      </c>
      <c r="C605" s="330"/>
      <c r="D605" s="330"/>
      <c r="E605" s="729">
        <v>345591.79499999998</v>
      </c>
      <c r="F605" s="319"/>
      <c r="G605" s="331"/>
      <c r="H605" s="331"/>
      <c r="I605" s="330"/>
      <c r="J605" s="317"/>
      <c r="K605" s="330"/>
      <c r="L605" s="330"/>
      <c r="M605" s="331"/>
      <c r="N605" s="738">
        <v>345591.79499999998</v>
      </c>
      <c r="O605" s="331"/>
      <c r="P605" s="331"/>
      <c r="Q605" s="739">
        <v>345591.79499999998</v>
      </c>
      <c r="R605" s="317"/>
      <c r="S605" s="330"/>
      <c r="T605" s="330"/>
      <c r="U605" s="331"/>
      <c r="V605" s="319"/>
      <c r="W605" s="331"/>
      <c r="X605" s="331"/>
      <c r="Y605" s="330"/>
      <c r="Z605" s="317"/>
      <c r="AA605" s="330"/>
      <c r="AB605" s="330"/>
      <c r="AC605" s="331"/>
      <c r="AD605" s="319"/>
      <c r="AE605" s="331"/>
      <c r="AF605" s="331"/>
      <c r="AG605" s="330"/>
      <c r="AH605" s="317"/>
      <c r="AI605" s="330"/>
      <c r="AJ605" s="330"/>
      <c r="AK605" s="331"/>
      <c r="AL605" s="319"/>
      <c r="AM605" s="331"/>
      <c r="AN605" s="331"/>
      <c r="AO605" s="330"/>
    </row>
    <row r="606" spans="1:41" hidden="1">
      <c r="A606" s="311" t="s">
        <v>370</v>
      </c>
      <c r="B606" s="328"/>
      <c r="C606" s="703">
        <v>140633.5</v>
      </c>
      <c r="D606" s="703">
        <v>2128690907.8180001</v>
      </c>
      <c r="E606" s="740">
        <v>2124446212.418</v>
      </c>
      <c r="F606" s="326"/>
      <c r="G606" s="595"/>
      <c r="H606" s="595"/>
      <c r="I606" s="340"/>
      <c r="J606" s="328"/>
      <c r="K606" s="708"/>
      <c r="L606" s="703">
        <v>3573795.5</v>
      </c>
      <c r="M606" s="740">
        <v>3573795.5</v>
      </c>
      <c r="N606" s="326"/>
      <c r="O606" s="591">
        <v>140633.5</v>
      </c>
      <c r="P606" s="591">
        <v>546381505.38999999</v>
      </c>
      <c r="Q606" s="590">
        <v>546240871.88999999</v>
      </c>
      <c r="R606" s="328"/>
      <c r="S606" s="703">
        <v>237993</v>
      </c>
      <c r="T606" s="703">
        <v>289968704</v>
      </c>
      <c r="U606" s="740">
        <v>289730711</v>
      </c>
      <c r="V606" s="326"/>
      <c r="W606" s="591">
        <v>408747</v>
      </c>
      <c r="X606" s="591">
        <v>177989047.94999999</v>
      </c>
      <c r="Y606" s="590">
        <v>177580300.94999999</v>
      </c>
      <c r="Z606" s="328"/>
      <c r="AA606" s="703">
        <v>443159</v>
      </c>
      <c r="AB606" s="703">
        <v>89751221.818000004</v>
      </c>
      <c r="AC606" s="740">
        <v>89308062.818000004</v>
      </c>
      <c r="AD606" s="326"/>
      <c r="AE606" s="591">
        <v>2094297.4</v>
      </c>
      <c r="AF606" s="591">
        <v>218195435.5</v>
      </c>
      <c r="AG606" s="590">
        <v>216101138.09999999</v>
      </c>
      <c r="AH606" s="328"/>
      <c r="AI606" s="708"/>
      <c r="AJ606" s="708"/>
      <c r="AK606" s="341"/>
      <c r="AL606" s="326"/>
      <c r="AM606" s="706">
        <v>1060499</v>
      </c>
      <c r="AN606" s="706">
        <v>1349212703.05</v>
      </c>
      <c r="AO606" s="707">
        <v>1348152204.05</v>
      </c>
    </row>
    <row r="607" spans="1:41" hidden="1">
      <c r="A607" s="321" t="s">
        <v>1382</v>
      </c>
      <c r="B607" s="317"/>
      <c r="C607" s="320">
        <v>386106</v>
      </c>
      <c r="D607" s="330"/>
      <c r="E607" s="729">
        <v>386106</v>
      </c>
      <c r="F607" s="319"/>
      <c r="G607" s="331"/>
      <c r="H607" s="331"/>
      <c r="I607" s="330"/>
      <c r="J607" s="317"/>
      <c r="K607" s="330"/>
      <c r="L607" s="330"/>
      <c r="M607" s="331"/>
      <c r="N607" s="319"/>
      <c r="O607" s="331"/>
      <c r="P607" s="331"/>
      <c r="Q607" s="330"/>
      <c r="R607" s="317"/>
      <c r="S607" s="330"/>
      <c r="T607" s="330"/>
      <c r="U607" s="331"/>
      <c r="V607" s="319"/>
      <c r="W607" s="331"/>
      <c r="X607" s="331"/>
      <c r="Y607" s="330"/>
      <c r="Z607" s="317"/>
      <c r="AA607" s="320">
        <v>386106</v>
      </c>
      <c r="AB607" s="330"/>
      <c r="AC607" s="729">
        <v>386106</v>
      </c>
      <c r="AD607" s="319"/>
      <c r="AE607" s="331"/>
      <c r="AF607" s="331"/>
      <c r="AG607" s="330"/>
      <c r="AH607" s="317"/>
      <c r="AI607" s="330"/>
      <c r="AJ607" s="330"/>
      <c r="AK607" s="331"/>
      <c r="AL607" s="319"/>
      <c r="AM607" s="331"/>
      <c r="AN607" s="331"/>
      <c r="AO607" s="330"/>
    </row>
    <row r="608" spans="1:41" hidden="1">
      <c r="A608" s="321" t="s">
        <v>1383</v>
      </c>
      <c r="B608" s="324"/>
      <c r="C608" s="711">
        <v>100</v>
      </c>
      <c r="D608" s="711">
        <v>4539866.1399999997</v>
      </c>
      <c r="E608" s="715">
        <v>4539766.1399999997</v>
      </c>
      <c r="F608" s="322"/>
      <c r="G608" s="339"/>
      <c r="H608" s="339"/>
      <c r="I608" s="338"/>
      <c r="J608" s="324"/>
      <c r="K608" s="338"/>
      <c r="L608" s="338"/>
      <c r="M608" s="339"/>
      <c r="N608" s="322"/>
      <c r="O608" s="339"/>
      <c r="P608" s="339"/>
      <c r="Q608" s="338"/>
      <c r="R608" s="324"/>
      <c r="S608" s="338"/>
      <c r="T608" s="338"/>
      <c r="U608" s="339"/>
      <c r="V608" s="322"/>
      <c r="W608" s="339"/>
      <c r="X608" s="339"/>
      <c r="Y608" s="338"/>
      <c r="Z608" s="324"/>
      <c r="AA608" s="338"/>
      <c r="AB608" s="338"/>
      <c r="AC608" s="339"/>
      <c r="AD608" s="322"/>
      <c r="AE608" s="339"/>
      <c r="AF608" s="339"/>
      <c r="AG608" s="338"/>
      <c r="AH608" s="324"/>
      <c r="AI608" s="338"/>
      <c r="AJ608" s="338"/>
      <c r="AK608" s="339"/>
      <c r="AL608" s="322"/>
      <c r="AM608" s="714">
        <v>100</v>
      </c>
      <c r="AN608" s="714">
        <v>4539866.1399999997</v>
      </c>
      <c r="AO608" s="712">
        <v>4539766.1399999997</v>
      </c>
    </row>
    <row r="609" spans="1:41" hidden="1">
      <c r="A609" s="321" t="s">
        <v>1112</v>
      </c>
      <c r="B609" s="324"/>
      <c r="C609" s="338"/>
      <c r="D609" s="711">
        <v>47064</v>
      </c>
      <c r="E609" s="715">
        <v>47064</v>
      </c>
      <c r="F609" s="322"/>
      <c r="G609" s="339"/>
      <c r="H609" s="339"/>
      <c r="I609" s="338"/>
      <c r="J609" s="324"/>
      <c r="K609" s="338"/>
      <c r="L609" s="338"/>
      <c r="M609" s="339"/>
      <c r="N609" s="322"/>
      <c r="O609" s="339"/>
      <c r="P609" s="339"/>
      <c r="Q609" s="338"/>
      <c r="R609" s="324"/>
      <c r="S609" s="338"/>
      <c r="T609" s="338"/>
      <c r="U609" s="339"/>
      <c r="V609" s="322"/>
      <c r="W609" s="339"/>
      <c r="X609" s="339"/>
      <c r="Y609" s="338"/>
      <c r="Z609" s="324"/>
      <c r="AA609" s="338"/>
      <c r="AB609" s="338"/>
      <c r="AC609" s="339"/>
      <c r="AD609" s="322"/>
      <c r="AE609" s="339"/>
      <c r="AF609" s="339"/>
      <c r="AG609" s="338"/>
      <c r="AH609" s="324"/>
      <c r="AI609" s="338"/>
      <c r="AJ609" s="338"/>
      <c r="AK609" s="339"/>
      <c r="AL609" s="322"/>
      <c r="AM609" s="339"/>
      <c r="AN609" s="714">
        <v>47064</v>
      </c>
      <c r="AO609" s="712">
        <v>47064</v>
      </c>
    </row>
    <row r="610" spans="1:41" hidden="1">
      <c r="A610" s="321" t="s">
        <v>1824</v>
      </c>
      <c r="B610" s="324"/>
      <c r="C610" s="338"/>
      <c r="D610" s="711">
        <v>64000</v>
      </c>
      <c r="E610" s="715">
        <v>64000</v>
      </c>
      <c r="F610" s="322"/>
      <c r="G610" s="339"/>
      <c r="H610" s="339"/>
      <c r="I610" s="338"/>
      <c r="J610" s="324"/>
      <c r="K610" s="338"/>
      <c r="L610" s="338"/>
      <c r="M610" s="339"/>
      <c r="N610" s="322"/>
      <c r="O610" s="339"/>
      <c r="P610" s="339"/>
      <c r="Q610" s="338"/>
      <c r="R610" s="324"/>
      <c r="S610" s="338"/>
      <c r="T610" s="338"/>
      <c r="U610" s="339"/>
      <c r="V610" s="322"/>
      <c r="W610" s="339"/>
      <c r="X610" s="339"/>
      <c r="Y610" s="338"/>
      <c r="Z610" s="324"/>
      <c r="AA610" s="338"/>
      <c r="AB610" s="338"/>
      <c r="AC610" s="339"/>
      <c r="AD610" s="322"/>
      <c r="AE610" s="339"/>
      <c r="AF610" s="339"/>
      <c r="AG610" s="338"/>
      <c r="AH610" s="324"/>
      <c r="AI610" s="338"/>
      <c r="AJ610" s="338"/>
      <c r="AK610" s="339"/>
      <c r="AL610" s="322"/>
      <c r="AM610" s="339"/>
      <c r="AN610" s="714">
        <v>64000</v>
      </c>
      <c r="AO610" s="712">
        <v>64000</v>
      </c>
    </row>
    <row r="611" spans="1:41" hidden="1">
      <c r="A611" s="321" t="s">
        <v>1384</v>
      </c>
      <c r="B611" s="324"/>
      <c r="C611" s="338"/>
      <c r="D611" s="323">
        <v>118496357.29000001</v>
      </c>
      <c r="E611" s="588">
        <v>118496357.29000001</v>
      </c>
      <c r="F611" s="322"/>
      <c r="G611" s="339"/>
      <c r="H611" s="339"/>
      <c r="I611" s="338"/>
      <c r="J611" s="324"/>
      <c r="K611" s="338"/>
      <c r="L611" s="338"/>
      <c r="M611" s="339"/>
      <c r="N611" s="322"/>
      <c r="O611" s="339"/>
      <c r="P611" s="339"/>
      <c r="Q611" s="338"/>
      <c r="R611" s="324"/>
      <c r="S611" s="338"/>
      <c r="T611" s="338"/>
      <c r="U611" s="339"/>
      <c r="V611" s="322"/>
      <c r="W611" s="339"/>
      <c r="X611" s="325">
        <v>16634711</v>
      </c>
      <c r="Y611" s="589">
        <v>16634711</v>
      </c>
      <c r="Z611" s="324"/>
      <c r="AA611" s="338"/>
      <c r="AB611" s="338"/>
      <c r="AC611" s="339"/>
      <c r="AD611" s="322"/>
      <c r="AE611" s="339"/>
      <c r="AF611" s="339"/>
      <c r="AG611" s="338"/>
      <c r="AH611" s="324"/>
      <c r="AI611" s="338"/>
      <c r="AJ611" s="338"/>
      <c r="AK611" s="339"/>
      <c r="AL611" s="322"/>
      <c r="AM611" s="339"/>
      <c r="AN611" s="714">
        <v>101861646.29000001</v>
      </c>
      <c r="AO611" s="712">
        <v>101861646.29000001</v>
      </c>
    </row>
    <row r="612" spans="1:41" hidden="1">
      <c r="A612" s="321" t="s">
        <v>764</v>
      </c>
      <c r="B612" s="324"/>
      <c r="C612" s="338"/>
      <c r="D612" s="711">
        <v>61768.32</v>
      </c>
      <c r="E612" s="715">
        <v>61768.32</v>
      </c>
      <c r="F612" s="322"/>
      <c r="G612" s="339"/>
      <c r="H612" s="339"/>
      <c r="I612" s="338"/>
      <c r="J612" s="324"/>
      <c r="K612" s="338"/>
      <c r="L612" s="338"/>
      <c r="M612" s="339"/>
      <c r="N612" s="322"/>
      <c r="O612" s="339"/>
      <c r="P612" s="339"/>
      <c r="Q612" s="338"/>
      <c r="R612" s="324"/>
      <c r="S612" s="338"/>
      <c r="T612" s="338"/>
      <c r="U612" s="339"/>
      <c r="V612" s="322"/>
      <c r="W612" s="339"/>
      <c r="X612" s="339"/>
      <c r="Y612" s="338"/>
      <c r="Z612" s="324"/>
      <c r="AA612" s="338"/>
      <c r="AB612" s="338"/>
      <c r="AC612" s="339"/>
      <c r="AD612" s="322"/>
      <c r="AE612" s="339"/>
      <c r="AF612" s="339"/>
      <c r="AG612" s="338"/>
      <c r="AH612" s="324"/>
      <c r="AI612" s="338"/>
      <c r="AJ612" s="338"/>
      <c r="AK612" s="339"/>
      <c r="AL612" s="322"/>
      <c r="AM612" s="339"/>
      <c r="AN612" s="714">
        <v>61768.32</v>
      </c>
      <c r="AO612" s="712">
        <v>61768.32</v>
      </c>
    </row>
    <row r="613" spans="1:41" hidden="1">
      <c r="A613" s="321" t="s">
        <v>371</v>
      </c>
      <c r="B613" s="324"/>
      <c r="C613" s="323">
        <v>106581</v>
      </c>
      <c r="D613" s="323">
        <v>535462124.38999999</v>
      </c>
      <c r="E613" s="588">
        <v>535355543.38999999</v>
      </c>
      <c r="F613" s="322"/>
      <c r="G613" s="339"/>
      <c r="H613" s="339"/>
      <c r="I613" s="338"/>
      <c r="J613" s="324"/>
      <c r="K613" s="338"/>
      <c r="L613" s="338"/>
      <c r="M613" s="339"/>
      <c r="N613" s="322"/>
      <c r="O613" s="325">
        <v>106581</v>
      </c>
      <c r="P613" s="325">
        <v>535462124.38999999</v>
      </c>
      <c r="Q613" s="589">
        <v>535355543.38999999</v>
      </c>
      <c r="R613" s="324"/>
      <c r="S613" s="338"/>
      <c r="T613" s="338"/>
      <c r="U613" s="339"/>
      <c r="V613" s="322"/>
      <c r="W613" s="339"/>
      <c r="X613" s="339"/>
      <c r="Y613" s="338"/>
      <c r="Z613" s="324"/>
      <c r="AA613" s="338"/>
      <c r="AB613" s="338"/>
      <c r="AC613" s="339"/>
      <c r="AD613" s="322"/>
      <c r="AE613" s="339"/>
      <c r="AF613" s="339"/>
      <c r="AG613" s="338"/>
      <c r="AH613" s="324"/>
      <c r="AI613" s="338"/>
      <c r="AJ613" s="338"/>
      <c r="AK613" s="339"/>
      <c r="AL613" s="322"/>
      <c r="AM613" s="339"/>
      <c r="AN613" s="339"/>
      <c r="AO613" s="338"/>
    </row>
    <row r="614" spans="1:41" hidden="1">
      <c r="A614" s="321" t="s">
        <v>765</v>
      </c>
      <c r="B614" s="324"/>
      <c r="C614" s="323">
        <v>328775.5</v>
      </c>
      <c r="D614" s="323">
        <v>1273096415.8</v>
      </c>
      <c r="E614" s="588">
        <v>1272767640.3</v>
      </c>
      <c r="F614" s="322"/>
      <c r="G614" s="339"/>
      <c r="H614" s="339"/>
      <c r="I614" s="338"/>
      <c r="J614" s="324"/>
      <c r="K614" s="338"/>
      <c r="L614" s="338"/>
      <c r="M614" s="339"/>
      <c r="N614" s="322"/>
      <c r="O614" s="339"/>
      <c r="P614" s="339"/>
      <c r="Q614" s="338"/>
      <c r="R614" s="324"/>
      <c r="S614" s="323">
        <v>237993</v>
      </c>
      <c r="T614" s="323">
        <v>261759239.25</v>
      </c>
      <c r="U614" s="588">
        <v>261521246.25</v>
      </c>
      <c r="V614" s="322"/>
      <c r="W614" s="339"/>
      <c r="X614" s="339"/>
      <c r="Y614" s="338"/>
      <c r="Z614" s="324"/>
      <c r="AA614" s="338"/>
      <c r="AB614" s="338"/>
      <c r="AC614" s="339"/>
      <c r="AD614" s="322"/>
      <c r="AE614" s="339"/>
      <c r="AF614" s="339"/>
      <c r="AG614" s="338"/>
      <c r="AH614" s="324"/>
      <c r="AI614" s="338"/>
      <c r="AJ614" s="338"/>
      <c r="AK614" s="339"/>
      <c r="AL614" s="322"/>
      <c r="AM614" s="714">
        <v>90782.5</v>
      </c>
      <c r="AN614" s="714">
        <v>1011337176.55</v>
      </c>
      <c r="AO614" s="712">
        <v>1011246394.05</v>
      </c>
    </row>
    <row r="615" spans="1:41" hidden="1">
      <c r="A615" s="321" t="s">
        <v>766</v>
      </c>
      <c r="B615" s="324"/>
      <c r="C615" s="338"/>
      <c r="D615" s="323">
        <v>13580382.619999999</v>
      </c>
      <c r="E615" s="588">
        <v>13580382.619999999</v>
      </c>
      <c r="F615" s="322"/>
      <c r="G615" s="339"/>
      <c r="H615" s="339"/>
      <c r="I615" s="338"/>
      <c r="J615" s="324"/>
      <c r="K615" s="338"/>
      <c r="L615" s="338"/>
      <c r="M615" s="339"/>
      <c r="N615" s="322"/>
      <c r="O615" s="339"/>
      <c r="P615" s="339"/>
      <c r="Q615" s="338"/>
      <c r="R615" s="324"/>
      <c r="S615" s="338"/>
      <c r="T615" s="338"/>
      <c r="U615" s="339"/>
      <c r="V615" s="322"/>
      <c r="W615" s="339"/>
      <c r="X615" s="325">
        <v>12570199</v>
      </c>
      <c r="Y615" s="589">
        <v>12570199</v>
      </c>
      <c r="Z615" s="324"/>
      <c r="AA615" s="338"/>
      <c r="AB615" s="323">
        <v>1010183.62</v>
      </c>
      <c r="AC615" s="588">
        <v>1010183.62</v>
      </c>
      <c r="AD615" s="322"/>
      <c r="AE615" s="339"/>
      <c r="AF615" s="339"/>
      <c r="AG615" s="338"/>
      <c r="AH615" s="324"/>
      <c r="AI615" s="338"/>
      <c r="AJ615" s="338"/>
      <c r="AK615" s="339"/>
      <c r="AL615" s="322"/>
      <c r="AM615" s="339"/>
      <c r="AN615" s="339"/>
      <c r="AO615" s="338"/>
    </row>
    <row r="616" spans="1:41" hidden="1">
      <c r="A616" s="321" t="s">
        <v>767</v>
      </c>
      <c r="B616" s="324"/>
      <c r="C616" s="323">
        <v>546.4</v>
      </c>
      <c r="D616" s="323">
        <v>211425924.5</v>
      </c>
      <c r="E616" s="588">
        <v>211425378.09999999</v>
      </c>
      <c r="F616" s="322"/>
      <c r="G616" s="339"/>
      <c r="H616" s="339"/>
      <c r="I616" s="338"/>
      <c r="J616" s="324"/>
      <c r="K616" s="338"/>
      <c r="L616" s="338"/>
      <c r="M616" s="339"/>
      <c r="N616" s="322"/>
      <c r="O616" s="339"/>
      <c r="P616" s="339"/>
      <c r="Q616" s="338"/>
      <c r="R616" s="324"/>
      <c r="S616" s="338"/>
      <c r="T616" s="338"/>
      <c r="U616" s="339"/>
      <c r="V616" s="322"/>
      <c r="W616" s="339"/>
      <c r="X616" s="339"/>
      <c r="Y616" s="338"/>
      <c r="Z616" s="324"/>
      <c r="AA616" s="338"/>
      <c r="AB616" s="338"/>
      <c r="AC616" s="339"/>
      <c r="AD616" s="322"/>
      <c r="AE616" s="325">
        <v>546.4</v>
      </c>
      <c r="AF616" s="325">
        <v>211425924.5</v>
      </c>
      <c r="AG616" s="589">
        <v>211425378.09999999</v>
      </c>
      <c r="AH616" s="324"/>
      <c r="AI616" s="338"/>
      <c r="AJ616" s="338"/>
      <c r="AK616" s="339"/>
      <c r="AL616" s="322"/>
      <c r="AM616" s="339"/>
      <c r="AN616" s="339"/>
      <c r="AO616" s="338"/>
    </row>
    <row r="617" spans="1:41" hidden="1">
      <c r="A617" s="321" t="s">
        <v>1385</v>
      </c>
      <c r="B617" s="324"/>
      <c r="C617" s="338"/>
      <c r="D617" s="338"/>
      <c r="E617" s="339"/>
      <c r="F617" s="322"/>
      <c r="G617" s="339"/>
      <c r="H617" s="339"/>
      <c r="I617" s="338"/>
      <c r="J617" s="324"/>
      <c r="K617" s="338"/>
      <c r="L617" s="338"/>
      <c r="M617" s="339"/>
      <c r="N617" s="322"/>
      <c r="O617" s="339"/>
      <c r="P617" s="339"/>
      <c r="Q617" s="338"/>
      <c r="R617" s="324"/>
      <c r="S617" s="338"/>
      <c r="T617" s="338"/>
      <c r="U617" s="339"/>
      <c r="V617" s="322"/>
      <c r="W617" s="339"/>
      <c r="X617" s="339"/>
      <c r="Y617" s="338"/>
      <c r="Z617" s="324"/>
      <c r="AA617" s="338"/>
      <c r="AB617" s="338"/>
      <c r="AC617" s="339"/>
      <c r="AD617" s="322"/>
      <c r="AE617" s="339"/>
      <c r="AF617" s="339"/>
      <c r="AG617" s="338"/>
      <c r="AH617" s="324"/>
      <c r="AI617" s="338"/>
      <c r="AJ617" s="338"/>
      <c r="AK617" s="339"/>
      <c r="AL617" s="322"/>
      <c r="AM617" s="339"/>
      <c r="AN617" s="339"/>
      <c r="AO617" s="338"/>
    </row>
    <row r="618" spans="1:41" hidden="1">
      <c r="A618" s="321" t="s">
        <v>768</v>
      </c>
      <c r="B618" s="324"/>
      <c r="C618" s="338"/>
      <c r="D618" s="323">
        <v>36675</v>
      </c>
      <c r="E618" s="588">
        <v>36675</v>
      </c>
      <c r="F618" s="322"/>
      <c r="G618" s="339"/>
      <c r="H618" s="339"/>
      <c r="I618" s="338"/>
      <c r="J618" s="324"/>
      <c r="K618" s="338"/>
      <c r="L618" s="338"/>
      <c r="M618" s="339"/>
      <c r="N618" s="322"/>
      <c r="O618" s="339"/>
      <c r="P618" s="339"/>
      <c r="Q618" s="338"/>
      <c r="R618" s="324"/>
      <c r="S618" s="338"/>
      <c r="T618" s="323">
        <v>1695</v>
      </c>
      <c r="U618" s="588">
        <v>1695</v>
      </c>
      <c r="V618" s="322"/>
      <c r="W618" s="339"/>
      <c r="X618" s="339"/>
      <c r="Y618" s="338"/>
      <c r="Z618" s="324"/>
      <c r="AA618" s="338"/>
      <c r="AB618" s="338"/>
      <c r="AC618" s="339"/>
      <c r="AD618" s="322"/>
      <c r="AE618" s="339"/>
      <c r="AF618" s="339"/>
      <c r="AG618" s="338"/>
      <c r="AH618" s="324"/>
      <c r="AI618" s="338"/>
      <c r="AJ618" s="338"/>
      <c r="AK618" s="339"/>
      <c r="AL618" s="322"/>
      <c r="AM618" s="339"/>
      <c r="AN618" s="714">
        <v>34980</v>
      </c>
      <c r="AO618" s="712">
        <v>34980</v>
      </c>
    </row>
    <row r="619" spans="1:41" hidden="1">
      <c r="A619" s="321" t="s">
        <v>769</v>
      </c>
      <c r="B619" s="324"/>
      <c r="C619" s="323">
        <v>1553</v>
      </c>
      <c r="D619" s="323">
        <v>113022</v>
      </c>
      <c r="E619" s="588">
        <v>111469</v>
      </c>
      <c r="F619" s="322"/>
      <c r="G619" s="339"/>
      <c r="H619" s="339"/>
      <c r="I619" s="338"/>
      <c r="J619" s="324"/>
      <c r="K619" s="338"/>
      <c r="L619" s="323">
        <v>14584</v>
      </c>
      <c r="M619" s="588">
        <v>14584</v>
      </c>
      <c r="N619" s="322"/>
      <c r="O619" s="339"/>
      <c r="P619" s="339"/>
      <c r="Q619" s="338"/>
      <c r="R619" s="324"/>
      <c r="S619" s="338"/>
      <c r="T619" s="338"/>
      <c r="U619" s="339"/>
      <c r="V619" s="322"/>
      <c r="W619" s="339"/>
      <c r="X619" s="339"/>
      <c r="Y619" s="338"/>
      <c r="Z619" s="324"/>
      <c r="AA619" s="323">
        <v>1553</v>
      </c>
      <c r="AB619" s="323">
        <v>98438</v>
      </c>
      <c r="AC619" s="588">
        <v>96885</v>
      </c>
      <c r="AD619" s="322"/>
      <c r="AE619" s="339"/>
      <c r="AF619" s="339"/>
      <c r="AG619" s="338"/>
      <c r="AH619" s="324"/>
      <c r="AI619" s="338"/>
      <c r="AJ619" s="338"/>
      <c r="AK619" s="339"/>
      <c r="AL619" s="322"/>
      <c r="AM619" s="339"/>
      <c r="AN619" s="339"/>
      <c r="AO619" s="338"/>
    </row>
    <row r="620" spans="1:41" hidden="1">
      <c r="A620" s="321" t="s">
        <v>771</v>
      </c>
      <c r="B620" s="324"/>
      <c r="C620" s="323">
        <v>464247</v>
      </c>
      <c r="D620" s="323">
        <v>473459674.44</v>
      </c>
      <c r="E620" s="588">
        <v>472995427.44</v>
      </c>
      <c r="F620" s="322"/>
      <c r="G620" s="339"/>
      <c r="H620" s="339"/>
      <c r="I620" s="338"/>
      <c r="J620" s="324"/>
      <c r="K620" s="338"/>
      <c r="L620" s="323">
        <v>3559211.5</v>
      </c>
      <c r="M620" s="588">
        <v>3559211.5</v>
      </c>
      <c r="N620" s="322"/>
      <c r="O620" s="339"/>
      <c r="P620" s="339"/>
      <c r="Q620" s="338"/>
      <c r="R620" s="324"/>
      <c r="S620" s="338"/>
      <c r="T620" s="323">
        <v>28207769.75</v>
      </c>
      <c r="U620" s="588">
        <v>28207769.75</v>
      </c>
      <c r="V620" s="322"/>
      <c r="W620" s="325">
        <v>408747</v>
      </c>
      <c r="X620" s="325">
        <v>148759164.44999999</v>
      </c>
      <c r="Y620" s="589">
        <v>148350417.44999999</v>
      </c>
      <c r="Z620" s="324"/>
      <c r="AA620" s="323">
        <v>55500</v>
      </c>
      <c r="AB620" s="323">
        <v>61704945.990000002</v>
      </c>
      <c r="AC620" s="588">
        <v>61649445.990000002</v>
      </c>
      <c r="AD620" s="322"/>
      <c r="AE620" s="339"/>
      <c r="AF620" s="339"/>
      <c r="AG620" s="338"/>
      <c r="AH620" s="324"/>
      <c r="AI620" s="338"/>
      <c r="AJ620" s="338"/>
      <c r="AK620" s="339"/>
      <c r="AL620" s="322"/>
      <c r="AM620" s="339"/>
      <c r="AN620" s="714">
        <v>231228582.75</v>
      </c>
      <c r="AO620" s="712">
        <v>231228582.75</v>
      </c>
    </row>
    <row r="621" spans="1:41" hidden="1">
      <c r="A621" s="321" t="s">
        <v>597</v>
      </c>
      <c r="B621" s="324"/>
      <c r="C621" s="323">
        <v>34052.5</v>
      </c>
      <c r="D621" s="323">
        <v>10919381</v>
      </c>
      <c r="E621" s="588">
        <v>10885328.5</v>
      </c>
      <c r="F621" s="322"/>
      <c r="G621" s="339"/>
      <c r="H621" s="339"/>
      <c r="I621" s="338"/>
      <c r="J621" s="324"/>
      <c r="K621" s="338"/>
      <c r="L621" s="338"/>
      <c r="M621" s="339"/>
      <c r="N621" s="322"/>
      <c r="O621" s="325">
        <v>34052.5</v>
      </c>
      <c r="P621" s="325">
        <v>10919381</v>
      </c>
      <c r="Q621" s="589">
        <v>10885328.5</v>
      </c>
      <c r="R621" s="324"/>
      <c r="S621" s="338"/>
      <c r="T621" s="338"/>
      <c r="U621" s="339"/>
      <c r="V621" s="322"/>
      <c r="W621" s="339"/>
      <c r="X621" s="339"/>
      <c r="Y621" s="338"/>
      <c r="Z621" s="324"/>
      <c r="AA621" s="338"/>
      <c r="AB621" s="338"/>
      <c r="AC621" s="339"/>
      <c r="AD621" s="322"/>
      <c r="AE621" s="339"/>
      <c r="AF621" s="325">
        <v>4675760</v>
      </c>
      <c r="AG621" s="589">
        <v>4675760</v>
      </c>
      <c r="AH621" s="324"/>
      <c r="AI621" s="338"/>
      <c r="AJ621" s="338"/>
      <c r="AK621" s="339"/>
      <c r="AL621" s="322"/>
      <c r="AM621" s="339"/>
      <c r="AN621" s="339"/>
      <c r="AO621" s="338"/>
    </row>
    <row r="622" spans="1:41" hidden="1">
      <c r="A622" s="321" t="s">
        <v>1386</v>
      </c>
      <c r="B622" s="324"/>
      <c r="C622" s="711">
        <v>969616.5</v>
      </c>
      <c r="D622" s="711">
        <v>37619</v>
      </c>
      <c r="E622" s="737">
        <v>931997.5</v>
      </c>
      <c r="F622" s="322"/>
      <c r="G622" s="339"/>
      <c r="H622" s="339"/>
      <c r="I622" s="338"/>
      <c r="J622" s="324"/>
      <c r="K622" s="338"/>
      <c r="L622" s="338"/>
      <c r="M622" s="339"/>
      <c r="N622" s="322"/>
      <c r="O622" s="339"/>
      <c r="P622" s="339"/>
      <c r="Q622" s="338"/>
      <c r="R622" s="324"/>
      <c r="S622" s="338"/>
      <c r="T622" s="338"/>
      <c r="U622" s="339"/>
      <c r="V622" s="322"/>
      <c r="W622" s="339"/>
      <c r="X622" s="339"/>
      <c r="Y622" s="338"/>
      <c r="Z622" s="324"/>
      <c r="AA622" s="338"/>
      <c r="AB622" s="338"/>
      <c r="AC622" s="339"/>
      <c r="AD622" s="322"/>
      <c r="AE622" s="339"/>
      <c r="AF622" s="339"/>
      <c r="AG622" s="338"/>
      <c r="AH622" s="324"/>
      <c r="AI622" s="338"/>
      <c r="AJ622" s="338"/>
      <c r="AK622" s="339"/>
      <c r="AL622" s="322"/>
      <c r="AM622" s="714">
        <v>969616.5</v>
      </c>
      <c r="AN622" s="714">
        <v>37619</v>
      </c>
      <c r="AO622" s="735">
        <v>931997.5</v>
      </c>
    </row>
    <row r="623" spans="1:41" hidden="1">
      <c r="A623" s="321" t="s">
        <v>1825</v>
      </c>
      <c r="B623" s="324"/>
      <c r="C623" s="323">
        <v>2093751</v>
      </c>
      <c r="D623" s="323">
        <v>2093751</v>
      </c>
      <c r="E623" s="339"/>
      <c r="F623" s="322"/>
      <c r="G623" s="339"/>
      <c r="H623" s="339"/>
      <c r="I623" s="338"/>
      <c r="J623" s="324"/>
      <c r="K623" s="338"/>
      <c r="L623" s="338"/>
      <c r="M623" s="339"/>
      <c r="N623" s="322"/>
      <c r="O623" s="339"/>
      <c r="P623" s="339"/>
      <c r="Q623" s="338"/>
      <c r="R623" s="324"/>
      <c r="S623" s="338"/>
      <c r="T623" s="338"/>
      <c r="U623" s="339"/>
      <c r="V623" s="322"/>
      <c r="W623" s="339"/>
      <c r="X623" s="339"/>
      <c r="Y623" s="338"/>
      <c r="Z623" s="324"/>
      <c r="AA623" s="338"/>
      <c r="AB623" s="338"/>
      <c r="AC623" s="339"/>
      <c r="AD623" s="322"/>
      <c r="AE623" s="325">
        <v>2093751</v>
      </c>
      <c r="AF623" s="325">
        <v>2093751</v>
      </c>
      <c r="AG623" s="338"/>
      <c r="AH623" s="324"/>
      <c r="AI623" s="338"/>
      <c r="AJ623" s="338"/>
      <c r="AK623" s="339"/>
      <c r="AL623" s="322"/>
      <c r="AM623" s="339"/>
      <c r="AN623" s="339"/>
      <c r="AO623" s="338"/>
    </row>
    <row r="624" spans="1:41" hidden="1">
      <c r="A624" s="321" t="s">
        <v>1826</v>
      </c>
      <c r="B624" s="324"/>
      <c r="C624" s="338"/>
      <c r="D624" s="323">
        <v>24973.5</v>
      </c>
      <c r="E624" s="588">
        <v>24973.5</v>
      </c>
      <c r="F624" s="322"/>
      <c r="G624" s="339"/>
      <c r="H624" s="339"/>
      <c r="I624" s="338"/>
      <c r="J624" s="324"/>
      <c r="K624" s="338"/>
      <c r="L624" s="338"/>
      <c r="M624" s="339"/>
      <c r="N624" s="322"/>
      <c r="O624" s="339"/>
      <c r="P624" s="339"/>
      <c r="Q624" s="338"/>
      <c r="R624" s="324"/>
      <c r="S624" s="338"/>
      <c r="T624" s="338"/>
      <c r="U624" s="339"/>
      <c r="V624" s="322"/>
      <c r="W624" s="339"/>
      <c r="X624" s="325">
        <v>24973.5</v>
      </c>
      <c r="Y624" s="589">
        <v>24973.5</v>
      </c>
      <c r="Z624" s="324"/>
      <c r="AA624" s="338"/>
      <c r="AB624" s="338"/>
      <c r="AC624" s="339"/>
      <c r="AD624" s="322"/>
      <c r="AE624" s="339"/>
      <c r="AF624" s="339"/>
      <c r="AG624" s="338"/>
      <c r="AH624" s="324"/>
      <c r="AI624" s="338"/>
      <c r="AJ624" s="338"/>
      <c r="AK624" s="339"/>
      <c r="AL624" s="322"/>
      <c r="AM624" s="339"/>
      <c r="AN624" s="339"/>
      <c r="AO624" s="338"/>
    </row>
    <row r="625" spans="1:41" hidden="1">
      <c r="A625" s="321" t="s">
        <v>1387</v>
      </c>
      <c r="B625" s="324"/>
      <c r="C625" s="338"/>
      <c r="D625" s="323">
        <v>26937654.208000001</v>
      </c>
      <c r="E625" s="588">
        <v>26937654.208000001</v>
      </c>
      <c r="F625" s="322"/>
      <c r="G625" s="339"/>
      <c r="H625" s="339"/>
      <c r="I625" s="338"/>
      <c r="J625" s="324"/>
      <c r="K625" s="338"/>
      <c r="L625" s="338"/>
      <c r="M625" s="339"/>
      <c r="N625" s="322"/>
      <c r="O625" s="339"/>
      <c r="P625" s="339"/>
      <c r="Q625" s="338"/>
      <c r="R625" s="324"/>
      <c r="S625" s="338"/>
      <c r="T625" s="338"/>
      <c r="U625" s="339"/>
      <c r="V625" s="322"/>
      <c r="W625" s="339"/>
      <c r="X625" s="339"/>
      <c r="Y625" s="338"/>
      <c r="Z625" s="324"/>
      <c r="AA625" s="338"/>
      <c r="AB625" s="323">
        <v>26937654.208000001</v>
      </c>
      <c r="AC625" s="588">
        <v>26937654.208000001</v>
      </c>
      <c r="AD625" s="322"/>
      <c r="AE625" s="339"/>
      <c r="AF625" s="339"/>
      <c r="AG625" s="338"/>
      <c r="AH625" s="324"/>
      <c r="AI625" s="338"/>
      <c r="AJ625" s="338"/>
      <c r="AK625" s="339"/>
      <c r="AL625" s="322"/>
      <c r="AM625" s="339"/>
      <c r="AN625" s="339"/>
      <c r="AO625" s="338"/>
    </row>
    <row r="626" spans="1:41" hidden="1">
      <c r="A626" s="311" t="s">
        <v>372</v>
      </c>
      <c r="B626" s="328"/>
      <c r="C626" s="703">
        <v>2268640723.8720002</v>
      </c>
      <c r="D626" s="703">
        <v>1303398.5</v>
      </c>
      <c r="E626" s="721">
        <v>2222797781.402</v>
      </c>
      <c r="F626" s="326"/>
      <c r="G626" s="591">
        <v>505</v>
      </c>
      <c r="H626" s="595"/>
      <c r="I626" s="593">
        <v>505</v>
      </c>
      <c r="J626" s="328"/>
      <c r="K626" s="703">
        <v>42563008.207999997</v>
      </c>
      <c r="L626" s="708"/>
      <c r="M626" s="721">
        <v>42563008.207999997</v>
      </c>
      <c r="N626" s="326"/>
      <c r="O626" s="591">
        <v>605698265.92799997</v>
      </c>
      <c r="P626" s="591">
        <v>1303398.5</v>
      </c>
      <c r="Q626" s="593">
        <v>604394867.42799997</v>
      </c>
      <c r="R626" s="328"/>
      <c r="S626" s="703">
        <v>378117944.98000002</v>
      </c>
      <c r="T626" s="708"/>
      <c r="U626" s="721">
        <v>378117944.98000002</v>
      </c>
      <c r="V626" s="326"/>
      <c r="W626" s="591">
        <v>173066084.94400001</v>
      </c>
      <c r="X626" s="595"/>
      <c r="Y626" s="593">
        <v>173066084.94400001</v>
      </c>
      <c r="Z626" s="328"/>
      <c r="AA626" s="703">
        <v>47097004.799999997</v>
      </c>
      <c r="AB626" s="708"/>
      <c r="AC626" s="721">
        <v>47097004.799999997</v>
      </c>
      <c r="AD626" s="326"/>
      <c r="AE626" s="591">
        <v>211995011.15000001</v>
      </c>
      <c r="AF626" s="591">
        <v>1212487.5</v>
      </c>
      <c r="AG626" s="593">
        <v>210782523.65000001</v>
      </c>
      <c r="AH626" s="328"/>
      <c r="AI626" s="708"/>
      <c r="AJ626" s="708"/>
      <c r="AK626" s="341"/>
      <c r="AL626" s="326"/>
      <c r="AM626" s="706">
        <v>1415801164.79</v>
      </c>
      <c r="AN626" s="706">
        <v>44630454.969999999</v>
      </c>
      <c r="AO626" s="731">
        <v>1371170709.8199999</v>
      </c>
    </row>
    <row r="627" spans="1:41" hidden="1">
      <c r="A627" s="316" t="s">
        <v>373</v>
      </c>
      <c r="B627" s="319"/>
      <c r="C627" s="320">
        <v>2268633534.8720002</v>
      </c>
      <c r="D627" s="320">
        <v>1303398.5</v>
      </c>
      <c r="E627" s="739">
        <v>2222872691.802</v>
      </c>
      <c r="F627" s="317"/>
      <c r="G627" s="318">
        <v>505</v>
      </c>
      <c r="H627" s="331"/>
      <c r="I627" s="729">
        <v>505</v>
      </c>
      <c r="J627" s="319"/>
      <c r="K627" s="320">
        <v>42563008.207999997</v>
      </c>
      <c r="L627" s="330"/>
      <c r="M627" s="739">
        <v>42563008.207999997</v>
      </c>
      <c r="N627" s="317"/>
      <c r="O627" s="318">
        <v>605698265.92799997</v>
      </c>
      <c r="P627" s="318">
        <v>1303398.5</v>
      </c>
      <c r="Q627" s="729">
        <v>604394867.42799997</v>
      </c>
      <c r="R627" s="319"/>
      <c r="S627" s="320">
        <v>378117944.98000002</v>
      </c>
      <c r="T627" s="330"/>
      <c r="U627" s="739">
        <v>378117944.98000002</v>
      </c>
      <c r="V627" s="317"/>
      <c r="W627" s="318">
        <v>173066084.94400001</v>
      </c>
      <c r="X627" s="331"/>
      <c r="Y627" s="729">
        <v>173066084.94400001</v>
      </c>
      <c r="Z627" s="319"/>
      <c r="AA627" s="320">
        <v>47090304.799999997</v>
      </c>
      <c r="AB627" s="330"/>
      <c r="AC627" s="739">
        <v>47090304.799999997</v>
      </c>
      <c r="AD627" s="317"/>
      <c r="AE627" s="318">
        <v>211995011.15000001</v>
      </c>
      <c r="AF627" s="318">
        <v>1212487.5</v>
      </c>
      <c r="AG627" s="729">
        <v>210782523.65000001</v>
      </c>
      <c r="AH627" s="319"/>
      <c r="AI627" s="330"/>
      <c r="AJ627" s="330"/>
      <c r="AK627" s="330"/>
      <c r="AL627" s="317"/>
      <c r="AM627" s="726">
        <v>1415800675.79</v>
      </c>
      <c r="AN627" s="726">
        <v>44548355.57</v>
      </c>
      <c r="AO627" s="727">
        <v>1371252320.22</v>
      </c>
    </row>
    <row r="628" spans="1:41" hidden="1">
      <c r="A628" s="321" t="s">
        <v>1827</v>
      </c>
      <c r="B628" s="324"/>
      <c r="C628" s="338"/>
      <c r="D628" s="338"/>
      <c r="E628" s="339"/>
      <c r="F628" s="322"/>
      <c r="G628" s="339"/>
      <c r="H628" s="339"/>
      <c r="I628" s="338"/>
      <c r="J628" s="324"/>
      <c r="K628" s="338"/>
      <c r="L628" s="338"/>
      <c r="M628" s="339"/>
      <c r="N628" s="322"/>
      <c r="O628" s="339"/>
      <c r="P628" s="339"/>
      <c r="Q628" s="338"/>
      <c r="R628" s="324"/>
      <c r="S628" s="338"/>
      <c r="T628" s="338"/>
      <c r="U628" s="339"/>
      <c r="V628" s="322"/>
      <c r="W628" s="339"/>
      <c r="X628" s="339"/>
      <c r="Y628" s="338"/>
      <c r="Z628" s="324"/>
      <c r="AA628" s="338"/>
      <c r="AB628" s="338"/>
      <c r="AC628" s="339"/>
      <c r="AD628" s="322"/>
      <c r="AE628" s="339"/>
      <c r="AF628" s="339"/>
      <c r="AG628" s="338"/>
      <c r="AH628" s="324"/>
      <c r="AI628" s="338"/>
      <c r="AJ628" s="338"/>
      <c r="AK628" s="339"/>
      <c r="AL628" s="322"/>
      <c r="AM628" s="339"/>
      <c r="AN628" s="339"/>
      <c r="AO628" s="338"/>
    </row>
    <row r="629" spans="1:41" hidden="1">
      <c r="A629" s="321" t="s">
        <v>1809</v>
      </c>
      <c r="B629" s="324"/>
      <c r="C629" s="338"/>
      <c r="D629" s="338"/>
      <c r="E629" s="339"/>
      <c r="F629" s="322"/>
      <c r="G629" s="339"/>
      <c r="H629" s="339"/>
      <c r="I629" s="338"/>
      <c r="J629" s="324"/>
      <c r="K629" s="338"/>
      <c r="L629" s="338"/>
      <c r="M629" s="339"/>
      <c r="N629" s="322"/>
      <c r="O629" s="339"/>
      <c r="P629" s="339"/>
      <c r="Q629" s="338"/>
      <c r="R629" s="324"/>
      <c r="S629" s="338"/>
      <c r="T629" s="338"/>
      <c r="U629" s="339"/>
      <c r="V629" s="322"/>
      <c r="W629" s="339"/>
      <c r="X629" s="339"/>
      <c r="Y629" s="338"/>
      <c r="Z629" s="324"/>
      <c r="AA629" s="338"/>
      <c r="AB629" s="338"/>
      <c r="AC629" s="339"/>
      <c r="AD629" s="322"/>
      <c r="AE629" s="339"/>
      <c r="AF629" s="339"/>
      <c r="AG629" s="338"/>
      <c r="AH629" s="324"/>
      <c r="AI629" s="338"/>
      <c r="AJ629" s="338"/>
      <c r="AK629" s="339"/>
      <c r="AL629" s="322"/>
      <c r="AM629" s="339"/>
      <c r="AN629" s="339"/>
      <c r="AO629" s="338"/>
    </row>
    <row r="630" spans="1:41" hidden="1">
      <c r="A630" s="321" t="s">
        <v>1828</v>
      </c>
      <c r="B630" s="324"/>
      <c r="C630" s="711">
        <v>489</v>
      </c>
      <c r="D630" s="338"/>
      <c r="E630" s="737">
        <v>489</v>
      </c>
      <c r="F630" s="322"/>
      <c r="G630" s="339"/>
      <c r="H630" s="339"/>
      <c r="I630" s="338"/>
      <c r="J630" s="324"/>
      <c r="K630" s="338"/>
      <c r="L630" s="338"/>
      <c r="M630" s="339"/>
      <c r="N630" s="322"/>
      <c r="O630" s="339"/>
      <c r="P630" s="339"/>
      <c r="Q630" s="338"/>
      <c r="R630" s="324"/>
      <c r="S630" s="338"/>
      <c r="T630" s="338"/>
      <c r="U630" s="339"/>
      <c r="V630" s="322"/>
      <c r="W630" s="339"/>
      <c r="X630" s="339"/>
      <c r="Y630" s="338"/>
      <c r="Z630" s="324"/>
      <c r="AA630" s="338"/>
      <c r="AB630" s="338"/>
      <c r="AC630" s="339"/>
      <c r="AD630" s="322"/>
      <c r="AE630" s="339"/>
      <c r="AF630" s="339"/>
      <c r="AG630" s="338"/>
      <c r="AH630" s="324"/>
      <c r="AI630" s="338"/>
      <c r="AJ630" s="338"/>
      <c r="AK630" s="339"/>
      <c r="AL630" s="322"/>
      <c r="AM630" s="714">
        <v>489</v>
      </c>
      <c r="AN630" s="339"/>
      <c r="AO630" s="735">
        <v>489</v>
      </c>
    </row>
    <row r="631" spans="1:41" hidden="1">
      <c r="A631" s="321" t="s">
        <v>608</v>
      </c>
      <c r="B631" s="324"/>
      <c r="C631" s="323">
        <v>6700</v>
      </c>
      <c r="D631" s="338"/>
      <c r="E631" s="592">
        <v>6700</v>
      </c>
      <c r="F631" s="322"/>
      <c r="G631" s="339"/>
      <c r="H631" s="339"/>
      <c r="I631" s="338"/>
      <c r="J631" s="324"/>
      <c r="K631" s="338"/>
      <c r="L631" s="338"/>
      <c r="M631" s="339"/>
      <c r="N631" s="322"/>
      <c r="O631" s="339"/>
      <c r="P631" s="339"/>
      <c r="Q631" s="338"/>
      <c r="R631" s="324"/>
      <c r="S631" s="338"/>
      <c r="T631" s="338"/>
      <c r="U631" s="339"/>
      <c r="V631" s="322"/>
      <c r="W631" s="339"/>
      <c r="X631" s="339"/>
      <c r="Y631" s="338"/>
      <c r="Z631" s="324"/>
      <c r="AA631" s="323">
        <v>6700</v>
      </c>
      <c r="AB631" s="338"/>
      <c r="AC631" s="592">
        <v>6700</v>
      </c>
      <c r="AD631" s="322"/>
      <c r="AE631" s="339"/>
      <c r="AF631" s="339"/>
      <c r="AG631" s="338"/>
      <c r="AH631" s="324"/>
      <c r="AI631" s="338"/>
      <c r="AJ631" s="338"/>
      <c r="AK631" s="339"/>
      <c r="AL631" s="322"/>
      <c r="AM631" s="339"/>
      <c r="AN631" s="339"/>
      <c r="AO631" s="338"/>
    </row>
    <row r="632" spans="1:41" hidden="1">
      <c r="A632" s="321" t="s">
        <v>1829</v>
      </c>
      <c r="B632" s="324"/>
      <c r="C632" s="338"/>
      <c r="D632" s="711">
        <v>82099.399999999994</v>
      </c>
      <c r="E632" s="715">
        <v>82099.399999999994</v>
      </c>
      <c r="F632" s="322"/>
      <c r="G632" s="339"/>
      <c r="H632" s="339"/>
      <c r="I632" s="338"/>
      <c r="J632" s="324"/>
      <c r="K632" s="338"/>
      <c r="L632" s="338"/>
      <c r="M632" s="339"/>
      <c r="N632" s="322"/>
      <c r="O632" s="339"/>
      <c r="P632" s="339"/>
      <c r="Q632" s="338"/>
      <c r="R632" s="324"/>
      <c r="S632" s="338"/>
      <c r="T632" s="338"/>
      <c r="U632" s="339"/>
      <c r="V632" s="322"/>
      <c r="W632" s="339"/>
      <c r="X632" s="339"/>
      <c r="Y632" s="338"/>
      <c r="Z632" s="324"/>
      <c r="AA632" s="338"/>
      <c r="AB632" s="338"/>
      <c r="AC632" s="339"/>
      <c r="AD632" s="322"/>
      <c r="AE632" s="339"/>
      <c r="AF632" s="339"/>
      <c r="AG632" s="338"/>
      <c r="AH632" s="324"/>
      <c r="AI632" s="338"/>
      <c r="AJ632" s="338"/>
      <c r="AK632" s="339"/>
      <c r="AL632" s="322"/>
      <c r="AM632" s="339"/>
      <c r="AN632" s="714">
        <v>82099.399999999994</v>
      </c>
      <c r="AO632" s="712">
        <v>82099.399999999994</v>
      </c>
    </row>
    <row r="633" spans="1:41" hidden="1">
      <c r="A633" s="311" t="s">
        <v>777</v>
      </c>
      <c r="B633" s="328"/>
      <c r="C633" s="703">
        <v>36117294.140000001</v>
      </c>
      <c r="D633" s="703">
        <v>8316487.9299999997</v>
      </c>
      <c r="E633" s="721">
        <v>27800806.210000001</v>
      </c>
      <c r="F633" s="326"/>
      <c r="G633" s="595"/>
      <c r="H633" s="595"/>
      <c r="I633" s="340"/>
      <c r="J633" s="328"/>
      <c r="K633" s="708"/>
      <c r="L633" s="708"/>
      <c r="M633" s="341"/>
      <c r="N633" s="326"/>
      <c r="O633" s="595"/>
      <c r="P633" s="595"/>
      <c r="Q633" s="340"/>
      <c r="R633" s="328"/>
      <c r="S633" s="703">
        <v>4206344.79</v>
      </c>
      <c r="T633" s="703">
        <v>107161.8</v>
      </c>
      <c r="U633" s="721">
        <v>4099182.99</v>
      </c>
      <c r="V633" s="326"/>
      <c r="W633" s="591">
        <v>427307.12</v>
      </c>
      <c r="X633" s="591">
        <v>34000</v>
      </c>
      <c r="Y633" s="593">
        <v>393307.12</v>
      </c>
      <c r="Z633" s="328"/>
      <c r="AA633" s="703">
        <v>4000</v>
      </c>
      <c r="AB633" s="708"/>
      <c r="AC633" s="721">
        <v>4000</v>
      </c>
      <c r="AD633" s="326"/>
      <c r="AE633" s="591">
        <v>3192</v>
      </c>
      <c r="AF633" s="595"/>
      <c r="AG633" s="593">
        <v>3192</v>
      </c>
      <c r="AH633" s="328"/>
      <c r="AI633" s="708"/>
      <c r="AJ633" s="708"/>
      <c r="AK633" s="341"/>
      <c r="AL633" s="326"/>
      <c r="AM633" s="706">
        <v>31476450.23</v>
      </c>
      <c r="AN633" s="706">
        <v>8175326.1299999999</v>
      </c>
      <c r="AO633" s="731">
        <v>23301124.100000001</v>
      </c>
    </row>
    <row r="634" spans="1:41" hidden="1">
      <c r="A634" s="316" t="s">
        <v>1391</v>
      </c>
      <c r="B634" s="940"/>
      <c r="C634" s="954">
        <v>133444.35999999999</v>
      </c>
      <c r="D634" s="611"/>
      <c r="E634" s="950">
        <v>133444.35999999999</v>
      </c>
      <c r="F634" s="939"/>
      <c r="G634" s="690"/>
      <c r="H634" s="690"/>
      <c r="I634" s="690"/>
      <c r="J634" s="940"/>
      <c r="K634" s="611"/>
      <c r="L634" s="611"/>
      <c r="M634" s="611"/>
      <c r="N634" s="939"/>
      <c r="O634" s="690"/>
      <c r="P634" s="690"/>
      <c r="Q634" s="690"/>
      <c r="R634" s="940"/>
      <c r="S634" s="611"/>
      <c r="T634" s="611"/>
      <c r="U634" s="611"/>
      <c r="V634" s="939"/>
      <c r="W634" s="690"/>
      <c r="X634" s="690"/>
      <c r="Y634" s="690"/>
      <c r="Z634" s="940"/>
      <c r="AA634" s="611"/>
      <c r="AB634" s="611"/>
      <c r="AC634" s="611"/>
      <c r="AD634" s="939"/>
      <c r="AE634" s="690"/>
      <c r="AF634" s="690"/>
      <c r="AG634" s="690"/>
      <c r="AH634" s="940"/>
      <c r="AI634" s="611"/>
      <c r="AJ634" s="611"/>
      <c r="AK634" s="611"/>
      <c r="AL634" s="939"/>
      <c r="AM634" s="952">
        <v>133444.35999999999</v>
      </c>
      <c r="AN634" s="690"/>
      <c r="AO634" s="953">
        <v>133444.35999999999</v>
      </c>
    </row>
    <row r="635" spans="1:41" hidden="1">
      <c r="A635" s="761" t="s">
        <v>1830</v>
      </c>
      <c r="B635" s="939"/>
      <c r="C635" s="952">
        <v>133444.35999999999</v>
      </c>
      <c r="D635" s="690"/>
      <c r="E635" s="953">
        <v>133444.35999999999</v>
      </c>
      <c r="F635" s="940"/>
      <c r="G635" s="611"/>
      <c r="H635" s="611"/>
      <c r="I635" s="611"/>
      <c r="J635" s="939"/>
      <c r="K635" s="690"/>
      <c r="L635" s="690"/>
      <c r="M635" s="690"/>
      <c r="N635" s="940"/>
      <c r="O635" s="611"/>
      <c r="P635" s="611"/>
      <c r="Q635" s="611"/>
      <c r="R635" s="939"/>
      <c r="S635" s="690"/>
      <c r="T635" s="690"/>
      <c r="U635" s="690"/>
      <c r="V635" s="940"/>
      <c r="W635" s="611"/>
      <c r="X635" s="611"/>
      <c r="Y635" s="611"/>
      <c r="Z635" s="939"/>
      <c r="AA635" s="690"/>
      <c r="AB635" s="690"/>
      <c r="AC635" s="690"/>
      <c r="AD635" s="940"/>
      <c r="AE635" s="611"/>
      <c r="AF635" s="611"/>
      <c r="AG635" s="611"/>
      <c r="AH635" s="939"/>
      <c r="AI635" s="690"/>
      <c r="AJ635" s="690"/>
      <c r="AK635" s="690"/>
      <c r="AL635" s="940"/>
      <c r="AM635" s="954">
        <v>133444.35999999999</v>
      </c>
      <c r="AN635" s="611"/>
      <c r="AO635" s="950">
        <v>133444.35999999999</v>
      </c>
    </row>
    <row r="636" spans="1:41" hidden="1">
      <c r="A636" s="764" t="s">
        <v>806</v>
      </c>
      <c r="B636" s="317"/>
      <c r="C636" s="723">
        <v>5540</v>
      </c>
      <c r="D636" s="330"/>
      <c r="E636" s="727">
        <v>5540</v>
      </c>
      <c r="F636" s="319"/>
      <c r="G636" s="331"/>
      <c r="H636" s="331"/>
      <c r="I636" s="330"/>
      <c r="J636" s="317"/>
      <c r="K636" s="330"/>
      <c r="L636" s="330"/>
      <c r="M636" s="331"/>
      <c r="N636" s="319"/>
      <c r="O636" s="331"/>
      <c r="P636" s="331"/>
      <c r="Q636" s="330"/>
      <c r="R636" s="317"/>
      <c r="S636" s="330"/>
      <c r="T636" s="330"/>
      <c r="U636" s="331"/>
      <c r="V636" s="319"/>
      <c r="W636" s="331"/>
      <c r="X636" s="331"/>
      <c r="Y636" s="330"/>
      <c r="Z636" s="317"/>
      <c r="AA636" s="330"/>
      <c r="AB636" s="330"/>
      <c r="AC636" s="331"/>
      <c r="AD636" s="319"/>
      <c r="AE636" s="331"/>
      <c r="AF636" s="331"/>
      <c r="AG636" s="330"/>
      <c r="AH636" s="317"/>
      <c r="AI636" s="330"/>
      <c r="AJ636" s="330"/>
      <c r="AK636" s="331"/>
      <c r="AL636" s="319"/>
      <c r="AM636" s="726">
        <v>5540</v>
      </c>
      <c r="AN636" s="331"/>
      <c r="AO636" s="724">
        <v>5540</v>
      </c>
    </row>
    <row r="637" spans="1:41" hidden="1">
      <c r="A637" s="757" t="s">
        <v>807</v>
      </c>
      <c r="B637" s="324"/>
      <c r="C637" s="711">
        <v>127904.36</v>
      </c>
      <c r="D637" s="338"/>
      <c r="E637" s="737">
        <v>127904.36</v>
      </c>
      <c r="F637" s="322"/>
      <c r="G637" s="339"/>
      <c r="H637" s="339"/>
      <c r="I637" s="338"/>
      <c r="J637" s="324"/>
      <c r="K637" s="338"/>
      <c r="L637" s="338"/>
      <c r="M637" s="339"/>
      <c r="N637" s="322"/>
      <c r="O637" s="339"/>
      <c r="P637" s="339"/>
      <c r="Q637" s="338"/>
      <c r="R637" s="324"/>
      <c r="S637" s="338"/>
      <c r="T637" s="338"/>
      <c r="U637" s="339"/>
      <c r="V637" s="322"/>
      <c r="W637" s="339"/>
      <c r="X637" s="339"/>
      <c r="Y637" s="338"/>
      <c r="Z637" s="324"/>
      <c r="AA637" s="338"/>
      <c r="AB637" s="338"/>
      <c r="AC637" s="339"/>
      <c r="AD637" s="322"/>
      <c r="AE637" s="339"/>
      <c r="AF637" s="339"/>
      <c r="AG637" s="338"/>
      <c r="AH637" s="324"/>
      <c r="AI637" s="338"/>
      <c r="AJ637" s="338"/>
      <c r="AK637" s="339"/>
      <c r="AL637" s="322"/>
      <c r="AM637" s="714">
        <v>127904.36</v>
      </c>
      <c r="AN637" s="339"/>
      <c r="AO637" s="735">
        <v>127904.36</v>
      </c>
    </row>
    <row r="638" spans="1:41" hidden="1">
      <c r="A638" s="321" t="s">
        <v>778</v>
      </c>
      <c r="B638" s="324"/>
      <c r="C638" s="323">
        <v>2536653.36</v>
      </c>
      <c r="D638" s="338"/>
      <c r="E638" s="592">
        <v>2536653.36</v>
      </c>
      <c r="F638" s="322"/>
      <c r="G638" s="339"/>
      <c r="H638" s="339"/>
      <c r="I638" s="338"/>
      <c r="J638" s="324"/>
      <c r="K638" s="338"/>
      <c r="L638" s="338"/>
      <c r="M638" s="339"/>
      <c r="N638" s="322"/>
      <c r="O638" s="339"/>
      <c r="P638" s="339"/>
      <c r="Q638" s="338"/>
      <c r="R638" s="324"/>
      <c r="S638" s="323">
        <v>452000</v>
      </c>
      <c r="T638" s="338"/>
      <c r="U638" s="592">
        <v>452000</v>
      </c>
      <c r="V638" s="322"/>
      <c r="W638" s="339"/>
      <c r="X638" s="339"/>
      <c r="Y638" s="338"/>
      <c r="Z638" s="324"/>
      <c r="AA638" s="338"/>
      <c r="AB638" s="338"/>
      <c r="AC638" s="339"/>
      <c r="AD638" s="322"/>
      <c r="AE638" s="339"/>
      <c r="AF638" s="339"/>
      <c r="AG638" s="338"/>
      <c r="AH638" s="324"/>
      <c r="AI638" s="338"/>
      <c r="AJ638" s="338"/>
      <c r="AK638" s="339"/>
      <c r="AL638" s="322"/>
      <c r="AM638" s="714">
        <v>2084653.36</v>
      </c>
      <c r="AN638" s="339"/>
      <c r="AO638" s="735">
        <v>2084653.36</v>
      </c>
    </row>
    <row r="639" spans="1:41" hidden="1">
      <c r="A639" s="321" t="s">
        <v>779</v>
      </c>
      <c r="B639" s="324"/>
      <c r="C639" s="323">
        <v>1169172.46</v>
      </c>
      <c r="D639" s="338"/>
      <c r="E639" s="592">
        <v>1169172.46</v>
      </c>
      <c r="F639" s="322"/>
      <c r="G639" s="339"/>
      <c r="H639" s="339"/>
      <c r="I639" s="338"/>
      <c r="J639" s="324"/>
      <c r="K639" s="338"/>
      <c r="L639" s="338"/>
      <c r="M639" s="339"/>
      <c r="N639" s="322"/>
      <c r="O639" s="339"/>
      <c r="P639" s="339"/>
      <c r="Q639" s="338"/>
      <c r="R639" s="324"/>
      <c r="S639" s="323">
        <v>549705.43000000005</v>
      </c>
      <c r="T639" s="338"/>
      <c r="U639" s="592">
        <v>549705.43000000005</v>
      </c>
      <c r="V639" s="322"/>
      <c r="W639" s="339"/>
      <c r="X639" s="339"/>
      <c r="Y639" s="338"/>
      <c r="Z639" s="324"/>
      <c r="AA639" s="338"/>
      <c r="AB639" s="338"/>
      <c r="AC639" s="339"/>
      <c r="AD639" s="322"/>
      <c r="AE639" s="339"/>
      <c r="AF639" s="339"/>
      <c r="AG639" s="338"/>
      <c r="AH639" s="324"/>
      <c r="AI639" s="338"/>
      <c r="AJ639" s="338"/>
      <c r="AK639" s="339"/>
      <c r="AL639" s="322"/>
      <c r="AM639" s="714">
        <v>619467.03</v>
      </c>
      <c r="AN639" s="339"/>
      <c r="AO639" s="735">
        <v>619467.03</v>
      </c>
    </row>
    <row r="640" spans="1:41" hidden="1">
      <c r="A640" s="321" t="s">
        <v>780</v>
      </c>
      <c r="B640" s="324"/>
      <c r="C640" s="323">
        <v>392406</v>
      </c>
      <c r="D640" s="338"/>
      <c r="E640" s="592">
        <v>392406</v>
      </c>
      <c r="F640" s="322"/>
      <c r="G640" s="339"/>
      <c r="H640" s="339"/>
      <c r="I640" s="338"/>
      <c r="J640" s="324"/>
      <c r="K640" s="338"/>
      <c r="L640" s="338"/>
      <c r="M640" s="339"/>
      <c r="N640" s="322"/>
      <c r="O640" s="339"/>
      <c r="P640" s="339"/>
      <c r="Q640" s="338"/>
      <c r="R640" s="324"/>
      <c r="S640" s="323">
        <v>74744</v>
      </c>
      <c r="T640" s="338"/>
      <c r="U640" s="592">
        <v>74744</v>
      </c>
      <c r="V640" s="322"/>
      <c r="W640" s="339"/>
      <c r="X640" s="339"/>
      <c r="Y640" s="338"/>
      <c r="Z640" s="324"/>
      <c r="AA640" s="338"/>
      <c r="AB640" s="338"/>
      <c r="AC640" s="339"/>
      <c r="AD640" s="322"/>
      <c r="AE640" s="339"/>
      <c r="AF640" s="339"/>
      <c r="AG640" s="338"/>
      <c r="AH640" s="324"/>
      <c r="AI640" s="338"/>
      <c r="AJ640" s="338"/>
      <c r="AK640" s="339"/>
      <c r="AL640" s="322"/>
      <c r="AM640" s="714">
        <v>317662</v>
      </c>
      <c r="AN640" s="339"/>
      <c r="AO640" s="735">
        <v>317662</v>
      </c>
    </row>
    <row r="641" spans="1:41" hidden="1">
      <c r="A641" s="321" t="s">
        <v>833</v>
      </c>
      <c r="B641" s="324"/>
      <c r="C641" s="323">
        <v>5492659.1100000003</v>
      </c>
      <c r="D641" s="711">
        <v>223583</v>
      </c>
      <c r="E641" s="592">
        <v>5269076.1100000003</v>
      </c>
      <c r="F641" s="322"/>
      <c r="G641" s="339"/>
      <c r="H641" s="339"/>
      <c r="I641" s="338"/>
      <c r="J641" s="324"/>
      <c r="K641" s="338"/>
      <c r="L641" s="338"/>
      <c r="M641" s="339"/>
      <c r="N641" s="322"/>
      <c r="O641" s="339"/>
      <c r="P641" s="339"/>
      <c r="Q641" s="338"/>
      <c r="R641" s="324"/>
      <c r="S641" s="323">
        <v>1205543.17</v>
      </c>
      <c r="T641" s="338"/>
      <c r="U641" s="592">
        <v>1205543.17</v>
      </c>
      <c r="V641" s="322"/>
      <c r="W641" s="339"/>
      <c r="X641" s="339"/>
      <c r="Y641" s="338"/>
      <c r="Z641" s="324"/>
      <c r="AA641" s="338"/>
      <c r="AB641" s="338"/>
      <c r="AC641" s="339"/>
      <c r="AD641" s="322"/>
      <c r="AE641" s="339"/>
      <c r="AF641" s="339"/>
      <c r="AG641" s="338"/>
      <c r="AH641" s="324"/>
      <c r="AI641" s="338"/>
      <c r="AJ641" s="338"/>
      <c r="AK641" s="339"/>
      <c r="AL641" s="322"/>
      <c r="AM641" s="714">
        <v>4287115.9400000004</v>
      </c>
      <c r="AN641" s="714">
        <v>223583</v>
      </c>
      <c r="AO641" s="735">
        <v>4063532.94</v>
      </c>
    </row>
    <row r="642" spans="1:41" hidden="1">
      <c r="A642" s="321" t="s">
        <v>1392</v>
      </c>
      <c r="B642" s="324"/>
      <c r="C642" s="323">
        <v>19186</v>
      </c>
      <c r="D642" s="323">
        <v>1500</v>
      </c>
      <c r="E642" s="592">
        <v>17686</v>
      </c>
      <c r="F642" s="322"/>
      <c r="G642" s="339"/>
      <c r="H642" s="339"/>
      <c r="I642" s="338"/>
      <c r="J642" s="324"/>
      <c r="K642" s="338"/>
      <c r="L642" s="338"/>
      <c r="M642" s="339"/>
      <c r="N642" s="322"/>
      <c r="O642" s="339"/>
      <c r="P642" s="339"/>
      <c r="Q642" s="338"/>
      <c r="R642" s="324"/>
      <c r="S642" s="323">
        <v>3150</v>
      </c>
      <c r="T642" s="323">
        <v>1500</v>
      </c>
      <c r="U642" s="592">
        <v>1650</v>
      </c>
      <c r="V642" s="322"/>
      <c r="W642" s="339"/>
      <c r="X642" s="339"/>
      <c r="Y642" s="338"/>
      <c r="Z642" s="324"/>
      <c r="AA642" s="338"/>
      <c r="AB642" s="338"/>
      <c r="AC642" s="339"/>
      <c r="AD642" s="322"/>
      <c r="AE642" s="339"/>
      <c r="AF642" s="339"/>
      <c r="AG642" s="338"/>
      <c r="AH642" s="324"/>
      <c r="AI642" s="338"/>
      <c r="AJ642" s="338"/>
      <c r="AK642" s="339"/>
      <c r="AL642" s="322"/>
      <c r="AM642" s="714">
        <v>16036</v>
      </c>
      <c r="AN642" s="339"/>
      <c r="AO642" s="735">
        <v>16036</v>
      </c>
    </row>
    <row r="643" spans="1:41" hidden="1">
      <c r="A643" s="321" t="s">
        <v>837</v>
      </c>
      <c r="B643" s="324"/>
      <c r="C643" s="711">
        <v>8286999.9299999997</v>
      </c>
      <c r="D643" s="338"/>
      <c r="E643" s="737">
        <v>8286999.9299999997</v>
      </c>
      <c r="F643" s="322"/>
      <c r="G643" s="339"/>
      <c r="H643" s="339"/>
      <c r="I643" s="338"/>
      <c r="J643" s="324"/>
      <c r="K643" s="338"/>
      <c r="L643" s="338"/>
      <c r="M643" s="339"/>
      <c r="N643" s="322"/>
      <c r="O643" s="339"/>
      <c r="P643" s="339"/>
      <c r="Q643" s="338"/>
      <c r="R643" s="324"/>
      <c r="S643" s="338"/>
      <c r="T643" s="338"/>
      <c r="U643" s="339"/>
      <c r="V643" s="322"/>
      <c r="W643" s="339"/>
      <c r="X643" s="339"/>
      <c r="Y643" s="338"/>
      <c r="Z643" s="324"/>
      <c r="AA643" s="338"/>
      <c r="AB643" s="338"/>
      <c r="AC643" s="339"/>
      <c r="AD643" s="322"/>
      <c r="AE643" s="339"/>
      <c r="AF643" s="339"/>
      <c r="AG643" s="338"/>
      <c r="AH643" s="324"/>
      <c r="AI643" s="338"/>
      <c r="AJ643" s="338"/>
      <c r="AK643" s="339"/>
      <c r="AL643" s="322"/>
      <c r="AM643" s="714">
        <v>8286999.9299999997</v>
      </c>
      <c r="AN643" s="339"/>
      <c r="AO643" s="735">
        <v>8286999.9299999997</v>
      </c>
    </row>
    <row r="644" spans="1:41" hidden="1">
      <c r="A644" s="321" t="s">
        <v>844</v>
      </c>
      <c r="B644" s="324"/>
      <c r="C644" s="711">
        <v>8132.3</v>
      </c>
      <c r="D644" s="338"/>
      <c r="E644" s="737">
        <v>8132.3</v>
      </c>
      <c r="F644" s="322"/>
      <c r="G644" s="339"/>
      <c r="H644" s="339"/>
      <c r="I644" s="338"/>
      <c r="J644" s="324"/>
      <c r="K644" s="338"/>
      <c r="L644" s="338"/>
      <c r="M644" s="339"/>
      <c r="N644" s="322"/>
      <c r="O644" s="339"/>
      <c r="P644" s="339"/>
      <c r="Q644" s="338"/>
      <c r="R644" s="324"/>
      <c r="S644" s="338"/>
      <c r="T644" s="338"/>
      <c r="U644" s="339"/>
      <c r="V644" s="322"/>
      <c r="W644" s="339"/>
      <c r="X644" s="339"/>
      <c r="Y644" s="338"/>
      <c r="Z644" s="324"/>
      <c r="AA644" s="338"/>
      <c r="AB644" s="338"/>
      <c r="AC644" s="339"/>
      <c r="AD644" s="322"/>
      <c r="AE644" s="339"/>
      <c r="AF644" s="339"/>
      <c r="AG644" s="338"/>
      <c r="AH644" s="324"/>
      <c r="AI644" s="338"/>
      <c r="AJ644" s="338"/>
      <c r="AK644" s="339"/>
      <c r="AL644" s="322"/>
      <c r="AM644" s="714">
        <v>8132.3</v>
      </c>
      <c r="AN644" s="339"/>
      <c r="AO644" s="735">
        <v>8132.3</v>
      </c>
    </row>
    <row r="645" spans="1:41" hidden="1">
      <c r="A645" s="321" t="s">
        <v>782</v>
      </c>
      <c r="B645" s="324"/>
      <c r="C645" s="323">
        <v>294499.12</v>
      </c>
      <c r="D645" s="338"/>
      <c r="E645" s="592">
        <v>294499.12</v>
      </c>
      <c r="F645" s="322"/>
      <c r="G645" s="339"/>
      <c r="H645" s="339"/>
      <c r="I645" s="338"/>
      <c r="J645" s="324"/>
      <c r="K645" s="338"/>
      <c r="L645" s="338"/>
      <c r="M645" s="339"/>
      <c r="N645" s="322"/>
      <c r="O645" s="339"/>
      <c r="P645" s="339"/>
      <c r="Q645" s="338"/>
      <c r="R645" s="324"/>
      <c r="S645" s="338"/>
      <c r="T645" s="338"/>
      <c r="U645" s="339"/>
      <c r="V645" s="322"/>
      <c r="W645" s="325">
        <v>291307.12</v>
      </c>
      <c r="X645" s="339"/>
      <c r="Y645" s="594">
        <v>291307.12</v>
      </c>
      <c r="Z645" s="324"/>
      <c r="AA645" s="338"/>
      <c r="AB645" s="338"/>
      <c r="AC645" s="339"/>
      <c r="AD645" s="322"/>
      <c r="AE645" s="325">
        <v>3192</v>
      </c>
      <c r="AF645" s="339"/>
      <c r="AG645" s="594">
        <v>3192</v>
      </c>
      <c r="AH645" s="324"/>
      <c r="AI645" s="338"/>
      <c r="AJ645" s="338"/>
      <c r="AK645" s="339"/>
      <c r="AL645" s="322"/>
      <c r="AM645" s="339"/>
      <c r="AN645" s="339"/>
      <c r="AO645" s="338"/>
    </row>
    <row r="646" spans="1:41" hidden="1">
      <c r="A646" s="321" t="s">
        <v>783</v>
      </c>
      <c r="B646" s="324"/>
      <c r="C646" s="323">
        <v>136000</v>
      </c>
      <c r="D646" s="323">
        <v>34000</v>
      </c>
      <c r="E646" s="592">
        <v>102000</v>
      </c>
      <c r="F646" s="322"/>
      <c r="G646" s="339"/>
      <c r="H646" s="339"/>
      <c r="I646" s="338"/>
      <c r="J646" s="324"/>
      <c r="K646" s="338"/>
      <c r="L646" s="338"/>
      <c r="M646" s="339"/>
      <c r="N646" s="322"/>
      <c r="O646" s="339"/>
      <c r="P646" s="339"/>
      <c r="Q646" s="338"/>
      <c r="R646" s="324"/>
      <c r="S646" s="338"/>
      <c r="T646" s="338"/>
      <c r="U646" s="339"/>
      <c r="V646" s="322"/>
      <c r="W646" s="325">
        <v>136000</v>
      </c>
      <c r="X646" s="325">
        <v>34000</v>
      </c>
      <c r="Y646" s="594">
        <v>102000</v>
      </c>
      <c r="Z646" s="324"/>
      <c r="AA646" s="338"/>
      <c r="AB646" s="338"/>
      <c r="AC646" s="339"/>
      <c r="AD646" s="322"/>
      <c r="AE646" s="339"/>
      <c r="AF646" s="339"/>
      <c r="AG646" s="338"/>
      <c r="AH646" s="324"/>
      <c r="AI646" s="338"/>
      <c r="AJ646" s="338"/>
      <c r="AK646" s="339"/>
      <c r="AL646" s="322"/>
      <c r="AM646" s="339"/>
      <c r="AN646" s="339"/>
      <c r="AO646" s="338"/>
    </row>
    <row r="647" spans="1:41" hidden="1">
      <c r="A647" s="321" t="s">
        <v>784</v>
      </c>
      <c r="B647" s="324"/>
      <c r="C647" s="323">
        <v>14775475.300000001</v>
      </c>
      <c r="D647" s="711">
        <v>7861013.1299999999</v>
      </c>
      <c r="E647" s="592">
        <v>6914462.1699999999</v>
      </c>
      <c r="F647" s="322"/>
      <c r="G647" s="339"/>
      <c r="H647" s="339"/>
      <c r="I647" s="338"/>
      <c r="J647" s="324"/>
      <c r="K647" s="338"/>
      <c r="L647" s="338"/>
      <c r="M647" s="339"/>
      <c r="N647" s="322"/>
      <c r="O647" s="339"/>
      <c r="P647" s="339"/>
      <c r="Q647" s="338"/>
      <c r="R647" s="324"/>
      <c r="S647" s="323">
        <v>1557644.99</v>
      </c>
      <c r="T647" s="338"/>
      <c r="U647" s="592">
        <v>1557644.99</v>
      </c>
      <c r="V647" s="322"/>
      <c r="W647" s="339"/>
      <c r="X647" s="339"/>
      <c r="Y647" s="338"/>
      <c r="Z647" s="324"/>
      <c r="AA647" s="338"/>
      <c r="AB647" s="338"/>
      <c r="AC647" s="339"/>
      <c r="AD647" s="322"/>
      <c r="AE647" s="339"/>
      <c r="AF647" s="339"/>
      <c r="AG647" s="338"/>
      <c r="AH647" s="324"/>
      <c r="AI647" s="338"/>
      <c r="AJ647" s="338"/>
      <c r="AK647" s="339"/>
      <c r="AL647" s="322"/>
      <c r="AM647" s="714">
        <v>13217830.310000001</v>
      </c>
      <c r="AN647" s="714">
        <v>7861013.1299999999</v>
      </c>
      <c r="AO647" s="735">
        <v>5356817.18</v>
      </c>
    </row>
    <row r="648" spans="1:41" hidden="1">
      <c r="A648" s="321" t="s">
        <v>785</v>
      </c>
      <c r="B648" s="324"/>
      <c r="C648" s="323">
        <v>2866786.2</v>
      </c>
      <c r="D648" s="323">
        <v>196391.8</v>
      </c>
      <c r="E648" s="592">
        <v>2670394.4</v>
      </c>
      <c r="F648" s="322"/>
      <c r="G648" s="339"/>
      <c r="H648" s="339"/>
      <c r="I648" s="338"/>
      <c r="J648" s="324"/>
      <c r="K648" s="338"/>
      <c r="L648" s="338"/>
      <c r="M648" s="339"/>
      <c r="N648" s="322"/>
      <c r="O648" s="339"/>
      <c r="P648" s="339"/>
      <c r="Q648" s="338"/>
      <c r="R648" s="324"/>
      <c r="S648" s="323">
        <v>363557.2</v>
      </c>
      <c r="T648" s="323">
        <v>105661.8</v>
      </c>
      <c r="U648" s="592">
        <v>257895.4</v>
      </c>
      <c r="V648" s="322"/>
      <c r="W648" s="339"/>
      <c r="X648" s="339"/>
      <c r="Y648" s="338"/>
      <c r="Z648" s="324"/>
      <c r="AA648" s="338"/>
      <c r="AB648" s="338"/>
      <c r="AC648" s="339"/>
      <c r="AD648" s="322"/>
      <c r="AE648" s="339"/>
      <c r="AF648" s="339"/>
      <c r="AG648" s="338"/>
      <c r="AH648" s="324"/>
      <c r="AI648" s="338"/>
      <c r="AJ648" s="338"/>
      <c r="AK648" s="339"/>
      <c r="AL648" s="322"/>
      <c r="AM648" s="714">
        <v>2503229</v>
      </c>
      <c r="AN648" s="714">
        <v>90730</v>
      </c>
      <c r="AO648" s="735">
        <v>2412499</v>
      </c>
    </row>
    <row r="649" spans="1:41" hidden="1">
      <c r="A649" s="321" t="s">
        <v>786</v>
      </c>
      <c r="B649" s="324"/>
      <c r="C649" s="711">
        <v>1880</v>
      </c>
      <c r="D649" s="338"/>
      <c r="E649" s="737">
        <v>1880</v>
      </c>
      <c r="F649" s="322"/>
      <c r="G649" s="339"/>
      <c r="H649" s="339"/>
      <c r="I649" s="338"/>
      <c r="J649" s="324"/>
      <c r="K649" s="338"/>
      <c r="L649" s="338"/>
      <c r="M649" s="339"/>
      <c r="N649" s="322"/>
      <c r="O649" s="339"/>
      <c r="P649" s="339"/>
      <c r="Q649" s="338"/>
      <c r="R649" s="324"/>
      <c r="S649" s="338"/>
      <c r="T649" s="338"/>
      <c r="U649" s="339"/>
      <c r="V649" s="322"/>
      <c r="W649" s="339"/>
      <c r="X649" s="339"/>
      <c r="Y649" s="338"/>
      <c r="Z649" s="324"/>
      <c r="AA649" s="338"/>
      <c r="AB649" s="338"/>
      <c r="AC649" s="339"/>
      <c r="AD649" s="322"/>
      <c r="AE649" s="339"/>
      <c r="AF649" s="339"/>
      <c r="AG649" s="338"/>
      <c r="AH649" s="324"/>
      <c r="AI649" s="338"/>
      <c r="AJ649" s="338"/>
      <c r="AK649" s="339"/>
      <c r="AL649" s="322"/>
      <c r="AM649" s="714">
        <v>1880</v>
      </c>
      <c r="AN649" s="339"/>
      <c r="AO649" s="735">
        <v>1880</v>
      </c>
    </row>
    <row r="650" spans="1:41" hidden="1">
      <c r="A650" s="321" t="s">
        <v>1393</v>
      </c>
      <c r="B650" s="324"/>
      <c r="C650" s="323">
        <v>4000</v>
      </c>
      <c r="D650" s="338"/>
      <c r="E650" s="592">
        <v>4000</v>
      </c>
      <c r="F650" s="322"/>
      <c r="G650" s="339"/>
      <c r="H650" s="339"/>
      <c r="I650" s="338"/>
      <c r="J650" s="324"/>
      <c r="K650" s="338"/>
      <c r="L650" s="338"/>
      <c r="M650" s="339"/>
      <c r="N650" s="322"/>
      <c r="O650" s="339"/>
      <c r="P650" s="339"/>
      <c r="Q650" s="338"/>
      <c r="R650" s="324"/>
      <c r="S650" s="338"/>
      <c r="T650" s="338"/>
      <c r="U650" s="339"/>
      <c r="V650" s="322"/>
      <c r="W650" s="339"/>
      <c r="X650" s="339"/>
      <c r="Y650" s="338"/>
      <c r="Z650" s="324"/>
      <c r="AA650" s="323">
        <v>4000</v>
      </c>
      <c r="AB650" s="338"/>
      <c r="AC650" s="592">
        <v>4000</v>
      </c>
      <c r="AD650" s="322"/>
      <c r="AE650" s="339"/>
      <c r="AF650" s="339"/>
      <c r="AG650" s="338"/>
      <c r="AH650" s="324"/>
      <c r="AI650" s="338"/>
      <c r="AJ650" s="338"/>
      <c r="AK650" s="339"/>
      <c r="AL650" s="322"/>
      <c r="AM650" s="339"/>
      <c r="AN650" s="339"/>
      <c r="AO650" s="338"/>
    </row>
    <row r="651" spans="1:41" hidden="1">
      <c r="A651" s="311" t="s">
        <v>374</v>
      </c>
      <c r="B651" s="328"/>
      <c r="C651" s="703">
        <v>1197068.5660000001</v>
      </c>
      <c r="D651" s="703">
        <v>4106836.0989999999</v>
      </c>
      <c r="E651" s="740">
        <v>2909767.5329999998</v>
      </c>
      <c r="F651" s="326"/>
      <c r="G651" s="595"/>
      <c r="H651" s="595"/>
      <c r="I651" s="340"/>
      <c r="J651" s="328"/>
      <c r="K651" s="708"/>
      <c r="L651" s="708"/>
      <c r="M651" s="341"/>
      <c r="N651" s="326"/>
      <c r="O651" s="591">
        <v>1197068.5660000001</v>
      </c>
      <c r="P651" s="591">
        <v>4106836.0989999999</v>
      </c>
      <c r="Q651" s="590">
        <v>2909767.5329999998</v>
      </c>
      <c r="R651" s="328"/>
      <c r="S651" s="708"/>
      <c r="T651" s="703">
        <v>58045</v>
      </c>
      <c r="U651" s="740">
        <v>58045</v>
      </c>
      <c r="V651" s="326"/>
      <c r="W651" s="595"/>
      <c r="X651" s="591">
        <v>248704.11799999999</v>
      </c>
      <c r="Y651" s="590">
        <v>248704.11799999999</v>
      </c>
      <c r="Z651" s="328"/>
      <c r="AA651" s="708"/>
      <c r="AB651" s="708"/>
      <c r="AC651" s="341"/>
      <c r="AD651" s="326"/>
      <c r="AE651" s="591">
        <v>11861894</v>
      </c>
      <c r="AF651" s="591">
        <v>15653921.689999999</v>
      </c>
      <c r="AG651" s="590">
        <v>3792027.69</v>
      </c>
      <c r="AH651" s="328"/>
      <c r="AI651" s="708"/>
      <c r="AJ651" s="708"/>
      <c r="AK651" s="341"/>
      <c r="AL651" s="326"/>
      <c r="AM651" s="595"/>
      <c r="AN651" s="706">
        <v>4563945.09</v>
      </c>
      <c r="AO651" s="707">
        <v>4563945.09</v>
      </c>
    </row>
    <row r="652" spans="1:41" hidden="1">
      <c r="A652" s="321" t="s">
        <v>788</v>
      </c>
      <c r="B652" s="317"/>
      <c r="C652" s="330"/>
      <c r="D652" s="723">
        <v>2260.36</v>
      </c>
      <c r="E652" s="741">
        <v>2260.36</v>
      </c>
      <c r="F652" s="319"/>
      <c r="G652" s="331"/>
      <c r="H652" s="331"/>
      <c r="I652" s="330"/>
      <c r="J652" s="317"/>
      <c r="K652" s="330"/>
      <c r="L652" s="330"/>
      <c r="M652" s="331"/>
      <c r="N652" s="319"/>
      <c r="O652" s="331"/>
      <c r="P652" s="331"/>
      <c r="Q652" s="330"/>
      <c r="R652" s="317"/>
      <c r="S652" s="330"/>
      <c r="T652" s="330"/>
      <c r="U652" s="331"/>
      <c r="V652" s="319"/>
      <c r="W652" s="331"/>
      <c r="X652" s="331"/>
      <c r="Y652" s="330"/>
      <c r="Z652" s="317"/>
      <c r="AA652" s="330"/>
      <c r="AB652" s="330"/>
      <c r="AC652" s="331"/>
      <c r="AD652" s="319"/>
      <c r="AE652" s="331"/>
      <c r="AF652" s="331"/>
      <c r="AG652" s="330"/>
      <c r="AH652" s="317"/>
      <c r="AI652" s="330"/>
      <c r="AJ652" s="330"/>
      <c r="AK652" s="331"/>
      <c r="AL652" s="319"/>
      <c r="AM652" s="331"/>
      <c r="AN652" s="726">
        <v>2260.36</v>
      </c>
      <c r="AO652" s="742">
        <v>2260.36</v>
      </c>
    </row>
    <row r="653" spans="1:41" hidden="1">
      <c r="A653" s="321" t="s">
        <v>789</v>
      </c>
      <c r="B653" s="324"/>
      <c r="C653" s="338"/>
      <c r="D653" s="323">
        <v>92151.16</v>
      </c>
      <c r="E653" s="588">
        <v>92151.16</v>
      </c>
      <c r="F653" s="322"/>
      <c r="G653" s="339"/>
      <c r="H653" s="339"/>
      <c r="I653" s="338"/>
      <c r="J653" s="324"/>
      <c r="K653" s="338"/>
      <c r="L653" s="338"/>
      <c r="M653" s="339"/>
      <c r="N653" s="322"/>
      <c r="O653" s="339"/>
      <c r="P653" s="339"/>
      <c r="Q653" s="338"/>
      <c r="R653" s="324"/>
      <c r="S653" s="338"/>
      <c r="T653" s="338"/>
      <c r="U653" s="339"/>
      <c r="V653" s="322"/>
      <c r="W653" s="339"/>
      <c r="X653" s="339"/>
      <c r="Y653" s="338"/>
      <c r="Z653" s="324"/>
      <c r="AA653" s="338"/>
      <c r="AB653" s="338"/>
      <c r="AC653" s="339"/>
      <c r="AD653" s="322"/>
      <c r="AE653" s="339"/>
      <c r="AF653" s="325">
        <v>92151.16</v>
      </c>
      <c r="AG653" s="589">
        <v>92151.16</v>
      </c>
      <c r="AH653" s="324"/>
      <c r="AI653" s="338"/>
      <c r="AJ653" s="338"/>
      <c r="AK653" s="339"/>
      <c r="AL653" s="322"/>
      <c r="AM653" s="339"/>
      <c r="AN653" s="339"/>
      <c r="AO653" s="338"/>
    </row>
    <row r="654" spans="1:41" hidden="1">
      <c r="A654" s="321" t="s">
        <v>1396</v>
      </c>
      <c r="B654" s="324"/>
      <c r="C654" s="323">
        <v>875534</v>
      </c>
      <c r="D654" s="323">
        <v>1233780</v>
      </c>
      <c r="E654" s="588">
        <v>358246</v>
      </c>
      <c r="F654" s="322"/>
      <c r="G654" s="339"/>
      <c r="H654" s="339"/>
      <c r="I654" s="338"/>
      <c r="J654" s="324"/>
      <c r="K654" s="338"/>
      <c r="L654" s="338"/>
      <c r="M654" s="339"/>
      <c r="N654" s="322"/>
      <c r="O654" s="339"/>
      <c r="P654" s="339"/>
      <c r="Q654" s="338"/>
      <c r="R654" s="324"/>
      <c r="S654" s="338"/>
      <c r="T654" s="338"/>
      <c r="U654" s="339"/>
      <c r="V654" s="322"/>
      <c r="W654" s="339"/>
      <c r="X654" s="339"/>
      <c r="Y654" s="338"/>
      <c r="Z654" s="324"/>
      <c r="AA654" s="338"/>
      <c r="AB654" s="338"/>
      <c r="AC654" s="339"/>
      <c r="AD654" s="322"/>
      <c r="AE654" s="325">
        <v>875534</v>
      </c>
      <c r="AF654" s="325">
        <v>1233780</v>
      </c>
      <c r="AG654" s="589">
        <v>358246</v>
      </c>
      <c r="AH654" s="324"/>
      <c r="AI654" s="338"/>
      <c r="AJ654" s="338"/>
      <c r="AK654" s="339"/>
      <c r="AL654" s="322"/>
      <c r="AM654" s="339"/>
      <c r="AN654" s="339"/>
      <c r="AO654" s="338"/>
    </row>
    <row r="655" spans="1:41" hidden="1">
      <c r="A655" s="321" t="s">
        <v>790</v>
      </c>
      <c r="B655" s="324"/>
      <c r="C655" s="338"/>
      <c r="D655" s="323">
        <v>1449348.48</v>
      </c>
      <c r="E655" s="588">
        <v>1449348.48</v>
      </c>
      <c r="F655" s="322"/>
      <c r="G655" s="339"/>
      <c r="H655" s="339"/>
      <c r="I655" s="338"/>
      <c r="J655" s="324"/>
      <c r="K655" s="338"/>
      <c r="L655" s="338"/>
      <c r="M655" s="339"/>
      <c r="N655" s="322"/>
      <c r="O655" s="339"/>
      <c r="P655" s="339"/>
      <c r="Q655" s="338"/>
      <c r="R655" s="324"/>
      <c r="S655" s="338"/>
      <c r="T655" s="323">
        <v>58045</v>
      </c>
      <c r="U655" s="588">
        <v>58045</v>
      </c>
      <c r="V655" s="322"/>
      <c r="W655" s="339"/>
      <c r="X655" s="339"/>
      <c r="Y655" s="338"/>
      <c r="Z655" s="324"/>
      <c r="AA655" s="338"/>
      <c r="AB655" s="338"/>
      <c r="AC655" s="339"/>
      <c r="AD655" s="322"/>
      <c r="AE655" s="339"/>
      <c r="AF655" s="339"/>
      <c r="AG655" s="338"/>
      <c r="AH655" s="324"/>
      <c r="AI655" s="338"/>
      <c r="AJ655" s="338"/>
      <c r="AK655" s="339"/>
      <c r="AL655" s="322"/>
      <c r="AM655" s="339"/>
      <c r="AN655" s="714">
        <v>1391303.48</v>
      </c>
      <c r="AO655" s="712">
        <v>1391303.48</v>
      </c>
    </row>
    <row r="656" spans="1:41" hidden="1">
      <c r="A656" s="321" t="s">
        <v>791</v>
      </c>
      <c r="B656" s="324"/>
      <c r="C656" s="338"/>
      <c r="D656" s="323">
        <v>242646.11799999999</v>
      </c>
      <c r="E656" s="588">
        <v>242646.11799999999</v>
      </c>
      <c r="F656" s="322"/>
      <c r="G656" s="339"/>
      <c r="H656" s="339"/>
      <c r="I656" s="338"/>
      <c r="J656" s="324"/>
      <c r="K656" s="338"/>
      <c r="L656" s="338"/>
      <c r="M656" s="339"/>
      <c r="N656" s="322"/>
      <c r="O656" s="339"/>
      <c r="P656" s="339"/>
      <c r="Q656" s="338"/>
      <c r="R656" s="324"/>
      <c r="S656" s="338"/>
      <c r="T656" s="338"/>
      <c r="U656" s="339"/>
      <c r="V656" s="322"/>
      <c r="W656" s="339"/>
      <c r="X656" s="325">
        <v>242646.11799999999</v>
      </c>
      <c r="Y656" s="589">
        <v>242646.11799999999</v>
      </c>
      <c r="Z656" s="324"/>
      <c r="AA656" s="338"/>
      <c r="AB656" s="338"/>
      <c r="AC656" s="339"/>
      <c r="AD656" s="322"/>
      <c r="AE656" s="339"/>
      <c r="AF656" s="339"/>
      <c r="AG656" s="338"/>
      <c r="AH656" s="324"/>
      <c r="AI656" s="338"/>
      <c r="AJ656" s="338"/>
      <c r="AK656" s="339"/>
      <c r="AL656" s="322"/>
      <c r="AM656" s="339"/>
      <c r="AN656" s="339"/>
      <c r="AO656" s="338"/>
    </row>
    <row r="657" spans="1:41" hidden="1">
      <c r="A657" s="321" t="s">
        <v>1397</v>
      </c>
      <c r="B657" s="324"/>
      <c r="C657" s="323">
        <v>1197068.5660000001</v>
      </c>
      <c r="D657" s="323">
        <v>3822603.0989999999</v>
      </c>
      <c r="E657" s="588">
        <v>2625534.5329999998</v>
      </c>
      <c r="F657" s="322"/>
      <c r="G657" s="339"/>
      <c r="H657" s="339"/>
      <c r="I657" s="338"/>
      <c r="J657" s="324"/>
      <c r="K657" s="338"/>
      <c r="L657" s="338"/>
      <c r="M657" s="339"/>
      <c r="N657" s="322"/>
      <c r="O657" s="325">
        <v>1197068.5660000001</v>
      </c>
      <c r="P657" s="325">
        <v>3822603.0989999999</v>
      </c>
      <c r="Q657" s="589">
        <v>2625534.5329999998</v>
      </c>
      <c r="R657" s="324"/>
      <c r="S657" s="338"/>
      <c r="T657" s="338"/>
      <c r="U657" s="339"/>
      <c r="V657" s="322"/>
      <c r="W657" s="339"/>
      <c r="X657" s="339"/>
      <c r="Y657" s="338"/>
      <c r="Z657" s="324"/>
      <c r="AA657" s="338"/>
      <c r="AB657" s="338"/>
      <c r="AC657" s="339"/>
      <c r="AD657" s="322"/>
      <c r="AE657" s="339"/>
      <c r="AF657" s="339"/>
      <c r="AG657" s="338"/>
      <c r="AH657" s="324"/>
      <c r="AI657" s="338"/>
      <c r="AJ657" s="338"/>
      <c r="AK657" s="339"/>
      <c r="AL657" s="322"/>
      <c r="AM657" s="339"/>
      <c r="AN657" s="339"/>
      <c r="AO657" s="338"/>
    </row>
    <row r="658" spans="1:41" hidden="1">
      <c r="A658" s="321" t="s">
        <v>377</v>
      </c>
      <c r="B658" s="324"/>
      <c r="C658" s="323">
        <v>10957860</v>
      </c>
      <c r="D658" s="323">
        <v>11253896</v>
      </c>
      <c r="E658" s="588">
        <v>296036</v>
      </c>
      <c r="F658" s="322"/>
      <c r="G658" s="339"/>
      <c r="H658" s="339"/>
      <c r="I658" s="338"/>
      <c r="J658" s="324"/>
      <c r="K658" s="338"/>
      <c r="L658" s="338"/>
      <c r="M658" s="339"/>
      <c r="N658" s="322"/>
      <c r="O658" s="339"/>
      <c r="P658" s="339"/>
      <c r="Q658" s="338"/>
      <c r="R658" s="324"/>
      <c r="S658" s="338"/>
      <c r="T658" s="338"/>
      <c r="U658" s="339"/>
      <c r="V658" s="322"/>
      <c r="W658" s="339"/>
      <c r="X658" s="339"/>
      <c r="Y658" s="338"/>
      <c r="Z658" s="324"/>
      <c r="AA658" s="338"/>
      <c r="AB658" s="338"/>
      <c r="AC658" s="339"/>
      <c r="AD658" s="322"/>
      <c r="AE658" s="325">
        <v>10957860</v>
      </c>
      <c r="AF658" s="325">
        <v>11253896</v>
      </c>
      <c r="AG658" s="589">
        <v>296036</v>
      </c>
      <c r="AH658" s="324"/>
      <c r="AI658" s="338"/>
      <c r="AJ658" s="338"/>
      <c r="AK658" s="339"/>
      <c r="AL658" s="322"/>
      <c r="AM658" s="339"/>
      <c r="AN658" s="339"/>
      <c r="AO658" s="338"/>
    </row>
    <row r="659" spans="1:41" hidden="1">
      <c r="A659" s="321" t="s">
        <v>795</v>
      </c>
      <c r="B659" s="324"/>
      <c r="C659" s="338"/>
      <c r="D659" s="711">
        <v>3158665.25</v>
      </c>
      <c r="E659" s="715">
        <v>3158665.25</v>
      </c>
      <c r="F659" s="322"/>
      <c r="G659" s="339"/>
      <c r="H659" s="339"/>
      <c r="I659" s="338"/>
      <c r="J659" s="324"/>
      <c r="K659" s="338"/>
      <c r="L659" s="338"/>
      <c r="M659" s="339"/>
      <c r="N659" s="322"/>
      <c r="O659" s="339"/>
      <c r="P659" s="339"/>
      <c r="Q659" s="338"/>
      <c r="R659" s="324"/>
      <c r="S659" s="338"/>
      <c r="T659" s="338"/>
      <c r="U659" s="339"/>
      <c r="V659" s="322"/>
      <c r="W659" s="339"/>
      <c r="X659" s="339"/>
      <c r="Y659" s="338"/>
      <c r="Z659" s="324"/>
      <c r="AA659" s="338"/>
      <c r="AB659" s="338"/>
      <c r="AC659" s="339"/>
      <c r="AD659" s="322"/>
      <c r="AE659" s="339"/>
      <c r="AF659" s="339"/>
      <c r="AG659" s="338"/>
      <c r="AH659" s="324"/>
      <c r="AI659" s="338"/>
      <c r="AJ659" s="338"/>
      <c r="AK659" s="339"/>
      <c r="AL659" s="322"/>
      <c r="AM659" s="339"/>
      <c r="AN659" s="714">
        <v>3158665.25</v>
      </c>
      <c r="AO659" s="712">
        <v>3158665.25</v>
      </c>
    </row>
    <row r="660" spans="1:41" hidden="1">
      <c r="A660" s="321" t="s">
        <v>1831</v>
      </c>
      <c r="B660" s="324"/>
      <c r="C660" s="338"/>
      <c r="D660" s="323">
        <v>1568452.07</v>
      </c>
      <c r="E660" s="588">
        <v>1568452.07</v>
      </c>
      <c r="F660" s="322"/>
      <c r="G660" s="339"/>
      <c r="H660" s="339"/>
      <c r="I660" s="338"/>
      <c r="J660" s="324"/>
      <c r="K660" s="338"/>
      <c r="L660" s="338"/>
      <c r="M660" s="339"/>
      <c r="N660" s="322"/>
      <c r="O660" s="339"/>
      <c r="P660" s="339"/>
      <c r="Q660" s="338"/>
      <c r="R660" s="324"/>
      <c r="S660" s="338"/>
      <c r="T660" s="338"/>
      <c r="U660" s="339"/>
      <c r="V660" s="322"/>
      <c r="W660" s="339"/>
      <c r="X660" s="339"/>
      <c r="Y660" s="338"/>
      <c r="Z660" s="324"/>
      <c r="AA660" s="338"/>
      <c r="AB660" s="338"/>
      <c r="AC660" s="339"/>
      <c r="AD660" s="322"/>
      <c r="AE660" s="339"/>
      <c r="AF660" s="325">
        <v>1568452.07</v>
      </c>
      <c r="AG660" s="589">
        <v>1568452.07</v>
      </c>
      <c r="AH660" s="324"/>
      <c r="AI660" s="338"/>
      <c r="AJ660" s="338"/>
      <c r="AK660" s="339"/>
      <c r="AL660" s="322"/>
      <c r="AM660" s="339"/>
      <c r="AN660" s="339"/>
      <c r="AO660" s="338"/>
    </row>
    <row r="661" spans="1:41" hidden="1">
      <c r="A661" s="321" t="s">
        <v>797</v>
      </c>
      <c r="B661" s="324"/>
      <c r="C661" s="338"/>
      <c r="D661" s="323">
        <v>17855.46</v>
      </c>
      <c r="E661" s="588">
        <v>17855.46</v>
      </c>
      <c r="F661" s="322"/>
      <c r="G661" s="339"/>
      <c r="H661" s="339"/>
      <c r="I661" s="338"/>
      <c r="J661" s="324"/>
      <c r="K661" s="338"/>
      <c r="L661" s="338"/>
      <c r="M661" s="339"/>
      <c r="N661" s="322"/>
      <c r="O661" s="339"/>
      <c r="P661" s="339"/>
      <c r="Q661" s="338"/>
      <c r="R661" s="324"/>
      <c r="S661" s="338"/>
      <c r="T661" s="338"/>
      <c r="U661" s="339"/>
      <c r="V661" s="322"/>
      <c r="W661" s="339"/>
      <c r="X661" s="325">
        <v>6058</v>
      </c>
      <c r="Y661" s="589">
        <v>6058</v>
      </c>
      <c r="Z661" s="324"/>
      <c r="AA661" s="338"/>
      <c r="AB661" s="338"/>
      <c r="AC661" s="339"/>
      <c r="AD661" s="322"/>
      <c r="AE661" s="339"/>
      <c r="AF661" s="325">
        <v>81.459999999999994</v>
      </c>
      <c r="AG661" s="589">
        <v>81.459999999999994</v>
      </c>
      <c r="AH661" s="324"/>
      <c r="AI661" s="338"/>
      <c r="AJ661" s="338"/>
      <c r="AK661" s="339"/>
      <c r="AL661" s="322"/>
      <c r="AM661" s="339"/>
      <c r="AN661" s="714">
        <v>11716</v>
      </c>
      <c r="AO661" s="712">
        <v>11716</v>
      </c>
    </row>
    <row r="662" spans="1:41" hidden="1">
      <c r="A662" s="321" t="s">
        <v>799</v>
      </c>
      <c r="B662" s="324"/>
      <c r="C662" s="323">
        <v>28500</v>
      </c>
      <c r="D662" s="323">
        <v>28500</v>
      </c>
      <c r="E662" s="339"/>
      <c r="F662" s="322"/>
      <c r="G662" s="339"/>
      <c r="H662" s="339"/>
      <c r="I662" s="338"/>
      <c r="J662" s="324"/>
      <c r="K662" s="338"/>
      <c r="L662" s="338"/>
      <c r="M662" s="339"/>
      <c r="N662" s="322"/>
      <c r="O662" s="339"/>
      <c r="P662" s="339"/>
      <c r="Q662" s="338"/>
      <c r="R662" s="324"/>
      <c r="S662" s="338"/>
      <c r="T662" s="338"/>
      <c r="U662" s="339"/>
      <c r="V662" s="322"/>
      <c r="W662" s="339"/>
      <c r="X662" s="339"/>
      <c r="Y662" s="338"/>
      <c r="Z662" s="324"/>
      <c r="AA662" s="338"/>
      <c r="AB662" s="338"/>
      <c r="AC662" s="339"/>
      <c r="AD662" s="322"/>
      <c r="AE662" s="325">
        <v>28500</v>
      </c>
      <c r="AF662" s="325">
        <v>28500</v>
      </c>
      <c r="AG662" s="338"/>
      <c r="AH662" s="324"/>
      <c r="AI662" s="338"/>
      <c r="AJ662" s="338"/>
      <c r="AK662" s="339"/>
      <c r="AL662" s="322"/>
      <c r="AM662" s="339"/>
      <c r="AN662" s="339"/>
      <c r="AO662" s="338"/>
    </row>
    <row r="663" spans="1:41" hidden="1">
      <c r="A663" s="321" t="s">
        <v>1107</v>
      </c>
      <c r="B663" s="324"/>
      <c r="C663" s="338"/>
      <c r="D663" s="323">
        <v>31097</v>
      </c>
      <c r="E663" s="588">
        <v>31097</v>
      </c>
      <c r="F663" s="322"/>
      <c r="G663" s="339"/>
      <c r="H663" s="339"/>
      <c r="I663" s="338"/>
      <c r="J663" s="324"/>
      <c r="K663" s="338"/>
      <c r="L663" s="338"/>
      <c r="M663" s="339"/>
      <c r="N663" s="322"/>
      <c r="O663" s="339"/>
      <c r="P663" s="325">
        <v>31097</v>
      </c>
      <c r="Q663" s="589">
        <v>31097</v>
      </c>
      <c r="R663" s="324"/>
      <c r="S663" s="338"/>
      <c r="T663" s="338"/>
      <c r="U663" s="339"/>
      <c r="V663" s="322"/>
      <c r="W663" s="339"/>
      <c r="X663" s="339"/>
      <c r="Y663" s="338"/>
      <c r="Z663" s="324"/>
      <c r="AA663" s="338"/>
      <c r="AB663" s="338"/>
      <c r="AC663" s="339"/>
      <c r="AD663" s="322"/>
      <c r="AE663" s="339"/>
      <c r="AF663" s="339"/>
      <c r="AG663" s="338"/>
      <c r="AH663" s="324"/>
      <c r="AI663" s="338"/>
      <c r="AJ663" s="338"/>
      <c r="AK663" s="339"/>
      <c r="AL663" s="322"/>
      <c r="AM663" s="339"/>
      <c r="AN663" s="339"/>
      <c r="AO663" s="338"/>
    </row>
    <row r="664" spans="1:41" hidden="1">
      <c r="A664" s="321" t="s">
        <v>1398</v>
      </c>
      <c r="B664" s="324"/>
      <c r="C664" s="338"/>
      <c r="D664" s="323">
        <v>1477061</v>
      </c>
      <c r="E664" s="588">
        <v>1477061</v>
      </c>
      <c r="F664" s="322"/>
      <c r="G664" s="339"/>
      <c r="H664" s="339"/>
      <c r="I664" s="338"/>
      <c r="J664" s="324"/>
      <c r="K664" s="338"/>
      <c r="L664" s="338"/>
      <c r="M664" s="339"/>
      <c r="N664" s="322"/>
      <c r="O664" s="339"/>
      <c r="P664" s="339"/>
      <c r="Q664" s="338"/>
      <c r="R664" s="324"/>
      <c r="S664" s="338"/>
      <c r="T664" s="338"/>
      <c r="U664" s="339"/>
      <c r="V664" s="322"/>
      <c r="W664" s="339"/>
      <c r="X664" s="339"/>
      <c r="Y664" s="338"/>
      <c r="Z664" s="324"/>
      <c r="AA664" s="338"/>
      <c r="AB664" s="338"/>
      <c r="AC664" s="339"/>
      <c r="AD664" s="322"/>
      <c r="AE664" s="339"/>
      <c r="AF664" s="325">
        <v>1477061</v>
      </c>
      <c r="AG664" s="589">
        <v>1477061</v>
      </c>
      <c r="AH664" s="324"/>
      <c r="AI664" s="338"/>
      <c r="AJ664" s="338"/>
      <c r="AK664" s="339"/>
      <c r="AL664" s="322"/>
      <c r="AM664" s="339"/>
      <c r="AN664" s="339"/>
      <c r="AO664" s="338"/>
    </row>
    <row r="665" spans="1:41" hidden="1">
      <c r="A665" s="321" t="s">
        <v>1832</v>
      </c>
      <c r="B665" s="324"/>
      <c r="C665" s="338"/>
      <c r="D665" s="323">
        <v>253136</v>
      </c>
      <c r="E665" s="588">
        <v>253136</v>
      </c>
      <c r="F665" s="322"/>
      <c r="G665" s="339"/>
      <c r="H665" s="339"/>
      <c r="I665" s="338"/>
      <c r="J665" s="324"/>
      <c r="K665" s="338"/>
      <c r="L665" s="338"/>
      <c r="M665" s="339"/>
      <c r="N665" s="322"/>
      <c r="O665" s="339"/>
      <c r="P665" s="325">
        <v>253136</v>
      </c>
      <c r="Q665" s="589">
        <v>253136</v>
      </c>
      <c r="R665" s="324"/>
      <c r="S665" s="338"/>
      <c r="T665" s="338"/>
      <c r="U665" s="339"/>
      <c r="V665" s="322"/>
      <c r="W665" s="339"/>
      <c r="X665" s="339"/>
      <c r="Y665" s="338"/>
      <c r="Z665" s="324"/>
      <c r="AA665" s="338"/>
      <c r="AB665" s="338"/>
      <c r="AC665" s="339"/>
      <c r="AD665" s="322"/>
      <c r="AE665" s="339"/>
      <c r="AF665" s="339"/>
      <c r="AG665" s="338"/>
      <c r="AH665" s="324"/>
      <c r="AI665" s="338"/>
      <c r="AJ665" s="338"/>
      <c r="AK665" s="339"/>
      <c r="AL665" s="322"/>
      <c r="AM665" s="339"/>
      <c r="AN665" s="339"/>
      <c r="AO665" s="338"/>
    </row>
    <row r="666" spans="1:41" hidden="1">
      <c r="A666" s="311" t="s">
        <v>380</v>
      </c>
      <c r="B666" s="328"/>
      <c r="C666" s="703">
        <v>99089758.986000001</v>
      </c>
      <c r="D666" s="703">
        <v>18349140.533</v>
      </c>
      <c r="E666" s="721">
        <v>80740618.452999994</v>
      </c>
      <c r="F666" s="326"/>
      <c r="G666" s="591">
        <v>105900</v>
      </c>
      <c r="H666" s="595"/>
      <c r="I666" s="593">
        <v>105900</v>
      </c>
      <c r="J666" s="328"/>
      <c r="K666" s="703">
        <v>83397.198000000004</v>
      </c>
      <c r="L666" s="703">
        <v>1</v>
      </c>
      <c r="M666" s="721">
        <v>83396.198000000004</v>
      </c>
      <c r="N666" s="326"/>
      <c r="O666" s="591">
        <v>24684731.840999998</v>
      </c>
      <c r="P666" s="591">
        <v>13460581.289999999</v>
      </c>
      <c r="Q666" s="593">
        <v>11224150.551000001</v>
      </c>
      <c r="R666" s="328"/>
      <c r="S666" s="703">
        <v>5041205.72</v>
      </c>
      <c r="T666" s="703">
        <v>926186.88</v>
      </c>
      <c r="U666" s="721">
        <v>4115018.84</v>
      </c>
      <c r="V666" s="326"/>
      <c r="W666" s="591">
        <v>1214204.996</v>
      </c>
      <c r="X666" s="591">
        <v>595356.79</v>
      </c>
      <c r="Y666" s="593">
        <v>618848.20600000001</v>
      </c>
      <c r="Z666" s="328"/>
      <c r="AA666" s="703">
        <v>562613.63100000005</v>
      </c>
      <c r="AB666" s="703">
        <v>42205.898999999998</v>
      </c>
      <c r="AC666" s="721">
        <v>520407.73200000002</v>
      </c>
      <c r="AD666" s="326"/>
      <c r="AE666" s="591">
        <v>43510576.571000002</v>
      </c>
      <c r="AF666" s="591">
        <v>2130470.3139999998</v>
      </c>
      <c r="AG666" s="593">
        <v>41380106.256999999</v>
      </c>
      <c r="AH666" s="328"/>
      <c r="AI666" s="708"/>
      <c r="AJ666" s="708"/>
      <c r="AK666" s="341"/>
      <c r="AL666" s="326"/>
      <c r="AM666" s="706">
        <v>48571860.869999997</v>
      </c>
      <c r="AN666" s="706">
        <v>14654919.65</v>
      </c>
      <c r="AO666" s="731">
        <v>33916941.219999999</v>
      </c>
    </row>
    <row r="667" spans="1:41" hidden="1">
      <c r="A667" s="316" t="s">
        <v>381</v>
      </c>
      <c r="B667" s="940"/>
      <c r="C667" s="587">
        <v>1417720.43</v>
      </c>
      <c r="D667" s="587">
        <v>289716</v>
      </c>
      <c r="E667" s="759">
        <v>1128004.43</v>
      </c>
      <c r="F667" s="939"/>
      <c r="G667" s="690"/>
      <c r="H667" s="690"/>
      <c r="I667" s="690"/>
      <c r="J667" s="940"/>
      <c r="K667" s="611"/>
      <c r="L667" s="611"/>
      <c r="M667" s="611"/>
      <c r="N667" s="939"/>
      <c r="O667" s="691">
        <v>1417720.43</v>
      </c>
      <c r="P667" s="691">
        <v>289716</v>
      </c>
      <c r="Q667" s="758">
        <v>1128004.43</v>
      </c>
      <c r="R667" s="940"/>
      <c r="S667" s="611"/>
      <c r="T667" s="611"/>
      <c r="U667" s="611"/>
      <c r="V667" s="939"/>
      <c r="W667" s="690"/>
      <c r="X667" s="690"/>
      <c r="Y667" s="690"/>
      <c r="Z667" s="940"/>
      <c r="AA667" s="611"/>
      <c r="AB667" s="611"/>
      <c r="AC667" s="611"/>
      <c r="AD667" s="939"/>
      <c r="AE667" s="690"/>
      <c r="AF667" s="690"/>
      <c r="AG667" s="690"/>
      <c r="AH667" s="940"/>
      <c r="AI667" s="611"/>
      <c r="AJ667" s="611"/>
      <c r="AK667" s="611"/>
      <c r="AL667" s="939"/>
      <c r="AM667" s="690"/>
      <c r="AN667" s="690"/>
      <c r="AO667" s="690"/>
    </row>
    <row r="668" spans="1:41" hidden="1">
      <c r="A668" s="761" t="s">
        <v>803</v>
      </c>
      <c r="B668" s="939"/>
      <c r="C668" s="691">
        <v>247028</v>
      </c>
      <c r="D668" s="691">
        <v>25000</v>
      </c>
      <c r="E668" s="758">
        <v>222028</v>
      </c>
      <c r="F668" s="940"/>
      <c r="G668" s="611"/>
      <c r="H668" s="611"/>
      <c r="I668" s="611"/>
      <c r="J668" s="939"/>
      <c r="K668" s="690"/>
      <c r="L668" s="690"/>
      <c r="M668" s="690"/>
      <c r="N668" s="940"/>
      <c r="O668" s="587">
        <v>247028</v>
      </c>
      <c r="P668" s="587">
        <v>25000</v>
      </c>
      <c r="Q668" s="759">
        <v>222028</v>
      </c>
      <c r="R668" s="939"/>
      <c r="S668" s="690"/>
      <c r="T668" s="690"/>
      <c r="U668" s="690"/>
      <c r="V668" s="940"/>
      <c r="W668" s="611"/>
      <c r="X668" s="611"/>
      <c r="Y668" s="611"/>
      <c r="Z668" s="939"/>
      <c r="AA668" s="690"/>
      <c r="AB668" s="690"/>
      <c r="AC668" s="690"/>
      <c r="AD668" s="940"/>
      <c r="AE668" s="611"/>
      <c r="AF668" s="611"/>
      <c r="AG668" s="611"/>
      <c r="AH668" s="939"/>
      <c r="AI668" s="690"/>
      <c r="AJ668" s="690"/>
      <c r="AK668" s="690"/>
      <c r="AL668" s="940"/>
      <c r="AM668" s="611"/>
      <c r="AN668" s="611"/>
      <c r="AO668" s="611"/>
    </row>
    <row r="669" spans="1:41" hidden="1">
      <c r="A669" s="764" t="s">
        <v>802</v>
      </c>
      <c r="B669" s="317"/>
      <c r="C669" s="320">
        <v>14550</v>
      </c>
      <c r="D669" s="330"/>
      <c r="E669" s="729">
        <v>14550</v>
      </c>
      <c r="F669" s="319"/>
      <c r="G669" s="331"/>
      <c r="H669" s="331"/>
      <c r="I669" s="330"/>
      <c r="J669" s="317"/>
      <c r="K669" s="330"/>
      <c r="L669" s="330"/>
      <c r="M669" s="331"/>
      <c r="N669" s="319"/>
      <c r="O669" s="331"/>
      <c r="P669" s="331"/>
      <c r="Q669" s="330"/>
      <c r="R669" s="317"/>
      <c r="S669" s="330"/>
      <c r="T669" s="330"/>
      <c r="U669" s="331"/>
      <c r="V669" s="319"/>
      <c r="W669" s="331"/>
      <c r="X669" s="331"/>
      <c r="Y669" s="330"/>
      <c r="Z669" s="317"/>
      <c r="AA669" s="330"/>
      <c r="AB669" s="330"/>
      <c r="AC669" s="331"/>
      <c r="AD669" s="319"/>
      <c r="AE669" s="318">
        <v>14550</v>
      </c>
      <c r="AF669" s="331"/>
      <c r="AG669" s="739">
        <v>14550</v>
      </c>
      <c r="AH669" s="317"/>
      <c r="AI669" s="330"/>
      <c r="AJ669" s="330"/>
      <c r="AK669" s="331"/>
      <c r="AL669" s="319"/>
      <c r="AM669" s="331"/>
      <c r="AN669" s="331"/>
      <c r="AO669" s="330"/>
    </row>
    <row r="670" spans="1:41" hidden="1">
      <c r="A670" s="764" t="s">
        <v>1053</v>
      </c>
      <c r="B670" s="324"/>
      <c r="C670" s="323">
        <v>247028</v>
      </c>
      <c r="D670" s="323">
        <v>25000</v>
      </c>
      <c r="E670" s="592">
        <v>222028</v>
      </c>
      <c r="F670" s="322"/>
      <c r="G670" s="339"/>
      <c r="H670" s="339"/>
      <c r="I670" s="338"/>
      <c r="J670" s="324"/>
      <c r="K670" s="338"/>
      <c r="L670" s="338"/>
      <c r="M670" s="339"/>
      <c r="N670" s="322"/>
      <c r="O670" s="325">
        <v>247028</v>
      </c>
      <c r="P670" s="325">
        <v>25000</v>
      </c>
      <c r="Q670" s="594">
        <v>222028</v>
      </c>
      <c r="R670" s="324"/>
      <c r="S670" s="338"/>
      <c r="T670" s="338"/>
      <c r="U670" s="339"/>
      <c r="V670" s="322"/>
      <c r="W670" s="339"/>
      <c r="X670" s="339"/>
      <c r="Y670" s="338"/>
      <c r="Z670" s="324"/>
      <c r="AA670" s="338"/>
      <c r="AB670" s="338"/>
      <c r="AC670" s="339"/>
      <c r="AD670" s="322"/>
      <c r="AE670" s="339"/>
      <c r="AF670" s="339"/>
      <c r="AG670" s="338"/>
      <c r="AH670" s="324"/>
      <c r="AI670" s="338"/>
      <c r="AJ670" s="338"/>
      <c r="AK670" s="339"/>
      <c r="AL670" s="322"/>
      <c r="AM670" s="339"/>
      <c r="AN670" s="339"/>
      <c r="AO670" s="338"/>
    </row>
    <row r="671" spans="1:41" hidden="1">
      <c r="A671" s="761" t="s">
        <v>1054</v>
      </c>
      <c r="B671" s="943"/>
      <c r="C671" s="703">
        <v>105568.06</v>
      </c>
      <c r="D671" s="708"/>
      <c r="E671" s="767">
        <v>105568.06</v>
      </c>
      <c r="F671" s="944"/>
      <c r="G671" s="595"/>
      <c r="H671" s="595"/>
      <c r="I671" s="595"/>
      <c r="J671" s="943"/>
      <c r="K671" s="708"/>
      <c r="L671" s="708"/>
      <c r="M671" s="708"/>
      <c r="N671" s="944"/>
      <c r="O671" s="591">
        <v>105568.06</v>
      </c>
      <c r="P671" s="595"/>
      <c r="Q671" s="773">
        <v>105568.06</v>
      </c>
      <c r="R671" s="943"/>
      <c r="S671" s="708"/>
      <c r="T671" s="708"/>
      <c r="U671" s="708"/>
      <c r="V671" s="944"/>
      <c r="W671" s="595"/>
      <c r="X671" s="595"/>
      <c r="Y671" s="595"/>
      <c r="Z671" s="943"/>
      <c r="AA671" s="708"/>
      <c r="AB671" s="708"/>
      <c r="AC671" s="708"/>
      <c r="AD671" s="944"/>
      <c r="AE671" s="595"/>
      <c r="AF671" s="595"/>
      <c r="AG671" s="595"/>
      <c r="AH671" s="943"/>
      <c r="AI671" s="708"/>
      <c r="AJ671" s="708"/>
      <c r="AK671" s="708"/>
      <c r="AL671" s="944"/>
      <c r="AM671" s="595"/>
      <c r="AN671" s="595"/>
      <c r="AO671" s="595"/>
    </row>
    <row r="672" spans="1:41" hidden="1">
      <c r="A672" s="764" t="s">
        <v>1055</v>
      </c>
      <c r="B672" s="317"/>
      <c r="C672" s="320">
        <v>105568.06</v>
      </c>
      <c r="D672" s="330"/>
      <c r="E672" s="729">
        <v>105568.06</v>
      </c>
      <c r="F672" s="319"/>
      <c r="G672" s="331"/>
      <c r="H672" s="331"/>
      <c r="I672" s="330"/>
      <c r="J672" s="317"/>
      <c r="K672" s="330"/>
      <c r="L672" s="330"/>
      <c r="M672" s="331"/>
      <c r="N672" s="319"/>
      <c r="O672" s="318">
        <v>105568.06</v>
      </c>
      <c r="P672" s="331"/>
      <c r="Q672" s="739">
        <v>105568.06</v>
      </c>
      <c r="R672" s="317"/>
      <c r="S672" s="330"/>
      <c r="T672" s="330"/>
      <c r="U672" s="331"/>
      <c r="V672" s="319"/>
      <c r="W672" s="331"/>
      <c r="X672" s="331"/>
      <c r="Y672" s="330"/>
      <c r="Z672" s="317"/>
      <c r="AA672" s="330"/>
      <c r="AB672" s="330"/>
      <c r="AC672" s="331"/>
      <c r="AD672" s="319"/>
      <c r="AE672" s="318">
        <v>22873.96</v>
      </c>
      <c r="AF672" s="331"/>
      <c r="AG672" s="739">
        <v>22873.96</v>
      </c>
      <c r="AH672" s="317"/>
      <c r="AI672" s="330"/>
      <c r="AJ672" s="330"/>
      <c r="AK672" s="331"/>
      <c r="AL672" s="319"/>
      <c r="AM672" s="331"/>
      <c r="AN672" s="331"/>
      <c r="AO672" s="330"/>
    </row>
    <row r="673" spans="1:41" hidden="1">
      <c r="A673" s="764" t="s">
        <v>1833</v>
      </c>
      <c r="B673" s="324"/>
      <c r="C673" s="323">
        <v>6395</v>
      </c>
      <c r="D673" s="338"/>
      <c r="E673" s="592">
        <v>6395</v>
      </c>
      <c r="F673" s="322"/>
      <c r="G673" s="339"/>
      <c r="H673" s="339"/>
      <c r="I673" s="338"/>
      <c r="J673" s="324"/>
      <c r="K673" s="338"/>
      <c r="L673" s="338"/>
      <c r="M673" s="339"/>
      <c r="N673" s="322"/>
      <c r="O673" s="339"/>
      <c r="P673" s="339"/>
      <c r="Q673" s="338"/>
      <c r="R673" s="324"/>
      <c r="S673" s="338"/>
      <c r="T673" s="338"/>
      <c r="U673" s="339"/>
      <c r="V673" s="322"/>
      <c r="W673" s="339"/>
      <c r="X673" s="339"/>
      <c r="Y673" s="338"/>
      <c r="Z673" s="324"/>
      <c r="AA673" s="338"/>
      <c r="AB673" s="338"/>
      <c r="AC673" s="339"/>
      <c r="AD673" s="322"/>
      <c r="AE673" s="325">
        <v>6395</v>
      </c>
      <c r="AF673" s="339"/>
      <c r="AG673" s="594">
        <v>6395</v>
      </c>
      <c r="AH673" s="324"/>
      <c r="AI673" s="338"/>
      <c r="AJ673" s="338"/>
      <c r="AK673" s="339"/>
      <c r="AL673" s="322"/>
      <c r="AM673" s="339"/>
      <c r="AN673" s="339"/>
      <c r="AO673" s="338"/>
    </row>
    <row r="674" spans="1:41" hidden="1">
      <c r="A674" s="761" t="s">
        <v>1056</v>
      </c>
      <c r="B674" s="943"/>
      <c r="C674" s="703">
        <v>57929.96</v>
      </c>
      <c r="D674" s="708"/>
      <c r="E674" s="767">
        <v>57929.96</v>
      </c>
      <c r="F674" s="944"/>
      <c r="G674" s="595"/>
      <c r="H674" s="595"/>
      <c r="I674" s="595"/>
      <c r="J674" s="943"/>
      <c r="K674" s="708"/>
      <c r="L674" s="708"/>
      <c r="M674" s="708"/>
      <c r="N674" s="944"/>
      <c r="O674" s="591">
        <v>57929.96</v>
      </c>
      <c r="P674" s="595"/>
      <c r="Q674" s="773">
        <v>57929.96</v>
      </c>
      <c r="R674" s="943"/>
      <c r="S674" s="708"/>
      <c r="T674" s="708"/>
      <c r="U674" s="708"/>
      <c r="V674" s="944"/>
      <c r="W674" s="595"/>
      <c r="X674" s="595"/>
      <c r="Y674" s="595"/>
      <c r="Z674" s="943"/>
      <c r="AA674" s="708"/>
      <c r="AB674" s="708"/>
      <c r="AC674" s="708"/>
      <c r="AD674" s="944"/>
      <c r="AE674" s="595"/>
      <c r="AF674" s="595"/>
      <c r="AG674" s="595"/>
      <c r="AH674" s="943"/>
      <c r="AI674" s="708"/>
      <c r="AJ674" s="708"/>
      <c r="AK674" s="708"/>
      <c r="AL674" s="944"/>
      <c r="AM674" s="595"/>
      <c r="AN674" s="595"/>
      <c r="AO674" s="595"/>
    </row>
    <row r="675" spans="1:41" hidden="1">
      <c r="A675" s="764" t="s">
        <v>1057</v>
      </c>
      <c r="B675" s="317"/>
      <c r="C675" s="320">
        <v>57929.96</v>
      </c>
      <c r="D675" s="330"/>
      <c r="E675" s="729">
        <v>57929.96</v>
      </c>
      <c r="F675" s="319"/>
      <c r="G675" s="331"/>
      <c r="H675" s="331"/>
      <c r="I675" s="330"/>
      <c r="J675" s="317"/>
      <c r="K675" s="330"/>
      <c r="L675" s="330"/>
      <c r="M675" s="331"/>
      <c r="N675" s="319"/>
      <c r="O675" s="318">
        <v>57929.96</v>
      </c>
      <c r="P675" s="331"/>
      <c r="Q675" s="739">
        <v>57929.96</v>
      </c>
      <c r="R675" s="317"/>
      <c r="S675" s="330"/>
      <c r="T675" s="330"/>
      <c r="U675" s="331"/>
      <c r="V675" s="319"/>
      <c r="W675" s="331"/>
      <c r="X675" s="331"/>
      <c r="Y675" s="330"/>
      <c r="Z675" s="317"/>
      <c r="AA675" s="330"/>
      <c r="AB675" s="330"/>
      <c r="AC675" s="331"/>
      <c r="AD675" s="319"/>
      <c r="AE675" s="331"/>
      <c r="AF675" s="331"/>
      <c r="AG675" s="330"/>
      <c r="AH675" s="317"/>
      <c r="AI675" s="330"/>
      <c r="AJ675" s="330"/>
      <c r="AK675" s="331"/>
      <c r="AL675" s="319"/>
      <c r="AM675" s="331"/>
      <c r="AN675" s="331"/>
      <c r="AO675" s="330"/>
    </row>
    <row r="676" spans="1:41" hidden="1">
      <c r="A676" s="761" t="s">
        <v>1059</v>
      </c>
      <c r="B676" s="943"/>
      <c r="C676" s="703">
        <v>811677.14</v>
      </c>
      <c r="D676" s="703">
        <v>264716</v>
      </c>
      <c r="E676" s="767">
        <v>546961.14</v>
      </c>
      <c r="F676" s="944"/>
      <c r="G676" s="595"/>
      <c r="H676" s="595"/>
      <c r="I676" s="595"/>
      <c r="J676" s="943"/>
      <c r="K676" s="708"/>
      <c r="L676" s="708"/>
      <c r="M676" s="708"/>
      <c r="N676" s="944"/>
      <c r="O676" s="591">
        <v>811677.14</v>
      </c>
      <c r="P676" s="591">
        <v>264716</v>
      </c>
      <c r="Q676" s="773">
        <v>546961.14</v>
      </c>
      <c r="R676" s="943"/>
      <c r="S676" s="708"/>
      <c r="T676" s="708"/>
      <c r="U676" s="708"/>
      <c r="V676" s="944"/>
      <c r="W676" s="595"/>
      <c r="X676" s="595"/>
      <c r="Y676" s="595"/>
      <c r="Z676" s="943"/>
      <c r="AA676" s="708"/>
      <c r="AB676" s="708"/>
      <c r="AC676" s="708"/>
      <c r="AD676" s="944"/>
      <c r="AE676" s="595"/>
      <c r="AF676" s="595"/>
      <c r="AG676" s="595"/>
      <c r="AH676" s="943"/>
      <c r="AI676" s="708"/>
      <c r="AJ676" s="708"/>
      <c r="AK676" s="708"/>
      <c r="AL676" s="944"/>
      <c r="AM676" s="595"/>
      <c r="AN676" s="595"/>
      <c r="AO676" s="595"/>
    </row>
    <row r="677" spans="1:41" hidden="1">
      <c r="A677" s="765" t="s">
        <v>1059</v>
      </c>
      <c r="B677" s="317"/>
      <c r="C677" s="320">
        <v>811677.14</v>
      </c>
      <c r="D677" s="320">
        <v>264716</v>
      </c>
      <c r="E677" s="729">
        <v>546961.14</v>
      </c>
      <c r="F677" s="319"/>
      <c r="G677" s="331"/>
      <c r="H677" s="331"/>
      <c r="I677" s="330"/>
      <c r="J677" s="317"/>
      <c r="K677" s="330"/>
      <c r="L677" s="330"/>
      <c r="M677" s="331"/>
      <c r="N677" s="319"/>
      <c r="O677" s="318">
        <v>811677.14</v>
      </c>
      <c r="P677" s="318">
        <v>264716</v>
      </c>
      <c r="Q677" s="739">
        <v>546961.14</v>
      </c>
      <c r="R677" s="317"/>
      <c r="S677" s="330"/>
      <c r="T677" s="330"/>
      <c r="U677" s="331"/>
      <c r="V677" s="319"/>
      <c r="W677" s="331"/>
      <c r="X677" s="331"/>
      <c r="Y677" s="330"/>
      <c r="Z677" s="317"/>
      <c r="AA677" s="330"/>
      <c r="AB677" s="330"/>
      <c r="AC677" s="331"/>
      <c r="AD677" s="319"/>
      <c r="AE677" s="331"/>
      <c r="AF677" s="331"/>
      <c r="AG677" s="330"/>
      <c r="AH677" s="317"/>
      <c r="AI677" s="330"/>
      <c r="AJ677" s="330"/>
      <c r="AK677" s="331"/>
      <c r="AL677" s="319"/>
      <c r="AM677" s="331"/>
      <c r="AN677" s="331"/>
      <c r="AO677" s="330"/>
    </row>
    <row r="678" spans="1:41" hidden="1">
      <c r="A678" s="756" t="s">
        <v>828</v>
      </c>
      <c r="B678" s="322"/>
      <c r="C678" s="325">
        <v>175260.4</v>
      </c>
      <c r="D678" s="339"/>
      <c r="E678" s="594">
        <v>175260.4</v>
      </c>
      <c r="F678" s="324"/>
      <c r="G678" s="338"/>
      <c r="H678" s="338"/>
      <c r="I678" s="339"/>
      <c r="J678" s="322"/>
      <c r="K678" s="339"/>
      <c r="L678" s="339"/>
      <c r="M678" s="338"/>
      <c r="N678" s="324"/>
      <c r="O678" s="323">
        <v>175260.4</v>
      </c>
      <c r="P678" s="338"/>
      <c r="Q678" s="592">
        <v>175260.4</v>
      </c>
      <c r="R678" s="322"/>
      <c r="S678" s="339"/>
      <c r="T678" s="339"/>
      <c r="U678" s="338"/>
      <c r="V678" s="324"/>
      <c r="W678" s="338"/>
      <c r="X678" s="338"/>
      <c r="Y678" s="339"/>
      <c r="Z678" s="322"/>
      <c r="AA678" s="339"/>
      <c r="AB678" s="339"/>
      <c r="AC678" s="338"/>
      <c r="AD678" s="324"/>
      <c r="AE678" s="338"/>
      <c r="AF678" s="338"/>
      <c r="AG678" s="339"/>
      <c r="AH678" s="322"/>
      <c r="AI678" s="339"/>
      <c r="AJ678" s="339"/>
      <c r="AK678" s="338"/>
      <c r="AL678" s="324"/>
      <c r="AM678" s="338"/>
      <c r="AN678" s="338"/>
      <c r="AO678" s="339"/>
    </row>
    <row r="679" spans="1:41" hidden="1">
      <c r="A679" s="756" t="s">
        <v>1060</v>
      </c>
      <c r="B679" s="322"/>
      <c r="C679" s="325">
        <v>20256.87</v>
      </c>
      <c r="D679" s="339"/>
      <c r="E679" s="594">
        <v>20256.87</v>
      </c>
      <c r="F679" s="324"/>
      <c r="G679" s="338"/>
      <c r="H679" s="338"/>
      <c r="I679" s="339"/>
      <c r="J679" s="322"/>
      <c r="K679" s="339"/>
      <c r="L679" s="339"/>
      <c r="M679" s="338"/>
      <c r="N679" s="324"/>
      <c r="O679" s="323">
        <v>20256.87</v>
      </c>
      <c r="P679" s="338"/>
      <c r="Q679" s="592">
        <v>20256.87</v>
      </c>
      <c r="R679" s="322"/>
      <c r="S679" s="339"/>
      <c r="T679" s="339"/>
      <c r="U679" s="338"/>
      <c r="V679" s="324"/>
      <c r="W679" s="338"/>
      <c r="X679" s="338"/>
      <c r="Y679" s="339"/>
      <c r="Z679" s="322"/>
      <c r="AA679" s="339"/>
      <c r="AB679" s="339"/>
      <c r="AC679" s="338"/>
      <c r="AD679" s="324"/>
      <c r="AE679" s="338"/>
      <c r="AF679" s="338"/>
      <c r="AG679" s="339"/>
      <c r="AH679" s="322"/>
      <c r="AI679" s="339"/>
      <c r="AJ679" s="339"/>
      <c r="AK679" s="338"/>
      <c r="AL679" s="324"/>
      <c r="AM679" s="338"/>
      <c r="AN679" s="338"/>
      <c r="AO679" s="339"/>
    </row>
    <row r="680" spans="1:41" hidden="1">
      <c r="A680" s="316" t="s">
        <v>801</v>
      </c>
      <c r="B680" s="944"/>
      <c r="C680" s="591">
        <v>266016.32</v>
      </c>
      <c r="D680" s="591">
        <v>15600</v>
      </c>
      <c r="E680" s="773">
        <v>250416.32</v>
      </c>
      <c r="F680" s="943"/>
      <c r="G680" s="708"/>
      <c r="H680" s="708"/>
      <c r="I680" s="708"/>
      <c r="J680" s="944"/>
      <c r="K680" s="595"/>
      <c r="L680" s="595"/>
      <c r="M680" s="595"/>
      <c r="N680" s="943"/>
      <c r="O680" s="708"/>
      <c r="P680" s="708"/>
      <c r="Q680" s="708"/>
      <c r="R680" s="944"/>
      <c r="S680" s="595"/>
      <c r="T680" s="595"/>
      <c r="U680" s="595"/>
      <c r="V680" s="943"/>
      <c r="W680" s="708"/>
      <c r="X680" s="708"/>
      <c r="Y680" s="708"/>
      <c r="Z680" s="944"/>
      <c r="AA680" s="595"/>
      <c r="AB680" s="595"/>
      <c r="AC680" s="595"/>
      <c r="AD680" s="943"/>
      <c r="AE680" s="703">
        <v>266016.32</v>
      </c>
      <c r="AF680" s="703">
        <v>15600</v>
      </c>
      <c r="AG680" s="767">
        <v>250416.32</v>
      </c>
      <c r="AH680" s="944"/>
      <c r="AI680" s="595"/>
      <c r="AJ680" s="595"/>
      <c r="AK680" s="595"/>
      <c r="AL680" s="943"/>
      <c r="AM680" s="708"/>
      <c r="AN680" s="708"/>
      <c r="AO680" s="708"/>
    </row>
    <row r="681" spans="1:41" hidden="1">
      <c r="A681" s="761" t="s">
        <v>1054</v>
      </c>
      <c r="B681" s="939"/>
      <c r="C681" s="691">
        <v>29268.959999999999</v>
      </c>
      <c r="D681" s="690"/>
      <c r="E681" s="758">
        <v>29268.959999999999</v>
      </c>
      <c r="F681" s="940"/>
      <c r="G681" s="611"/>
      <c r="H681" s="611"/>
      <c r="I681" s="611"/>
      <c r="J681" s="939"/>
      <c r="K681" s="690"/>
      <c r="L681" s="690"/>
      <c r="M681" s="690"/>
      <c r="N681" s="940"/>
      <c r="O681" s="611"/>
      <c r="P681" s="611"/>
      <c r="Q681" s="611"/>
      <c r="R681" s="939"/>
      <c r="S681" s="690"/>
      <c r="T681" s="690"/>
      <c r="U681" s="690"/>
      <c r="V681" s="940"/>
      <c r="W681" s="611"/>
      <c r="X681" s="611"/>
      <c r="Y681" s="611"/>
      <c r="Z681" s="939"/>
      <c r="AA681" s="690"/>
      <c r="AB681" s="690"/>
      <c r="AC681" s="690"/>
      <c r="AD681" s="940"/>
      <c r="AE681" s="587">
        <v>29268.959999999999</v>
      </c>
      <c r="AF681" s="611"/>
      <c r="AG681" s="759">
        <v>29268.959999999999</v>
      </c>
      <c r="AH681" s="939"/>
      <c r="AI681" s="690"/>
      <c r="AJ681" s="690"/>
      <c r="AK681" s="690"/>
      <c r="AL681" s="940"/>
      <c r="AM681" s="611"/>
      <c r="AN681" s="611"/>
      <c r="AO681" s="611"/>
    </row>
    <row r="682" spans="1:41" hidden="1">
      <c r="A682" s="764" t="s">
        <v>1055</v>
      </c>
      <c r="B682" s="317"/>
      <c r="C682" s="320">
        <v>105568.06</v>
      </c>
      <c r="D682" s="330"/>
      <c r="E682" s="729">
        <v>105568.06</v>
      </c>
      <c r="F682" s="319"/>
      <c r="G682" s="331"/>
      <c r="H682" s="331"/>
      <c r="I682" s="330"/>
      <c r="J682" s="317"/>
      <c r="K682" s="330"/>
      <c r="L682" s="330"/>
      <c r="M682" s="331"/>
      <c r="N682" s="319"/>
      <c r="O682" s="318">
        <v>105568.06</v>
      </c>
      <c r="P682" s="331"/>
      <c r="Q682" s="739">
        <v>105568.06</v>
      </c>
      <c r="R682" s="317"/>
      <c r="S682" s="330"/>
      <c r="T682" s="330"/>
      <c r="U682" s="331"/>
      <c r="V682" s="319"/>
      <c r="W682" s="331"/>
      <c r="X682" s="331"/>
      <c r="Y682" s="330"/>
      <c r="Z682" s="317"/>
      <c r="AA682" s="330"/>
      <c r="AB682" s="330"/>
      <c r="AC682" s="331"/>
      <c r="AD682" s="319"/>
      <c r="AE682" s="318">
        <v>22873.96</v>
      </c>
      <c r="AF682" s="331"/>
      <c r="AG682" s="739">
        <v>22873.96</v>
      </c>
      <c r="AH682" s="317"/>
      <c r="AI682" s="330"/>
      <c r="AJ682" s="330"/>
      <c r="AK682" s="331"/>
      <c r="AL682" s="319"/>
      <c r="AM682" s="331"/>
      <c r="AN682" s="331"/>
      <c r="AO682" s="330"/>
    </row>
    <row r="683" spans="1:41" hidden="1">
      <c r="A683" s="764" t="s">
        <v>1833</v>
      </c>
      <c r="B683" s="324"/>
      <c r="C683" s="323">
        <v>6395</v>
      </c>
      <c r="D683" s="338"/>
      <c r="E683" s="592">
        <v>6395</v>
      </c>
      <c r="F683" s="322"/>
      <c r="G683" s="339"/>
      <c r="H683" s="339"/>
      <c r="I683" s="338"/>
      <c r="J683" s="324"/>
      <c r="K683" s="338"/>
      <c r="L683" s="338"/>
      <c r="M683" s="339"/>
      <c r="N683" s="322"/>
      <c r="O683" s="339"/>
      <c r="P683" s="339"/>
      <c r="Q683" s="338"/>
      <c r="R683" s="324"/>
      <c r="S683" s="338"/>
      <c r="T683" s="338"/>
      <c r="U683" s="339"/>
      <c r="V683" s="322"/>
      <c r="W683" s="339"/>
      <c r="X683" s="339"/>
      <c r="Y683" s="338"/>
      <c r="Z683" s="324"/>
      <c r="AA683" s="338"/>
      <c r="AB683" s="338"/>
      <c r="AC683" s="339"/>
      <c r="AD683" s="322"/>
      <c r="AE683" s="325">
        <v>6395</v>
      </c>
      <c r="AF683" s="339"/>
      <c r="AG683" s="594">
        <v>6395</v>
      </c>
      <c r="AH683" s="324"/>
      <c r="AI683" s="338"/>
      <c r="AJ683" s="338"/>
      <c r="AK683" s="339"/>
      <c r="AL683" s="322"/>
      <c r="AM683" s="339"/>
      <c r="AN683" s="339"/>
      <c r="AO683" s="338"/>
    </row>
    <row r="684" spans="1:41" hidden="1">
      <c r="A684" s="757" t="s">
        <v>601</v>
      </c>
      <c r="B684" s="322"/>
      <c r="C684" s="325">
        <v>99247.360000000001</v>
      </c>
      <c r="D684" s="339"/>
      <c r="E684" s="594">
        <v>99247.360000000001</v>
      </c>
      <c r="F684" s="324"/>
      <c r="G684" s="338"/>
      <c r="H684" s="338"/>
      <c r="I684" s="339"/>
      <c r="J684" s="322"/>
      <c r="K684" s="339"/>
      <c r="L684" s="339"/>
      <c r="M684" s="338"/>
      <c r="N684" s="324"/>
      <c r="O684" s="338"/>
      <c r="P684" s="338"/>
      <c r="Q684" s="339"/>
      <c r="R684" s="322"/>
      <c r="S684" s="339"/>
      <c r="T684" s="339"/>
      <c r="U684" s="338"/>
      <c r="V684" s="324"/>
      <c r="W684" s="338"/>
      <c r="X684" s="338"/>
      <c r="Y684" s="339"/>
      <c r="Z684" s="322"/>
      <c r="AA684" s="339"/>
      <c r="AB684" s="339"/>
      <c r="AC684" s="338"/>
      <c r="AD684" s="324"/>
      <c r="AE684" s="323">
        <v>99247.360000000001</v>
      </c>
      <c r="AF684" s="338"/>
      <c r="AG684" s="592">
        <v>99247.360000000001</v>
      </c>
      <c r="AH684" s="322"/>
      <c r="AI684" s="339"/>
      <c r="AJ684" s="339"/>
      <c r="AK684" s="338"/>
      <c r="AL684" s="324"/>
      <c r="AM684" s="338"/>
      <c r="AN684" s="338"/>
      <c r="AO684" s="339"/>
    </row>
    <row r="685" spans="1:41" hidden="1">
      <c r="A685" s="757" t="s">
        <v>833</v>
      </c>
      <c r="B685" s="322"/>
      <c r="C685" s="325">
        <v>67300</v>
      </c>
      <c r="D685" s="339"/>
      <c r="E685" s="594">
        <v>67300</v>
      </c>
      <c r="F685" s="324"/>
      <c r="G685" s="338"/>
      <c r="H685" s="338"/>
      <c r="I685" s="339"/>
      <c r="J685" s="322"/>
      <c r="K685" s="339"/>
      <c r="L685" s="339"/>
      <c r="M685" s="338"/>
      <c r="N685" s="324"/>
      <c r="O685" s="338"/>
      <c r="P685" s="338"/>
      <c r="Q685" s="339"/>
      <c r="R685" s="322"/>
      <c r="S685" s="339"/>
      <c r="T685" s="339"/>
      <c r="U685" s="338"/>
      <c r="V685" s="324"/>
      <c r="W685" s="338"/>
      <c r="X685" s="338"/>
      <c r="Y685" s="339"/>
      <c r="Z685" s="322"/>
      <c r="AA685" s="339"/>
      <c r="AB685" s="339"/>
      <c r="AC685" s="338"/>
      <c r="AD685" s="324"/>
      <c r="AE685" s="323">
        <v>67300</v>
      </c>
      <c r="AF685" s="338"/>
      <c r="AG685" s="592">
        <v>67300</v>
      </c>
      <c r="AH685" s="322"/>
      <c r="AI685" s="339"/>
      <c r="AJ685" s="339"/>
      <c r="AK685" s="338"/>
      <c r="AL685" s="324"/>
      <c r="AM685" s="338"/>
      <c r="AN685" s="338"/>
      <c r="AO685" s="339"/>
    </row>
    <row r="686" spans="1:41" hidden="1">
      <c r="A686" s="757" t="s">
        <v>1834</v>
      </c>
      <c r="B686" s="322"/>
      <c r="C686" s="325">
        <v>70200</v>
      </c>
      <c r="D686" s="325">
        <v>15600</v>
      </c>
      <c r="E686" s="594">
        <v>54600</v>
      </c>
      <c r="F686" s="324"/>
      <c r="G686" s="338"/>
      <c r="H686" s="338"/>
      <c r="I686" s="339"/>
      <c r="J686" s="322"/>
      <c r="K686" s="339"/>
      <c r="L686" s="339"/>
      <c r="M686" s="338"/>
      <c r="N686" s="324"/>
      <c r="O686" s="338"/>
      <c r="P686" s="338"/>
      <c r="Q686" s="339"/>
      <c r="R686" s="322"/>
      <c r="S686" s="339"/>
      <c r="T686" s="339"/>
      <c r="U686" s="338"/>
      <c r="V686" s="324"/>
      <c r="W686" s="338"/>
      <c r="X686" s="338"/>
      <c r="Y686" s="339"/>
      <c r="Z686" s="322"/>
      <c r="AA686" s="339"/>
      <c r="AB686" s="339"/>
      <c r="AC686" s="338"/>
      <c r="AD686" s="324"/>
      <c r="AE686" s="323">
        <v>70200</v>
      </c>
      <c r="AF686" s="323">
        <v>15600</v>
      </c>
      <c r="AG686" s="592">
        <v>54600</v>
      </c>
      <c r="AH686" s="322"/>
      <c r="AI686" s="339"/>
      <c r="AJ686" s="339"/>
      <c r="AK686" s="338"/>
      <c r="AL686" s="324"/>
      <c r="AM686" s="338"/>
      <c r="AN686" s="338"/>
      <c r="AO686" s="339"/>
    </row>
    <row r="687" spans="1:41" hidden="1">
      <c r="A687" s="316" t="s">
        <v>802</v>
      </c>
      <c r="B687" s="944"/>
      <c r="C687" s="591">
        <v>357480</v>
      </c>
      <c r="D687" s="595"/>
      <c r="E687" s="773">
        <v>357480</v>
      </c>
      <c r="F687" s="943"/>
      <c r="G687" s="708"/>
      <c r="H687" s="708"/>
      <c r="I687" s="708"/>
      <c r="J687" s="944"/>
      <c r="K687" s="595"/>
      <c r="L687" s="595"/>
      <c r="M687" s="595"/>
      <c r="N687" s="943"/>
      <c r="O687" s="708"/>
      <c r="P687" s="708"/>
      <c r="Q687" s="708"/>
      <c r="R687" s="944"/>
      <c r="S687" s="591">
        <v>7000</v>
      </c>
      <c r="T687" s="595"/>
      <c r="U687" s="773">
        <v>7000</v>
      </c>
      <c r="V687" s="943"/>
      <c r="W687" s="708"/>
      <c r="X687" s="708"/>
      <c r="Y687" s="708"/>
      <c r="Z687" s="944"/>
      <c r="AA687" s="595"/>
      <c r="AB687" s="595"/>
      <c r="AC687" s="595"/>
      <c r="AD687" s="943"/>
      <c r="AE687" s="708"/>
      <c r="AF687" s="708"/>
      <c r="AG687" s="708"/>
      <c r="AH687" s="944"/>
      <c r="AI687" s="595"/>
      <c r="AJ687" s="595"/>
      <c r="AK687" s="595"/>
      <c r="AL687" s="943"/>
      <c r="AM687" s="702">
        <v>350480</v>
      </c>
      <c r="AN687" s="708"/>
      <c r="AO687" s="967">
        <v>350480</v>
      </c>
    </row>
    <row r="688" spans="1:41" hidden="1">
      <c r="A688" s="757" t="s">
        <v>1835</v>
      </c>
      <c r="B688" s="319"/>
      <c r="C688" s="318">
        <v>357480</v>
      </c>
      <c r="D688" s="331"/>
      <c r="E688" s="739">
        <v>357480</v>
      </c>
      <c r="F688" s="317"/>
      <c r="G688" s="330"/>
      <c r="H688" s="330"/>
      <c r="I688" s="331"/>
      <c r="J688" s="319"/>
      <c r="K688" s="331"/>
      <c r="L688" s="331"/>
      <c r="M688" s="330"/>
      <c r="N688" s="317"/>
      <c r="O688" s="330"/>
      <c r="P688" s="330"/>
      <c r="Q688" s="331"/>
      <c r="R688" s="319"/>
      <c r="S688" s="318">
        <v>7000</v>
      </c>
      <c r="T688" s="331"/>
      <c r="U688" s="739">
        <v>7000</v>
      </c>
      <c r="V688" s="317"/>
      <c r="W688" s="330"/>
      <c r="X688" s="330"/>
      <c r="Y688" s="331"/>
      <c r="Z688" s="319"/>
      <c r="AA688" s="331"/>
      <c r="AB688" s="331"/>
      <c r="AC688" s="330"/>
      <c r="AD688" s="317"/>
      <c r="AE688" s="330"/>
      <c r="AF688" s="330"/>
      <c r="AG688" s="331"/>
      <c r="AH688" s="319"/>
      <c r="AI688" s="331"/>
      <c r="AJ688" s="331"/>
      <c r="AK688" s="330"/>
      <c r="AL688" s="317"/>
      <c r="AM688" s="723">
        <v>350480</v>
      </c>
      <c r="AN688" s="330"/>
      <c r="AO688" s="727">
        <v>350480</v>
      </c>
    </row>
    <row r="689" spans="1:41" hidden="1">
      <c r="A689" s="316" t="s">
        <v>803</v>
      </c>
      <c r="B689" s="944"/>
      <c r="C689" s="591">
        <v>14550</v>
      </c>
      <c r="D689" s="595"/>
      <c r="E689" s="773">
        <v>14550</v>
      </c>
      <c r="F689" s="943"/>
      <c r="G689" s="708"/>
      <c r="H689" s="708"/>
      <c r="I689" s="708"/>
      <c r="J689" s="944"/>
      <c r="K689" s="595"/>
      <c r="L689" s="595"/>
      <c r="M689" s="595"/>
      <c r="N689" s="943"/>
      <c r="O689" s="708"/>
      <c r="P689" s="708"/>
      <c r="Q689" s="708"/>
      <c r="R689" s="944"/>
      <c r="S689" s="595"/>
      <c r="T689" s="595"/>
      <c r="U689" s="595"/>
      <c r="V689" s="943"/>
      <c r="W689" s="708"/>
      <c r="X689" s="708"/>
      <c r="Y689" s="708"/>
      <c r="Z689" s="944"/>
      <c r="AA689" s="595"/>
      <c r="AB689" s="595"/>
      <c r="AC689" s="595"/>
      <c r="AD689" s="943"/>
      <c r="AE689" s="703">
        <v>14550</v>
      </c>
      <c r="AF689" s="708"/>
      <c r="AG689" s="767">
        <v>14550</v>
      </c>
      <c r="AH689" s="944"/>
      <c r="AI689" s="595"/>
      <c r="AJ689" s="595"/>
      <c r="AK689" s="595"/>
      <c r="AL689" s="943"/>
      <c r="AM689" s="708"/>
      <c r="AN689" s="708"/>
      <c r="AO689" s="708"/>
    </row>
    <row r="690" spans="1:41" hidden="1">
      <c r="A690" s="756" t="s">
        <v>802</v>
      </c>
      <c r="B690" s="319"/>
      <c r="C690" s="318">
        <v>14550</v>
      </c>
      <c r="D690" s="331"/>
      <c r="E690" s="739">
        <v>14550</v>
      </c>
      <c r="F690" s="317"/>
      <c r="G690" s="330"/>
      <c r="H690" s="330"/>
      <c r="I690" s="331"/>
      <c r="J690" s="319"/>
      <c r="K690" s="331"/>
      <c r="L690" s="331"/>
      <c r="M690" s="330"/>
      <c r="N690" s="317"/>
      <c r="O690" s="330"/>
      <c r="P690" s="330"/>
      <c r="Q690" s="331"/>
      <c r="R690" s="319"/>
      <c r="S690" s="331"/>
      <c r="T690" s="331"/>
      <c r="U690" s="330"/>
      <c r="V690" s="317"/>
      <c r="W690" s="330"/>
      <c r="X690" s="330"/>
      <c r="Y690" s="331"/>
      <c r="Z690" s="319"/>
      <c r="AA690" s="331"/>
      <c r="AB690" s="331"/>
      <c r="AC690" s="330"/>
      <c r="AD690" s="317"/>
      <c r="AE690" s="320">
        <v>14550</v>
      </c>
      <c r="AF690" s="330"/>
      <c r="AG690" s="729">
        <v>14550</v>
      </c>
      <c r="AH690" s="319"/>
      <c r="AI690" s="331"/>
      <c r="AJ690" s="331"/>
      <c r="AK690" s="330"/>
      <c r="AL690" s="317"/>
      <c r="AM690" s="330"/>
      <c r="AN690" s="330"/>
      <c r="AO690" s="331"/>
    </row>
    <row r="691" spans="1:41" hidden="1">
      <c r="A691" s="757" t="s">
        <v>1053</v>
      </c>
      <c r="B691" s="322"/>
      <c r="C691" s="325">
        <v>247028</v>
      </c>
      <c r="D691" s="325">
        <v>25000</v>
      </c>
      <c r="E691" s="594">
        <v>222028</v>
      </c>
      <c r="F691" s="324"/>
      <c r="G691" s="338"/>
      <c r="H691" s="338"/>
      <c r="I691" s="339"/>
      <c r="J691" s="322"/>
      <c r="K691" s="339"/>
      <c r="L691" s="339"/>
      <c r="M691" s="338"/>
      <c r="N691" s="324"/>
      <c r="O691" s="323">
        <v>247028</v>
      </c>
      <c r="P691" s="323">
        <v>25000</v>
      </c>
      <c r="Q691" s="592">
        <v>222028</v>
      </c>
      <c r="R691" s="322"/>
      <c r="S691" s="339"/>
      <c r="T691" s="339"/>
      <c r="U691" s="338"/>
      <c r="V691" s="324"/>
      <c r="W691" s="338"/>
      <c r="X691" s="338"/>
      <c r="Y691" s="339"/>
      <c r="Z691" s="322"/>
      <c r="AA691" s="339"/>
      <c r="AB691" s="339"/>
      <c r="AC691" s="338"/>
      <c r="AD691" s="324"/>
      <c r="AE691" s="338"/>
      <c r="AF691" s="338"/>
      <c r="AG691" s="339"/>
      <c r="AH691" s="322"/>
      <c r="AI691" s="339"/>
      <c r="AJ691" s="339"/>
      <c r="AK691" s="338"/>
      <c r="AL691" s="324"/>
      <c r="AM691" s="338"/>
      <c r="AN691" s="338"/>
      <c r="AO691" s="339"/>
    </row>
    <row r="692" spans="1:41" hidden="1">
      <c r="A692" s="316" t="s">
        <v>600</v>
      </c>
      <c r="B692" s="944"/>
      <c r="C692" s="591">
        <v>5804699.2000000002</v>
      </c>
      <c r="D692" s="591">
        <v>141174</v>
      </c>
      <c r="E692" s="773">
        <v>3432919.5</v>
      </c>
      <c r="F692" s="943"/>
      <c r="G692" s="703">
        <v>105900</v>
      </c>
      <c r="H692" s="708"/>
      <c r="I692" s="767">
        <v>105900</v>
      </c>
      <c r="J692" s="944"/>
      <c r="K692" s="591">
        <v>20833.5</v>
      </c>
      <c r="L692" s="595"/>
      <c r="M692" s="773">
        <v>20833.5</v>
      </c>
      <c r="N692" s="943"/>
      <c r="O692" s="703">
        <v>468035.69</v>
      </c>
      <c r="P692" s="703">
        <v>141174</v>
      </c>
      <c r="Q692" s="767">
        <v>326861.69</v>
      </c>
      <c r="R692" s="944"/>
      <c r="S692" s="591">
        <v>808883</v>
      </c>
      <c r="T692" s="595"/>
      <c r="U692" s="773">
        <v>808883</v>
      </c>
      <c r="V692" s="943"/>
      <c r="W692" s="703">
        <v>989262</v>
      </c>
      <c r="X692" s="703">
        <v>554804</v>
      </c>
      <c r="Y692" s="767">
        <v>434458</v>
      </c>
      <c r="Z692" s="944"/>
      <c r="AA692" s="591">
        <v>222527.5</v>
      </c>
      <c r="AB692" s="591">
        <v>16800</v>
      </c>
      <c r="AC692" s="773">
        <v>205727.5</v>
      </c>
      <c r="AD692" s="943"/>
      <c r="AE692" s="708"/>
      <c r="AF692" s="708"/>
      <c r="AG692" s="708"/>
      <c r="AH692" s="944"/>
      <c r="AI692" s="595"/>
      <c r="AJ692" s="595"/>
      <c r="AK692" s="595"/>
      <c r="AL692" s="943"/>
      <c r="AM692" s="702">
        <v>3657293.2</v>
      </c>
      <c r="AN692" s="702">
        <v>1800175.7</v>
      </c>
      <c r="AO692" s="967">
        <v>1857117.5</v>
      </c>
    </row>
    <row r="693" spans="1:41" hidden="1">
      <c r="A693" s="756" t="s">
        <v>600</v>
      </c>
      <c r="B693" s="319"/>
      <c r="C693" s="318">
        <v>2285328</v>
      </c>
      <c r="D693" s="318">
        <v>1437499</v>
      </c>
      <c r="E693" s="739">
        <v>847829</v>
      </c>
      <c r="F693" s="317"/>
      <c r="G693" s="330"/>
      <c r="H693" s="330"/>
      <c r="I693" s="331"/>
      <c r="J693" s="319"/>
      <c r="K693" s="318">
        <v>20833.5</v>
      </c>
      <c r="L693" s="331"/>
      <c r="M693" s="739">
        <v>20833.5</v>
      </c>
      <c r="N693" s="317"/>
      <c r="O693" s="320">
        <v>253824</v>
      </c>
      <c r="P693" s="330"/>
      <c r="Q693" s="729">
        <v>253824</v>
      </c>
      <c r="R693" s="319"/>
      <c r="S693" s="318">
        <v>358324</v>
      </c>
      <c r="T693" s="331"/>
      <c r="U693" s="739">
        <v>358324</v>
      </c>
      <c r="V693" s="317"/>
      <c r="W693" s="330"/>
      <c r="X693" s="330"/>
      <c r="Y693" s="331"/>
      <c r="Z693" s="319"/>
      <c r="AA693" s="318">
        <v>201827.5</v>
      </c>
      <c r="AB693" s="318">
        <v>7800</v>
      </c>
      <c r="AC693" s="739">
        <v>194027.5</v>
      </c>
      <c r="AD693" s="317"/>
      <c r="AE693" s="330"/>
      <c r="AF693" s="330"/>
      <c r="AG693" s="331"/>
      <c r="AH693" s="319"/>
      <c r="AI693" s="331"/>
      <c r="AJ693" s="331"/>
      <c r="AK693" s="330"/>
      <c r="AL693" s="317"/>
      <c r="AM693" s="723">
        <v>1704343</v>
      </c>
      <c r="AN693" s="723">
        <v>1429699</v>
      </c>
      <c r="AO693" s="727">
        <v>274644</v>
      </c>
    </row>
    <row r="694" spans="1:41" hidden="1">
      <c r="A694" s="756" t="s">
        <v>1836</v>
      </c>
      <c r="B694" s="322"/>
      <c r="C694" s="325">
        <v>3272171.2</v>
      </c>
      <c r="D694" s="325">
        <v>764180.7</v>
      </c>
      <c r="E694" s="594">
        <v>2507990.5</v>
      </c>
      <c r="F694" s="324"/>
      <c r="G694" s="323">
        <v>105900</v>
      </c>
      <c r="H694" s="338"/>
      <c r="I694" s="592">
        <v>105900</v>
      </c>
      <c r="J694" s="322"/>
      <c r="K694" s="339"/>
      <c r="L694" s="339"/>
      <c r="M694" s="338"/>
      <c r="N694" s="324"/>
      <c r="O694" s="338"/>
      <c r="P694" s="338"/>
      <c r="Q694" s="339"/>
      <c r="R694" s="322"/>
      <c r="S694" s="325">
        <v>450559</v>
      </c>
      <c r="T694" s="339"/>
      <c r="U694" s="594">
        <v>450559</v>
      </c>
      <c r="V694" s="324"/>
      <c r="W694" s="323">
        <v>762762</v>
      </c>
      <c r="X694" s="323">
        <v>393704</v>
      </c>
      <c r="Y694" s="592">
        <v>369058</v>
      </c>
      <c r="Z694" s="322"/>
      <c r="AA694" s="339"/>
      <c r="AB694" s="339"/>
      <c r="AC694" s="338"/>
      <c r="AD694" s="324"/>
      <c r="AE694" s="338"/>
      <c r="AF694" s="338"/>
      <c r="AG694" s="339"/>
      <c r="AH694" s="322"/>
      <c r="AI694" s="339"/>
      <c r="AJ694" s="339"/>
      <c r="AK694" s="338"/>
      <c r="AL694" s="324"/>
      <c r="AM694" s="711">
        <v>1952950.2</v>
      </c>
      <c r="AN694" s="711">
        <v>370476.7</v>
      </c>
      <c r="AO694" s="737">
        <v>1582473.5</v>
      </c>
    </row>
    <row r="695" spans="1:41" hidden="1">
      <c r="A695" s="757" t="s">
        <v>1837</v>
      </c>
      <c r="B695" s="322"/>
      <c r="C695" s="325">
        <v>214211.69</v>
      </c>
      <c r="D695" s="325">
        <v>141174</v>
      </c>
      <c r="E695" s="594">
        <v>73037.69</v>
      </c>
      <c r="F695" s="324"/>
      <c r="G695" s="338"/>
      <c r="H695" s="338"/>
      <c r="I695" s="339"/>
      <c r="J695" s="322"/>
      <c r="K695" s="339"/>
      <c r="L695" s="339"/>
      <c r="M695" s="338"/>
      <c r="N695" s="324"/>
      <c r="O695" s="323">
        <v>214211.69</v>
      </c>
      <c r="P695" s="323">
        <v>141174</v>
      </c>
      <c r="Q695" s="592">
        <v>73037.69</v>
      </c>
      <c r="R695" s="322"/>
      <c r="S695" s="339"/>
      <c r="T695" s="339"/>
      <c r="U695" s="338"/>
      <c r="V695" s="324"/>
      <c r="W695" s="323">
        <v>226500</v>
      </c>
      <c r="X695" s="323">
        <v>161100</v>
      </c>
      <c r="Y695" s="592">
        <v>65400</v>
      </c>
      <c r="Z695" s="322"/>
      <c r="AA695" s="325">
        <v>20700</v>
      </c>
      <c r="AB695" s="325">
        <v>9000</v>
      </c>
      <c r="AC695" s="594">
        <v>11700</v>
      </c>
      <c r="AD695" s="324"/>
      <c r="AE695" s="338"/>
      <c r="AF695" s="338"/>
      <c r="AG695" s="339"/>
      <c r="AH695" s="322"/>
      <c r="AI695" s="339"/>
      <c r="AJ695" s="339"/>
      <c r="AK695" s="338"/>
      <c r="AL695" s="324"/>
      <c r="AM695" s="338"/>
      <c r="AN695" s="338"/>
      <c r="AO695" s="339"/>
    </row>
    <row r="696" spans="1:41" hidden="1">
      <c r="A696" s="316" t="s">
        <v>804</v>
      </c>
      <c r="B696" s="944"/>
      <c r="C696" s="591">
        <v>33704.94</v>
      </c>
      <c r="D696" s="591">
        <v>3847</v>
      </c>
      <c r="E696" s="773">
        <v>29857.94</v>
      </c>
      <c r="F696" s="943"/>
      <c r="G696" s="708"/>
      <c r="H696" s="708"/>
      <c r="I696" s="708"/>
      <c r="J696" s="944"/>
      <c r="K696" s="595"/>
      <c r="L696" s="595"/>
      <c r="M696" s="595"/>
      <c r="N696" s="943"/>
      <c r="O696" s="708"/>
      <c r="P696" s="708"/>
      <c r="Q696" s="708"/>
      <c r="R696" s="944"/>
      <c r="S696" s="595"/>
      <c r="T696" s="595"/>
      <c r="U696" s="595"/>
      <c r="V696" s="943"/>
      <c r="W696" s="708"/>
      <c r="X696" s="708"/>
      <c r="Y696" s="708"/>
      <c r="Z696" s="944"/>
      <c r="AA696" s="595"/>
      <c r="AB696" s="595"/>
      <c r="AC696" s="595"/>
      <c r="AD696" s="943"/>
      <c r="AE696" s="703">
        <v>33704.94</v>
      </c>
      <c r="AF696" s="703">
        <v>3847</v>
      </c>
      <c r="AG696" s="767">
        <v>29857.94</v>
      </c>
      <c r="AH696" s="944"/>
      <c r="AI696" s="595"/>
      <c r="AJ696" s="595"/>
      <c r="AK696" s="595"/>
      <c r="AL696" s="943"/>
      <c r="AM696" s="708"/>
      <c r="AN696" s="708"/>
      <c r="AO696" s="708"/>
    </row>
    <row r="697" spans="1:41" hidden="1">
      <c r="A697" s="757" t="s">
        <v>1406</v>
      </c>
      <c r="B697" s="319"/>
      <c r="C697" s="318">
        <v>18819.939999999999</v>
      </c>
      <c r="D697" s="331"/>
      <c r="E697" s="739">
        <v>18819.939999999999</v>
      </c>
      <c r="F697" s="317"/>
      <c r="G697" s="330"/>
      <c r="H697" s="330"/>
      <c r="I697" s="331"/>
      <c r="J697" s="319"/>
      <c r="K697" s="331"/>
      <c r="L697" s="331"/>
      <c r="M697" s="330"/>
      <c r="N697" s="317"/>
      <c r="O697" s="330"/>
      <c r="P697" s="330"/>
      <c r="Q697" s="331"/>
      <c r="R697" s="319"/>
      <c r="S697" s="331"/>
      <c r="T697" s="331"/>
      <c r="U697" s="330"/>
      <c r="V697" s="317"/>
      <c r="W697" s="330"/>
      <c r="X697" s="330"/>
      <c r="Y697" s="331"/>
      <c r="Z697" s="319"/>
      <c r="AA697" s="331"/>
      <c r="AB697" s="331"/>
      <c r="AC697" s="330"/>
      <c r="AD697" s="317"/>
      <c r="AE697" s="320">
        <v>18819.939999999999</v>
      </c>
      <c r="AF697" s="330"/>
      <c r="AG697" s="729">
        <v>18819.939999999999</v>
      </c>
      <c r="AH697" s="319"/>
      <c r="AI697" s="331"/>
      <c r="AJ697" s="331"/>
      <c r="AK697" s="330"/>
      <c r="AL697" s="317"/>
      <c r="AM697" s="330"/>
      <c r="AN697" s="330"/>
      <c r="AO697" s="331"/>
    </row>
    <row r="698" spans="1:41" hidden="1">
      <c r="A698" s="756" t="s">
        <v>1838</v>
      </c>
      <c r="B698" s="322"/>
      <c r="C698" s="325">
        <v>12997</v>
      </c>
      <c r="D698" s="325">
        <v>2947</v>
      </c>
      <c r="E698" s="594">
        <v>10050</v>
      </c>
      <c r="F698" s="324"/>
      <c r="G698" s="338"/>
      <c r="H698" s="338"/>
      <c r="I698" s="339"/>
      <c r="J698" s="322"/>
      <c r="K698" s="339"/>
      <c r="L698" s="339"/>
      <c r="M698" s="338"/>
      <c r="N698" s="324"/>
      <c r="O698" s="338"/>
      <c r="P698" s="338"/>
      <c r="Q698" s="339"/>
      <c r="R698" s="322"/>
      <c r="S698" s="339"/>
      <c r="T698" s="339"/>
      <c r="U698" s="338"/>
      <c r="V698" s="324"/>
      <c r="W698" s="338"/>
      <c r="X698" s="338"/>
      <c r="Y698" s="339"/>
      <c r="Z698" s="322"/>
      <c r="AA698" s="339"/>
      <c r="AB698" s="339"/>
      <c r="AC698" s="338"/>
      <c r="AD698" s="324"/>
      <c r="AE698" s="323">
        <v>12997</v>
      </c>
      <c r="AF698" s="323">
        <v>2947</v>
      </c>
      <c r="AG698" s="592">
        <v>10050</v>
      </c>
      <c r="AH698" s="322"/>
      <c r="AI698" s="339"/>
      <c r="AJ698" s="339"/>
      <c r="AK698" s="338"/>
      <c r="AL698" s="324"/>
      <c r="AM698" s="338"/>
      <c r="AN698" s="338"/>
      <c r="AO698" s="339"/>
    </row>
    <row r="699" spans="1:41" hidden="1">
      <c r="A699" s="757" t="s">
        <v>1839</v>
      </c>
      <c r="B699" s="322"/>
      <c r="C699" s="325">
        <v>1888</v>
      </c>
      <c r="D699" s="325">
        <v>900</v>
      </c>
      <c r="E699" s="594">
        <v>988</v>
      </c>
      <c r="F699" s="324"/>
      <c r="G699" s="338"/>
      <c r="H699" s="338"/>
      <c r="I699" s="339"/>
      <c r="J699" s="322"/>
      <c r="K699" s="339"/>
      <c r="L699" s="339"/>
      <c r="M699" s="338"/>
      <c r="N699" s="324"/>
      <c r="O699" s="338"/>
      <c r="P699" s="338"/>
      <c r="Q699" s="339"/>
      <c r="R699" s="322"/>
      <c r="S699" s="339"/>
      <c r="T699" s="339"/>
      <c r="U699" s="338"/>
      <c r="V699" s="324"/>
      <c r="W699" s="338"/>
      <c r="X699" s="338"/>
      <c r="Y699" s="339"/>
      <c r="Z699" s="322"/>
      <c r="AA699" s="339"/>
      <c r="AB699" s="339"/>
      <c r="AC699" s="338"/>
      <c r="AD699" s="324"/>
      <c r="AE699" s="323">
        <v>1888</v>
      </c>
      <c r="AF699" s="323">
        <v>900</v>
      </c>
      <c r="AG699" s="592">
        <v>988</v>
      </c>
      <c r="AH699" s="322"/>
      <c r="AI699" s="339"/>
      <c r="AJ699" s="339"/>
      <c r="AK699" s="338"/>
      <c r="AL699" s="324"/>
      <c r="AM699" s="338"/>
      <c r="AN699" s="338"/>
      <c r="AO699" s="339"/>
    </row>
    <row r="700" spans="1:41" hidden="1">
      <c r="A700" s="316" t="s">
        <v>805</v>
      </c>
      <c r="B700" s="944"/>
      <c r="C700" s="591">
        <v>68160.639999999999</v>
      </c>
      <c r="D700" s="706">
        <v>34991</v>
      </c>
      <c r="E700" s="773">
        <v>33169.64</v>
      </c>
      <c r="F700" s="943"/>
      <c r="G700" s="708"/>
      <c r="H700" s="708"/>
      <c r="I700" s="708"/>
      <c r="J700" s="944"/>
      <c r="K700" s="595"/>
      <c r="L700" s="595"/>
      <c r="M700" s="595"/>
      <c r="N700" s="943"/>
      <c r="O700" s="708"/>
      <c r="P700" s="708"/>
      <c r="Q700" s="708"/>
      <c r="R700" s="944"/>
      <c r="S700" s="591">
        <v>4034</v>
      </c>
      <c r="T700" s="595"/>
      <c r="U700" s="773">
        <v>4034</v>
      </c>
      <c r="V700" s="943"/>
      <c r="W700" s="708"/>
      <c r="X700" s="708"/>
      <c r="Y700" s="708"/>
      <c r="Z700" s="944"/>
      <c r="AA700" s="595"/>
      <c r="AB700" s="595"/>
      <c r="AC700" s="595"/>
      <c r="AD700" s="943"/>
      <c r="AE700" s="708"/>
      <c r="AF700" s="708"/>
      <c r="AG700" s="708"/>
      <c r="AH700" s="944"/>
      <c r="AI700" s="595"/>
      <c r="AJ700" s="595"/>
      <c r="AK700" s="595"/>
      <c r="AL700" s="943"/>
      <c r="AM700" s="702">
        <v>64126.64</v>
      </c>
      <c r="AN700" s="702">
        <v>34991</v>
      </c>
      <c r="AO700" s="967">
        <v>29135.64</v>
      </c>
    </row>
    <row r="701" spans="1:41" hidden="1">
      <c r="A701" s="757" t="s">
        <v>1840</v>
      </c>
      <c r="B701" s="319"/>
      <c r="C701" s="726">
        <v>26256.639999999999</v>
      </c>
      <c r="D701" s="726">
        <v>14150</v>
      </c>
      <c r="E701" s="724">
        <v>12106.64</v>
      </c>
      <c r="F701" s="317"/>
      <c r="G701" s="330"/>
      <c r="H701" s="330"/>
      <c r="I701" s="331"/>
      <c r="J701" s="319"/>
      <c r="K701" s="331"/>
      <c r="L701" s="331"/>
      <c r="M701" s="330"/>
      <c r="N701" s="317"/>
      <c r="O701" s="330"/>
      <c r="P701" s="330"/>
      <c r="Q701" s="331"/>
      <c r="R701" s="319"/>
      <c r="S701" s="331"/>
      <c r="T701" s="331"/>
      <c r="U701" s="330"/>
      <c r="V701" s="317"/>
      <c r="W701" s="330"/>
      <c r="X701" s="330"/>
      <c r="Y701" s="331"/>
      <c r="Z701" s="319"/>
      <c r="AA701" s="331"/>
      <c r="AB701" s="331"/>
      <c r="AC701" s="330"/>
      <c r="AD701" s="317"/>
      <c r="AE701" s="330"/>
      <c r="AF701" s="330"/>
      <c r="AG701" s="331"/>
      <c r="AH701" s="319"/>
      <c r="AI701" s="331"/>
      <c r="AJ701" s="331"/>
      <c r="AK701" s="330"/>
      <c r="AL701" s="317"/>
      <c r="AM701" s="723">
        <v>26256.639999999999</v>
      </c>
      <c r="AN701" s="723">
        <v>14150</v>
      </c>
      <c r="AO701" s="727">
        <v>12106.64</v>
      </c>
    </row>
    <row r="702" spans="1:41" hidden="1">
      <c r="A702" s="757" t="s">
        <v>1841</v>
      </c>
      <c r="B702" s="322"/>
      <c r="C702" s="325">
        <v>40031</v>
      </c>
      <c r="D702" s="714">
        <v>20841</v>
      </c>
      <c r="E702" s="594">
        <v>19190</v>
      </c>
      <c r="F702" s="324"/>
      <c r="G702" s="338"/>
      <c r="H702" s="338"/>
      <c r="I702" s="339"/>
      <c r="J702" s="322"/>
      <c r="K702" s="339"/>
      <c r="L702" s="339"/>
      <c r="M702" s="338"/>
      <c r="N702" s="324"/>
      <c r="O702" s="338"/>
      <c r="P702" s="338"/>
      <c r="Q702" s="339"/>
      <c r="R702" s="322"/>
      <c r="S702" s="325">
        <v>4034</v>
      </c>
      <c r="T702" s="339"/>
      <c r="U702" s="594">
        <v>4034</v>
      </c>
      <c r="V702" s="324"/>
      <c r="W702" s="338"/>
      <c r="X702" s="338"/>
      <c r="Y702" s="339"/>
      <c r="Z702" s="322"/>
      <c r="AA702" s="339"/>
      <c r="AB702" s="339"/>
      <c r="AC702" s="338"/>
      <c r="AD702" s="324"/>
      <c r="AE702" s="338"/>
      <c r="AF702" s="338"/>
      <c r="AG702" s="339"/>
      <c r="AH702" s="322"/>
      <c r="AI702" s="339"/>
      <c r="AJ702" s="339"/>
      <c r="AK702" s="338"/>
      <c r="AL702" s="324"/>
      <c r="AM702" s="711">
        <v>35997</v>
      </c>
      <c r="AN702" s="711">
        <v>20841</v>
      </c>
      <c r="AO702" s="737">
        <v>15156</v>
      </c>
    </row>
    <row r="703" spans="1:41" hidden="1">
      <c r="A703" s="757" t="s">
        <v>1842</v>
      </c>
      <c r="B703" s="322"/>
      <c r="C703" s="714">
        <v>1873</v>
      </c>
      <c r="D703" s="339"/>
      <c r="E703" s="735">
        <v>1873</v>
      </c>
      <c r="F703" s="324"/>
      <c r="G703" s="338"/>
      <c r="H703" s="338"/>
      <c r="I703" s="339"/>
      <c r="J703" s="322"/>
      <c r="K703" s="339"/>
      <c r="L703" s="339"/>
      <c r="M703" s="338"/>
      <c r="N703" s="324"/>
      <c r="O703" s="338"/>
      <c r="P703" s="338"/>
      <c r="Q703" s="339"/>
      <c r="R703" s="322"/>
      <c r="S703" s="339"/>
      <c r="T703" s="339"/>
      <c r="U703" s="338"/>
      <c r="V703" s="324"/>
      <c r="W703" s="338"/>
      <c r="X703" s="338"/>
      <c r="Y703" s="339"/>
      <c r="Z703" s="322"/>
      <c r="AA703" s="339"/>
      <c r="AB703" s="339"/>
      <c r="AC703" s="338"/>
      <c r="AD703" s="324"/>
      <c r="AE703" s="338"/>
      <c r="AF703" s="338"/>
      <c r="AG703" s="339"/>
      <c r="AH703" s="322"/>
      <c r="AI703" s="339"/>
      <c r="AJ703" s="339"/>
      <c r="AK703" s="338"/>
      <c r="AL703" s="324"/>
      <c r="AM703" s="711">
        <v>1873</v>
      </c>
      <c r="AN703" s="338"/>
      <c r="AO703" s="737">
        <v>1873</v>
      </c>
    </row>
    <row r="704" spans="1:41" hidden="1">
      <c r="A704" s="316" t="s">
        <v>806</v>
      </c>
      <c r="B704" s="944"/>
      <c r="C704" s="591">
        <v>15032.5</v>
      </c>
      <c r="D704" s="595"/>
      <c r="E704" s="773">
        <v>15032.5</v>
      </c>
      <c r="F704" s="943"/>
      <c r="G704" s="708"/>
      <c r="H704" s="708"/>
      <c r="I704" s="708"/>
      <c r="J704" s="944"/>
      <c r="K704" s="595"/>
      <c r="L704" s="595"/>
      <c r="M704" s="595"/>
      <c r="N704" s="943"/>
      <c r="O704" s="708"/>
      <c r="P704" s="708"/>
      <c r="Q704" s="708"/>
      <c r="R704" s="944"/>
      <c r="S704" s="591">
        <v>5241.5</v>
      </c>
      <c r="T704" s="595"/>
      <c r="U704" s="773">
        <v>5241.5</v>
      </c>
      <c r="V704" s="943"/>
      <c r="W704" s="708"/>
      <c r="X704" s="708"/>
      <c r="Y704" s="708"/>
      <c r="Z704" s="944"/>
      <c r="AA704" s="595"/>
      <c r="AB704" s="595"/>
      <c r="AC704" s="595"/>
      <c r="AD704" s="943"/>
      <c r="AE704" s="708"/>
      <c r="AF704" s="708"/>
      <c r="AG704" s="708"/>
      <c r="AH704" s="944"/>
      <c r="AI704" s="595"/>
      <c r="AJ704" s="595"/>
      <c r="AK704" s="595"/>
      <c r="AL704" s="943"/>
      <c r="AM704" s="702">
        <v>9791</v>
      </c>
      <c r="AN704" s="708"/>
      <c r="AO704" s="967">
        <v>9791</v>
      </c>
    </row>
    <row r="705" spans="1:41" hidden="1">
      <c r="A705" s="757" t="s">
        <v>1843</v>
      </c>
      <c r="B705" s="319"/>
      <c r="C705" s="318">
        <v>15032.5</v>
      </c>
      <c r="D705" s="331"/>
      <c r="E705" s="739">
        <v>15032.5</v>
      </c>
      <c r="F705" s="317"/>
      <c r="G705" s="330"/>
      <c r="H705" s="330"/>
      <c r="I705" s="331"/>
      <c r="J705" s="319"/>
      <c r="K705" s="331"/>
      <c r="L705" s="331"/>
      <c r="M705" s="330"/>
      <c r="N705" s="317"/>
      <c r="O705" s="330"/>
      <c r="P705" s="330"/>
      <c r="Q705" s="331"/>
      <c r="R705" s="319"/>
      <c r="S705" s="318">
        <v>5241.5</v>
      </c>
      <c r="T705" s="331"/>
      <c r="U705" s="739">
        <v>5241.5</v>
      </c>
      <c r="V705" s="317"/>
      <c r="W705" s="330"/>
      <c r="X705" s="330"/>
      <c r="Y705" s="331"/>
      <c r="Z705" s="319"/>
      <c r="AA705" s="331"/>
      <c r="AB705" s="331"/>
      <c r="AC705" s="330"/>
      <c r="AD705" s="317"/>
      <c r="AE705" s="330"/>
      <c r="AF705" s="330"/>
      <c r="AG705" s="331"/>
      <c r="AH705" s="319"/>
      <c r="AI705" s="331"/>
      <c r="AJ705" s="331"/>
      <c r="AK705" s="330"/>
      <c r="AL705" s="317"/>
      <c r="AM705" s="723">
        <v>9791</v>
      </c>
      <c r="AN705" s="330"/>
      <c r="AO705" s="727">
        <v>9791</v>
      </c>
    </row>
    <row r="706" spans="1:41" hidden="1">
      <c r="A706" s="316" t="s">
        <v>1399</v>
      </c>
      <c r="B706" s="944"/>
      <c r="C706" s="706">
        <v>287923.8</v>
      </c>
      <c r="D706" s="595"/>
      <c r="E706" s="959">
        <v>287923.8</v>
      </c>
      <c r="F706" s="943"/>
      <c r="G706" s="708"/>
      <c r="H706" s="708"/>
      <c r="I706" s="708"/>
      <c r="J706" s="944"/>
      <c r="K706" s="595"/>
      <c r="L706" s="595"/>
      <c r="M706" s="595"/>
      <c r="N706" s="943"/>
      <c r="O706" s="708"/>
      <c r="P706" s="708"/>
      <c r="Q706" s="708"/>
      <c r="R706" s="944"/>
      <c r="S706" s="595"/>
      <c r="T706" s="595"/>
      <c r="U706" s="595"/>
      <c r="V706" s="943"/>
      <c r="W706" s="708"/>
      <c r="X706" s="708"/>
      <c r="Y706" s="708"/>
      <c r="Z706" s="944"/>
      <c r="AA706" s="595"/>
      <c r="AB706" s="595"/>
      <c r="AC706" s="595"/>
      <c r="AD706" s="943"/>
      <c r="AE706" s="708"/>
      <c r="AF706" s="708"/>
      <c r="AG706" s="708"/>
      <c r="AH706" s="944"/>
      <c r="AI706" s="595"/>
      <c r="AJ706" s="595"/>
      <c r="AK706" s="595"/>
      <c r="AL706" s="943"/>
      <c r="AM706" s="702">
        <v>287923.8</v>
      </c>
      <c r="AN706" s="708"/>
      <c r="AO706" s="967">
        <v>287923.8</v>
      </c>
    </row>
    <row r="707" spans="1:41" hidden="1">
      <c r="A707" s="757" t="s">
        <v>1844</v>
      </c>
      <c r="B707" s="319"/>
      <c r="C707" s="726">
        <v>5000</v>
      </c>
      <c r="D707" s="331"/>
      <c r="E707" s="724">
        <v>5000</v>
      </c>
      <c r="F707" s="317"/>
      <c r="G707" s="330"/>
      <c r="H707" s="330"/>
      <c r="I707" s="331"/>
      <c r="J707" s="319"/>
      <c r="K707" s="331"/>
      <c r="L707" s="331"/>
      <c r="M707" s="330"/>
      <c r="N707" s="317"/>
      <c r="O707" s="330"/>
      <c r="P707" s="330"/>
      <c r="Q707" s="331"/>
      <c r="R707" s="319"/>
      <c r="S707" s="331"/>
      <c r="T707" s="331"/>
      <c r="U707" s="330"/>
      <c r="V707" s="317"/>
      <c r="W707" s="330"/>
      <c r="X707" s="330"/>
      <c r="Y707" s="331"/>
      <c r="Z707" s="319"/>
      <c r="AA707" s="331"/>
      <c r="AB707" s="331"/>
      <c r="AC707" s="330"/>
      <c r="AD707" s="317"/>
      <c r="AE707" s="330"/>
      <c r="AF707" s="330"/>
      <c r="AG707" s="331"/>
      <c r="AH707" s="319"/>
      <c r="AI707" s="331"/>
      <c r="AJ707" s="331"/>
      <c r="AK707" s="330"/>
      <c r="AL707" s="317"/>
      <c r="AM707" s="723">
        <v>5000</v>
      </c>
      <c r="AN707" s="330"/>
      <c r="AO707" s="727">
        <v>5000</v>
      </c>
    </row>
    <row r="708" spans="1:41" hidden="1">
      <c r="A708" s="757" t="s">
        <v>1845</v>
      </c>
      <c r="B708" s="322"/>
      <c r="C708" s="714">
        <v>58000</v>
      </c>
      <c r="D708" s="339"/>
      <c r="E708" s="735">
        <v>58000</v>
      </c>
      <c r="F708" s="324"/>
      <c r="G708" s="338"/>
      <c r="H708" s="338"/>
      <c r="I708" s="339"/>
      <c r="J708" s="322"/>
      <c r="K708" s="339"/>
      <c r="L708" s="339"/>
      <c r="M708" s="338"/>
      <c r="N708" s="324"/>
      <c r="O708" s="338"/>
      <c r="P708" s="338"/>
      <c r="Q708" s="339"/>
      <c r="R708" s="322"/>
      <c r="S708" s="339"/>
      <c r="T708" s="339"/>
      <c r="U708" s="338"/>
      <c r="V708" s="324"/>
      <c r="W708" s="338"/>
      <c r="X708" s="338"/>
      <c r="Y708" s="339"/>
      <c r="Z708" s="322"/>
      <c r="AA708" s="339"/>
      <c r="AB708" s="339"/>
      <c r="AC708" s="338"/>
      <c r="AD708" s="324"/>
      <c r="AE708" s="338"/>
      <c r="AF708" s="338"/>
      <c r="AG708" s="339"/>
      <c r="AH708" s="322"/>
      <c r="AI708" s="339"/>
      <c r="AJ708" s="339"/>
      <c r="AK708" s="338"/>
      <c r="AL708" s="324"/>
      <c r="AM708" s="711">
        <v>58000</v>
      </c>
      <c r="AN708" s="338"/>
      <c r="AO708" s="737">
        <v>58000</v>
      </c>
    </row>
    <row r="709" spans="1:41" hidden="1">
      <c r="A709" s="757" t="s">
        <v>1846</v>
      </c>
      <c r="B709" s="322"/>
      <c r="C709" s="714">
        <v>3088.8</v>
      </c>
      <c r="D709" s="339"/>
      <c r="E709" s="735">
        <v>3088.8</v>
      </c>
      <c r="F709" s="324"/>
      <c r="G709" s="338"/>
      <c r="H709" s="338"/>
      <c r="I709" s="339"/>
      <c r="J709" s="322"/>
      <c r="K709" s="339"/>
      <c r="L709" s="339"/>
      <c r="M709" s="338"/>
      <c r="N709" s="324"/>
      <c r="O709" s="338"/>
      <c r="P709" s="338"/>
      <c r="Q709" s="339"/>
      <c r="R709" s="322"/>
      <c r="S709" s="339"/>
      <c r="T709" s="339"/>
      <c r="U709" s="338"/>
      <c r="V709" s="324"/>
      <c r="W709" s="338"/>
      <c r="X709" s="338"/>
      <c r="Y709" s="339"/>
      <c r="Z709" s="322"/>
      <c r="AA709" s="339"/>
      <c r="AB709" s="339"/>
      <c r="AC709" s="338"/>
      <c r="AD709" s="324"/>
      <c r="AE709" s="338"/>
      <c r="AF709" s="338"/>
      <c r="AG709" s="339"/>
      <c r="AH709" s="322"/>
      <c r="AI709" s="339"/>
      <c r="AJ709" s="339"/>
      <c r="AK709" s="338"/>
      <c r="AL709" s="324"/>
      <c r="AM709" s="711">
        <v>3088.8</v>
      </c>
      <c r="AN709" s="338"/>
      <c r="AO709" s="737">
        <v>3088.8</v>
      </c>
    </row>
    <row r="710" spans="1:41" hidden="1">
      <c r="A710" s="757" t="s">
        <v>1847</v>
      </c>
      <c r="B710" s="322"/>
      <c r="C710" s="714">
        <v>5400</v>
      </c>
      <c r="D710" s="339"/>
      <c r="E710" s="735">
        <v>5400</v>
      </c>
      <c r="F710" s="324"/>
      <c r="G710" s="338"/>
      <c r="H710" s="338"/>
      <c r="I710" s="339"/>
      <c r="J710" s="322"/>
      <c r="K710" s="339"/>
      <c r="L710" s="339"/>
      <c r="M710" s="338"/>
      <c r="N710" s="324"/>
      <c r="O710" s="338"/>
      <c r="P710" s="338"/>
      <c r="Q710" s="339"/>
      <c r="R710" s="322"/>
      <c r="S710" s="339"/>
      <c r="T710" s="339"/>
      <c r="U710" s="338"/>
      <c r="V710" s="324"/>
      <c r="W710" s="338"/>
      <c r="X710" s="338"/>
      <c r="Y710" s="339"/>
      <c r="Z710" s="322"/>
      <c r="AA710" s="339"/>
      <c r="AB710" s="339"/>
      <c r="AC710" s="338"/>
      <c r="AD710" s="324"/>
      <c r="AE710" s="338"/>
      <c r="AF710" s="338"/>
      <c r="AG710" s="339"/>
      <c r="AH710" s="322"/>
      <c r="AI710" s="339"/>
      <c r="AJ710" s="339"/>
      <c r="AK710" s="338"/>
      <c r="AL710" s="324"/>
      <c r="AM710" s="711">
        <v>5400</v>
      </c>
      <c r="AN710" s="338"/>
      <c r="AO710" s="737">
        <v>5400</v>
      </c>
    </row>
    <row r="711" spans="1:41" hidden="1">
      <c r="A711" s="757" t="s">
        <v>1848</v>
      </c>
      <c r="B711" s="322"/>
      <c r="C711" s="714">
        <v>6000</v>
      </c>
      <c r="D711" s="339"/>
      <c r="E711" s="735">
        <v>6000</v>
      </c>
      <c r="F711" s="324"/>
      <c r="G711" s="338"/>
      <c r="H711" s="338"/>
      <c r="I711" s="339"/>
      <c r="J711" s="322"/>
      <c r="K711" s="339"/>
      <c r="L711" s="339"/>
      <c r="M711" s="338"/>
      <c r="N711" s="324"/>
      <c r="O711" s="338"/>
      <c r="P711" s="338"/>
      <c r="Q711" s="339"/>
      <c r="R711" s="322"/>
      <c r="S711" s="339"/>
      <c r="T711" s="339"/>
      <c r="U711" s="338"/>
      <c r="V711" s="324"/>
      <c r="W711" s="338"/>
      <c r="X711" s="338"/>
      <c r="Y711" s="339"/>
      <c r="Z711" s="322"/>
      <c r="AA711" s="339"/>
      <c r="AB711" s="339"/>
      <c r="AC711" s="338"/>
      <c r="AD711" s="324"/>
      <c r="AE711" s="338"/>
      <c r="AF711" s="338"/>
      <c r="AG711" s="339"/>
      <c r="AH711" s="322"/>
      <c r="AI711" s="339"/>
      <c r="AJ711" s="339"/>
      <c r="AK711" s="338"/>
      <c r="AL711" s="324"/>
      <c r="AM711" s="711">
        <v>6000</v>
      </c>
      <c r="AN711" s="338"/>
      <c r="AO711" s="737">
        <v>6000</v>
      </c>
    </row>
    <row r="712" spans="1:41" hidden="1">
      <c r="A712" s="757" t="s">
        <v>1849</v>
      </c>
      <c r="B712" s="322"/>
      <c r="C712" s="714">
        <v>74600</v>
      </c>
      <c r="D712" s="339"/>
      <c r="E712" s="735">
        <v>74600</v>
      </c>
      <c r="F712" s="324"/>
      <c r="G712" s="338"/>
      <c r="H712" s="338"/>
      <c r="I712" s="339"/>
      <c r="J712" s="322"/>
      <c r="K712" s="339"/>
      <c r="L712" s="339"/>
      <c r="M712" s="338"/>
      <c r="N712" s="324"/>
      <c r="O712" s="338"/>
      <c r="P712" s="338"/>
      <c r="Q712" s="339"/>
      <c r="R712" s="322"/>
      <c r="S712" s="339"/>
      <c r="T712" s="339"/>
      <c r="U712" s="338"/>
      <c r="V712" s="324"/>
      <c r="W712" s="338"/>
      <c r="X712" s="338"/>
      <c r="Y712" s="339"/>
      <c r="Z712" s="322"/>
      <c r="AA712" s="339"/>
      <c r="AB712" s="339"/>
      <c r="AC712" s="338"/>
      <c r="AD712" s="324"/>
      <c r="AE712" s="338"/>
      <c r="AF712" s="338"/>
      <c r="AG712" s="339"/>
      <c r="AH712" s="322"/>
      <c r="AI712" s="339"/>
      <c r="AJ712" s="339"/>
      <c r="AK712" s="338"/>
      <c r="AL712" s="324"/>
      <c r="AM712" s="711">
        <v>74600</v>
      </c>
      <c r="AN712" s="338"/>
      <c r="AO712" s="737">
        <v>74600</v>
      </c>
    </row>
    <row r="713" spans="1:41" hidden="1">
      <c r="A713" s="757" t="s">
        <v>1850</v>
      </c>
      <c r="B713" s="322"/>
      <c r="C713" s="714">
        <v>12200</v>
      </c>
      <c r="D713" s="339"/>
      <c r="E713" s="735">
        <v>12200</v>
      </c>
      <c r="F713" s="324"/>
      <c r="G713" s="338"/>
      <c r="H713" s="338"/>
      <c r="I713" s="339"/>
      <c r="J713" s="322"/>
      <c r="K713" s="339"/>
      <c r="L713" s="339"/>
      <c r="M713" s="338"/>
      <c r="N713" s="324"/>
      <c r="O713" s="338"/>
      <c r="P713" s="338"/>
      <c r="Q713" s="339"/>
      <c r="R713" s="322"/>
      <c r="S713" s="339"/>
      <c r="T713" s="339"/>
      <c r="U713" s="338"/>
      <c r="V713" s="324"/>
      <c r="W713" s="338"/>
      <c r="X713" s="338"/>
      <c r="Y713" s="339"/>
      <c r="Z713" s="322"/>
      <c r="AA713" s="339"/>
      <c r="AB713" s="339"/>
      <c r="AC713" s="338"/>
      <c r="AD713" s="324"/>
      <c r="AE713" s="338"/>
      <c r="AF713" s="338"/>
      <c r="AG713" s="339"/>
      <c r="AH713" s="322"/>
      <c r="AI713" s="339"/>
      <c r="AJ713" s="339"/>
      <c r="AK713" s="338"/>
      <c r="AL713" s="324"/>
      <c r="AM713" s="711">
        <v>12200</v>
      </c>
      <c r="AN713" s="338"/>
      <c r="AO713" s="737">
        <v>12200</v>
      </c>
    </row>
    <row r="714" spans="1:41" hidden="1">
      <c r="A714" s="757" t="s">
        <v>1851</v>
      </c>
      <c r="B714" s="322"/>
      <c r="C714" s="714">
        <v>123635</v>
      </c>
      <c r="D714" s="339"/>
      <c r="E714" s="735">
        <v>123635</v>
      </c>
      <c r="F714" s="324"/>
      <c r="G714" s="338"/>
      <c r="H714" s="338"/>
      <c r="I714" s="339"/>
      <c r="J714" s="322"/>
      <c r="K714" s="339"/>
      <c r="L714" s="339"/>
      <c r="M714" s="338"/>
      <c r="N714" s="324"/>
      <c r="O714" s="338"/>
      <c r="P714" s="338"/>
      <c r="Q714" s="339"/>
      <c r="R714" s="322"/>
      <c r="S714" s="339"/>
      <c r="T714" s="339"/>
      <c r="U714" s="338"/>
      <c r="V714" s="324"/>
      <c r="W714" s="338"/>
      <c r="X714" s="338"/>
      <c r="Y714" s="339"/>
      <c r="Z714" s="322"/>
      <c r="AA714" s="339"/>
      <c r="AB714" s="339"/>
      <c r="AC714" s="338"/>
      <c r="AD714" s="324"/>
      <c r="AE714" s="338"/>
      <c r="AF714" s="338"/>
      <c r="AG714" s="339"/>
      <c r="AH714" s="322"/>
      <c r="AI714" s="339"/>
      <c r="AJ714" s="339"/>
      <c r="AK714" s="338"/>
      <c r="AL714" s="324"/>
      <c r="AM714" s="711">
        <v>123635</v>
      </c>
      <c r="AN714" s="338"/>
      <c r="AO714" s="737">
        <v>123635</v>
      </c>
    </row>
    <row r="715" spans="1:41" hidden="1">
      <c r="A715" s="316" t="s">
        <v>382</v>
      </c>
      <c r="B715" s="944"/>
      <c r="C715" s="591">
        <v>11721480.01</v>
      </c>
      <c r="D715" s="591">
        <v>10964183</v>
      </c>
      <c r="E715" s="773">
        <v>757297.01</v>
      </c>
      <c r="F715" s="943"/>
      <c r="G715" s="708"/>
      <c r="H715" s="708"/>
      <c r="I715" s="708"/>
      <c r="J715" s="944"/>
      <c r="K715" s="595"/>
      <c r="L715" s="595"/>
      <c r="M715" s="595"/>
      <c r="N715" s="943"/>
      <c r="O715" s="703">
        <v>11721480.01</v>
      </c>
      <c r="P715" s="703">
        <v>10964183</v>
      </c>
      <c r="Q715" s="767">
        <v>757297.01</v>
      </c>
      <c r="R715" s="944"/>
      <c r="S715" s="595"/>
      <c r="T715" s="595"/>
      <c r="U715" s="595"/>
      <c r="V715" s="943"/>
      <c r="W715" s="708"/>
      <c r="X715" s="708"/>
      <c r="Y715" s="708"/>
      <c r="Z715" s="944"/>
      <c r="AA715" s="595"/>
      <c r="AB715" s="595"/>
      <c r="AC715" s="595"/>
      <c r="AD715" s="943"/>
      <c r="AE715" s="708"/>
      <c r="AF715" s="708"/>
      <c r="AG715" s="708"/>
      <c r="AH715" s="944"/>
      <c r="AI715" s="595"/>
      <c r="AJ715" s="595"/>
      <c r="AK715" s="595"/>
      <c r="AL715" s="943"/>
      <c r="AM715" s="708"/>
      <c r="AN715" s="708"/>
      <c r="AO715" s="708"/>
    </row>
    <row r="716" spans="1:41" hidden="1">
      <c r="A716" s="756" t="s">
        <v>1061</v>
      </c>
      <c r="B716" s="319"/>
      <c r="C716" s="318">
        <v>149.57</v>
      </c>
      <c r="D716" s="331"/>
      <c r="E716" s="739">
        <v>149.57</v>
      </c>
      <c r="F716" s="317"/>
      <c r="G716" s="330"/>
      <c r="H716" s="330"/>
      <c r="I716" s="331"/>
      <c r="J716" s="319"/>
      <c r="K716" s="331"/>
      <c r="L716" s="331"/>
      <c r="M716" s="330"/>
      <c r="N716" s="317"/>
      <c r="O716" s="320">
        <v>149.57</v>
      </c>
      <c r="P716" s="330"/>
      <c r="Q716" s="729">
        <v>149.57</v>
      </c>
      <c r="R716" s="319"/>
      <c r="S716" s="331"/>
      <c r="T716" s="331"/>
      <c r="U716" s="330"/>
      <c r="V716" s="317"/>
      <c r="W716" s="330"/>
      <c r="X716" s="330"/>
      <c r="Y716" s="331"/>
      <c r="Z716" s="319"/>
      <c r="AA716" s="331"/>
      <c r="AB716" s="331"/>
      <c r="AC716" s="330"/>
      <c r="AD716" s="317"/>
      <c r="AE716" s="330"/>
      <c r="AF716" s="330"/>
      <c r="AG716" s="331"/>
      <c r="AH716" s="319"/>
      <c r="AI716" s="331"/>
      <c r="AJ716" s="331"/>
      <c r="AK716" s="330"/>
      <c r="AL716" s="317"/>
      <c r="AM716" s="330"/>
      <c r="AN716" s="330"/>
      <c r="AO716" s="331"/>
    </row>
    <row r="717" spans="1:41" hidden="1">
      <c r="A717" s="757" t="s">
        <v>1062</v>
      </c>
      <c r="B717" s="322"/>
      <c r="C717" s="325">
        <v>20837.080000000002</v>
      </c>
      <c r="D717" s="339"/>
      <c r="E717" s="594">
        <v>20837.080000000002</v>
      </c>
      <c r="F717" s="324"/>
      <c r="G717" s="338"/>
      <c r="H717" s="338"/>
      <c r="I717" s="339"/>
      <c r="J717" s="322"/>
      <c r="K717" s="339"/>
      <c r="L717" s="339"/>
      <c r="M717" s="338"/>
      <c r="N717" s="324"/>
      <c r="O717" s="323">
        <v>20837.080000000002</v>
      </c>
      <c r="P717" s="338"/>
      <c r="Q717" s="592">
        <v>20837.080000000002</v>
      </c>
      <c r="R717" s="322"/>
      <c r="S717" s="339"/>
      <c r="T717" s="339"/>
      <c r="U717" s="338"/>
      <c r="V717" s="324"/>
      <c r="W717" s="338"/>
      <c r="X717" s="338"/>
      <c r="Y717" s="339"/>
      <c r="Z717" s="322"/>
      <c r="AA717" s="339"/>
      <c r="AB717" s="339"/>
      <c r="AC717" s="338"/>
      <c r="AD717" s="324"/>
      <c r="AE717" s="338"/>
      <c r="AF717" s="338"/>
      <c r="AG717" s="339"/>
      <c r="AH717" s="322"/>
      <c r="AI717" s="339"/>
      <c r="AJ717" s="339"/>
      <c r="AK717" s="338"/>
      <c r="AL717" s="324"/>
      <c r="AM717" s="338"/>
      <c r="AN717" s="338"/>
      <c r="AO717" s="339"/>
    </row>
    <row r="718" spans="1:41" hidden="1">
      <c r="A718" s="756" t="s">
        <v>1063</v>
      </c>
      <c r="B718" s="322"/>
      <c r="C718" s="325">
        <v>10957860</v>
      </c>
      <c r="D718" s="325">
        <v>10957860</v>
      </c>
      <c r="E718" s="338"/>
      <c r="F718" s="324"/>
      <c r="G718" s="338"/>
      <c r="H718" s="338"/>
      <c r="I718" s="339"/>
      <c r="J718" s="322"/>
      <c r="K718" s="339"/>
      <c r="L718" s="339"/>
      <c r="M718" s="338"/>
      <c r="N718" s="324"/>
      <c r="O718" s="323">
        <v>10957860</v>
      </c>
      <c r="P718" s="323">
        <v>10957860</v>
      </c>
      <c r="Q718" s="339"/>
      <c r="R718" s="322"/>
      <c r="S718" s="339"/>
      <c r="T718" s="339"/>
      <c r="U718" s="338"/>
      <c r="V718" s="324"/>
      <c r="W718" s="338"/>
      <c r="X718" s="338"/>
      <c r="Y718" s="339"/>
      <c r="Z718" s="322"/>
      <c r="AA718" s="339"/>
      <c r="AB718" s="339"/>
      <c r="AC718" s="338"/>
      <c r="AD718" s="324"/>
      <c r="AE718" s="338"/>
      <c r="AF718" s="338"/>
      <c r="AG718" s="339"/>
      <c r="AH718" s="322"/>
      <c r="AI718" s="339"/>
      <c r="AJ718" s="339"/>
      <c r="AK718" s="338"/>
      <c r="AL718" s="324"/>
      <c r="AM718" s="338"/>
      <c r="AN718" s="338"/>
      <c r="AO718" s="339"/>
    </row>
    <row r="719" spans="1:41" hidden="1">
      <c r="A719" s="757" t="s">
        <v>392</v>
      </c>
      <c r="B719" s="322"/>
      <c r="C719" s="325">
        <v>193722</v>
      </c>
      <c r="D719" s="339"/>
      <c r="E719" s="594">
        <v>193722</v>
      </c>
      <c r="F719" s="324"/>
      <c r="G719" s="338"/>
      <c r="H719" s="338"/>
      <c r="I719" s="339"/>
      <c r="J719" s="322"/>
      <c r="K719" s="339"/>
      <c r="L719" s="339"/>
      <c r="M719" s="338"/>
      <c r="N719" s="324"/>
      <c r="O719" s="323">
        <v>193722</v>
      </c>
      <c r="P719" s="338"/>
      <c r="Q719" s="592">
        <v>193722</v>
      </c>
      <c r="R719" s="322"/>
      <c r="S719" s="339"/>
      <c r="T719" s="339"/>
      <c r="U719" s="338"/>
      <c r="V719" s="324"/>
      <c r="W719" s="338"/>
      <c r="X719" s="338"/>
      <c r="Y719" s="339"/>
      <c r="Z719" s="322"/>
      <c r="AA719" s="339"/>
      <c r="AB719" s="339"/>
      <c r="AC719" s="338"/>
      <c r="AD719" s="324"/>
      <c r="AE719" s="338"/>
      <c r="AF719" s="338"/>
      <c r="AG719" s="339"/>
      <c r="AH719" s="322"/>
      <c r="AI719" s="339"/>
      <c r="AJ719" s="339"/>
      <c r="AK719" s="338"/>
      <c r="AL719" s="324"/>
      <c r="AM719" s="338"/>
      <c r="AN719" s="338"/>
      <c r="AO719" s="339"/>
    </row>
    <row r="720" spans="1:41" hidden="1">
      <c r="A720" s="757" t="s">
        <v>1113</v>
      </c>
      <c r="B720" s="322"/>
      <c r="C720" s="325">
        <v>29745.360000000001</v>
      </c>
      <c r="D720" s="339"/>
      <c r="E720" s="594">
        <v>29745.360000000001</v>
      </c>
      <c r="F720" s="324"/>
      <c r="G720" s="338"/>
      <c r="H720" s="338"/>
      <c r="I720" s="339"/>
      <c r="J720" s="322"/>
      <c r="K720" s="339"/>
      <c r="L720" s="339"/>
      <c r="M720" s="338"/>
      <c r="N720" s="324"/>
      <c r="O720" s="323">
        <v>29745.360000000001</v>
      </c>
      <c r="P720" s="338"/>
      <c r="Q720" s="592">
        <v>29745.360000000001</v>
      </c>
      <c r="R720" s="322"/>
      <c r="S720" s="339"/>
      <c r="T720" s="339"/>
      <c r="U720" s="338"/>
      <c r="V720" s="324"/>
      <c r="W720" s="338"/>
      <c r="X720" s="338"/>
      <c r="Y720" s="339"/>
      <c r="Z720" s="322"/>
      <c r="AA720" s="339"/>
      <c r="AB720" s="339"/>
      <c r="AC720" s="338"/>
      <c r="AD720" s="324"/>
      <c r="AE720" s="338"/>
      <c r="AF720" s="338"/>
      <c r="AG720" s="339"/>
      <c r="AH720" s="322"/>
      <c r="AI720" s="339"/>
      <c r="AJ720" s="339"/>
      <c r="AK720" s="338"/>
      <c r="AL720" s="324"/>
      <c r="AM720" s="338"/>
      <c r="AN720" s="338"/>
      <c r="AO720" s="339"/>
    </row>
    <row r="721" spans="1:41" hidden="1">
      <c r="A721" s="757" t="s">
        <v>1065</v>
      </c>
      <c r="B721" s="322"/>
      <c r="C721" s="325">
        <v>498203</v>
      </c>
      <c r="D721" s="339"/>
      <c r="E721" s="594">
        <v>498203</v>
      </c>
      <c r="F721" s="324"/>
      <c r="G721" s="338"/>
      <c r="H721" s="338"/>
      <c r="I721" s="339"/>
      <c r="J721" s="322"/>
      <c r="K721" s="339"/>
      <c r="L721" s="339"/>
      <c r="M721" s="338"/>
      <c r="N721" s="324"/>
      <c r="O721" s="323">
        <v>498203</v>
      </c>
      <c r="P721" s="338"/>
      <c r="Q721" s="592">
        <v>498203</v>
      </c>
      <c r="R721" s="322"/>
      <c r="S721" s="339"/>
      <c r="T721" s="339"/>
      <c r="U721" s="338"/>
      <c r="V721" s="324"/>
      <c r="W721" s="338"/>
      <c r="X721" s="338"/>
      <c r="Y721" s="339"/>
      <c r="Z721" s="322"/>
      <c r="AA721" s="339"/>
      <c r="AB721" s="339"/>
      <c r="AC721" s="338"/>
      <c r="AD721" s="324"/>
      <c r="AE721" s="338"/>
      <c r="AF721" s="338"/>
      <c r="AG721" s="339"/>
      <c r="AH721" s="322"/>
      <c r="AI721" s="339"/>
      <c r="AJ721" s="339"/>
      <c r="AK721" s="338"/>
      <c r="AL721" s="324"/>
      <c r="AM721" s="338"/>
      <c r="AN721" s="338"/>
      <c r="AO721" s="339"/>
    </row>
    <row r="722" spans="1:41" hidden="1">
      <c r="A722" s="756" t="s">
        <v>1405</v>
      </c>
      <c r="B722" s="322"/>
      <c r="C722" s="325">
        <v>13935</v>
      </c>
      <c r="D722" s="339"/>
      <c r="E722" s="594">
        <v>13935</v>
      </c>
      <c r="F722" s="324"/>
      <c r="G722" s="338"/>
      <c r="H722" s="338"/>
      <c r="I722" s="339"/>
      <c r="J722" s="322"/>
      <c r="K722" s="339"/>
      <c r="L722" s="339"/>
      <c r="M722" s="338"/>
      <c r="N722" s="324"/>
      <c r="O722" s="323">
        <v>13935</v>
      </c>
      <c r="P722" s="338"/>
      <c r="Q722" s="592">
        <v>13935</v>
      </c>
      <c r="R722" s="322"/>
      <c r="S722" s="339"/>
      <c r="T722" s="339"/>
      <c r="U722" s="338"/>
      <c r="V722" s="324"/>
      <c r="W722" s="338"/>
      <c r="X722" s="338"/>
      <c r="Y722" s="339"/>
      <c r="Z722" s="322"/>
      <c r="AA722" s="339"/>
      <c r="AB722" s="339"/>
      <c r="AC722" s="338"/>
      <c r="AD722" s="324"/>
      <c r="AE722" s="338"/>
      <c r="AF722" s="338"/>
      <c r="AG722" s="339"/>
      <c r="AH722" s="322"/>
      <c r="AI722" s="339"/>
      <c r="AJ722" s="339"/>
      <c r="AK722" s="338"/>
      <c r="AL722" s="324"/>
      <c r="AM722" s="338"/>
      <c r="AN722" s="338"/>
      <c r="AO722" s="339"/>
    </row>
    <row r="723" spans="1:41" hidden="1">
      <c r="A723" s="757" t="s">
        <v>393</v>
      </c>
      <c r="B723" s="322"/>
      <c r="C723" s="325">
        <v>5201</v>
      </c>
      <c r="D723" s="339"/>
      <c r="E723" s="594">
        <v>5201</v>
      </c>
      <c r="F723" s="324"/>
      <c r="G723" s="338"/>
      <c r="H723" s="338"/>
      <c r="I723" s="339"/>
      <c r="J723" s="322"/>
      <c r="K723" s="339"/>
      <c r="L723" s="339"/>
      <c r="M723" s="338"/>
      <c r="N723" s="324"/>
      <c r="O723" s="323">
        <v>5201</v>
      </c>
      <c r="P723" s="338"/>
      <c r="Q723" s="592">
        <v>5201</v>
      </c>
      <c r="R723" s="322"/>
      <c r="S723" s="339"/>
      <c r="T723" s="339"/>
      <c r="U723" s="338"/>
      <c r="V723" s="324"/>
      <c r="W723" s="338"/>
      <c r="X723" s="338"/>
      <c r="Y723" s="339"/>
      <c r="Z723" s="322"/>
      <c r="AA723" s="339"/>
      <c r="AB723" s="339"/>
      <c r="AC723" s="338"/>
      <c r="AD723" s="324"/>
      <c r="AE723" s="338"/>
      <c r="AF723" s="338"/>
      <c r="AG723" s="339"/>
      <c r="AH723" s="322"/>
      <c r="AI723" s="339"/>
      <c r="AJ723" s="339"/>
      <c r="AK723" s="338"/>
      <c r="AL723" s="324"/>
      <c r="AM723" s="338"/>
      <c r="AN723" s="338"/>
      <c r="AO723" s="339"/>
    </row>
    <row r="724" spans="1:41" hidden="1">
      <c r="A724" s="757" t="s">
        <v>1852</v>
      </c>
      <c r="B724" s="322"/>
      <c r="C724" s="339"/>
      <c r="D724" s="339"/>
      <c r="E724" s="338"/>
      <c r="F724" s="324"/>
      <c r="G724" s="338"/>
      <c r="H724" s="338"/>
      <c r="I724" s="339"/>
      <c r="J724" s="322"/>
      <c r="K724" s="339"/>
      <c r="L724" s="339"/>
      <c r="M724" s="338"/>
      <c r="N724" s="324"/>
      <c r="O724" s="338"/>
      <c r="P724" s="338"/>
      <c r="Q724" s="339"/>
      <c r="R724" s="322"/>
      <c r="S724" s="339"/>
      <c r="T724" s="339"/>
      <c r="U724" s="338"/>
      <c r="V724" s="324"/>
      <c r="W724" s="338"/>
      <c r="X724" s="338"/>
      <c r="Y724" s="339"/>
      <c r="Z724" s="322"/>
      <c r="AA724" s="339"/>
      <c r="AB724" s="339"/>
      <c r="AC724" s="338"/>
      <c r="AD724" s="324"/>
      <c r="AE724" s="338"/>
      <c r="AF724" s="338"/>
      <c r="AG724" s="339"/>
      <c r="AH724" s="322"/>
      <c r="AI724" s="339"/>
      <c r="AJ724" s="339"/>
      <c r="AK724" s="338"/>
      <c r="AL724" s="324"/>
      <c r="AM724" s="338"/>
      <c r="AN724" s="338"/>
      <c r="AO724" s="339"/>
    </row>
    <row r="725" spans="1:41" hidden="1">
      <c r="A725" s="756" t="s">
        <v>1853</v>
      </c>
      <c r="B725" s="322"/>
      <c r="C725" s="339"/>
      <c r="D725" s="325">
        <v>6323</v>
      </c>
      <c r="E725" s="589">
        <v>6323</v>
      </c>
      <c r="F725" s="324"/>
      <c r="G725" s="338"/>
      <c r="H725" s="338"/>
      <c r="I725" s="339"/>
      <c r="J725" s="322"/>
      <c r="K725" s="339"/>
      <c r="L725" s="339"/>
      <c r="M725" s="338"/>
      <c r="N725" s="324"/>
      <c r="O725" s="338"/>
      <c r="P725" s="323">
        <v>6323</v>
      </c>
      <c r="Q725" s="588">
        <v>6323</v>
      </c>
      <c r="R725" s="322"/>
      <c r="S725" s="339"/>
      <c r="T725" s="339"/>
      <c r="U725" s="338"/>
      <c r="V725" s="324"/>
      <c r="W725" s="338"/>
      <c r="X725" s="338"/>
      <c r="Y725" s="339"/>
      <c r="Z725" s="322"/>
      <c r="AA725" s="339"/>
      <c r="AB725" s="339"/>
      <c r="AC725" s="338"/>
      <c r="AD725" s="324"/>
      <c r="AE725" s="338"/>
      <c r="AF725" s="338"/>
      <c r="AG725" s="339"/>
      <c r="AH725" s="322"/>
      <c r="AI725" s="339"/>
      <c r="AJ725" s="339"/>
      <c r="AK725" s="338"/>
      <c r="AL725" s="324"/>
      <c r="AM725" s="338"/>
      <c r="AN725" s="338"/>
      <c r="AO725" s="339"/>
    </row>
    <row r="726" spans="1:41" hidden="1">
      <c r="A726" s="756" t="s">
        <v>1854</v>
      </c>
      <c r="B726" s="322"/>
      <c r="C726" s="325">
        <v>1827</v>
      </c>
      <c r="D726" s="339"/>
      <c r="E726" s="594">
        <v>1827</v>
      </c>
      <c r="F726" s="324"/>
      <c r="G726" s="338"/>
      <c r="H726" s="338"/>
      <c r="I726" s="339"/>
      <c r="J726" s="322"/>
      <c r="K726" s="339"/>
      <c r="L726" s="339"/>
      <c r="M726" s="338"/>
      <c r="N726" s="324"/>
      <c r="O726" s="323">
        <v>1827</v>
      </c>
      <c r="P726" s="338"/>
      <c r="Q726" s="592">
        <v>1827</v>
      </c>
      <c r="R726" s="322"/>
      <c r="S726" s="339"/>
      <c r="T726" s="339"/>
      <c r="U726" s="338"/>
      <c r="V726" s="324"/>
      <c r="W726" s="338"/>
      <c r="X726" s="338"/>
      <c r="Y726" s="339"/>
      <c r="Z726" s="322"/>
      <c r="AA726" s="339"/>
      <c r="AB726" s="339"/>
      <c r="AC726" s="338"/>
      <c r="AD726" s="324"/>
      <c r="AE726" s="338"/>
      <c r="AF726" s="338"/>
      <c r="AG726" s="339"/>
      <c r="AH726" s="322"/>
      <c r="AI726" s="339"/>
      <c r="AJ726" s="339"/>
      <c r="AK726" s="338"/>
      <c r="AL726" s="324"/>
      <c r="AM726" s="338"/>
      <c r="AN726" s="338"/>
      <c r="AO726" s="339"/>
    </row>
    <row r="727" spans="1:41" hidden="1">
      <c r="A727" s="316" t="s">
        <v>1105</v>
      </c>
      <c r="B727" s="944"/>
      <c r="C727" s="591">
        <v>2155</v>
      </c>
      <c r="D727" s="595"/>
      <c r="E727" s="773">
        <v>2155</v>
      </c>
      <c r="F727" s="943"/>
      <c r="G727" s="708"/>
      <c r="H727" s="708"/>
      <c r="I727" s="708"/>
      <c r="J727" s="944"/>
      <c r="K727" s="595"/>
      <c r="L727" s="595"/>
      <c r="M727" s="595"/>
      <c r="N727" s="943"/>
      <c r="O727" s="703">
        <v>2155</v>
      </c>
      <c r="P727" s="708"/>
      <c r="Q727" s="767">
        <v>2155</v>
      </c>
      <c r="R727" s="944"/>
      <c r="S727" s="595"/>
      <c r="T727" s="595"/>
      <c r="U727" s="595"/>
      <c r="V727" s="943"/>
      <c r="W727" s="708"/>
      <c r="X727" s="708"/>
      <c r="Y727" s="708"/>
      <c r="Z727" s="944"/>
      <c r="AA727" s="595"/>
      <c r="AB727" s="595"/>
      <c r="AC727" s="595"/>
      <c r="AD727" s="943"/>
      <c r="AE727" s="708"/>
      <c r="AF727" s="708"/>
      <c r="AG727" s="708"/>
      <c r="AH727" s="944"/>
      <c r="AI727" s="595"/>
      <c r="AJ727" s="595"/>
      <c r="AK727" s="595"/>
      <c r="AL727" s="943"/>
      <c r="AM727" s="708"/>
      <c r="AN727" s="708"/>
      <c r="AO727" s="708"/>
    </row>
    <row r="728" spans="1:41" hidden="1">
      <c r="A728" s="756" t="s">
        <v>1301</v>
      </c>
      <c r="B728" s="319"/>
      <c r="C728" s="318">
        <v>2155</v>
      </c>
      <c r="D728" s="331"/>
      <c r="E728" s="739">
        <v>2155</v>
      </c>
      <c r="F728" s="317"/>
      <c r="G728" s="330"/>
      <c r="H728" s="330"/>
      <c r="I728" s="331"/>
      <c r="J728" s="319"/>
      <c r="K728" s="331"/>
      <c r="L728" s="331"/>
      <c r="M728" s="330"/>
      <c r="N728" s="317"/>
      <c r="O728" s="320">
        <v>2155</v>
      </c>
      <c r="P728" s="330"/>
      <c r="Q728" s="729">
        <v>2155</v>
      </c>
      <c r="R728" s="319"/>
      <c r="S728" s="331"/>
      <c r="T728" s="331"/>
      <c r="U728" s="330"/>
      <c r="V728" s="317"/>
      <c r="W728" s="330"/>
      <c r="X728" s="330"/>
      <c r="Y728" s="331"/>
      <c r="Z728" s="319"/>
      <c r="AA728" s="331"/>
      <c r="AB728" s="331"/>
      <c r="AC728" s="330"/>
      <c r="AD728" s="317"/>
      <c r="AE728" s="330"/>
      <c r="AF728" s="330"/>
      <c r="AG728" s="331"/>
      <c r="AH728" s="319"/>
      <c r="AI728" s="331"/>
      <c r="AJ728" s="331"/>
      <c r="AK728" s="330"/>
      <c r="AL728" s="317"/>
      <c r="AM728" s="330"/>
      <c r="AN728" s="330"/>
      <c r="AO728" s="331"/>
    </row>
    <row r="729" spans="1:41" hidden="1">
      <c r="A729" s="316" t="s">
        <v>808</v>
      </c>
      <c r="B729" s="944"/>
      <c r="C729" s="591">
        <v>32490394.07</v>
      </c>
      <c r="D729" s="591">
        <v>373431.98</v>
      </c>
      <c r="E729" s="773">
        <v>32116962.09</v>
      </c>
      <c r="F729" s="943"/>
      <c r="G729" s="708"/>
      <c r="H729" s="708"/>
      <c r="I729" s="708"/>
      <c r="J729" s="944"/>
      <c r="K729" s="595"/>
      <c r="L729" s="595"/>
      <c r="M729" s="595"/>
      <c r="N729" s="943"/>
      <c r="O729" s="708"/>
      <c r="P729" s="708"/>
      <c r="Q729" s="708"/>
      <c r="R729" s="944"/>
      <c r="S729" s="591">
        <v>13344</v>
      </c>
      <c r="T729" s="595"/>
      <c r="U729" s="773">
        <v>13344</v>
      </c>
      <c r="V729" s="943"/>
      <c r="W729" s="708"/>
      <c r="X729" s="708"/>
      <c r="Y729" s="708"/>
      <c r="Z729" s="944"/>
      <c r="AA729" s="591">
        <v>5592</v>
      </c>
      <c r="AB729" s="595"/>
      <c r="AC729" s="773">
        <v>5592</v>
      </c>
      <c r="AD729" s="943"/>
      <c r="AE729" s="703">
        <v>32226250.07</v>
      </c>
      <c r="AF729" s="703">
        <v>373431.98</v>
      </c>
      <c r="AG729" s="767">
        <v>31852818.09</v>
      </c>
      <c r="AH729" s="944"/>
      <c r="AI729" s="595"/>
      <c r="AJ729" s="595"/>
      <c r="AK729" s="595"/>
      <c r="AL729" s="943"/>
      <c r="AM729" s="702">
        <v>245208</v>
      </c>
      <c r="AN729" s="708"/>
      <c r="AO729" s="967">
        <v>245208</v>
      </c>
    </row>
    <row r="730" spans="1:41" hidden="1">
      <c r="A730" s="756" t="s">
        <v>1061</v>
      </c>
      <c r="B730" s="319"/>
      <c r="C730" s="318">
        <v>4151.3100000000004</v>
      </c>
      <c r="D730" s="331"/>
      <c r="E730" s="739">
        <v>4151.3100000000004</v>
      </c>
      <c r="F730" s="317"/>
      <c r="G730" s="330"/>
      <c r="H730" s="330"/>
      <c r="I730" s="331"/>
      <c r="J730" s="319"/>
      <c r="K730" s="331"/>
      <c r="L730" s="331"/>
      <c r="M730" s="330"/>
      <c r="N730" s="317"/>
      <c r="O730" s="330"/>
      <c r="P730" s="330"/>
      <c r="Q730" s="331"/>
      <c r="R730" s="319"/>
      <c r="S730" s="331"/>
      <c r="T730" s="331"/>
      <c r="U730" s="330"/>
      <c r="V730" s="317"/>
      <c r="W730" s="330"/>
      <c r="X730" s="330"/>
      <c r="Y730" s="331"/>
      <c r="Z730" s="319"/>
      <c r="AA730" s="331"/>
      <c r="AB730" s="331"/>
      <c r="AC730" s="330"/>
      <c r="AD730" s="317"/>
      <c r="AE730" s="320">
        <v>4151.3100000000004</v>
      </c>
      <c r="AF730" s="330"/>
      <c r="AG730" s="729">
        <v>4151.3100000000004</v>
      </c>
      <c r="AH730" s="319"/>
      <c r="AI730" s="331"/>
      <c r="AJ730" s="331"/>
      <c r="AK730" s="330"/>
      <c r="AL730" s="317"/>
      <c r="AM730" s="330"/>
      <c r="AN730" s="330"/>
      <c r="AO730" s="331"/>
    </row>
    <row r="731" spans="1:41" hidden="1">
      <c r="A731" s="757" t="s">
        <v>1062</v>
      </c>
      <c r="B731" s="322"/>
      <c r="C731" s="325">
        <v>7865.04</v>
      </c>
      <c r="D731" s="339"/>
      <c r="E731" s="594">
        <v>7865.04</v>
      </c>
      <c r="F731" s="324"/>
      <c r="G731" s="338"/>
      <c r="H731" s="338"/>
      <c r="I731" s="339"/>
      <c r="J731" s="322"/>
      <c r="K731" s="339"/>
      <c r="L731" s="339"/>
      <c r="M731" s="338"/>
      <c r="N731" s="324"/>
      <c r="O731" s="338"/>
      <c r="P731" s="338"/>
      <c r="Q731" s="339"/>
      <c r="R731" s="322"/>
      <c r="S731" s="339"/>
      <c r="T731" s="339"/>
      <c r="U731" s="338"/>
      <c r="V731" s="324"/>
      <c r="W731" s="338"/>
      <c r="X731" s="338"/>
      <c r="Y731" s="339"/>
      <c r="Z731" s="322"/>
      <c r="AA731" s="339"/>
      <c r="AB731" s="339"/>
      <c r="AC731" s="338"/>
      <c r="AD731" s="324"/>
      <c r="AE731" s="323">
        <v>7865.04</v>
      </c>
      <c r="AF731" s="338"/>
      <c r="AG731" s="592">
        <v>7865.04</v>
      </c>
      <c r="AH731" s="322"/>
      <c r="AI731" s="339"/>
      <c r="AJ731" s="339"/>
      <c r="AK731" s="338"/>
      <c r="AL731" s="324"/>
      <c r="AM731" s="338"/>
      <c r="AN731" s="338"/>
      <c r="AO731" s="339"/>
    </row>
    <row r="732" spans="1:41" hidden="1">
      <c r="A732" s="756" t="s">
        <v>1855</v>
      </c>
      <c r="B732" s="322"/>
      <c r="C732" s="325">
        <v>2580.7199999999998</v>
      </c>
      <c r="D732" s="339"/>
      <c r="E732" s="594">
        <v>2580.7199999999998</v>
      </c>
      <c r="F732" s="324"/>
      <c r="G732" s="338"/>
      <c r="H732" s="338"/>
      <c r="I732" s="339"/>
      <c r="J732" s="322"/>
      <c r="K732" s="339"/>
      <c r="L732" s="339"/>
      <c r="M732" s="338"/>
      <c r="N732" s="324"/>
      <c r="O732" s="338"/>
      <c r="P732" s="338"/>
      <c r="Q732" s="339"/>
      <c r="R732" s="322"/>
      <c r="S732" s="339"/>
      <c r="T732" s="339"/>
      <c r="U732" s="338"/>
      <c r="V732" s="324"/>
      <c r="W732" s="338"/>
      <c r="X732" s="338"/>
      <c r="Y732" s="339"/>
      <c r="Z732" s="322"/>
      <c r="AA732" s="339"/>
      <c r="AB732" s="339"/>
      <c r="AC732" s="338"/>
      <c r="AD732" s="324"/>
      <c r="AE732" s="323">
        <v>2580.7199999999998</v>
      </c>
      <c r="AF732" s="338"/>
      <c r="AG732" s="592">
        <v>2580.7199999999998</v>
      </c>
      <c r="AH732" s="322"/>
      <c r="AI732" s="339"/>
      <c r="AJ732" s="339"/>
      <c r="AK732" s="338"/>
      <c r="AL732" s="324"/>
      <c r="AM732" s="338"/>
      <c r="AN732" s="338"/>
      <c r="AO732" s="339"/>
    </row>
    <row r="733" spans="1:41" hidden="1">
      <c r="A733" s="756" t="s">
        <v>1063</v>
      </c>
      <c r="B733" s="322"/>
      <c r="C733" s="339"/>
      <c r="D733" s="339"/>
      <c r="E733" s="338"/>
      <c r="F733" s="324"/>
      <c r="G733" s="338"/>
      <c r="H733" s="338"/>
      <c r="I733" s="339"/>
      <c r="J733" s="322"/>
      <c r="K733" s="339"/>
      <c r="L733" s="339"/>
      <c r="M733" s="338"/>
      <c r="N733" s="324"/>
      <c r="O733" s="338"/>
      <c r="P733" s="338"/>
      <c r="Q733" s="339"/>
      <c r="R733" s="322"/>
      <c r="S733" s="339"/>
      <c r="T733" s="339"/>
      <c r="U733" s="338"/>
      <c r="V733" s="324"/>
      <c r="W733" s="338"/>
      <c r="X733" s="338"/>
      <c r="Y733" s="339"/>
      <c r="Z733" s="322"/>
      <c r="AA733" s="339"/>
      <c r="AB733" s="339"/>
      <c r="AC733" s="338"/>
      <c r="AD733" s="324"/>
      <c r="AE733" s="338"/>
      <c r="AF733" s="338"/>
      <c r="AG733" s="339"/>
      <c r="AH733" s="322"/>
      <c r="AI733" s="339"/>
      <c r="AJ733" s="339"/>
      <c r="AK733" s="338"/>
      <c r="AL733" s="324"/>
      <c r="AM733" s="338"/>
      <c r="AN733" s="338"/>
      <c r="AO733" s="339"/>
    </row>
    <row r="734" spans="1:41" hidden="1">
      <c r="A734" s="757" t="s">
        <v>1065</v>
      </c>
      <c r="B734" s="322"/>
      <c r="C734" s="339"/>
      <c r="D734" s="339"/>
      <c r="E734" s="338"/>
      <c r="F734" s="324"/>
      <c r="G734" s="338"/>
      <c r="H734" s="338"/>
      <c r="I734" s="339"/>
      <c r="J734" s="322"/>
      <c r="K734" s="339"/>
      <c r="L734" s="339"/>
      <c r="M734" s="338"/>
      <c r="N734" s="324"/>
      <c r="O734" s="338"/>
      <c r="P734" s="338"/>
      <c r="Q734" s="339"/>
      <c r="R734" s="322"/>
      <c r="S734" s="339"/>
      <c r="T734" s="339"/>
      <c r="U734" s="338"/>
      <c r="V734" s="324"/>
      <c r="W734" s="338"/>
      <c r="X734" s="338"/>
      <c r="Y734" s="339"/>
      <c r="Z734" s="322"/>
      <c r="AA734" s="339"/>
      <c r="AB734" s="339"/>
      <c r="AC734" s="338"/>
      <c r="AD734" s="324"/>
      <c r="AE734" s="338"/>
      <c r="AF734" s="338"/>
      <c r="AG734" s="339"/>
      <c r="AH734" s="322"/>
      <c r="AI734" s="339"/>
      <c r="AJ734" s="339"/>
      <c r="AK734" s="338"/>
      <c r="AL734" s="324"/>
      <c r="AM734" s="338"/>
      <c r="AN734" s="338"/>
      <c r="AO734" s="339"/>
    </row>
    <row r="735" spans="1:41" hidden="1">
      <c r="A735" s="757" t="s">
        <v>1856</v>
      </c>
      <c r="B735" s="322"/>
      <c r="C735" s="325">
        <v>258552</v>
      </c>
      <c r="D735" s="339"/>
      <c r="E735" s="594">
        <v>258552</v>
      </c>
      <c r="F735" s="324"/>
      <c r="G735" s="338"/>
      <c r="H735" s="338"/>
      <c r="I735" s="339"/>
      <c r="J735" s="322"/>
      <c r="K735" s="339"/>
      <c r="L735" s="339"/>
      <c r="M735" s="338"/>
      <c r="N735" s="324"/>
      <c r="O735" s="338"/>
      <c r="P735" s="338"/>
      <c r="Q735" s="339"/>
      <c r="R735" s="322"/>
      <c r="S735" s="325">
        <v>13344</v>
      </c>
      <c r="T735" s="339"/>
      <c r="U735" s="594">
        <v>13344</v>
      </c>
      <c r="V735" s="324"/>
      <c r="W735" s="338"/>
      <c r="X735" s="338"/>
      <c r="Y735" s="339"/>
      <c r="Z735" s="322"/>
      <c r="AA735" s="339"/>
      <c r="AB735" s="339"/>
      <c r="AC735" s="338"/>
      <c r="AD735" s="324"/>
      <c r="AE735" s="338"/>
      <c r="AF735" s="338"/>
      <c r="AG735" s="339"/>
      <c r="AH735" s="322"/>
      <c r="AI735" s="339"/>
      <c r="AJ735" s="339"/>
      <c r="AK735" s="338"/>
      <c r="AL735" s="324"/>
      <c r="AM735" s="711">
        <v>245208</v>
      </c>
      <c r="AN735" s="338"/>
      <c r="AO735" s="737">
        <v>245208</v>
      </c>
    </row>
    <row r="736" spans="1:41" hidden="1">
      <c r="A736" s="757" t="s">
        <v>1857</v>
      </c>
      <c r="B736" s="322"/>
      <c r="C736" s="325">
        <v>336507</v>
      </c>
      <c r="D736" s="339"/>
      <c r="E736" s="594">
        <v>336507</v>
      </c>
      <c r="F736" s="324"/>
      <c r="G736" s="338"/>
      <c r="H736" s="338"/>
      <c r="I736" s="339"/>
      <c r="J736" s="322"/>
      <c r="K736" s="339"/>
      <c r="L736" s="339"/>
      <c r="M736" s="338"/>
      <c r="N736" s="324"/>
      <c r="O736" s="338"/>
      <c r="P736" s="338"/>
      <c r="Q736" s="339"/>
      <c r="R736" s="322"/>
      <c r="S736" s="339"/>
      <c r="T736" s="339"/>
      <c r="U736" s="338"/>
      <c r="V736" s="324"/>
      <c r="W736" s="338"/>
      <c r="X736" s="338"/>
      <c r="Y736" s="339"/>
      <c r="Z736" s="322"/>
      <c r="AA736" s="339"/>
      <c r="AB736" s="339"/>
      <c r="AC736" s="338"/>
      <c r="AD736" s="324"/>
      <c r="AE736" s="323">
        <v>336507</v>
      </c>
      <c r="AF736" s="338"/>
      <c r="AG736" s="592">
        <v>336507</v>
      </c>
      <c r="AH736" s="322"/>
      <c r="AI736" s="339"/>
      <c r="AJ736" s="339"/>
      <c r="AK736" s="338"/>
      <c r="AL736" s="324"/>
      <c r="AM736" s="338"/>
      <c r="AN736" s="338"/>
      <c r="AO736" s="339"/>
    </row>
    <row r="737" spans="1:41" hidden="1">
      <c r="A737" s="757" t="s">
        <v>1858</v>
      </c>
      <c r="B737" s="322"/>
      <c r="C737" s="325">
        <v>4145152</v>
      </c>
      <c r="D737" s="339"/>
      <c r="E737" s="594">
        <v>4145152</v>
      </c>
      <c r="F737" s="324"/>
      <c r="G737" s="338"/>
      <c r="H737" s="338"/>
      <c r="I737" s="339"/>
      <c r="J737" s="322"/>
      <c r="K737" s="339"/>
      <c r="L737" s="339"/>
      <c r="M737" s="338"/>
      <c r="N737" s="324"/>
      <c r="O737" s="338"/>
      <c r="P737" s="338"/>
      <c r="Q737" s="339"/>
      <c r="R737" s="322"/>
      <c r="S737" s="339"/>
      <c r="T737" s="339"/>
      <c r="U737" s="338"/>
      <c r="V737" s="324"/>
      <c r="W737" s="338"/>
      <c r="X737" s="338"/>
      <c r="Y737" s="339"/>
      <c r="Z737" s="322"/>
      <c r="AA737" s="339"/>
      <c r="AB737" s="339"/>
      <c r="AC737" s="338"/>
      <c r="AD737" s="324"/>
      <c r="AE737" s="323">
        <v>4145152</v>
      </c>
      <c r="AF737" s="338"/>
      <c r="AG737" s="592">
        <v>4145152</v>
      </c>
      <c r="AH737" s="322"/>
      <c r="AI737" s="339"/>
      <c r="AJ737" s="339"/>
      <c r="AK737" s="338"/>
      <c r="AL737" s="324"/>
      <c r="AM737" s="338"/>
      <c r="AN737" s="338"/>
      <c r="AO737" s="339"/>
    </row>
    <row r="738" spans="1:41" hidden="1">
      <c r="A738" s="756" t="s">
        <v>1405</v>
      </c>
      <c r="B738" s="322"/>
      <c r="C738" s="325">
        <v>5592</v>
      </c>
      <c r="D738" s="339"/>
      <c r="E738" s="594">
        <v>5592</v>
      </c>
      <c r="F738" s="324"/>
      <c r="G738" s="338"/>
      <c r="H738" s="338"/>
      <c r="I738" s="339"/>
      <c r="J738" s="322"/>
      <c r="K738" s="339"/>
      <c r="L738" s="339"/>
      <c r="M738" s="338"/>
      <c r="N738" s="324"/>
      <c r="O738" s="338"/>
      <c r="P738" s="338"/>
      <c r="Q738" s="339"/>
      <c r="R738" s="322"/>
      <c r="S738" s="339"/>
      <c r="T738" s="339"/>
      <c r="U738" s="338"/>
      <c r="V738" s="324"/>
      <c r="W738" s="338"/>
      <c r="X738" s="338"/>
      <c r="Y738" s="339"/>
      <c r="Z738" s="322"/>
      <c r="AA738" s="325">
        <v>5592</v>
      </c>
      <c r="AB738" s="339"/>
      <c r="AC738" s="594">
        <v>5592</v>
      </c>
      <c r="AD738" s="324"/>
      <c r="AE738" s="338"/>
      <c r="AF738" s="338"/>
      <c r="AG738" s="339"/>
      <c r="AH738" s="322"/>
      <c r="AI738" s="339"/>
      <c r="AJ738" s="339"/>
      <c r="AK738" s="338"/>
      <c r="AL738" s="324"/>
      <c r="AM738" s="338"/>
      <c r="AN738" s="338"/>
      <c r="AO738" s="339"/>
    </row>
    <row r="739" spans="1:41" hidden="1">
      <c r="A739" s="757" t="s">
        <v>1859</v>
      </c>
      <c r="B739" s="322"/>
      <c r="C739" s="325">
        <v>1646</v>
      </c>
      <c r="D739" s="325">
        <v>35641.980000000003</v>
      </c>
      <c r="E739" s="589">
        <v>33995.980000000003</v>
      </c>
      <c r="F739" s="324"/>
      <c r="G739" s="338"/>
      <c r="H739" s="338"/>
      <c r="I739" s="339"/>
      <c r="J739" s="322"/>
      <c r="K739" s="339"/>
      <c r="L739" s="339"/>
      <c r="M739" s="338"/>
      <c r="N739" s="324"/>
      <c r="O739" s="338"/>
      <c r="P739" s="338"/>
      <c r="Q739" s="339"/>
      <c r="R739" s="322"/>
      <c r="S739" s="339"/>
      <c r="T739" s="339"/>
      <c r="U739" s="338"/>
      <c r="V739" s="324"/>
      <c r="W739" s="338"/>
      <c r="X739" s="338"/>
      <c r="Y739" s="339"/>
      <c r="Z739" s="322"/>
      <c r="AA739" s="339"/>
      <c r="AB739" s="339"/>
      <c r="AC739" s="338"/>
      <c r="AD739" s="324"/>
      <c r="AE739" s="323">
        <v>1646</v>
      </c>
      <c r="AF739" s="323">
        <v>35641.980000000003</v>
      </c>
      <c r="AG739" s="588">
        <v>33995.980000000003</v>
      </c>
      <c r="AH739" s="322"/>
      <c r="AI739" s="339"/>
      <c r="AJ739" s="339"/>
      <c r="AK739" s="338"/>
      <c r="AL739" s="324"/>
      <c r="AM739" s="338"/>
      <c r="AN739" s="338"/>
      <c r="AO739" s="339"/>
    </row>
    <row r="740" spans="1:41" hidden="1">
      <c r="A740" s="757" t="s">
        <v>1860</v>
      </c>
      <c r="B740" s="322"/>
      <c r="C740" s="325">
        <v>618</v>
      </c>
      <c r="D740" s="339"/>
      <c r="E740" s="594">
        <v>618</v>
      </c>
      <c r="F740" s="324"/>
      <c r="G740" s="338"/>
      <c r="H740" s="338"/>
      <c r="I740" s="339"/>
      <c r="J740" s="322"/>
      <c r="K740" s="339"/>
      <c r="L740" s="339"/>
      <c r="M740" s="338"/>
      <c r="N740" s="324"/>
      <c r="O740" s="338"/>
      <c r="P740" s="338"/>
      <c r="Q740" s="339"/>
      <c r="R740" s="322"/>
      <c r="S740" s="339"/>
      <c r="T740" s="339"/>
      <c r="U740" s="338"/>
      <c r="V740" s="324"/>
      <c r="W740" s="338"/>
      <c r="X740" s="338"/>
      <c r="Y740" s="339"/>
      <c r="Z740" s="322"/>
      <c r="AA740" s="339"/>
      <c r="AB740" s="339"/>
      <c r="AC740" s="338"/>
      <c r="AD740" s="324"/>
      <c r="AE740" s="323">
        <v>618</v>
      </c>
      <c r="AF740" s="338"/>
      <c r="AG740" s="592">
        <v>618</v>
      </c>
      <c r="AH740" s="322"/>
      <c r="AI740" s="339"/>
      <c r="AJ740" s="339"/>
      <c r="AK740" s="338"/>
      <c r="AL740" s="324"/>
      <c r="AM740" s="338"/>
      <c r="AN740" s="338"/>
      <c r="AO740" s="339"/>
    </row>
    <row r="741" spans="1:41" hidden="1">
      <c r="A741" s="757" t="s">
        <v>1861</v>
      </c>
      <c r="B741" s="322"/>
      <c r="C741" s="325">
        <v>5090711</v>
      </c>
      <c r="D741" s="339"/>
      <c r="E741" s="594">
        <v>5090711</v>
      </c>
      <c r="F741" s="324"/>
      <c r="G741" s="338"/>
      <c r="H741" s="338"/>
      <c r="I741" s="339"/>
      <c r="J741" s="322"/>
      <c r="K741" s="339"/>
      <c r="L741" s="339"/>
      <c r="M741" s="338"/>
      <c r="N741" s="324"/>
      <c r="O741" s="338"/>
      <c r="P741" s="338"/>
      <c r="Q741" s="339"/>
      <c r="R741" s="322"/>
      <c r="S741" s="339"/>
      <c r="T741" s="339"/>
      <c r="U741" s="338"/>
      <c r="V741" s="324"/>
      <c r="W741" s="338"/>
      <c r="X741" s="338"/>
      <c r="Y741" s="339"/>
      <c r="Z741" s="322"/>
      <c r="AA741" s="339"/>
      <c r="AB741" s="339"/>
      <c r="AC741" s="338"/>
      <c r="AD741" s="324"/>
      <c r="AE741" s="323">
        <v>5090711</v>
      </c>
      <c r="AF741" s="338"/>
      <c r="AG741" s="592">
        <v>5090711</v>
      </c>
      <c r="AH741" s="322"/>
      <c r="AI741" s="339"/>
      <c r="AJ741" s="339"/>
      <c r="AK741" s="338"/>
      <c r="AL741" s="324"/>
      <c r="AM741" s="338"/>
      <c r="AN741" s="338"/>
      <c r="AO741" s="339"/>
    </row>
    <row r="742" spans="1:41" hidden="1">
      <c r="A742" s="757" t="s">
        <v>1862</v>
      </c>
      <c r="B742" s="322"/>
      <c r="C742" s="325">
        <v>21825951</v>
      </c>
      <c r="D742" s="339"/>
      <c r="E742" s="594">
        <v>21825951</v>
      </c>
      <c r="F742" s="324"/>
      <c r="G742" s="338"/>
      <c r="H742" s="338"/>
      <c r="I742" s="339"/>
      <c r="J742" s="322"/>
      <c r="K742" s="339"/>
      <c r="L742" s="339"/>
      <c r="M742" s="338"/>
      <c r="N742" s="324"/>
      <c r="O742" s="338"/>
      <c r="P742" s="338"/>
      <c r="Q742" s="339"/>
      <c r="R742" s="322"/>
      <c r="S742" s="339"/>
      <c r="T742" s="339"/>
      <c r="U742" s="338"/>
      <c r="V742" s="324"/>
      <c r="W742" s="338"/>
      <c r="X742" s="338"/>
      <c r="Y742" s="339"/>
      <c r="Z742" s="322"/>
      <c r="AA742" s="339"/>
      <c r="AB742" s="339"/>
      <c r="AC742" s="338"/>
      <c r="AD742" s="324"/>
      <c r="AE742" s="323">
        <v>21825951</v>
      </c>
      <c r="AF742" s="338"/>
      <c r="AG742" s="592">
        <v>21825951</v>
      </c>
      <c r="AH742" s="322"/>
      <c r="AI742" s="339"/>
      <c r="AJ742" s="339"/>
      <c r="AK742" s="338"/>
      <c r="AL742" s="324"/>
      <c r="AM742" s="338"/>
      <c r="AN742" s="338"/>
      <c r="AO742" s="339"/>
    </row>
    <row r="743" spans="1:41" hidden="1">
      <c r="A743" s="757" t="s">
        <v>1852</v>
      </c>
      <c r="B743" s="322"/>
      <c r="C743" s="325">
        <v>811068</v>
      </c>
      <c r="D743" s="325">
        <v>337790</v>
      </c>
      <c r="E743" s="594">
        <v>473278</v>
      </c>
      <c r="F743" s="324"/>
      <c r="G743" s="338"/>
      <c r="H743" s="338"/>
      <c r="I743" s="339"/>
      <c r="J743" s="322"/>
      <c r="K743" s="339"/>
      <c r="L743" s="339"/>
      <c r="M743" s="338"/>
      <c r="N743" s="324"/>
      <c r="O743" s="338"/>
      <c r="P743" s="338"/>
      <c r="Q743" s="339"/>
      <c r="R743" s="322"/>
      <c r="S743" s="339"/>
      <c r="T743" s="339"/>
      <c r="U743" s="338"/>
      <c r="V743" s="324"/>
      <c r="W743" s="338"/>
      <c r="X743" s="338"/>
      <c r="Y743" s="339"/>
      <c r="Z743" s="322"/>
      <c r="AA743" s="339"/>
      <c r="AB743" s="339"/>
      <c r="AC743" s="338"/>
      <c r="AD743" s="324"/>
      <c r="AE743" s="323">
        <v>811068</v>
      </c>
      <c r="AF743" s="323">
        <v>337790</v>
      </c>
      <c r="AG743" s="592">
        <v>473278</v>
      </c>
      <c r="AH743" s="322"/>
      <c r="AI743" s="339"/>
      <c r="AJ743" s="339"/>
      <c r="AK743" s="338"/>
      <c r="AL743" s="324"/>
      <c r="AM743" s="338"/>
      <c r="AN743" s="338"/>
      <c r="AO743" s="339"/>
    </row>
    <row r="744" spans="1:41" hidden="1">
      <c r="A744" s="316" t="s">
        <v>383</v>
      </c>
      <c r="B744" s="944"/>
      <c r="C744" s="591">
        <v>2915034.74</v>
      </c>
      <c r="D744" s="591">
        <v>588665.75</v>
      </c>
      <c r="E744" s="773">
        <v>2326368.9900000002</v>
      </c>
      <c r="F744" s="943"/>
      <c r="G744" s="708"/>
      <c r="H744" s="708"/>
      <c r="I744" s="708"/>
      <c r="J744" s="944"/>
      <c r="K744" s="595"/>
      <c r="L744" s="595"/>
      <c r="M744" s="595"/>
      <c r="N744" s="943"/>
      <c r="O744" s="703">
        <v>2915034.74</v>
      </c>
      <c r="P744" s="703">
        <v>588665.75</v>
      </c>
      <c r="Q744" s="767">
        <v>2326368.9900000002</v>
      </c>
      <c r="R744" s="944"/>
      <c r="S744" s="591">
        <v>95000</v>
      </c>
      <c r="T744" s="595"/>
      <c r="U744" s="773">
        <v>95000</v>
      </c>
      <c r="V744" s="943"/>
      <c r="W744" s="708"/>
      <c r="X744" s="708"/>
      <c r="Y744" s="708"/>
      <c r="Z744" s="944"/>
      <c r="AA744" s="595"/>
      <c r="AB744" s="595"/>
      <c r="AC744" s="595"/>
      <c r="AD744" s="943"/>
      <c r="AE744" s="708"/>
      <c r="AF744" s="708"/>
      <c r="AG744" s="708"/>
      <c r="AH744" s="944"/>
      <c r="AI744" s="595"/>
      <c r="AJ744" s="595"/>
      <c r="AK744" s="595"/>
      <c r="AL744" s="943"/>
      <c r="AM744" s="702">
        <v>1081518</v>
      </c>
      <c r="AN744" s="702">
        <v>275000</v>
      </c>
      <c r="AO744" s="967">
        <v>806518</v>
      </c>
    </row>
    <row r="745" spans="1:41" hidden="1">
      <c r="A745" s="756" t="s">
        <v>1066</v>
      </c>
      <c r="B745" s="319"/>
      <c r="C745" s="318">
        <v>412501</v>
      </c>
      <c r="D745" s="318">
        <v>250006</v>
      </c>
      <c r="E745" s="739">
        <v>162495</v>
      </c>
      <c r="F745" s="317"/>
      <c r="G745" s="330"/>
      <c r="H745" s="330"/>
      <c r="I745" s="331"/>
      <c r="J745" s="319"/>
      <c r="K745" s="331"/>
      <c r="L745" s="331"/>
      <c r="M745" s="330"/>
      <c r="N745" s="317"/>
      <c r="O745" s="320">
        <v>412501</v>
      </c>
      <c r="P745" s="320">
        <v>250006</v>
      </c>
      <c r="Q745" s="729">
        <v>162495</v>
      </c>
      <c r="R745" s="319"/>
      <c r="S745" s="331"/>
      <c r="T745" s="331"/>
      <c r="U745" s="330"/>
      <c r="V745" s="317"/>
      <c r="W745" s="330"/>
      <c r="X745" s="330"/>
      <c r="Y745" s="331"/>
      <c r="Z745" s="319"/>
      <c r="AA745" s="331"/>
      <c r="AB745" s="331"/>
      <c r="AC745" s="330"/>
      <c r="AD745" s="317"/>
      <c r="AE745" s="330"/>
      <c r="AF745" s="330"/>
      <c r="AG745" s="331"/>
      <c r="AH745" s="319"/>
      <c r="AI745" s="331"/>
      <c r="AJ745" s="331"/>
      <c r="AK745" s="330"/>
      <c r="AL745" s="317"/>
      <c r="AM745" s="330"/>
      <c r="AN745" s="330"/>
      <c r="AO745" s="331"/>
    </row>
    <row r="746" spans="1:41" hidden="1">
      <c r="A746" s="756" t="s">
        <v>1863</v>
      </c>
      <c r="B746" s="322"/>
      <c r="C746" s="325">
        <v>217500</v>
      </c>
      <c r="D746" s="339"/>
      <c r="E746" s="594">
        <v>217500</v>
      </c>
      <c r="F746" s="324"/>
      <c r="G746" s="338"/>
      <c r="H746" s="338"/>
      <c r="I746" s="339"/>
      <c r="J746" s="322"/>
      <c r="K746" s="339"/>
      <c r="L746" s="339"/>
      <c r="M746" s="338"/>
      <c r="N746" s="324"/>
      <c r="O746" s="323">
        <v>217500</v>
      </c>
      <c r="P746" s="338"/>
      <c r="Q746" s="592">
        <v>217500</v>
      </c>
      <c r="R746" s="322"/>
      <c r="S746" s="339"/>
      <c r="T746" s="339"/>
      <c r="U746" s="338"/>
      <c r="V746" s="324"/>
      <c r="W746" s="338"/>
      <c r="X746" s="338"/>
      <c r="Y746" s="339"/>
      <c r="Z746" s="322"/>
      <c r="AA746" s="339"/>
      <c r="AB746" s="339"/>
      <c r="AC746" s="338"/>
      <c r="AD746" s="324"/>
      <c r="AE746" s="338"/>
      <c r="AF746" s="338"/>
      <c r="AG746" s="339"/>
      <c r="AH746" s="322"/>
      <c r="AI746" s="339"/>
      <c r="AJ746" s="339"/>
      <c r="AK746" s="338"/>
      <c r="AL746" s="324"/>
      <c r="AM746" s="338"/>
      <c r="AN746" s="338"/>
      <c r="AO746" s="339"/>
    </row>
    <row r="747" spans="1:41" hidden="1">
      <c r="A747" s="757" t="s">
        <v>1864</v>
      </c>
      <c r="B747" s="322"/>
      <c r="C747" s="714">
        <v>277320</v>
      </c>
      <c r="D747" s="339"/>
      <c r="E747" s="735">
        <v>277320</v>
      </c>
      <c r="F747" s="324"/>
      <c r="G747" s="338"/>
      <c r="H747" s="338"/>
      <c r="I747" s="339"/>
      <c r="J747" s="322"/>
      <c r="K747" s="339"/>
      <c r="L747" s="339"/>
      <c r="M747" s="338"/>
      <c r="N747" s="324"/>
      <c r="O747" s="338"/>
      <c r="P747" s="338"/>
      <c r="Q747" s="339"/>
      <c r="R747" s="322"/>
      <c r="S747" s="339"/>
      <c r="T747" s="339"/>
      <c r="U747" s="338"/>
      <c r="V747" s="324"/>
      <c r="W747" s="338"/>
      <c r="X747" s="338"/>
      <c r="Y747" s="339"/>
      <c r="Z747" s="322"/>
      <c r="AA747" s="339"/>
      <c r="AB747" s="339"/>
      <c r="AC747" s="338"/>
      <c r="AD747" s="324"/>
      <c r="AE747" s="338"/>
      <c r="AF747" s="338"/>
      <c r="AG747" s="339"/>
      <c r="AH747" s="322"/>
      <c r="AI747" s="339"/>
      <c r="AJ747" s="339"/>
      <c r="AK747" s="338"/>
      <c r="AL747" s="324"/>
      <c r="AM747" s="711">
        <v>277320</v>
      </c>
      <c r="AN747" s="338"/>
      <c r="AO747" s="737">
        <v>277320</v>
      </c>
    </row>
    <row r="748" spans="1:41" hidden="1">
      <c r="A748" s="757" t="s">
        <v>1865</v>
      </c>
      <c r="B748" s="322"/>
      <c r="C748" s="325">
        <v>899198</v>
      </c>
      <c r="D748" s="714">
        <v>275000</v>
      </c>
      <c r="E748" s="594">
        <v>624198</v>
      </c>
      <c r="F748" s="324"/>
      <c r="G748" s="338"/>
      <c r="H748" s="338"/>
      <c r="I748" s="339"/>
      <c r="J748" s="322"/>
      <c r="K748" s="339"/>
      <c r="L748" s="339"/>
      <c r="M748" s="338"/>
      <c r="N748" s="324"/>
      <c r="O748" s="338"/>
      <c r="P748" s="338"/>
      <c r="Q748" s="339"/>
      <c r="R748" s="322"/>
      <c r="S748" s="325">
        <v>95000</v>
      </c>
      <c r="T748" s="339"/>
      <c r="U748" s="594">
        <v>95000</v>
      </c>
      <c r="V748" s="324"/>
      <c r="W748" s="338"/>
      <c r="X748" s="338"/>
      <c r="Y748" s="339"/>
      <c r="Z748" s="322"/>
      <c r="AA748" s="339"/>
      <c r="AB748" s="339"/>
      <c r="AC748" s="338"/>
      <c r="AD748" s="324"/>
      <c r="AE748" s="338"/>
      <c r="AF748" s="338"/>
      <c r="AG748" s="339"/>
      <c r="AH748" s="322"/>
      <c r="AI748" s="339"/>
      <c r="AJ748" s="339"/>
      <c r="AK748" s="338"/>
      <c r="AL748" s="324"/>
      <c r="AM748" s="711">
        <v>804198</v>
      </c>
      <c r="AN748" s="711">
        <v>275000</v>
      </c>
      <c r="AO748" s="737">
        <v>529198</v>
      </c>
    </row>
    <row r="749" spans="1:41" hidden="1">
      <c r="A749" s="757" t="s">
        <v>1067</v>
      </c>
      <c r="B749" s="322"/>
      <c r="C749" s="325">
        <v>2276608.96</v>
      </c>
      <c r="D749" s="325">
        <v>338659.75</v>
      </c>
      <c r="E749" s="594">
        <v>1937949.21</v>
      </c>
      <c r="F749" s="324"/>
      <c r="G749" s="338"/>
      <c r="H749" s="338"/>
      <c r="I749" s="339"/>
      <c r="J749" s="322"/>
      <c r="K749" s="339"/>
      <c r="L749" s="339"/>
      <c r="M749" s="338"/>
      <c r="N749" s="324"/>
      <c r="O749" s="323">
        <v>2276608.96</v>
      </c>
      <c r="P749" s="323">
        <v>338659.75</v>
      </c>
      <c r="Q749" s="592">
        <v>1937949.21</v>
      </c>
      <c r="R749" s="322"/>
      <c r="S749" s="339"/>
      <c r="T749" s="339"/>
      <c r="U749" s="338"/>
      <c r="V749" s="324"/>
      <c r="W749" s="338"/>
      <c r="X749" s="338"/>
      <c r="Y749" s="339"/>
      <c r="Z749" s="322"/>
      <c r="AA749" s="339"/>
      <c r="AB749" s="339"/>
      <c r="AC749" s="338"/>
      <c r="AD749" s="324"/>
      <c r="AE749" s="338"/>
      <c r="AF749" s="338"/>
      <c r="AG749" s="339"/>
      <c r="AH749" s="322"/>
      <c r="AI749" s="339"/>
      <c r="AJ749" s="339"/>
      <c r="AK749" s="338"/>
      <c r="AL749" s="324"/>
      <c r="AM749" s="338"/>
      <c r="AN749" s="338"/>
      <c r="AO749" s="339"/>
    </row>
    <row r="750" spans="1:41" hidden="1">
      <c r="A750" s="756" t="s">
        <v>1068</v>
      </c>
      <c r="B750" s="322"/>
      <c r="C750" s="325">
        <v>8424.7800000000007</v>
      </c>
      <c r="D750" s="339"/>
      <c r="E750" s="594">
        <v>8424.7800000000007</v>
      </c>
      <c r="F750" s="324"/>
      <c r="G750" s="338"/>
      <c r="H750" s="338"/>
      <c r="I750" s="339"/>
      <c r="J750" s="322"/>
      <c r="K750" s="339"/>
      <c r="L750" s="339"/>
      <c r="M750" s="338"/>
      <c r="N750" s="324"/>
      <c r="O750" s="323">
        <v>8424.7800000000007</v>
      </c>
      <c r="P750" s="338"/>
      <c r="Q750" s="592">
        <v>8424.7800000000007</v>
      </c>
      <c r="R750" s="322"/>
      <c r="S750" s="339"/>
      <c r="T750" s="339"/>
      <c r="U750" s="338"/>
      <c r="V750" s="324"/>
      <c r="W750" s="338"/>
      <c r="X750" s="338"/>
      <c r="Y750" s="339"/>
      <c r="Z750" s="322"/>
      <c r="AA750" s="339"/>
      <c r="AB750" s="339"/>
      <c r="AC750" s="338"/>
      <c r="AD750" s="324"/>
      <c r="AE750" s="338"/>
      <c r="AF750" s="338"/>
      <c r="AG750" s="339"/>
      <c r="AH750" s="322"/>
      <c r="AI750" s="339"/>
      <c r="AJ750" s="339"/>
      <c r="AK750" s="338"/>
      <c r="AL750" s="324"/>
      <c r="AM750" s="338"/>
      <c r="AN750" s="338"/>
      <c r="AO750" s="339"/>
    </row>
    <row r="751" spans="1:41" hidden="1">
      <c r="A751" s="756" t="s">
        <v>1414</v>
      </c>
      <c r="B751" s="322"/>
      <c r="C751" s="339"/>
      <c r="D751" s="339"/>
      <c r="E751" s="338"/>
      <c r="F751" s="324"/>
      <c r="G751" s="338"/>
      <c r="H751" s="338"/>
      <c r="I751" s="339"/>
      <c r="J751" s="322"/>
      <c r="K751" s="339"/>
      <c r="L751" s="339"/>
      <c r="M751" s="338"/>
      <c r="N751" s="324"/>
      <c r="O751" s="338"/>
      <c r="P751" s="338"/>
      <c r="Q751" s="339"/>
      <c r="R751" s="322"/>
      <c r="S751" s="339"/>
      <c r="T751" s="339"/>
      <c r="U751" s="338"/>
      <c r="V751" s="324"/>
      <c r="W751" s="338"/>
      <c r="X751" s="338"/>
      <c r="Y751" s="339"/>
      <c r="Z751" s="322"/>
      <c r="AA751" s="339"/>
      <c r="AB751" s="339"/>
      <c r="AC751" s="338"/>
      <c r="AD751" s="324"/>
      <c r="AE751" s="338"/>
      <c r="AF751" s="338"/>
      <c r="AG751" s="339"/>
      <c r="AH751" s="322"/>
      <c r="AI751" s="339"/>
      <c r="AJ751" s="339"/>
      <c r="AK751" s="338"/>
      <c r="AL751" s="324"/>
      <c r="AM751" s="338"/>
      <c r="AN751" s="338"/>
      <c r="AO751" s="339"/>
    </row>
    <row r="752" spans="1:41" hidden="1">
      <c r="A752" s="316" t="s">
        <v>810</v>
      </c>
      <c r="B752" s="944"/>
      <c r="C752" s="591">
        <v>789500</v>
      </c>
      <c r="D752" s="591">
        <v>732246</v>
      </c>
      <c r="E752" s="773">
        <v>57254</v>
      </c>
      <c r="F752" s="943"/>
      <c r="G752" s="708"/>
      <c r="H752" s="708"/>
      <c r="I752" s="708"/>
      <c r="J752" s="944"/>
      <c r="K752" s="595"/>
      <c r="L752" s="595"/>
      <c r="M752" s="595"/>
      <c r="N752" s="943"/>
      <c r="O752" s="708"/>
      <c r="P752" s="708"/>
      <c r="Q752" s="708"/>
      <c r="R752" s="944"/>
      <c r="S752" s="595"/>
      <c r="T752" s="595"/>
      <c r="U752" s="595"/>
      <c r="V752" s="943"/>
      <c r="W752" s="708"/>
      <c r="X752" s="708"/>
      <c r="Y752" s="708"/>
      <c r="Z752" s="944"/>
      <c r="AA752" s="595"/>
      <c r="AB752" s="595"/>
      <c r="AC752" s="595"/>
      <c r="AD752" s="943"/>
      <c r="AE752" s="703">
        <v>789500</v>
      </c>
      <c r="AF752" s="703">
        <v>732246</v>
      </c>
      <c r="AG752" s="767">
        <v>57254</v>
      </c>
      <c r="AH752" s="944"/>
      <c r="AI752" s="595"/>
      <c r="AJ752" s="595"/>
      <c r="AK752" s="595"/>
      <c r="AL752" s="943"/>
      <c r="AM752" s="708"/>
      <c r="AN752" s="708"/>
      <c r="AO752" s="708"/>
    </row>
    <row r="753" spans="1:41" hidden="1">
      <c r="A753" s="757" t="s">
        <v>1866</v>
      </c>
      <c r="B753" s="319"/>
      <c r="C753" s="318">
        <v>616250</v>
      </c>
      <c r="D753" s="318">
        <v>581246</v>
      </c>
      <c r="E753" s="739">
        <v>35004</v>
      </c>
      <c r="F753" s="317"/>
      <c r="G753" s="330"/>
      <c r="H753" s="330"/>
      <c r="I753" s="331"/>
      <c r="J753" s="319"/>
      <c r="K753" s="331"/>
      <c r="L753" s="331"/>
      <c r="M753" s="330"/>
      <c r="N753" s="317"/>
      <c r="O753" s="330"/>
      <c r="P753" s="330"/>
      <c r="Q753" s="331"/>
      <c r="R753" s="319"/>
      <c r="S753" s="331"/>
      <c r="T753" s="331"/>
      <c r="U753" s="330"/>
      <c r="V753" s="317"/>
      <c r="W753" s="330"/>
      <c r="X753" s="330"/>
      <c r="Y753" s="331"/>
      <c r="Z753" s="319"/>
      <c r="AA753" s="331"/>
      <c r="AB753" s="331"/>
      <c r="AC753" s="330"/>
      <c r="AD753" s="317"/>
      <c r="AE753" s="320">
        <v>616250</v>
      </c>
      <c r="AF753" s="320">
        <v>581246</v>
      </c>
      <c r="AG753" s="729">
        <v>35004</v>
      </c>
      <c r="AH753" s="319"/>
      <c r="AI753" s="331"/>
      <c r="AJ753" s="331"/>
      <c r="AK753" s="330"/>
      <c r="AL753" s="317"/>
      <c r="AM753" s="330"/>
      <c r="AN753" s="330"/>
      <c r="AO753" s="331"/>
    </row>
    <row r="754" spans="1:41" hidden="1">
      <c r="A754" s="757" t="s">
        <v>1867</v>
      </c>
      <c r="B754" s="322"/>
      <c r="C754" s="325">
        <v>153970</v>
      </c>
      <c r="D754" s="325">
        <v>150000</v>
      </c>
      <c r="E754" s="594">
        <v>3970</v>
      </c>
      <c r="F754" s="324"/>
      <c r="G754" s="338"/>
      <c r="H754" s="338"/>
      <c r="I754" s="339"/>
      <c r="J754" s="322"/>
      <c r="K754" s="339"/>
      <c r="L754" s="339"/>
      <c r="M754" s="338"/>
      <c r="N754" s="324"/>
      <c r="O754" s="338"/>
      <c r="P754" s="338"/>
      <c r="Q754" s="339"/>
      <c r="R754" s="322"/>
      <c r="S754" s="339"/>
      <c r="T754" s="339"/>
      <c r="U754" s="338"/>
      <c r="V754" s="324"/>
      <c r="W754" s="338"/>
      <c r="X754" s="338"/>
      <c r="Y754" s="339"/>
      <c r="Z754" s="322"/>
      <c r="AA754" s="339"/>
      <c r="AB754" s="339"/>
      <c r="AC754" s="338"/>
      <c r="AD754" s="324"/>
      <c r="AE754" s="323">
        <v>153970</v>
      </c>
      <c r="AF754" s="323">
        <v>150000</v>
      </c>
      <c r="AG754" s="592">
        <v>3970</v>
      </c>
      <c r="AH754" s="322"/>
      <c r="AI754" s="339"/>
      <c r="AJ754" s="339"/>
      <c r="AK754" s="338"/>
      <c r="AL754" s="324"/>
      <c r="AM754" s="338"/>
      <c r="AN754" s="338"/>
      <c r="AO754" s="339"/>
    </row>
    <row r="755" spans="1:41" hidden="1">
      <c r="A755" s="757" t="s">
        <v>1864</v>
      </c>
      <c r="B755" s="322"/>
      <c r="C755" s="325">
        <v>18080</v>
      </c>
      <c r="D755" s="325">
        <v>1000</v>
      </c>
      <c r="E755" s="594">
        <v>17080</v>
      </c>
      <c r="F755" s="324"/>
      <c r="G755" s="338"/>
      <c r="H755" s="338"/>
      <c r="I755" s="339"/>
      <c r="J755" s="322"/>
      <c r="K755" s="339"/>
      <c r="L755" s="339"/>
      <c r="M755" s="338"/>
      <c r="N755" s="324"/>
      <c r="O755" s="338"/>
      <c r="P755" s="338"/>
      <c r="Q755" s="339"/>
      <c r="R755" s="322"/>
      <c r="S755" s="339"/>
      <c r="T755" s="339"/>
      <c r="U755" s="338"/>
      <c r="V755" s="324"/>
      <c r="W755" s="338"/>
      <c r="X755" s="338"/>
      <c r="Y755" s="339"/>
      <c r="Z755" s="322"/>
      <c r="AA755" s="339"/>
      <c r="AB755" s="339"/>
      <c r="AC755" s="338"/>
      <c r="AD755" s="324"/>
      <c r="AE755" s="323">
        <v>18080</v>
      </c>
      <c r="AF755" s="323">
        <v>1000</v>
      </c>
      <c r="AG755" s="592">
        <v>17080</v>
      </c>
      <c r="AH755" s="322"/>
      <c r="AI755" s="339"/>
      <c r="AJ755" s="339"/>
      <c r="AK755" s="338"/>
      <c r="AL755" s="324"/>
      <c r="AM755" s="338"/>
      <c r="AN755" s="338"/>
      <c r="AO755" s="339"/>
    </row>
    <row r="756" spans="1:41" hidden="1">
      <c r="A756" s="757" t="s">
        <v>1868</v>
      </c>
      <c r="B756" s="322"/>
      <c r="C756" s="325">
        <v>1200</v>
      </c>
      <c r="D756" s="339"/>
      <c r="E756" s="594">
        <v>1200</v>
      </c>
      <c r="F756" s="324"/>
      <c r="G756" s="338"/>
      <c r="H756" s="338"/>
      <c r="I756" s="339"/>
      <c r="J756" s="322"/>
      <c r="K756" s="339"/>
      <c r="L756" s="339"/>
      <c r="M756" s="338"/>
      <c r="N756" s="324"/>
      <c r="O756" s="338"/>
      <c r="P756" s="338"/>
      <c r="Q756" s="339"/>
      <c r="R756" s="322"/>
      <c r="S756" s="339"/>
      <c r="T756" s="339"/>
      <c r="U756" s="338"/>
      <c r="V756" s="324"/>
      <c r="W756" s="338"/>
      <c r="X756" s="338"/>
      <c r="Y756" s="339"/>
      <c r="Z756" s="322"/>
      <c r="AA756" s="339"/>
      <c r="AB756" s="339"/>
      <c r="AC756" s="338"/>
      <c r="AD756" s="324"/>
      <c r="AE756" s="323">
        <v>1200</v>
      </c>
      <c r="AF756" s="338"/>
      <c r="AG756" s="592">
        <v>1200</v>
      </c>
      <c r="AH756" s="322"/>
      <c r="AI756" s="339"/>
      <c r="AJ756" s="339"/>
      <c r="AK756" s="338"/>
      <c r="AL756" s="324"/>
      <c r="AM756" s="338"/>
      <c r="AN756" s="338"/>
      <c r="AO756" s="339"/>
    </row>
    <row r="757" spans="1:41" hidden="1">
      <c r="A757" s="316" t="s">
        <v>782</v>
      </c>
      <c r="B757" s="944"/>
      <c r="C757" s="591">
        <v>1257750</v>
      </c>
      <c r="D757" s="595"/>
      <c r="E757" s="773">
        <v>1257750</v>
      </c>
      <c r="F757" s="943"/>
      <c r="G757" s="708"/>
      <c r="H757" s="708"/>
      <c r="I757" s="708"/>
      <c r="J757" s="944"/>
      <c r="K757" s="595"/>
      <c r="L757" s="595"/>
      <c r="M757" s="595"/>
      <c r="N757" s="943"/>
      <c r="O757" s="708"/>
      <c r="P757" s="708"/>
      <c r="Q757" s="708"/>
      <c r="R757" s="944"/>
      <c r="S757" s="591">
        <v>234904</v>
      </c>
      <c r="T757" s="595"/>
      <c r="U757" s="773">
        <v>234904</v>
      </c>
      <c r="V757" s="943"/>
      <c r="W757" s="708"/>
      <c r="X757" s="708"/>
      <c r="Y757" s="708"/>
      <c r="Z757" s="944"/>
      <c r="AA757" s="595"/>
      <c r="AB757" s="595"/>
      <c r="AC757" s="595"/>
      <c r="AD757" s="943"/>
      <c r="AE757" s="708"/>
      <c r="AF757" s="708"/>
      <c r="AG757" s="708"/>
      <c r="AH757" s="944"/>
      <c r="AI757" s="595"/>
      <c r="AJ757" s="595"/>
      <c r="AK757" s="595"/>
      <c r="AL757" s="943"/>
      <c r="AM757" s="702">
        <v>1022846</v>
      </c>
      <c r="AN757" s="708"/>
      <c r="AO757" s="967">
        <v>1022846</v>
      </c>
    </row>
    <row r="758" spans="1:41" hidden="1">
      <c r="A758" s="756" t="s">
        <v>1407</v>
      </c>
      <c r="B758" s="319"/>
      <c r="C758" s="318">
        <v>1253150</v>
      </c>
      <c r="D758" s="331"/>
      <c r="E758" s="739">
        <v>1253150</v>
      </c>
      <c r="F758" s="317"/>
      <c r="G758" s="330"/>
      <c r="H758" s="330"/>
      <c r="I758" s="331"/>
      <c r="J758" s="319"/>
      <c r="K758" s="331"/>
      <c r="L758" s="331"/>
      <c r="M758" s="330"/>
      <c r="N758" s="317"/>
      <c r="O758" s="330"/>
      <c r="P758" s="330"/>
      <c r="Q758" s="331"/>
      <c r="R758" s="319"/>
      <c r="S758" s="318">
        <v>234904</v>
      </c>
      <c r="T758" s="331"/>
      <c r="U758" s="739">
        <v>234904</v>
      </c>
      <c r="V758" s="317"/>
      <c r="W758" s="330"/>
      <c r="X758" s="330"/>
      <c r="Y758" s="331"/>
      <c r="Z758" s="319"/>
      <c r="AA758" s="331"/>
      <c r="AB758" s="331"/>
      <c r="AC758" s="330"/>
      <c r="AD758" s="317"/>
      <c r="AE758" s="330"/>
      <c r="AF758" s="330"/>
      <c r="AG758" s="331"/>
      <c r="AH758" s="319"/>
      <c r="AI758" s="331"/>
      <c r="AJ758" s="331"/>
      <c r="AK758" s="330"/>
      <c r="AL758" s="317"/>
      <c r="AM758" s="723">
        <v>1018246</v>
      </c>
      <c r="AN758" s="330"/>
      <c r="AO758" s="727">
        <v>1018246</v>
      </c>
    </row>
    <row r="759" spans="1:41" hidden="1">
      <c r="A759" s="757" t="s">
        <v>782</v>
      </c>
      <c r="B759" s="322"/>
      <c r="C759" s="714">
        <v>4600</v>
      </c>
      <c r="D759" s="339"/>
      <c r="E759" s="735">
        <v>4600</v>
      </c>
      <c r="F759" s="324"/>
      <c r="G759" s="338"/>
      <c r="H759" s="338"/>
      <c r="I759" s="339"/>
      <c r="J759" s="322"/>
      <c r="K759" s="339"/>
      <c r="L759" s="339"/>
      <c r="M759" s="338"/>
      <c r="N759" s="324"/>
      <c r="O759" s="338"/>
      <c r="P759" s="338"/>
      <c r="Q759" s="339"/>
      <c r="R759" s="322"/>
      <c r="S759" s="339"/>
      <c r="T759" s="339"/>
      <c r="U759" s="338"/>
      <c r="V759" s="324"/>
      <c r="W759" s="338"/>
      <c r="X759" s="338"/>
      <c r="Y759" s="339"/>
      <c r="Z759" s="322"/>
      <c r="AA759" s="339"/>
      <c r="AB759" s="339"/>
      <c r="AC759" s="338"/>
      <c r="AD759" s="324"/>
      <c r="AE759" s="338"/>
      <c r="AF759" s="338"/>
      <c r="AG759" s="339"/>
      <c r="AH759" s="322"/>
      <c r="AI759" s="339"/>
      <c r="AJ759" s="339"/>
      <c r="AK759" s="338"/>
      <c r="AL759" s="324"/>
      <c r="AM759" s="711">
        <v>4600</v>
      </c>
      <c r="AN759" s="338"/>
      <c r="AO759" s="737">
        <v>4600</v>
      </c>
    </row>
    <row r="760" spans="1:41" hidden="1">
      <c r="A760" s="316" t="s">
        <v>811</v>
      </c>
      <c r="B760" s="944"/>
      <c r="C760" s="591">
        <v>233718.11600000001</v>
      </c>
      <c r="D760" s="591">
        <v>143.023</v>
      </c>
      <c r="E760" s="773">
        <v>233575.09299999999</v>
      </c>
      <c r="F760" s="943"/>
      <c r="G760" s="708"/>
      <c r="H760" s="708"/>
      <c r="I760" s="708"/>
      <c r="J760" s="944"/>
      <c r="K760" s="591">
        <v>3.2480000000000002</v>
      </c>
      <c r="L760" s="591">
        <v>1</v>
      </c>
      <c r="M760" s="773">
        <v>2.2480000000000002</v>
      </c>
      <c r="N760" s="943"/>
      <c r="O760" s="708"/>
      <c r="P760" s="708"/>
      <c r="Q760" s="708"/>
      <c r="R760" s="944"/>
      <c r="S760" s="595"/>
      <c r="T760" s="595"/>
      <c r="U760" s="595"/>
      <c r="V760" s="943"/>
      <c r="W760" s="703">
        <v>35.896000000000001</v>
      </c>
      <c r="X760" s="703">
        <v>44.79</v>
      </c>
      <c r="Y760" s="766">
        <v>8.8940000000000001</v>
      </c>
      <c r="Z760" s="944"/>
      <c r="AA760" s="591">
        <v>87.061000000000007</v>
      </c>
      <c r="AB760" s="591">
        <v>37.899000000000001</v>
      </c>
      <c r="AC760" s="773">
        <v>49.161999999999999</v>
      </c>
      <c r="AD760" s="943"/>
      <c r="AE760" s="703">
        <v>233591.91099999999</v>
      </c>
      <c r="AF760" s="703">
        <v>59.334000000000003</v>
      </c>
      <c r="AG760" s="767">
        <v>233532.57699999999</v>
      </c>
      <c r="AH760" s="944"/>
      <c r="AI760" s="595"/>
      <c r="AJ760" s="595"/>
      <c r="AK760" s="595"/>
      <c r="AL760" s="943"/>
      <c r="AM760" s="708"/>
      <c r="AN760" s="708"/>
      <c r="AO760" s="708"/>
    </row>
    <row r="761" spans="1:41" hidden="1">
      <c r="A761" s="757" t="s">
        <v>605</v>
      </c>
      <c r="B761" s="319"/>
      <c r="C761" s="318">
        <v>200267.51999999999</v>
      </c>
      <c r="D761" s="331"/>
      <c r="E761" s="739">
        <v>200267.51999999999</v>
      </c>
      <c r="F761" s="317"/>
      <c r="G761" s="330"/>
      <c r="H761" s="330"/>
      <c r="I761" s="331"/>
      <c r="J761" s="319"/>
      <c r="K761" s="331"/>
      <c r="L761" s="331"/>
      <c r="M761" s="330"/>
      <c r="N761" s="317"/>
      <c r="O761" s="330"/>
      <c r="P761" s="330"/>
      <c r="Q761" s="331"/>
      <c r="R761" s="319"/>
      <c r="S761" s="331"/>
      <c r="T761" s="331"/>
      <c r="U761" s="330"/>
      <c r="V761" s="317"/>
      <c r="W761" s="330"/>
      <c r="X761" s="330"/>
      <c r="Y761" s="331"/>
      <c r="Z761" s="319"/>
      <c r="AA761" s="318">
        <v>63</v>
      </c>
      <c r="AB761" s="331"/>
      <c r="AC761" s="739">
        <v>63</v>
      </c>
      <c r="AD761" s="317"/>
      <c r="AE761" s="320">
        <v>200204.52</v>
      </c>
      <c r="AF761" s="330"/>
      <c r="AG761" s="729">
        <v>200204.52</v>
      </c>
      <c r="AH761" s="319"/>
      <c r="AI761" s="331"/>
      <c r="AJ761" s="331"/>
      <c r="AK761" s="330"/>
      <c r="AL761" s="317"/>
      <c r="AM761" s="330"/>
      <c r="AN761" s="330"/>
      <c r="AO761" s="331"/>
    </row>
    <row r="762" spans="1:41" hidden="1">
      <c r="A762" s="756" t="s">
        <v>1869</v>
      </c>
      <c r="B762" s="322"/>
      <c r="C762" s="325">
        <v>107</v>
      </c>
      <c r="D762" s="339"/>
      <c r="E762" s="594">
        <v>107</v>
      </c>
      <c r="F762" s="324"/>
      <c r="G762" s="338"/>
      <c r="H762" s="338"/>
      <c r="I762" s="339"/>
      <c r="J762" s="322"/>
      <c r="K762" s="339"/>
      <c r="L762" s="339"/>
      <c r="M762" s="338"/>
      <c r="N762" s="324"/>
      <c r="O762" s="338"/>
      <c r="P762" s="338"/>
      <c r="Q762" s="339"/>
      <c r="R762" s="322"/>
      <c r="S762" s="339"/>
      <c r="T762" s="339"/>
      <c r="U762" s="338"/>
      <c r="V762" s="324"/>
      <c r="W762" s="338"/>
      <c r="X762" s="338"/>
      <c r="Y762" s="339"/>
      <c r="Z762" s="322"/>
      <c r="AA762" s="339"/>
      <c r="AB762" s="339"/>
      <c r="AC762" s="338"/>
      <c r="AD762" s="324"/>
      <c r="AE762" s="323">
        <v>107</v>
      </c>
      <c r="AF762" s="338"/>
      <c r="AG762" s="592">
        <v>107</v>
      </c>
      <c r="AH762" s="322"/>
      <c r="AI762" s="339"/>
      <c r="AJ762" s="339"/>
      <c r="AK762" s="338"/>
      <c r="AL762" s="324"/>
      <c r="AM762" s="338"/>
      <c r="AN762" s="338"/>
      <c r="AO762" s="339"/>
    </row>
    <row r="763" spans="1:41" hidden="1">
      <c r="A763" s="756" t="s">
        <v>851</v>
      </c>
      <c r="B763" s="322"/>
      <c r="C763" s="325">
        <v>33191</v>
      </c>
      <c r="D763" s="339"/>
      <c r="E763" s="594">
        <v>33191</v>
      </c>
      <c r="F763" s="324"/>
      <c r="G763" s="338"/>
      <c r="H763" s="338"/>
      <c r="I763" s="339"/>
      <c r="J763" s="322"/>
      <c r="K763" s="339"/>
      <c r="L763" s="339"/>
      <c r="M763" s="338"/>
      <c r="N763" s="324"/>
      <c r="O763" s="338"/>
      <c r="P763" s="338"/>
      <c r="Q763" s="339"/>
      <c r="R763" s="322"/>
      <c r="S763" s="339"/>
      <c r="T763" s="339"/>
      <c r="U763" s="338"/>
      <c r="V763" s="324"/>
      <c r="W763" s="338"/>
      <c r="X763" s="338"/>
      <c r="Y763" s="339"/>
      <c r="Z763" s="322"/>
      <c r="AA763" s="339"/>
      <c r="AB763" s="339"/>
      <c r="AC763" s="338"/>
      <c r="AD763" s="324"/>
      <c r="AE763" s="323">
        <v>33191</v>
      </c>
      <c r="AF763" s="338"/>
      <c r="AG763" s="592">
        <v>33191</v>
      </c>
      <c r="AH763" s="322"/>
      <c r="AI763" s="339"/>
      <c r="AJ763" s="339"/>
      <c r="AK763" s="338"/>
      <c r="AL763" s="324"/>
      <c r="AM763" s="338"/>
      <c r="AN763" s="338"/>
      <c r="AO763" s="339"/>
    </row>
    <row r="764" spans="1:41" hidden="1">
      <c r="A764" s="757" t="s">
        <v>1870</v>
      </c>
      <c r="B764" s="322"/>
      <c r="C764" s="325">
        <v>152.596</v>
      </c>
      <c r="D764" s="325">
        <v>143.023</v>
      </c>
      <c r="E764" s="594">
        <v>9.5730000000000004</v>
      </c>
      <c r="F764" s="324"/>
      <c r="G764" s="338"/>
      <c r="H764" s="338"/>
      <c r="I764" s="339"/>
      <c r="J764" s="322"/>
      <c r="K764" s="325">
        <v>3.2480000000000002</v>
      </c>
      <c r="L764" s="325">
        <v>1</v>
      </c>
      <c r="M764" s="594">
        <v>2.2480000000000002</v>
      </c>
      <c r="N764" s="324"/>
      <c r="O764" s="338"/>
      <c r="P764" s="338"/>
      <c r="Q764" s="339"/>
      <c r="R764" s="322"/>
      <c r="S764" s="339"/>
      <c r="T764" s="339"/>
      <c r="U764" s="338"/>
      <c r="V764" s="324"/>
      <c r="W764" s="323">
        <v>35.896000000000001</v>
      </c>
      <c r="X764" s="323">
        <v>44.79</v>
      </c>
      <c r="Y764" s="588">
        <v>8.8940000000000001</v>
      </c>
      <c r="Z764" s="322"/>
      <c r="AA764" s="325">
        <v>24.061</v>
      </c>
      <c r="AB764" s="325">
        <v>37.899000000000001</v>
      </c>
      <c r="AC764" s="589">
        <v>13.837999999999999</v>
      </c>
      <c r="AD764" s="324"/>
      <c r="AE764" s="323">
        <v>89.391000000000005</v>
      </c>
      <c r="AF764" s="323">
        <v>59.334000000000003</v>
      </c>
      <c r="AG764" s="592">
        <v>30.056999999999999</v>
      </c>
      <c r="AH764" s="322"/>
      <c r="AI764" s="339"/>
      <c r="AJ764" s="339"/>
      <c r="AK764" s="338"/>
      <c r="AL764" s="324"/>
      <c r="AM764" s="338"/>
      <c r="AN764" s="338"/>
      <c r="AO764" s="339"/>
    </row>
    <row r="765" spans="1:41" hidden="1">
      <c r="A765" s="316" t="s">
        <v>812</v>
      </c>
      <c r="B765" s="944"/>
      <c r="C765" s="591">
        <v>333577.82</v>
      </c>
      <c r="D765" s="591">
        <v>10500</v>
      </c>
      <c r="E765" s="773">
        <v>323077.82</v>
      </c>
      <c r="F765" s="943"/>
      <c r="G765" s="708"/>
      <c r="H765" s="708"/>
      <c r="I765" s="708"/>
      <c r="J765" s="944"/>
      <c r="K765" s="595"/>
      <c r="L765" s="595"/>
      <c r="M765" s="595"/>
      <c r="N765" s="943"/>
      <c r="O765" s="708"/>
      <c r="P765" s="708"/>
      <c r="Q765" s="708"/>
      <c r="R765" s="944"/>
      <c r="S765" s="595"/>
      <c r="T765" s="595"/>
      <c r="U765" s="595"/>
      <c r="V765" s="943"/>
      <c r="W765" s="708"/>
      <c r="X765" s="708"/>
      <c r="Y765" s="708"/>
      <c r="Z765" s="944"/>
      <c r="AA765" s="595"/>
      <c r="AB765" s="595"/>
      <c r="AC765" s="595"/>
      <c r="AD765" s="943"/>
      <c r="AE765" s="703">
        <v>333577.82</v>
      </c>
      <c r="AF765" s="703">
        <v>10500</v>
      </c>
      <c r="AG765" s="767">
        <v>323077.82</v>
      </c>
      <c r="AH765" s="944"/>
      <c r="AI765" s="595"/>
      <c r="AJ765" s="595"/>
      <c r="AK765" s="595"/>
      <c r="AL765" s="943"/>
      <c r="AM765" s="708"/>
      <c r="AN765" s="708"/>
      <c r="AO765" s="708"/>
    </row>
    <row r="766" spans="1:41" hidden="1">
      <c r="A766" s="756" t="s">
        <v>386</v>
      </c>
      <c r="B766" s="319"/>
      <c r="C766" s="318">
        <v>94947.82</v>
      </c>
      <c r="D766" s="318">
        <v>10500</v>
      </c>
      <c r="E766" s="739">
        <v>84447.82</v>
      </c>
      <c r="F766" s="317"/>
      <c r="G766" s="330"/>
      <c r="H766" s="330"/>
      <c r="I766" s="331"/>
      <c r="J766" s="319"/>
      <c r="K766" s="331"/>
      <c r="L766" s="331"/>
      <c r="M766" s="330"/>
      <c r="N766" s="317"/>
      <c r="O766" s="330"/>
      <c r="P766" s="330"/>
      <c r="Q766" s="331"/>
      <c r="R766" s="319"/>
      <c r="S766" s="331"/>
      <c r="T766" s="331"/>
      <c r="U766" s="330"/>
      <c r="V766" s="317"/>
      <c r="W766" s="330"/>
      <c r="X766" s="330"/>
      <c r="Y766" s="331"/>
      <c r="Z766" s="319"/>
      <c r="AA766" s="331"/>
      <c r="AB766" s="331"/>
      <c r="AC766" s="330"/>
      <c r="AD766" s="317"/>
      <c r="AE766" s="320">
        <v>94947.82</v>
      </c>
      <c r="AF766" s="320">
        <v>10500</v>
      </c>
      <c r="AG766" s="729">
        <v>84447.82</v>
      </c>
      <c r="AH766" s="319"/>
      <c r="AI766" s="331"/>
      <c r="AJ766" s="331"/>
      <c r="AK766" s="330"/>
      <c r="AL766" s="317"/>
      <c r="AM766" s="330"/>
      <c r="AN766" s="330"/>
      <c r="AO766" s="331"/>
    </row>
    <row r="767" spans="1:41" hidden="1">
      <c r="A767" s="756" t="s">
        <v>828</v>
      </c>
      <c r="B767" s="322"/>
      <c r="C767" s="325">
        <v>229130</v>
      </c>
      <c r="D767" s="339"/>
      <c r="E767" s="594">
        <v>229130</v>
      </c>
      <c r="F767" s="324"/>
      <c r="G767" s="338"/>
      <c r="H767" s="338"/>
      <c r="I767" s="339"/>
      <c r="J767" s="322"/>
      <c r="K767" s="339"/>
      <c r="L767" s="339"/>
      <c r="M767" s="338"/>
      <c r="N767" s="324"/>
      <c r="O767" s="338"/>
      <c r="P767" s="338"/>
      <c r="Q767" s="339"/>
      <c r="R767" s="322"/>
      <c r="S767" s="339"/>
      <c r="T767" s="339"/>
      <c r="U767" s="338"/>
      <c r="V767" s="324"/>
      <c r="W767" s="338"/>
      <c r="X767" s="338"/>
      <c r="Y767" s="339"/>
      <c r="Z767" s="322"/>
      <c r="AA767" s="339"/>
      <c r="AB767" s="339"/>
      <c r="AC767" s="338"/>
      <c r="AD767" s="324"/>
      <c r="AE767" s="323">
        <v>229130</v>
      </c>
      <c r="AF767" s="338"/>
      <c r="AG767" s="592">
        <v>229130</v>
      </c>
      <c r="AH767" s="322"/>
      <c r="AI767" s="339"/>
      <c r="AJ767" s="339"/>
      <c r="AK767" s="338"/>
      <c r="AL767" s="324"/>
      <c r="AM767" s="338"/>
      <c r="AN767" s="338"/>
      <c r="AO767" s="339"/>
    </row>
    <row r="768" spans="1:41" hidden="1">
      <c r="A768" s="757" t="s">
        <v>1871</v>
      </c>
      <c r="B768" s="322"/>
      <c r="C768" s="325">
        <v>9500</v>
      </c>
      <c r="D768" s="339"/>
      <c r="E768" s="594">
        <v>9500</v>
      </c>
      <c r="F768" s="324"/>
      <c r="G768" s="338"/>
      <c r="H768" s="338"/>
      <c r="I768" s="339"/>
      <c r="J768" s="322"/>
      <c r="K768" s="339"/>
      <c r="L768" s="339"/>
      <c r="M768" s="338"/>
      <c r="N768" s="324"/>
      <c r="O768" s="338"/>
      <c r="P768" s="338"/>
      <c r="Q768" s="339"/>
      <c r="R768" s="322"/>
      <c r="S768" s="339"/>
      <c r="T768" s="339"/>
      <c r="U768" s="338"/>
      <c r="V768" s="324"/>
      <c r="W768" s="338"/>
      <c r="X768" s="338"/>
      <c r="Y768" s="339"/>
      <c r="Z768" s="322"/>
      <c r="AA768" s="339"/>
      <c r="AB768" s="339"/>
      <c r="AC768" s="338"/>
      <c r="AD768" s="324"/>
      <c r="AE768" s="323">
        <v>9500</v>
      </c>
      <c r="AF768" s="338"/>
      <c r="AG768" s="592">
        <v>9500</v>
      </c>
      <c r="AH768" s="322"/>
      <c r="AI768" s="339"/>
      <c r="AJ768" s="339"/>
      <c r="AK768" s="338"/>
      <c r="AL768" s="324"/>
      <c r="AM768" s="338"/>
      <c r="AN768" s="338"/>
      <c r="AO768" s="339"/>
    </row>
    <row r="769" spans="1:41" hidden="1">
      <c r="A769" s="316" t="s">
        <v>813</v>
      </c>
      <c r="B769" s="944"/>
      <c r="C769" s="591">
        <v>142853</v>
      </c>
      <c r="D769" s="706">
        <v>24503</v>
      </c>
      <c r="E769" s="773">
        <v>118350</v>
      </c>
      <c r="F769" s="943"/>
      <c r="G769" s="708"/>
      <c r="H769" s="708"/>
      <c r="I769" s="708"/>
      <c r="J769" s="944"/>
      <c r="K769" s="595"/>
      <c r="L769" s="595"/>
      <c r="M769" s="595"/>
      <c r="N769" s="943"/>
      <c r="O769" s="708"/>
      <c r="P769" s="708"/>
      <c r="Q769" s="708"/>
      <c r="R769" s="944"/>
      <c r="S769" s="591">
        <v>19045</v>
      </c>
      <c r="T769" s="595"/>
      <c r="U769" s="773">
        <v>19045</v>
      </c>
      <c r="V769" s="943"/>
      <c r="W769" s="708"/>
      <c r="X769" s="708"/>
      <c r="Y769" s="708"/>
      <c r="Z769" s="944"/>
      <c r="AA769" s="595"/>
      <c r="AB769" s="595"/>
      <c r="AC769" s="595"/>
      <c r="AD769" s="943"/>
      <c r="AE769" s="708"/>
      <c r="AF769" s="708"/>
      <c r="AG769" s="708"/>
      <c r="AH769" s="944"/>
      <c r="AI769" s="595"/>
      <c r="AJ769" s="595"/>
      <c r="AK769" s="595"/>
      <c r="AL769" s="943"/>
      <c r="AM769" s="702">
        <v>123808</v>
      </c>
      <c r="AN769" s="702">
        <v>24503</v>
      </c>
      <c r="AO769" s="967">
        <v>99305</v>
      </c>
    </row>
    <row r="770" spans="1:41" hidden="1">
      <c r="A770" s="756" t="s">
        <v>851</v>
      </c>
      <c r="B770" s="319"/>
      <c r="C770" s="318">
        <v>24430</v>
      </c>
      <c r="D770" s="331"/>
      <c r="E770" s="739">
        <v>24430</v>
      </c>
      <c r="F770" s="317"/>
      <c r="G770" s="330"/>
      <c r="H770" s="330"/>
      <c r="I770" s="331"/>
      <c r="J770" s="319"/>
      <c r="K770" s="331"/>
      <c r="L770" s="331"/>
      <c r="M770" s="330"/>
      <c r="N770" s="317"/>
      <c r="O770" s="330"/>
      <c r="P770" s="330"/>
      <c r="Q770" s="331"/>
      <c r="R770" s="319"/>
      <c r="S770" s="318">
        <v>540</v>
      </c>
      <c r="T770" s="331"/>
      <c r="U770" s="739">
        <v>540</v>
      </c>
      <c r="V770" s="317"/>
      <c r="W770" s="330"/>
      <c r="X770" s="330"/>
      <c r="Y770" s="331"/>
      <c r="Z770" s="319"/>
      <c r="AA770" s="331"/>
      <c r="AB770" s="331"/>
      <c r="AC770" s="330"/>
      <c r="AD770" s="317"/>
      <c r="AE770" s="330"/>
      <c r="AF770" s="330"/>
      <c r="AG770" s="331"/>
      <c r="AH770" s="319"/>
      <c r="AI770" s="331"/>
      <c r="AJ770" s="331"/>
      <c r="AK770" s="330"/>
      <c r="AL770" s="317"/>
      <c r="AM770" s="723">
        <v>23890</v>
      </c>
      <c r="AN770" s="330"/>
      <c r="AO770" s="727">
        <v>23890</v>
      </c>
    </row>
    <row r="771" spans="1:41" hidden="1">
      <c r="A771" s="757" t="s">
        <v>1872</v>
      </c>
      <c r="B771" s="322"/>
      <c r="C771" s="325">
        <v>11504</v>
      </c>
      <c r="D771" s="339"/>
      <c r="E771" s="594">
        <v>11504</v>
      </c>
      <c r="F771" s="324"/>
      <c r="G771" s="338"/>
      <c r="H771" s="338"/>
      <c r="I771" s="339"/>
      <c r="J771" s="322"/>
      <c r="K771" s="339"/>
      <c r="L771" s="339"/>
      <c r="M771" s="338"/>
      <c r="N771" s="324"/>
      <c r="O771" s="338"/>
      <c r="P771" s="338"/>
      <c r="Q771" s="339"/>
      <c r="R771" s="322"/>
      <c r="S771" s="325">
        <v>4911</v>
      </c>
      <c r="T771" s="339"/>
      <c r="U771" s="594">
        <v>4911</v>
      </c>
      <c r="V771" s="324"/>
      <c r="W771" s="338"/>
      <c r="X771" s="338"/>
      <c r="Y771" s="339"/>
      <c r="Z771" s="322"/>
      <c r="AA771" s="339"/>
      <c r="AB771" s="339"/>
      <c r="AC771" s="338"/>
      <c r="AD771" s="324"/>
      <c r="AE771" s="338"/>
      <c r="AF771" s="338"/>
      <c r="AG771" s="339"/>
      <c r="AH771" s="322"/>
      <c r="AI771" s="339"/>
      <c r="AJ771" s="339"/>
      <c r="AK771" s="338"/>
      <c r="AL771" s="324"/>
      <c r="AM771" s="711">
        <v>6593</v>
      </c>
      <c r="AN771" s="338"/>
      <c r="AO771" s="737">
        <v>6593</v>
      </c>
    </row>
    <row r="772" spans="1:41" hidden="1">
      <c r="A772" s="756" t="s">
        <v>863</v>
      </c>
      <c r="B772" s="322"/>
      <c r="C772" s="325">
        <v>106919</v>
      </c>
      <c r="D772" s="714">
        <v>24503</v>
      </c>
      <c r="E772" s="594">
        <v>82416</v>
      </c>
      <c r="F772" s="324"/>
      <c r="G772" s="338"/>
      <c r="H772" s="338"/>
      <c r="I772" s="339"/>
      <c r="J772" s="322"/>
      <c r="K772" s="339"/>
      <c r="L772" s="339"/>
      <c r="M772" s="338"/>
      <c r="N772" s="324"/>
      <c r="O772" s="338"/>
      <c r="P772" s="338"/>
      <c r="Q772" s="339"/>
      <c r="R772" s="322"/>
      <c r="S772" s="325">
        <v>13594</v>
      </c>
      <c r="T772" s="339"/>
      <c r="U772" s="594">
        <v>13594</v>
      </c>
      <c r="V772" s="324"/>
      <c r="W772" s="338"/>
      <c r="X772" s="338"/>
      <c r="Y772" s="339"/>
      <c r="Z772" s="322"/>
      <c r="AA772" s="339"/>
      <c r="AB772" s="339"/>
      <c r="AC772" s="338"/>
      <c r="AD772" s="324"/>
      <c r="AE772" s="338"/>
      <c r="AF772" s="338"/>
      <c r="AG772" s="339"/>
      <c r="AH772" s="322"/>
      <c r="AI772" s="339"/>
      <c r="AJ772" s="339"/>
      <c r="AK772" s="338"/>
      <c r="AL772" s="324"/>
      <c r="AM772" s="711">
        <v>93325</v>
      </c>
      <c r="AN772" s="711">
        <v>24503</v>
      </c>
      <c r="AO772" s="737">
        <v>68822</v>
      </c>
    </row>
    <row r="773" spans="1:41" hidden="1">
      <c r="A773" s="316" t="s">
        <v>814</v>
      </c>
      <c r="B773" s="944"/>
      <c r="C773" s="591">
        <v>169421.25</v>
      </c>
      <c r="D773" s="706">
        <v>2065.75</v>
      </c>
      <c r="E773" s="773">
        <v>167355.5</v>
      </c>
      <c r="F773" s="943"/>
      <c r="G773" s="708"/>
      <c r="H773" s="708"/>
      <c r="I773" s="708"/>
      <c r="J773" s="944"/>
      <c r="K773" s="595"/>
      <c r="L773" s="595"/>
      <c r="M773" s="595"/>
      <c r="N773" s="943"/>
      <c r="O773" s="708"/>
      <c r="P773" s="708"/>
      <c r="Q773" s="708"/>
      <c r="R773" s="944"/>
      <c r="S773" s="591">
        <v>19337.150000000001</v>
      </c>
      <c r="T773" s="595"/>
      <c r="U773" s="773">
        <v>19337.150000000001</v>
      </c>
      <c r="V773" s="943"/>
      <c r="W773" s="708"/>
      <c r="X773" s="708"/>
      <c r="Y773" s="708"/>
      <c r="Z773" s="944"/>
      <c r="AA773" s="595"/>
      <c r="AB773" s="595"/>
      <c r="AC773" s="595"/>
      <c r="AD773" s="943"/>
      <c r="AE773" s="708"/>
      <c r="AF773" s="708"/>
      <c r="AG773" s="708"/>
      <c r="AH773" s="944"/>
      <c r="AI773" s="595"/>
      <c r="AJ773" s="595"/>
      <c r="AK773" s="595"/>
      <c r="AL773" s="943"/>
      <c r="AM773" s="702">
        <v>150084.1</v>
      </c>
      <c r="AN773" s="702">
        <v>2065.75</v>
      </c>
      <c r="AO773" s="967">
        <v>148018.35</v>
      </c>
    </row>
    <row r="774" spans="1:41" hidden="1">
      <c r="A774" s="757" t="s">
        <v>814</v>
      </c>
      <c r="B774" s="319"/>
      <c r="C774" s="318">
        <v>167941.25</v>
      </c>
      <c r="D774" s="726">
        <v>2065.75</v>
      </c>
      <c r="E774" s="739">
        <v>165875.5</v>
      </c>
      <c r="F774" s="317"/>
      <c r="G774" s="330"/>
      <c r="H774" s="330"/>
      <c r="I774" s="331"/>
      <c r="J774" s="319"/>
      <c r="K774" s="331"/>
      <c r="L774" s="331"/>
      <c r="M774" s="330"/>
      <c r="N774" s="317"/>
      <c r="O774" s="330"/>
      <c r="P774" s="330"/>
      <c r="Q774" s="331"/>
      <c r="R774" s="319"/>
      <c r="S774" s="318">
        <v>19337.150000000001</v>
      </c>
      <c r="T774" s="331"/>
      <c r="U774" s="739">
        <v>19337.150000000001</v>
      </c>
      <c r="V774" s="317"/>
      <c r="W774" s="330"/>
      <c r="X774" s="330"/>
      <c r="Y774" s="331"/>
      <c r="Z774" s="319"/>
      <c r="AA774" s="331"/>
      <c r="AB774" s="331"/>
      <c r="AC774" s="330"/>
      <c r="AD774" s="317"/>
      <c r="AE774" s="330"/>
      <c r="AF774" s="330"/>
      <c r="AG774" s="331"/>
      <c r="AH774" s="319"/>
      <c r="AI774" s="331"/>
      <c r="AJ774" s="331"/>
      <c r="AK774" s="330"/>
      <c r="AL774" s="317"/>
      <c r="AM774" s="723">
        <v>148604.1</v>
      </c>
      <c r="AN774" s="723">
        <v>2065.75</v>
      </c>
      <c r="AO774" s="727">
        <v>146538.35</v>
      </c>
    </row>
    <row r="775" spans="1:41" hidden="1">
      <c r="A775" s="757" t="s">
        <v>1873</v>
      </c>
      <c r="B775" s="322"/>
      <c r="C775" s="714">
        <v>1480</v>
      </c>
      <c r="D775" s="339"/>
      <c r="E775" s="735">
        <v>1480</v>
      </c>
      <c r="F775" s="324"/>
      <c r="G775" s="338"/>
      <c r="H775" s="338"/>
      <c r="I775" s="339"/>
      <c r="J775" s="322"/>
      <c r="K775" s="339"/>
      <c r="L775" s="339"/>
      <c r="M775" s="338"/>
      <c r="N775" s="324"/>
      <c r="O775" s="338"/>
      <c r="P775" s="338"/>
      <c r="Q775" s="339"/>
      <c r="R775" s="322"/>
      <c r="S775" s="339"/>
      <c r="T775" s="339"/>
      <c r="U775" s="338"/>
      <c r="V775" s="324"/>
      <c r="W775" s="338"/>
      <c r="X775" s="338"/>
      <c r="Y775" s="339"/>
      <c r="Z775" s="322"/>
      <c r="AA775" s="339"/>
      <c r="AB775" s="339"/>
      <c r="AC775" s="338"/>
      <c r="AD775" s="324"/>
      <c r="AE775" s="338"/>
      <c r="AF775" s="338"/>
      <c r="AG775" s="339"/>
      <c r="AH775" s="322"/>
      <c r="AI775" s="339"/>
      <c r="AJ775" s="339"/>
      <c r="AK775" s="338"/>
      <c r="AL775" s="324"/>
      <c r="AM775" s="711">
        <v>1480</v>
      </c>
      <c r="AN775" s="338"/>
      <c r="AO775" s="737">
        <v>1480</v>
      </c>
    </row>
    <row r="776" spans="1:41" hidden="1">
      <c r="A776" s="342" t="s">
        <v>384</v>
      </c>
      <c r="B776" s="944"/>
      <c r="C776" s="591">
        <v>1417500</v>
      </c>
      <c r="D776" s="591">
        <v>1417500</v>
      </c>
      <c r="E776" s="768">
        <v>599929.43999999994</v>
      </c>
      <c r="F776" s="943"/>
      <c r="G776" s="708"/>
      <c r="H776" s="708"/>
      <c r="I776" s="708"/>
      <c r="J776" s="944"/>
      <c r="K776" s="595"/>
      <c r="L776" s="595"/>
      <c r="M776" s="595"/>
      <c r="N776" s="943"/>
      <c r="O776" s="703">
        <v>1417500</v>
      </c>
      <c r="P776" s="703">
        <v>1417500</v>
      </c>
      <c r="Q776" s="708"/>
      <c r="R776" s="944"/>
      <c r="S776" s="591">
        <v>473583</v>
      </c>
      <c r="T776" s="591">
        <v>903267</v>
      </c>
      <c r="U776" s="768">
        <v>429684</v>
      </c>
      <c r="V776" s="943"/>
      <c r="W776" s="708"/>
      <c r="X776" s="708"/>
      <c r="Y776" s="708"/>
      <c r="Z776" s="944"/>
      <c r="AA776" s="591">
        <v>28800</v>
      </c>
      <c r="AB776" s="591">
        <v>10800</v>
      </c>
      <c r="AC776" s="773">
        <v>18000</v>
      </c>
      <c r="AD776" s="943"/>
      <c r="AE776" s="708"/>
      <c r="AF776" s="708"/>
      <c r="AG776" s="708"/>
      <c r="AH776" s="944"/>
      <c r="AI776" s="595"/>
      <c r="AJ776" s="595"/>
      <c r="AK776" s="595"/>
      <c r="AL776" s="943"/>
      <c r="AM776" s="702">
        <v>7941156.5599999996</v>
      </c>
      <c r="AN776" s="702">
        <v>8129402</v>
      </c>
      <c r="AO776" s="965">
        <v>188245.44</v>
      </c>
    </row>
    <row r="777" spans="1:41" hidden="1">
      <c r="A777" s="756" t="s">
        <v>1874</v>
      </c>
      <c r="B777" s="319"/>
      <c r="C777" s="318">
        <v>8414739.5600000005</v>
      </c>
      <c r="D777" s="726">
        <v>2709798</v>
      </c>
      <c r="E777" s="739">
        <v>5704941.5599999996</v>
      </c>
      <c r="F777" s="317"/>
      <c r="G777" s="330"/>
      <c r="H777" s="330"/>
      <c r="I777" s="331"/>
      <c r="J777" s="319"/>
      <c r="K777" s="331"/>
      <c r="L777" s="331"/>
      <c r="M777" s="330"/>
      <c r="N777" s="317"/>
      <c r="O777" s="330"/>
      <c r="P777" s="330"/>
      <c r="Q777" s="331"/>
      <c r="R777" s="319"/>
      <c r="S777" s="318">
        <v>473583</v>
      </c>
      <c r="T777" s="331"/>
      <c r="U777" s="739">
        <v>473583</v>
      </c>
      <c r="V777" s="317"/>
      <c r="W777" s="330"/>
      <c r="X777" s="330"/>
      <c r="Y777" s="331"/>
      <c r="Z777" s="319"/>
      <c r="AA777" s="331"/>
      <c r="AB777" s="331"/>
      <c r="AC777" s="330"/>
      <c r="AD777" s="317"/>
      <c r="AE777" s="330"/>
      <c r="AF777" s="330"/>
      <c r="AG777" s="331"/>
      <c r="AH777" s="319"/>
      <c r="AI777" s="331"/>
      <c r="AJ777" s="331"/>
      <c r="AK777" s="330"/>
      <c r="AL777" s="317"/>
      <c r="AM777" s="723">
        <v>7941156.5599999996</v>
      </c>
      <c r="AN777" s="723">
        <v>2709798</v>
      </c>
      <c r="AO777" s="727">
        <v>5231358.5599999996</v>
      </c>
    </row>
    <row r="778" spans="1:41" hidden="1">
      <c r="A778" s="756" t="s">
        <v>1875</v>
      </c>
      <c r="B778" s="322"/>
      <c r="C778" s="339"/>
      <c r="D778" s="325">
        <v>6322871</v>
      </c>
      <c r="E778" s="589">
        <v>6322871</v>
      </c>
      <c r="F778" s="324"/>
      <c r="G778" s="338"/>
      <c r="H778" s="338"/>
      <c r="I778" s="339"/>
      <c r="J778" s="322"/>
      <c r="K778" s="339"/>
      <c r="L778" s="339"/>
      <c r="M778" s="338"/>
      <c r="N778" s="324"/>
      <c r="O778" s="338"/>
      <c r="P778" s="338"/>
      <c r="Q778" s="339"/>
      <c r="R778" s="322"/>
      <c r="S778" s="339"/>
      <c r="T778" s="325">
        <v>903267</v>
      </c>
      <c r="U778" s="589">
        <v>903267</v>
      </c>
      <c r="V778" s="324"/>
      <c r="W778" s="338"/>
      <c r="X778" s="338"/>
      <c r="Y778" s="339"/>
      <c r="Z778" s="322"/>
      <c r="AA778" s="339"/>
      <c r="AB778" s="339"/>
      <c r="AC778" s="338"/>
      <c r="AD778" s="324"/>
      <c r="AE778" s="338"/>
      <c r="AF778" s="338"/>
      <c r="AG778" s="339"/>
      <c r="AH778" s="322"/>
      <c r="AI778" s="339"/>
      <c r="AJ778" s="339"/>
      <c r="AK778" s="338"/>
      <c r="AL778" s="324"/>
      <c r="AM778" s="338"/>
      <c r="AN778" s="711">
        <v>5419604</v>
      </c>
      <c r="AO778" s="715">
        <v>5419604</v>
      </c>
    </row>
    <row r="779" spans="1:41" hidden="1">
      <c r="A779" s="756" t="s">
        <v>1590</v>
      </c>
      <c r="B779" s="322"/>
      <c r="C779" s="325">
        <v>28800</v>
      </c>
      <c r="D779" s="325">
        <v>10800</v>
      </c>
      <c r="E779" s="594">
        <v>18000</v>
      </c>
      <c r="F779" s="324"/>
      <c r="G779" s="338"/>
      <c r="H779" s="338"/>
      <c r="I779" s="339"/>
      <c r="J779" s="322"/>
      <c r="K779" s="339"/>
      <c r="L779" s="339"/>
      <c r="M779" s="338"/>
      <c r="N779" s="324"/>
      <c r="O779" s="338"/>
      <c r="P779" s="338"/>
      <c r="Q779" s="339"/>
      <c r="R779" s="322"/>
      <c r="S779" s="339"/>
      <c r="T779" s="339"/>
      <c r="U779" s="338"/>
      <c r="V779" s="324"/>
      <c r="W779" s="338"/>
      <c r="X779" s="338"/>
      <c r="Y779" s="339"/>
      <c r="Z779" s="322"/>
      <c r="AA779" s="325">
        <v>28800</v>
      </c>
      <c r="AB779" s="325">
        <v>10800</v>
      </c>
      <c r="AC779" s="594">
        <v>18000</v>
      </c>
      <c r="AD779" s="324"/>
      <c r="AE779" s="338"/>
      <c r="AF779" s="338"/>
      <c r="AG779" s="339"/>
      <c r="AH779" s="322"/>
      <c r="AI779" s="339"/>
      <c r="AJ779" s="339"/>
      <c r="AK779" s="338"/>
      <c r="AL779" s="324"/>
      <c r="AM779" s="338"/>
      <c r="AN779" s="338"/>
      <c r="AO779" s="339"/>
    </row>
    <row r="780" spans="1:41" hidden="1">
      <c r="A780" s="757" t="s">
        <v>1069</v>
      </c>
      <c r="B780" s="322"/>
      <c r="C780" s="325">
        <v>1417500</v>
      </c>
      <c r="D780" s="325">
        <v>1417500</v>
      </c>
      <c r="E780" s="338"/>
      <c r="F780" s="324"/>
      <c r="G780" s="338"/>
      <c r="H780" s="338"/>
      <c r="I780" s="339"/>
      <c r="J780" s="322"/>
      <c r="K780" s="339"/>
      <c r="L780" s="339"/>
      <c r="M780" s="338"/>
      <c r="N780" s="324"/>
      <c r="O780" s="323">
        <v>1417500</v>
      </c>
      <c r="P780" s="323">
        <v>1417500</v>
      </c>
      <c r="Q780" s="339"/>
      <c r="R780" s="322"/>
      <c r="S780" s="339"/>
      <c r="T780" s="339"/>
      <c r="U780" s="338"/>
      <c r="V780" s="324"/>
      <c r="W780" s="338"/>
      <c r="X780" s="338"/>
      <c r="Y780" s="339"/>
      <c r="Z780" s="322"/>
      <c r="AA780" s="339"/>
      <c r="AB780" s="339"/>
      <c r="AC780" s="338"/>
      <c r="AD780" s="324"/>
      <c r="AE780" s="338"/>
      <c r="AF780" s="338"/>
      <c r="AG780" s="339"/>
      <c r="AH780" s="322"/>
      <c r="AI780" s="339"/>
      <c r="AJ780" s="339"/>
      <c r="AK780" s="338"/>
      <c r="AL780" s="324"/>
      <c r="AM780" s="338"/>
      <c r="AN780" s="338"/>
      <c r="AO780" s="339"/>
    </row>
    <row r="781" spans="1:41" hidden="1">
      <c r="A781" s="316" t="s">
        <v>815</v>
      </c>
      <c r="B781" s="944"/>
      <c r="C781" s="591">
        <v>2556752.0299999998</v>
      </c>
      <c r="D781" s="591">
        <v>58915</v>
      </c>
      <c r="E781" s="773">
        <v>2497837.0299999998</v>
      </c>
      <c r="F781" s="943"/>
      <c r="G781" s="708"/>
      <c r="H781" s="708"/>
      <c r="I781" s="708"/>
      <c r="J781" s="944"/>
      <c r="K781" s="595"/>
      <c r="L781" s="595"/>
      <c r="M781" s="595"/>
      <c r="N781" s="943"/>
      <c r="O781" s="708"/>
      <c r="P781" s="708"/>
      <c r="Q781" s="708"/>
      <c r="R781" s="944"/>
      <c r="S781" s="591">
        <v>204825</v>
      </c>
      <c r="T781" s="595"/>
      <c r="U781" s="773">
        <v>204825</v>
      </c>
      <c r="V781" s="943"/>
      <c r="W781" s="708"/>
      <c r="X781" s="708"/>
      <c r="Y781" s="708"/>
      <c r="Z781" s="944"/>
      <c r="AA781" s="595"/>
      <c r="AB781" s="595"/>
      <c r="AC781" s="595"/>
      <c r="AD781" s="943"/>
      <c r="AE781" s="703">
        <v>263364.23</v>
      </c>
      <c r="AF781" s="703">
        <v>58915</v>
      </c>
      <c r="AG781" s="767">
        <v>204449.23</v>
      </c>
      <c r="AH781" s="944"/>
      <c r="AI781" s="595"/>
      <c r="AJ781" s="595"/>
      <c r="AK781" s="595"/>
      <c r="AL781" s="943"/>
      <c r="AM781" s="702">
        <v>2088562.8</v>
      </c>
      <c r="AN781" s="708"/>
      <c r="AO781" s="967">
        <v>2088562.8</v>
      </c>
    </row>
    <row r="782" spans="1:41" hidden="1">
      <c r="A782" s="757" t="s">
        <v>1876</v>
      </c>
      <c r="B782" s="319"/>
      <c r="C782" s="318">
        <v>1795370</v>
      </c>
      <c r="D782" s="331"/>
      <c r="E782" s="739">
        <v>1795370</v>
      </c>
      <c r="F782" s="317"/>
      <c r="G782" s="330"/>
      <c r="H782" s="330"/>
      <c r="I782" s="331"/>
      <c r="J782" s="319"/>
      <c r="K782" s="331"/>
      <c r="L782" s="331"/>
      <c r="M782" s="330"/>
      <c r="N782" s="317"/>
      <c r="O782" s="330"/>
      <c r="P782" s="330"/>
      <c r="Q782" s="331"/>
      <c r="R782" s="319"/>
      <c r="S782" s="318">
        <v>173750</v>
      </c>
      <c r="T782" s="331"/>
      <c r="U782" s="739">
        <v>173750</v>
      </c>
      <c r="V782" s="317"/>
      <c r="W782" s="330"/>
      <c r="X782" s="330"/>
      <c r="Y782" s="331"/>
      <c r="Z782" s="319"/>
      <c r="AA782" s="331"/>
      <c r="AB782" s="331"/>
      <c r="AC782" s="330"/>
      <c r="AD782" s="317"/>
      <c r="AE782" s="330"/>
      <c r="AF782" s="330"/>
      <c r="AG782" s="331"/>
      <c r="AH782" s="319"/>
      <c r="AI782" s="331"/>
      <c r="AJ782" s="331"/>
      <c r="AK782" s="330"/>
      <c r="AL782" s="317"/>
      <c r="AM782" s="723">
        <v>1621620</v>
      </c>
      <c r="AN782" s="330"/>
      <c r="AO782" s="727">
        <v>1621620</v>
      </c>
    </row>
    <row r="783" spans="1:41" hidden="1">
      <c r="A783" s="757" t="s">
        <v>815</v>
      </c>
      <c r="B783" s="322"/>
      <c r="C783" s="325">
        <v>45665.4</v>
      </c>
      <c r="D783" s="339"/>
      <c r="E783" s="594">
        <v>45665.4</v>
      </c>
      <c r="F783" s="324"/>
      <c r="G783" s="338"/>
      <c r="H783" s="338"/>
      <c r="I783" s="339"/>
      <c r="J783" s="322"/>
      <c r="K783" s="339"/>
      <c r="L783" s="339"/>
      <c r="M783" s="338"/>
      <c r="N783" s="324"/>
      <c r="O783" s="338"/>
      <c r="P783" s="338"/>
      <c r="Q783" s="339"/>
      <c r="R783" s="322"/>
      <c r="S783" s="325">
        <v>12200</v>
      </c>
      <c r="T783" s="339"/>
      <c r="U783" s="594">
        <v>12200</v>
      </c>
      <c r="V783" s="324"/>
      <c r="W783" s="338"/>
      <c r="X783" s="338"/>
      <c r="Y783" s="339"/>
      <c r="Z783" s="322"/>
      <c r="AA783" s="339"/>
      <c r="AB783" s="339"/>
      <c r="AC783" s="338"/>
      <c r="AD783" s="324"/>
      <c r="AE783" s="338"/>
      <c r="AF783" s="338"/>
      <c r="AG783" s="339"/>
      <c r="AH783" s="322"/>
      <c r="AI783" s="339"/>
      <c r="AJ783" s="339"/>
      <c r="AK783" s="338"/>
      <c r="AL783" s="324"/>
      <c r="AM783" s="711">
        <v>33465.4</v>
      </c>
      <c r="AN783" s="338"/>
      <c r="AO783" s="737">
        <v>33465.4</v>
      </c>
    </row>
    <row r="784" spans="1:41" hidden="1">
      <c r="A784" s="757" t="s">
        <v>1877</v>
      </c>
      <c r="B784" s="322"/>
      <c r="C784" s="325">
        <v>452352.4</v>
      </c>
      <c r="D784" s="339"/>
      <c r="E784" s="594">
        <v>452352.4</v>
      </c>
      <c r="F784" s="324"/>
      <c r="G784" s="338"/>
      <c r="H784" s="338"/>
      <c r="I784" s="339"/>
      <c r="J784" s="322"/>
      <c r="K784" s="339"/>
      <c r="L784" s="339"/>
      <c r="M784" s="338"/>
      <c r="N784" s="324"/>
      <c r="O784" s="338"/>
      <c r="P784" s="338"/>
      <c r="Q784" s="339"/>
      <c r="R784" s="322"/>
      <c r="S784" s="325">
        <v>18875</v>
      </c>
      <c r="T784" s="339"/>
      <c r="U784" s="594">
        <v>18875</v>
      </c>
      <c r="V784" s="324"/>
      <c r="W784" s="338"/>
      <c r="X784" s="338"/>
      <c r="Y784" s="339"/>
      <c r="Z784" s="322"/>
      <c r="AA784" s="339"/>
      <c r="AB784" s="339"/>
      <c r="AC784" s="338"/>
      <c r="AD784" s="324"/>
      <c r="AE784" s="338"/>
      <c r="AF784" s="338"/>
      <c r="AG784" s="339"/>
      <c r="AH784" s="322"/>
      <c r="AI784" s="339"/>
      <c r="AJ784" s="339"/>
      <c r="AK784" s="338"/>
      <c r="AL784" s="324"/>
      <c r="AM784" s="711">
        <v>433477.4</v>
      </c>
      <c r="AN784" s="338"/>
      <c r="AO784" s="737">
        <v>433477.4</v>
      </c>
    </row>
    <row r="785" spans="1:41" hidden="1">
      <c r="A785" s="757" t="s">
        <v>1878</v>
      </c>
      <c r="B785" s="322"/>
      <c r="C785" s="325">
        <v>91450</v>
      </c>
      <c r="D785" s="325">
        <v>19778</v>
      </c>
      <c r="E785" s="594">
        <v>71672</v>
      </c>
      <c r="F785" s="324"/>
      <c r="G785" s="338"/>
      <c r="H785" s="338"/>
      <c r="I785" s="339"/>
      <c r="J785" s="322"/>
      <c r="K785" s="339"/>
      <c r="L785" s="339"/>
      <c r="M785" s="338"/>
      <c r="N785" s="324"/>
      <c r="O785" s="338"/>
      <c r="P785" s="338"/>
      <c r="Q785" s="339"/>
      <c r="R785" s="322"/>
      <c r="S785" s="339"/>
      <c r="T785" s="339"/>
      <c r="U785" s="338"/>
      <c r="V785" s="324"/>
      <c r="W785" s="338"/>
      <c r="X785" s="338"/>
      <c r="Y785" s="339"/>
      <c r="Z785" s="322"/>
      <c r="AA785" s="339"/>
      <c r="AB785" s="339"/>
      <c r="AC785" s="338"/>
      <c r="AD785" s="324"/>
      <c r="AE785" s="323">
        <v>91450</v>
      </c>
      <c r="AF785" s="323">
        <v>19778</v>
      </c>
      <c r="AG785" s="592">
        <v>71672</v>
      </c>
      <c r="AH785" s="322"/>
      <c r="AI785" s="339"/>
      <c r="AJ785" s="339"/>
      <c r="AK785" s="338"/>
      <c r="AL785" s="324"/>
      <c r="AM785" s="338"/>
      <c r="AN785" s="338"/>
      <c r="AO785" s="339"/>
    </row>
    <row r="786" spans="1:41" hidden="1">
      <c r="A786" s="757" t="s">
        <v>1879</v>
      </c>
      <c r="B786" s="322"/>
      <c r="C786" s="325">
        <v>20804</v>
      </c>
      <c r="D786" s="339"/>
      <c r="E786" s="594">
        <v>20804</v>
      </c>
      <c r="F786" s="324"/>
      <c r="G786" s="338"/>
      <c r="H786" s="338"/>
      <c r="I786" s="339"/>
      <c r="J786" s="322"/>
      <c r="K786" s="339"/>
      <c r="L786" s="339"/>
      <c r="M786" s="338"/>
      <c r="N786" s="324"/>
      <c r="O786" s="338"/>
      <c r="P786" s="338"/>
      <c r="Q786" s="339"/>
      <c r="R786" s="322"/>
      <c r="S786" s="339"/>
      <c r="T786" s="339"/>
      <c r="U786" s="338"/>
      <c r="V786" s="324"/>
      <c r="W786" s="338"/>
      <c r="X786" s="338"/>
      <c r="Y786" s="339"/>
      <c r="Z786" s="322"/>
      <c r="AA786" s="339"/>
      <c r="AB786" s="339"/>
      <c r="AC786" s="338"/>
      <c r="AD786" s="324"/>
      <c r="AE786" s="323">
        <v>20804</v>
      </c>
      <c r="AF786" s="338"/>
      <c r="AG786" s="592">
        <v>20804</v>
      </c>
      <c r="AH786" s="322"/>
      <c r="AI786" s="339"/>
      <c r="AJ786" s="339"/>
      <c r="AK786" s="338"/>
      <c r="AL786" s="324"/>
      <c r="AM786" s="338"/>
      <c r="AN786" s="338"/>
      <c r="AO786" s="339"/>
    </row>
    <row r="787" spans="1:41" hidden="1">
      <c r="A787" s="757" t="s">
        <v>1880</v>
      </c>
      <c r="B787" s="322"/>
      <c r="C787" s="325">
        <v>151110.23000000001</v>
      </c>
      <c r="D787" s="325">
        <v>39137</v>
      </c>
      <c r="E787" s="594">
        <v>111973.23</v>
      </c>
      <c r="F787" s="324"/>
      <c r="G787" s="338"/>
      <c r="H787" s="338"/>
      <c r="I787" s="339"/>
      <c r="J787" s="322"/>
      <c r="K787" s="339"/>
      <c r="L787" s="339"/>
      <c r="M787" s="338"/>
      <c r="N787" s="324"/>
      <c r="O787" s="338"/>
      <c r="P787" s="338"/>
      <c r="Q787" s="339"/>
      <c r="R787" s="322"/>
      <c r="S787" s="339"/>
      <c r="T787" s="339"/>
      <c r="U787" s="338"/>
      <c r="V787" s="324"/>
      <c r="W787" s="338"/>
      <c r="X787" s="338"/>
      <c r="Y787" s="339"/>
      <c r="Z787" s="322"/>
      <c r="AA787" s="339"/>
      <c r="AB787" s="339"/>
      <c r="AC787" s="338"/>
      <c r="AD787" s="324"/>
      <c r="AE787" s="323">
        <v>151110.23000000001</v>
      </c>
      <c r="AF787" s="323">
        <v>39137</v>
      </c>
      <c r="AG787" s="592">
        <v>111973.23</v>
      </c>
      <c r="AH787" s="322"/>
      <c r="AI787" s="339"/>
      <c r="AJ787" s="339"/>
      <c r="AK787" s="338"/>
      <c r="AL787" s="324"/>
      <c r="AM787" s="338"/>
      <c r="AN787" s="338"/>
      <c r="AO787" s="339"/>
    </row>
    <row r="788" spans="1:41" hidden="1">
      <c r="A788" s="316" t="s">
        <v>816</v>
      </c>
      <c r="B788" s="944"/>
      <c r="C788" s="591">
        <v>17438573.969999999</v>
      </c>
      <c r="D788" s="591">
        <v>2276476</v>
      </c>
      <c r="E788" s="773">
        <v>15162097.970000001</v>
      </c>
      <c r="F788" s="943"/>
      <c r="G788" s="708"/>
      <c r="H788" s="708"/>
      <c r="I788" s="708"/>
      <c r="J788" s="944"/>
      <c r="K788" s="595"/>
      <c r="L788" s="595"/>
      <c r="M788" s="595"/>
      <c r="N788" s="943"/>
      <c r="O788" s="708"/>
      <c r="P788" s="708"/>
      <c r="Q788" s="708"/>
      <c r="R788" s="944"/>
      <c r="S788" s="591">
        <v>1425731</v>
      </c>
      <c r="T788" s="595"/>
      <c r="U788" s="773">
        <v>1425731</v>
      </c>
      <c r="V788" s="943"/>
      <c r="W788" s="708"/>
      <c r="X788" s="708"/>
      <c r="Y788" s="708"/>
      <c r="Z788" s="944"/>
      <c r="AA788" s="595"/>
      <c r="AB788" s="595"/>
      <c r="AC788" s="595"/>
      <c r="AD788" s="943"/>
      <c r="AE788" s="703">
        <v>5973986.9699999997</v>
      </c>
      <c r="AF788" s="703">
        <v>86422</v>
      </c>
      <c r="AG788" s="767">
        <v>5887564.9699999997</v>
      </c>
      <c r="AH788" s="944"/>
      <c r="AI788" s="595"/>
      <c r="AJ788" s="595"/>
      <c r="AK788" s="595"/>
      <c r="AL788" s="943"/>
      <c r="AM788" s="702">
        <v>10038856</v>
      </c>
      <c r="AN788" s="702">
        <v>2190054</v>
      </c>
      <c r="AO788" s="967">
        <v>7848802</v>
      </c>
    </row>
    <row r="789" spans="1:41" hidden="1">
      <c r="A789" s="757" t="s">
        <v>1881</v>
      </c>
      <c r="B789" s="319"/>
      <c r="C789" s="318">
        <v>31765</v>
      </c>
      <c r="D789" s="318">
        <v>16165</v>
      </c>
      <c r="E789" s="739">
        <v>15600</v>
      </c>
      <c r="F789" s="317"/>
      <c r="G789" s="330"/>
      <c r="H789" s="330"/>
      <c r="I789" s="331"/>
      <c r="J789" s="319"/>
      <c r="K789" s="331"/>
      <c r="L789" s="331"/>
      <c r="M789" s="330"/>
      <c r="N789" s="317"/>
      <c r="O789" s="330"/>
      <c r="P789" s="330"/>
      <c r="Q789" s="331"/>
      <c r="R789" s="319"/>
      <c r="S789" s="331"/>
      <c r="T789" s="331"/>
      <c r="U789" s="330"/>
      <c r="V789" s="317"/>
      <c r="W789" s="330"/>
      <c r="X789" s="330"/>
      <c r="Y789" s="331"/>
      <c r="Z789" s="319"/>
      <c r="AA789" s="331"/>
      <c r="AB789" s="331"/>
      <c r="AC789" s="330"/>
      <c r="AD789" s="317"/>
      <c r="AE789" s="320">
        <v>5487</v>
      </c>
      <c r="AF789" s="320">
        <v>2397</v>
      </c>
      <c r="AG789" s="729">
        <v>3090</v>
      </c>
      <c r="AH789" s="319"/>
      <c r="AI789" s="331"/>
      <c r="AJ789" s="331"/>
      <c r="AK789" s="330"/>
      <c r="AL789" s="317"/>
      <c r="AM789" s="723">
        <v>26278</v>
      </c>
      <c r="AN789" s="723">
        <v>13768</v>
      </c>
      <c r="AO789" s="727">
        <v>12510</v>
      </c>
    </row>
    <row r="790" spans="1:41" hidden="1">
      <c r="A790" s="756" t="s">
        <v>1070</v>
      </c>
      <c r="B790" s="322"/>
      <c r="C790" s="325">
        <v>515195</v>
      </c>
      <c r="D790" s="339"/>
      <c r="E790" s="594">
        <v>515195</v>
      </c>
      <c r="F790" s="324"/>
      <c r="G790" s="338"/>
      <c r="H790" s="338"/>
      <c r="I790" s="339"/>
      <c r="J790" s="322"/>
      <c r="K790" s="339"/>
      <c r="L790" s="339"/>
      <c r="M790" s="338"/>
      <c r="N790" s="324"/>
      <c r="O790" s="338"/>
      <c r="P790" s="338"/>
      <c r="Q790" s="339"/>
      <c r="R790" s="322"/>
      <c r="S790" s="339"/>
      <c r="T790" s="339"/>
      <c r="U790" s="338"/>
      <c r="V790" s="324"/>
      <c r="W790" s="338"/>
      <c r="X790" s="338"/>
      <c r="Y790" s="339"/>
      <c r="Z790" s="322"/>
      <c r="AA790" s="339"/>
      <c r="AB790" s="339"/>
      <c r="AC790" s="338"/>
      <c r="AD790" s="324"/>
      <c r="AE790" s="323">
        <v>161525</v>
      </c>
      <c r="AF790" s="338"/>
      <c r="AG790" s="592">
        <v>161525</v>
      </c>
      <c r="AH790" s="322"/>
      <c r="AI790" s="339"/>
      <c r="AJ790" s="339"/>
      <c r="AK790" s="338"/>
      <c r="AL790" s="324"/>
      <c r="AM790" s="711">
        <v>353670</v>
      </c>
      <c r="AN790" s="338"/>
      <c r="AO790" s="737">
        <v>353670</v>
      </c>
    </row>
    <row r="791" spans="1:41" hidden="1">
      <c r="A791" s="757" t="s">
        <v>1882</v>
      </c>
      <c r="B791" s="322"/>
      <c r="C791" s="325">
        <v>22812</v>
      </c>
      <c r="D791" s="325">
        <v>10766</v>
      </c>
      <c r="E791" s="594">
        <v>12046</v>
      </c>
      <c r="F791" s="324"/>
      <c r="G791" s="338"/>
      <c r="H791" s="338"/>
      <c r="I791" s="339"/>
      <c r="J791" s="322"/>
      <c r="K791" s="339"/>
      <c r="L791" s="339"/>
      <c r="M791" s="338"/>
      <c r="N791" s="324"/>
      <c r="O791" s="338"/>
      <c r="P791" s="338"/>
      <c r="Q791" s="339"/>
      <c r="R791" s="322"/>
      <c r="S791" s="339"/>
      <c r="T791" s="339"/>
      <c r="U791" s="338"/>
      <c r="V791" s="324"/>
      <c r="W791" s="338"/>
      <c r="X791" s="338"/>
      <c r="Y791" s="339"/>
      <c r="Z791" s="322"/>
      <c r="AA791" s="339"/>
      <c r="AB791" s="339"/>
      <c r="AC791" s="338"/>
      <c r="AD791" s="324"/>
      <c r="AE791" s="323">
        <v>22812</v>
      </c>
      <c r="AF791" s="323">
        <v>10766</v>
      </c>
      <c r="AG791" s="592">
        <v>12046</v>
      </c>
      <c r="AH791" s="322"/>
      <c r="AI791" s="339"/>
      <c r="AJ791" s="339"/>
      <c r="AK791" s="338"/>
      <c r="AL791" s="324"/>
      <c r="AM791" s="338"/>
      <c r="AN791" s="338"/>
      <c r="AO791" s="339"/>
    </row>
    <row r="792" spans="1:41" hidden="1">
      <c r="A792" s="756" t="s">
        <v>1883</v>
      </c>
      <c r="B792" s="322"/>
      <c r="C792" s="325">
        <v>792744</v>
      </c>
      <c r="D792" s="325">
        <v>419242</v>
      </c>
      <c r="E792" s="594">
        <v>373502</v>
      </c>
      <c r="F792" s="324"/>
      <c r="G792" s="338"/>
      <c r="H792" s="338"/>
      <c r="I792" s="339"/>
      <c r="J792" s="322"/>
      <c r="K792" s="339"/>
      <c r="L792" s="339"/>
      <c r="M792" s="338"/>
      <c r="N792" s="324"/>
      <c r="O792" s="338"/>
      <c r="P792" s="338"/>
      <c r="Q792" s="339"/>
      <c r="R792" s="322"/>
      <c r="S792" s="339"/>
      <c r="T792" s="339"/>
      <c r="U792" s="338"/>
      <c r="V792" s="324"/>
      <c r="W792" s="338"/>
      <c r="X792" s="338"/>
      <c r="Y792" s="339"/>
      <c r="Z792" s="322"/>
      <c r="AA792" s="339"/>
      <c r="AB792" s="339"/>
      <c r="AC792" s="338"/>
      <c r="AD792" s="324"/>
      <c r="AE792" s="323">
        <v>135967</v>
      </c>
      <c r="AF792" s="323">
        <v>73259</v>
      </c>
      <c r="AG792" s="592">
        <v>62708</v>
      </c>
      <c r="AH792" s="322"/>
      <c r="AI792" s="339"/>
      <c r="AJ792" s="339"/>
      <c r="AK792" s="338"/>
      <c r="AL792" s="324"/>
      <c r="AM792" s="711">
        <v>656777</v>
      </c>
      <c r="AN792" s="711">
        <v>345983</v>
      </c>
      <c r="AO792" s="737">
        <v>310794</v>
      </c>
    </row>
    <row r="793" spans="1:41" hidden="1">
      <c r="A793" s="757" t="s">
        <v>1884</v>
      </c>
      <c r="B793" s="322"/>
      <c r="C793" s="325">
        <v>750000</v>
      </c>
      <c r="D793" s="339"/>
      <c r="E793" s="594">
        <v>750000</v>
      </c>
      <c r="F793" s="324"/>
      <c r="G793" s="338"/>
      <c r="H793" s="338"/>
      <c r="I793" s="339"/>
      <c r="J793" s="322"/>
      <c r="K793" s="339"/>
      <c r="L793" s="339"/>
      <c r="M793" s="338"/>
      <c r="N793" s="324"/>
      <c r="O793" s="338"/>
      <c r="P793" s="338"/>
      <c r="Q793" s="339"/>
      <c r="R793" s="322"/>
      <c r="S793" s="339"/>
      <c r="T793" s="339"/>
      <c r="U793" s="338"/>
      <c r="V793" s="324"/>
      <c r="W793" s="338"/>
      <c r="X793" s="338"/>
      <c r="Y793" s="339"/>
      <c r="Z793" s="322"/>
      <c r="AA793" s="339"/>
      <c r="AB793" s="339"/>
      <c r="AC793" s="338"/>
      <c r="AD793" s="324"/>
      <c r="AE793" s="323">
        <v>750000</v>
      </c>
      <c r="AF793" s="338"/>
      <c r="AG793" s="592">
        <v>750000</v>
      </c>
      <c r="AH793" s="322"/>
      <c r="AI793" s="339"/>
      <c r="AJ793" s="339"/>
      <c r="AK793" s="338"/>
      <c r="AL793" s="324"/>
      <c r="AM793" s="338"/>
      <c r="AN793" s="338"/>
      <c r="AO793" s="339"/>
    </row>
    <row r="794" spans="1:41" hidden="1">
      <c r="A794" s="757" t="s">
        <v>1885</v>
      </c>
      <c r="B794" s="322"/>
      <c r="C794" s="325">
        <v>375000</v>
      </c>
      <c r="D794" s="339"/>
      <c r="E794" s="594">
        <v>375000</v>
      </c>
      <c r="F794" s="324"/>
      <c r="G794" s="338"/>
      <c r="H794" s="338"/>
      <c r="I794" s="339"/>
      <c r="J794" s="322"/>
      <c r="K794" s="339"/>
      <c r="L794" s="339"/>
      <c r="M794" s="338"/>
      <c r="N794" s="324"/>
      <c r="O794" s="338"/>
      <c r="P794" s="338"/>
      <c r="Q794" s="339"/>
      <c r="R794" s="322"/>
      <c r="S794" s="339"/>
      <c r="T794" s="339"/>
      <c r="U794" s="338"/>
      <c r="V794" s="324"/>
      <c r="W794" s="338"/>
      <c r="X794" s="338"/>
      <c r="Y794" s="339"/>
      <c r="Z794" s="322"/>
      <c r="AA794" s="339"/>
      <c r="AB794" s="339"/>
      <c r="AC794" s="338"/>
      <c r="AD794" s="324"/>
      <c r="AE794" s="323">
        <v>375000</v>
      </c>
      <c r="AF794" s="338"/>
      <c r="AG794" s="592">
        <v>375000</v>
      </c>
      <c r="AH794" s="322"/>
      <c r="AI794" s="339"/>
      <c r="AJ794" s="339"/>
      <c r="AK794" s="338"/>
      <c r="AL794" s="324"/>
      <c r="AM794" s="338"/>
      <c r="AN794" s="338"/>
      <c r="AO794" s="339"/>
    </row>
    <row r="795" spans="1:41" hidden="1">
      <c r="A795" s="757" t="s">
        <v>1886</v>
      </c>
      <c r="B795" s="322"/>
      <c r="C795" s="325">
        <v>750000</v>
      </c>
      <c r="D795" s="339"/>
      <c r="E795" s="594">
        <v>750000</v>
      </c>
      <c r="F795" s="324"/>
      <c r="G795" s="338"/>
      <c r="H795" s="338"/>
      <c r="I795" s="339"/>
      <c r="J795" s="322"/>
      <c r="K795" s="339"/>
      <c r="L795" s="339"/>
      <c r="M795" s="338"/>
      <c r="N795" s="324"/>
      <c r="O795" s="338"/>
      <c r="P795" s="338"/>
      <c r="Q795" s="339"/>
      <c r="R795" s="322"/>
      <c r="S795" s="339"/>
      <c r="T795" s="339"/>
      <c r="U795" s="338"/>
      <c r="V795" s="324"/>
      <c r="W795" s="338"/>
      <c r="X795" s="338"/>
      <c r="Y795" s="339"/>
      <c r="Z795" s="322"/>
      <c r="AA795" s="339"/>
      <c r="AB795" s="339"/>
      <c r="AC795" s="338"/>
      <c r="AD795" s="324"/>
      <c r="AE795" s="323">
        <v>750000</v>
      </c>
      <c r="AF795" s="338"/>
      <c r="AG795" s="592">
        <v>750000</v>
      </c>
      <c r="AH795" s="322"/>
      <c r="AI795" s="339"/>
      <c r="AJ795" s="339"/>
      <c r="AK795" s="338"/>
      <c r="AL795" s="324"/>
      <c r="AM795" s="338"/>
      <c r="AN795" s="338"/>
      <c r="AO795" s="339"/>
    </row>
    <row r="796" spans="1:41" hidden="1">
      <c r="A796" s="757" t="s">
        <v>1887</v>
      </c>
      <c r="B796" s="322"/>
      <c r="C796" s="714">
        <v>66964</v>
      </c>
      <c r="D796" s="339"/>
      <c r="E796" s="735">
        <v>66964</v>
      </c>
      <c r="F796" s="324"/>
      <c r="G796" s="338"/>
      <c r="H796" s="338"/>
      <c r="I796" s="339"/>
      <c r="J796" s="322"/>
      <c r="K796" s="339"/>
      <c r="L796" s="339"/>
      <c r="M796" s="338"/>
      <c r="N796" s="324"/>
      <c r="O796" s="338"/>
      <c r="P796" s="338"/>
      <c r="Q796" s="339"/>
      <c r="R796" s="322"/>
      <c r="S796" s="339"/>
      <c r="T796" s="339"/>
      <c r="U796" s="338"/>
      <c r="V796" s="324"/>
      <c r="W796" s="338"/>
      <c r="X796" s="338"/>
      <c r="Y796" s="339"/>
      <c r="Z796" s="322"/>
      <c r="AA796" s="339"/>
      <c r="AB796" s="339"/>
      <c r="AC796" s="338"/>
      <c r="AD796" s="324"/>
      <c r="AE796" s="338"/>
      <c r="AF796" s="338"/>
      <c r="AG796" s="339"/>
      <c r="AH796" s="322"/>
      <c r="AI796" s="339"/>
      <c r="AJ796" s="339"/>
      <c r="AK796" s="338"/>
      <c r="AL796" s="324"/>
      <c r="AM796" s="711">
        <v>66964</v>
      </c>
      <c r="AN796" s="338"/>
      <c r="AO796" s="737">
        <v>66964</v>
      </c>
    </row>
    <row r="797" spans="1:41" hidden="1">
      <c r="A797" s="757" t="s">
        <v>1888</v>
      </c>
      <c r="B797" s="322"/>
      <c r="C797" s="325">
        <v>1686003</v>
      </c>
      <c r="D797" s="339"/>
      <c r="E797" s="594">
        <v>1686003</v>
      </c>
      <c r="F797" s="324"/>
      <c r="G797" s="338"/>
      <c r="H797" s="338"/>
      <c r="I797" s="339"/>
      <c r="J797" s="322"/>
      <c r="K797" s="339"/>
      <c r="L797" s="339"/>
      <c r="M797" s="338"/>
      <c r="N797" s="324"/>
      <c r="O797" s="338"/>
      <c r="P797" s="338"/>
      <c r="Q797" s="339"/>
      <c r="R797" s="322"/>
      <c r="S797" s="339"/>
      <c r="T797" s="339"/>
      <c r="U797" s="338"/>
      <c r="V797" s="324"/>
      <c r="W797" s="338"/>
      <c r="X797" s="338"/>
      <c r="Y797" s="339"/>
      <c r="Z797" s="322"/>
      <c r="AA797" s="339"/>
      <c r="AB797" s="339"/>
      <c r="AC797" s="338"/>
      <c r="AD797" s="324"/>
      <c r="AE797" s="323">
        <v>1686003</v>
      </c>
      <c r="AF797" s="338"/>
      <c r="AG797" s="592">
        <v>1686003</v>
      </c>
      <c r="AH797" s="322"/>
      <c r="AI797" s="339"/>
      <c r="AJ797" s="339"/>
      <c r="AK797" s="338"/>
      <c r="AL797" s="324"/>
      <c r="AM797" s="338"/>
      <c r="AN797" s="338"/>
      <c r="AO797" s="339"/>
    </row>
    <row r="798" spans="1:41" hidden="1">
      <c r="A798" s="756" t="s">
        <v>1889</v>
      </c>
      <c r="B798" s="322"/>
      <c r="C798" s="325">
        <v>375000</v>
      </c>
      <c r="D798" s="339"/>
      <c r="E798" s="594">
        <v>375000</v>
      </c>
      <c r="F798" s="324"/>
      <c r="G798" s="338"/>
      <c r="H798" s="338"/>
      <c r="I798" s="339"/>
      <c r="J798" s="322"/>
      <c r="K798" s="339"/>
      <c r="L798" s="339"/>
      <c r="M798" s="338"/>
      <c r="N798" s="324"/>
      <c r="O798" s="338"/>
      <c r="P798" s="338"/>
      <c r="Q798" s="339"/>
      <c r="R798" s="322"/>
      <c r="S798" s="339"/>
      <c r="T798" s="339"/>
      <c r="U798" s="338"/>
      <c r="V798" s="324"/>
      <c r="W798" s="338"/>
      <c r="X798" s="338"/>
      <c r="Y798" s="339"/>
      <c r="Z798" s="322"/>
      <c r="AA798" s="339"/>
      <c r="AB798" s="339"/>
      <c r="AC798" s="338"/>
      <c r="AD798" s="324"/>
      <c r="AE798" s="323">
        <v>375000</v>
      </c>
      <c r="AF798" s="338"/>
      <c r="AG798" s="592">
        <v>375000</v>
      </c>
      <c r="AH798" s="322"/>
      <c r="AI798" s="339"/>
      <c r="AJ798" s="339"/>
      <c r="AK798" s="338"/>
      <c r="AL798" s="324"/>
      <c r="AM798" s="338"/>
      <c r="AN798" s="338"/>
      <c r="AO798" s="339"/>
    </row>
    <row r="799" spans="1:41" hidden="1">
      <c r="A799" s="756" t="s">
        <v>1075</v>
      </c>
      <c r="B799" s="322"/>
      <c r="C799" s="325">
        <v>10360898</v>
      </c>
      <c r="D799" s="714">
        <v>1830303</v>
      </c>
      <c r="E799" s="594">
        <v>8530595</v>
      </c>
      <c r="F799" s="324"/>
      <c r="G799" s="338"/>
      <c r="H799" s="338"/>
      <c r="I799" s="339"/>
      <c r="J799" s="322"/>
      <c r="K799" s="339"/>
      <c r="L799" s="339"/>
      <c r="M799" s="338"/>
      <c r="N799" s="324"/>
      <c r="O799" s="338"/>
      <c r="P799" s="338"/>
      <c r="Q799" s="339"/>
      <c r="R799" s="322"/>
      <c r="S799" s="325">
        <v>1425731</v>
      </c>
      <c r="T799" s="339"/>
      <c r="U799" s="594">
        <v>1425731</v>
      </c>
      <c r="V799" s="324"/>
      <c r="W799" s="338"/>
      <c r="X799" s="338"/>
      <c r="Y799" s="339"/>
      <c r="Z799" s="322"/>
      <c r="AA799" s="339"/>
      <c r="AB799" s="339"/>
      <c r="AC799" s="338"/>
      <c r="AD799" s="324"/>
      <c r="AE799" s="338"/>
      <c r="AF799" s="338"/>
      <c r="AG799" s="339"/>
      <c r="AH799" s="322"/>
      <c r="AI799" s="339"/>
      <c r="AJ799" s="339"/>
      <c r="AK799" s="338"/>
      <c r="AL799" s="324"/>
      <c r="AM799" s="711">
        <v>8935167</v>
      </c>
      <c r="AN799" s="711">
        <v>1830303</v>
      </c>
      <c r="AO799" s="737">
        <v>7104864</v>
      </c>
    </row>
    <row r="800" spans="1:41" hidden="1">
      <c r="A800" s="757" t="s">
        <v>1890</v>
      </c>
      <c r="B800" s="322"/>
      <c r="C800" s="325">
        <v>26796</v>
      </c>
      <c r="D800" s="339"/>
      <c r="E800" s="594">
        <v>26796</v>
      </c>
      <c r="F800" s="324"/>
      <c r="G800" s="338"/>
      <c r="H800" s="338"/>
      <c r="I800" s="339"/>
      <c r="J800" s="322"/>
      <c r="K800" s="339"/>
      <c r="L800" s="339"/>
      <c r="M800" s="338"/>
      <c r="N800" s="324"/>
      <c r="O800" s="338"/>
      <c r="P800" s="338"/>
      <c r="Q800" s="339"/>
      <c r="R800" s="322"/>
      <c r="S800" s="339"/>
      <c r="T800" s="339"/>
      <c r="U800" s="338"/>
      <c r="V800" s="324"/>
      <c r="W800" s="338"/>
      <c r="X800" s="338"/>
      <c r="Y800" s="339"/>
      <c r="Z800" s="322"/>
      <c r="AA800" s="339"/>
      <c r="AB800" s="339"/>
      <c r="AC800" s="338"/>
      <c r="AD800" s="324"/>
      <c r="AE800" s="323">
        <v>26796</v>
      </c>
      <c r="AF800" s="338"/>
      <c r="AG800" s="592">
        <v>26796</v>
      </c>
      <c r="AH800" s="322"/>
      <c r="AI800" s="339"/>
      <c r="AJ800" s="339"/>
      <c r="AK800" s="338"/>
      <c r="AL800" s="324"/>
      <c r="AM800" s="338"/>
      <c r="AN800" s="338"/>
      <c r="AO800" s="339"/>
    </row>
    <row r="801" spans="1:41" hidden="1">
      <c r="A801" s="757" t="s">
        <v>1891</v>
      </c>
      <c r="B801" s="322"/>
      <c r="C801" s="325">
        <v>200000</v>
      </c>
      <c r="D801" s="339"/>
      <c r="E801" s="594">
        <v>200000</v>
      </c>
      <c r="F801" s="324"/>
      <c r="G801" s="338"/>
      <c r="H801" s="338"/>
      <c r="I801" s="339"/>
      <c r="J801" s="322"/>
      <c r="K801" s="339"/>
      <c r="L801" s="339"/>
      <c r="M801" s="338"/>
      <c r="N801" s="324"/>
      <c r="O801" s="338"/>
      <c r="P801" s="338"/>
      <c r="Q801" s="339"/>
      <c r="R801" s="322"/>
      <c r="S801" s="339"/>
      <c r="T801" s="339"/>
      <c r="U801" s="338"/>
      <c r="V801" s="324"/>
      <c r="W801" s="338"/>
      <c r="X801" s="338"/>
      <c r="Y801" s="339"/>
      <c r="Z801" s="322"/>
      <c r="AA801" s="339"/>
      <c r="AB801" s="339"/>
      <c r="AC801" s="338"/>
      <c r="AD801" s="324"/>
      <c r="AE801" s="323">
        <v>200000</v>
      </c>
      <c r="AF801" s="338"/>
      <c r="AG801" s="592">
        <v>200000</v>
      </c>
      <c r="AH801" s="322"/>
      <c r="AI801" s="339"/>
      <c r="AJ801" s="339"/>
      <c r="AK801" s="338"/>
      <c r="AL801" s="324"/>
      <c r="AM801" s="338"/>
      <c r="AN801" s="338"/>
      <c r="AO801" s="339"/>
    </row>
    <row r="802" spans="1:41" hidden="1">
      <c r="A802" s="757" t="s">
        <v>1892</v>
      </c>
      <c r="B802" s="322"/>
      <c r="C802" s="325">
        <v>375000</v>
      </c>
      <c r="D802" s="339"/>
      <c r="E802" s="594">
        <v>375000</v>
      </c>
      <c r="F802" s="324"/>
      <c r="G802" s="338"/>
      <c r="H802" s="338"/>
      <c r="I802" s="339"/>
      <c r="J802" s="322"/>
      <c r="K802" s="339"/>
      <c r="L802" s="339"/>
      <c r="M802" s="338"/>
      <c r="N802" s="324"/>
      <c r="O802" s="338"/>
      <c r="P802" s="338"/>
      <c r="Q802" s="339"/>
      <c r="R802" s="322"/>
      <c r="S802" s="339"/>
      <c r="T802" s="339"/>
      <c r="U802" s="338"/>
      <c r="V802" s="324"/>
      <c r="W802" s="338"/>
      <c r="X802" s="338"/>
      <c r="Y802" s="339"/>
      <c r="Z802" s="322"/>
      <c r="AA802" s="339"/>
      <c r="AB802" s="339"/>
      <c r="AC802" s="338"/>
      <c r="AD802" s="324"/>
      <c r="AE802" s="323">
        <v>375000</v>
      </c>
      <c r="AF802" s="338"/>
      <c r="AG802" s="592">
        <v>375000</v>
      </c>
      <c r="AH802" s="322"/>
      <c r="AI802" s="339"/>
      <c r="AJ802" s="339"/>
      <c r="AK802" s="338"/>
      <c r="AL802" s="324"/>
      <c r="AM802" s="338"/>
      <c r="AN802" s="338"/>
      <c r="AO802" s="339"/>
    </row>
    <row r="803" spans="1:41" hidden="1">
      <c r="A803" s="757" t="s">
        <v>1893</v>
      </c>
      <c r="B803" s="322"/>
      <c r="C803" s="325">
        <v>150000</v>
      </c>
      <c r="D803" s="339"/>
      <c r="E803" s="594">
        <v>150000</v>
      </c>
      <c r="F803" s="324"/>
      <c r="G803" s="338"/>
      <c r="H803" s="338"/>
      <c r="I803" s="339"/>
      <c r="J803" s="322"/>
      <c r="K803" s="339"/>
      <c r="L803" s="339"/>
      <c r="M803" s="338"/>
      <c r="N803" s="324"/>
      <c r="O803" s="338"/>
      <c r="P803" s="338"/>
      <c r="Q803" s="339"/>
      <c r="R803" s="322"/>
      <c r="S803" s="339"/>
      <c r="T803" s="339"/>
      <c r="U803" s="338"/>
      <c r="V803" s="324"/>
      <c r="W803" s="338"/>
      <c r="X803" s="338"/>
      <c r="Y803" s="339"/>
      <c r="Z803" s="322"/>
      <c r="AA803" s="339"/>
      <c r="AB803" s="339"/>
      <c r="AC803" s="338"/>
      <c r="AD803" s="324"/>
      <c r="AE803" s="323">
        <v>150000</v>
      </c>
      <c r="AF803" s="338"/>
      <c r="AG803" s="592">
        <v>150000</v>
      </c>
      <c r="AH803" s="322"/>
      <c r="AI803" s="339"/>
      <c r="AJ803" s="339"/>
      <c r="AK803" s="338"/>
      <c r="AL803" s="324"/>
      <c r="AM803" s="338"/>
      <c r="AN803" s="338"/>
      <c r="AO803" s="339"/>
    </row>
    <row r="804" spans="1:41" hidden="1">
      <c r="A804" s="757" t="s">
        <v>1076</v>
      </c>
      <c r="B804" s="322"/>
      <c r="C804" s="325">
        <v>750000</v>
      </c>
      <c r="D804" s="339"/>
      <c r="E804" s="594">
        <v>750000</v>
      </c>
      <c r="F804" s="324"/>
      <c r="G804" s="338"/>
      <c r="H804" s="338"/>
      <c r="I804" s="339"/>
      <c r="J804" s="322"/>
      <c r="K804" s="339"/>
      <c r="L804" s="339"/>
      <c r="M804" s="338"/>
      <c r="N804" s="324"/>
      <c r="O804" s="338"/>
      <c r="P804" s="338"/>
      <c r="Q804" s="339"/>
      <c r="R804" s="322"/>
      <c r="S804" s="339"/>
      <c r="T804" s="339"/>
      <c r="U804" s="338"/>
      <c r="V804" s="324"/>
      <c r="W804" s="338"/>
      <c r="X804" s="338"/>
      <c r="Y804" s="339"/>
      <c r="Z804" s="322"/>
      <c r="AA804" s="339"/>
      <c r="AB804" s="339"/>
      <c r="AC804" s="338"/>
      <c r="AD804" s="324"/>
      <c r="AE804" s="323">
        <v>750000</v>
      </c>
      <c r="AF804" s="338"/>
      <c r="AG804" s="592">
        <v>750000</v>
      </c>
      <c r="AH804" s="322"/>
      <c r="AI804" s="339"/>
      <c r="AJ804" s="339"/>
      <c r="AK804" s="338"/>
      <c r="AL804" s="324"/>
      <c r="AM804" s="338"/>
      <c r="AN804" s="338"/>
      <c r="AO804" s="339"/>
    </row>
    <row r="805" spans="1:41" hidden="1">
      <c r="A805" s="757" t="s">
        <v>1894</v>
      </c>
      <c r="B805" s="322"/>
      <c r="C805" s="325">
        <v>97908.43</v>
      </c>
      <c r="D805" s="339"/>
      <c r="E805" s="594">
        <v>97908.43</v>
      </c>
      <c r="F805" s="324"/>
      <c r="G805" s="338"/>
      <c r="H805" s="338"/>
      <c r="I805" s="339"/>
      <c r="J805" s="322"/>
      <c r="K805" s="339"/>
      <c r="L805" s="339"/>
      <c r="M805" s="338"/>
      <c r="N805" s="324"/>
      <c r="O805" s="338"/>
      <c r="P805" s="338"/>
      <c r="Q805" s="339"/>
      <c r="R805" s="322"/>
      <c r="S805" s="339"/>
      <c r="T805" s="339"/>
      <c r="U805" s="338"/>
      <c r="V805" s="324"/>
      <c r="W805" s="338"/>
      <c r="X805" s="338"/>
      <c r="Y805" s="339"/>
      <c r="Z805" s="322"/>
      <c r="AA805" s="339"/>
      <c r="AB805" s="339"/>
      <c r="AC805" s="338"/>
      <c r="AD805" s="324"/>
      <c r="AE805" s="323">
        <v>97908.43</v>
      </c>
      <c r="AF805" s="338"/>
      <c r="AG805" s="592">
        <v>97908.43</v>
      </c>
      <c r="AH805" s="322"/>
      <c r="AI805" s="339"/>
      <c r="AJ805" s="339"/>
      <c r="AK805" s="338"/>
      <c r="AL805" s="324"/>
      <c r="AM805" s="338"/>
      <c r="AN805" s="338"/>
      <c r="AO805" s="339"/>
    </row>
    <row r="806" spans="1:41" hidden="1">
      <c r="A806" s="756" t="s">
        <v>817</v>
      </c>
      <c r="B806" s="322"/>
      <c r="C806" s="325">
        <v>112488.54</v>
      </c>
      <c r="D806" s="339"/>
      <c r="E806" s="594">
        <v>112488.54</v>
      </c>
      <c r="F806" s="324"/>
      <c r="G806" s="338"/>
      <c r="H806" s="338"/>
      <c r="I806" s="339"/>
      <c r="J806" s="322"/>
      <c r="K806" s="339"/>
      <c r="L806" s="339"/>
      <c r="M806" s="338"/>
      <c r="N806" s="324"/>
      <c r="O806" s="338"/>
      <c r="P806" s="338"/>
      <c r="Q806" s="339"/>
      <c r="R806" s="322"/>
      <c r="S806" s="339"/>
      <c r="T806" s="339"/>
      <c r="U806" s="338"/>
      <c r="V806" s="324"/>
      <c r="W806" s="338"/>
      <c r="X806" s="338"/>
      <c r="Y806" s="339"/>
      <c r="Z806" s="322"/>
      <c r="AA806" s="339"/>
      <c r="AB806" s="339"/>
      <c r="AC806" s="338"/>
      <c r="AD806" s="324"/>
      <c r="AE806" s="323">
        <v>112488.54</v>
      </c>
      <c r="AF806" s="338"/>
      <c r="AG806" s="592">
        <v>112488.54</v>
      </c>
      <c r="AH806" s="322"/>
      <c r="AI806" s="339"/>
      <c r="AJ806" s="339"/>
      <c r="AK806" s="338"/>
      <c r="AL806" s="324"/>
      <c r="AM806" s="338"/>
      <c r="AN806" s="338"/>
      <c r="AO806" s="339"/>
    </row>
    <row r="807" spans="1:41" hidden="1">
      <c r="A807" s="316" t="s">
        <v>385</v>
      </c>
      <c r="B807" s="944"/>
      <c r="C807" s="591">
        <v>4294099</v>
      </c>
      <c r="D807" s="595"/>
      <c r="E807" s="773">
        <v>4294099</v>
      </c>
      <c r="F807" s="943"/>
      <c r="G807" s="708"/>
      <c r="H807" s="708"/>
      <c r="I807" s="708"/>
      <c r="J807" s="944"/>
      <c r="K807" s="595"/>
      <c r="L807" s="595"/>
      <c r="M807" s="595"/>
      <c r="N807" s="943"/>
      <c r="O807" s="703">
        <v>4294099</v>
      </c>
      <c r="P807" s="708"/>
      <c r="Q807" s="767">
        <v>4294099</v>
      </c>
      <c r="R807" s="944"/>
      <c r="S807" s="595"/>
      <c r="T807" s="595"/>
      <c r="U807" s="595"/>
      <c r="V807" s="943"/>
      <c r="W807" s="708"/>
      <c r="X807" s="708"/>
      <c r="Y807" s="708"/>
      <c r="Z807" s="944"/>
      <c r="AA807" s="595"/>
      <c r="AB807" s="595"/>
      <c r="AC807" s="595"/>
      <c r="AD807" s="943"/>
      <c r="AE807" s="708"/>
      <c r="AF807" s="708"/>
      <c r="AG807" s="708"/>
      <c r="AH807" s="944"/>
      <c r="AI807" s="595"/>
      <c r="AJ807" s="595"/>
      <c r="AK807" s="595"/>
      <c r="AL807" s="943"/>
      <c r="AM807" s="708"/>
      <c r="AN807" s="708"/>
      <c r="AO807" s="708"/>
    </row>
    <row r="808" spans="1:41" hidden="1">
      <c r="A808" s="757" t="s">
        <v>1881</v>
      </c>
      <c r="B808" s="319"/>
      <c r="C808" s="318">
        <v>500</v>
      </c>
      <c r="D808" s="331"/>
      <c r="E808" s="739">
        <v>500</v>
      </c>
      <c r="F808" s="317"/>
      <c r="G808" s="330"/>
      <c r="H808" s="330"/>
      <c r="I808" s="331"/>
      <c r="J808" s="319"/>
      <c r="K808" s="331"/>
      <c r="L808" s="331"/>
      <c r="M808" s="330"/>
      <c r="N808" s="317"/>
      <c r="O808" s="320">
        <v>500</v>
      </c>
      <c r="P808" s="330"/>
      <c r="Q808" s="729">
        <v>500</v>
      </c>
      <c r="R808" s="319"/>
      <c r="S808" s="331"/>
      <c r="T808" s="331"/>
      <c r="U808" s="330"/>
      <c r="V808" s="317"/>
      <c r="W808" s="330"/>
      <c r="X808" s="330"/>
      <c r="Y808" s="331"/>
      <c r="Z808" s="319"/>
      <c r="AA808" s="331"/>
      <c r="AB808" s="331"/>
      <c r="AC808" s="330"/>
      <c r="AD808" s="317"/>
      <c r="AE808" s="330"/>
      <c r="AF808" s="330"/>
      <c r="AG808" s="331"/>
      <c r="AH808" s="319"/>
      <c r="AI808" s="331"/>
      <c r="AJ808" s="331"/>
      <c r="AK808" s="330"/>
      <c r="AL808" s="317"/>
      <c r="AM808" s="330"/>
      <c r="AN808" s="330"/>
      <c r="AO808" s="331"/>
    </row>
    <row r="809" spans="1:41" hidden="1">
      <c r="A809" s="756" t="s">
        <v>1070</v>
      </c>
      <c r="B809" s="322"/>
      <c r="C809" s="325">
        <v>69395</v>
      </c>
      <c r="D809" s="339"/>
      <c r="E809" s="594">
        <v>69395</v>
      </c>
      <c r="F809" s="324"/>
      <c r="G809" s="338"/>
      <c r="H809" s="338"/>
      <c r="I809" s="339"/>
      <c r="J809" s="322"/>
      <c r="K809" s="339"/>
      <c r="L809" s="339"/>
      <c r="M809" s="338"/>
      <c r="N809" s="324"/>
      <c r="O809" s="323">
        <v>69395</v>
      </c>
      <c r="P809" s="338"/>
      <c r="Q809" s="592">
        <v>69395</v>
      </c>
      <c r="R809" s="322"/>
      <c r="S809" s="339"/>
      <c r="T809" s="339"/>
      <c r="U809" s="338"/>
      <c r="V809" s="324"/>
      <c r="W809" s="338"/>
      <c r="X809" s="338"/>
      <c r="Y809" s="339"/>
      <c r="Z809" s="322"/>
      <c r="AA809" s="339"/>
      <c r="AB809" s="339"/>
      <c r="AC809" s="338"/>
      <c r="AD809" s="324"/>
      <c r="AE809" s="338"/>
      <c r="AF809" s="338"/>
      <c r="AG809" s="339"/>
      <c r="AH809" s="322"/>
      <c r="AI809" s="339"/>
      <c r="AJ809" s="339"/>
      <c r="AK809" s="338"/>
      <c r="AL809" s="324"/>
      <c r="AM809" s="338"/>
      <c r="AN809" s="338"/>
      <c r="AO809" s="339"/>
    </row>
    <row r="810" spans="1:41" hidden="1">
      <c r="A810" s="756" t="s">
        <v>1883</v>
      </c>
      <c r="B810" s="322"/>
      <c r="C810" s="325">
        <v>995</v>
      </c>
      <c r="D810" s="339"/>
      <c r="E810" s="594">
        <v>995</v>
      </c>
      <c r="F810" s="324"/>
      <c r="G810" s="338"/>
      <c r="H810" s="338"/>
      <c r="I810" s="339"/>
      <c r="J810" s="322"/>
      <c r="K810" s="339"/>
      <c r="L810" s="339"/>
      <c r="M810" s="338"/>
      <c r="N810" s="324"/>
      <c r="O810" s="323">
        <v>995</v>
      </c>
      <c r="P810" s="338"/>
      <c r="Q810" s="592">
        <v>995</v>
      </c>
      <c r="R810" s="322"/>
      <c r="S810" s="339"/>
      <c r="T810" s="339"/>
      <c r="U810" s="338"/>
      <c r="V810" s="324"/>
      <c r="W810" s="338"/>
      <c r="X810" s="338"/>
      <c r="Y810" s="339"/>
      <c r="Z810" s="322"/>
      <c r="AA810" s="339"/>
      <c r="AB810" s="339"/>
      <c r="AC810" s="338"/>
      <c r="AD810" s="324"/>
      <c r="AE810" s="338"/>
      <c r="AF810" s="338"/>
      <c r="AG810" s="339"/>
      <c r="AH810" s="322"/>
      <c r="AI810" s="339"/>
      <c r="AJ810" s="339"/>
      <c r="AK810" s="338"/>
      <c r="AL810" s="324"/>
      <c r="AM810" s="338"/>
      <c r="AN810" s="338"/>
      <c r="AO810" s="339"/>
    </row>
    <row r="811" spans="1:41" hidden="1">
      <c r="A811" s="757" t="s">
        <v>1071</v>
      </c>
      <c r="B811" s="322"/>
      <c r="C811" s="325">
        <v>750000</v>
      </c>
      <c r="D811" s="339"/>
      <c r="E811" s="594">
        <v>750000</v>
      </c>
      <c r="F811" s="324"/>
      <c r="G811" s="338"/>
      <c r="H811" s="338"/>
      <c r="I811" s="339"/>
      <c r="J811" s="322"/>
      <c r="K811" s="339"/>
      <c r="L811" s="339"/>
      <c r="M811" s="338"/>
      <c r="N811" s="324"/>
      <c r="O811" s="323">
        <v>750000</v>
      </c>
      <c r="P811" s="338"/>
      <c r="Q811" s="592">
        <v>750000</v>
      </c>
      <c r="R811" s="322"/>
      <c r="S811" s="339"/>
      <c r="T811" s="339"/>
      <c r="U811" s="338"/>
      <c r="V811" s="324"/>
      <c r="W811" s="338"/>
      <c r="X811" s="338"/>
      <c r="Y811" s="339"/>
      <c r="Z811" s="322"/>
      <c r="AA811" s="339"/>
      <c r="AB811" s="339"/>
      <c r="AC811" s="338"/>
      <c r="AD811" s="324"/>
      <c r="AE811" s="338"/>
      <c r="AF811" s="338"/>
      <c r="AG811" s="339"/>
      <c r="AH811" s="322"/>
      <c r="AI811" s="339"/>
      <c r="AJ811" s="339"/>
      <c r="AK811" s="338"/>
      <c r="AL811" s="324"/>
      <c r="AM811" s="338"/>
      <c r="AN811" s="338"/>
      <c r="AO811" s="339"/>
    </row>
    <row r="812" spans="1:41" hidden="1">
      <c r="A812" s="757" t="s">
        <v>1072</v>
      </c>
      <c r="B812" s="322"/>
      <c r="C812" s="325">
        <v>746341</v>
      </c>
      <c r="D812" s="339"/>
      <c r="E812" s="594">
        <v>746341</v>
      </c>
      <c r="F812" s="324"/>
      <c r="G812" s="338"/>
      <c r="H812" s="338"/>
      <c r="I812" s="339"/>
      <c r="J812" s="322"/>
      <c r="K812" s="339"/>
      <c r="L812" s="339"/>
      <c r="M812" s="338"/>
      <c r="N812" s="324"/>
      <c r="O812" s="323">
        <v>746341</v>
      </c>
      <c r="P812" s="338"/>
      <c r="Q812" s="592">
        <v>746341</v>
      </c>
      <c r="R812" s="322"/>
      <c r="S812" s="339"/>
      <c r="T812" s="339"/>
      <c r="U812" s="338"/>
      <c r="V812" s="324"/>
      <c r="W812" s="338"/>
      <c r="X812" s="338"/>
      <c r="Y812" s="339"/>
      <c r="Z812" s="322"/>
      <c r="AA812" s="339"/>
      <c r="AB812" s="339"/>
      <c r="AC812" s="338"/>
      <c r="AD812" s="324"/>
      <c r="AE812" s="338"/>
      <c r="AF812" s="338"/>
      <c r="AG812" s="339"/>
      <c r="AH812" s="322"/>
      <c r="AI812" s="339"/>
      <c r="AJ812" s="339"/>
      <c r="AK812" s="338"/>
      <c r="AL812" s="324"/>
      <c r="AM812" s="338"/>
      <c r="AN812" s="338"/>
      <c r="AO812" s="339"/>
    </row>
    <row r="813" spans="1:41" hidden="1">
      <c r="A813" s="756" t="s">
        <v>1073</v>
      </c>
      <c r="B813" s="322"/>
      <c r="C813" s="325">
        <v>45651</v>
      </c>
      <c r="D813" s="339"/>
      <c r="E813" s="594">
        <v>45651</v>
      </c>
      <c r="F813" s="324"/>
      <c r="G813" s="338"/>
      <c r="H813" s="338"/>
      <c r="I813" s="339"/>
      <c r="J813" s="322"/>
      <c r="K813" s="339"/>
      <c r="L813" s="339"/>
      <c r="M813" s="338"/>
      <c r="N813" s="324"/>
      <c r="O813" s="323">
        <v>45651</v>
      </c>
      <c r="P813" s="338"/>
      <c r="Q813" s="592">
        <v>45651</v>
      </c>
      <c r="R813" s="322"/>
      <c r="S813" s="339"/>
      <c r="T813" s="339"/>
      <c r="U813" s="338"/>
      <c r="V813" s="324"/>
      <c r="W813" s="338"/>
      <c r="X813" s="338"/>
      <c r="Y813" s="339"/>
      <c r="Z813" s="322"/>
      <c r="AA813" s="339"/>
      <c r="AB813" s="339"/>
      <c r="AC813" s="338"/>
      <c r="AD813" s="324"/>
      <c r="AE813" s="338"/>
      <c r="AF813" s="338"/>
      <c r="AG813" s="339"/>
      <c r="AH813" s="322"/>
      <c r="AI813" s="339"/>
      <c r="AJ813" s="339"/>
      <c r="AK813" s="338"/>
      <c r="AL813" s="324"/>
      <c r="AM813" s="338"/>
      <c r="AN813" s="338"/>
      <c r="AO813" s="339"/>
    </row>
    <row r="814" spans="1:41" hidden="1">
      <c r="A814" s="756" t="s">
        <v>1074</v>
      </c>
      <c r="B814" s="322"/>
      <c r="C814" s="339"/>
      <c r="D814" s="339"/>
      <c r="E814" s="338"/>
      <c r="F814" s="324"/>
      <c r="G814" s="338"/>
      <c r="H814" s="338"/>
      <c r="I814" s="339"/>
      <c r="J814" s="322"/>
      <c r="K814" s="339"/>
      <c r="L814" s="339"/>
      <c r="M814" s="338"/>
      <c r="N814" s="324"/>
      <c r="O814" s="338"/>
      <c r="P814" s="338"/>
      <c r="Q814" s="339"/>
      <c r="R814" s="322"/>
      <c r="S814" s="339"/>
      <c r="T814" s="339"/>
      <c r="U814" s="338"/>
      <c r="V814" s="324"/>
      <c r="W814" s="338"/>
      <c r="X814" s="338"/>
      <c r="Y814" s="339"/>
      <c r="Z814" s="322"/>
      <c r="AA814" s="339"/>
      <c r="AB814" s="339"/>
      <c r="AC814" s="338"/>
      <c r="AD814" s="324"/>
      <c r="AE814" s="338"/>
      <c r="AF814" s="338"/>
      <c r="AG814" s="339"/>
      <c r="AH814" s="322"/>
      <c r="AI814" s="339"/>
      <c r="AJ814" s="339"/>
      <c r="AK814" s="338"/>
      <c r="AL814" s="324"/>
      <c r="AM814" s="338"/>
      <c r="AN814" s="338"/>
      <c r="AO814" s="339"/>
    </row>
    <row r="815" spans="1:41" hidden="1">
      <c r="A815" s="757" t="s">
        <v>1895</v>
      </c>
      <c r="B815" s="322"/>
      <c r="C815" s="325">
        <v>75000</v>
      </c>
      <c r="D815" s="339"/>
      <c r="E815" s="594">
        <v>75000</v>
      </c>
      <c r="F815" s="324"/>
      <c r="G815" s="338"/>
      <c r="H815" s="338"/>
      <c r="I815" s="339"/>
      <c r="J815" s="322"/>
      <c r="K815" s="339"/>
      <c r="L815" s="339"/>
      <c r="M815" s="338"/>
      <c r="N815" s="324"/>
      <c r="O815" s="323">
        <v>75000</v>
      </c>
      <c r="P815" s="338"/>
      <c r="Q815" s="592">
        <v>75000</v>
      </c>
      <c r="R815" s="322"/>
      <c r="S815" s="339"/>
      <c r="T815" s="339"/>
      <c r="U815" s="338"/>
      <c r="V815" s="324"/>
      <c r="W815" s="338"/>
      <c r="X815" s="338"/>
      <c r="Y815" s="339"/>
      <c r="Z815" s="322"/>
      <c r="AA815" s="339"/>
      <c r="AB815" s="339"/>
      <c r="AC815" s="338"/>
      <c r="AD815" s="324"/>
      <c r="AE815" s="338"/>
      <c r="AF815" s="338"/>
      <c r="AG815" s="339"/>
      <c r="AH815" s="322"/>
      <c r="AI815" s="339"/>
      <c r="AJ815" s="339"/>
      <c r="AK815" s="338"/>
      <c r="AL815" s="324"/>
      <c r="AM815" s="338"/>
      <c r="AN815" s="338"/>
      <c r="AO815" s="339"/>
    </row>
    <row r="816" spans="1:41" hidden="1">
      <c r="A816" s="756" t="s">
        <v>1075</v>
      </c>
      <c r="B816" s="322"/>
      <c r="C816" s="325">
        <v>1937424</v>
      </c>
      <c r="D816" s="339"/>
      <c r="E816" s="594">
        <v>1937424</v>
      </c>
      <c r="F816" s="324"/>
      <c r="G816" s="338"/>
      <c r="H816" s="338"/>
      <c r="I816" s="339"/>
      <c r="J816" s="322"/>
      <c r="K816" s="339"/>
      <c r="L816" s="339"/>
      <c r="M816" s="338"/>
      <c r="N816" s="324"/>
      <c r="O816" s="323">
        <v>1937424</v>
      </c>
      <c r="P816" s="338"/>
      <c r="Q816" s="592">
        <v>1937424</v>
      </c>
      <c r="R816" s="322"/>
      <c r="S816" s="339"/>
      <c r="T816" s="339"/>
      <c r="U816" s="338"/>
      <c r="V816" s="324"/>
      <c r="W816" s="338"/>
      <c r="X816" s="338"/>
      <c r="Y816" s="339"/>
      <c r="Z816" s="322"/>
      <c r="AA816" s="339"/>
      <c r="AB816" s="339"/>
      <c r="AC816" s="338"/>
      <c r="AD816" s="324"/>
      <c r="AE816" s="338"/>
      <c r="AF816" s="338"/>
      <c r="AG816" s="339"/>
      <c r="AH816" s="322"/>
      <c r="AI816" s="339"/>
      <c r="AJ816" s="339"/>
      <c r="AK816" s="338"/>
      <c r="AL816" s="324"/>
      <c r="AM816" s="338"/>
      <c r="AN816" s="338"/>
      <c r="AO816" s="339"/>
    </row>
    <row r="817" spans="1:41" hidden="1">
      <c r="A817" s="757" t="s">
        <v>1891</v>
      </c>
      <c r="B817" s="322"/>
      <c r="C817" s="339"/>
      <c r="D817" s="339"/>
      <c r="E817" s="338"/>
      <c r="F817" s="324"/>
      <c r="G817" s="338"/>
      <c r="H817" s="338"/>
      <c r="I817" s="339"/>
      <c r="J817" s="322"/>
      <c r="K817" s="339"/>
      <c r="L817" s="339"/>
      <c r="M817" s="338"/>
      <c r="N817" s="324"/>
      <c r="O817" s="338"/>
      <c r="P817" s="338"/>
      <c r="Q817" s="339"/>
      <c r="R817" s="322"/>
      <c r="S817" s="339"/>
      <c r="T817" s="339"/>
      <c r="U817" s="338"/>
      <c r="V817" s="324"/>
      <c r="W817" s="338"/>
      <c r="X817" s="338"/>
      <c r="Y817" s="339"/>
      <c r="Z817" s="322"/>
      <c r="AA817" s="339"/>
      <c r="AB817" s="339"/>
      <c r="AC817" s="338"/>
      <c r="AD817" s="324"/>
      <c r="AE817" s="338"/>
      <c r="AF817" s="338"/>
      <c r="AG817" s="339"/>
      <c r="AH817" s="322"/>
      <c r="AI817" s="339"/>
      <c r="AJ817" s="339"/>
      <c r="AK817" s="338"/>
      <c r="AL817" s="324"/>
      <c r="AM817" s="338"/>
      <c r="AN817" s="338"/>
      <c r="AO817" s="339"/>
    </row>
    <row r="818" spans="1:41" hidden="1">
      <c r="A818" s="757" t="s">
        <v>1896</v>
      </c>
      <c r="B818" s="322"/>
      <c r="C818" s="325">
        <v>75000</v>
      </c>
      <c r="D818" s="339"/>
      <c r="E818" s="594">
        <v>75000</v>
      </c>
      <c r="F818" s="324"/>
      <c r="G818" s="338"/>
      <c r="H818" s="338"/>
      <c r="I818" s="339"/>
      <c r="J818" s="322"/>
      <c r="K818" s="339"/>
      <c r="L818" s="339"/>
      <c r="M818" s="338"/>
      <c r="N818" s="324"/>
      <c r="O818" s="323">
        <v>75000</v>
      </c>
      <c r="P818" s="338"/>
      <c r="Q818" s="592">
        <v>75000</v>
      </c>
      <c r="R818" s="322"/>
      <c r="S818" s="339"/>
      <c r="T818" s="339"/>
      <c r="U818" s="338"/>
      <c r="V818" s="324"/>
      <c r="W818" s="338"/>
      <c r="X818" s="338"/>
      <c r="Y818" s="339"/>
      <c r="Z818" s="322"/>
      <c r="AA818" s="339"/>
      <c r="AB818" s="339"/>
      <c r="AC818" s="338"/>
      <c r="AD818" s="324"/>
      <c r="AE818" s="338"/>
      <c r="AF818" s="338"/>
      <c r="AG818" s="339"/>
      <c r="AH818" s="322"/>
      <c r="AI818" s="339"/>
      <c r="AJ818" s="339"/>
      <c r="AK818" s="338"/>
      <c r="AL818" s="324"/>
      <c r="AM818" s="338"/>
      <c r="AN818" s="338"/>
      <c r="AO818" s="339"/>
    </row>
    <row r="819" spans="1:41" hidden="1">
      <c r="A819" s="757" t="s">
        <v>1897</v>
      </c>
      <c r="B819" s="322"/>
      <c r="C819" s="325">
        <v>75000</v>
      </c>
      <c r="D819" s="339"/>
      <c r="E819" s="594">
        <v>75000</v>
      </c>
      <c r="F819" s="324"/>
      <c r="G819" s="338"/>
      <c r="H819" s="338"/>
      <c r="I819" s="339"/>
      <c r="J819" s="322"/>
      <c r="K819" s="339"/>
      <c r="L819" s="339"/>
      <c r="M819" s="338"/>
      <c r="N819" s="324"/>
      <c r="O819" s="323">
        <v>75000</v>
      </c>
      <c r="P819" s="338"/>
      <c r="Q819" s="592">
        <v>75000</v>
      </c>
      <c r="R819" s="322"/>
      <c r="S819" s="339"/>
      <c r="T819" s="339"/>
      <c r="U819" s="338"/>
      <c r="V819" s="324"/>
      <c r="W819" s="338"/>
      <c r="X819" s="338"/>
      <c r="Y819" s="339"/>
      <c r="Z819" s="322"/>
      <c r="AA819" s="339"/>
      <c r="AB819" s="339"/>
      <c r="AC819" s="338"/>
      <c r="AD819" s="324"/>
      <c r="AE819" s="338"/>
      <c r="AF819" s="338"/>
      <c r="AG819" s="339"/>
      <c r="AH819" s="322"/>
      <c r="AI819" s="339"/>
      <c r="AJ819" s="339"/>
      <c r="AK819" s="338"/>
      <c r="AL819" s="324"/>
      <c r="AM819" s="338"/>
      <c r="AN819" s="338"/>
      <c r="AO819" s="339"/>
    </row>
    <row r="820" spans="1:41" hidden="1">
      <c r="A820" s="757" t="s">
        <v>1893</v>
      </c>
      <c r="B820" s="322"/>
      <c r="C820" s="325">
        <v>30000</v>
      </c>
      <c r="D820" s="339"/>
      <c r="E820" s="594">
        <v>30000</v>
      </c>
      <c r="F820" s="324"/>
      <c r="G820" s="338"/>
      <c r="H820" s="338"/>
      <c r="I820" s="339"/>
      <c r="J820" s="322"/>
      <c r="K820" s="339"/>
      <c r="L820" s="339"/>
      <c r="M820" s="338"/>
      <c r="N820" s="324"/>
      <c r="O820" s="323">
        <v>30000</v>
      </c>
      <c r="P820" s="338"/>
      <c r="Q820" s="592">
        <v>30000</v>
      </c>
      <c r="R820" s="322"/>
      <c r="S820" s="339"/>
      <c r="T820" s="339"/>
      <c r="U820" s="338"/>
      <c r="V820" s="324"/>
      <c r="W820" s="338"/>
      <c r="X820" s="338"/>
      <c r="Y820" s="339"/>
      <c r="Z820" s="322"/>
      <c r="AA820" s="339"/>
      <c r="AB820" s="339"/>
      <c r="AC820" s="338"/>
      <c r="AD820" s="324"/>
      <c r="AE820" s="338"/>
      <c r="AF820" s="338"/>
      <c r="AG820" s="339"/>
      <c r="AH820" s="322"/>
      <c r="AI820" s="339"/>
      <c r="AJ820" s="339"/>
      <c r="AK820" s="338"/>
      <c r="AL820" s="324"/>
      <c r="AM820" s="338"/>
      <c r="AN820" s="338"/>
      <c r="AO820" s="339"/>
    </row>
    <row r="821" spans="1:41" hidden="1">
      <c r="A821" s="757" t="s">
        <v>1076</v>
      </c>
      <c r="B821" s="322"/>
      <c r="C821" s="325">
        <v>450000</v>
      </c>
      <c r="D821" s="339"/>
      <c r="E821" s="594">
        <v>450000</v>
      </c>
      <c r="F821" s="324"/>
      <c r="G821" s="338"/>
      <c r="H821" s="338"/>
      <c r="I821" s="339"/>
      <c r="J821" s="322"/>
      <c r="K821" s="339"/>
      <c r="L821" s="339"/>
      <c r="M821" s="338"/>
      <c r="N821" s="324"/>
      <c r="O821" s="323">
        <v>450000</v>
      </c>
      <c r="P821" s="338"/>
      <c r="Q821" s="592">
        <v>450000</v>
      </c>
      <c r="R821" s="322"/>
      <c r="S821" s="339"/>
      <c r="T821" s="339"/>
      <c r="U821" s="338"/>
      <c r="V821" s="324"/>
      <c r="W821" s="338"/>
      <c r="X821" s="338"/>
      <c r="Y821" s="339"/>
      <c r="Z821" s="322"/>
      <c r="AA821" s="339"/>
      <c r="AB821" s="339"/>
      <c r="AC821" s="338"/>
      <c r="AD821" s="324"/>
      <c r="AE821" s="338"/>
      <c r="AF821" s="338"/>
      <c r="AG821" s="339"/>
      <c r="AH821" s="322"/>
      <c r="AI821" s="339"/>
      <c r="AJ821" s="339"/>
      <c r="AK821" s="338"/>
      <c r="AL821" s="324"/>
      <c r="AM821" s="338"/>
      <c r="AN821" s="338"/>
      <c r="AO821" s="339"/>
    </row>
    <row r="822" spans="1:41" hidden="1">
      <c r="A822" s="756" t="s">
        <v>817</v>
      </c>
      <c r="B822" s="322"/>
      <c r="C822" s="325">
        <v>38793</v>
      </c>
      <c r="D822" s="339"/>
      <c r="E822" s="594">
        <v>38793</v>
      </c>
      <c r="F822" s="324"/>
      <c r="G822" s="338"/>
      <c r="H822" s="338"/>
      <c r="I822" s="339"/>
      <c r="J822" s="322"/>
      <c r="K822" s="339"/>
      <c r="L822" s="339"/>
      <c r="M822" s="338"/>
      <c r="N822" s="324"/>
      <c r="O822" s="323">
        <v>38793</v>
      </c>
      <c r="P822" s="338"/>
      <c r="Q822" s="592">
        <v>38793</v>
      </c>
      <c r="R822" s="322"/>
      <c r="S822" s="339"/>
      <c r="T822" s="339"/>
      <c r="U822" s="338"/>
      <c r="V822" s="324"/>
      <c r="W822" s="338"/>
      <c r="X822" s="338"/>
      <c r="Y822" s="339"/>
      <c r="Z822" s="322"/>
      <c r="AA822" s="339"/>
      <c r="AB822" s="339"/>
      <c r="AC822" s="338"/>
      <c r="AD822" s="324"/>
      <c r="AE822" s="338"/>
      <c r="AF822" s="338"/>
      <c r="AG822" s="339"/>
      <c r="AH822" s="322"/>
      <c r="AI822" s="339"/>
      <c r="AJ822" s="339"/>
      <c r="AK822" s="338"/>
      <c r="AL822" s="324"/>
      <c r="AM822" s="338"/>
      <c r="AN822" s="338"/>
      <c r="AO822" s="339"/>
    </row>
    <row r="823" spans="1:41" hidden="1">
      <c r="A823" s="316" t="s">
        <v>817</v>
      </c>
      <c r="B823" s="944"/>
      <c r="C823" s="591">
        <v>1038342</v>
      </c>
      <c r="D823" s="591">
        <v>551225</v>
      </c>
      <c r="E823" s="773">
        <v>487117</v>
      </c>
      <c r="F823" s="943"/>
      <c r="G823" s="708"/>
      <c r="H823" s="708"/>
      <c r="I823" s="708"/>
      <c r="J823" s="944"/>
      <c r="K823" s="595"/>
      <c r="L823" s="595"/>
      <c r="M823" s="595"/>
      <c r="N823" s="943"/>
      <c r="O823" s="708"/>
      <c r="P823" s="708"/>
      <c r="Q823" s="708"/>
      <c r="R823" s="944"/>
      <c r="S823" s="591">
        <v>204530</v>
      </c>
      <c r="T823" s="591">
        <v>22880</v>
      </c>
      <c r="U823" s="773">
        <v>181650</v>
      </c>
      <c r="V823" s="943"/>
      <c r="W823" s="708"/>
      <c r="X823" s="708"/>
      <c r="Y823" s="708"/>
      <c r="Z823" s="944"/>
      <c r="AA823" s="595"/>
      <c r="AB823" s="595"/>
      <c r="AC823" s="595"/>
      <c r="AD823" s="943"/>
      <c r="AE823" s="708"/>
      <c r="AF823" s="708"/>
      <c r="AG823" s="708"/>
      <c r="AH823" s="944"/>
      <c r="AI823" s="595"/>
      <c r="AJ823" s="595"/>
      <c r="AK823" s="595"/>
      <c r="AL823" s="943"/>
      <c r="AM823" s="702">
        <v>833812</v>
      </c>
      <c r="AN823" s="702">
        <v>528345</v>
      </c>
      <c r="AO823" s="967">
        <v>305467</v>
      </c>
    </row>
    <row r="824" spans="1:41" hidden="1">
      <c r="A824" s="756" t="s">
        <v>1074</v>
      </c>
      <c r="B824" s="319"/>
      <c r="C824" s="726">
        <v>7456</v>
      </c>
      <c r="D824" s="331"/>
      <c r="E824" s="724">
        <v>7456</v>
      </c>
      <c r="F824" s="317"/>
      <c r="G824" s="330"/>
      <c r="H824" s="330"/>
      <c r="I824" s="331"/>
      <c r="J824" s="319"/>
      <c r="K824" s="331"/>
      <c r="L824" s="331"/>
      <c r="M824" s="330"/>
      <c r="N824" s="317"/>
      <c r="O824" s="330"/>
      <c r="P824" s="330"/>
      <c r="Q824" s="331"/>
      <c r="R824" s="319"/>
      <c r="S824" s="331"/>
      <c r="T824" s="331"/>
      <c r="U824" s="330"/>
      <c r="V824" s="317"/>
      <c r="W824" s="330"/>
      <c r="X824" s="330"/>
      <c r="Y824" s="331"/>
      <c r="Z824" s="319"/>
      <c r="AA824" s="331"/>
      <c r="AB824" s="331"/>
      <c r="AC824" s="330"/>
      <c r="AD824" s="317"/>
      <c r="AE824" s="330"/>
      <c r="AF824" s="330"/>
      <c r="AG824" s="331"/>
      <c r="AH824" s="319"/>
      <c r="AI824" s="331"/>
      <c r="AJ824" s="331"/>
      <c r="AK824" s="330"/>
      <c r="AL824" s="317"/>
      <c r="AM824" s="723">
        <v>7456</v>
      </c>
      <c r="AN824" s="330"/>
      <c r="AO824" s="727">
        <v>7456</v>
      </c>
    </row>
    <row r="825" spans="1:41" hidden="1">
      <c r="A825" s="757" t="s">
        <v>1898</v>
      </c>
      <c r="B825" s="322"/>
      <c r="C825" s="325">
        <v>1030886</v>
      </c>
      <c r="D825" s="325">
        <v>551225</v>
      </c>
      <c r="E825" s="594">
        <v>479661</v>
      </c>
      <c r="F825" s="324"/>
      <c r="G825" s="338"/>
      <c r="H825" s="338"/>
      <c r="I825" s="339"/>
      <c r="J825" s="322"/>
      <c r="K825" s="339"/>
      <c r="L825" s="339"/>
      <c r="M825" s="338"/>
      <c r="N825" s="324"/>
      <c r="O825" s="338"/>
      <c r="P825" s="338"/>
      <c r="Q825" s="339"/>
      <c r="R825" s="322"/>
      <c r="S825" s="325">
        <v>204530</v>
      </c>
      <c r="T825" s="325">
        <v>22880</v>
      </c>
      <c r="U825" s="594">
        <v>181650</v>
      </c>
      <c r="V825" s="324"/>
      <c r="W825" s="338"/>
      <c r="X825" s="338"/>
      <c r="Y825" s="339"/>
      <c r="Z825" s="322"/>
      <c r="AA825" s="339"/>
      <c r="AB825" s="339"/>
      <c r="AC825" s="338"/>
      <c r="AD825" s="324"/>
      <c r="AE825" s="338"/>
      <c r="AF825" s="338"/>
      <c r="AG825" s="339"/>
      <c r="AH825" s="322"/>
      <c r="AI825" s="339"/>
      <c r="AJ825" s="339"/>
      <c r="AK825" s="338"/>
      <c r="AL825" s="324"/>
      <c r="AM825" s="711">
        <v>826356</v>
      </c>
      <c r="AN825" s="711">
        <v>528345</v>
      </c>
      <c r="AO825" s="737">
        <v>298011</v>
      </c>
    </row>
    <row r="826" spans="1:41" hidden="1">
      <c r="A826" s="316" t="s">
        <v>818</v>
      </c>
      <c r="B826" s="944"/>
      <c r="C826" s="591">
        <v>6325585</v>
      </c>
      <c r="D826" s="706">
        <v>808117</v>
      </c>
      <c r="E826" s="773">
        <v>5517468</v>
      </c>
      <c r="F826" s="943"/>
      <c r="G826" s="708"/>
      <c r="H826" s="708"/>
      <c r="I826" s="708"/>
      <c r="J826" s="944"/>
      <c r="K826" s="595"/>
      <c r="L826" s="595"/>
      <c r="M826" s="595"/>
      <c r="N826" s="943"/>
      <c r="O826" s="708"/>
      <c r="P826" s="708"/>
      <c r="Q826" s="708"/>
      <c r="R826" s="944"/>
      <c r="S826" s="591">
        <v>1097353</v>
      </c>
      <c r="T826" s="595"/>
      <c r="U826" s="773">
        <v>1097353</v>
      </c>
      <c r="V826" s="943"/>
      <c r="W826" s="708"/>
      <c r="X826" s="708"/>
      <c r="Y826" s="708"/>
      <c r="Z826" s="944"/>
      <c r="AA826" s="595"/>
      <c r="AB826" s="595"/>
      <c r="AC826" s="595"/>
      <c r="AD826" s="943"/>
      <c r="AE826" s="708"/>
      <c r="AF826" s="708"/>
      <c r="AG826" s="708"/>
      <c r="AH826" s="944"/>
      <c r="AI826" s="595"/>
      <c r="AJ826" s="595"/>
      <c r="AK826" s="595"/>
      <c r="AL826" s="943"/>
      <c r="AM826" s="702">
        <v>5228232</v>
      </c>
      <c r="AN826" s="702">
        <v>808117</v>
      </c>
      <c r="AO826" s="967">
        <v>4420115</v>
      </c>
    </row>
    <row r="827" spans="1:41" hidden="1">
      <c r="A827" s="757" t="s">
        <v>1899</v>
      </c>
      <c r="B827" s="319"/>
      <c r="C827" s="318">
        <v>6325585</v>
      </c>
      <c r="D827" s="726">
        <v>808117</v>
      </c>
      <c r="E827" s="739">
        <v>5517468</v>
      </c>
      <c r="F827" s="317"/>
      <c r="G827" s="330"/>
      <c r="H827" s="330"/>
      <c r="I827" s="331"/>
      <c r="J827" s="319"/>
      <c r="K827" s="331"/>
      <c r="L827" s="331"/>
      <c r="M827" s="330"/>
      <c r="N827" s="317"/>
      <c r="O827" s="330"/>
      <c r="P827" s="330"/>
      <c r="Q827" s="331"/>
      <c r="R827" s="319"/>
      <c r="S827" s="318">
        <v>1097353</v>
      </c>
      <c r="T827" s="331"/>
      <c r="U827" s="739">
        <v>1097353</v>
      </c>
      <c r="V827" s="317"/>
      <c r="W827" s="330"/>
      <c r="X827" s="330"/>
      <c r="Y827" s="331"/>
      <c r="Z827" s="319"/>
      <c r="AA827" s="331"/>
      <c r="AB827" s="331"/>
      <c r="AC827" s="330"/>
      <c r="AD827" s="317"/>
      <c r="AE827" s="330"/>
      <c r="AF827" s="330"/>
      <c r="AG827" s="331"/>
      <c r="AH827" s="319"/>
      <c r="AI827" s="331"/>
      <c r="AJ827" s="331"/>
      <c r="AK827" s="330"/>
      <c r="AL827" s="317"/>
      <c r="AM827" s="723">
        <v>5228232</v>
      </c>
      <c r="AN827" s="723">
        <v>808117</v>
      </c>
      <c r="AO827" s="727">
        <v>4420115</v>
      </c>
    </row>
    <row r="828" spans="1:41" hidden="1">
      <c r="A828" s="316" t="s">
        <v>819</v>
      </c>
      <c r="B828" s="944"/>
      <c r="C828" s="591">
        <v>145152</v>
      </c>
      <c r="D828" s="595"/>
      <c r="E828" s="773">
        <v>145152</v>
      </c>
      <c r="F828" s="943"/>
      <c r="G828" s="708"/>
      <c r="H828" s="708"/>
      <c r="I828" s="708"/>
      <c r="J828" s="944"/>
      <c r="K828" s="595"/>
      <c r="L828" s="595"/>
      <c r="M828" s="595"/>
      <c r="N828" s="943"/>
      <c r="O828" s="708"/>
      <c r="P828" s="708"/>
      <c r="Q828" s="708"/>
      <c r="R828" s="944"/>
      <c r="S828" s="591">
        <v>8020</v>
      </c>
      <c r="T828" s="595"/>
      <c r="U828" s="773">
        <v>8020</v>
      </c>
      <c r="V828" s="943"/>
      <c r="W828" s="708"/>
      <c r="X828" s="708"/>
      <c r="Y828" s="708"/>
      <c r="Z828" s="944"/>
      <c r="AA828" s="595"/>
      <c r="AB828" s="595"/>
      <c r="AC828" s="595"/>
      <c r="AD828" s="943"/>
      <c r="AE828" s="708"/>
      <c r="AF828" s="708"/>
      <c r="AG828" s="708"/>
      <c r="AH828" s="944"/>
      <c r="AI828" s="595"/>
      <c r="AJ828" s="595"/>
      <c r="AK828" s="595"/>
      <c r="AL828" s="943"/>
      <c r="AM828" s="702">
        <v>137132</v>
      </c>
      <c r="AN828" s="708"/>
      <c r="AO828" s="967">
        <v>137132</v>
      </c>
    </row>
    <row r="829" spans="1:41" hidden="1">
      <c r="A829" s="757" t="s">
        <v>824</v>
      </c>
      <c r="B829" s="319"/>
      <c r="C829" s="318">
        <v>145152</v>
      </c>
      <c r="D829" s="331"/>
      <c r="E829" s="739">
        <v>145152</v>
      </c>
      <c r="F829" s="317"/>
      <c r="G829" s="330"/>
      <c r="H829" s="330"/>
      <c r="I829" s="331"/>
      <c r="J829" s="319"/>
      <c r="K829" s="331"/>
      <c r="L829" s="331"/>
      <c r="M829" s="330"/>
      <c r="N829" s="317"/>
      <c r="O829" s="330"/>
      <c r="P829" s="330"/>
      <c r="Q829" s="331"/>
      <c r="R829" s="319"/>
      <c r="S829" s="318">
        <v>8020</v>
      </c>
      <c r="T829" s="331"/>
      <c r="U829" s="739">
        <v>8020</v>
      </c>
      <c r="V829" s="317"/>
      <c r="W829" s="330"/>
      <c r="X829" s="330"/>
      <c r="Y829" s="331"/>
      <c r="Z829" s="319"/>
      <c r="AA829" s="331"/>
      <c r="AB829" s="331"/>
      <c r="AC829" s="330"/>
      <c r="AD829" s="317"/>
      <c r="AE829" s="330"/>
      <c r="AF829" s="330"/>
      <c r="AG829" s="331"/>
      <c r="AH829" s="319"/>
      <c r="AI829" s="331"/>
      <c r="AJ829" s="331"/>
      <c r="AK829" s="330"/>
      <c r="AL829" s="317"/>
      <c r="AM829" s="723">
        <v>137132</v>
      </c>
      <c r="AN829" s="330"/>
      <c r="AO829" s="727">
        <v>137132</v>
      </c>
    </row>
    <row r="830" spans="1:41" hidden="1">
      <c r="A830" s="321" t="s">
        <v>1061</v>
      </c>
      <c r="B830" s="324"/>
      <c r="C830" s="338"/>
      <c r="D830" s="338"/>
      <c r="E830" s="339"/>
      <c r="F830" s="322"/>
      <c r="G830" s="339"/>
      <c r="H830" s="339"/>
      <c r="I830" s="338"/>
      <c r="J830" s="324"/>
      <c r="K830" s="338"/>
      <c r="L830" s="338"/>
      <c r="M830" s="339"/>
      <c r="N830" s="322"/>
      <c r="O830" s="339"/>
      <c r="P830" s="339"/>
      <c r="Q830" s="338"/>
      <c r="R830" s="324"/>
      <c r="S830" s="338"/>
      <c r="T830" s="338"/>
      <c r="U830" s="339"/>
      <c r="V830" s="322"/>
      <c r="W830" s="339"/>
      <c r="X830" s="339"/>
      <c r="Y830" s="338"/>
      <c r="Z830" s="324"/>
      <c r="AA830" s="338"/>
      <c r="AB830" s="338"/>
      <c r="AC830" s="339"/>
      <c r="AD830" s="322"/>
      <c r="AE830" s="339"/>
      <c r="AF830" s="339"/>
      <c r="AG830" s="338"/>
      <c r="AH830" s="324"/>
      <c r="AI830" s="338"/>
      <c r="AJ830" s="338"/>
      <c r="AK830" s="339"/>
      <c r="AL830" s="322"/>
      <c r="AM830" s="339"/>
      <c r="AN830" s="339"/>
      <c r="AO830" s="338"/>
    </row>
    <row r="831" spans="1:41" hidden="1">
      <c r="A831" s="321" t="s">
        <v>822</v>
      </c>
      <c r="B831" s="324"/>
      <c r="C831" s="323">
        <v>67000</v>
      </c>
      <c r="D831" s="338"/>
      <c r="E831" s="592">
        <v>67000</v>
      </c>
      <c r="F831" s="322"/>
      <c r="G831" s="339"/>
      <c r="H831" s="339"/>
      <c r="I831" s="338"/>
      <c r="J831" s="324"/>
      <c r="K831" s="338"/>
      <c r="L831" s="338"/>
      <c r="M831" s="339"/>
      <c r="N831" s="322"/>
      <c r="O831" s="339"/>
      <c r="P831" s="339"/>
      <c r="Q831" s="338"/>
      <c r="R831" s="324"/>
      <c r="S831" s="323">
        <v>67000</v>
      </c>
      <c r="T831" s="338"/>
      <c r="U831" s="592">
        <v>67000</v>
      </c>
      <c r="V831" s="322"/>
      <c r="W831" s="339"/>
      <c r="X831" s="339"/>
      <c r="Y831" s="338"/>
      <c r="Z831" s="324"/>
      <c r="AA831" s="338"/>
      <c r="AB831" s="338"/>
      <c r="AC831" s="339"/>
      <c r="AD831" s="322"/>
      <c r="AE831" s="339"/>
      <c r="AF831" s="339"/>
      <c r="AG831" s="338"/>
      <c r="AH831" s="324"/>
      <c r="AI831" s="338"/>
      <c r="AJ831" s="338"/>
      <c r="AK831" s="339"/>
      <c r="AL831" s="322"/>
      <c r="AM831" s="339"/>
      <c r="AN831" s="339"/>
      <c r="AO831" s="338"/>
    </row>
    <row r="832" spans="1:41" hidden="1">
      <c r="A832" s="321" t="s">
        <v>601</v>
      </c>
      <c r="B832" s="324"/>
      <c r="C832" s="323">
        <v>258940.06</v>
      </c>
      <c r="D832" s="338"/>
      <c r="E832" s="592">
        <v>258940.06</v>
      </c>
      <c r="F832" s="322"/>
      <c r="G832" s="339"/>
      <c r="H832" s="339"/>
      <c r="I832" s="338"/>
      <c r="J832" s="324"/>
      <c r="K832" s="338"/>
      <c r="L832" s="338"/>
      <c r="M832" s="339"/>
      <c r="N832" s="322"/>
      <c r="O832" s="325">
        <v>258940.06</v>
      </c>
      <c r="P832" s="339"/>
      <c r="Q832" s="594">
        <v>258940.06</v>
      </c>
      <c r="R832" s="324"/>
      <c r="S832" s="338"/>
      <c r="T832" s="338"/>
      <c r="U832" s="339"/>
      <c r="V832" s="322"/>
      <c r="W832" s="339"/>
      <c r="X832" s="339"/>
      <c r="Y832" s="338"/>
      <c r="Z832" s="324"/>
      <c r="AA832" s="338"/>
      <c r="AB832" s="338"/>
      <c r="AC832" s="339"/>
      <c r="AD832" s="322"/>
      <c r="AE832" s="339"/>
      <c r="AF832" s="339"/>
      <c r="AG832" s="338"/>
      <c r="AH832" s="324"/>
      <c r="AI832" s="338"/>
      <c r="AJ832" s="338"/>
      <c r="AK832" s="339"/>
      <c r="AL832" s="322"/>
      <c r="AM832" s="339"/>
      <c r="AN832" s="339"/>
      <c r="AO832" s="338"/>
    </row>
    <row r="833" spans="1:41" hidden="1">
      <c r="A833" s="321" t="s">
        <v>386</v>
      </c>
      <c r="B833" s="324"/>
      <c r="C833" s="323">
        <v>64051</v>
      </c>
      <c r="D833" s="338"/>
      <c r="E833" s="592">
        <v>64051</v>
      </c>
      <c r="F833" s="322"/>
      <c r="G833" s="339"/>
      <c r="H833" s="339"/>
      <c r="I833" s="338"/>
      <c r="J833" s="324"/>
      <c r="K833" s="338"/>
      <c r="L833" s="338"/>
      <c r="M833" s="339"/>
      <c r="N833" s="322"/>
      <c r="O833" s="325">
        <v>64051</v>
      </c>
      <c r="P833" s="339"/>
      <c r="Q833" s="594">
        <v>64051</v>
      </c>
      <c r="R833" s="324"/>
      <c r="S833" s="338"/>
      <c r="T833" s="338"/>
      <c r="U833" s="339"/>
      <c r="V833" s="322"/>
      <c r="W833" s="339"/>
      <c r="X833" s="339"/>
      <c r="Y833" s="338"/>
      <c r="Z833" s="324"/>
      <c r="AA833" s="338"/>
      <c r="AB833" s="338"/>
      <c r="AC833" s="339"/>
      <c r="AD833" s="322"/>
      <c r="AE833" s="339"/>
      <c r="AF833" s="339"/>
      <c r="AG833" s="338"/>
      <c r="AH833" s="324"/>
      <c r="AI833" s="338"/>
      <c r="AJ833" s="338"/>
      <c r="AK833" s="339"/>
      <c r="AL833" s="322"/>
      <c r="AM833" s="339"/>
      <c r="AN833" s="339"/>
      <c r="AO833" s="338"/>
    </row>
    <row r="834" spans="1:41" hidden="1">
      <c r="A834" s="321" t="s">
        <v>1900</v>
      </c>
      <c r="B834" s="324"/>
      <c r="C834" s="323">
        <v>121684</v>
      </c>
      <c r="D834" s="338"/>
      <c r="E834" s="592">
        <v>121684</v>
      </c>
      <c r="F834" s="322"/>
      <c r="G834" s="339"/>
      <c r="H834" s="339"/>
      <c r="I834" s="338"/>
      <c r="J834" s="324"/>
      <c r="K834" s="338"/>
      <c r="L834" s="338"/>
      <c r="M834" s="339"/>
      <c r="N834" s="322"/>
      <c r="O834" s="339"/>
      <c r="P834" s="339"/>
      <c r="Q834" s="338"/>
      <c r="R834" s="324"/>
      <c r="S834" s="338"/>
      <c r="T834" s="338"/>
      <c r="U834" s="339"/>
      <c r="V834" s="322"/>
      <c r="W834" s="339"/>
      <c r="X834" s="339"/>
      <c r="Y834" s="338"/>
      <c r="Z834" s="324"/>
      <c r="AA834" s="338"/>
      <c r="AB834" s="338"/>
      <c r="AC834" s="339"/>
      <c r="AD834" s="322"/>
      <c r="AE834" s="325">
        <v>121684</v>
      </c>
      <c r="AF834" s="339"/>
      <c r="AG834" s="594">
        <v>121684</v>
      </c>
      <c r="AH834" s="324"/>
      <c r="AI834" s="338"/>
      <c r="AJ834" s="338"/>
      <c r="AK834" s="339"/>
      <c r="AL834" s="322"/>
      <c r="AM834" s="339"/>
      <c r="AN834" s="339"/>
      <c r="AO834" s="338"/>
    </row>
    <row r="835" spans="1:41" hidden="1">
      <c r="A835" s="321" t="s">
        <v>823</v>
      </c>
      <c r="B835" s="324"/>
      <c r="C835" s="711">
        <v>3512.5</v>
      </c>
      <c r="D835" s="338"/>
      <c r="E835" s="737">
        <v>3512.5</v>
      </c>
      <c r="F835" s="322"/>
      <c r="G835" s="339"/>
      <c r="H835" s="339"/>
      <c r="I835" s="338"/>
      <c r="J835" s="324"/>
      <c r="K835" s="338"/>
      <c r="L835" s="338"/>
      <c r="M835" s="339"/>
      <c r="N835" s="322"/>
      <c r="O835" s="339"/>
      <c r="P835" s="339"/>
      <c r="Q835" s="338"/>
      <c r="R835" s="324"/>
      <c r="S835" s="338"/>
      <c r="T835" s="338"/>
      <c r="U835" s="339"/>
      <c r="V835" s="322"/>
      <c r="W835" s="339"/>
      <c r="X835" s="339"/>
      <c r="Y835" s="338"/>
      <c r="Z835" s="324"/>
      <c r="AA835" s="338"/>
      <c r="AB835" s="338"/>
      <c r="AC835" s="339"/>
      <c r="AD835" s="322"/>
      <c r="AE835" s="339"/>
      <c r="AF835" s="339"/>
      <c r="AG835" s="338"/>
      <c r="AH835" s="324"/>
      <c r="AI835" s="338"/>
      <c r="AJ835" s="338"/>
      <c r="AK835" s="339"/>
      <c r="AL835" s="322"/>
      <c r="AM835" s="714">
        <v>3512.5</v>
      </c>
      <c r="AN835" s="339"/>
      <c r="AO835" s="735">
        <v>3512.5</v>
      </c>
    </row>
    <row r="836" spans="1:41" hidden="1">
      <c r="A836" s="321" t="s">
        <v>824</v>
      </c>
      <c r="B836" s="324"/>
      <c r="C836" s="323">
        <v>387347</v>
      </c>
      <c r="D836" s="323">
        <v>58198</v>
      </c>
      <c r="E836" s="592">
        <v>329149</v>
      </c>
      <c r="F836" s="322"/>
      <c r="G836" s="339"/>
      <c r="H836" s="339"/>
      <c r="I836" s="338"/>
      <c r="J836" s="324"/>
      <c r="K836" s="338"/>
      <c r="L836" s="338"/>
      <c r="M836" s="339"/>
      <c r="N836" s="322"/>
      <c r="O836" s="339"/>
      <c r="P836" s="339"/>
      <c r="Q836" s="338"/>
      <c r="R836" s="324"/>
      <c r="S836" s="338"/>
      <c r="T836" s="338"/>
      <c r="U836" s="339"/>
      <c r="V836" s="322"/>
      <c r="W836" s="339"/>
      <c r="X836" s="339"/>
      <c r="Y836" s="338"/>
      <c r="Z836" s="324"/>
      <c r="AA836" s="338"/>
      <c r="AB836" s="338"/>
      <c r="AC836" s="339"/>
      <c r="AD836" s="322"/>
      <c r="AE836" s="325">
        <v>387347</v>
      </c>
      <c r="AF836" s="325">
        <v>58198</v>
      </c>
      <c r="AG836" s="594">
        <v>329149</v>
      </c>
      <c r="AH836" s="324"/>
      <c r="AI836" s="338"/>
      <c r="AJ836" s="338"/>
      <c r="AK836" s="339"/>
      <c r="AL836" s="322"/>
      <c r="AM836" s="339"/>
      <c r="AN836" s="339"/>
      <c r="AO836" s="338"/>
    </row>
    <row r="837" spans="1:41" hidden="1">
      <c r="A837" s="321" t="s">
        <v>806</v>
      </c>
      <c r="B837" s="324"/>
      <c r="C837" s="323">
        <v>22157.98</v>
      </c>
      <c r="D837" s="338"/>
      <c r="E837" s="592">
        <v>22157.98</v>
      </c>
      <c r="F837" s="322"/>
      <c r="G837" s="339"/>
      <c r="H837" s="339"/>
      <c r="I837" s="338"/>
      <c r="J837" s="324"/>
      <c r="K837" s="338"/>
      <c r="L837" s="338"/>
      <c r="M837" s="339"/>
      <c r="N837" s="322"/>
      <c r="O837" s="325">
        <v>22157.98</v>
      </c>
      <c r="P837" s="339"/>
      <c r="Q837" s="594">
        <v>22157.98</v>
      </c>
      <c r="R837" s="324"/>
      <c r="S837" s="338"/>
      <c r="T837" s="338"/>
      <c r="U837" s="339"/>
      <c r="V837" s="322"/>
      <c r="W837" s="339"/>
      <c r="X837" s="339"/>
      <c r="Y837" s="338"/>
      <c r="Z837" s="324"/>
      <c r="AA837" s="338"/>
      <c r="AB837" s="338"/>
      <c r="AC837" s="339"/>
      <c r="AD837" s="322"/>
      <c r="AE837" s="325">
        <v>34746.559999999998</v>
      </c>
      <c r="AF837" s="339"/>
      <c r="AG837" s="594">
        <v>34746.559999999998</v>
      </c>
      <c r="AH837" s="324"/>
      <c r="AI837" s="338"/>
      <c r="AJ837" s="338"/>
      <c r="AK837" s="339"/>
      <c r="AL837" s="322"/>
      <c r="AM837" s="339"/>
      <c r="AN837" s="339"/>
      <c r="AO837" s="338"/>
    </row>
    <row r="838" spans="1:41" hidden="1">
      <c r="A838" s="321" t="s">
        <v>1109</v>
      </c>
      <c r="B838" s="324"/>
      <c r="C838" s="323">
        <v>825000</v>
      </c>
      <c r="D838" s="323">
        <v>500000</v>
      </c>
      <c r="E838" s="592">
        <v>325000</v>
      </c>
      <c r="F838" s="322"/>
      <c r="G838" s="339"/>
      <c r="H838" s="339"/>
      <c r="I838" s="338"/>
      <c r="J838" s="324"/>
      <c r="K838" s="338"/>
      <c r="L838" s="338"/>
      <c r="M838" s="339"/>
      <c r="N838" s="322"/>
      <c r="O838" s="339"/>
      <c r="P838" s="339"/>
      <c r="Q838" s="338"/>
      <c r="R838" s="324"/>
      <c r="S838" s="338"/>
      <c r="T838" s="338"/>
      <c r="U838" s="339"/>
      <c r="V838" s="322"/>
      <c r="W838" s="339"/>
      <c r="X838" s="339"/>
      <c r="Y838" s="338"/>
      <c r="Z838" s="324"/>
      <c r="AA838" s="338"/>
      <c r="AB838" s="338"/>
      <c r="AC838" s="339"/>
      <c r="AD838" s="322"/>
      <c r="AE838" s="325">
        <v>825000</v>
      </c>
      <c r="AF838" s="325">
        <v>500000</v>
      </c>
      <c r="AG838" s="594">
        <v>325000</v>
      </c>
      <c r="AH838" s="324"/>
      <c r="AI838" s="338"/>
      <c r="AJ838" s="338"/>
      <c r="AK838" s="339"/>
      <c r="AL838" s="322"/>
      <c r="AM838" s="339"/>
      <c r="AN838" s="339"/>
      <c r="AO838" s="338"/>
    </row>
    <row r="839" spans="1:41" hidden="1">
      <c r="A839" s="321" t="s">
        <v>1400</v>
      </c>
      <c r="B839" s="324"/>
      <c r="C839" s="323">
        <v>1015555.23</v>
      </c>
      <c r="D839" s="338"/>
      <c r="E839" s="592">
        <v>1015555.23</v>
      </c>
      <c r="F839" s="322"/>
      <c r="G839" s="339"/>
      <c r="H839" s="339"/>
      <c r="I839" s="338"/>
      <c r="J839" s="324"/>
      <c r="K839" s="338"/>
      <c r="L839" s="338"/>
      <c r="M839" s="339"/>
      <c r="N839" s="322"/>
      <c r="O839" s="339"/>
      <c r="P839" s="339"/>
      <c r="Q839" s="338"/>
      <c r="R839" s="324"/>
      <c r="S839" s="338"/>
      <c r="T839" s="338"/>
      <c r="U839" s="339"/>
      <c r="V839" s="322"/>
      <c r="W839" s="339"/>
      <c r="X839" s="339"/>
      <c r="Y839" s="338"/>
      <c r="Z839" s="324"/>
      <c r="AA839" s="338"/>
      <c r="AB839" s="338"/>
      <c r="AC839" s="339"/>
      <c r="AD839" s="322"/>
      <c r="AE839" s="325">
        <v>1015555.23</v>
      </c>
      <c r="AF839" s="339"/>
      <c r="AG839" s="594">
        <v>1015555.23</v>
      </c>
      <c r="AH839" s="324"/>
      <c r="AI839" s="338"/>
      <c r="AJ839" s="338"/>
      <c r="AK839" s="339"/>
      <c r="AL839" s="322"/>
      <c r="AM839" s="339"/>
      <c r="AN839" s="339"/>
      <c r="AO839" s="338"/>
    </row>
    <row r="840" spans="1:41" hidden="1">
      <c r="A840" s="321" t="s">
        <v>1401</v>
      </c>
      <c r="B840" s="324"/>
      <c r="C840" s="323">
        <v>2669.35</v>
      </c>
      <c r="D840" s="338"/>
      <c r="E840" s="592">
        <v>2669.35</v>
      </c>
      <c r="F840" s="322"/>
      <c r="G840" s="339"/>
      <c r="H840" s="339"/>
      <c r="I840" s="338"/>
      <c r="J840" s="324"/>
      <c r="K840" s="338"/>
      <c r="L840" s="338"/>
      <c r="M840" s="339"/>
      <c r="N840" s="322"/>
      <c r="O840" s="325">
        <v>2669.35</v>
      </c>
      <c r="P840" s="339"/>
      <c r="Q840" s="594">
        <v>2669.35</v>
      </c>
      <c r="R840" s="324"/>
      <c r="S840" s="338"/>
      <c r="T840" s="338"/>
      <c r="U840" s="339"/>
      <c r="V840" s="322"/>
      <c r="W840" s="339"/>
      <c r="X840" s="339"/>
      <c r="Y840" s="338"/>
      <c r="Z840" s="324"/>
      <c r="AA840" s="338"/>
      <c r="AB840" s="338"/>
      <c r="AC840" s="339"/>
      <c r="AD840" s="322"/>
      <c r="AE840" s="339"/>
      <c r="AF840" s="339"/>
      <c r="AG840" s="338"/>
      <c r="AH840" s="324"/>
      <c r="AI840" s="338"/>
      <c r="AJ840" s="338"/>
      <c r="AK840" s="339"/>
      <c r="AL840" s="322"/>
      <c r="AM840" s="339"/>
      <c r="AN840" s="339"/>
      <c r="AO840" s="338"/>
    </row>
    <row r="841" spans="1:41" hidden="1">
      <c r="A841" s="321" t="s">
        <v>1402</v>
      </c>
      <c r="B841" s="324"/>
      <c r="C841" s="323">
        <v>12183</v>
      </c>
      <c r="D841" s="338"/>
      <c r="E841" s="592">
        <v>12183</v>
      </c>
      <c r="F841" s="322"/>
      <c r="G841" s="339"/>
      <c r="H841" s="339"/>
      <c r="I841" s="338"/>
      <c r="J841" s="324"/>
      <c r="K841" s="338"/>
      <c r="L841" s="338"/>
      <c r="M841" s="339"/>
      <c r="N841" s="322"/>
      <c r="O841" s="325">
        <v>12183</v>
      </c>
      <c r="P841" s="339"/>
      <c r="Q841" s="594">
        <v>12183</v>
      </c>
      <c r="R841" s="324"/>
      <c r="S841" s="338"/>
      <c r="T841" s="338"/>
      <c r="U841" s="339"/>
      <c r="V841" s="322"/>
      <c r="W841" s="339"/>
      <c r="X841" s="339"/>
      <c r="Y841" s="338"/>
      <c r="Z841" s="324"/>
      <c r="AA841" s="338"/>
      <c r="AB841" s="338"/>
      <c r="AC841" s="339"/>
      <c r="AD841" s="322"/>
      <c r="AE841" s="339"/>
      <c r="AF841" s="339"/>
      <c r="AG841" s="338"/>
      <c r="AH841" s="324"/>
      <c r="AI841" s="338"/>
      <c r="AJ841" s="338"/>
      <c r="AK841" s="339"/>
      <c r="AL841" s="322"/>
      <c r="AM841" s="339"/>
      <c r="AN841" s="339"/>
      <c r="AO841" s="338"/>
    </row>
    <row r="842" spans="1:41" hidden="1">
      <c r="A842" s="321" t="s">
        <v>388</v>
      </c>
      <c r="B842" s="324"/>
      <c r="C842" s="323">
        <v>183376</v>
      </c>
      <c r="D842" s="338"/>
      <c r="E842" s="592">
        <v>183376</v>
      </c>
      <c r="F842" s="322"/>
      <c r="G842" s="339"/>
      <c r="H842" s="339"/>
      <c r="I842" s="338"/>
      <c r="J842" s="324"/>
      <c r="K842" s="338"/>
      <c r="L842" s="338"/>
      <c r="M842" s="339"/>
      <c r="N842" s="322"/>
      <c r="O842" s="325">
        <v>183376</v>
      </c>
      <c r="P842" s="339"/>
      <c r="Q842" s="594">
        <v>183376</v>
      </c>
      <c r="R842" s="324"/>
      <c r="S842" s="338"/>
      <c r="T842" s="338"/>
      <c r="U842" s="339"/>
      <c r="V842" s="322"/>
      <c r="W842" s="339"/>
      <c r="X842" s="339"/>
      <c r="Y842" s="338"/>
      <c r="Z842" s="324"/>
      <c r="AA842" s="338"/>
      <c r="AB842" s="338"/>
      <c r="AC842" s="339"/>
      <c r="AD842" s="322"/>
      <c r="AE842" s="339"/>
      <c r="AF842" s="339"/>
      <c r="AG842" s="338"/>
      <c r="AH842" s="324"/>
      <c r="AI842" s="338"/>
      <c r="AJ842" s="338"/>
      <c r="AK842" s="339"/>
      <c r="AL842" s="322"/>
      <c r="AM842" s="339"/>
      <c r="AN842" s="339"/>
      <c r="AO842" s="338"/>
    </row>
    <row r="843" spans="1:41" hidden="1">
      <c r="A843" s="321" t="s">
        <v>825</v>
      </c>
      <c r="B843" s="324"/>
      <c r="C843" s="711">
        <v>4667375</v>
      </c>
      <c r="D843" s="338"/>
      <c r="E843" s="737">
        <v>4667375</v>
      </c>
      <c r="F843" s="322"/>
      <c r="G843" s="339"/>
      <c r="H843" s="339"/>
      <c r="I843" s="338"/>
      <c r="J843" s="324"/>
      <c r="K843" s="338"/>
      <c r="L843" s="338"/>
      <c r="M843" s="339"/>
      <c r="N843" s="322"/>
      <c r="O843" s="339"/>
      <c r="P843" s="339"/>
      <c r="Q843" s="338"/>
      <c r="R843" s="324"/>
      <c r="S843" s="338"/>
      <c r="T843" s="338"/>
      <c r="U843" s="339"/>
      <c r="V843" s="322"/>
      <c r="W843" s="339"/>
      <c r="X843" s="339"/>
      <c r="Y843" s="338"/>
      <c r="Z843" s="324"/>
      <c r="AA843" s="338"/>
      <c r="AB843" s="338"/>
      <c r="AC843" s="339"/>
      <c r="AD843" s="322"/>
      <c r="AE843" s="339"/>
      <c r="AF843" s="339"/>
      <c r="AG843" s="338"/>
      <c r="AH843" s="324"/>
      <c r="AI843" s="338"/>
      <c r="AJ843" s="338"/>
      <c r="AK843" s="339"/>
      <c r="AL843" s="322"/>
      <c r="AM843" s="714">
        <v>4667375</v>
      </c>
      <c r="AN843" s="339"/>
      <c r="AO843" s="735">
        <v>4667375</v>
      </c>
    </row>
    <row r="844" spans="1:41" hidden="1">
      <c r="A844" s="321" t="s">
        <v>389</v>
      </c>
      <c r="B844" s="324"/>
      <c r="C844" s="323">
        <v>1254269</v>
      </c>
      <c r="D844" s="338"/>
      <c r="E844" s="592">
        <v>1254269</v>
      </c>
      <c r="F844" s="322"/>
      <c r="G844" s="339"/>
      <c r="H844" s="339"/>
      <c r="I844" s="338"/>
      <c r="J844" s="324"/>
      <c r="K844" s="338"/>
      <c r="L844" s="338"/>
      <c r="M844" s="339"/>
      <c r="N844" s="322"/>
      <c r="O844" s="325">
        <v>1254269</v>
      </c>
      <c r="P844" s="339"/>
      <c r="Q844" s="594">
        <v>1254269</v>
      </c>
      <c r="R844" s="324"/>
      <c r="S844" s="338"/>
      <c r="T844" s="338"/>
      <c r="U844" s="339"/>
      <c r="V844" s="322"/>
      <c r="W844" s="339"/>
      <c r="X844" s="339"/>
      <c r="Y844" s="338"/>
      <c r="Z844" s="324"/>
      <c r="AA844" s="338"/>
      <c r="AB844" s="338"/>
      <c r="AC844" s="339"/>
      <c r="AD844" s="322"/>
      <c r="AE844" s="339"/>
      <c r="AF844" s="339"/>
      <c r="AG844" s="338"/>
      <c r="AH844" s="324"/>
      <c r="AI844" s="338"/>
      <c r="AJ844" s="338"/>
      <c r="AK844" s="339"/>
      <c r="AL844" s="322"/>
      <c r="AM844" s="339"/>
      <c r="AN844" s="339"/>
      <c r="AO844" s="338"/>
    </row>
    <row r="845" spans="1:41" hidden="1">
      <c r="A845" s="321" t="s">
        <v>826</v>
      </c>
      <c r="B845" s="324"/>
      <c r="C845" s="711">
        <v>6759936.7599999998</v>
      </c>
      <c r="D845" s="338"/>
      <c r="E845" s="737">
        <v>6759936.7599999998</v>
      </c>
      <c r="F845" s="322"/>
      <c r="G845" s="339"/>
      <c r="H845" s="339"/>
      <c r="I845" s="338"/>
      <c r="J845" s="324"/>
      <c r="K845" s="338"/>
      <c r="L845" s="338"/>
      <c r="M845" s="339"/>
      <c r="N845" s="322"/>
      <c r="O845" s="339"/>
      <c r="P845" s="339"/>
      <c r="Q845" s="338"/>
      <c r="R845" s="324"/>
      <c r="S845" s="338"/>
      <c r="T845" s="338"/>
      <c r="U845" s="339"/>
      <c r="V845" s="322"/>
      <c r="W845" s="339"/>
      <c r="X845" s="339"/>
      <c r="Y845" s="338"/>
      <c r="Z845" s="324"/>
      <c r="AA845" s="338"/>
      <c r="AB845" s="338"/>
      <c r="AC845" s="339"/>
      <c r="AD845" s="322"/>
      <c r="AE845" s="339"/>
      <c r="AF845" s="339"/>
      <c r="AG845" s="338"/>
      <c r="AH845" s="324"/>
      <c r="AI845" s="338"/>
      <c r="AJ845" s="338"/>
      <c r="AK845" s="339"/>
      <c r="AL845" s="322"/>
      <c r="AM845" s="714">
        <v>6759936.7599999998</v>
      </c>
      <c r="AN845" s="339"/>
      <c r="AO845" s="735">
        <v>6759936.7599999998</v>
      </c>
    </row>
    <row r="846" spans="1:41" hidden="1">
      <c r="A846" s="321" t="s">
        <v>828</v>
      </c>
      <c r="B846" s="324"/>
      <c r="C846" s="323">
        <v>100</v>
      </c>
      <c r="D846" s="338"/>
      <c r="E846" s="592">
        <v>100</v>
      </c>
      <c r="F846" s="322"/>
      <c r="G846" s="339"/>
      <c r="H846" s="339"/>
      <c r="I846" s="338"/>
      <c r="J846" s="324"/>
      <c r="K846" s="323">
        <v>100</v>
      </c>
      <c r="L846" s="338"/>
      <c r="M846" s="592">
        <v>100</v>
      </c>
      <c r="N846" s="322"/>
      <c r="O846" s="339"/>
      <c r="P846" s="339"/>
      <c r="Q846" s="338"/>
      <c r="R846" s="324"/>
      <c r="S846" s="338"/>
      <c r="T846" s="338"/>
      <c r="U846" s="339"/>
      <c r="V846" s="322"/>
      <c r="W846" s="339"/>
      <c r="X846" s="339"/>
      <c r="Y846" s="338"/>
      <c r="Z846" s="324"/>
      <c r="AA846" s="338"/>
      <c r="AB846" s="338"/>
      <c r="AC846" s="339"/>
      <c r="AD846" s="322"/>
      <c r="AE846" s="339"/>
      <c r="AF846" s="339"/>
      <c r="AG846" s="338"/>
      <c r="AH846" s="324"/>
      <c r="AI846" s="338"/>
      <c r="AJ846" s="338"/>
      <c r="AK846" s="339"/>
      <c r="AL846" s="322"/>
      <c r="AM846" s="339"/>
      <c r="AN846" s="339"/>
      <c r="AO846" s="338"/>
    </row>
    <row r="847" spans="1:41" hidden="1">
      <c r="A847" s="321" t="s">
        <v>1111</v>
      </c>
      <c r="B847" s="324"/>
      <c r="C847" s="323">
        <v>6450</v>
      </c>
      <c r="D847" s="338"/>
      <c r="E847" s="592">
        <v>6450</v>
      </c>
      <c r="F847" s="322"/>
      <c r="G847" s="339"/>
      <c r="H847" s="339"/>
      <c r="I847" s="338"/>
      <c r="J847" s="324"/>
      <c r="K847" s="338"/>
      <c r="L847" s="338"/>
      <c r="M847" s="339"/>
      <c r="N847" s="322"/>
      <c r="O847" s="325">
        <v>6450</v>
      </c>
      <c r="P847" s="339"/>
      <c r="Q847" s="594">
        <v>6450</v>
      </c>
      <c r="R847" s="324"/>
      <c r="S847" s="338"/>
      <c r="T847" s="338"/>
      <c r="U847" s="339"/>
      <c r="V847" s="322"/>
      <c r="W847" s="339"/>
      <c r="X847" s="339"/>
      <c r="Y847" s="338"/>
      <c r="Z847" s="324"/>
      <c r="AA847" s="338"/>
      <c r="AB847" s="338"/>
      <c r="AC847" s="339"/>
      <c r="AD847" s="322"/>
      <c r="AE847" s="339"/>
      <c r="AF847" s="339"/>
      <c r="AG847" s="338"/>
      <c r="AH847" s="324"/>
      <c r="AI847" s="338"/>
      <c r="AJ847" s="338"/>
      <c r="AK847" s="339"/>
      <c r="AL847" s="322"/>
      <c r="AM847" s="339"/>
      <c r="AN847" s="339"/>
      <c r="AO847" s="338"/>
    </row>
    <row r="848" spans="1:41" hidden="1">
      <c r="A848" s="321" t="s">
        <v>602</v>
      </c>
      <c r="B848" s="324"/>
      <c r="C848" s="323">
        <v>50000</v>
      </c>
      <c r="D848" s="338"/>
      <c r="E848" s="592">
        <v>50000</v>
      </c>
      <c r="F848" s="322"/>
      <c r="G848" s="339"/>
      <c r="H848" s="339"/>
      <c r="I848" s="338"/>
      <c r="J848" s="324"/>
      <c r="K848" s="338"/>
      <c r="L848" s="338"/>
      <c r="M848" s="339"/>
      <c r="N848" s="322"/>
      <c r="O848" s="325">
        <v>50000</v>
      </c>
      <c r="P848" s="339"/>
      <c r="Q848" s="594">
        <v>50000</v>
      </c>
      <c r="R848" s="324"/>
      <c r="S848" s="338"/>
      <c r="T848" s="338"/>
      <c r="U848" s="339"/>
      <c r="V848" s="322"/>
      <c r="W848" s="339"/>
      <c r="X848" s="339"/>
      <c r="Y848" s="338"/>
      <c r="Z848" s="324"/>
      <c r="AA848" s="338"/>
      <c r="AB848" s="338"/>
      <c r="AC848" s="339"/>
      <c r="AD848" s="322"/>
      <c r="AE848" s="339"/>
      <c r="AF848" s="339"/>
      <c r="AG848" s="338"/>
      <c r="AH848" s="324"/>
      <c r="AI848" s="338"/>
      <c r="AJ848" s="338"/>
      <c r="AK848" s="339"/>
      <c r="AL848" s="322"/>
      <c r="AM848" s="339"/>
      <c r="AN848" s="339"/>
      <c r="AO848" s="338"/>
    </row>
    <row r="849" spans="1:41" hidden="1">
      <c r="A849" s="321" t="s">
        <v>1403</v>
      </c>
      <c r="B849" s="324"/>
      <c r="C849" s="711">
        <v>38244</v>
      </c>
      <c r="D849" s="338"/>
      <c r="E849" s="737">
        <v>38244</v>
      </c>
      <c r="F849" s="322"/>
      <c r="G849" s="339"/>
      <c r="H849" s="339"/>
      <c r="I849" s="338"/>
      <c r="J849" s="324"/>
      <c r="K849" s="338"/>
      <c r="L849" s="338"/>
      <c r="M849" s="339"/>
      <c r="N849" s="322"/>
      <c r="O849" s="339"/>
      <c r="P849" s="339"/>
      <c r="Q849" s="338"/>
      <c r="R849" s="324"/>
      <c r="S849" s="338"/>
      <c r="T849" s="338"/>
      <c r="U849" s="339"/>
      <c r="V849" s="322"/>
      <c r="W849" s="339"/>
      <c r="X849" s="339"/>
      <c r="Y849" s="338"/>
      <c r="Z849" s="324"/>
      <c r="AA849" s="338"/>
      <c r="AB849" s="338"/>
      <c r="AC849" s="339"/>
      <c r="AD849" s="322"/>
      <c r="AE849" s="339"/>
      <c r="AF849" s="339"/>
      <c r="AG849" s="338"/>
      <c r="AH849" s="324"/>
      <c r="AI849" s="338"/>
      <c r="AJ849" s="338"/>
      <c r="AK849" s="339"/>
      <c r="AL849" s="322"/>
      <c r="AM849" s="714">
        <v>38244</v>
      </c>
      <c r="AN849" s="339"/>
      <c r="AO849" s="735">
        <v>38244</v>
      </c>
    </row>
    <row r="850" spans="1:41" hidden="1">
      <c r="A850" s="321" t="s">
        <v>831</v>
      </c>
      <c r="B850" s="324"/>
      <c r="C850" s="323">
        <v>196453.59</v>
      </c>
      <c r="D850" s="338"/>
      <c r="E850" s="592">
        <v>196453.59</v>
      </c>
      <c r="F850" s="322"/>
      <c r="G850" s="339"/>
      <c r="H850" s="339"/>
      <c r="I850" s="338"/>
      <c r="J850" s="324"/>
      <c r="K850" s="338"/>
      <c r="L850" s="338"/>
      <c r="M850" s="339"/>
      <c r="N850" s="322"/>
      <c r="O850" s="339"/>
      <c r="P850" s="339"/>
      <c r="Q850" s="338"/>
      <c r="R850" s="324"/>
      <c r="S850" s="323">
        <v>24684.2</v>
      </c>
      <c r="T850" s="338"/>
      <c r="U850" s="592">
        <v>24684.2</v>
      </c>
      <c r="V850" s="322"/>
      <c r="W850" s="339"/>
      <c r="X850" s="339"/>
      <c r="Y850" s="338"/>
      <c r="Z850" s="324"/>
      <c r="AA850" s="338"/>
      <c r="AB850" s="338"/>
      <c r="AC850" s="339"/>
      <c r="AD850" s="322"/>
      <c r="AE850" s="339"/>
      <c r="AF850" s="339"/>
      <c r="AG850" s="338"/>
      <c r="AH850" s="324"/>
      <c r="AI850" s="338"/>
      <c r="AJ850" s="338"/>
      <c r="AK850" s="339"/>
      <c r="AL850" s="322"/>
      <c r="AM850" s="714">
        <v>171769.39</v>
      </c>
      <c r="AN850" s="339"/>
      <c r="AO850" s="735">
        <v>171769.39</v>
      </c>
    </row>
    <row r="851" spans="1:41" hidden="1">
      <c r="A851" s="321" t="s">
        <v>390</v>
      </c>
      <c r="B851" s="324"/>
      <c r="C851" s="323">
        <v>97950</v>
      </c>
      <c r="D851" s="338"/>
      <c r="E851" s="592">
        <v>97950</v>
      </c>
      <c r="F851" s="322"/>
      <c r="G851" s="339"/>
      <c r="H851" s="339"/>
      <c r="I851" s="338"/>
      <c r="J851" s="324"/>
      <c r="K851" s="338"/>
      <c r="L851" s="338"/>
      <c r="M851" s="339"/>
      <c r="N851" s="322"/>
      <c r="O851" s="325">
        <v>97950</v>
      </c>
      <c r="P851" s="339"/>
      <c r="Q851" s="594">
        <v>97950</v>
      </c>
      <c r="R851" s="324"/>
      <c r="S851" s="338"/>
      <c r="T851" s="338"/>
      <c r="U851" s="339"/>
      <c r="V851" s="322"/>
      <c r="W851" s="339"/>
      <c r="X851" s="339"/>
      <c r="Y851" s="338"/>
      <c r="Z851" s="324"/>
      <c r="AA851" s="338"/>
      <c r="AB851" s="338"/>
      <c r="AC851" s="339"/>
      <c r="AD851" s="322"/>
      <c r="AE851" s="339"/>
      <c r="AF851" s="339"/>
      <c r="AG851" s="338"/>
      <c r="AH851" s="324"/>
      <c r="AI851" s="338"/>
      <c r="AJ851" s="338"/>
      <c r="AK851" s="339"/>
      <c r="AL851" s="322"/>
      <c r="AM851" s="339"/>
      <c r="AN851" s="339"/>
      <c r="AO851" s="338"/>
    </row>
    <row r="852" spans="1:41" hidden="1">
      <c r="A852" s="321" t="s">
        <v>832</v>
      </c>
      <c r="B852" s="324"/>
      <c r="C852" s="323">
        <v>2560</v>
      </c>
      <c r="D852" s="338"/>
      <c r="E852" s="592">
        <v>2560</v>
      </c>
      <c r="F852" s="322"/>
      <c r="G852" s="339"/>
      <c r="H852" s="339"/>
      <c r="I852" s="338"/>
      <c r="J852" s="324"/>
      <c r="K852" s="323">
        <v>1260</v>
      </c>
      <c r="L852" s="338"/>
      <c r="M852" s="592">
        <v>1260</v>
      </c>
      <c r="N852" s="322"/>
      <c r="O852" s="339"/>
      <c r="P852" s="339"/>
      <c r="Q852" s="338"/>
      <c r="R852" s="324"/>
      <c r="S852" s="338"/>
      <c r="T852" s="338"/>
      <c r="U852" s="339"/>
      <c r="V852" s="322"/>
      <c r="W852" s="339"/>
      <c r="X852" s="339"/>
      <c r="Y852" s="338"/>
      <c r="Z852" s="324"/>
      <c r="AA852" s="323">
        <v>1300</v>
      </c>
      <c r="AB852" s="338"/>
      <c r="AC852" s="592">
        <v>1300</v>
      </c>
      <c r="AD852" s="322"/>
      <c r="AE852" s="339"/>
      <c r="AF852" s="339"/>
      <c r="AG852" s="338"/>
      <c r="AH852" s="324"/>
      <c r="AI852" s="338"/>
      <c r="AJ852" s="338"/>
      <c r="AK852" s="339"/>
      <c r="AL852" s="322"/>
      <c r="AM852" s="339"/>
      <c r="AN852" s="339"/>
      <c r="AO852" s="338"/>
    </row>
    <row r="853" spans="1:41" hidden="1">
      <c r="A853" s="321" t="s">
        <v>1404</v>
      </c>
      <c r="B853" s="324"/>
      <c r="C853" s="711">
        <v>376503.93</v>
      </c>
      <c r="D853" s="711">
        <v>154056.63</v>
      </c>
      <c r="E853" s="737">
        <v>222447.3</v>
      </c>
      <c r="F853" s="322"/>
      <c r="G853" s="339"/>
      <c r="H853" s="339"/>
      <c r="I853" s="338"/>
      <c r="J853" s="324"/>
      <c r="K853" s="338"/>
      <c r="L853" s="338"/>
      <c r="M853" s="339"/>
      <c r="N853" s="322"/>
      <c r="O853" s="339"/>
      <c r="P853" s="339"/>
      <c r="Q853" s="338"/>
      <c r="R853" s="324"/>
      <c r="S853" s="338"/>
      <c r="T853" s="338"/>
      <c r="U853" s="339"/>
      <c r="V853" s="322"/>
      <c r="W853" s="339"/>
      <c r="X853" s="339"/>
      <c r="Y853" s="338"/>
      <c r="Z853" s="324"/>
      <c r="AA853" s="338"/>
      <c r="AB853" s="338"/>
      <c r="AC853" s="339"/>
      <c r="AD853" s="322"/>
      <c r="AE853" s="339"/>
      <c r="AF853" s="339"/>
      <c r="AG853" s="338"/>
      <c r="AH853" s="324"/>
      <c r="AI853" s="338"/>
      <c r="AJ853" s="338"/>
      <c r="AK853" s="339"/>
      <c r="AL853" s="322"/>
      <c r="AM853" s="714">
        <v>376503.93</v>
      </c>
      <c r="AN853" s="714">
        <v>154056.63</v>
      </c>
      <c r="AO853" s="735">
        <v>222447.3</v>
      </c>
    </row>
    <row r="854" spans="1:41" hidden="1">
      <c r="A854" s="321" t="s">
        <v>1901</v>
      </c>
      <c r="B854" s="324"/>
      <c r="C854" s="323">
        <v>129500</v>
      </c>
      <c r="D854" s="338"/>
      <c r="E854" s="592">
        <v>129500</v>
      </c>
      <c r="F854" s="322"/>
      <c r="G854" s="339"/>
      <c r="H854" s="339"/>
      <c r="I854" s="338"/>
      <c r="J854" s="324"/>
      <c r="K854" s="338"/>
      <c r="L854" s="338"/>
      <c r="M854" s="339"/>
      <c r="N854" s="322"/>
      <c r="O854" s="325">
        <v>129500</v>
      </c>
      <c r="P854" s="339"/>
      <c r="Q854" s="594">
        <v>129500</v>
      </c>
      <c r="R854" s="324"/>
      <c r="S854" s="338"/>
      <c r="T854" s="338"/>
      <c r="U854" s="339"/>
      <c r="V854" s="322"/>
      <c r="W854" s="339"/>
      <c r="X854" s="339"/>
      <c r="Y854" s="338"/>
      <c r="Z854" s="324"/>
      <c r="AA854" s="338"/>
      <c r="AB854" s="338"/>
      <c r="AC854" s="339"/>
      <c r="AD854" s="322"/>
      <c r="AE854" s="325">
        <v>14864</v>
      </c>
      <c r="AF854" s="339"/>
      <c r="AG854" s="594">
        <v>14864</v>
      </c>
      <c r="AH854" s="324"/>
      <c r="AI854" s="338"/>
      <c r="AJ854" s="338"/>
      <c r="AK854" s="339"/>
      <c r="AL854" s="322"/>
      <c r="AM854" s="339"/>
      <c r="AN854" s="339"/>
      <c r="AO854" s="338"/>
    </row>
    <row r="855" spans="1:41" hidden="1">
      <c r="A855" s="321" t="s">
        <v>1902</v>
      </c>
      <c r="B855" s="324"/>
      <c r="C855" s="711">
        <v>34480</v>
      </c>
      <c r="D855" s="338"/>
      <c r="E855" s="737">
        <v>34480</v>
      </c>
      <c r="F855" s="322"/>
      <c r="G855" s="339"/>
      <c r="H855" s="339"/>
      <c r="I855" s="338"/>
      <c r="J855" s="324"/>
      <c r="K855" s="338"/>
      <c r="L855" s="338"/>
      <c r="M855" s="339"/>
      <c r="N855" s="322"/>
      <c r="O855" s="339"/>
      <c r="P855" s="339"/>
      <c r="Q855" s="338"/>
      <c r="R855" s="324"/>
      <c r="S855" s="338"/>
      <c r="T855" s="338"/>
      <c r="U855" s="339"/>
      <c r="V855" s="322"/>
      <c r="W855" s="339"/>
      <c r="X855" s="339"/>
      <c r="Y855" s="338"/>
      <c r="Z855" s="324"/>
      <c r="AA855" s="338"/>
      <c r="AB855" s="338"/>
      <c r="AC855" s="339"/>
      <c r="AD855" s="322"/>
      <c r="AE855" s="339"/>
      <c r="AF855" s="339"/>
      <c r="AG855" s="338"/>
      <c r="AH855" s="324"/>
      <c r="AI855" s="338"/>
      <c r="AJ855" s="338"/>
      <c r="AK855" s="339"/>
      <c r="AL855" s="322"/>
      <c r="AM855" s="714">
        <v>34480</v>
      </c>
      <c r="AN855" s="339"/>
      <c r="AO855" s="735">
        <v>34480</v>
      </c>
    </row>
    <row r="856" spans="1:41" hidden="1">
      <c r="A856" s="321" t="s">
        <v>604</v>
      </c>
      <c r="B856" s="324"/>
      <c r="C856" s="323">
        <v>12000</v>
      </c>
      <c r="D856" s="338"/>
      <c r="E856" s="592">
        <v>12000</v>
      </c>
      <c r="F856" s="322"/>
      <c r="G856" s="339"/>
      <c r="H856" s="339"/>
      <c r="I856" s="338"/>
      <c r="J856" s="324"/>
      <c r="K856" s="338"/>
      <c r="L856" s="338"/>
      <c r="M856" s="339"/>
      <c r="N856" s="322"/>
      <c r="O856" s="325">
        <v>12000</v>
      </c>
      <c r="P856" s="339"/>
      <c r="Q856" s="594">
        <v>12000</v>
      </c>
      <c r="R856" s="324"/>
      <c r="S856" s="338"/>
      <c r="T856" s="338"/>
      <c r="U856" s="339"/>
      <c r="V856" s="322"/>
      <c r="W856" s="339"/>
      <c r="X856" s="339"/>
      <c r="Y856" s="338"/>
      <c r="Z856" s="324"/>
      <c r="AA856" s="338"/>
      <c r="AB856" s="338"/>
      <c r="AC856" s="339"/>
      <c r="AD856" s="322"/>
      <c r="AE856" s="339"/>
      <c r="AF856" s="339"/>
      <c r="AG856" s="338"/>
      <c r="AH856" s="324"/>
      <c r="AI856" s="338"/>
      <c r="AJ856" s="338"/>
      <c r="AK856" s="339"/>
      <c r="AL856" s="322"/>
      <c r="AM856" s="339"/>
      <c r="AN856" s="339"/>
      <c r="AO856" s="338"/>
    </row>
    <row r="857" spans="1:41" hidden="1">
      <c r="A857" s="321" t="s">
        <v>1903</v>
      </c>
      <c r="B857" s="324"/>
      <c r="C857" s="323">
        <v>50000</v>
      </c>
      <c r="D857" s="338"/>
      <c r="E857" s="592">
        <v>50000</v>
      </c>
      <c r="F857" s="322"/>
      <c r="G857" s="339"/>
      <c r="H857" s="339"/>
      <c r="I857" s="338"/>
      <c r="J857" s="324"/>
      <c r="K857" s="338"/>
      <c r="L857" s="338"/>
      <c r="M857" s="339"/>
      <c r="N857" s="322"/>
      <c r="O857" s="339"/>
      <c r="P857" s="339"/>
      <c r="Q857" s="338"/>
      <c r="R857" s="324"/>
      <c r="S857" s="338"/>
      <c r="T857" s="338"/>
      <c r="U857" s="339"/>
      <c r="V857" s="322"/>
      <c r="W857" s="339"/>
      <c r="X857" s="339"/>
      <c r="Y857" s="338"/>
      <c r="Z857" s="324"/>
      <c r="AA857" s="338"/>
      <c r="AB857" s="338"/>
      <c r="AC857" s="339"/>
      <c r="AD857" s="322"/>
      <c r="AE857" s="325">
        <v>50000</v>
      </c>
      <c r="AF857" s="339"/>
      <c r="AG857" s="594">
        <v>50000</v>
      </c>
      <c r="AH857" s="324"/>
      <c r="AI857" s="338"/>
      <c r="AJ857" s="338"/>
      <c r="AK857" s="339"/>
      <c r="AL857" s="322"/>
      <c r="AM857" s="339"/>
      <c r="AN857" s="339"/>
      <c r="AO857" s="338"/>
    </row>
    <row r="858" spans="1:41" hidden="1">
      <c r="A858" s="321" t="s">
        <v>391</v>
      </c>
      <c r="B858" s="324"/>
      <c r="C858" s="323">
        <v>108996.1</v>
      </c>
      <c r="D858" s="338"/>
      <c r="E858" s="592">
        <v>108996.1</v>
      </c>
      <c r="F858" s="322"/>
      <c r="G858" s="339"/>
      <c r="H858" s="339"/>
      <c r="I858" s="338"/>
      <c r="J858" s="324"/>
      <c r="K858" s="338"/>
      <c r="L858" s="338"/>
      <c r="M858" s="339"/>
      <c r="N858" s="322"/>
      <c r="O858" s="339"/>
      <c r="P858" s="339"/>
      <c r="Q858" s="338"/>
      <c r="R858" s="324"/>
      <c r="S858" s="338"/>
      <c r="T858" s="338"/>
      <c r="U858" s="339"/>
      <c r="V858" s="322"/>
      <c r="W858" s="325">
        <v>108996.1</v>
      </c>
      <c r="X858" s="339"/>
      <c r="Y858" s="594">
        <v>108996.1</v>
      </c>
      <c r="Z858" s="324"/>
      <c r="AA858" s="338"/>
      <c r="AB858" s="338"/>
      <c r="AC858" s="339"/>
      <c r="AD858" s="322"/>
      <c r="AE858" s="339"/>
      <c r="AF858" s="339"/>
      <c r="AG858" s="338"/>
      <c r="AH858" s="324"/>
      <c r="AI858" s="338"/>
      <c r="AJ858" s="338"/>
      <c r="AK858" s="339"/>
      <c r="AL858" s="322"/>
      <c r="AM858" s="339"/>
      <c r="AN858" s="339"/>
      <c r="AO858" s="338"/>
    </row>
    <row r="859" spans="1:41" hidden="1">
      <c r="A859" s="321" t="s">
        <v>835</v>
      </c>
      <c r="B859" s="324"/>
      <c r="C859" s="711">
        <v>605945.98</v>
      </c>
      <c r="D859" s="338"/>
      <c r="E859" s="737">
        <v>605945.98</v>
      </c>
      <c r="F859" s="322"/>
      <c r="G859" s="339"/>
      <c r="H859" s="339"/>
      <c r="I859" s="338"/>
      <c r="J859" s="324"/>
      <c r="K859" s="338"/>
      <c r="L859" s="338"/>
      <c r="M859" s="339"/>
      <c r="N859" s="322"/>
      <c r="O859" s="339"/>
      <c r="P859" s="339"/>
      <c r="Q859" s="338"/>
      <c r="R859" s="324"/>
      <c r="S859" s="338"/>
      <c r="T859" s="338"/>
      <c r="U859" s="339"/>
      <c r="V859" s="322"/>
      <c r="W859" s="339"/>
      <c r="X859" s="339"/>
      <c r="Y859" s="338"/>
      <c r="Z859" s="324"/>
      <c r="AA859" s="338"/>
      <c r="AB859" s="338"/>
      <c r="AC859" s="339"/>
      <c r="AD859" s="322"/>
      <c r="AE859" s="339"/>
      <c r="AF859" s="339"/>
      <c r="AG859" s="338"/>
      <c r="AH859" s="324"/>
      <c r="AI859" s="338"/>
      <c r="AJ859" s="338"/>
      <c r="AK859" s="339"/>
      <c r="AL859" s="322"/>
      <c r="AM859" s="714">
        <v>605945.98</v>
      </c>
      <c r="AN859" s="339"/>
      <c r="AO859" s="735">
        <v>605945.98</v>
      </c>
    </row>
    <row r="860" spans="1:41" hidden="1">
      <c r="A860" s="321" t="s">
        <v>1112</v>
      </c>
      <c r="B860" s="324"/>
      <c r="C860" s="338"/>
      <c r="D860" s="338"/>
      <c r="E860" s="339"/>
      <c r="F860" s="322"/>
      <c r="G860" s="339"/>
      <c r="H860" s="339"/>
      <c r="I860" s="338"/>
      <c r="J860" s="324"/>
      <c r="K860" s="338"/>
      <c r="L860" s="338"/>
      <c r="M860" s="339"/>
      <c r="N860" s="322"/>
      <c r="O860" s="339"/>
      <c r="P860" s="339"/>
      <c r="Q860" s="338"/>
      <c r="R860" s="324"/>
      <c r="S860" s="338"/>
      <c r="T860" s="338"/>
      <c r="U860" s="339"/>
      <c r="V860" s="322"/>
      <c r="W860" s="339"/>
      <c r="X860" s="339"/>
      <c r="Y860" s="338"/>
      <c r="Z860" s="324"/>
      <c r="AA860" s="338"/>
      <c r="AB860" s="338"/>
      <c r="AC860" s="339"/>
      <c r="AD860" s="322"/>
      <c r="AE860" s="339"/>
      <c r="AF860" s="339"/>
      <c r="AG860" s="338"/>
      <c r="AH860" s="324"/>
      <c r="AI860" s="338"/>
      <c r="AJ860" s="338"/>
      <c r="AK860" s="339"/>
      <c r="AL860" s="322"/>
      <c r="AM860" s="339"/>
      <c r="AN860" s="339"/>
      <c r="AO860" s="338"/>
    </row>
    <row r="861" spans="1:41" hidden="1">
      <c r="A861" s="321" t="s">
        <v>1904</v>
      </c>
      <c r="B861" s="324"/>
      <c r="C861" s="711">
        <v>1400</v>
      </c>
      <c r="D861" s="338"/>
      <c r="E861" s="737">
        <v>1400</v>
      </c>
      <c r="F861" s="322"/>
      <c r="G861" s="339"/>
      <c r="H861" s="339"/>
      <c r="I861" s="338"/>
      <c r="J861" s="324"/>
      <c r="K861" s="338"/>
      <c r="L861" s="338"/>
      <c r="M861" s="339"/>
      <c r="N861" s="322"/>
      <c r="O861" s="339"/>
      <c r="P861" s="339"/>
      <c r="Q861" s="338"/>
      <c r="R861" s="324"/>
      <c r="S861" s="338"/>
      <c r="T861" s="338"/>
      <c r="U861" s="339"/>
      <c r="V861" s="322"/>
      <c r="W861" s="339"/>
      <c r="X861" s="339"/>
      <c r="Y861" s="338"/>
      <c r="Z861" s="324"/>
      <c r="AA861" s="338"/>
      <c r="AB861" s="338"/>
      <c r="AC861" s="339"/>
      <c r="AD861" s="322"/>
      <c r="AE861" s="339"/>
      <c r="AF861" s="339"/>
      <c r="AG861" s="338"/>
      <c r="AH861" s="324"/>
      <c r="AI861" s="338"/>
      <c r="AJ861" s="338"/>
      <c r="AK861" s="339"/>
      <c r="AL861" s="322"/>
      <c r="AM861" s="714">
        <v>1400</v>
      </c>
      <c r="AN861" s="339"/>
      <c r="AO861" s="735">
        <v>1400</v>
      </c>
    </row>
    <row r="862" spans="1:41" hidden="1">
      <c r="A862" s="321" t="s">
        <v>840</v>
      </c>
      <c r="B862" s="324"/>
      <c r="C862" s="323">
        <v>129840</v>
      </c>
      <c r="D862" s="338"/>
      <c r="E862" s="592">
        <v>129840</v>
      </c>
      <c r="F862" s="322"/>
      <c r="G862" s="339"/>
      <c r="H862" s="339"/>
      <c r="I862" s="338"/>
      <c r="J862" s="324"/>
      <c r="K862" s="338"/>
      <c r="L862" s="338"/>
      <c r="M862" s="339"/>
      <c r="N862" s="322"/>
      <c r="O862" s="339"/>
      <c r="P862" s="339"/>
      <c r="Q862" s="338"/>
      <c r="R862" s="324"/>
      <c r="S862" s="338"/>
      <c r="T862" s="338"/>
      <c r="U862" s="339"/>
      <c r="V862" s="322"/>
      <c r="W862" s="339"/>
      <c r="X862" s="339"/>
      <c r="Y862" s="338"/>
      <c r="Z862" s="324"/>
      <c r="AA862" s="338"/>
      <c r="AB862" s="338"/>
      <c r="AC862" s="339"/>
      <c r="AD862" s="322"/>
      <c r="AE862" s="325">
        <v>129840</v>
      </c>
      <c r="AF862" s="339"/>
      <c r="AG862" s="594">
        <v>129840</v>
      </c>
      <c r="AH862" s="324"/>
      <c r="AI862" s="338"/>
      <c r="AJ862" s="338"/>
      <c r="AK862" s="339"/>
      <c r="AL862" s="322"/>
      <c r="AM862" s="339"/>
      <c r="AN862" s="339"/>
      <c r="AO862" s="338"/>
    </row>
    <row r="863" spans="1:41" hidden="1">
      <c r="A863" s="321" t="s">
        <v>841</v>
      </c>
      <c r="B863" s="324"/>
      <c r="C863" s="711">
        <v>827.7</v>
      </c>
      <c r="D863" s="338"/>
      <c r="E863" s="737">
        <v>827.7</v>
      </c>
      <c r="F863" s="322"/>
      <c r="G863" s="339"/>
      <c r="H863" s="339"/>
      <c r="I863" s="338"/>
      <c r="J863" s="324"/>
      <c r="K863" s="338"/>
      <c r="L863" s="338"/>
      <c r="M863" s="339"/>
      <c r="N863" s="322"/>
      <c r="O863" s="339"/>
      <c r="P863" s="339"/>
      <c r="Q863" s="338"/>
      <c r="R863" s="324"/>
      <c r="S863" s="338"/>
      <c r="T863" s="338"/>
      <c r="U863" s="339"/>
      <c r="V863" s="322"/>
      <c r="W863" s="339"/>
      <c r="X863" s="339"/>
      <c r="Y863" s="338"/>
      <c r="Z863" s="324"/>
      <c r="AA863" s="338"/>
      <c r="AB863" s="338"/>
      <c r="AC863" s="339"/>
      <c r="AD863" s="322"/>
      <c r="AE863" s="339"/>
      <c r="AF863" s="339"/>
      <c r="AG863" s="338"/>
      <c r="AH863" s="324"/>
      <c r="AI863" s="338"/>
      <c r="AJ863" s="338"/>
      <c r="AK863" s="339"/>
      <c r="AL863" s="322"/>
      <c r="AM863" s="714">
        <v>827.7</v>
      </c>
      <c r="AN863" s="339"/>
      <c r="AO863" s="735">
        <v>827.7</v>
      </c>
    </row>
    <row r="864" spans="1:41" hidden="1">
      <c r="A864" s="321" t="s">
        <v>842</v>
      </c>
      <c r="B864" s="324"/>
      <c r="C864" s="323">
        <v>1178.68</v>
      </c>
      <c r="D864" s="338"/>
      <c r="E864" s="592">
        <v>1178.68</v>
      </c>
      <c r="F864" s="322"/>
      <c r="G864" s="339"/>
      <c r="H864" s="339"/>
      <c r="I864" s="338"/>
      <c r="J864" s="324"/>
      <c r="K864" s="338"/>
      <c r="L864" s="338"/>
      <c r="M864" s="339"/>
      <c r="N864" s="322"/>
      <c r="O864" s="339"/>
      <c r="P864" s="339"/>
      <c r="Q864" s="338"/>
      <c r="R864" s="324"/>
      <c r="S864" s="338"/>
      <c r="T864" s="338"/>
      <c r="U864" s="339"/>
      <c r="V864" s="322"/>
      <c r="W864" s="339"/>
      <c r="X864" s="339"/>
      <c r="Y864" s="338"/>
      <c r="Z864" s="324"/>
      <c r="AA864" s="323">
        <v>1178.68</v>
      </c>
      <c r="AB864" s="338"/>
      <c r="AC864" s="592">
        <v>1178.68</v>
      </c>
      <c r="AD864" s="322"/>
      <c r="AE864" s="339"/>
      <c r="AF864" s="339"/>
      <c r="AG864" s="338"/>
      <c r="AH864" s="324"/>
      <c r="AI864" s="338"/>
      <c r="AJ864" s="338"/>
      <c r="AK864" s="339"/>
      <c r="AL864" s="322"/>
      <c r="AM864" s="339"/>
      <c r="AN864" s="339"/>
      <c r="AO864" s="338"/>
    </row>
    <row r="865" spans="1:41" hidden="1">
      <c r="A865" s="321" t="s">
        <v>843</v>
      </c>
      <c r="B865" s="324"/>
      <c r="C865" s="323">
        <v>1794064</v>
      </c>
      <c r="D865" s="338"/>
      <c r="E865" s="592">
        <v>1794064</v>
      </c>
      <c r="F865" s="322"/>
      <c r="G865" s="339"/>
      <c r="H865" s="339"/>
      <c r="I865" s="338"/>
      <c r="J865" s="324"/>
      <c r="K865" s="338"/>
      <c r="L865" s="338"/>
      <c r="M865" s="339"/>
      <c r="N865" s="322"/>
      <c r="O865" s="339"/>
      <c r="P865" s="339"/>
      <c r="Q865" s="338"/>
      <c r="R865" s="324"/>
      <c r="S865" s="323">
        <v>261830</v>
      </c>
      <c r="T865" s="338"/>
      <c r="U865" s="592">
        <v>261830</v>
      </c>
      <c r="V865" s="322"/>
      <c r="W865" s="339"/>
      <c r="X865" s="339"/>
      <c r="Y865" s="338"/>
      <c r="Z865" s="324"/>
      <c r="AA865" s="338"/>
      <c r="AB865" s="338"/>
      <c r="AC865" s="339"/>
      <c r="AD865" s="322"/>
      <c r="AE865" s="339"/>
      <c r="AF865" s="339"/>
      <c r="AG865" s="338"/>
      <c r="AH865" s="324"/>
      <c r="AI865" s="338"/>
      <c r="AJ865" s="338"/>
      <c r="AK865" s="339"/>
      <c r="AL865" s="322"/>
      <c r="AM865" s="714">
        <v>1532234</v>
      </c>
      <c r="AN865" s="339"/>
      <c r="AO865" s="735">
        <v>1532234</v>
      </c>
    </row>
    <row r="866" spans="1:41" hidden="1">
      <c r="A866" s="321" t="s">
        <v>1065</v>
      </c>
      <c r="B866" s="324"/>
      <c r="C866" s="323">
        <v>25221</v>
      </c>
      <c r="D866" s="338"/>
      <c r="E866" s="592">
        <v>25221</v>
      </c>
      <c r="F866" s="322"/>
      <c r="G866" s="339"/>
      <c r="H866" s="339"/>
      <c r="I866" s="338"/>
      <c r="J866" s="324"/>
      <c r="K866" s="338"/>
      <c r="L866" s="338"/>
      <c r="M866" s="339"/>
      <c r="N866" s="322"/>
      <c r="O866" s="339"/>
      <c r="P866" s="339"/>
      <c r="Q866" s="338"/>
      <c r="R866" s="324"/>
      <c r="S866" s="338"/>
      <c r="T866" s="338"/>
      <c r="U866" s="339"/>
      <c r="V866" s="322"/>
      <c r="W866" s="325">
        <v>25221</v>
      </c>
      <c r="X866" s="339"/>
      <c r="Y866" s="594">
        <v>25221</v>
      </c>
      <c r="Z866" s="324"/>
      <c r="AA866" s="338"/>
      <c r="AB866" s="338"/>
      <c r="AC866" s="339"/>
      <c r="AD866" s="322"/>
      <c r="AE866" s="339"/>
      <c r="AF866" s="339"/>
      <c r="AG866" s="338"/>
      <c r="AH866" s="324"/>
      <c r="AI866" s="338"/>
      <c r="AJ866" s="338"/>
      <c r="AK866" s="339"/>
      <c r="AL866" s="322"/>
      <c r="AM866" s="339"/>
      <c r="AN866" s="339"/>
      <c r="AO866" s="338"/>
    </row>
    <row r="867" spans="1:41" hidden="1">
      <c r="A867" s="321" t="s">
        <v>1405</v>
      </c>
      <c r="B867" s="324"/>
      <c r="C867" s="338"/>
      <c r="D867" s="338"/>
      <c r="E867" s="339"/>
      <c r="F867" s="322"/>
      <c r="G867" s="339"/>
      <c r="H867" s="339"/>
      <c r="I867" s="338"/>
      <c r="J867" s="324"/>
      <c r="K867" s="338"/>
      <c r="L867" s="338"/>
      <c r="M867" s="339"/>
      <c r="N867" s="322"/>
      <c r="O867" s="339"/>
      <c r="P867" s="339"/>
      <c r="Q867" s="338"/>
      <c r="R867" s="324"/>
      <c r="S867" s="338"/>
      <c r="T867" s="338"/>
      <c r="U867" s="339"/>
      <c r="V867" s="322"/>
      <c r="W867" s="339"/>
      <c r="X867" s="339"/>
      <c r="Y867" s="338"/>
      <c r="Z867" s="324"/>
      <c r="AA867" s="338"/>
      <c r="AB867" s="338"/>
      <c r="AC867" s="339"/>
      <c r="AD867" s="322"/>
      <c r="AE867" s="339"/>
      <c r="AF867" s="339"/>
      <c r="AG867" s="338"/>
      <c r="AH867" s="324"/>
      <c r="AI867" s="338"/>
      <c r="AJ867" s="338"/>
      <c r="AK867" s="339"/>
      <c r="AL867" s="322"/>
      <c r="AM867" s="339"/>
      <c r="AN867" s="339"/>
      <c r="AO867" s="338"/>
    </row>
    <row r="868" spans="1:41" hidden="1">
      <c r="A868" s="321" t="s">
        <v>393</v>
      </c>
      <c r="B868" s="324"/>
      <c r="C868" s="323">
        <v>193927</v>
      </c>
      <c r="D868" s="323">
        <v>193927</v>
      </c>
      <c r="E868" s="339"/>
      <c r="F868" s="322"/>
      <c r="G868" s="339"/>
      <c r="H868" s="339"/>
      <c r="I868" s="338"/>
      <c r="J868" s="324"/>
      <c r="K868" s="338"/>
      <c r="L868" s="338"/>
      <c r="M868" s="339"/>
      <c r="N868" s="322"/>
      <c r="O868" s="339"/>
      <c r="P868" s="339"/>
      <c r="Q868" s="338"/>
      <c r="R868" s="324"/>
      <c r="S868" s="338"/>
      <c r="T868" s="338"/>
      <c r="U868" s="339"/>
      <c r="V868" s="322"/>
      <c r="W868" s="339"/>
      <c r="X868" s="339"/>
      <c r="Y868" s="338"/>
      <c r="Z868" s="324"/>
      <c r="AA868" s="338"/>
      <c r="AB868" s="338"/>
      <c r="AC868" s="339"/>
      <c r="AD868" s="322"/>
      <c r="AE868" s="325">
        <v>193927</v>
      </c>
      <c r="AF868" s="325">
        <v>193927</v>
      </c>
      <c r="AG868" s="338"/>
      <c r="AH868" s="324"/>
      <c r="AI868" s="338"/>
      <c r="AJ868" s="338"/>
      <c r="AK868" s="339"/>
      <c r="AL868" s="322"/>
      <c r="AM868" s="339"/>
      <c r="AN868" s="339"/>
      <c r="AO868" s="338"/>
    </row>
    <row r="869" spans="1:41" hidden="1">
      <c r="A869" s="321" t="s">
        <v>1406</v>
      </c>
      <c r="B869" s="324"/>
      <c r="C869" s="338"/>
      <c r="D869" s="338"/>
      <c r="E869" s="339"/>
      <c r="F869" s="322"/>
      <c r="G869" s="339"/>
      <c r="H869" s="339"/>
      <c r="I869" s="338"/>
      <c r="J869" s="324"/>
      <c r="K869" s="338"/>
      <c r="L869" s="338"/>
      <c r="M869" s="339"/>
      <c r="N869" s="322"/>
      <c r="O869" s="339"/>
      <c r="P869" s="339"/>
      <c r="Q869" s="338"/>
      <c r="R869" s="324"/>
      <c r="S869" s="338"/>
      <c r="T869" s="338"/>
      <c r="U869" s="339"/>
      <c r="V869" s="322"/>
      <c r="W869" s="339"/>
      <c r="X869" s="339"/>
      <c r="Y869" s="338"/>
      <c r="Z869" s="324"/>
      <c r="AA869" s="338"/>
      <c r="AB869" s="338"/>
      <c r="AC869" s="339"/>
      <c r="AD869" s="322"/>
      <c r="AE869" s="339"/>
      <c r="AF869" s="339"/>
      <c r="AG869" s="338"/>
      <c r="AH869" s="324"/>
      <c r="AI869" s="338"/>
      <c r="AJ869" s="338"/>
      <c r="AK869" s="339"/>
      <c r="AL869" s="322"/>
      <c r="AM869" s="339"/>
      <c r="AN869" s="339"/>
      <c r="AO869" s="338"/>
    </row>
    <row r="870" spans="1:41" hidden="1">
      <c r="A870" s="321" t="s">
        <v>485</v>
      </c>
      <c r="B870" s="324"/>
      <c r="C870" s="323">
        <v>27343</v>
      </c>
      <c r="D870" s="338"/>
      <c r="E870" s="592">
        <v>27343</v>
      </c>
      <c r="F870" s="322"/>
      <c r="G870" s="339"/>
      <c r="H870" s="339"/>
      <c r="I870" s="338"/>
      <c r="J870" s="324"/>
      <c r="K870" s="338"/>
      <c r="L870" s="338"/>
      <c r="M870" s="339"/>
      <c r="N870" s="322"/>
      <c r="O870" s="325">
        <v>27343</v>
      </c>
      <c r="P870" s="339"/>
      <c r="Q870" s="594">
        <v>27343</v>
      </c>
      <c r="R870" s="324"/>
      <c r="S870" s="338"/>
      <c r="T870" s="338"/>
      <c r="U870" s="339"/>
      <c r="V870" s="322"/>
      <c r="W870" s="339"/>
      <c r="X870" s="339"/>
      <c r="Y870" s="338"/>
      <c r="Z870" s="324"/>
      <c r="AA870" s="338"/>
      <c r="AB870" s="338"/>
      <c r="AC870" s="339"/>
      <c r="AD870" s="322"/>
      <c r="AE870" s="339"/>
      <c r="AF870" s="339"/>
      <c r="AG870" s="338"/>
      <c r="AH870" s="324"/>
      <c r="AI870" s="338"/>
      <c r="AJ870" s="338"/>
      <c r="AK870" s="339"/>
      <c r="AL870" s="322"/>
      <c r="AM870" s="339"/>
      <c r="AN870" s="339"/>
      <c r="AO870" s="338"/>
    </row>
    <row r="871" spans="1:41" hidden="1">
      <c r="A871" s="321" t="s">
        <v>844</v>
      </c>
      <c r="B871" s="324"/>
      <c r="C871" s="323">
        <v>21285</v>
      </c>
      <c r="D871" s="338"/>
      <c r="E871" s="592">
        <v>21285</v>
      </c>
      <c r="F871" s="322"/>
      <c r="G871" s="339"/>
      <c r="H871" s="339"/>
      <c r="I871" s="338"/>
      <c r="J871" s="324"/>
      <c r="K871" s="338"/>
      <c r="L871" s="338"/>
      <c r="M871" s="339"/>
      <c r="N871" s="322"/>
      <c r="O871" s="339"/>
      <c r="P871" s="339"/>
      <c r="Q871" s="338"/>
      <c r="R871" s="324"/>
      <c r="S871" s="338"/>
      <c r="T871" s="338"/>
      <c r="U871" s="339"/>
      <c r="V871" s="322"/>
      <c r="W871" s="339"/>
      <c r="X871" s="339"/>
      <c r="Y871" s="338"/>
      <c r="Z871" s="324"/>
      <c r="AA871" s="338"/>
      <c r="AB871" s="338"/>
      <c r="AC871" s="339"/>
      <c r="AD871" s="322"/>
      <c r="AE871" s="325">
        <v>21285</v>
      </c>
      <c r="AF871" s="339"/>
      <c r="AG871" s="594">
        <v>21285</v>
      </c>
      <c r="AH871" s="324"/>
      <c r="AI871" s="338"/>
      <c r="AJ871" s="338"/>
      <c r="AK871" s="339"/>
      <c r="AL871" s="322"/>
      <c r="AM871" s="339"/>
      <c r="AN871" s="339"/>
      <c r="AO871" s="338"/>
    </row>
    <row r="872" spans="1:41" hidden="1">
      <c r="A872" s="321" t="s">
        <v>1407</v>
      </c>
      <c r="B872" s="324"/>
      <c r="C872" s="323">
        <v>33000</v>
      </c>
      <c r="D872" s="338"/>
      <c r="E872" s="592">
        <v>33000</v>
      </c>
      <c r="F872" s="322"/>
      <c r="G872" s="339"/>
      <c r="H872" s="339"/>
      <c r="I872" s="338"/>
      <c r="J872" s="324"/>
      <c r="K872" s="338"/>
      <c r="L872" s="338"/>
      <c r="M872" s="339"/>
      <c r="N872" s="322"/>
      <c r="O872" s="325">
        <v>33000</v>
      </c>
      <c r="P872" s="339"/>
      <c r="Q872" s="594">
        <v>33000</v>
      </c>
      <c r="R872" s="324"/>
      <c r="S872" s="338"/>
      <c r="T872" s="338"/>
      <c r="U872" s="339"/>
      <c r="V872" s="322"/>
      <c r="W872" s="339"/>
      <c r="X872" s="339"/>
      <c r="Y872" s="338"/>
      <c r="Z872" s="324"/>
      <c r="AA872" s="338"/>
      <c r="AB872" s="338"/>
      <c r="AC872" s="339"/>
      <c r="AD872" s="322"/>
      <c r="AE872" s="339"/>
      <c r="AF872" s="339"/>
      <c r="AG872" s="338"/>
      <c r="AH872" s="324"/>
      <c r="AI872" s="338"/>
      <c r="AJ872" s="338"/>
      <c r="AK872" s="339"/>
      <c r="AL872" s="322"/>
      <c r="AM872" s="339"/>
      <c r="AN872" s="339"/>
      <c r="AO872" s="338"/>
    </row>
    <row r="873" spans="1:41" hidden="1">
      <c r="A873" s="321" t="s">
        <v>1408</v>
      </c>
      <c r="B873" s="324"/>
      <c r="C873" s="323">
        <v>975</v>
      </c>
      <c r="D873" s="338"/>
      <c r="E873" s="592">
        <v>975</v>
      </c>
      <c r="F873" s="322"/>
      <c r="G873" s="339"/>
      <c r="H873" s="339"/>
      <c r="I873" s="338"/>
      <c r="J873" s="324"/>
      <c r="K873" s="323">
        <v>975</v>
      </c>
      <c r="L873" s="338"/>
      <c r="M873" s="592">
        <v>975</v>
      </c>
      <c r="N873" s="322"/>
      <c r="O873" s="339"/>
      <c r="P873" s="339"/>
      <c r="Q873" s="338"/>
      <c r="R873" s="324"/>
      <c r="S873" s="338"/>
      <c r="T873" s="338"/>
      <c r="U873" s="339"/>
      <c r="V873" s="322"/>
      <c r="W873" s="339"/>
      <c r="X873" s="339"/>
      <c r="Y873" s="338"/>
      <c r="Z873" s="324"/>
      <c r="AA873" s="338"/>
      <c r="AB873" s="338"/>
      <c r="AC873" s="339"/>
      <c r="AD873" s="322"/>
      <c r="AE873" s="339"/>
      <c r="AF873" s="339"/>
      <c r="AG873" s="338"/>
      <c r="AH873" s="324"/>
      <c r="AI873" s="338"/>
      <c r="AJ873" s="338"/>
      <c r="AK873" s="339"/>
      <c r="AL873" s="322"/>
      <c r="AM873" s="339"/>
      <c r="AN873" s="339"/>
      <c r="AO873" s="338"/>
    </row>
    <row r="874" spans="1:41" hidden="1">
      <c r="A874" s="321" t="s">
        <v>782</v>
      </c>
      <c r="B874" s="324"/>
      <c r="C874" s="323">
        <v>139574.45000000001</v>
      </c>
      <c r="D874" s="338"/>
      <c r="E874" s="592">
        <v>139574.45000000001</v>
      </c>
      <c r="F874" s="322"/>
      <c r="G874" s="339"/>
      <c r="H874" s="339"/>
      <c r="I874" s="338"/>
      <c r="J874" s="324"/>
      <c r="K874" s="338"/>
      <c r="L874" s="338"/>
      <c r="M874" s="339"/>
      <c r="N874" s="322"/>
      <c r="O874" s="325">
        <v>139574.45000000001</v>
      </c>
      <c r="P874" s="339"/>
      <c r="Q874" s="594">
        <v>139574.45000000001</v>
      </c>
      <c r="R874" s="324"/>
      <c r="S874" s="338"/>
      <c r="T874" s="338"/>
      <c r="U874" s="339"/>
      <c r="V874" s="322"/>
      <c r="W874" s="339"/>
      <c r="X874" s="339"/>
      <c r="Y874" s="338"/>
      <c r="Z874" s="324"/>
      <c r="AA874" s="338"/>
      <c r="AB874" s="338"/>
      <c r="AC874" s="339"/>
      <c r="AD874" s="322"/>
      <c r="AE874" s="339"/>
      <c r="AF874" s="339"/>
      <c r="AG874" s="338"/>
      <c r="AH874" s="324"/>
      <c r="AI874" s="338"/>
      <c r="AJ874" s="338"/>
      <c r="AK874" s="339"/>
      <c r="AL874" s="322"/>
      <c r="AM874" s="339"/>
      <c r="AN874" s="339"/>
      <c r="AO874" s="338"/>
    </row>
    <row r="875" spans="1:41" hidden="1">
      <c r="A875" s="321" t="s">
        <v>847</v>
      </c>
      <c r="B875" s="324"/>
      <c r="C875" s="323">
        <v>325987.34000000003</v>
      </c>
      <c r="D875" s="338"/>
      <c r="E875" s="592">
        <v>325987.34000000003</v>
      </c>
      <c r="F875" s="322"/>
      <c r="G875" s="339"/>
      <c r="H875" s="339"/>
      <c r="I875" s="338"/>
      <c r="J875" s="324"/>
      <c r="K875" s="323">
        <v>58147.45</v>
      </c>
      <c r="L875" s="338"/>
      <c r="M875" s="592">
        <v>58147.45</v>
      </c>
      <c r="N875" s="322"/>
      <c r="O875" s="339"/>
      <c r="P875" s="339"/>
      <c r="Q875" s="338"/>
      <c r="R875" s="324"/>
      <c r="S875" s="338"/>
      <c r="T875" s="338"/>
      <c r="U875" s="339"/>
      <c r="V875" s="322"/>
      <c r="W875" s="339"/>
      <c r="X875" s="339"/>
      <c r="Y875" s="338"/>
      <c r="Z875" s="324"/>
      <c r="AA875" s="323">
        <v>267839.89</v>
      </c>
      <c r="AB875" s="338"/>
      <c r="AC875" s="592">
        <v>267839.89</v>
      </c>
      <c r="AD875" s="322"/>
      <c r="AE875" s="339"/>
      <c r="AF875" s="339"/>
      <c r="AG875" s="338"/>
      <c r="AH875" s="324"/>
      <c r="AI875" s="338"/>
      <c r="AJ875" s="338"/>
      <c r="AK875" s="339"/>
      <c r="AL875" s="322"/>
      <c r="AM875" s="339"/>
      <c r="AN875" s="339"/>
      <c r="AO875" s="338"/>
    </row>
    <row r="876" spans="1:41" hidden="1">
      <c r="A876" s="321" t="s">
        <v>848</v>
      </c>
      <c r="B876" s="324"/>
      <c r="C876" s="323">
        <v>34646.11</v>
      </c>
      <c r="D876" s="323">
        <v>28500</v>
      </c>
      <c r="E876" s="592">
        <v>6146.11</v>
      </c>
      <c r="F876" s="322"/>
      <c r="G876" s="339"/>
      <c r="H876" s="339"/>
      <c r="I876" s="338"/>
      <c r="J876" s="324"/>
      <c r="K876" s="338"/>
      <c r="L876" s="338"/>
      <c r="M876" s="339"/>
      <c r="N876" s="322"/>
      <c r="O876" s="339"/>
      <c r="P876" s="339"/>
      <c r="Q876" s="338"/>
      <c r="R876" s="324"/>
      <c r="S876" s="338"/>
      <c r="T876" s="338"/>
      <c r="U876" s="339"/>
      <c r="V876" s="322"/>
      <c r="W876" s="339"/>
      <c r="X876" s="339"/>
      <c r="Y876" s="338"/>
      <c r="Z876" s="324"/>
      <c r="AA876" s="338"/>
      <c r="AB876" s="338"/>
      <c r="AC876" s="339"/>
      <c r="AD876" s="322"/>
      <c r="AE876" s="325">
        <v>34646.11</v>
      </c>
      <c r="AF876" s="325">
        <v>28500</v>
      </c>
      <c r="AG876" s="594">
        <v>6146.11</v>
      </c>
      <c r="AH876" s="324"/>
      <c r="AI876" s="338"/>
      <c r="AJ876" s="338"/>
      <c r="AK876" s="339"/>
      <c r="AL876" s="322"/>
      <c r="AM876" s="339"/>
      <c r="AN876" s="339"/>
      <c r="AO876" s="338"/>
    </row>
    <row r="877" spans="1:41" hidden="1">
      <c r="A877" s="321" t="s">
        <v>1409</v>
      </c>
      <c r="B877" s="324"/>
      <c r="C877" s="323">
        <v>249.44</v>
      </c>
      <c r="D877" s="338"/>
      <c r="E877" s="592">
        <v>249.44</v>
      </c>
      <c r="F877" s="322"/>
      <c r="G877" s="339"/>
      <c r="H877" s="339"/>
      <c r="I877" s="338"/>
      <c r="J877" s="324"/>
      <c r="K877" s="338"/>
      <c r="L877" s="338"/>
      <c r="M877" s="339"/>
      <c r="N877" s="322"/>
      <c r="O877" s="325">
        <v>249.44</v>
      </c>
      <c r="P877" s="339"/>
      <c r="Q877" s="594">
        <v>249.44</v>
      </c>
      <c r="R877" s="324"/>
      <c r="S877" s="338"/>
      <c r="T877" s="338"/>
      <c r="U877" s="339"/>
      <c r="V877" s="322"/>
      <c r="W877" s="339"/>
      <c r="X877" s="339"/>
      <c r="Y877" s="338"/>
      <c r="Z877" s="324"/>
      <c r="AA877" s="338"/>
      <c r="AB877" s="338"/>
      <c r="AC877" s="339"/>
      <c r="AD877" s="322"/>
      <c r="AE877" s="339"/>
      <c r="AF877" s="339"/>
      <c r="AG877" s="338"/>
      <c r="AH877" s="324"/>
      <c r="AI877" s="338"/>
      <c r="AJ877" s="338"/>
      <c r="AK877" s="339"/>
      <c r="AL877" s="322"/>
      <c r="AM877" s="339"/>
      <c r="AN877" s="339"/>
      <c r="AO877" s="338"/>
    </row>
    <row r="878" spans="1:41" hidden="1">
      <c r="A878" s="321" t="s">
        <v>849</v>
      </c>
      <c r="B878" s="324"/>
      <c r="C878" s="323">
        <v>130</v>
      </c>
      <c r="D878" s="338"/>
      <c r="E878" s="592">
        <v>130</v>
      </c>
      <c r="F878" s="322"/>
      <c r="G878" s="339"/>
      <c r="H878" s="339"/>
      <c r="I878" s="338"/>
      <c r="J878" s="324"/>
      <c r="K878" s="338"/>
      <c r="L878" s="338"/>
      <c r="M878" s="339"/>
      <c r="N878" s="322"/>
      <c r="O878" s="339"/>
      <c r="P878" s="339"/>
      <c r="Q878" s="338"/>
      <c r="R878" s="324"/>
      <c r="S878" s="338"/>
      <c r="T878" s="338"/>
      <c r="U878" s="339"/>
      <c r="V878" s="322"/>
      <c r="W878" s="339"/>
      <c r="X878" s="339"/>
      <c r="Y878" s="338"/>
      <c r="Z878" s="324"/>
      <c r="AA878" s="338"/>
      <c r="AB878" s="338"/>
      <c r="AC878" s="339"/>
      <c r="AD878" s="322"/>
      <c r="AE878" s="325">
        <v>130</v>
      </c>
      <c r="AF878" s="339"/>
      <c r="AG878" s="594">
        <v>130</v>
      </c>
      <c r="AH878" s="324"/>
      <c r="AI878" s="338"/>
      <c r="AJ878" s="338"/>
      <c r="AK878" s="339"/>
      <c r="AL878" s="322"/>
      <c r="AM878" s="339"/>
      <c r="AN878" s="339"/>
      <c r="AO878" s="338"/>
    </row>
    <row r="879" spans="1:41" hidden="1">
      <c r="A879" s="321" t="s">
        <v>850</v>
      </c>
      <c r="B879" s="324"/>
      <c r="C879" s="711">
        <v>1000</v>
      </c>
      <c r="D879" s="338"/>
      <c r="E879" s="737">
        <v>1000</v>
      </c>
      <c r="F879" s="322"/>
      <c r="G879" s="339"/>
      <c r="H879" s="339"/>
      <c r="I879" s="338"/>
      <c r="J879" s="324"/>
      <c r="K879" s="338"/>
      <c r="L879" s="338"/>
      <c r="M879" s="339"/>
      <c r="N879" s="322"/>
      <c r="O879" s="339"/>
      <c r="P879" s="339"/>
      <c r="Q879" s="338"/>
      <c r="R879" s="324"/>
      <c r="S879" s="338"/>
      <c r="T879" s="338"/>
      <c r="U879" s="339"/>
      <c r="V879" s="322"/>
      <c r="W879" s="339"/>
      <c r="X879" s="339"/>
      <c r="Y879" s="338"/>
      <c r="Z879" s="324"/>
      <c r="AA879" s="338"/>
      <c r="AB879" s="338"/>
      <c r="AC879" s="339"/>
      <c r="AD879" s="322"/>
      <c r="AE879" s="339"/>
      <c r="AF879" s="339"/>
      <c r="AG879" s="338"/>
      <c r="AH879" s="324"/>
      <c r="AI879" s="338"/>
      <c r="AJ879" s="338"/>
      <c r="AK879" s="339"/>
      <c r="AL879" s="322"/>
      <c r="AM879" s="714">
        <v>1000</v>
      </c>
      <c r="AN879" s="339"/>
      <c r="AO879" s="735">
        <v>1000</v>
      </c>
    </row>
    <row r="880" spans="1:41" hidden="1">
      <c r="A880" s="321" t="s">
        <v>605</v>
      </c>
      <c r="B880" s="324"/>
      <c r="C880" s="323">
        <v>39590.97</v>
      </c>
      <c r="D880" s="711">
        <v>116825.19</v>
      </c>
      <c r="E880" s="588">
        <v>77234.22</v>
      </c>
      <c r="F880" s="322"/>
      <c r="G880" s="339"/>
      <c r="H880" s="339"/>
      <c r="I880" s="338"/>
      <c r="J880" s="324"/>
      <c r="K880" s="338"/>
      <c r="L880" s="338"/>
      <c r="M880" s="339"/>
      <c r="N880" s="322"/>
      <c r="O880" s="339"/>
      <c r="P880" s="339"/>
      <c r="Q880" s="338"/>
      <c r="R880" s="324"/>
      <c r="S880" s="338"/>
      <c r="T880" s="338"/>
      <c r="U880" s="339"/>
      <c r="V880" s="322"/>
      <c r="W880" s="325">
        <v>235</v>
      </c>
      <c r="X880" s="339"/>
      <c r="Y880" s="594">
        <v>235</v>
      </c>
      <c r="Z880" s="324"/>
      <c r="AA880" s="338"/>
      <c r="AB880" s="338"/>
      <c r="AC880" s="339"/>
      <c r="AD880" s="322"/>
      <c r="AE880" s="339"/>
      <c r="AF880" s="339"/>
      <c r="AG880" s="338"/>
      <c r="AH880" s="324"/>
      <c r="AI880" s="338"/>
      <c r="AJ880" s="338"/>
      <c r="AK880" s="339"/>
      <c r="AL880" s="322"/>
      <c r="AM880" s="714">
        <v>39355.97</v>
      </c>
      <c r="AN880" s="714">
        <v>116825.19</v>
      </c>
      <c r="AO880" s="712">
        <v>77469.22</v>
      </c>
    </row>
    <row r="881" spans="1:41" hidden="1">
      <c r="A881" s="321" t="s">
        <v>851</v>
      </c>
      <c r="B881" s="324"/>
      <c r="C881" s="323">
        <v>600</v>
      </c>
      <c r="D881" s="338"/>
      <c r="E881" s="592">
        <v>600</v>
      </c>
      <c r="F881" s="322"/>
      <c r="G881" s="339"/>
      <c r="H881" s="339"/>
      <c r="I881" s="338"/>
      <c r="J881" s="324"/>
      <c r="K881" s="338"/>
      <c r="L881" s="338"/>
      <c r="M881" s="339"/>
      <c r="N881" s="322"/>
      <c r="O881" s="339"/>
      <c r="P881" s="339"/>
      <c r="Q881" s="338"/>
      <c r="R881" s="324"/>
      <c r="S881" s="338"/>
      <c r="T881" s="338"/>
      <c r="U881" s="339"/>
      <c r="V881" s="322"/>
      <c r="W881" s="339"/>
      <c r="X881" s="339"/>
      <c r="Y881" s="338"/>
      <c r="Z881" s="324"/>
      <c r="AA881" s="323">
        <v>600</v>
      </c>
      <c r="AB881" s="338"/>
      <c r="AC881" s="592">
        <v>600</v>
      </c>
      <c r="AD881" s="322"/>
      <c r="AE881" s="339"/>
      <c r="AF881" s="339"/>
      <c r="AG881" s="338"/>
      <c r="AH881" s="324"/>
      <c r="AI881" s="338"/>
      <c r="AJ881" s="338"/>
      <c r="AK881" s="339"/>
      <c r="AL881" s="322"/>
      <c r="AM881" s="339"/>
      <c r="AN881" s="339"/>
      <c r="AO881" s="338"/>
    </row>
    <row r="882" spans="1:41" hidden="1">
      <c r="A882" s="321" t="s">
        <v>852</v>
      </c>
      <c r="B882" s="324"/>
      <c r="C882" s="323">
        <v>6439.86</v>
      </c>
      <c r="D882" s="338"/>
      <c r="E882" s="592">
        <v>6439.86</v>
      </c>
      <c r="F882" s="322"/>
      <c r="G882" s="339"/>
      <c r="H882" s="339"/>
      <c r="I882" s="338"/>
      <c r="J882" s="324"/>
      <c r="K882" s="338"/>
      <c r="L882" s="338"/>
      <c r="M882" s="339"/>
      <c r="N882" s="322"/>
      <c r="O882" s="339"/>
      <c r="P882" s="339"/>
      <c r="Q882" s="338"/>
      <c r="R882" s="324"/>
      <c r="S882" s="323">
        <v>677.88</v>
      </c>
      <c r="T882" s="338"/>
      <c r="U882" s="592">
        <v>677.88</v>
      </c>
      <c r="V882" s="322"/>
      <c r="W882" s="339"/>
      <c r="X882" s="339"/>
      <c r="Y882" s="338"/>
      <c r="Z882" s="324"/>
      <c r="AA882" s="338"/>
      <c r="AB882" s="338"/>
      <c r="AC882" s="339"/>
      <c r="AD882" s="322"/>
      <c r="AE882" s="339"/>
      <c r="AF882" s="339"/>
      <c r="AG882" s="338"/>
      <c r="AH882" s="324"/>
      <c r="AI882" s="338"/>
      <c r="AJ882" s="338"/>
      <c r="AK882" s="339"/>
      <c r="AL882" s="322"/>
      <c r="AM882" s="714">
        <v>5761.98</v>
      </c>
      <c r="AN882" s="339"/>
      <c r="AO882" s="735">
        <v>5761.98</v>
      </c>
    </row>
    <row r="883" spans="1:41" hidden="1">
      <c r="A883" s="321" t="s">
        <v>1410</v>
      </c>
      <c r="B883" s="324"/>
      <c r="C883" s="323">
        <v>16400</v>
      </c>
      <c r="D883" s="338"/>
      <c r="E883" s="592">
        <v>16400</v>
      </c>
      <c r="F883" s="322"/>
      <c r="G883" s="339"/>
      <c r="H883" s="339"/>
      <c r="I883" s="338"/>
      <c r="J883" s="324"/>
      <c r="K883" s="338"/>
      <c r="L883" s="338"/>
      <c r="M883" s="339"/>
      <c r="N883" s="322"/>
      <c r="O883" s="339"/>
      <c r="P883" s="339"/>
      <c r="Q883" s="338"/>
      <c r="R883" s="324"/>
      <c r="S883" s="338"/>
      <c r="T883" s="338"/>
      <c r="U883" s="339"/>
      <c r="V883" s="322"/>
      <c r="W883" s="339"/>
      <c r="X883" s="339"/>
      <c r="Y883" s="338"/>
      <c r="Z883" s="324"/>
      <c r="AA883" s="338"/>
      <c r="AB883" s="338"/>
      <c r="AC883" s="339"/>
      <c r="AD883" s="322"/>
      <c r="AE883" s="325">
        <v>16400</v>
      </c>
      <c r="AF883" s="339"/>
      <c r="AG883" s="594">
        <v>16400</v>
      </c>
      <c r="AH883" s="324"/>
      <c r="AI883" s="338"/>
      <c r="AJ883" s="338"/>
      <c r="AK883" s="339"/>
      <c r="AL883" s="322"/>
      <c r="AM883" s="339"/>
      <c r="AN883" s="339"/>
      <c r="AO883" s="338"/>
    </row>
    <row r="884" spans="1:41" hidden="1">
      <c r="A884" s="321" t="s">
        <v>1411</v>
      </c>
      <c r="B884" s="324"/>
      <c r="C884" s="323">
        <v>130</v>
      </c>
      <c r="D884" s="338"/>
      <c r="E884" s="592">
        <v>130</v>
      </c>
      <c r="F884" s="322"/>
      <c r="G884" s="339"/>
      <c r="H884" s="339"/>
      <c r="I884" s="338"/>
      <c r="J884" s="324"/>
      <c r="K884" s="323">
        <v>130</v>
      </c>
      <c r="L884" s="338"/>
      <c r="M884" s="592">
        <v>130</v>
      </c>
      <c r="N884" s="322"/>
      <c r="O884" s="339"/>
      <c r="P884" s="339"/>
      <c r="Q884" s="338"/>
      <c r="R884" s="324"/>
      <c r="S884" s="338"/>
      <c r="T884" s="338"/>
      <c r="U884" s="339"/>
      <c r="V884" s="322"/>
      <c r="W884" s="339"/>
      <c r="X884" s="339"/>
      <c r="Y884" s="338"/>
      <c r="Z884" s="324"/>
      <c r="AA884" s="338"/>
      <c r="AB884" s="338"/>
      <c r="AC884" s="339"/>
      <c r="AD884" s="322"/>
      <c r="AE884" s="339"/>
      <c r="AF884" s="339"/>
      <c r="AG884" s="338"/>
      <c r="AH884" s="324"/>
      <c r="AI884" s="338"/>
      <c r="AJ884" s="338"/>
      <c r="AK884" s="339"/>
      <c r="AL884" s="322"/>
      <c r="AM884" s="339"/>
      <c r="AN884" s="339"/>
      <c r="AO884" s="338"/>
    </row>
    <row r="885" spans="1:41" hidden="1">
      <c r="A885" s="321" t="s">
        <v>1054</v>
      </c>
      <c r="B885" s="324"/>
      <c r="C885" s="323">
        <v>2280</v>
      </c>
      <c r="D885" s="338"/>
      <c r="E885" s="592">
        <v>2280</v>
      </c>
      <c r="F885" s="322"/>
      <c r="G885" s="339"/>
      <c r="H885" s="339"/>
      <c r="I885" s="338"/>
      <c r="J885" s="324"/>
      <c r="K885" s="323">
        <v>250</v>
      </c>
      <c r="L885" s="338"/>
      <c r="M885" s="592">
        <v>250</v>
      </c>
      <c r="N885" s="322"/>
      <c r="O885" s="339"/>
      <c r="P885" s="339"/>
      <c r="Q885" s="338"/>
      <c r="R885" s="324"/>
      <c r="S885" s="338"/>
      <c r="T885" s="338"/>
      <c r="U885" s="339"/>
      <c r="V885" s="322"/>
      <c r="W885" s="339"/>
      <c r="X885" s="339"/>
      <c r="Y885" s="338"/>
      <c r="Z885" s="324"/>
      <c r="AA885" s="323">
        <v>2030</v>
      </c>
      <c r="AB885" s="338"/>
      <c r="AC885" s="592">
        <v>2030</v>
      </c>
      <c r="AD885" s="322"/>
      <c r="AE885" s="339"/>
      <c r="AF885" s="339"/>
      <c r="AG885" s="338"/>
      <c r="AH885" s="324"/>
      <c r="AI885" s="338"/>
      <c r="AJ885" s="338"/>
      <c r="AK885" s="339"/>
      <c r="AL885" s="322"/>
      <c r="AM885" s="339"/>
      <c r="AN885" s="339"/>
      <c r="AO885" s="338"/>
    </row>
    <row r="886" spans="1:41" hidden="1">
      <c r="A886" s="321" t="s">
        <v>854</v>
      </c>
      <c r="B886" s="324"/>
      <c r="C886" s="323">
        <v>2500</v>
      </c>
      <c r="D886" s="338"/>
      <c r="E886" s="592">
        <v>2500</v>
      </c>
      <c r="F886" s="322"/>
      <c r="G886" s="339"/>
      <c r="H886" s="339"/>
      <c r="I886" s="338"/>
      <c r="J886" s="324"/>
      <c r="K886" s="338"/>
      <c r="L886" s="338"/>
      <c r="M886" s="339"/>
      <c r="N886" s="322"/>
      <c r="O886" s="325">
        <v>2500</v>
      </c>
      <c r="P886" s="339"/>
      <c r="Q886" s="594">
        <v>2500</v>
      </c>
      <c r="R886" s="324"/>
      <c r="S886" s="338"/>
      <c r="T886" s="338"/>
      <c r="U886" s="339"/>
      <c r="V886" s="322"/>
      <c r="W886" s="339"/>
      <c r="X886" s="339"/>
      <c r="Y886" s="338"/>
      <c r="Z886" s="324"/>
      <c r="AA886" s="338"/>
      <c r="AB886" s="338"/>
      <c r="AC886" s="339"/>
      <c r="AD886" s="322"/>
      <c r="AE886" s="339"/>
      <c r="AF886" s="339"/>
      <c r="AG886" s="338"/>
      <c r="AH886" s="324"/>
      <c r="AI886" s="338"/>
      <c r="AJ886" s="338"/>
      <c r="AK886" s="339"/>
      <c r="AL886" s="322"/>
      <c r="AM886" s="339"/>
      <c r="AN886" s="339"/>
      <c r="AO886" s="338"/>
    </row>
    <row r="887" spans="1:41" hidden="1">
      <c r="A887" s="321" t="s">
        <v>855</v>
      </c>
      <c r="B887" s="324"/>
      <c r="C887" s="323">
        <v>2500</v>
      </c>
      <c r="D887" s="338"/>
      <c r="E887" s="592">
        <v>2500</v>
      </c>
      <c r="F887" s="322"/>
      <c r="G887" s="339"/>
      <c r="H887" s="339"/>
      <c r="I887" s="338"/>
      <c r="J887" s="324"/>
      <c r="K887" s="338"/>
      <c r="L887" s="338"/>
      <c r="M887" s="339"/>
      <c r="N887" s="322"/>
      <c r="O887" s="339"/>
      <c r="P887" s="339"/>
      <c r="Q887" s="338"/>
      <c r="R887" s="324"/>
      <c r="S887" s="338"/>
      <c r="T887" s="338"/>
      <c r="U887" s="339"/>
      <c r="V887" s="322"/>
      <c r="W887" s="339"/>
      <c r="X887" s="339"/>
      <c r="Y887" s="338"/>
      <c r="Z887" s="324"/>
      <c r="AA887" s="338"/>
      <c r="AB887" s="338"/>
      <c r="AC887" s="339"/>
      <c r="AD887" s="322"/>
      <c r="AE887" s="325">
        <v>2500</v>
      </c>
      <c r="AF887" s="339"/>
      <c r="AG887" s="594">
        <v>2500</v>
      </c>
      <c r="AH887" s="324"/>
      <c r="AI887" s="338"/>
      <c r="AJ887" s="338"/>
      <c r="AK887" s="339"/>
      <c r="AL887" s="322"/>
      <c r="AM887" s="339"/>
      <c r="AN887" s="339"/>
      <c r="AO887" s="338"/>
    </row>
    <row r="888" spans="1:41" hidden="1">
      <c r="A888" s="321" t="s">
        <v>1412</v>
      </c>
      <c r="B888" s="324"/>
      <c r="C888" s="323">
        <v>12648</v>
      </c>
      <c r="D888" s="338"/>
      <c r="E888" s="592">
        <v>12648</v>
      </c>
      <c r="F888" s="322"/>
      <c r="G888" s="339"/>
      <c r="H888" s="339"/>
      <c r="I888" s="338"/>
      <c r="J888" s="324"/>
      <c r="K888" s="338"/>
      <c r="L888" s="338"/>
      <c r="M888" s="339"/>
      <c r="N888" s="322"/>
      <c r="O888" s="339"/>
      <c r="P888" s="339"/>
      <c r="Q888" s="338"/>
      <c r="R888" s="324"/>
      <c r="S888" s="338"/>
      <c r="T888" s="338"/>
      <c r="U888" s="339"/>
      <c r="V888" s="322"/>
      <c r="W888" s="339"/>
      <c r="X888" s="339"/>
      <c r="Y888" s="338"/>
      <c r="Z888" s="324"/>
      <c r="AA888" s="338"/>
      <c r="AB888" s="338"/>
      <c r="AC888" s="339"/>
      <c r="AD888" s="322"/>
      <c r="AE888" s="325">
        <v>12648</v>
      </c>
      <c r="AF888" s="339"/>
      <c r="AG888" s="594">
        <v>12648</v>
      </c>
      <c r="AH888" s="324"/>
      <c r="AI888" s="338"/>
      <c r="AJ888" s="338"/>
      <c r="AK888" s="339"/>
      <c r="AL888" s="322"/>
      <c r="AM888" s="339"/>
      <c r="AN888" s="339"/>
      <c r="AO888" s="338"/>
    </row>
    <row r="889" spans="1:41" hidden="1">
      <c r="A889" s="321" t="s">
        <v>1413</v>
      </c>
      <c r="B889" s="324"/>
      <c r="C889" s="711">
        <v>6500</v>
      </c>
      <c r="D889" s="338"/>
      <c r="E889" s="737">
        <v>6500</v>
      </c>
      <c r="F889" s="322"/>
      <c r="G889" s="339"/>
      <c r="H889" s="339"/>
      <c r="I889" s="338"/>
      <c r="J889" s="324"/>
      <c r="K889" s="338"/>
      <c r="L889" s="338"/>
      <c r="M889" s="339"/>
      <c r="N889" s="322"/>
      <c r="O889" s="339"/>
      <c r="P889" s="339"/>
      <c r="Q889" s="338"/>
      <c r="R889" s="324"/>
      <c r="S889" s="338"/>
      <c r="T889" s="338"/>
      <c r="U889" s="339"/>
      <c r="V889" s="322"/>
      <c r="W889" s="339"/>
      <c r="X889" s="339"/>
      <c r="Y889" s="338"/>
      <c r="Z889" s="324"/>
      <c r="AA889" s="338"/>
      <c r="AB889" s="338"/>
      <c r="AC889" s="339"/>
      <c r="AD889" s="322"/>
      <c r="AE889" s="339"/>
      <c r="AF889" s="339"/>
      <c r="AG889" s="338"/>
      <c r="AH889" s="324"/>
      <c r="AI889" s="338"/>
      <c r="AJ889" s="338"/>
      <c r="AK889" s="339"/>
      <c r="AL889" s="322"/>
      <c r="AM889" s="714">
        <v>6500</v>
      </c>
      <c r="AN889" s="339"/>
      <c r="AO889" s="735">
        <v>6500</v>
      </c>
    </row>
    <row r="890" spans="1:41" hidden="1">
      <c r="A890" s="321" t="s">
        <v>1905</v>
      </c>
      <c r="B890" s="324"/>
      <c r="C890" s="323">
        <v>1500</v>
      </c>
      <c r="D890" s="338"/>
      <c r="E890" s="592">
        <v>1500</v>
      </c>
      <c r="F890" s="322"/>
      <c r="G890" s="339"/>
      <c r="H890" s="339"/>
      <c r="I890" s="338"/>
      <c r="J890" s="324"/>
      <c r="K890" s="338"/>
      <c r="L890" s="338"/>
      <c r="M890" s="339"/>
      <c r="N890" s="322"/>
      <c r="O890" s="325">
        <v>1500</v>
      </c>
      <c r="P890" s="339"/>
      <c r="Q890" s="594">
        <v>1500</v>
      </c>
      <c r="R890" s="324"/>
      <c r="S890" s="338"/>
      <c r="T890" s="338"/>
      <c r="U890" s="339"/>
      <c r="V890" s="322"/>
      <c r="W890" s="339"/>
      <c r="X890" s="339"/>
      <c r="Y890" s="338"/>
      <c r="Z890" s="324"/>
      <c r="AA890" s="338"/>
      <c r="AB890" s="338"/>
      <c r="AC890" s="339"/>
      <c r="AD890" s="322"/>
      <c r="AE890" s="339"/>
      <c r="AF890" s="339"/>
      <c r="AG890" s="338"/>
      <c r="AH890" s="324"/>
      <c r="AI890" s="338"/>
      <c r="AJ890" s="338"/>
      <c r="AK890" s="339"/>
      <c r="AL890" s="322"/>
      <c r="AM890" s="339"/>
      <c r="AN890" s="339"/>
      <c r="AO890" s="338"/>
    </row>
    <row r="891" spans="1:41" hidden="1">
      <c r="A891" s="480" t="s">
        <v>384</v>
      </c>
      <c r="B891" s="324"/>
      <c r="C891" s="338"/>
      <c r="D891" s="338"/>
      <c r="E891" s="339"/>
      <c r="F891" s="322"/>
      <c r="G891" s="339"/>
      <c r="H891" s="339"/>
      <c r="I891" s="338"/>
      <c r="J891" s="324"/>
      <c r="K891" s="338"/>
      <c r="L891" s="338"/>
      <c r="M891" s="339"/>
      <c r="N891" s="322"/>
      <c r="O891" s="339"/>
      <c r="P891" s="339"/>
      <c r="Q891" s="338"/>
      <c r="R891" s="324"/>
      <c r="S891" s="338"/>
      <c r="T891" s="338"/>
      <c r="U891" s="339"/>
      <c r="V891" s="322"/>
      <c r="W891" s="339"/>
      <c r="X891" s="339"/>
      <c r="Y891" s="338"/>
      <c r="Z891" s="324"/>
      <c r="AA891" s="338"/>
      <c r="AB891" s="338"/>
      <c r="AC891" s="339"/>
      <c r="AD891" s="322"/>
      <c r="AE891" s="339"/>
      <c r="AF891" s="339"/>
      <c r="AG891" s="338"/>
      <c r="AH891" s="324"/>
      <c r="AI891" s="338"/>
      <c r="AJ891" s="338"/>
      <c r="AK891" s="339"/>
      <c r="AL891" s="322"/>
      <c r="AM891" s="339"/>
      <c r="AN891" s="339"/>
      <c r="AO891" s="338"/>
    </row>
    <row r="892" spans="1:41" hidden="1">
      <c r="A892" s="321" t="s">
        <v>859</v>
      </c>
      <c r="B892" s="324"/>
      <c r="C892" s="323">
        <v>600</v>
      </c>
      <c r="D892" s="338"/>
      <c r="E892" s="592">
        <v>600</v>
      </c>
      <c r="F892" s="322"/>
      <c r="G892" s="339"/>
      <c r="H892" s="339"/>
      <c r="I892" s="338"/>
      <c r="J892" s="324"/>
      <c r="K892" s="338"/>
      <c r="L892" s="338"/>
      <c r="M892" s="339"/>
      <c r="N892" s="322"/>
      <c r="O892" s="339"/>
      <c r="P892" s="339"/>
      <c r="Q892" s="338"/>
      <c r="R892" s="324"/>
      <c r="S892" s="338"/>
      <c r="T892" s="338"/>
      <c r="U892" s="339"/>
      <c r="V892" s="322"/>
      <c r="W892" s="339"/>
      <c r="X892" s="339"/>
      <c r="Y892" s="338"/>
      <c r="Z892" s="324"/>
      <c r="AA892" s="323">
        <v>600</v>
      </c>
      <c r="AB892" s="338"/>
      <c r="AC892" s="592">
        <v>600</v>
      </c>
      <c r="AD892" s="322"/>
      <c r="AE892" s="339"/>
      <c r="AF892" s="339"/>
      <c r="AG892" s="338"/>
      <c r="AH892" s="324"/>
      <c r="AI892" s="338"/>
      <c r="AJ892" s="338"/>
      <c r="AK892" s="339"/>
      <c r="AL892" s="322"/>
      <c r="AM892" s="339"/>
      <c r="AN892" s="339"/>
      <c r="AO892" s="338"/>
    </row>
    <row r="893" spans="1:41" hidden="1">
      <c r="A893" s="321" t="s">
        <v>860</v>
      </c>
      <c r="B893" s="324"/>
      <c r="C893" s="323">
        <v>319.55</v>
      </c>
      <c r="D893" s="323">
        <v>350.26</v>
      </c>
      <c r="E893" s="588">
        <v>30.71</v>
      </c>
      <c r="F893" s="322"/>
      <c r="G893" s="339"/>
      <c r="H893" s="339"/>
      <c r="I893" s="338"/>
      <c r="J893" s="324"/>
      <c r="K893" s="338"/>
      <c r="L893" s="338"/>
      <c r="M893" s="339"/>
      <c r="N893" s="322"/>
      <c r="O893" s="339"/>
      <c r="P893" s="339"/>
      <c r="Q893" s="338"/>
      <c r="R893" s="324"/>
      <c r="S893" s="323">
        <v>49.99</v>
      </c>
      <c r="T893" s="323">
        <v>39.880000000000003</v>
      </c>
      <c r="U893" s="592">
        <v>10.11</v>
      </c>
      <c r="V893" s="322"/>
      <c r="W893" s="339"/>
      <c r="X893" s="339"/>
      <c r="Y893" s="338"/>
      <c r="Z893" s="324"/>
      <c r="AA893" s="338"/>
      <c r="AB893" s="338"/>
      <c r="AC893" s="339"/>
      <c r="AD893" s="322"/>
      <c r="AE893" s="339"/>
      <c r="AF893" s="339"/>
      <c r="AG893" s="338"/>
      <c r="AH893" s="324"/>
      <c r="AI893" s="338"/>
      <c r="AJ893" s="338"/>
      <c r="AK893" s="339"/>
      <c r="AL893" s="322"/>
      <c r="AM893" s="714">
        <v>269.56</v>
      </c>
      <c r="AN893" s="714">
        <v>310.38</v>
      </c>
      <c r="AO893" s="712">
        <v>40.82</v>
      </c>
    </row>
    <row r="894" spans="1:41" hidden="1">
      <c r="A894" s="321" t="s">
        <v>606</v>
      </c>
      <c r="B894" s="324"/>
      <c r="C894" s="323">
        <v>270.69099999999997</v>
      </c>
      <c r="D894" s="323">
        <v>211.54</v>
      </c>
      <c r="E894" s="592">
        <v>59.151000000000003</v>
      </c>
      <c r="F894" s="322"/>
      <c r="G894" s="339"/>
      <c r="H894" s="339"/>
      <c r="I894" s="338"/>
      <c r="J894" s="324"/>
      <c r="K894" s="338"/>
      <c r="L894" s="338"/>
      <c r="M894" s="339"/>
      <c r="N894" s="322"/>
      <c r="O894" s="325">
        <v>270.69099999999997</v>
      </c>
      <c r="P894" s="325">
        <v>211.54</v>
      </c>
      <c r="Q894" s="594">
        <v>59.151000000000003</v>
      </c>
      <c r="R894" s="324"/>
      <c r="S894" s="338"/>
      <c r="T894" s="338"/>
      <c r="U894" s="339"/>
      <c r="V894" s="322"/>
      <c r="W894" s="339"/>
      <c r="X894" s="339"/>
      <c r="Y894" s="338"/>
      <c r="Z894" s="324"/>
      <c r="AA894" s="338"/>
      <c r="AB894" s="338"/>
      <c r="AC894" s="339"/>
      <c r="AD894" s="322"/>
      <c r="AE894" s="339"/>
      <c r="AF894" s="339"/>
      <c r="AG894" s="338"/>
      <c r="AH894" s="324"/>
      <c r="AI894" s="338"/>
      <c r="AJ894" s="338"/>
      <c r="AK894" s="339"/>
      <c r="AL894" s="322"/>
      <c r="AM894" s="339"/>
      <c r="AN894" s="339"/>
      <c r="AO894" s="338"/>
    </row>
    <row r="895" spans="1:41" hidden="1">
      <c r="A895" s="321" t="s">
        <v>1414</v>
      </c>
      <c r="B895" s="324"/>
      <c r="C895" s="323">
        <v>4500</v>
      </c>
      <c r="D895" s="338"/>
      <c r="E895" s="592">
        <v>4500</v>
      </c>
      <c r="F895" s="322"/>
      <c r="G895" s="339"/>
      <c r="H895" s="339"/>
      <c r="I895" s="338"/>
      <c r="J895" s="324"/>
      <c r="K895" s="338"/>
      <c r="L895" s="338"/>
      <c r="M895" s="339"/>
      <c r="N895" s="322"/>
      <c r="O895" s="325">
        <v>4500</v>
      </c>
      <c r="P895" s="339"/>
      <c r="Q895" s="594">
        <v>4500</v>
      </c>
      <c r="R895" s="324"/>
      <c r="S895" s="338"/>
      <c r="T895" s="338"/>
      <c r="U895" s="339"/>
      <c r="V895" s="322"/>
      <c r="W895" s="339"/>
      <c r="X895" s="339"/>
      <c r="Y895" s="338"/>
      <c r="Z895" s="324"/>
      <c r="AA895" s="338"/>
      <c r="AB895" s="338"/>
      <c r="AC895" s="339"/>
      <c r="AD895" s="322"/>
      <c r="AE895" s="339"/>
      <c r="AF895" s="339"/>
      <c r="AG895" s="338"/>
      <c r="AH895" s="324"/>
      <c r="AI895" s="338"/>
      <c r="AJ895" s="338"/>
      <c r="AK895" s="339"/>
      <c r="AL895" s="322"/>
      <c r="AM895" s="339"/>
      <c r="AN895" s="339"/>
      <c r="AO895" s="338"/>
    </row>
    <row r="896" spans="1:41" hidden="1">
      <c r="A896" s="321" t="s">
        <v>861</v>
      </c>
      <c r="B896" s="324"/>
      <c r="C896" s="323">
        <v>371992</v>
      </c>
      <c r="D896" s="338"/>
      <c r="E896" s="592">
        <v>371992</v>
      </c>
      <c r="F896" s="322"/>
      <c r="G896" s="339"/>
      <c r="H896" s="339"/>
      <c r="I896" s="338"/>
      <c r="J896" s="324"/>
      <c r="K896" s="338"/>
      <c r="L896" s="338"/>
      <c r="M896" s="339"/>
      <c r="N896" s="322"/>
      <c r="O896" s="339"/>
      <c r="P896" s="339"/>
      <c r="Q896" s="338"/>
      <c r="R896" s="324"/>
      <c r="S896" s="323">
        <v>66133</v>
      </c>
      <c r="T896" s="338"/>
      <c r="U896" s="592">
        <v>66133</v>
      </c>
      <c r="V896" s="322"/>
      <c r="W896" s="339"/>
      <c r="X896" s="339"/>
      <c r="Y896" s="338"/>
      <c r="Z896" s="324"/>
      <c r="AA896" s="338"/>
      <c r="AB896" s="338"/>
      <c r="AC896" s="339"/>
      <c r="AD896" s="322"/>
      <c r="AE896" s="339"/>
      <c r="AF896" s="339"/>
      <c r="AG896" s="338"/>
      <c r="AH896" s="324"/>
      <c r="AI896" s="338"/>
      <c r="AJ896" s="338"/>
      <c r="AK896" s="339"/>
      <c r="AL896" s="322"/>
      <c r="AM896" s="714">
        <v>305859</v>
      </c>
      <c r="AN896" s="339"/>
      <c r="AO896" s="735">
        <v>305859</v>
      </c>
    </row>
    <row r="897" spans="1:41" hidden="1">
      <c r="A897" s="321" t="s">
        <v>1415</v>
      </c>
      <c r="B897" s="324"/>
      <c r="C897" s="338"/>
      <c r="D897" s="338"/>
      <c r="E897" s="339"/>
      <c r="F897" s="322"/>
      <c r="G897" s="339"/>
      <c r="H897" s="339"/>
      <c r="I897" s="338"/>
      <c r="J897" s="324"/>
      <c r="K897" s="338"/>
      <c r="L897" s="338"/>
      <c r="M897" s="339"/>
      <c r="N897" s="322"/>
      <c r="O897" s="339"/>
      <c r="P897" s="339"/>
      <c r="Q897" s="338"/>
      <c r="R897" s="324"/>
      <c r="S897" s="338"/>
      <c r="T897" s="338"/>
      <c r="U897" s="339"/>
      <c r="V897" s="322"/>
      <c r="W897" s="339"/>
      <c r="X897" s="339"/>
      <c r="Y897" s="338"/>
      <c r="Z897" s="324"/>
      <c r="AA897" s="338"/>
      <c r="AB897" s="338"/>
      <c r="AC897" s="339"/>
      <c r="AD897" s="322"/>
      <c r="AE897" s="339"/>
      <c r="AF897" s="339"/>
      <c r="AG897" s="338"/>
      <c r="AH897" s="324"/>
      <c r="AI897" s="338"/>
      <c r="AJ897" s="338"/>
      <c r="AK897" s="339"/>
      <c r="AL897" s="322"/>
      <c r="AM897" s="339"/>
      <c r="AN897" s="339"/>
      <c r="AO897" s="338"/>
    </row>
    <row r="898" spans="1:41" hidden="1">
      <c r="A898" s="321" t="s">
        <v>1416</v>
      </c>
      <c r="B898" s="324"/>
      <c r="C898" s="323">
        <v>7946</v>
      </c>
      <c r="D898" s="338"/>
      <c r="E898" s="592">
        <v>7946</v>
      </c>
      <c r="F898" s="322"/>
      <c r="G898" s="339"/>
      <c r="H898" s="339"/>
      <c r="I898" s="338"/>
      <c r="J898" s="324"/>
      <c r="K898" s="338"/>
      <c r="L898" s="338"/>
      <c r="M898" s="339"/>
      <c r="N898" s="322"/>
      <c r="O898" s="325">
        <v>7946</v>
      </c>
      <c r="P898" s="339"/>
      <c r="Q898" s="594">
        <v>7946</v>
      </c>
      <c r="R898" s="324"/>
      <c r="S898" s="338"/>
      <c r="T898" s="338"/>
      <c r="U898" s="339"/>
      <c r="V898" s="322"/>
      <c r="W898" s="339"/>
      <c r="X898" s="339"/>
      <c r="Y898" s="338"/>
      <c r="Z898" s="324"/>
      <c r="AA898" s="338"/>
      <c r="AB898" s="338"/>
      <c r="AC898" s="339"/>
      <c r="AD898" s="322"/>
      <c r="AE898" s="339"/>
      <c r="AF898" s="339"/>
      <c r="AG898" s="338"/>
      <c r="AH898" s="324"/>
      <c r="AI898" s="338"/>
      <c r="AJ898" s="338"/>
      <c r="AK898" s="339"/>
      <c r="AL898" s="322"/>
      <c r="AM898" s="339"/>
      <c r="AN898" s="339"/>
      <c r="AO898" s="338"/>
    </row>
    <row r="899" spans="1:41" hidden="1">
      <c r="A899" s="321" t="s">
        <v>1417</v>
      </c>
      <c r="B899" s="324"/>
      <c r="C899" s="338"/>
      <c r="D899" s="338"/>
      <c r="E899" s="339"/>
      <c r="F899" s="322"/>
      <c r="G899" s="339"/>
      <c r="H899" s="339"/>
      <c r="I899" s="338"/>
      <c r="J899" s="324"/>
      <c r="K899" s="338"/>
      <c r="L899" s="338"/>
      <c r="M899" s="339"/>
      <c r="N899" s="322"/>
      <c r="O899" s="339"/>
      <c r="P899" s="339"/>
      <c r="Q899" s="338"/>
      <c r="R899" s="324"/>
      <c r="S899" s="338"/>
      <c r="T899" s="338"/>
      <c r="U899" s="339"/>
      <c r="V899" s="322"/>
      <c r="W899" s="339"/>
      <c r="X899" s="339"/>
      <c r="Y899" s="338"/>
      <c r="Z899" s="324"/>
      <c r="AA899" s="338"/>
      <c r="AB899" s="338"/>
      <c r="AC899" s="339"/>
      <c r="AD899" s="322"/>
      <c r="AE899" s="339"/>
      <c r="AF899" s="339"/>
      <c r="AG899" s="338"/>
      <c r="AH899" s="324"/>
      <c r="AI899" s="338"/>
      <c r="AJ899" s="338"/>
      <c r="AK899" s="339"/>
      <c r="AL899" s="322"/>
      <c r="AM899" s="339"/>
      <c r="AN899" s="339"/>
      <c r="AO899" s="338"/>
    </row>
    <row r="900" spans="1:41" hidden="1">
      <c r="A900" s="321" t="s">
        <v>1418</v>
      </c>
      <c r="B900" s="324"/>
      <c r="C900" s="323">
        <v>27919</v>
      </c>
      <c r="D900" s="323">
        <v>18730</v>
      </c>
      <c r="E900" s="592">
        <v>9189</v>
      </c>
      <c r="F900" s="322"/>
      <c r="G900" s="339"/>
      <c r="H900" s="339"/>
      <c r="I900" s="338"/>
      <c r="J900" s="324"/>
      <c r="K900" s="338"/>
      <c r="L900" s="338"/>
      <c r="M900" s="339"/>
      <c r="N900" s="322"/>
      <c r="O900" s="325">
        <v>27919</v>
      </c>
      <c r="P900" s="325">
        <v>18730</v>
      </c>
      <c r="Q900" s="594">
        <v>9189</v>
      </c>
      <c r="R900" s="324"/>
      <c r="S900" s="338"/>
      <c r="T900" s="338"/>
      <c r="U900" s="339"/>
      <c r="V900" s="322"/>
      <c r="W900" s="325">
        <v>90455</v>
      </c>
      <c r="X900" s="325">
        <v>40508</v>
      </c>
      <c r="Y900" s="594">
        <v>49947</v>
      </c>
      <c r="Z900" s="324"/>
      <c r="AA900" s="323">
        <v>27054.5</v>
      </c>
      <c r="AB900" s="323">
        <v>14568</v>
      </c>
      <c r="AC900" s="592">
        <v>12486.5</v>
      </c>
      <c r="AD900" s="322"/>
      <c r="AE900" s="339"/>
      <c r="AF900" s="339"/>
      <c r="AG900" s="338"/>
      <c r="AH900" s="324"/>
      <c r="AI900" s="338"/>
      <c r="AJ900" s="338"/>
      <c r="AK900" s="339"/>
      <c r="AL900" s="322"/>
      <c r="AM900" s="714">
        <v>675659</v>
      </c>
      <c r="AN900" s="714">
        <v>551070</v>
      </c>
      <c r="AO900" s="735">
        <v>124589</v>
      </c>
    </row>
    <row r="901" spans="1:41" hidden="1">
      <c r="A901" s="321" t="s">
        <v>607</v>
      </c>
      <c r="B901" s="324"/>
      <c r="C901" s="323">
        <v>4992</v>
      </c>
      <c r="D901" s="338"/>
      <c r="E901" s="592">
        <v>4992</v>
      </c>
      <c r="F901" s="322"/>
      <c r="G901" s="339"/>
      <c r="H901" s="339"/>
      <c r="I901" s="338"/>
      <c r="J901" s="324"/>
      <c r="K901" s="323">
        <v>1298</v>
      </c>
      <c r="L901" s="338"/>
      <c r="M901" s="592">
        <v>1298</v>
      </c>
      <c r="N901" s="322"/>
      <c r="O901" s="325">
        <v>9556</v>
      </c>
      <c r="P901" s="339"/>
      <c r="Q901" s="594">
        <v>9556</v>
      </c>
      <c r="R901" s="324"/>
      <c r="S901" s="338"/>
      <c r="T901" s="338"/>
      <c r="U901" s="339"/>
      <c r="V901" s="322"/>
      <c r="W901" s="339"/>
      <c r="X901" s="339"/>
      <c r="Y901" s="338"/>
      <c r="Z901" s="324"/>
      <c r="AA901" s="323">
        <v>3694</v>
      </c>
      <c r="AB901" s="338"/>
      <c r="AC901" s="592">
        <v>3694</v>
      </c>
      <c r="AD901" s="322"/>
      <c r="AE901" s="339"/>
      <c r="AF901" s="339"/>
      <c r="AG901" s="338"/>
      <c r="AH901" s="324"/>
      <c r="AI901" s="338"/>
      <c r="AJ901" s="338"/>
      <c r="AK901" s="339"/>
      <c r="AL901" s="322"/>
      <c r="AM901" s="339"/>
      <c r="AN901" s="339"/>
      <c r="AO901" s="338"/>
    </row>
    <row r="902" spans="1:41" hidden="1">
      <c r="A902" s="321" t="s">
        <v>608</v>
      </c>
      <c r="B902" s="324"/>
      <c r="C902" s="323">
        <v>5183</v>
      </c>
      <c r="D902" s="338"/>
      <c r="E902" s="592">
        <v>5183</v>
      </c>
      <c r="F902" s="322"/>
      <c r="G902" s="339"/>
      <c r="H902" s="339"/>
      <c r="I902" s="338"/>
      <c r="J902" s="324"/>
      <c r="K902" s="338"/>
      <c r="L902" s="338"/>
      <c r="M902" s="339"/>
      <c r="N902" s="322"/>
      <c r="O902" s="339"/>
      <c r="P902" s="339"/>
      <c r="Q902" s="338"/>
      <c r="R902" s="324"/>
      <c r="S902" s="338"/>
      <c r="T902" s="338"/>
      <c r="U902" s="339"/>
      <c r="V902" s="322"/>
      <c r="W902" s="339"/>
      <c r="X902" s="339"/>
      <c r="Y902" s="338"/>
      <c r="Z902" s="324"/>
      <c r="AA902" s="338"/>
      <c r="AB902" s="338"/>
      <c r="AC902" s="339"/>
      <c r="AD902" s="322"/>
      <c r="AE902" s="325">
        <v>5183</v>
      </c>
      <c r="AF902" s="339"/>
      <c r="AG902" s="594">
        <v>5183</v>
      </c>
      <c r="AH902" s="324"/>
      <c r="AI902" s="338"/>
      <c r="AJ902" s="338"/>
      <c r="AK902" s="339"/>
      <c r="AL902" s="322"/>
      <c r="AM902" s="339"/>
      <c r="AN902" s="339"/>
      <c r="AO902" s="338"/>
    </row>
    <row r="903" spans="1:41" hidden="1">
      <c r="A903" s="321" t="s">
        <v>1419</v>
      </c>
      <c r="B903" s="324"/>
      <c r="C903" s="323">
        <v>20000</v>
      </c>
      <c r="D903" s="338"/>
      <c r="E903" s="592">
        <v>20000</v>
      </c>
      <c r="F903" s="322"/>
      <c r="G903" s="339"/>
      <c r="H903" s="339"/>
      <c r="I903" s="338"/>
      <c r="J903" s="324"/>
      <c r="K903" s="338"/>
      <c r="L903" s="338"/>
      <c r="M903" s="339"/>
      <c r="N903" s="322"/>
      <c r="O903" s="325">
        <v>20000</v>
      </c>
      <c r="P903" s="339"/>
      <c r="Q903" s="594">
        <v>20000</v>
      </c>
      <c r="R903" s="324"/>
      <c r="S903" s="338"/>
      <c r="T903" s="338"/>
      <c r="U903" s="339"/>
      <c r="V903" s="322"/>
      <c r="W903" s="339"/>
      <c r="X903" s="339"/>
      <c r="Y903" s="338"/>
      <c r="Z903" s="324"/>
      <c r="AA903" s="338"/>
      <c r="AB903" s="338"/>
      <c r="AC903" s="339"/>
      <c r="AD903" s="322"/>
      <c r="AE903" s="339"/>
      <c r="AF903" s="339"/>
      <c r="AG903" s="338"/>
      <c r="AH903" s="324"/>
      <c r="AI903" s="338"/>
      <c r="AJ903" s="338"/>
      <c r="AK903" s="339"/>
      <c r="AL903" s="322"/>
      <c r="AM903" s="339"/>
      <c r="AN903" s="339"/>
      <c r="AO903" s="338"/>
    </row>
    <row r="904" spans="1:41" hidden="1">
      <c r="A904" s="321" t="s">
        <v>862</v>
      </c>
      <c r="B904" s="324"/>
      <c r="C904" s="323">
        <v>1710</v>
      </c>
      <c r="D904" s="338"/>
      <c r="E904" s="592">
        <v>1710</v>
      </c>
      <c r="F904" s="322"/>
      <c r="G904" s="339"/>
      <c r="H904" s="339"/>
      <c r="I904" s="338"/>
      <c r="J904" s="324"/>
      <c r="K904" s="323">
        <v>400</v>
      </c>
      <c r="L904" s="338"/>
      <c r="M904" s="592">
        <v>400</v>
      </c>
      <c r="N904" s="322"/>
      <c r="O904" s="339"/>
      <c r="P904" s="339"/>
      <c r="Q904" s="338"/>
      <c r="R904" s="324"/>
      <c r="S904" s="338"/>
      <c r="T904" s="338"/>
      <c r="U904" s="339"/>
      <c r="V904" s="322"/>
      <c r="W904" s="339"/>
      <c r="X904" s="339"/>
      <c r="Y904" s="338"/>
      <c r="Z904" s="324"/>
      <c r="AA904" s="323">
        <v>1310</v>
      </c>
      <c r="AB904" s="338"/>
      <c r="AC904" s="592">
        <v>1310</v>
      </c>
      <c r="AD904" s="322"/>
      <c r="AE904" s="339"/>
      <c r="AF904" s="339"/>
      <c r="AG904" s="338"/>
      <c r="AH904" s="324"/>
      <c r="AI904" s="338"/>
      <c r="AJ904" s="338"/>
      <c r="AK904" s="339"/>
      <c r="AL904" s="322"/>
      <c r="AM904" s="339"/>
      <c r="AN904" s="339"/>
      <c r="AO904" s="338"/>
    </row>
    <row r="905" spans="1:41" hidden="1">
      <c r="A905" s="321" t="s">
        <v>1420</v>
      </c>
      <c r="B905" s="324"/>
      <c r="C905" s="323">
        <v>503278.41</v>
      </c>
      <c r="D905" s="323">
        <v>67824</v>
      </c>
      <c r="E905" s="592">
        <v>435454.41</v>
      </c>
      <c r="F905" s="322"/>
      <c r="G905" s="339"/>
      <c r="H905" s="339"/>
      <c r="I905" s="338"/>
      <c r="J905" s="324"/>
      <c r="K905" s="338"/>
      <c r="L905" s="338"/>
      <c r="M905" s="339"/>
      <c r="N905" s="322"/>
      <c r="O905" s="339"/>
      <c r="P905" s="339"/>
      <c r="Q905" s="338"/>
      <c r="R905" s="324"/>
      <c r="S905" s="338"/>
      <c r="T905" s="338"/>
      <c r="U905" s="339"/>
      <c r="V905" s="322"/>
      <c r="W905" s="339"/>
      <c r="X905" s="339"/>
      <c r="Y905" s="338"/>
      <c r="Z905" s="324"/>
      <c r="AA905" s="338"/>
      <c r="AB905" s="338"/>
      <c r="AC905" s="339"/>
      <c r="AD905" s="322"/>
      <c r="AE905" s="325">
        <v>503278.41</v>
      </c>
      <c r="AF905" s="325">
        <v>67824</v>
      </c>
      <c r="AG905" s="594">
        <v>435454.41</v>
      </c>
      <c r="AH905" s="324"/>
      <c r="AI905" s="338"/>
      <c r="AJ905" s="338"/>
      <c r="AK905" s="339"/>
      <c r="AL905" s="322"/>
      <c r="AM905" s="339"/>
      <c r="AN905" s="339"/>
      <c r="AO905" s="338"/>
    </row>
    <row r="906" spans="1:41" hidden="1">
      <c r="A906" s="321" t="s">
        <v>609</v>
      </c>
      <c r="B906" s="324"/>
      <c r="C906" s="323">
        <v>80802</v>
      </c>
      <c r="D906" s="323">
        <v>40401</v>
      </c>
      <c r="E906" s="592">
        <v>40401</v>
      </c>
      <c r="F906" s="322"/>
      <c r="G906" s="339"/>
      <c r="H906" s="339"/>
      <c r="I906" s="338"/>
      <c r="J906" s="324"/>
      <c r="K906" s="338"/>
      <c r="L906" s="338"/>
      <c r="M906" s="339"/>
      <c r="N906" s="322"/>
      <c r="O906" s="325">
        <v>80802</v>
      </c>
      <c r="P906" s="325">
        <v>40401</v>
      </c>
      <c r="Q906" s="594">
        <v>40401</v>
      </c>
      <c r="R906" s="324"/>
      <c r="S906" s="338"/>
      <c r="T906" s="338"/>
      <c r="U906" s="339"/>
      <c r="V906" s="322"/>
      <c r="W906" s="339"/>
      <c r="X906" s="339"/>
      <c r="Y906" s="338"/>
      <c r="Z906" s="324"/>
      <c r="AA906" s="338"/>
      <c r="AB906" s="338"/>
      <c r="AC906" s="339"/>
      <c r="AD906" s="322"/>
      <c r="AE906" s="339"/>
      <c r="AF906" s="339"/>
      <c r="AG906" s="338"/>
      <c r="AH906" s="324"/>
      <c r="AI906" s="338"/>
      <c r="AJ906" s="338"/>
      <c r="AK906" s="339"/>
      <c r="AL906" s="322"/>
      <c r="AM906" s="339"/>
      <c r="AN906" s="339"/>
      <c r="AO906" s="338"/>
    </row>
    <row r="907" spans="1:41" hidden="1">
      <c r="A907" s="321" t="s">
        <v>863</v>
      </c>
      <c r="B907" s="324"/>
      <c r="C907" s="323">
        <v>7000</v>
      </c>
      <c r="D907" s="323">
        <v>1000</v>
      </c>
      <c r="E907" s="592">
        <v>6000</v>
      </c>
      <c r="F907" s="322"/>
      <c r="G907" s="339"/>
      <c r="H907" s="339"/>
      <c r="I907" s="338"/>
      <c r="J907" s="324"/>
      <c r="K907" s="338"/>
      <c r="L907" s="338"/>
      <c r="M907" s="339"/>
      <c r="N907" s="322"/>
      <c r="O907" s="339"/>
      <c r="P907" s="339"/>
      <c r="Q907" s="338"/>
      <c r="R907" s="324"/>
      <c r="S907" s="338"/>
      <c r="T907" s="338"/>
      <c r="U907" s="339"/>
      <c r="V907" s="322"/>
      <c r="W907" s="339"/>
      <c r="X907" s="339"/>
      <c r="Y907" s="338"/>
      <c r="Z907" s="324"/>
      <c r="AA907" s="338"/>
      <c r="AB907" s="338"/>
      <c r="AC907" s="339"/>
      <c r="AD907" s="322"/>
      <c r="AE907" s="325">
        <v>7000</v>
      </c>
      <c r="AF907" s="325">
        <v>1000</v>
      </c>
      <c r="AG907" s="594">
        <v>6000</v>
      </c>
      <c r="AH907" s="324"/>
      <c r="AI907" s="338"/>
      <c r="AJ907" s="338"/>
      <c r="AK907" s="339"/>
      <c r="AL907" s="322"/>
      <c r="AM907" s="339"/>
      <c r="AN907" s="339"/>
      <c r="AO907" s="338"/>
    </row>
    <row r="908" spans="1:41" hidden="1">
      <c r="A908" s="321" t="s">
        <v>864</v>
      </c>
      <c r="B908" s="324"/>
      <c r="C908" s="711">
        <v>33700</v>
      </c>
      <c r="D908" s="338"/>
      <c r="E908" s="737">
        <v>33700</v>
      </c>
      <c r="F908" s="322"/>
      <c r="G908" s="339"/>
      <c r="H908" s="339"/>
      <c r="I908" s="338"/>
      <c r="J908" s="324"/>
      <c r="K908" s="338"/>
      <c r="L908" s="338"/>
      <c r="M908" s="339"/>
      <c r="N908" s="322"/>
      <c r="O908" s="339"/>
      <c r="P908" s="339"/>
      <c r="Q908" s="338"/>
      <c r="R908" s="324"/>
      <c r="S908" s="338"/>
      <c r="T908" s="338"/>
      <c r="U908" s="339"/>
      <c r="V908" s="322"/>
      <c r="W908" s="339"/>
      <c r="X908" s="339"/>
      <c r="Y908" s="338"/>
      <c r="Z908" s="324"/>
      <c r="AA908" s="338"/>
      <c r="AB908" s="338"/>
      <c r="AC908" s="339"/>
      <c r="AD908" s="322"/>
      <c r="AE908" s="339"/>
      <c r="AF908" s="339"/>
      <c r="AG908" s="338"/>
      <c r="AH908" s="324"/>
      <c r="AI908" s="338"/>
      <c r="AJ908" s="338"/>
      <c r="AK908" s="339"/>
      <c r="AL908" s="322"/>
      <c r="AM908" s="714">
        <v>33700</v>
      </c>
      <c r="AN908" s="339"/>
      <c r="AO908" s="735">
        <v>33700</v>
      </c>
    </row>
    <row r="909" spans="1:41" hidden="1">
      <c r="A909" s="321" t="s">
        <v>1421</v>
      </c>
      <c r="B909" s="324"/>
      <c r="C909" s="711">
        <v>50696</v>
      </c>
      <c r="D909" s="711">
        <v>40004</v>
      </c>
      <c r="E909" s="737">
        <v>10692</v>
      </c>
      <c r="F909" s="322"/>
      <c r="G909" s="339"/>
      <c r="H909" s="339"/>
      <c r="I909" s="338"/>
      <c r="J909" s="324"/>
      <c r="K909" s="338"/>
      <c r="L909" s="338"/>
      <c r="M909" s="339"/>
      <c r="N909" s="322"/>
      <c r="O909" s="339"/>
      <c r="P909" s="339"/>
      <c r="Q909" s="338"/>
      <c r="R909" s="324"/>
      <c r="S909" s="338"/>
      <c r="T909" s="338"/>
      <c r="U909" s="339"/>
      <c r="V909" s="322"/>
      <c r="W909" s="339"/>
      <c r="X909" s="339"/>
      <c r="Y909" s="338"/>
      <c r="Z909" s="324"/>
      <c r="AA909" s="338"/>
      <c r="AB909" s="338"/>
      <c r="AC909" s="339"/>
      <c r="AD909" s="322"/>
      <c r="AE909" s="339"/>
      <c r="AF909" s="339"/>
      <c r="AG909" s="338"/>
      <c r="AH909" s="324"/>
      <c r="AI909" s="338"/>
      <c r="AJ909" s="338"/>
      <c r="AK909" s="339"/>
      <c r="AL909" s="322"/>
      <c r="AM909" s="714">
        <v>50696</v>
      </c>
      <c r="AN909" s="714">
        <v>40004</v>
      </c>
      <c r="AO909" s="735">
        <v>10692</v>
      </c>
    </row>
    <row r="910" spans="1:41">
      <c r="A910" s="343" t="s">
        <v>398</v>
      </c>
      <c r="B910" s="716">
        <v>155085.886</v>
      </c>
      <c r="C910" s="339"/>
      <c r="D910" s="339"/>
      <c r="E910" s="594">
        <v>155085.886</v>
      </c>
      <c r="F910" s="324"/>
      <c r="G910" s="338"/>
      <c r="H910" s="338"/>
      <c r="I910" s="339"/>
      <c r="J910" s="322"/>
      <c r="K910" s="339"/>
      <c r="L910" s="339"/>
      <c r="M910" s="338"/>
      <c r="N910" s="324"/>
      <c r="O910" s="338"/>
      <c r="P910" s="338"/>
      <c r="Q910" s="339"/>
      <c r="R910" s="322"/>
      <c r="S910" s="339"/>
      <c r="T910" s="339"/>
      <c r="U910" s="338"/>
      <c r="V910" s="324"/>
      <c r="W910" s="338"/>
      <c r="X910" s="338"/>
      <c r="Y910" s="339"/>
      <c r="Z910" s="700">
        <v>2619.7240000000002</v>
      </c>
      <c r="AA910" s="339"/>
      <c r="AB910" s="339"/>
      <c r="AC910" s="589">
        <v>2619.7240000000002</v>
      </c>
      <c r="AD910" s="324"/>
      <c r="AE910" s="338"/>
      <c r="AF910" s="338"/>
      <c r="AG910" s="339"/>
      <c r="AH910" s="322"/>
      <c r="AI910" s="339"/>
      <c r="AJ910" s="339"/>
      <c r="AK910" s="338"/>
      <c r="AL910" s="736">
        <v>157705.60999999999</v>
      </c>
      <c r="AM910" s="338"/>
      <c r="AN910" s="338"/>
      <c r="AO910" s="737">
        <v>157705.60999999999</v>
      </c>
    </row>
    <row r="911" spans="1:41">
      <c r="A911" s="743" t="s">
        <v>865</v>
      </c>
      <c r="B911" s="716">
        <v>83.957999999999998</v>
      </c>
      <c r="C911" s="339"/>
      <c r="D911" s="339"/>
      <c r="E911" s="594">
        <v>83.957999999999998</v>
      </c>
      <c r="F911" s="324"/>
      <c r="G911" s="338"/>
      <c r="H911" s="338"/>
      <c r="I911" s="339"/>
      <c r="J911" s="322"/>
      <c r="K911" s="339"/>
      <c r="L911" s="339"/>
      <c r="M911" s="338"/>
      <c r="N911" s="324"/>
      <c r="O911" s="338"/>
      <c r="P911" s="338"/>
      <c r="Q911" s="339"/>
      <c r="R911" s="322"/>
      <c r="S911" s="339"/>
      <c r="T911" s="339"/>
      <c r="U911" s="338"/>
      <c r="V911" s="324"/>
      <c r="W911" s="338"/>
      <c r="X911" s="338"/>
      <c r="Y911" s="339"/>
      <c r="Z911" s="716">
        <v>221.458</v>
      </c>
      <c r="AA911" s="339"/>
      <c r="AB911" s="339"/>
      <c r="AC911" s="594">
        <v>221.458</v>
      </c>
      <c r="AD911" s="324"/>
      <c r="AE911" s="338"/>
      <c r="AF911" s="338"/>
      <c r="AG911" s="339"/>
      <c r="AH911" s="710">
        <v>137.5</v>
      </c>
      <c r="AI911" s="339"/>
      <c r="AJ911" s="339"/>
      <c r="AK911" s="712">
        <v>137.5</v>
      </c>
      <c r="AL911" s="324"/>
      <c r="AM911" s="338"/>
      <c r="AN911" s="338"/>
      <c r="AO911" s="339"/>
    </row>
    <row r="912" spans="1:41">
      <c r="A912" s="344" t="s">
        <v>399</v>
      </c>
      <c r="B912" s="744">
        <v>155169.84400000001</v>
      </c>
      <c r="C912" s="313">
        <v>409600582.96600002</v>
      </c>
      <c r="D912" s="313">
        <v>814148686.95899999</v>
      </c>
      <c r="E912" s="692">
        <v>137.5</v>
      </c>
      <c r="F912" s="312"/>
      <c r="G912" s="315">
        <v>37274060.026000001</v>
      </c>
      <c r="H912" s="315">
        <v>37274060.026000001</v>
      </c>
      <c r="I912" s="596"/>
      <c r="J912" s="314"/>
      <c r="K912" s="313">
        <v>54943100.898000002</v>
      </c>
      <c r="L912" s="313">
        <v>54943100.898000002</v>
      </c>
      <c r="M912" s="693"/>
      <c r="N912" s="312"/>
      <c r="O912" s="315">
        <v>4441625408.4230003</v>
      </c>
      <c r="P912" s="315">
        <v>4441625408.4230003</v>
      </c>
      <c r="Q912" s="596"/>
      <c r="R912" s="314"/>
      <c r="S912" s="313">
        <v>1996846409.1199999</v>
      </c>
      <c r="T912" s="313">
        <v>1996846409.1199999</v>
      </c>
      <c r="U912" s="693"/>
      <c r="V912" s="312"/>
      <c r="W912" s="315">
        <v>845644754.83399999</v>
      </c>
      <c r="X912" s="315">
        <v>845644754.83399999</v>
      </c>
      <c r="Y912" s="596"/>
      <c r="Z912" s="314"/>
      <c r="AA912" s="313">
        <v>300718678.83700001</v>
      </c>
      <c r="AB912" s="313">
        <v>300718678.83700001</v>
      </c>
      <c r="AC912" s="693"/>
      <c r="AD912" s="312"/>
      <c r="AE912" s="315">
        <v>5352581681.401</v>
      </c>
      <c r="AF912" s="315">
        <v>5352581681.401</v>
      </c>
      <c r="AG912" s="596"/>
      <c r="AH912" s="314"/>
      <c r="AI912" s="596"/>
      <c r="AJ912" s="596"/>
      <c r="AK912" s="693"/>
      <c r="AL912" s="312"/>
      <c r="AM912" s="747">
        <v>6990055416.2700005</v>
      </c>
      <c r="AN912" s="747">
        <v>6990055416.2700005</v>
      </c>
      <c r="AO912" s="596"/>
    </row>
  </sheetData>
  <mergeCells count="32">
    <mergeCell ref="AL3:AO3"/>
    <mergeCell ref="A1:C1"/>
    <mergeCell ref="A2:C2"/>
    <mergeCell ref="B3:E3"/>
    <mergeCell ref="F3:I3"/>
    <mergeCell ref="J3:M3"/>
    <mergeCell ref="N3:Q3"/>
    <mergeCell ref="R3:U3"/>
    <mergeCell ref="V3:Y3"/>
    <mergeCell ref="Z3:AC3"/>
    <mergeCell ref="AD3:AG3"/>
    <mergeCell ref="AH3:AK3"/>
    <mergeCell ref="W5:X5"/>
    <mergeCell ref="B4:E4"/>
    <mergeCell ref="F4:I4"/>
    <mergeCell ref="J4:M4"/>
    <mergeCell ref="N4:Q4"/>
    <mergeCell ref="R4:U4"/>
    <mergeCell ref="V4:Y4"/>
    <mergeCell ref="C5:D5"/>
    <mergeCell ref="G5:H5"/>
    <mergeCell ref="K5:L5"/>
    <mergeCell ref="O5:P5"/>
    <mergeCell ref="S5:T5"/>
    <mergeCell ref="AA5:AB5"/>
    <mergeCell ref="AE5:AF5"/>
    <mergeCell ref="AI5:AJ5"/>
    <mergeCell ref="AM5:AN5"/>
    <mergeCell ref="Z4:AC4"/>
    <mergeCell ref="AD4:AG4"/>
    <mergeCell ref="AH4:AK4"/>
    <mergeCell ref="AL4:AO4"/>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77"/>
  <sheetViews>
    <sheetView topLeftCell="A7" workbookViewId="0">
      <selection activeCell="C61" sqref="C61"/>
    </sheetView>
  </sheetViews>
  <sheetFormatPr defaultColWidth="8.81640625" defaultRowHeight="14.5"/>
  <cols>
    <col min="1" max="1" width="43.453125" bestFit="1" customWidth="1"/>
    <col min="2" max="3" width="15.1796875" style="506" bestFit="1" customWidth="1"/>
    <col min="4" max="4" width="41.54296875" style="53" bestFit="1" customWidth="1"/>
    <col min="6" max="6" width="18.81640625" customWidth="1"/>
    <col min="7" max="7" width="14.1796875" style="522" bestFit="1" customWidth="1"/>
  </cols>
  <sheetData>
    <row r="1" spans="1:7" ht="15.5">
      <c r="A1" s="1173" t="s">
        <v>321</v>
      </c>
      <c r="B1" s="1173"/>
      <c r="C1" s="1173"/>
    </row>
    <row r="2" spans="1:7">
      <c r="A2" s="1174" t="s">
        <v>475</v>
      </c>
      <c r="B2" s="1174"/>
      <c r="C2" s="1174"/>
    </row>
    <row r="3" spans="1:7">
      <c r="A3" s="1174" t="s">
        <v>476</v>
      </c>
      <c r="B3" s="1174"/>
      <c r="C3" s="1174"/>
    </row>
    <row r="4" spans="1:7">
      <c r="A4" s="1174" t="s">
        <v>477</v>
      </c>
      <c r="B4" s="1174"/>
      <c r="C4" s="1174"/>
    </row>
    <row r="5" spans="1:7">
      <c r="A5" s="1174" t="s">
        <v>478</v>
      </c>
      <c r="B5" s="1174"/>
      <c r="C5" s="1174"/>
    </row>
    <row r="6" spans="1:7">
      <c r="A6" s="1209" t="s">
        <v>322</v>
      </c>
      <c r="B6" s="1210"/>
      <c r="C6" s="1210"/>
    </row>
    <row r="7" spans="1:7" ht="15.5">
      <c r="A7" s="1211" t="s">
        <v>323</v>
      </c>
      <c r="B7" s="1211"/>
      <c r="C7" s="1211"/>
    </row>
    <row r="8" spans="1:7">
      <c r="A8" s="1174" t="s">
        <v>479</v>
      </c>
      <c r="B8" s="1174"/>
      <c r="C8" s="1174"/>
    </row>
    <row r="9" spans="1:7">
      <c r="A9" s="307" t="s">
        <v>325</v>
      </c>
      <c r="B9" s="1271" t="s">
        <v>480</v>
      </c>
      <c r="C9" s="1272"/>
    </row>
    <row r="10" spans="1:7">
      <c r="A10" s="308" t="s">
        <v>0</v>
      </c>
      <c r="B10" s="1273" t="s">
        <v>479</v>
      </c>
      <c r="C10" s="1274"/>
    </row>
    <row r="11" spans="1:7">
      <c r="A11" s="308" t="s">
        <v>325</v>
      </c>
      <c r="B11" s="1275" t="s">
        <v>329</v>
      </c>
      <c r="C11" s="1276"/>
    </row>
    <row r="12" spans="1:7">
      <c r="A12" s="309" t="s">
        <v>325</v>
      </c>
      <c r="B12" s="499" t="s">
        <v>330</v>
      </c>
      <c r="C12" s="499" t="s">
        <v>331</v>
      </c>
    </row>
    <row r="13" spans="1:7">
      <c r="A13" s="311" t="s">
        <v>332</v>
      </c>
      <c r="B13" s="500"/>
      <c r="C13" s="500">
        <v>195648925</v>
      </c>
      <c r="G13" s="522">
        <f>SUMIF($D$14:$D$54,$D$27,$B$13:$C$55)</f>
        <v>6691731.5</v>
      </c>
    </row>
    <row r="14" spans="1:7">
      <c r="A14" s="316" t="s">
        <v>333</v>
      </c>
      <c r="B14" s="501"/>
      <c r="C14" s="502">
        <v>107334625</v>
      </c>
      <c r="D14" s="53" t="s">
        <v>83</v>
      </c>
      <c r="G14" s="522">
        <f>+'q2_FY2020-21'!C40+'q2_FY2020-21'!C25</f>
        <v>34730283</v>
      </c>
    </row>
    <row r="15" spans="1:7">
      <c r="A15" s="321" t="s">
        <v>334</v>
      </c>
      <c r="B15" s="503"/>
      <c r="C15" s="504">
        <v>2490000</v>
      </c>
      <c r="D15" s="53" t="s">
        <v>82</v>
      </c>
    </row>
    <row r="16" spans="1:7">
      <c r="A16" s="321" t="s">
        <v>335</v>
      </c>
      <c r="B16" s="503"/>
      <c r="C16" s="504">
        <v>85824300</v>
      </c>
      <c r="D16" s="53" t="s">
        <v>82</v>
      </c>
    </row>
    <row r="17" spans="1:6">
      <c r="A17" s="311" t="s">
        <v>336</v>
      </c>
      <c r="B17" s="505"/>
      <c r="C17" s="505">
        <v>5296603</v>
      </c>
    </row>
    <row r="18" spans="1:6">
      <c r="A18" s="316" t="s">
        <v>338</v>
      </c>
      <c r="B18" s="501"/>
      <c r="C18" s="502">
        <v>5296603</v>
      </c>
      <c r="D18" s="53" t="s">
        <v>87</v>
      </c>
      <c r="F18" s="42"/>
    </row>
    <row r="19" spans="1:6">
      <c r="A19" s="311" t="s">
        <v>339</v>
      </c>
      <c r="B19" s="505">
        <v>2468999.8420000002</v>
      </c>
      <c r="C19" s="505">
        <v>136194531.215</v>
      </c>
    </row>
    <row r="20" spans="1:6">
      <c r="A20" s="316" t="s">
        <v>340</v>
      </c>
      <c r="B20" s="502">
        <v>1022630.8419999999</v>
      </c>
      <c r="C20" s="501"/>
      <c r="D20" s="53" t="s">
        <v>78</v>
      </c>
    </row>
    <row r="21" spans="1:6">
      <c r="A21" s="316" t="s">
        <v>340</v>
      </c>
      <c r="B21" s="501"/>
      <c r="C21" s="502">
        <v>14192</v>
      </c>
      <c r="D21" s="53" t="s">
        <v>91</v>
      </c>
    </row>
    <row r="22" spans="1:6">
      <c r="A22" s="316" t="s">
        <v>342</v>
      </c>
      <c r="B22" s="501"/>
      <c r="C22" s="502">
        <f>125709223.215-1446369</f>
        <v>124262854.215</v>
      </c>
      <c r="D22" s="53" t="s">
        <v>423</v>
      </c>
    </row>
    <row r="23" spans="1:6">
      <c r="A23" s="321" t="s">
        <v>343</v>
      </c>
      <c r="B23" s="503"/>
      <c r="C23" s="504">
        <v>3961276</v>
      </c>
      <c r="D23" s="53" t="s">
        <v>91</v>
      </c>
    </row>
    <row r="24" spans="1:6">
      <c r="A24" s="321" t="s">
        <v>344</v>
      </c>
      <c r="B24" s="503"/>
      <c r="C24" s="504">
        <v>191000</v>
      </c>
      <c r="D24" s="53" t="s">
        <v>91</v>
      </c>
    </row>
    <row r="25" spans="1:6">
      <c r="A25" s="321" t="s">
        <v>345</v>
      </c>
      <c r="B25" s="503"/>
      <c r="C25" s="504">
        <v>6318840</v>
      </c>
      <c r="D25" s="53" t="s">
        <v>90</v>
      </c>
    </row>
    <row r="26" spans="1:6">
      <c r="A26" s="311" t="s">
        <v>346</v>
      </c>
      <c r="B26" s="509">
        <v>5227372.25</v>
      </c>
      <c r="C26" s="509">
        <v>88678</v>
      </c>
      <c r="F26" s="42">
        <f>+B26-C26</f>
        <v>5138694.25</v>
      </c>
    </row>
    <row r="27" spans="1:6">
      <c r="A27" s="321" t="s">
        <v>347</v>
      </c>
      <c r="B27" s="503">
        <v>58773.32</v>
      </c>
      <c r="C27" s="503"/>
      <c r="D27" s="53" t="s">
        <v>71</v>
      </c>
      <c r="F27" s="42">
        <f>+'q2_FY2020-21'!C21+'q2_FY2020-21'!C23+'q2_FY2020-21'!C24</f>
        <v>4166468</v>
      </c>
    </row>
    <row r="28" spans="1:6">
      <c r="A28" s="321" t="s">
        <v>348</v>
      </c>
      <c r="B28" s="503">
        <v>2236.33</v>
      </c>
      <c r="C28" s="503"/>
      <c r="D28" s="53" t="s">
        <v>71</v>
      </c>
    </row>
    <row r="29" spans="1:6">
      <c r="A29" s="321" t="s">
        <v>349</v>
      </c>
      <c r="B29" s="503">
        <v>1350</v>
      </c>
      <c r="C29" s="503"/>
      <c r="D29" s="53" t="s">
        <v>71</v>
      </c>
    </row>
    <row r="30" spans="1:6">
      <c r="A30" s="321" t="s">
        <v>350</v>
      </c>
      <c r="B30" s="503">
        <v>1119150.96</v>
      </c>
      <c r="C30" s="503"/>
      <c r="D30" s="53" t="s">
        <v>71</v>
      </c>
    </row>
    <row r="31" spans="1:6">
      <c r="A31" s="321" t="s">
        <v>351</v>
      </c>
      <c r="B31" s="503">
        <v>282848.64000000001</v>
      </c>
      <c r="C31" s="503"/>
      <c r="D31" s="53" t="s">
        <v>71</v>
      </c>
    </row>
    <row r="32" spans="1:6">
      <c r="A32" s="321" t="s">
        <v>481</v>
      </c>
      <c r="B32" s="503"/>
      <c r="C32" s="503">
        <v>88678</v>
      </c>
      <c r="D32" s="53" t="s">
        <v>71</v>
      </c>
    </row>
    <row r="33" spans="1:7">
      <c r="A33" s="321" t="s">
        <v>352</v>
      </c>
      <c r="B33" s="503">
        <v>3763013</v>
      </c>
      <c r="C33" s="503"/>
    </row>
    <row r="34" spans="1:7">
      <c r="A34" s="311" t="s">
        <v>353</v>
      </c>
      <c r="B34" s="509">
        <v>56560560</v>
      </c>
      <c r="C34" s="505"/>
    </row>
    <row r="35" spans="1:7">
      <c r="A35" s="321" t="s">
        <v>354</v>
      </c>
      <c r="B35" s="503">
        <v>56560560</v>
      </c>
      <c r="C35" s="503"/>
      <c r="D35" s="53" t="s">
        <v>72</v>
      </c>
    </row>
    <row r="36" spans="1:7">
      <c r="A36" s="311" t="s">
        <v>355</v>
      </c>
      <c r="B36" s="505">
        <f>SUM(B37:B48)</f>
        <v>137912550.62</v>
      </c>
      <c r="C36" s="505">
        <f>SUM(C37:C48)</f>
        <v>28439582.280000001</v>
      </c>
      <c r="F36" s="42">
        <f>+B36-C36</f>
        <v>109472968.34</v>
      </c>
    </row>
    <row r="37" spans="1:7">
      <c r="A37" s="316" t="s">
        <v>356</v>
      </c>
      <c r="B37" s="501"/>
      <c r="C37" s="501"/>
      <c r="F37">
        <v>109472968.02000001</v>
      </c>
    </row>
    <row r="38" spans="1:7">
      <c r="A38" s="316" t="s">
        <v>357</v>
      </c>
      <c r="B38" s="502">
        <v>600000</v>
      </c>
      <c r="C38" s="501"/>
      <c r="D38" s="53" t="s">
        <v>73</v>
      </c>
      <c r="F38" s="42">
        <f>+F36-F37</f>
        <v>0.31999999284744263</v>
      </c>
      <c r="G38" s="522" t="s">
        <v>425</v>
      </c>
    </row>
    <row r="39" spans="1:7">
      <c r="A39" s="316" t="s">
        <v>358</v>
      </c>
      <c r="B39" s="502">
        <v>0</v>
      </c>
      <c r="D39" s="53" t="s">
        <v>286</v>
      </c>
      <c r="G39" s="522" t="s">
        <v>426</v>
      </c>
    </row>
    <row r="40" spans="1:7">
      <c r="A40" s="316" t="s">
        <v>358</v>
      </c>
      <c r="B40" s="501"/>
      <c r="C40" s="502">
        <v>28411443</v>
      </c>
      <c r="D40" s="53" t="s">
        <v>90</v>
      </c>
    </row>
    <row r="41" spans="1:7">
      <c r="A41" s="316" t="s">
        <v>359</v>
      </c>
      <c r="B41" s="501"/>
      <c r="C41" s="501"/>
      <c r="D41" s="53" t="s">
        <v>97</v>
      </c>
    </row>
    <row r="42" spans="1:7">
      <c r="A42" s="316" t="s">
        <v>360</v>
      </c>
      <c r="B42" s="502">
        <v>312692</v>
      </c>
      <c r="C42" s="501"/>
      <c r="D42" s="53" t="s">
        <v>98</v>
      </c>
    </row>
    <row r="43" spans="1:7">
      <c r="A43" s="316" t="s">
        <v>361</v>
      </c>
      <c r="B43" s="502">
        <v>498035.62</v>
      </c>
      <c r="C43" s="502">
        <v>28139.279999999999</v>
      </c>
      <c r="D43" s="53" t="s">
        <v>285</v>
      </c>
    </row>
    <row r="44" spans="1:7">
      <c r="A44" s="316" t="s">
        <v>362</v>
      </c>
      <c r="B44" s="502">
        <v>3618685</v>
      </c>
      <c r="C44" s="501"/>
      <c r="D44" s="53" t="s">
        <v>78</v>
      </c>
    </row>
    <row r="45" spans="1:7">
      <c r="A45" s="321" t="s">
        <v>363</v>
      </c>
      <c r="B45" s="504">
        <v>25300800</v>
      </c>
      <c r="C45" s="503"/>
      <c r="D45" s="53" t="s">
        <v>76</v>
      </c>
      <c r="F45" s="42">
        <f>+'q2_FY2020-21'!B44+'q2_FY2020-21'!B48+'q2_FY2020-21'!B20</f>
        <v>4828688.8420000002</v>
      </c>
    </row>
    <row r="46" spans="1:7">
      <c r="A46" s="321" t="s">
        <v>364</v>
      </c>
      <c r="B46" s="504">
        <v>41874840</v>
      </c>
      <c r="C46" s="503"/>
      <c r="D46" s="53" t="s">
        <v>76</v>
      </c>
    </row>
    <row r="47" spans="1:7">
      <c r="A47" s="321" t="s">
        <v>365</v>
      </c>
      <c r="B47" s="504">
        <v>65520125</v>
      </c>
      <c r="C47" s="503"/>
      <c r="D47" s="53" t="s">
        <v>76</v>
      </c>
    </row>
    <row r="48" spans="1:7">
      <c r="A48" s="321" t="s">
        <v>367</v>
      </c>
      <c r="B48" s="504">
        <v>187373</v>
      </c>
      <c r="C48" s="503"/>
      <c r="D48" s="53" t="s">
        <v>78</v>
      </c>
      <c r="G48" s="522">
        <f>+'q2_FY2020-21'!C21+'q2_FY2020-21'!C23+'q2_FY2020-21'!C24</f>
        <v>4166468</v>
      </c>
    </row>
    <row r="49" spans="1:6">
      <c r="A49" s="311" t="s">
        <v>368</v>
      </c>
      <c r="B49" s="505">
        <v>33669588.237000003</v>
      </c>
      <c r="C49" s="505"/>
    </row>
    <row r="50" spans="1:6">
      <c r="A50" s="321" t="s">
        <v>369</v>
      </c>
      <c r="B50" s="504">
        <v>33669588.237000003</v>
      </c>
      <c r="C50" s="503"/>
    </row>
    <row r="51" spans="1:6">
      <c r="A51" s="311" t="s">
        <v>482</v>
      </c>
      <c r="B51" s="505"/>
      <c r="C51" s="509">
        <v>47794</v>
      </c>
      <c r="D51" s="53" t="s">
        <v>91</v>
      </c>
    </row>
    <row r="52" spans="1:6">
      <c r="A52" s="480" t="s">
        <v>483</v>
      </c>
      <c r="B52" s="503"/>
      <c r="C52" s="503">
        <v>47794</v>
      </c>
    </row>
    <row r="53" spans="1:6">
      <c r="A53" s="321" t="s">
        <v>486</v>
      </c>
      <c r="B53" s="507">
        <v>112896306</v>
      </c>
      <c r="C53" s="503"/>
      <c r="D53" s="53" t="s">
        <v>83</v>
      </c>
    </row>
    <row r="54" spans="1:6">
      <c r="A54" t="s">
        <v>369</v>
      </c>
      <c r="B54" s="508">
        <v>16980736.377999999</v>
      </c>
      <c r="D54" s="53" t="s">
        <v>83</v>
      </c>
    </row>
    <row r="55" spans="1:6">
      <c r="B55" s="506">
        <f>+B51+B36+B49+B26+B19+B17+B13+B53+B34+B54</f>
        <v>365716113.32700002</v>
      </c>
      <c r="C55" s="506">
        <f>+C51+C36+C49+C26+C19+C17+C13+C53+C34+C54</f>
        <v>365716113.495</v>
      </c>
      <c r="D55" s="348">
        <f>+B55-C55</f>
        <v>-0.1679999828338623</v>
      </c>
    </row>
    <row r="56" spans="1:6">
      <c r="D56"/>
    </row>
    <row r="57" spans="1:6">
      <c r="D57"/>
      <c r="F57" s="348">
        <f>+C14-B54-B50</f>
        <v>56684300.385000005</v>
      </c>
    </row>
    <row r="58" spans="1:6">
      <c r="A58" s="311" t="s">
        <v>372</v>
      </c>
      <c r="B58" s="505">
        <v>112820184.778</v>
      </c>
      <c r="C58" s="505"/>
    </row>
    <row r="59" spans="1:6">
      <c r="A59" s="316" t="s">
        <v>373</v>
      </c>
      <c r="B59" s="501">
        <v>112820184.778</v>
      </c>
      <c r="C59" s="501"/>
      <c r="D59" s="3" t="s">
        <v>19</v>
      </c>
    </row>
    <row r="60" spans="1:6">
      <c r="A60" s="311" t="s">
        <v>374</v>
      </c>
      <c r="B60" s="505"/>
      <c r="C60" s="505">
        <v>922684.39500000002</v>
      </c>
    </row>
    <row r="61" spans="1:6">
      <c r="A61" s="321" t="s">
        <v>484</v>
      </c>
      <c r="B61" s="503"/>
      <c r="C61" s="504">
        <v>531</v>
      </c>
      <c r="D61" s="3" t="s">
        <v>13</v>
      </c>
    </row>
    <row r="62" spans="1:6">
      <c r="A62" s="321" t="s">
        <v>376</v>
      </c>
      <c r="B62" s="503"/>
      <c r="C62" s="504">
        <v>922153.39500000002</v>
      </c>
      <c r="D62" s="3" t="s">
        <v>13</v>
      </c>
    </row>
    <row r="63" spans="1:6">
      <c r="A63" s="311" t="s">
        <v>380</v>
      </c>
      <c r="B63" s="505">
        <v>4046108.93</v>
      </c>
      <c r="C63" s="505"/>
    </row>
    <row r="64" spans="1:6">
      <c r="A64" s="316" t="s">
        <v>381</v>
      </c>
      <c r="B64" s="501">
        <v>68506</v>
      </c>
      <c r="C64" s="501"/>
      <c r="D64" s="3" t="s">
        <v>28</v>
      </c>
    </row>
    <row r="65" spans="1:7">
      <c r="A65" s="316" t="s">
        <v>382</v>
      </c>
      <c r="B65" s="520">
        <f>685816+'INDAS 116 METALS'!K13</f>
        <v>826752.78544616071</v>
      </c>
      <c r="C65" s="501"/>
      <c r="D65" s="3" t="s">
        <v>25</v>
      </c>
    </row>
    <row r="66" spans="1:7">
      <c r="A66" s="316" t="s">
        <v>383</v>
      </c>
      <c r="B66" s="501">
        <v>1553323.6</v>
      </c>
      <c r="C66" s="501"/>
      <c r="D66" s="3" t="s">
        <v>28</v>
      </c>
    </row>
    <row r="67" spans="1:7">
      <c r="A67" s="342" t="s">
        <v>384</v>
      </c>
      <c r="B67" s="520">
        <f>600000-'INDAS 116 METALS'!M15</f>
        <v>0</v>
      </c>
      <c r="C67" s="501"/>
      <c r="D67" s="3" t="s">
        <v>28</v>
      </c>
    </row>
    <row r="68" spans="1:7">
      <c r="A68" s="316" t="s">
        <v>385</v>
      </c>
      <c r="B68" s="501">
        <v>618568</v>
      </c>
      <c r="C68" s="501"/>
      <c r="D68" s="3" t="s">
        <v>23</v>
      </c>
    </row>
    <row r="69" spans="1:7">
      <c r="A69" s="321" t="s">
        <v>386</v>
      </c>
      <c r="B69" s="503">
        <v>8280</v>
      </c>
      <c r="C69" s="503"/>
      <c r="D69" s="3" t="s">
        <v>28</v>
      </c>
    </row>
    <row r="70" spans="1:7">
      <c r="A70" s="321" t="s">
        <v>388</v>
      </c>
      <c r="B70" s="503">
        <v>88678</v>
      </c>
      <c r="C70" s="503"/>
      <c r="D70" s="3" t="s">
        <v>27</v>
      </c>
      <c r="F70" s="82" t="s">
        <v>521</v>
      </c>
      <c r="G70" s="523">
        <v>-3047302</v>
      </c>
    </row>
    <row r="71" spans="1:7">
      <c r="A71" s="321" t="s">
        <v>487</v>
      </c>
      <c r="B71" s="521">
        <f>+'INDAS 116 METALS'!K14</f>
        <v>1075147.1538688825</v>
      </c>
      <c r="C71" s="503"/>
      <c r="D71" s="3" t="s">
        <v>27</v>
      </c>
      <c r="F71" s="82" t="s">
        <v>512</v>
      </c>
      <c r="G71" s="523">
        <f>+'INDAS 116 METALS'!M15</f>
        <v>600000</v>
      </c>
    </row>
    <row r="72" spans="1:7">
      <c r="A72" s="321" t="s">
        <v>390</v>
      </c>
      <c r="B72" s="503">
        <v>34370</v>
      </c>
      <c r="C72" s="503"/>
      <c r="D72" s="3" t="s">
        <v>28</v>
      </c>
      <c r="F72" s="82" t="s">
        <v>522</v>
      </c>
      <c r="G72" s="523">
        <f>+'INDAS 116 METALS'!K13</f>
        <v>140936.78544616076</v>
      </c>
    </row>
    <row r="73" spans="1:7">
      <c r="A73" s="321" t="s">
        <v>391</v>
      </c>
      <c r="B73" s="503">
        <v>388498.69</v>
      </c>
      <c r="C73" s="503"/>
      <c r="D73" s="3" t="s">
        <v>28</v>
      </c>
      <c r="F73" s="82" t="s">
        <v>487</v>
      </c>
      <c r="G73" s="523">
        <f>+'INDAS 116 METALS'!K14</f>
        <v>1075147.1538688825</v>
      </c>
    </row>
    <row r="74" spans="1:7">
      <c r="A74" s="321" t="s">
        <v>485</v>
      </c>
      <c r="B74" s="503">
        <v>66</v>
      </c>
      <c r="C74" s="503"/>
      <c r="D74" s="3" t="s">
        <v>28</v>
      </c>
      <c r="F74" s="82" t="s">
        <v>523</v>
      </c>
      <c r="G74" s="523">
        <f>+G70+G71-G72-G73</f>
        <v>-3663385.9393150434</v>
      </c>
    </row>
    <row r="75" spans="1:7">
      <c r="A75" s="321" t="s">
        <v>396</v>
      </c>
      <c r="B75" s="503">
        <v>2.64</v>
      </c>
      <c r="C75" s="503"/>
      <c r="D75" s="3" t="s">
        <v>28</v>
      </c>
    </row>
    <row r="76" spans="1:7">
      <c r="A76" s="343" t="s">
        <v>398</v>
      </c>
      <c r="B76" s="501">
        <v>13933433.552999999</v>
      </c>
      <c r="C76" s="501"/>
    </row>
    <row r="77" spans="1:7">
      <c r="A77" s="344" t="s">
        <v>399</v>
      </c>
      <c r="B77" s="500">
        <v>366638798.20999998</v>
      </c>
      <c r="C77" s="500">
        <v>366638798.20999998</v>
      </c>
    </row>
  </sheetData>
  <mergeCells count="11">
    <mergeCell ref="A6:C6"/>
    <mergeCell ref="A1:C1"/>
    <mergeCell ref="A2:C2"/>
    <mergeCell ref="A3:C3"/>
    <mergeCell ref="A4:C4"/>
    <mergeCell ref="A5:C5"/>
    <mergeCell ref="A7:C7"/>
    <mergeCell ref="A8:C8"/>
    <mergeCell ref="B9:C9"/>
    <mergeCell ref="B10:C10"/>
    <mergeCell ref="B11:C1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P92"/>
  <sheetViews>
    <sheetView topLeftCell="A43" zoomScaleSheetLayoutView="100" workbookViewId="0">
      <selection activeCell="E14" sqref="E14"/>
    </sheetView>
  </sheetViews>
  <sheetFormatPr defaultColWidth="8.453125" defaultRowHeight="12"/>
  <cols>
    <col min="1" max="1" width="4.54296875" style="3" customWidth="1"/>
    <col min="2" max="2" width="2.453125" style="3" customWidth="1"/>
    <col min="3" max="3" width="5.54296875" style="3" customWidth="1"/>
    <col min="4" max="4" width="43.54296875" style="3" customWidth="1"/>
    <col min="5" max="14" width="13" style="3" customWidth="1"/>
    <col min="15" max="16" width="13.1796875" style="3" customWidth="1"/>
    <col min="17" max="17" width="3.453125" style="3" customWidth="1"/>
    <col min="18" max="25" width="13.1796875" style="3" hidden="1" customWidth="1"/>
    <col min="26" max="26" width="12" style="3" hidden="1" customWidth="1"/>
    <col min="27" max="31" width="8.453125" style="3" hidden="1" customWidth="1"/>
    <col min="32" max="32" width="0" style="3" hidden="1" customWidth="1"/>
    <col min="33" max="33" width="17.1796875" style="3" hidden="1" customWidth="1"/>
    <col min="34" max="34" width="12.1796875" style="3" hidden="1" customWidth="1"/>
    <col min="35" max="35" width="12" style="3" hidden="1" customWidth="1"/>
    <col min="36" max="36" width="9.81640625" style="3" hidden="1" customWidth="1"/>
    <col min="37" max="38" width="0" style="3" hidden="1" customWidth="1"/>
    <col min="39" max="39" width="8.453125" style="3"/>
    <col min="40" max="40" width="36.54296875" style="3" customWidth="1"/>
    <col min="41" max="41" width="8.453125" style="3"/>
    <col min="42" max="42" width="26.54296875" style="3" customWidth="1"/>
    <col min="43" max="16384" width="8.453125" style="3"/>
  </cols>
  <sheetData>
    <row r="1" spans="1:42">
      <c r="A1" s="1288" t="s">
        <v>1</v>
      </c>
      <c r="B1" s="1288"/>
      <c r="C1" s="1288"/>
      <c r="D1" s="1288"/>
      <c r="E1" s="1288"/>
      <c r="F1" s="1288"/>
      <c r="G1" s="1288"/>
      <c r="H1" s="1288"/>
      <c r="I1" s="1288"/>
      <c r="J1" s="1288"/>
      <c r="K1" s="1288"/>
      <c r="L1" s="1288"/>
      <c r="M1" s="1288"/>
      <c r="N1" s="1288"/>
      <c r="O1" s="1288"/>
      <c r="P1" s="276"/>
      <c r="Q1" s="276"/>
      <c r="R1" s="276"/>
      <c r="S1" s="276"/>
      <c r="T1" s="276"/>
      <c r="U1" s="276"/>
      <c r="V1" s="276"/>
      <c r="W1" s="276"/>
      <c r="X1" s="276"/>
      <c r="Y1" s="276"/>
    </row>
    <row r="2" spans="1:42">
      <c r="A2" s="1288" t="s">
        <v>2</v>
      </c>
      <c r="B2" s="1288"/>
      <c r="C2" s="1288"/>
      <c r="D2" s="1288"/>
      <c r="E2" s="1288"/>
      <c r="F2" s="1288"/>
      <c r="G2" s="1288"/>
      <c r="H2" s="1288"/>
      <c r="I2" s="1288"/>
      <c r="J2" s="1288"/>
      <c r="K2" s="1288"/>
      <c r="L2" s="1288"/>
      <c r="M2" s="1288"/>
      <c r="N2" s="1288"/>
      <c r="O2" s="1288"/>
      <c r="P2" s="276"/>
      <c r="Q2" s="276"/>
      <c r="R2" s="276"/>
      <c r="S2" s="276"/>
      <c r="T2" s="276"/>
      <c r="U2" s="276"/>
      <c r="V2" s="276"/>
      <c r="W2" s="276"/>
      <c r="X2" s="276"/>
      <c r="Y2" s="276"/>
    </row>
    <row r="3" spans="1:42">
      <c r="A3" s="1288" t="s">
        <v>3</v>
      </c>
      <c r="B3" s="1288"/>
      <c r="C3" s="1288"/>
      <c r="D3" s="1288"/>
      <c r="E3" s="1288"/>
      <c r="F3" s="1288"/>
      <c r="G3" s="1288"/>
      <c r="H3" s="1288"/>
      <c r="I3" s="1288"/>
      <c r="J3" s="1288"/>
      <c r="K3" s="1288"/>
      <c r="L3" s="1288"/>
      <c r="M3" s="1288"/>
      <c r="N3" s="1288"/>
      <c r="O3" s="1288"/>
      <c r="P3" s="276"/>
      <c r="Q3" s="276"/>
      <c r="R3" s="276"/>
      <c r="S3" s="276"/>
      <c r="T3" s="276"/>
      <c r="U3" s="276"/>
      <c r="V3" s="276"/>
      <c r="W3" s="276"/>
      <c r="X3" s="276"/>
      <c r="Y3" s="276"/>
    </row>
    <row r="4" spans="1:42">
      <c r="A4" s="1288" t="s">
        <v>4</v>
      </c>
      <c r="B4" s="1288"/>
      <c r="C4" s="1288"/>
      <c r="D4" s="1288"/>
      <c r="E4" s="1288"/>
      <c r="F4" s="1288"/>
      <c r="G4" s="1288"/>
      <c r="H4" s="1288"/>
      <c r="I4" s="1288"/>
      <c r="J4" s="1288"/>
      <c r="K4" s="1288"/>
      <c r="L4" s="1288"/>
      <c r="M4" s="1288"/>
      <c r="N4" s="1288"/>
      <c r="O4" s="1288"/>
      <c r="P4" s="276"/>
      <c r="Q4" s="276"/>
      <c r="R4" s="276"/>
      <c r="S4" s="276"/>
      <c r="T4" s="276"/>
      <c r="U4" s="276"/>
      <c r="V4" s="276"/>
      <c r="W4" s="276"/>
      <c r="X4" s="276"/>
      <c r="Y4" s="276"/>
    </row>
    <row r="5" spans="1:42">
      <c r="A5" s="1289" t="s">
        <v>5</v>
      </c>
      <c r="B5" s="1289"/>
      <c r="C5" s="1289"/>
      <c r="D5" s="1289"/>
      <c r="E5" s="1289"/>
      <c r="F5" s="1289"/>
      <c r="G5" s="1289"/>
      <c r="H5" s="1289"/>
      <c r="I5" s="1289"/>
      <c r="J5" s="1289"/>
      <c r="K5" s="1289"/>
      <c r="L5" s="1289"/>
      <c r="M5" s="1289"/>
      <c r="N5" s="1289"/>
      <c r="O5" s="1289"/>
      <c r="P5" s="47"/>
      <c r="Q5" s="47"/>
      <c r="R5" s="47"/>
      <c r="S5" s="47"/>
      <c r="T5" s="47"/>
      <c r="U5" s="47"/>
      <c r="V5" s="47"/>
      <c r="W5" s="47"/>
      <c r="X5" s="47"/>
      <c r="Y5" s="47"/>
    </row>
    <row r="6" spans="1:42" ht="13.5">
      <c r="A6" s="1288" t="s">
        <v>60</v>
      </c>
      <c r="B6" s="1288"/>
      <c r="C6" s="1288"/>
      <c r="D6" s="1288"/>
      <c r="E6" s="1288"/>
      <c r="F6" s="1288"/>
      <c r="G6" s="1288"/>
      <c r="H6" s="1288"/>
      <c r="I6" s="1288"/>
      <c r="J6" s="1288"/>
      <c r="K6" s="1288"/>
      <c r="L6" s="1288"/>
      <c r="M6" s="1288"/>
      <c r="N6" s="1288"/>
      <c r="O6" s="1288"/>
      <c r="P6" s="276"/>
      <c r="Q6" s="276"/>
      <c r="R6" s="276"/>
      <c r="S6" s="276"/>
      <c r="T6" s="276"/>
      <c r="U6" s="276"/>
      <c r="V6" s="276"/>
      <c r="W6" s="276"/>
      <c r="X6" s="276"/>
      <c r="Y6" s="276"/>
    </row>
    <row r="7" spans="1:42">
      <c r="A7" s="1"/>
      <c r="B7" s="2"/>
      <c r="C7" s="2"/>
      <c r="D7" s="2"/>
      <c r="E7" s="2"/>
      <c r="F7" s="2"/>
      <c r="G7" s="2"/>
      <c r="H7" s="2"/>
      <c r="N7" s="10" t="s">
        <v>61</v>
      </c>
    </row>
    <row r="8" spans="1:42">
      <c r="A8" s="1286" t="s">
        <v>6</v>
      </c>
      <c r="B8" s="1287" t="s">
        <v>0</v>
      </c>
      <c r="C8" s="1287"/>
      <c r="D8" s="1287"/>
      <c r="E8" s="1286" t="s">
        <v>242</v>
      </c>
      <c r="F8" s="1286"/>
      <c r="G8" s="1286"/>
      <c r="H8" s="1286"/>
      <c r="I8" s="1286"/>
      <c r="J8" s="1286"/>
      <c r="K8" s="1286" t="s">
        <v>243</v>
      </c>
      <c r="L8" s="1286"/>
      <c r="M8" s="1286"/>
      <c r="N8" s="1286"/>
      <c r="O8" s="1286"/>
      <c r="P8" s="1286"/>
      <c r="Q8" s="46"/>
      <c r="R8" s="46"/>
      <c r="S8" s="46"/>
      <c r="T8" s="46"/>
      <c r="U8" s="46"/>
      <c r="V8" s="46"/>
      <c r="W8" s="46"/>
      <c r="X8" s="46"/>
      <c r="Y8" s="46"/>
    </row>
    <row r="9" spans="1:42" ht="60">
      <c r="A9" s="1286"/>
      <c r="B9" s="1287"/>
      <c r="C9" s="1287"/>
      <c r="D9" s="1287"/>
      <c r="E9" s="4" t="s">
        <v>245</v>
      </c>
      <c r="F9" s="4" t="s">
        <v>246</v>
      </c>
      <c r="G9" s="4" t="s">
        <v>247</v>
      </c>
      <c r="H9" s="4" t="s">
        <v>248</v>
      </c>
      <c r="I9" s="4" t="s">
        <v>249</v>
      </c>
      <c r="J9" s="4" t="s">
        <v>241</v>
      </c>
      <c r="K9" s="4" t="s">
        <v>245</v>
      </c>
      <c r="L9" s="4" t="s">
        <v>246</v>
      </c>
      <c r="M9" s="4" t="s">
        <v>247</v>
      </c>
      <c r="N9" s="4" t="s">
        <v>248</v>
      </c>
      <c r="O9" s="4" t="s">
        <v>249</v>
      </c>
      <c r="P9" s="4" t="s">
        <v>241</v>
      </c>
      <c r="Q9" s="47"/>
      <c r="R9" s="47" t="s">
        <v>265</v>
      </c>
      <c r="S9" s="47" t="s">
        <v>263</v>
      </c>
      <c r="T9" s="47" t="s">
        <v>262</v>
      </c>
      <c r="U9" s="47" t="s">
        <v>239</v>
      </c>
      <c r="V9" s="47" t="s">
        <v>240</v>
      </c>
      <c r="W9" s="47"/>
      <c r="X9" s="47" t="s">
        <v>112</v>
      </c>
      <c r="Y9" s="47"/>
      <c r="AA9" s="47" t="s">
        <v>105</v>
      </c>
      <c r="AC9" s="47" t="s">
        <v>106</v>
      </c>
      <c r="AM9" s="1279" t="s">
        <v>288</v>
      </c>
      <c r="AN9" s="1279"/>
      <c r="AO9" s="1279" t="s">
        <v>289</v>
      </c>
      <c r="AP9" s="1279"/>
    </row>
    <row r="10" spans="1:42">
      <c r="A10" s="1286"/>
      <c r="B10" s="1287" t="s">
        <v>7</v>
      </c>
      <c r="C10" s="1287"/>
      <c r="D10" s="1287"/>
      <c r="E10" s="5"/>
      <c r="F10" s="5"/>
      <c r="G10" s="5"/>
      <c r="H10" s="5"/>
      <c r="I10" s="5"/>
      <c r="J10" s="5"/>
      <c r="K10" s="5"/>
      <c r="L10" s="5"/>
      <c r="M10" s="43"/>
      <c r="N10" s="43"/>
      <c r="O10" s="43"/>
      <c r="P10" s="43"/>
      <c r="Z10" s="3" t="s">
        <v>67</v>
      </c>
      <c r="AN10" s="293"/>
      <c r="AP10" s="293"/>
    </row>
    <row r="11" spans="1:42" ht="48">
      <c r="A11" s="6">
        <v>-1</v>
      </c>
      <c r="B11" s="1283" t="s">
        <v>8</v>
      </c>
      <c r="C11" s="1284"/>
      <c r="D11" s="1285"/>
      <c r="E11" s="6">
        <v>-3</v>
      </c>
      <c r="F11" s="6">
        <v>-4</v>
      </c>
      <c r="G11" s="6">
        <v>-5</v>
      </c>
      <c r="H11" s="6">
        <v>-6</v>
      </c>
      <c r="I11" s="6">
        <v>-7</v>
      </c>
      <c r="J11" s="6">
        <v>-8</v>
      </c>
      <c r="K11" s="6">
        <v>-9</v>
      </c>
      <c r="L11" s="6">
        <v>-10</v>
      </c>
      <c r="M11" s="6">
        <v>-11</v>
      </c>
      <c r="N11" s="6">
        <v>-12</v>
      </c>
      <c r="O11" s="6">
        <v>-13</v>
      </c>
      <c r="P11" s="6">
        <v>-14</v>
      </c>
      <c r="Q11" s="48"/>
      <c r="R11" s="48"/>
      <c r="S11" s="48"/>
      <c r="T11" s="48"/>
      <c r="U11" s="48"/>
      <c r="V11" s="48"/>
      <c r="W11" s="48"/>
      <c r="X11" s="48"/>
      <c r="Y11" s="48"/>
      <c r="Z11" s="11" t="s">
        <v>63</v>
      </c>
      <c r="AA11" s="3">
        <v>0.24</v>
      </c>
      <c r="AC11" s="3">
        <v>1.33</v>
      </c>
      <c r="AD11" s="3">
        <v>7.0000000000000062E-2</v>
      </c>
      <c r="AM11" s="294" t="s">
        <v>290</v>
      </c>
      <c r="AN11" s="47" t="s">
        <v>262</v>
      </c>
      <c r="AO11" s="294" t="s">
        <v>291</v>
      </c>
      <c r="AP11" s="47" t="s">
        <v>262</v>
      </c>
    </row>
    <row r="12" spans="1:42" ht="14.5">
      <c r="A12" s="7"/>
      <c r="E12" s="8"/>
      <c r="F12" s="8"/>
      <c r="G12" s="8"/>
      <c r="H12" s="8"/>
      <c r="I12" s="8"/>
      <c r="J12" s="8"/>
      <c r="K12" s="8"/>
      <c r="L12" s="8"/>
      <c r="M12" s="8"/>
      <c r="N12" s="8"/>
      <c r="O12" s="8"/>
      <c r="P12" s="265"/>
      <c r="Z12" s="11" t="s">
        <v>68</v>
      </c>
      <c r="AA12" s="3">
        <v>0.22</v>
      </c>
      <c r="AC12" s="3">
        <v>1.26</v>
      </c>
      <c r="AG12" t="s">
        <v>250</v>
      </c>
      <c r="AH12" s="66">
        <v>1087060</v>
      </c>
      <c r="AI12"/>
      <c r="AJ12"/>
      <c r="AN12" s="293"/>
      <c r="AP12" s="293"/>
    </row>
    <row r="13" spans="1:42" ht="14.5">
      <c r="A13" s="9">
        <v>1</v>
      </c>
      <c r="B13" s="10" t="s">
        <v>9</v>
      </c>
      <c r="C13" s="10"/>
      <c r="D13" s="11"/>
      <c r="E13" s="8"/>
      <c r="F13" s="12"/>
      <c r="G13" s="12"/>
      <c r="H13" s="8"/>
      <c r="I13" s="8"/>
      <c r="J13" s="8"/>
      <c r="K13" s="8"/>
      <c r="L13" s="8"/>
      <c r="M13" s="8"/>
      <c r="N13" s="8"/>
      <c r="O13" s="8"/>
      <c r="P13" s="8"/>
      <c r="Z13" s="3" t="s">
        <v>69</v>
      </c>
      <c r="AG13"/>
      <c r="AH13" s="66"/>
      <c r="AI13" t="s">
        <v>251</v>
      </c>
      <c r="AJ13">
        <v>2212.67751</v>
      </c>
      <c r="AN13" s="293"/>
      <c r="AP13" s="293"/>
    </row>
    <row r="14" spans="1:42" ht="72">
      <c r="A14" s="13" t="s">
        <v>10</v>
      </c>
      <c r="B14" s="3" t="s">
        <v>11</v>
      </c>
      <c r="E14" s="14"/>
      <c r="F14" s="15"/>
      <c r="G14" s="15"/>
      <c r="H14" s="15"/>
      <c r="I14" s="15"/>
      <c r="J14" s="15"/>
      <c r="K14" s="14"/>
      <c r="L14" s="15"/>
      <c r="M14" s="45"/>
      <c r="N14" s="12"/>
      <c r="O14" s="8"/>
      <c r="P14" s="8"/>
      <c r="R14" s="81">
        <v>0</v>
      </c>
      <c r="S14" s="81" t="e">
        <v>#DIV/0!</v>
      </c>
      <c r="T14" s="3" t="s">
        <v>266</v>
      </c>
      <c r="U14" s="81">
        <v>0</v>
      </c>
      <c r="V14" s="81">
        <v>0</v>
      </c>
      <c r="W14" s="81"/>
      <c r="X14" s="81"/>
      <c r="Y14" s="81"/>
      <c r="AG14" t="s">
        <v>251</v>
      </c>
      <c r="AH14" s="66">
        <v>221267751</v>
      </c>
      <c r="AI14" t="s">
        <v>256</v>
      </c>
      <c r="AJ14" s="42">
        <v>-2212.67751</v>
      </c>
      <c r="AM14" s="81">
        <v>0</v>
      </c>
      <c r="AN14" s="293" t="s">
        <v>292</v>
      </c>
      <c r="AO14" s="81">
        <v>0</v>
      </c>
      <c r="AP14" s="295" t="s">
        <v>293</v>
      </c>
    </row>
    <row r="15" spans="1:42" ht="72">
      <c r="A15" s="16" t="s">
        <v>12</v>
      </c>
      <c r="B15" s="3" t="s">
        <v>13</v>
      </c>
      <c r="E15" s="14"/>
      <c r="F15" s="15"/>
      <c r="G15" s="15"/>
      <c r="H15" s="15"/>
      <c r="I15" s="15"/>
      <c r="J15" s="15"/>
      <c r="K15" s="14"/>
      <c r="L15" s="15"/>
      <c r="M15" s="45"/>
      <c r="N15" s="12"/>
      <c r="O15" s="8"/>
      <c r="P15" s="8"/>
      <c r="R15" s="81">
        <v>0</v>
      </c>
      <c r="S15" s="81" t="e">
        <v>#DIV/0!</v>
      </c>
      <c r="T15" s="3" t="s">
        <v>264</v>
      </c>
      <c r="U15" s="81">
        <v>0</v>
      </c>
      <c r="V15" s="81">
        <v>0</v>
      </c>
      <c r="W15" s="81"/>
      <c r="X15" s="81"/>
      <c r="Y15" s="81"/>
      <c r="Z15" s="3" t="s">
        <v>65</v>
      </c>
      <c r="AA15" s="3">
        <v>0.84</v>
      </c>
      <c r="AC15" s="264">
        <v>1.51</v>
      </c>
      <c r="AD15" s="3" t="s">
        <v>68</v>
      </c>
      <c r="AE15" s="3">
        <v>0.42999999999999994</v>
      </c>
      <c r="AG15" t="s">
        <v>254</v>
      </c>
      <c r="AH15" s="66"/>
      <c r="AI15"/>
      <c r="AJ15"/>
      <c r="AM15" s="81">
        <v>0</v>
      </c>
      <c r="AN15" s="295" t="s">
        <v>294</v>
      </c>
      <c r="AO15" s="81">
        <v>0</v>
      </c>
      <c r="AP15" s="293" t="s">
        <v>295</v>
      </c>
    </row>
    <row r="16" spans="1:42" ht="14.5">
      <c r="A16" s="17"/>
      <c r="B16" s="11" t="s">
        <v>14</v>
      </c>
      <c r="E16" s="18">
        <v>0</v>
      </c>
      <c r="F16" s="18">
        <v>0</v>
      </c>
      <c r="G16" s="18">
        <v>0</v>
      </c>
      <c r="H16" s="18">
        <v>0</v>
      </c>
      <c r="I16" s="18">
        <v>0</v>
      </c>
      <c r="J16" s="18">
        <v>0</v>
      </c>
      <c r="K16" s="18">
        <v>0</v>
      </c>
      <c r="L16" s="18">
        <v>0</v>
      </c>
      <c r="M16" s="18">
        <v>0</v>
      </c>
      <c r="N16" s="18">
        <v>0</v>
      </c>
      <c r="O16" s="18">
        <v>0</v>
      </c>
      <c r="P16" s="18">
        <v>0</v>
      </c>
      <c r="Q16" s="37"/>
      <c r="R16" s="37"/>
      <c r="S16" s="37"/>
      <c r="T16" s="37"/>
      <c r="U16" s="37">
        <v>0</v>
      </c>
      <c r="V16" s="37">
        <v>0</v>
      </c>
      <c r="W16" s="37"/>
      <c r="X16" s="37"/>
      <c r="Y16" s="37"/>
      <c r="Z16" s="3" t="s">
        <v>107</v>
      </c>
      <c r="AC16" s="3">
        <v>1.08</v>
      </c>
      <c r="AG16" t="s">
        <v>252</v>
      </c>
      <c r="AH16" s="66">
        <v>219952107.61000001</v>
      </c>
      <c r="AI16"/>
      <c r="AJ16" s="42">
        <v>2199.5210761000003</v>
      </c>
    </row>
    <row r="17" spans="1:42" ht="14.5">
      <c r="A17" s="9">
        <v>2</v>
      </c>
      <c r="B17" s="10" t="s">
        <v>15</v>
      </c>
      <c r="C17" s="11"/>
      <c r="E17" s="14"/>
      <c r="F17" s="15"/>
      <c r="G17" s="15"/>
      <c r="H17" s="15"/>
      <c r="I17" s="15"/>
      <c r="J17" s="15"/>
      <c r="K17" s="15"/>
      <c r="L17" s="15"/>
      <c r="M17" s="8"/>
      <c r="N17" s="8"/>
      <c r="O17" s="8"/>
      <c r="P17" s="8"/>
      <c r="AC17" s="3">
        <v>-0.35999999999999988</v>
      </c>
      <c r="AG17"/>
      <c r="AH17" s="66"/>
      <c r="AI17"/>
      <c r="AJ17"/>
    </row>
    <row r="18" spans="1:42" ht="24">
      <c r="A18" s="17"/>
      <c r="B18" s="1" t="s">
        <v>16</v>
      </c>
      <c r="C18" s="1280" t="s">
        <v>17</v>
      </c>
      <c r="D18" s="1281"/>
      <c r="E18" s="14"/>
      <c r="F18" s="15"/>
      <c r="G18" s="15"/>
      <c r="H18" s="15"/>
      <c r="I18" s="15"/>
      <c r="J18" s="15"/>
      <c r="K18" s="14"/>
      <c r="L18" s="15"/>
      <c r="M18" s="45"/>
      <c r="N18" s="45"/>
      <c r="O18" s="45"/>
      <c r="P18" s="45"/>
      <c r="Q18" s="49"/>
      <c r="R18" s="81"/>
      <c r="S18" s="81"/>
      <c r="T18" s="49"/>
      <c r="U18" s="81">
        <v>0</v>
      </c>
      <c r="V18" s="81">
        <v>0</v>
      </c>
      <c r="W18" s="49"/>
      <c r="X18" s="81"/>
      <c r="Y18" s="81"/>
      <c r="AC18" s="3">
        <v>-0.35999999999999988</v>
      </c>
      <c r="AG18" t="s">
        <v>255</v>
      </c>
      <c r="AH18" s="66">
        <v>1315643.3899999857</v>
      </c>
      <c r="AJ18">
        <v>159858254.92000002</v>
      </c>
      <c r="AK18" t="s">
        <v>253</v>
      </c>
      <c r="AM18" s="81">
        <v>0</v>
      </c>
      <c r="AN18" s="293"/>
      <c r="AO18" s="81">
        <v>0</v>
      </c>
      <c r="AP18" s="293" t="s">
        <v>296</v>
      </c>
    </row>
    <row r="19" spans="1:42" ht="36">
      <c r="A19" s="17"/>
      <c r="B19" s="1" t="s">
        <v>18</v>
      </c>
      <c r="C19" s="3" t="s">
        <v>19</v>
      </c>
      <c r="E19" s="14"/>
      <c r="F19" s="15"/>
      <c r="G19" s="15"/>
      <c r="H19" s="15"/>
      <c r="I19" s="15"/>
      <c r="J19" s="15"/>
      <c r="K19" s="14"/>
      <c r="L19" s="15"/>
      <c r="M19" s="8"/>
      <c r="N19" s="45"/>
      <c r="O19" s="45"/>
      <c r="P19" s="45"/>
      <c r="Q19" s="49"/>
      <c r="R19" s="81"/>
      <c r="S19" s="81"/>
      <c r="T19" s="49"/>
      <c r="U19" s="81">
        <v>0</v>
      </c>
      <c r="V19" s="81">
        <v>0</v>
      </c>
      <c r="W19" s="49"/>
      <c r="X19" s="81"/>
      <c r="Y19" s="81"/>
      <c r="AG19"/>
      <c r="AH19" s="66"/>
      <c r="AJ19">
        <v>13904266.02</v>
      </c>
      <c r="AM19" s="81">
        <v>0</v>
      </c>
      <c r="AN19" s="293" t="s">
        <v>297</v>
      </c>
      <c r="AO19" s="81">
        <v>0</v>
      </c>
      <c r="AP19" s="293" t="s">
        <v>298</v>
      </c>
    </row>
    <row r="20" spans="1:42" ht="24">
      <c r="A20" s="17"/>
      <c r="B20" s="1" t="s">
        <v>20</v>
      </c>
      <c r="C20" s="1280" t="s">
        <v>21</v>
      </c>
      <c r="D20" s="1281"/>
      <c r="E20" s="14"/>
      <c r="F20" s="15"/>
      <c r="G20" s="15"/>
      <c r="H20" s="15"/>
      <c r="I20" s="15"/>
      <c r="J20" s="15"/>
      <c r="K20" s="14"/>
      <c r="L20" s="15"/>
      <c r="M20" s="8"/>
      <c r="N20" s="45"/>
      <c r="O20" s="45"/>
      <c r="P20" s="45"/>
      <c r="Q20" s="49"/>
      <c r="R20" s="81"/>
      <c r="S20" s="81"/>
      <c r="T20" s="49"/>
      <c r="U20" s="81">
        <v>0</v>
      </c>
      <c r="V20" s="81">
        <v>0</v>
      </c>
      <c r="W20" s="49"/>
      <c r="X20" s="81"/>
      <c r="Y20" s="81"/>
      <c r="AG20" s="3" t="s">
        <v>257</v>
      </c>
      <c r="AH20" s="272" t="s">
        <v>259</v>
      </c>
      <c r="AI20" s="3" t="s">
        <v>260</v>
      </c>
      <c r="AJ20"/>
      <c r="AM20" s="81">
        <v>0</v>
      </c>
      <c r="AN20" s="293" t="s">
        <v>299</v>
      </c>
      <c r="AO20" s="81">
        <v>0</v>
      </c>
      <c r="AP20" s="296"/>
    </row>
    <row r="21" spans="1:42" ht="48">
      <c r="A21" s="17"/>
      <c r="B21" s="1" t="s">
        <v>22</v>
      </c>
      <c r="C21" s="3" t="s">
        <v>23</v>
      </c>
      <c r="E21" s="14"/>
      <c r="F21" s="15"/>
      <c r="G21" s="15"/>
      <c r="H21" s="15"/>
      <c r="I21" s="15"/>
      <c r="J21" s="15"/>
      <c r="K21" s="14"/>
      <c r="L21" s="15"/>
      <c r="M21" s="8"/>
      <c r="N21" s="45"/>
      <c r="O21" s="45"/>
      <c r="P21" s="45"/>
      <c r="Q21" s="49"/>
      <c r="R21" s="81"/>
      <c r="S21" s="81"/>
      <c r="T21" s="49"/>
      <c r="U21" s="81">
        <v>0</v>
      </c>
      <c r="V21" s="81">
        <v>0</v>
      </c>
      <c r="W21" s="49"/>
      <c r="X21" s="81"/>
      <c r="Y21" s="81"/>
      <c r="AG21" s="3" t="s">
        <v>223</v>
      </c>
      <c r="AH21" s="3">
        <v>393714628.54700005</v>
      </c>
      <c r="AI21" s="273">
        <v>173762520.93700004</v>
      </c>
      <c r="AJ21"/>
      <c r="AM21" s="81">
        <v>0</v>
      </c>
      <c r="AN21" s="293"/>
      <c r="AO21" s="81">
        <v>0</v>
      </c>
      <c r="AP21" s="293" t="s">
        <v>300</v>
      </c>
    </row>
    <row r="22" spans="1:42" ht="12.5" thickBot="1">
      <c r="A22" s="17"/>
      <c r="B22" s="3" t="s">
        <v>24</v>
      </c>
      <c r="C22" s="3" t="s">
        <v>25</v>
      </c>
      <c r="E22" s="14"/>
      <c r="F22" s="15"/>
      <c r="G22" s="15"/>
      <c r="H22" s="15"/>
      <c r="I22" s="15"/>
      <c r="J22" s="15"/>
      <c r="K22" s="14"/>
      <c r="L22" s="15"/>
      <c r="M22" s="8"/>
      <c r="N22" s="45"/>
      <c r="O22" s="45"/>
      <c r="P22" s="45"/>
      <c r="Q22" s="49"/>
      <c r="R22" s="81"/>
      <c r="S22" s="81"/>
      <c r="T22" s="49"/>
      <c r="U22" s="81">
        <v>0</v>
      </c>
      <c r="V22" s="81">
        <v>0</v>
      </c>
      <c r="W22" s="49"/>
      <c r="X22" s="81"/>
      <c r="Y22" s="81"/>
      <c r="AG22" s="3" t="s">
        <v>258</v>
      </c>
      <c r="AH22" s="3">
        <v>123124329</v>
      </c>
      <c r="AI22" s="3">
        <v>123124329</v>
      </c>
      <c r="AM22" s="81">
        <v>0</v>
      </c>
      <c r="AN22" s="293"/>
      <c r="AO22" s="81"/>
      <c r="AP22" s="293"/>
    </row>
    <row r="23" spans="1:42" ht="36">
      <c r="A23" s="17"/>
      <c r="B23" s="3" t="s">
        <v>26</v>
      </c>
      <c r="C23" s="3" t="s">
        <v>27</v>
      </c>
      <c r="E23" s="14"/>
      <c r="F23" s="15"/>
      <c r="G23" s="15"/>
      <c r="H23" s="15"/>
      <c r="I23" s="15"/>
      <c r="J23" s="15"/>
      <c r="K23" s="14"/>
      <c r="L23" s="15"/>
      <c r="M23" s="8"/>
      <c r="N23" s="45"/>
      <c r="O23" s="45"/>
      <c r="P23" s="45"/>
      <c r="Q23" s="49"/>
      <c r="R23" s="81"/>
      <c r="S23" s="81"/>
      <c r="T23" s="49"/>
      <c r="U23" s="81">
        <v>0</v>
      </c>
      <c r="V23" s="81">
        <v>0</v>
      </c>
      <c r="W23" s="49"/>
      <c r="X23" s="81"/>
      <c r="Y23" s="81"/>
      <c r="Z23" s="67">
        <v>0</v>
      </c>
      <c r="AA23" s="68" t="s">
        <v>104</v>
      </c>
      <c r="AB23" s="68"/>
      <c r="AC23" s="68"/>
      <c r="AD23" s="68"/>
      <c r="AE23" s="69"/>
      <c r="AG23" s="3" t="s">
        <v>261</v>
      </c>
      <c r="AH23" s="3">
        <v>-270590299.54700005</v>
      </c>
      <c r="AI23" s="3">
        <v>-50638191.937000036</v>
      </c>
      <c r="AM23" s="81">
        <v>0</v>
      </c>
      <c r="AN23" s="293"/>
      <c r="AO23" s="81">
        <v>0</v>
      </c>
      <c r="AP23" s="293" t="s">
        <v>303</v>
      </c>
    </row>
    <row r="24" spans="1:42" ht="156">
      <c r="A24" s="17"/>
      <c r="B24" s="3" t="s">
        <v>64</v>
      </c>
      <c r="C24" s="3" t="s">
        <v>28</v>
      </c>
      <c r="E24" s="14"/>
      <c r="F24" s="15"/>
      <c r="G24" s="15"/>
      <c r="H24" s="15"/>
      <c r="I24" s="15"/>
      <c r="J24" s="15"/>
      <c r="K24" s="14"/>
      <c r="L24" s="15"/>
      <c r="M24" s="8"/>
      <c r="N24" s="45"/>
      <c r="O24" s="45"/>
      <c r="P24" s="45"/>
      <c r="Q24" s="49"/>
      <c r="R24" s="81"/>
      <c r="S24" s="81"/>
      <c r="T24" s="49"/>
      <c r="U24" s="81">
        <v>0</v>
      </c>
      <c r="V24" s="81">
        <v>0</v>
      </c>
      <c r="W24" s="49"/>
      <c r="X24" s="81"/>
      <c r="Y24" s="81"/>
      <c r="Z24" s="70">
        <v>-0.03</v>
      </c>
      <c r="AA24" s="3" t="s">
        <v>102</v>
      </c>
      <c r="AE24" s="71"/>
      <c r="AM24" s="81">
        <v>0</v>
      </c>
      <c r="AN24" s="293" t="s">
        <v>301</v>
      </c>
      <c r="AO24" s="81">
        <v>0</v>
      </c>
      <c r="AP24" s="293" t="s">
        <v>302</v>
      </c>
    </row>
    <row r="25" spans="1:42" ht="12.5" thickBot="1">
      <c r="A25" s="17"/>
      <c r="B25" s="11" t="s">
        <v>29</v>
      </c>
      <c r="C25" s="11"/>
      <c r="D25" s="11"/>
      <c r="E25" s="18">
        <v>0</v>
      </c>
      <c r="F25" s="18">
        <v>0</v>
      </c>
      <c r="G25" s="18">
        <v>0</v>
      </c>
      <c r="H25" s="18">
        <v>0</v>
      </c>
      <c r="I25" s="18">
        <v>0</v>
      </c>
      <c r="J25" s="18">
        <v>0</v>
      </c>
      <c r="K25" s="18">
        <v>0</v>
      </c>
      <c r="L25" s="18">
        <v>0</v>
      </c>
      <c r="M25" s="18">
        <v>0</v>
      </c>
      <c r="N25" s="18">
        <v>0</v>
      </c>
      <c r="O25" s="18">
        <v>0</v>
      </c>
      <c r="P25" s="18">
        <v>-0.01</v>
      </c>
      <c r="Q25" s="37"/>
      <c r="R25" s="37"/>
      <c r="S25" s="37"/>
      <c r="T25" s="37"/>
      <c r="U25" s="37">
        <v>0</v>
      </c>
      <c r="V25" s="37">
        <v>0</v>
      </c>
      <c r="W25" s="37"/>
      <c r="X25" s="37"/>
      <c r="Y25" s="37"/>
      <c r="Z25" s="72">
        <v>-0.03</v>
      </c>
      <c r="AA25" s="73" t="s">
        <v>103</v>
      </c>
      <c r="AB25" s="73"/>
      <c r="AC25" s="73"/>
      <c r="AD25" s="73"/>
      <c r="AE25" s="74"/>
      <c r="AM25" s="81"/>
      <c r="AN25" s="293"/>
      <c r="AO25" s="81"/>
      <c r="AP25" s="293"/>
    </row>
    <row r="26" spans="1:42">
      <c r="A26" s="9">
        <v>3</v>
      </c>
      <c r="B26" s="11" t="s">
        <v>30</v>
      </c>
      <c r="C26" s="11"/>
      <c r="D26" s="11"/>
      <c r="E26" s="14">
        <v>0</v>
      </c>
      <c r="F26" s="14">
        <v>0</v>
      </c>
      <c r="G26" s="14">
        <v>0</v>
      </c>
      <c r="H26" s="14">
        <v>0</v>
      </c>
      <c r="I26" s="14">
        <v>0</v>
      </c>
      <c r="J26" s="14">
        <v>0</v>
      </c>
      <c r="K26" s="14">
        <v>0</v>
      </c>
      <c r="L26" s="14">
        <v>0</v>
      </c>
      <c r="M26" s="14">
        <v>0</v>
      </c>
      <c r="N26" s="14">
        <v>0</v>
      </c>
      <c r="O26" s="14">
        <v>0</v>
      </c>
      <c r="P26" s="14">
        <v>0.01</v>
      </c>
      <c r="Q26" s="37"/>
      <c r="R26" s="37"/>
      <c r="S26" s="37"/>
      <c r="T26" s="37"/>
      <c r="U26" s="37">
        <v>0</v>
      </c>
      <c r="V26" s="37">
        <v>0</v>
      </c>
      <c r="W26" s="37"/>
      <c r="X26" s="37">
        <v>0</v>
      </c>
      <c r="Y26" s="37">
        <v>0</v>
      </c>
      <c r="AM26" s="81"/>
      <c r="AN26" s="293"/>
      <c r="AO26" s="81"/>
      <c r="AP26" s="293"/>
    </row>
    <row r="27" spans="1:42">
      <c r="A27" s="9"/>
      <c r="B27" s="11"/>
      <c r="C27" s="11"/>
      <c r="D27" s="11"/>
      <c r="E27" s="14"/>
      <c r="F27" s="15"/>
      <c r="G27" s="15"/>
      <c r="H27" s="15"/>
      <c r="I27" s="15"/>
      <c r="J27" s="15"/>
      <c r="K27" s="15"/>
      <c r="L27" s="15"/>
      <c r="M27" s="8"/>
      <c r="N27" s="8"/>
      <c r="O27" s="8"/>
      <c r="P27" s="8"/>
    </row>
    <row r="28" spans="1:42">
      <c r="A28" s="9"/>
      <c r="B28" s="11"/>
      <c r="C28" s="11"/>
      <c r="D28" s="11"/>
      <c r="E28" s="14"/>
      <c r="F28" s="15"/>
      <c r="G28" s="15"/>
      <c r="H28" s="15"/>
      <c r="I28" s="15"/>
      <c r="J28" s="15"/>
      <c r="K28" s="15"/>
      <c r="L28" s="15"/>
      <c r="M28" s="8"/>
      <c r="N28" s="8"/>
      <c r="O28" s="8"/>
      <c r="P28" s="8"/>
    </row>
    <row r="29" spans="1:42">
      <c r="A29" s="13"/>
      <c r="B29" s="3" t="s">
        <v>31</v>
      </c>
      <c r="E29" s="15">
        <v>0</v>
      </c>
      <c r="F29" s="15">
        <v>0</v>
      </c>
      <c r="G29" s="15">
        <v>0</v>
      </c>
      <c r="H29" s="15">
        <v>0</v>
      </c>
      <c r="I29" s="15">
        <v>0</v>
      </c>
      <c r="J29" s="15">
        <v>0</v>
      </c>
      <c r="K29" s="14">
        <v>0</v>
      </c>
      <c r="L29" s="15">
        <v>0</v>
      </c>
      <c r="M29" s="15">
        <v>0</v>
      </c>
      <c r="N29" s="15">
        <v>0</v>
      </c>
      <c r="O29" s="15">
        <v>0</v>
      </c>
      <c r="P29" s="15">
        <v>0</v>
      </c>
      <c r="Q29" s="38"/>
      <c r="R29" s="38"/>
      <c r="S29" s="38"/>
      <c r="T29" s="38"/>
      <c r="U29" s="38"/>
      <c r="V29" s="38"/>
      <c r="W29" s="38"/>
      <c r="X29" s="38"/>
      <c r="Y29" s="38"/>
    </row>
    <row r="30" spans="1:42">
      <c r="A30" s="9">
        <v>4</v>
      </c>
      <c r="B30" s="11" t="s">
        <v>32</v>
      </c>
      <c r="C30" s="11"/>
      <c r="D30" s="11"/>
      <c r="E30" s="18">
        <v>0</v>
      </c>
      <c r="F30" s="18">
        <v>0</v>
      </c>
      <c r="G30" s="18">
        <v>0</v>
      </c>
      <c r="H30" s="18">
        <v>0</v>
      </c>
      <c r="I30" s="18">
        <v>0</v>
      </c>
      <c r="J30" s="18">
        <v>0</v>
      </c>
      <c r="K30" s="18">
        <v>0</v>
      </c>
      <c r="L30" s="18">
        <v>0</v>
      </c>
      <c r="M30" s="18">
        <v>0</v>
      </c>
      <c r="N30" s="18">
        <v>0</v>
      </c>
      <c r="O30" s="18">
        <v>0</v>
      </c>
      <c r="P30" s="18">
        <v>0.01</v>
      </c>
      <c r="Q30" s="37"/>
      <c r="R30" s="37"/>
      <c r="S30" s="37"/>
      <c r="T30" s="37"/>
      <c r="U30" s="37"/>
      <c r="V30" s="37"/>
      <c r="W30" s="37"/>
      <c r="X30" s="37"/>
      <c r="Y30" s="37"/>
    </row>
    <row r="31" spans="1:42">
      <c r="A31" s="9">
        <v>5</v>
      </c>
      <c r="B31" s="3" t="s">
        <v>33</v>
      </c>
      <c r="E31" s="14"/>
      <c r="F31" s="15"/>
      <c r="G31" s="15"/>
      <c r="H31" s="15"/>
      <c r="I31" s="15"/>
      <c r="J31" s="15"/>
      <c r="K31" s="14"/>
      <c r="L31" s="15"/>
      <c r="M31" s="8"/>
      <c r="N31" s="8"/>
      <c r="O31" s="8"/>
      <c r="P31" s="8"/>
    </row>
    <row r="32" spans="1:42">
      <c r="A32" s="17"/>
      <c r="B32" s="3" t="s">
        <v>34</v>
      </c>
      <c r="C32" s="3" t="s">
        <v>35</v>
      </c>
      <c r="E32" s="15">
        <v>0</v>
      </c>
      <c r="F32" s="15">
        <v>0</v>
      </c>
      <c r="G32" s="15">
        <v>0</v>
      </c>
      <c r="H32" s="15">
        <v>0</v>
      </c>
      <c r="I32" s="15">
        <v>0</v>
      </c>
      <c r="J32" s="15">
        <v>0</v>
      </c>
      <c r="K32" s="14"/>
      <c r="L32" s="15"/>
      <c r="M32" s="45"/>
      <c r="N32" s="12"/>
      <c r="O32" s="262"/>
      <c r="P32" s="262"/>
      <c r="Q32" s="263"/>
      <c r="R32" s="263"/>
      <c r="S32" s="263"/>
      <c r="T32" s="263"/>
      <c r="U32" s="263"/>
      <c r="V32" s="263"/>
      <c r="W32" s="263"/>
      <c r="X32" s="263"/>
      <c r="Y32" s="263"/>
    </row>
    <row r="33" spans="1:25">
      <c r="A33" s="19"/>
      <c r="B33" s="3" t="s">
        <v>18</v>
      </c>
      <c r="C33" s="3" t="s">
        <v>36</v>
      </c>
      <c r="E33" s="15">
        <v>0</v>
      </c>
      <c r="F33" s="15">
        <v>0</v>
      </c>
      <c r="G33" s="15">
        <v>0</v>
      </c>
      <c r="H33" s="15">
        <v>0</v>
      </c>
      <c r="I33" s="15">
        <v>0</v>
      </c>
      <c r="J33" s="15">
        <v>0</v>
      </c>
      <c r="K33" s="14"/>
      <c r="L33" s="15"/>
      <c r="M33" s="45"/>
      <c r="N33" s="12"/>
      <c r="O33" s="262"/>
      <c r="P33" s="15"/>
      <c r="Q33" s="38"/>
      <c r="R33" s="38"/>
      <c r="S33" s="38"/>
      <c r="T33" s="38"/>
      <c r="U33" s="263"/>
      <c r="V33" s="263"/>
      <c r="W33" s="263"/>
      <c r="X33" s="49"/>
      <c r="Y33" s="49"/>
    </row>
    <row r="34" spans="1:25">
      <c r="A34" s="19"/>
      <c r="B34" s="3" t="s">
        <v>20</v>
      </c>
      <c r="C34" s="3" t="s">
        <v>37</v>
      </c>
      <c r="E34" s="15">
        <v>0</v>
      </c>
      <c r="F34" s="15">
        <v>0</v>
      </c>
      <c r="G34" s="15">
        <v>0</v>
      </c>
      <c r="H34" s="15">
        <v>0</v>
      </c>
      <c r="I34" s="15">
        <v>0</v>
      </c>
      <c r="J34" s="15">
        <v>0</v>
      </c>
      <c r="K34" s="14"/>
      <c r="L34" s="15"/>
      <c r="M34" s="45"/>
      <c r="N34" s="15"/>
      <c r="O34" s="262"/>
      <c r="P34" s="15"/>
      <c r="Q34" s="38"/>
      <c r="R34" s="38"/>
      <c r="S34" s="38"/>
      <c r="T34" s="38"/>
      <c r="U34" s="263"/>
      <c r="V34" s="263"/>
      <c r="W34" s="263"/>
      <c r="X34" s="49"/>
      <c r="Y34" s="49"/>
    </row>
    <row r="35" spans="1:25">
      <c r="A35" s="20">
        <v>6</v>
      </c>
      <c r="B35" s="21" t="s">
        <v>38</v>
      </c>
      <c r="C35" s="11"/>
      <c r="D35" s="11"/>
      <c r="E35" s="18">
        <v>0</v>
      </c>
      <c r="F35" s="18">
        <v>0</v>
      </c>
      <c r="G35" s="18">
        <v>0</v>
      </c>
      <c r="H35" s="18">
        <v>0</v>
      </c>
      <c r="I35" s="18">
        <v>0</v>
      </c>
      <c r="J35" s="18">
        <v>0</v>
      </c>
      <c r="K35" s="18">
        <v>0</v>
      </c>
      <c r="L35" s="18">
        <v>0</v>
      </c>
      <c r="M35" s="18">
        <v>0</v>
      </c>
      <c r="N35" s="18">
        <v>0</v>
      </c>
      <c r="O35" s="18">
        <v>0</v>
      </c>
      <c r="P35" s="18">
        <v>0.01</v>
      </c>
      <c r="Q35" s="37"/>
      <c r="R35" s="37"/>
      <c r="S35" s="37"/>
      <c r="T35" s="37"/>
      <c r="U35" s="37"/>
      <c r="V35" s="37"/>
      <c r="W35" s="37"/>
      <c r="X35" s="37"/>
      <c r="Y35" s="37"/>
    </row>
    <row r="36" spans="1:25">
      <c r="A36" s="20">
        <v>7</v>
      </c>
      <c r="B36" s="22" t="s">
        <v>39</v>
      </c>
      <c r="D36" s="23"/>
      <c r="E36" s="15">
        <v>0</v>
      </c>
      <c r="F36" s="15">
        <v>0</v>
      </c>
      <c r="G36" s="15">
        <v>0</v>
      </c>
      <c r="H36" s="15">
        <v>0</v>
      </c>
      <c r="I36" s="15">
        <v>0</v>
      </c>
      <c r="J36" s="15">
        <v>0</v>
      </c>
      <c r="K36" s="14">
        <v>0</v>
      </c>
      <c r="L36" s="15">
        <v>0</v>
      </c>
      <c r="M36" s="15">
        <v>0</v>
      </c>
      <c r="N36" s="15">
        <v>0</v>
      </c>
      <c r="O36" s="15">
        <v>0</v>
      </c>
      <c r="P36" s="15">
        <v>-1.02</v>
      </c>
      <c r="Q36" s="38"/>
      <c r="R36" s="38"/>
      <c r="S36" s="38"/>
      <c r="T36" s="38"/>
      <c r="U36" s="38"/>
      <c r="V36" s="38"/>
      <c r="W36" s="38"/>
      <c r="X36" s="38"/>
      <c r="Y36" s="38"/>
    </row>
    <row r="37" spans="1:25">
      <c r="A37" s="20">
        <v>8</v>
      </c>
      <c r="B37" s="22" t="s">
        <v>40</v>
      </c>
      <c r="C37" s="23"/>
      <c r="D37" s="23"/>
      <c r="E37" s="18">
        <v>0</v>
      </c>
      <c r="F37" s="18">
        <v>0</v>
      </c>
      <c r="G37" s="18">
        <v>0</v>
      </c>
      <c r="H37" s="18">
        <v>0</v>
      </c>
      <c r="I37" s="18">
        <v>0</v>
      </c>
      <c r="J37" s="18">
        <v>0</v>
      </c>
      <c r="K37" s="18">
        <v>0</v>
      </c>
      <c r="L37" s="18">
        <v>0</v>
      </c>
      <c r="M37" s="18">
        <v>0</v>
      </c>
      <c r="N37" s="18">
        <v>0</v>
      </c>
      <c r="O37" s="18">
        <v>0</v>
      </c>
      <c r="P37" s="18">
        <v>-1.01</v>
      </c>
      <c r="Q37" s="37"/>
      <c r="R37" s="37"/>
      <c r="S37" s="37"/>
      <c r="T37" s="37"/>
      <c r="U37" s="37"/>
      <c r="V37" s="37"/>
      <c r="W37" s="37"/>
      <c r="X37" s="37"/>
      <c r="Y37" s="37"/>
    </row>
    <row r="38" spans="1:25">
      <c r="A38" s="20">
        <v>9</v>
      </c>
      <c r="B38" s="24" t="s">
        <v>41</v>
      </c>
      <c r="C38" s="23"/>
      <c r="D38" s="23"/>
      <c r="E38" s="14"/>
      <c r="F38" s="15"/>
      <c r="G38" s="15"/>
      <c r="H38" s="15"/>
      <c r="I38" s="15"/>
      <c r="J38" s="15"/>
      <c r="K38" s="14"/>
      <c r="L38" s="15"/>
      <c r="M38" s="8"/>
      <c r="N38" s="8"/>
      <c r="O38" s="8"/>
      <c r="P38" s="8"/>
    </row>
    <row r="39" spans="1:25">
      <c r="A39" s="20"/>
      <c r="B39" s="25" t="s">
        <v>42</v>
      </c>
      <c r="C39" s="23"/>
      <c r="D39" s="23"/>
      <c r="E39" s="14"/>
      <c r="F39" s="15"/>
      <c r="G39" s="15"/>
      <c r="H39" s="15"/>
      <c r="I39" s="15"/>
      <c r="J39" s="15"/>
      <c r="K39" s="14"/>
      <c r="L39" s="15"/>
      <c r="M39" s="8"/>
      <c r="N39" s="8"/>
      <c r="O39" s="8"/>
      <c r="P39" s="8"/>
    </row>
    <row r="40" spans="1:25">
      <c r="A40" s="20"/>
      <c r="B40" s="25" t="s">
        <v>43</v>
      </c>
      <c r="C40" s="23"/>
      <c r="D40" s="23"/>
      <c r="E40" s="14"/>
      <c r="F40" s="15"/>
      <c r="G40" s="15"/>
      <c r="H40" s="15"/>
      <c r="I40" s="15"/>
      <c r="J40" s="15"/>
      <c r="K40" s="15"/>
      <c r="L40" s="15"/>
      <c r="M40" s="8"/>
      <c r="N40" s="8"/>
      <c r="O40" s="8"/>
      <c r="P40" s="8"/>
    </row>
    <row r="41" spans="1:25">
      <c r="A41" s="20">
        <v>10</v>
      </c>
      <c r="B41" s="24" t="s">
        <v>44</v>
      </c>
      <c r="C41" s="23"/>
      <c r="D41" s="23"/>
      <c r="E41" s="14"/>
      <c r="F41" s="15"/>
      <c r="G41" s="15"/>
      <c r="H41" s="15"/>
      <c r="I41" s="15"/>
      <c r="J41" s="15"/>
      <c r="K41" s="15"/>
      <c r="L41" s="15"/>
      <c r="M41" s="8"/>
      <c r="N41" s="8"/>
      <c r="O41" s="8"/>
      <c r="P41" s="8"/>
    </row>
    <row r="42" spans="1:25">
      <c r="A42" s="20"/>
      <c r="B42" s="25" t="s">
        <v>42</v>
      </c>
      <c r="C42" s="23"/>
      <c r="D42" s="23"/>
      <c r="E42" s="14"/>
      <c r="F42" s="15"/>
      <c r="G42" s="15"/>
      <c r="H42" s="15"/>
      <c r="I42" s="15"/>
      <c r="J42" s="15"/>
      <c r="K42" s="14"/>
      <c r="L42" s="15"/>
      <c r="M42" s="8"/>
      <c r="N42" s="8"/>
      <c r="O42" s="8"/>
      <c r="P42" s="8"/>
    </row>
    <row r="43" spans="1:25">
      <c r="A43" s="20"/>
      <c r="B43" s="25" t="s">
        <v>43</v>
      </c>
      <c r="C43" s="23"/>
      <c r="D43" s="23"/>
      <c r="E43" s="14"/>
      <c r="F43" s="15"/>
      <c r="G43" s="15"/>
      <c r="H43" s="15"/>
      <c r="I43" s="15"/>
      <c r="J43" s="15"/>
      <c r="K43" s="15"/>
      <c r="L43" s="15"/>
      <c r="M43" s="8"/>
      <c r="N43" s="8"/>
      <c r="O43" s="8"/>
      <c r="P43" s="8"/>
    </row>
    <row r="44" spans="1:25">
      <c r="A44" s="20">
        <v>11</v>
      </c>
      <c r="B44" s="24" t="s">
        <v>45</v>
      </c>
      <c r="C44" s="23"/>
      <c r="D44" s="23"/>
      <c r="E44" s="14"/>
      <c r="F44" s="15"/>
      <c r="G44" s="15"/>
      <c r="H44" s="15"/>
      <c r="I44" s="15"/>
      <c r="J44" s="15"/>
      <c r="K44" s="15"/>
      <c r="L44" s="15"/>
      <c r="M44" s="8"/>
      <c r="N44" s="8"/>
      <c r="O44" s="8"/>
      <c r="P44" s="8"/>
    </row>
    <row r="45" spans="1:25">
      <c r="A45" s="20"/>
      <c r="B45" s="25" t="s">
        <v>42</v>
      </c>
      <c r="C45" s="23"/>
      <c r="D45" s="23"/>
      <c r="E45" s="14"/>
      <c r="F45" s="15"/>
      <c r="G45" s="15"/>
      <c r="H45" s="15"/>
      <c r="I45" s="15"/>
      <c r="J45" s="15"/>
      <c r="K45" s="14"/>
      <c r="L45" s="15"/>
      <c r="M45" s="8"/>
      <c r="N45" s="8"/>
      <c r="O45" s="8"/>
      <c r="P45" s="8"/>
    </row>
    <row r="46" spans="1:25">
      <c r="A46" s="26"/>
      <c r="B46" s="25" t="s">
        <v>43</v>
      </c>
      <c r="C46" s="23"/>
      <c r="D46" s="23"/>
      <c r="E46" s="14"/>
      <c r="F46" s="15"/>
      <c r="G46" s="15"/>
      <c r="H46" s="15"/>
      <c r="I46" s="15"/>
      <c r="J46" s="15"/>
      <c r="K46" s="15"/>
      <c r="L46" s="15"/>
      <c r="M46" s="8"/>
      <c r="N46" s="8"/>
      <c r="O46" s="8"/>
      <c r="P46" s="8"/>
    </row>
    <row r="47" spans="1:25">
      <c r="A47" s="20">
        <v>9</v>
      </c>
      <c r="B47" s="27" t="s">
        <v>46</v>
      </c>
      <c r="C47" s="27"/>
      <c r="D47" s="27"/>
      <c r="E47" s="29"/>
      <c r="F47" s="29"/>
      <c r="G47" s="29"/>
      <c r="H47" s="29"/>
      <c r="I47" s="29"/>
      <c r="J47" s="29"/>
      <c r="K47" s="28"/>
      <c r="L47" s="29"/>
      <c r="M47" s="8"/>
      <c r="N47" s="8"/>
      <c r="O47" s="8"/>
      <c r="P47" s="8"/>
    </row>
    <row r="48" spans="1:25">
      <c r="A48" s="30" t="s">
        <v>66</v>
      </c>
      <c r="B48" s="31" t="s">
        <v>47</v>
      </c>
      <c r="E48" s="14"/>
      <c r="F48" s="15"/>
      <c r="G48" s="15"/>
      <c r="H48" s="15"/>
      <c r="I48" s="15"/>
      <c r="J48" s="15"/>
      <c r="K48" s="15"/>
      <c r="L48" s="15"/>
      <c r="M48" s="8"/>
      <c r="N48" s="8"/>
      <c r="O48" s="8"/>
      <c r="P48" s="8"/>
    </row>
    <row r="49" spans="1:16">
      <c r="A49" s="20"/>
      <c r="B49" s="3" t="s">
        <v>48</v>
      </c>
      <c r="E49" s="14"/>
      <c r="F49" s="15"/>
      <c r="G49" s="15"/>
      <c r="H49" s="15"/>
      <c r="I49" s="15"/>
      <c r="J49" s="15"/>
      <c r="K49" s="15"/>
      <c r="L49" s="15"/>
      <c r="M49" s="8"/>
      <c r="N49" s="8"/>
      <c r="O49" s="8"/>
      <c r="P49" s="8"/>
    </row>
    <row r="50" spans="1:16">
      <c r="A50" s="30"/>
      <c r="B50" s="3" t="s">
        <v>34</v>
      </c>
      <c r="C50" s="3" t="s">
        <v>49</v>
      </c>
      <c r="E50" s="15"/>
      <c r="F50" s="15"/>
      <c r="G50" s="15"/>
      <c r="H50" s="15"/>
      <c r="I50" s="15"/>
      <c r="J50" s="15"/>
      <c r="K50" s="14"/>
      <c r="L50" s="15"/>
      <c r="M50" s="15"/>
      <c r="N50" s="15" t="e">
        <v>#DIV/0!</v>
      </c>
      <c r="O50" s="8">
        <v>3.67</v>
      </c>
      <c r="P50" s="8">
        <v>0.55000000000000004</v>
      </c>
    </row>
    <row r="51" spans="1:16">
      <c r="A51" s="32"/>
      <c r="B51" s="33" t="s">
        <v>18</v>
      </c>
      <c r="C51" s="33" t="s">
        <v>50</v>
      </c>
      <c r="D51" s="33"/>
      <c r="E51" s="35"/>
      <c r="F51" s="35"/>
      <c r="G51" s="35"/>
      <c r="H51" s="35"/>
      <c r="I51" s="35"/>
      <c r="J51" s="35"/>
      <c r="K51" s="34"/>
      <c r="L51" s="268"/>
      <c r="M51" s="35"/>
      <c r="N51" s="119" t="e">
        <v>#DIV/0!</v>
      </c>
      <c r="O51" s="44">
        <v>3.67</v>
      </c>
      <c r="P51" s="44">
        <v>0.51</v>
      </c>
    </row>
    <row r="52" spans="1:16">
      <c r="A52" s="36"/>
      <c r="E52" s="37"/>
      <c r="F52" s="38"/>
      <c r="G52" s="38"/>
      <c r="H52" s="37"/>
      <c r="I52" s="38"/>
      <c r="J52" s="38"/>
      <c r="K52" s="37"/>
      <c r="L52" s="37"/>
      <c r="M52" s="37"/>
    </row>
    <row r="53" spans="1:16">
      <c r="A53" s="1" t="s">
        <v>51</v>
      </c>
      <c r="E53" s="37"/>
      <c r="F53" s="38"/>
      <c r="G53" s="38"/>
      <c r="H53" s="37"/>
      <c r="I53" s="38"/>
      <c r="J53" s="38"/>
      <c r="K53" s="37"/>
      <c r="L53" s="37"/>
      <c r="M53" s="37"/>
    </row>
    <row r="54" spans="1:16">
      <c r="A54" s="39">
        <v>1</v>
      </c>
      <c r="B54" s="1282" t="s">
        <v>270</v>
      </c>
      <c r="C54" s="1282"/>
      <c r="D54" s="1282"/>
      <c r="E54" s="1282"/>
      <c r="F54" s="1282"/>
      <c r="G54" s="1282"/>
      <c r="H54" s="1282"/>
      <c r="I54" s="1282"/>
      <c r="J54" s="1282"/>
      <c r="K54" s="1282"/>
      <c r="L54" s="1282"/>
      <c r="M54" s="1282"/>
    </row>
    <row r="55" spans="1:16">
      <c r="A55" s="40" t="s">
        <v>52</v>
      </c>
      <c r="B55" s="1277" t="s">
        <v>267</v>
      </c>
      <c r="C55" s="1277"/>
      <c r="D55" s="1277"/>
      <c r="E55" s="1277"/>
      <c r="F55" s="1277"/>
      <c r="G55" s="1277"/>
      <c r="H55" s="1277"/>
      <c r="I55" s="1277"/>
      <c r="J55" s="1277"/>
      <c r="K55" s="1277"/>
      <c r="L55" s="1277"/>
      <c r="M55" s="1277"/>
    </row>
    <row r="56" spans="1:16">
      <c r="A56" s="39">
        <v>3</v>
      </c>
      <c r="B56" s="1277" t="s">
        <v>53</v>
      </c>
      <c r="C56" s="1277"/>
      <c r="D56" s="1277"/>
      <c r="E56" s="1277"/>
      <c r="F56" s="1277"/>
      <c r="G56" s="1277"/>
      <c r="H56" s="1277"/>
      <c r="I56" s="1277"/>
      <c r="J56" s="1277"/>
      <c r="K56" s="1277"/>
      <c r="L56" s="1277"/>
      <c r="M56" s="1277"/>
    </row>
    <row r="57" spans="1:16">
      <c r="A57" s="39">
        <v>4</v>
      </c>
      <c r="B57" s="1277" t="s">
        <v>54</v>
      </c>
      <c r="C57" s="1277"/>
      <c r="D57" s="1277"/>
      <c r="E57" s="1277"/>
      <c r="F57" s="1277"/>
      <c r="G57" s="1277"/>
      <c r="H57" s="1277"/>
      <c r="I57" s="1277"/>
      <c r="J57" s="1277"/>
      <c r="K57" s="1277"/>
      <c r="L57" s="1277"/>
      <c r="M57" s="1277"/>
    </row>
    <row r="58" spans="1:16">
      <c r="A58" s="40" t="s">
        <v>268</v>
      </c>
      <c r="B58" s="1277" t="s">
        <v>271</v>
      </c>
      <c r="C58" s="1277"/>
      <c r="D58" s="1277"/>
      <c r="E58" s="1277"/>
      <c r="F58" s="1277"/>
      <c r="G58" s="1277"/>
      <c r="H58" s="1277"/>
      <c r="I58" s="1277"/>
      <c r="J58" s="1277"/>
      <c r="K58" s="1277"/>
      <c r="L58" s="1277"/>
      <c r="M58" s="1277"/>
    </row>
    <row r="59" spans="1:16">
      <c r="A59" s="40" t="s">
        <v>269</v>
      </c>
      <c r="B59" s="1277" t="s">
        <v>273</v>
      </c>
      <c r="C59" s="1277"/>
      <c r="D59" s="1277"/>
      <c r="E59" s="1277"/>
      <c r="F59" s="1277"/>
      <c r="G59" s="1277"/>
      <c r="H59" s="1277"/>
      <c r="I59" s="1277"/>
      <c r="J59" s="1277"/>
      <c r="K59" s="1277"/>
      <c r="L59" s="1277"/>
      <c r="M59" s="1277"/>
    </row>
    <row r="60" spans="1:16" ht="36">
      <c r="A60" s="40"/>
      <c r="B60" s="275"/>
      <c r="C60" s="275"/>
      <c r="D60" s="4" t="s">
        <v>0</v>
      </c>
      <c r="E60" s="4" t="s">
        <v>315</v>
      </c>
      <c r="F60" s="275"/>
      <c r="G60" s="275"/>
      <c r="H60" s="275"/>
      <c r="I60" s="275"/>
      <c r="J60" s="275"/>
      <c r="K60" s="275"/>
      <c r="L60" s="275"/>
      <c r="M60" s="275"/>
    </row>
    <row r="61" spans="1:16">
      <c r="A61" s="40"/>
      <c r="B61" s="275"/>
      <c r="C61" s="275"/>
      <c r="D61" s="282" t="s">
        <v>279</v>
      </c>
      <c r="E61" s="283"/>
      <c r="F61" s="275"/>
      <c r="G61" s="275"/>
      <c r="H61" s="275"/>
      <c r="I61" s="275"/>
      <c r="J61" s="275"/>
      <c r="K61" s="275"/>
      <c r="L61" s="275"/>
      <c r="M61" s="275"/>
    </row>
    <row r="62" spans="1:16">
      <c r="A62" s="40"/>
      <c r="B62" s="275"/>
      <c r="C62" s="275"/>
      <c r="D62" s="284" t="s">
        <v>274</v>
      </c>
      <c r="E62" s="285">
        <v>0</v>
      </c>
      <c r="F62" s="275"/>
      <c r="G62" s="275"/>
      <c r="H62" s="275"/>
      <c r="I62" s="275"/>
      <c r="J62" s="275"/>
      <c r="K62" s="275"/>
      <c r="L62" s="275"/>
      <c r="M62" s="275"/>
    </row>
    <row r="63" spans="1:16">
      <c r="A63" s="40"/>
      <c r="B63" s="275"/>
      <c r="C63" s="275"/>
      <c r="D63" s="284" t="s">
        <v>275</v>
      </c>
      <c r="E63" s="285">
        <v>0</v>
      </c>
      <c r="F63" s="275"/>
      <c r="G63" s="275"/>
      <c r="H63" s="275"/>
      <c r="I63" s="275"/>
      <c r="J63" s="275"/>
      <c r="K63" s="275"/>
      <c r="L63" s="275"/>
      <c r="M63" s="275"/>
    </row>
    <row r="64" spans="1:16">
      <c r="A64" s="40"/>
      <c r="B64" s="275"/>
      <c r="C64" s="275"/>
      <c r="D64" s="282" t="s">
        <v>277</v>
      </c>
      <c r="E64" s="286">
        <v>0</v>
      </c>
      <c r="F64" s="275"/>
      <c r="G64" s="275"/>
      <c r="H64" s="275"/>
      <c r="I64" s="275"/>
      <c r="J64" s="275"/>
      <c r="K64" s="275"/>
      <c r="L64" s="275"/>
      <c r="M64" s="275"/>
    </row>
    <row r="65" spans="1:13">
      <c r="A65" s="40"/>
      <c r="B65" s="275"/>
      <c r="C65" s="275"/>
      <c r="D65" s="278"/>
      <c r="E65" s="279"/>
      <c r="F65" s="275"/>
      <c r="G65" s="275"/>
      <c r="H65" s="275"/>
      <c r="I65" s="275"/>
      <c r="J65" s="275"/>
      <c r="K65" s="275"/>
      <c r="L65" s="275"/>
      <c r="M65" s="275"/>
    </row>
    <row r="66" spans="1:13">
      <c r="A66" s="40"/>
      <c r="B66" s="275"/>
      <c r="C66" s="275"/>
      <c r="D66" s="282" t="s">
        <v>276</v>
      </c>
      <c r="E66" s="283"/>
      <c r="F66" s="275"/>
      <c r="G66" s="275"/>
      <c r="H66" s="275"/>
      <c r="I66" s="275"/>
      <c r="J66" s="275"/>
      <c r="K66" s="275"/>
      <c r="L66" s="275"/>
      <c r="M66" s="275"/>
    </row>
    <row r="67" spans="1:13">
      <c r="A67" s="40"/>
      <c r="B67" s="275"/>
      <c r="C67" s="275"/>
      <c r="D67" s="284" t="s">
        <v>274</v>
      </c>
      <c r="E67" s="281">
        <v>0</v>
      </c>
      <c r="F67" s="275"/>
      <c r="G67" s="275"/>
      <c r="H67" s="275"/>
      <c r="I67" s="275"/>
      <c r="J67" s="275"/>
      <c r="K67" s="275"/>
      <c r="L67" s="275"/>
      <c r="M67" s="275"/>
    </row>
    <row r="68" spans="1:13">
      <c r="A68" s="40"/>
      <c r="B68" s="275"/>
      <c r="C68" s="275"/>
      <c r="D68" s="284" t="s">
        <v>275</v>
      </c>
      <c r="E68" s="287">
        <v>0</v>
      </c>
      <c r="F68" s="275"/>
      <c r="G68" s="275"/>
      <c r="H68" s="275"/>
      <c r="I68" s="275"/>
      <c r="J68" s="275"/>
      <c r="K68" s="275"/>
      <c r="L68" s="275"/>
      <c r="M68" s="275"/>
    </row>
    <row r="69" spans="1:13">
      <c r="A69" s="40"/>
      <c r="B69" s="275"/>
      <c r="C69" s="275"/>
      <c r="D69" s="282" t="s">
        <v>278</v>
      </c>
      <c r="E69" s="18">
        <v>0</v>
      </c>
      <c r="F69" s="275"/>
      <c r="G69" s="275"/>
      <c r="H69" s="275"/>
      <c r="I69" s="275"/>
      <c r="J69" s="275"/>
      <c r="K69" s="275"/>
      <c r="L69" s="275"/>
      <c r="M69" s="275"/>
    </row>
    <row r="70" spans="1:13">
      <c r="A70" s="40"/>
      <c r="B70" s="275"/>
      <c r="C70" s="275"/>
      <c r="D70" s="275"/>
      <c r="E70" s="280"/>
      <c r="F70" s="275"/>
      <c r="G70" s="275"/>
      <c r="H70" s="275"/>
      <c r="I70" s="275"/>
      <c r="J70" s="275"/>
      <c r="K70" s="275"/>
      <c r="L70" s="275"/>
      <c r="M70" s="275"/>
    </row>
    <row r="71" spans="1:13">
      <c r="A71" s="40"/>
      <c r="B71" s="275"/>
      <c r="C71" s="275"/>
      <c r="D71" s="282" t="s">
        <v>280</v>
      </c>
      <c r="E71" s="283"/>
      <c r="F71" s="275"/>
      <c r="G71" s="275"/>
      <c r="H71" s="275"/>
      <c r="I71" s="275"/>
      <c r="J71" s="275"/>
      <c r="K71" s="275"/>
      <c r="L71" s="275"/>
      <c r="M71" s="275"/>
    </row>
    <row r="72" spans="1:13">
      <c r="A72" s="40"/>
      <c r="B72" s="275"/>
      <c r="C72" s="275"/>
      <c r="D72" s="284" t="s">
        <v>274</v>
      </c>
      <c r="E72" s="285">
        <v>0</v>
      </c>
      <c r="F72" s="275"/>
      <c r="G72" s="275"/>
      <c r="H72" s="275"/>
      <c r="I72" s="275"/>
      <c r="J72" s="275"/>
      <c r="K72" s="275"/>
      <c r="L72" s="275"/>
      <c r="M72" s="275"/>
    </row>
    <row r="73" spans="1:13">
      <c r="A73" s="40"/>
      <c r="B73" s="275"/>
      <c r="C73" s="275"/>
      <c r="D73" s="284" t="s">
        <v>275</v>
      </c>
      <c r="E73" s="289">
        <v>0</v>
      </c>
      <c r="F73" s="275"/>
      <c r="G73" s="275"/>
      <c r="H73" s="275"/>
      <c r="I73" s="275"/>
      <c r="J73" s="275"/>
      <c r="K73" s="275"/>
      <c r="L73" s="275"/>
      <c r="M73" s="275"/>
    </row>
    <row r="74" spans="1:13">
      <c r="A74" s="40"/>
      <c r="B74" s="275"/>
      <c r="C74" s="275"/>
      <c r="D74" s="284" t="s">
        <v>284</v>
      </c>
      <c r="E74" s="289">
        <v>0</v>
      </c>
      <c r="F74" s="275"/>
      <c r="G74" s="275"/>
      <c r="H74" s="275"/>
      <c r="I74" s="275"/>
      <c r="J74" s="275"/>
      <c r="K74" s="275"/>
      <c r="L74" s="275"/>
      <c r="M74" s="275"/>
    </row>
    <row r="75" spans="1:13">
      <c r="A75" s="40"/>
      <c r="B75" s="275"/>
      <c r="C75" s="275"/>
      <c r="D75" s="282" t="s">
        <v>281</v>
      </c>
      <c r="E75" s="290">
        <v>0</v>
      </c>
      <c r="F75" s="275"/>
      <c r="G75" s="275"/>
      <c r="H75" s="275"/>
      <c r="I75" s="275"/>
      <c r="J75" s="275"/>
      <c r="K75" s="275"/>
      <c r="L75" s="275"/>
      <c r="M75" s="275"/>
    </row>
    <row r="76" spans="1:13">
      <c r="A76" s="40"/>
      <c r="B76" s="275"/>
      <c r="C76" s="275"/>
      <c r="D76" s="275"/>
      <c r="E76" s="291"/>
      <c r="F76" s="275"/>
      <c r="G76" s="275"/>
      <c r="H76" s="275"/>
      <c r="I76" s="275"/>
      <c r="J76" s="275"/>
      <c r="K76" s="275"/>
      <c r="L76" s="275"/>
      <c r="M76" s="275"/>
    </row>
    <row r="77" spans="1:13">
      <c r="A77" s="40"/>
      <c r="B77" s="275"/>
      <c r="C77" s="275"/>
      <c r="D77" s="282" t="s">
        <v>282</v>
      </c>
      <c r="E77" s="289"/>
      <c r="F77" s="275"/>
      <c r="G77" s="275"/>
      <c r="H77" s="275"/>
      <c r="I77" s="275"/>
      <c r="J77" s="275"/>
      <c r="K77" s="275"/>
      <c r="L77" s="275"/>
      <c r="M77" s="275"/>
    </row>
    <row r="78" spans="1:13">
      <c r="A78" s="40"/>
      <c r="B78" s="275"/>
      <c r="C78" s="275"/>
      <c r="D78" s="284" t="s">
        <v>274</v>
      </c>
      <c r="E78" s="289" t="e">
        <v>#REF!</v>
      </c>
      <c r="F78" s="275"/>
      <c r="G78" s="275"/>
      <c r="H78" s="275"/>
      <c r="I78" s="275"/>
      <c r="J78" s="275"/>
      <c r="K78" s="275"/>
      <c r="L78" s="275"/>
      <c r="M78" s="275"/>
    </row>
    <row r="79" spans="1:13">
      <c r="A79" s="40"/>
      <c r="B79" s="275"/>
      <c r="C79" s="275"/>
      <c r="D79" s="284" t="s">
        <v>275</v>
      </c>
      <c r="E79" s="292" t="e">
        <v>#REF!</v>
      </c>
      <c r="F79" s="275"/>
      <c r="G79" s="275"/>
      <c r="H79" s="275"/>
      <c r="I79" s="275"/>
      <c r="J79" s="275"/>
      <c r="K79" s="275"/>
      <c r="L79" s="275"/>
      <c r="M79" s="275"/>
    </row>
    <row r="80" spans="1:13">
      <c r="A80" s="40"/>
      <c r="B80" s="275"/>
      <c r="C80" s="275"/>
      <c r="D80" s="282" t="s">
        <v>283</v>
      </c>
      <c r="E80" s="288" t="e">
        <v>#REF!</v>
      </c>
      <c r="F80" s="275"/>
      <c r="G80" s="275"/>
      <c r="H80" s="275"/>
      <c r="I80" s="275"/>
      <c r="J80" s="275"/>
      <c r="K80" s="275"/>
      <c r="L80" s="275"/>
      <c r="M80" s="275"/>
    </row>
    <row r="81" spans="1:13">
      <c r="A81" s="40"/>
      <c r="B81" s="275"/>
      <c r="C81" s="275"/>
      <c r="D81" s="278"/>
      <c r="E81" s="275"/>
      <c r="F81" s="275"/>
      <c r="G81" s="275"/>
      <c r="H81" s="275"/>
      <c r="I81" s="275"/>
      <c r="J81" s="275"/>
      <c r="K81" s="275"/>
      <c r="L81" s="275"/>
      <c r="M81" s="275"/>
    </row>
    <row r="82" spans="1:13">
      <c r="A82" s="39">
        <v>7</v>
      </c>
      <c r="B82" s="1278" t="s">
        <v>272</v>
      </c>
      <c r="C82" s="1278"/>
      <c r="D82" s="1278"/>
      <c r="E82" s="1278"/>
      <c r="F82" s="1278"/>
      <c r="G82" s="1278"/>
      <c r="H82" s="1278"/>
      <c r="I82" s="1278"/>
      <c r="J82" s="1278"/>
      <c r="K82" s="1278"/>
      <c r="L82" s="1278"/>
      <c r="M82" s="1278"/>
    </row>
    <row r="83" spans="1:13">
      <c r="A83" s="39"/>
      <c r="B83" s="277"/>
      <c r="C83" s="277"/>
      <c r="D83" s="277"/>
      <c r="E83" s="277"/>
      <c r="F83" s="277"/>
      <c r="G83" s="277"/>
      <c r="H83" s="277"/>
      <c r="I83" s="277"/>
      <c r="J83" s="277"/>
      <c r="K83" s="277"/>
      <c r="L83" s="277"/>
      <c r="M83" s="277"/>
    </row>
    <row r="84" spans="1:13">
      <c r="B84" s="277"/>
      <c r="C84" s="277"/>
      <c r="D84" s="277"/>
      <c r="E84" s="277"/>
      <c r="F84" s="277"/>
      <c r="G84" s="277"/>
      <c r="H84" s="277"/>
      <c r="I84" s="277"/>
      <c r="J84" s="277"/>
      <c r="K84" s="277"/>
      <c r="L84" s="277"/>
      <c r="M84" s="277"/>
    </row>
    <row r="85" spans="1:13">
      <c r="B85" s="3" t="s">
        <v>55</v>
      </c>
    </row>
    <row r="86" spans="1:13">
      <c r="B86" s="3" t="s">
        <v>162</v>
      </c>
      <c r="E86" s="3" t="s">
        <v>56</v>
      </c>
    </row>
    <row r="90" spans="1:13">
      <c r="E90" s="3" t="s">
        <v>57</v>
      </c>
    </row>
    <row r="91" spans="1:13">
      <c r="E91" s="3" t="s">
        <v>58</v>
      </c>
    </row>
    <row r="92" spans="1:13">
      <c r="E92" s="3" t="s">
        <v>59</v>
      </c>
    </row>
  </sheetData>
  <mergeCells count="23">
    <mergeCell ref="A6:O6"/>
    <mergeCell ref="A1:O1"/>
    <mergeCell ref="A2:O2"/>
    <mergeCell ref="A3:O3"/>
    <mergeCell ref="A4:O4"/>
    <mergeCell ref="A5:O5"/>
    <mergeCell ref="A8:A10"/>
    <mergeCell ref="B8:D9"/>
    <mergeCell ref="E8:J8"/>
    <mergeCell ref="K8:P8"/>
    <mergeCell ref="B10:D10"/>
    <mergeCell ref="B58:M58"/>
    <mergeCell ref="B59:M59"/>
    <mergeCell ref="B82:M82"/>
    <mergeCell ref="AM9:AN9"/>
    <mergeCell ref="AO9:AP9"/>
    <mergeCell ref="C18:D18"/>
    <mergeCell ref="C20:D20"/>
    <mergeCell ref="B54:M54"/>
    <mergeCell ref="B55:M55"/>
    <mergeCell ref="B56:M56"/>
    <mergeCell ref="B57:M57"/>
    <mergeCell ref="B11:D11"/>
  </mergeCells>
  <printOptions horizontalCentered="1"/>
  <pageMargins left="0.7" right="0.7" top="0.75" bottom="0.75" header="0.3" footer="0.3"/>
  <pageSetup paperSize="9" scale="8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4"/>
  <sheetViews>
    <sheetView workbookViewId="0">
      <selection activeCell="E54" sqref="E54"/>
    </sheetView>
  </sheetViews>
  <sheetFormatPr defaultRowHeight="14.5"/>
  <cols>
    <col min="1" max="1" width="4" bestFit="1" customWidth="1"/>
    <col min="2" max="2" width="47.81640625" bestFit="1" customWidth="1"/>
    <col min="3" max="3" width="8.54296875" bestFit="1" customWidth="1"/>
    <col min="4" max="4" width="19.81640625" bestFit="1" customWidth="1"/>
  </cols>
  <sheetData>
    <row r="1" spans="1:4">
      <c r="A1" s="1290" t="s">
        <v>0</v>
      </c>
      <c r="B1" s="1291"/>
      <c r="C1" s="1294" t="s">
        <v>113</v>
      </c>
      <c r="D1" s="83" t="s">
        <v>320</v>
      </c>
    </row>
    <row r="2" spans="1:4">
      <c r="A2" s="1292"/>
      <c r="B2" s="1293"/>
      <c r="C2" s="1295"/>
      <c r="D2" s="84" t="s">
        <v>115</v>
      </c>
    </row>
    <row r="3" spans="1:4">
      <c r="A3" s="85"/>
      <c r="B3" s="86"/>
      <c r="C3" s="87"/>
      <c r="D3" s="88"/>
    </row>
    <row r="4" spans="1:4">
      <c r="A4" s="89" t="s">
        <v>116</v>
      </c>
      <c r="B4" s="86" t="s">
        <v>62</v>
      </c>
      <c r="C4" s="90">
        <v>22</v>
      </c>
      <c r="D4" s="91"/>
    </row>
    <row r="5" spans="1:4">
      <c r="A5" s="89" t="s">
        <v>117</v>
      </c>
      <c r="B5" s="86" t="s">
        <v>13</v>
      </c>
      <c r="C5" s="90">
        <v>23</v>
      </c>
      <c r="D5" s="91"/>
    </row>
    <row r="6" spans="1:4">
      <c r="A6" s="92" t="s">
        <v>118</v>
      </c>
      <c r="B6" s="93" t="s">
        <v>119</v>
      </c>
      <c r="C6" s="90"/>
      <c r="D6" s="94"/>
    </row>
    <row r="7" spans="1:4">
      <c r="A7" s="92"/>
      <c r="B7" s="93"/>
      <c r="C7" s="90"/>
      <c r="D7" s="95"/>
    </row>
    <row r="8" spans="1:4">
      <c r="A8" s="89" t="s">
        <v>120</v>
      </c>
      <c r="B8" s="86" t="s">
        <v>121</v>
      </c>
      <c r="C8" s="90"/>
      <c r="D8" s="91"/>
    </row>
    <row r="9" spans="1:4">
      <c r="A9" s="89"/>
      <c r="B9" s="96" t="s">
        <v>122</v>
      </c>
      <c r="C9" s="90">
        <v>24</v>
      </c>
      <c r="D9" s="91"/>
    </row>
    <row r="10" spans="1:4">
      <c r="A10" s="89"/>
      <c r="B10" s="96" t="s">
        <v>123</v>
      </c>
      <c r="C10" s="90">
        <v>25</v>
      </c>
      <c r="D10" s="91"/>
    </row>
    <row r="11" spans="1:4" ht="25">
      <c r="A11" s="97"/>
      <c r="B11" s="98" t="s">
        <v>124</v>
      </c>
      <c r="C11" s="90">
        <v>26</v>
      </c>
      <c r="D11" s="91"/>
    </row>
    <row r="12" spans="1:4">
      <c r="A12" s="97"/>
      <c r="B12" s="96" t="s">
        <v>125</v>
      </c>
      <c r="C12" s="90">
        <v>27</v>
      </c>
      <c r="D12" s="91"/>
    </row>
    <row r="13" spans="1:4">
      <c r="A13" s="97"/>
      <c r="B13" s="96" t="s">
        <v>126</v>
      </c>
      <c r="C13" s="90">
        <v>28</v>
      </c>
      <c r="D13" s="91"/>
    </row>
    <row r="14" spans="1:4">
      <c r="A14" s="97"/>
      <c r="B14" s="96" t="s">
        <v>127</v>
      </c>
      <c r="C14" s="90">
        <v>12</v>
      </c>
      <c r="D14" s="91"/>
    </row>
    <row r="15" spans="1:4">
      <c r="A15" s="97"/>
      <c r="B15" s="96" t="s">
        <v>128</v>
      </c>
      <c r="C15" s="90">
        <v>29</v>
      </c>
      <c r="D15" s="91"/>
    </row>
    <row r="16" spans="1:4">
      <c r="A16" s="97"/>
      <c r="B16" s="99" t="s">
        <v>29</v>
      </c>
      <c r="C16" s="90"/>
      <c r="D16" s="94"/>
    </row>
    <row r="17" spans="1:7">
      <c r="A17" s="97"/>
      <c r="B17" s="86"/>
      <c r="C17" s="90"/>
      <c r="D17" s="91"/>
    </row>
    <row r="18" spans="1:7" ht="26">
      <c r="A18" s="100" t="s">
        <v>129</v>
      </c>
      <c r="B18" s="101" t="s">
        <v>130</v>
      </c>
      <c r="C18" s="102"/>
      <c r="D18" s="103"/>
      <c r="E18" s="42"/>
    </row>
    <row r="19" spans="1:7">
      <c r="A19" s="104"/>
      <c r="B19" s="96"/>
      <c r="C19" s="90"/>
      <c r="D19" s="91"/>
    </row>
    <row r="20" spans="1:7">
      <c r="A20" s="105" t="s">
        <v>131</v>
      </c>
      <c r="B20" s="96" t="s">
        <v>132</v>
      </c>
      <c r="C20" s="90">
        <v>30</v>
      </c>
      <c r="D20" s="91"/>
    </row>
    <row r="21" spans="1:7">
      <c r="A21" s="104"/>
      <c r="B21" s="96"/>
      <c r="C21" s="90"/>
      <c r="D21" s="91"/>
    </row>
    <row r="22" spans="1:7">
      <c r="A22" s="100" t="s">
        <v>133</v>
      </c>
      <c r="B22" s="101" t="s">
        <v>134</v>
      </c>
      <c r="C22" s="102"/>
      <c r="D22" s="94"/>
    </row>
    <row r="23" spans="1:7">
      <c r="A23" s="104"/>
      <c r="B23" s="96"/>
      <c r="C23" s="90"/>
      <c r="D23" s="91"/>
    </row>
    <row r="24" spans="1:7">
      <c r="A24" s="105" t="s">
        <v>135</v>
      </c>
      <c r="B24" s="96" t="s">
        <v>136</v>
      </c>
      <c r="C24" s="90"/>
      <c r="D24" s="91"/>
    </row>
    <row r="25" spans="1:7">
      <c r="A25" s="104"/>
      <c r="B25" s="96"/>
      <c r="C25" s="90"/>
      <c r="D25" s="91"/>
    </row>
    <row r="26" spans="1:7">
      <c r="A26" s="106" t="s">
        <v>137</v>
      </c>
      <c r="B26" s="107" t="s">
        <v>138</v>
      </c>
      <c r="C26" s="102"/>
      <c r="D26" s="94"/>
      <c r="G26" s="42"/>
    </row>
    <row r="27" spans="1:7">
      <c r="A27" s="106"/>
      <c r="B27" s="107"/>
      <c r="C27" s="102"/>
      <c r="D27" s="95"/>
    </row>
    <row r="28" spans="1:7">
      <c r="A28" s="105" t="s">
        <v>139</v>
      </c>
      <c r="B28" s="96" t="s">
        <v>140</v>
      </c>
      <c r="C28" s="90"/>
      <c r="D28" s="91"/>
    </row>
    <row r="29" spans="1:7">
      <c r="A29" s="104"/>
      <c r="B29" s="108" t="s">
        <v>141</v>
      </c>
      <c r="C29" s="90"/>
      <c r="D29" s="91"/>
    </row>
    <row r="30" spans="1:7">
      <c r="A30" s="104"/>
      <c r="B30" s="108" t="s">
        <v>142</v>
      </c>
      <c r="C30" s="90"/>
      <c r="D30" s="91"/>
    </row>
    <row r="31" spans="1:7">
      <c r="A31" s="104"/>
      <c r="B31" s="108" t="s">
        <v>143</v>
      </c>
      <c r="C31" s="90"/>
      <c r="D31" s="91"/>
    </row>
    <row r="32" spans="1:7" ht="26">
      <c r="A32" s="100" t="s">
        <v>144</v>
      </c>
      <c r="B32" s="101" t="s">
        <v>145</v>
      </c>
      <c r="C32" s="90"/>
      <c r="D32" s="109"/>
    </row>
    <row r="33" spans="1:4">
      <c r="A33" s="104"/>
      <c r="B33" s="96"/>
      <c r="C33" s="90"/>
      <c r="D33" s="91"/>
    </row>
    <row r="34" spans="1:4">
      <c r="A34" s="105" t="s">
        <v>146</v>
      </c>
      <c r="B34" s="110" t="s">
        <v>147</v>
      </c>
      <c r="C34" s="90"/>
      <c r="D34" s="91"/>
    </row>
    <row r="35" spans="1:4">
      <c r="A35" s="105" t="s">
        <v>148</v>
      </c>
      <c r="B35" s="96" t="s">
        <v>149</v>
      </c>
      <c r="C35" s="90"/>
      <c r="D35" s="91"/>
    </row>
    <row r="36" spans="1:4">
      <c r="A36" s="104"/>
      <c r="B36" s="96"/>
      <c r="C36" s="90"/>
      <c r="D36" s="91"/>
    </row>
    <row r="37" spans="1:4" ht="26">
      <c r="A37" s="100" t="s">
        <v>150</v>
      </c>
      <c r="B37" s="101" t="s">
        <v>151</v>
      </c>
      <c r="C37" s="90"/>
      <c r="D37" s="109"/>
    </row>
    <row r="38" spans="1:4">
      <c r="A38" s="104"/>
      <c r="B38" s="96"/>
      <c r="C38" s="90"/>
      <c r="D38" s="95"/>
    </row>
    <row r="39" spans="1:4">
      <c r="A39" s="106" t="s">
        <v>152</v>
      </c>
      <c r="B39" s="107" t="s">
        <v>153</v>
      </c>
      <c r="C39" s="90"/>
      <c r="D39" s="94"/>
    </row>
    <row r="40" spans="1:4">
      <c r="A40" s="106"/>
      <c r="B40" s="107"/>
      <c r="C40" s="90"/>
      <c r="D40" s="91"/>
    </row>
    <row r="41" spans="1:4">
      <c r="A41" s="105" t="s">
        <v>154</v>
      </c>
      <c r="B41" s="96" t="s">
        <v>155</v>
      </c>
      <c r="C41" s="90">
        <v>31</v>
      </c>
      <c r="D41" s="91"/>
    </row>
    <row r="42" spans="1:4">
      <c r="A42" s="97"/>
      <c r="B42" s="96" t="s">
        <v>156</v>
      </c>
      <c r="C42" s="90"/>
      <c r="D42" s="91"/>
    </row>
    <row r="43" spans="1:4">
      <c r="A43" s="97"/>
      <c r="B43" s="96" t="s">
        <v>157</v>
      </c>
      <c r="C43" s="90"/>
      <c r="D43" s="91"/>
    </row>
    <row r="44" spans="1:4">
      <c r="A44" s="111"/>
      <c r="B44" s="112"/>
      <c r="C44" s="113"/>
      <c r="D44" s="109"/>
    </row>
  </sheetData>
  <mergeCells count="2">
    <mergeCell ref="A1:B2"/>
    <mergeCell ref="C1:C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F79"/>
  <sheetViews>
    <sheetView workbookViewId="0">
      <selection activeCell="B2" sqref="B2"/>
    </sheetView>
  </sheetViews>
  <sheetFormatPr defaultColWidth="8.81640625" defaultRowHeight="14.5"/>
  <cols>
    <col min="1" max="1" width="8.81640625" style="122"/>
    <col min="2" max="2" width="47.81640625" style="122" bestFit="1" customWidth="1"/>
    <col min="3" max="3" width="8.54296875" style="122" bestFit="1" customWidth="1"/>
    <col min="4" max="4" width="19.81640625" style="122" bestFit="1" customWidth="1"/>
    <col min="5" max="5" width="8.81640625" style="122"/>
    <col min="6" max="6" width="12.453125" style="122" bestFit="1" customWidth="1"/>
    <col min="7" max="16384" width="8.81640625" style="122"/>
  </cols>
  <sheetData>
    <row r="3" spans="1:4">
      <c r="A3" s="1296" t="s">
        <v>0</v>
      </c>
      <c r="B3" s="1297"/>
      <c r="C3" s="1300" t="s">
        <v>113</v>
      </c>
      <c r="D3" s="121" t="s">
        <v>114</v>
      </c>
    </row>
    <row r="4" spans="1:4">
      <c r="A4" s="1298"/>
      <c r="B4" s="1299"/>
      <c r="C4" s="1301"/>
      <c r="D4" s="123" t="s">
        <v>115</v>
      </c>
    </row>
    <row r="5" spans="1:4">
      <c r="A5" s="124"/>
      <c r="B5" s="125"/>
      <c r="C5" s="126"/>
      <c r="D5" s="127"/>
    </row>
    <row r="6" spans="1:4">
      <c r="A6" s="128" t="s">
        <v>116</v>
      </c>
      <c r="B6" s="125" t="s">
        <v>62</v>
      </c>
      <c r="C6" s="129">
        <v>22</v>
      </c>
      <c r="D6" s="130"/>
    </row>
    <row r="7" spans="1:4">
      <c r="A7" s="128" t="s">
        <v>117</v>
      </c>
      <c r="B7" s="125" t="s">
        <v>13</v>
      </c>
      <c r="C7" s="129">
        <v>23</v>
      </c>
      <c r="D7" s="130"/>
    </row>
    <row r="8" spans="1:4">
      <c r="A8" s="131" t="s">
        <v>118</v>
      </c>
      <c r="B8" s="132" t="s">
        <v>119</v>
      </c>
      <c r="C8" s="129"/>
      <c r="D8" s="133"/>
    </row>
    <row r="9" spans="1:4">
      <c r="A9" s="131"/>
      <c r="B9" s="132"/>
      <c r="C9" s="129"/>
      <c r="D9" s="134"/>
    </row>
    <row r="10" spans="1:4">
      <c r="A10" s="128" t="s">
        <v>120</v>
      </c>
      <c r="B10" s="125" t="s">
        <v>121</v>
      </c>
      <c r="C10" s="129"/>
      <c r="D10" s="130"/>
    </row>
    <row r="11" spans="1:4">
      <c r="A11" s="128"/>
      <c r="B11" s="96" t="s">
        <v>122</v>
      </c>
      <c r="C11" s="129">
        <v>24</v>
      </c>
      <c r="D11" s="130"/>
    </row>
    <row r="12" spans="1:4">
      <c r="A12" s="128"/>
      <c r="B12" s="96" t="s">
        <v>123</v>
      </c>
      <c r="C12" s="129">
        <v>25</v>
      </c>
      <c r="D12" s="130"/>
    </row>
    <row r="13" spans="1:4" ht="25">
      <c r="A13" s="135"/>
      <c r="B13" s="98" t="s">
        <v>124</v>
      </c>
      <c r="C13" s="129">
        <v>26</v>
      </c>
      <c r="D13" s="130"/>
    </row>
    <row r="14" spans="1:4">
      <c r="A14" s="135"/>
      <c r="B14" s="96" t="s">
        <v>125</v>
      </c>
      <c r="C14" s="129">
        <v>27</v>
      </c>
      <c r="D14" s="130"/>
    </row>
    <row r="15" spans="1:4">
      <c r="A15" s="135"/>
      <c r="B15" s="96" t="s">
        <v>126</v>
      </c>
      <c r="C15" s="129">
        <v>28</v>
      </c>
      <c r="D15" s="130"/>
    </row>
    <row r="16" spans="1:4">
      <c r="A16" s="135"/>
      <c r="B16" s="96" t="s">
        <v>127</v>
      </c>
      <c r="C16" s="129">
        <v>12</v>
      </c>
      <c r="D16" s="130"/>
    </row>
    <row r="17" spans="1:4">
      <c r="A17" s="135"/>
      <c r="B17" s="96" t="s">
        <v>128</v>
      </c>
      <c r="C17" s="129">
        <v>29</v>
      </c>
      <c r="D17" s="130"/>
    </row>
    <row r="18" spans="1:4">
      <c r="A18" s="135"/>
      <c r="B18" s="99" t="s">
        <v>29</v>
      </c>
      <c r="C18" s="129"/>
      <c r="D18" s="133"/>
    </row>
    <row r="19" spans="1:4">
      <c r="A19" s="135"/>
      <c r="B19" s="125"/>
      <c r="C19" s="129"/>
      <c r="D19" s="130"/>
    </row>
    <row r="20" spans="1:4" ht="26">
      <c r="A20" s="100" t="s">
        <v>129</v>
      </c>
      <c r="B20" s="101" t="s">
        <v>130</v>
      </c>
      <c r="C20" s="136"/>
      <c r="D20" s="137"/>
    </row>
    <row r="21" spans="1:4">
      <c r="A21" s="104"/>
      <c r="B21" s="96"/>
      <c r="C21" s="129"/>
      <c r="D21" s="130"/>
    </row>
    <row r="22" spans="1:4">
      <c r="A22" s="105" t="s">
        <v>131</v>
      </c>
      <c r="B22" s="96" t="s">
        <v>132</v>
      </c>
      <c r="C22" s="129">
        <v>30</v>
      </c>
      <c r="D22" s="130"/>
    </row>
    <row r="23" spans="1:4">
      <c r="A23" s="104"/>
      <c r="B23" s="96"/>
      <c r="C23" s="129"/>
      <c r="D23" s="130"/>
    </row>
    <row r="24" spans="1:4">
      <c r="A24" s="100" t="s">
        <v>133</v>
      </c>
      <c r="B24" s="101" t="s">
        <v>134</v>
      </c>
      <c r="C24" s="136"/>
      <c r="D24" s="133"/>
    </row>
    <row r="25" spans="1:4">
      <c r="A25" s="104"/>
      <c r="B25" s="96"/>
      <c r="C25" s="129"/>
      <c r="D25" s="130"/>
    </row>
    <row r="26" spans="1:4">
      <c r="A26" s="105" t="s">
        <v>135</v>
      </c>
      <c r="B26" s="96" t="s">
        <v>136</v>
      </c>
      <c r="C26" s="129"/>
      <c r="D26" s="130"/>
    </row>
    <row r="27" spans="1:4">
      <c r="A27" s="104"/>
      <c r="B27" s="96"/>
      <c r="C27" s="129"/>
      <c r="D27" s="130"/>
    </row>
    <row r="28" spans="1:4">
      <c r="A28" s="106" t="s">
        <v>137</v>
      </c>
      <c r="B28" s="107" t="s">
        <v>138</v>
      </c>
      <c r="C28" s="136"/>
      <c r="D28" s="133"/>
    </row>
    <row r="29" spans="1:4">
      <c r="A29" s="106"/>
      <c r="B29" s="107"/>
      <c r="C29" s="136"/>
      <c r="D29" s="134"/>
    </row>
    <row r="30" spans="1:4">
      <c r="A30" s="105" t="s">
        <v>139</v>
      </c>
      <c r="B30" s="96" t="s">
        <v>140</v>
      </c>
      <c r="C30" s="129"/>
      <c r="D30" s="130"/>
    </row>
    <row r="31" spans="1:4">
      <c r="A31" s="104"/>
      <c r="B31" s="108" t="s">
        <v>141</v>
      </c>
      <c r="C31" s="129"/>
      <c r="D31" s="130"/>
    </row>
    <row r="32" spans="1:4">
      <c r="A32" s="104"/>
      <c r="B32" s="108" t="s">
        <v>142</v>
      </c>
      <c r="C32" s="129"/>
      <c r="D32" s="130"/>
    </row>
    <row r="33" spans="1:6">
      <c r="A33" s="104"/>
      <c r="B33" s="108" t="s">
        <v>143</v>
      </c>
      <c r="C33" s="129"/>
      <c r="D33" s="130"/>
    </row>
    <row r="34" spans="1:6" ht="26">
      <c r="A34" s="100" t="s">
        <v>144</v>
      </c>
      <c r="B34" s="101" t="s">
        <v>145</v>
      </c>
      <c r="C34" s="129"/>
      <c r="D34" s="138"/>
    </row>
    <row r="35" spans="1:6">
      <c r="A35" s="104"/>
      <c r="B35" s="96"/>
      <c r="C35" s="129"/>
      <c r="D35" s="130"/>
      <c r="F35" s="141"/>
    </row>
    <row r="36" spans="1:6">
      <c r="A36" s="105" t="s">
        <v>146</v>
      </c>
      <c r="B36" s="110" t="s">
        <v>147</v>
      </c>
      <c r="C36" s="129"/>
      <c r="D36" s="130"/>
    </row>
    <row r="37" spans="1:6">
      <c r="A37" s="105" t="s">
        <v>148</v>
      </c>
      <c r="B37" s="96" t="s">
        <v>149</v>
      </c>
      <c r="C37" s="129"/>
      <c r="D37" s="130"/>
    </row>
    <row r="38" spans="1:6">
      <c r="A38" s="104"/>
      <c r="B38" s="96"/>
      <c r="C38" s="129"/>
      <c r="D38" s="130"/>
    </row>
    <row r="39" spans="1:6" ht="26">
      <c r="A39" s="100" t="s">
        <v>150</v>
      </c>
      <c r="B39" s="101" t="s">
        <v>151</v>
      </c>
      <c r="C39" s="129"/>
      <c r="D39" s="138"/>
    </row>
    <row r="40" spans="1:6">
      <c r="A40" s="104"/>
      <c r="B40" s="96"/>
      <c r="C40" s="129"/>
      <c r="D40" s="134"/>
    </row>
    <row r="41" spans="1:6">
      <c r="A41" s="106" t="s">
        <v>152</v>
      </c>
      <c r="B41" s="107" t="s">
        <v>153</v>
      </c>
      <c r="C41" s="129"/>
      <c r="D41" s="133"/>
    </row>
    <row r="43" spans="1:6">
      <c r="B43" s="139" t="s">
        <v>163</v>
      </c>
    </row>
    <row r="44" spans="1:6">
      <c r="B44" s="122" t="s">
        <v>164</v>
      </c>
    </row>
    <row r="45" spans="1:6">
      <c r="B45" s="122" t="s">
        <v>165</v>
      </c>
      <c r="D45" s="140">
        <v>0</v>
      </c>
      <c r="F45" s="141"/>
    </row>
    <row r="46" spans="1:6">
      <c r="B46" s="122" t="s">
        <v>166</v>
      </c>
      <c r="D46" s="140"/>
      <c r="F46" s="141"/>
    </row>
    <row r="47" spans="1:6">
      <c r="B47" s="122" t="s">
        <v>167</v>
      </c>
      <c r="D47" s="140"/>
      <c r="F47" s="141"/>
    </row>
    <row r="48" spans="1:6">
      <c r="B48" s="122" t="s">
        <v>168</v>
      </c>
      <c r="D48" s="140"/>
      <c r="F48" s="141"/>
    </row>
    <row r="49" spans="2:6">
      <c r="B49" s="122" t="s">
        <v>169</v>
      </c>
      <c r="D49" s="140"/>
      <c r="F49" s="141"/>
    </row>
    <row r="50" spans="2:6">
      <c r="D50" s="142"/>
      <c r="F50" s="141"/>
    </row>
    <row r="51" spans="2:6">
      <c r="B51" s="122" t="s">
        <v>170</v>
      </c>
      <c r="D51" s="140"/>
    </row>
    <row r="52" spans="2:6">
      <c r="B52" s="122" t="s">
        <v>171</v>
      </c>
      <c r="D52" s="140"/>
    </row>
    <row r="53" spans="2:6">
      <c r="B53" s="122" t="s">
        <v>172</v>
      </c>
      <c r="D53" s="140"/>
    </row>
    <row r="54" spans="2:6">
      <c r="B54" s="122" t="s">
        <v>173</v>
      </c>
    </row>
    <row r="55" spans="2:6">
      <c r="D55" s="143"/>
    </row>
    <row r="57" spans="2:6">
      <c r="B57" s="122" t="s">
        <v>174</v>
      </c>
      <c r="D57" s="143"/>
    </row>
    <row r="58" spans="2:6">
      <c r="B58" s="122" t="s">
        <v>175</v>
      </c>
      <c r="D58" s="144"/>
    </row>
    <row r="59" spans="2:6">
      <c r="D59" s="143"/>
    </row>
    <row r="60" spans="2:6">
      <c r="B60" s="122" t="s">
        <v>176</v>
      </c>
      <c r="D60" s="141"/>
    </row>
    <row r="61" spans="2:6">
      <c r="B61" s="122" t="s">
        <v>177</v>
      </c>
      <c r="D61" s="141"/>
    </row>
    <row r="65" spans="2:4">
      <c r="B65" s="139" t="s">
        <v>178</v>
      </c>
    </row>
    <row r="67" spans="2:4">
      <c r="B67" s="145" t="s">
        <v>179</v>
      </c>
      <c r="D67" s="141">
        <v>0</v>
      </c>
    </row>
    <row r="68" spans="2:4">
      <c r="B68" s="145"/>
    </row>
    <row r="69" spans="2:4">
      <c r="B69" s="145" t="s">
        <v>180</v>
      </c>
      <c r="D69" s="146" t="s">
        <v>181</v>
      </c>
    </row>
    <row r="70" spans="2:4">
      <c r="B70" s="145"/>
      <c r="D70" s="146"/>
    </row>
    <row r="71" spans="2:4">
      <c r="B71" s="145" t="s">
        <v>182</v>
      </c>
      <c r="D71" s="146" t="s">
        <v>181</v>
      </c>
    </row>
    <row r="72" spans="2:4">
      <c r="B72" s="145"/>
      <c r="D72" s="140"/>
    </row>
    <row r="73" spans="2:4">
      <c r="B73" s="145" t="s">
        <v>183</v>
      </c>
      <c r="D73" s="140">
        <v>0</v>
      </c>
    </row>
    <row r="74" spans="2:4">
      <c r="B74" s="145"/>
      <c r="D74" s="140"/>
    </row>
    <row r="75" spans="2:4">
      <c r="B75" s="145" t="s">
        <v>184</v>
      </c>
      <c r="D75" s="140">
        <v>0</v>
      </c>
    </row>
    <row r="76" spans="2:4">
      <c r="B76" s="145"/>
      <c r="D76" s="140"/>
    </row>
    <row r="77" spans="2:4">
      <c r="B77" s="145" t="s">
        <v>185</v>
      </c>
      <c r="D77" s="142">
        <v>0</v>
      </c>
    </row>
    <row r="79" spans="2:4">
      <c r="D79" s="144"/>
    </row>
  </sheetData>
  <mergeCells count="2">
    <mergeCell ref="A3:B4"/>
    <mergeCell ref="C3:C4"/>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79"/>
  <sheetViews>
    <sheetView topLeftCell="A5" workbookViewId="0">
      <pane ySplit="3" topLeftCell="A8" activePane="bottomLeft" state="frozen"/>
      <selection activeCell="A5" sqref="A5"/>
      <selection pane="bottomLeft" activeCell="B24" sqref="B24"/>
    </sheetView>
  </sheetViews>
  <sheetFormatPr defaultRowHeight="14.5"/>
  <cols>
    <col min="1" max="1" width="43.453125" bestFit="1" customWidth="1"/>
    <col min="2" max="2" width="43.453125" customWidth="1"/>
    <col min="3" max="4" width="7.453125" hidden="1" customWidth="1"/>
    <col min="5" max="6" width="8.54296875" bestFit="1" customWidth="1"/>
    <col min="8" max="8" width="13.54296875" bestFit="1" customWidth="1"/>
  </cols>
  <sheetData>
    <row r="1" spans="1:8" ht="15.5">
      <c r="A1" s="1173" t="s">
        <v>321</v>
      </c>
      <c r="B1" s="1173"/>
      <c r="C1" s="1173"/>
      <c r="D1" s="1173"/>
      <c r="E1" s="306"/>
      <c r="F1" s="306"/>
    </row>
    <row r="2" spans="1:8">
      <c r="A2" s="1209" t="s">
        <v>322</v>
      </c>
      <c r="B2" s="1209"/>
      <c r="C2" s="1210"/>
      <c r="D2" s="1210"/>
      <c r="E2" s="306"/>
      <c r="F2" s="306"/>
    </row>
    <row r="3" spans="1:8" ht="15.5">
      <c r="A3" s="1211" t="s">
        <v>323</v>
      </c>
      <c r="B3" s="1211"/>
      <c r="C3" s="1211"/>
      <c r="D3" s="1211"/>
      <c r="E3" s="306"/>
      <c r="F3" s="306"/>
    </row>
    <row r="4" spans="1:8">
      <c r="A4" s="1302" t="s">
        <v>324</v>
      </c>
      <c r="B4" s="1302"/>
      <c r="C4" s="1302"/>
      <c r="D4" s="1302"/>
      <c r="E4" s="1302"/>
      <c r="F4" s="1302"/>
    </row>
    <row r="5" spans="1:8" ht="14.5" customHeight="1">
      <c r="A5" s="307" t="s">
        <v>325</v>
      </c>
      <c r="B5" s="307"/>
      <c r="C5" s="1212" t="s">
        <v>326</v>
      </c>
      <c r="D5" s="1175"/>
      <c r="E5" s="1262" t="s">
        <v>326</v>
      </c>
      <c r="F5" s="1263"/>
    </row>
    <row r="6" spans="1:8" ht="14.5" customHeight="1">
      <c r="A6" s="308" t="s">
        <v>0</v>
      </c>
      <c r="B6" s="308"/>
      <c r="C6" s="1213" t="s">
        <v>327</v>
      </c>
      <c r="D6" s="1214"/>
      <c r="E6" s="1267" t="s">
        <v>328</v>
      </c>
      <c r="F6" s="1268"/>
    </row>
    <row r="7" spans="1:8">
      <c r="A7" s="308" t="s">
        <v>325</v>
      </c>
      <c r="B7" s="308"/>
      <c r="C7" s="1215" t="s">
        <v>329</v>
      </c>
      <c r="D7" s="1216"/>
      <c r="E7" s="1215" t="s">
        <v>329</v>
      </c>
      <c r="F7" s="1216"/>
    </row>
    <row r="8" spans="1:8">
      <c r="A8" s="309" t="s">
        <v>325</v>
      </c>
      <c r="B8" s="309"/>
      <c r="C8" s="310" t="s">
        <v>330</v>
      </c>
      <c r="D8" s="310" t="s">
        <v>331</v>
      </c>
      <c r="E8" s="310" t="s">
        <v>330</v>
      </c>
      <c r="F8" s="310" t="s">
        <v>331</v>
      </c>
    </row>
    <row r="9" spans="1:8">
      <c r="A9" s="311" t="s">
        <v>332</v>
      </c>
      <c r="B9" s="311"/>
      <c r="C9" s="312"/>
      <c r="D9" s="313">
        <v>1956.489</v>
      </c>
      <c r="E9" s="314"/>
      <c r="F9" s="315">
        <v>1956.489</v>
      </c>
    </row>
    <row r="10" spans="1:8">
      <c r="A10" s="316" t="s">
        <v>333</v>
      </c>
      <c r="B10" s="316"/>
      <c r="C10" s="317"/>
      <c r="D10" s="318">
        <v>1073.346</v>
      </c>
      <c r="E10" s="319"/>
      <c r="F10" s="434">
        <v>1073.346</v>
      </c>
      <c r="H10" s="53" t="s">
        <v>83</v>
      </c>
    </row>
    <row r="11" spans="1:8">
      <c r="A11" s="321" t="s">
        <v>334</v>
      </c>
      <c r="B11" s="321"/>
      <c r="C11" s="322"/>
      <c r="D11" s="323">
        <v>24.9</v>
      </c>
      <c r="E11" s="324"/>
      <c r="F11" s="433">
        <v>24.9</v>
      </c>
      <c r="H11" s="53" t="s">
        <v>82</v>
      </c>
    </row>
    <row r="12" spans="1:8">
      <c r="A12" s="321" t="s">
        <v>335</v>
      </c>
      <c r="B12" s="321"/>
      <c r="C12" s="322"/>
      <c r="D12" s="323">
        <v>858.24300000000005</v>
      </c>
      <c r="E12" s="324"/>
      <c r="F12" s="433">
        <v>858.24300000000005</v>
      </c>
      <c r="H12" s="53" t="s">
        <v>82</v>
      </c>
    </row>
    <row r="13" spans="1:8">
      <c r="A13" s="311" t="s">
        <v>336</v>
      </c>
      <c r="B13" s="311"/>
      <c r="C13" s="326"/>
      <c r="D13" s="327">
        <v>50.706000000000003</v>
      </c>
      <c r="E13" s="328"/>
      <c r="F13" s="329">
        <v>37.207999999999998</v>
      </c>
    </row>
    <row r="14" spans="1:8">
      <c r="A14" s="316" t="s">
        <v>337</v>
      </c>
      <c r="B14" s="316"/>
      <c r="C14" s="317"/>
      <c r="D14" s="318">
        <v>0.56899999999999995</v>
      </c>
      <c r="E14" s="319"/>
      <c r="F14" s="330"/>
    </row>
    <row r="15" spans="1:8">
      <c r="A15" s="316" t="s">
        <v>338</v>
      </c>
      <c r="B15" s="316"/>
      <c r="C15" s="324"/>
      <c r="D15" s="325">
        <v>50.137</v>
      </c>
      <c r="E15" s="322"/>
      <c r="F15" s="435">
        <v>37.207999999999998</v>
      </c>
      <c r="H15" s="63" t="s">
        <v>87</v>
      </c>
    </row>
    <row r="16" spans="1:8">
      <c r="A16" s="311" t="s">
        <v>339</v>
      </c>
      <c r="B16" s="311"/>
      <c r="C16" s="332">
        <v>3.0790000000000002</v>
      </c>
      <c r="D16" s="327">
        <v>311.87200000000001</v>
      </c>
      <c r="E16" s="333">
        <v>3.7690000000000001</v>
      </c>
      <c r="F16" s="329">
        <v>762.36099999999999</v>
      </c>
    </row>
    <row r="17" spans="1:8">
      <c r="A17" s="316" t="s">
        <v>340</v>
      </c>
      <c r="B17" s="316"/>
      <c r="C17" s="334">
        <v>3.0670000000000002</v>
      </c>
      <c r="D17" s="318">
        <v>0.26600000000000001</v>
      </c>
      <c r="E17" s="432">
        <v>3.5139999999999998</v>
      </c>
      <c r="F17" s="350"/>
      <c r="H17" s="57" t="s">
        <v>78</v>
      </c>
    </row>
    <row r="18" spans="1:8">
      <c r="A18" s="316" t="s">
        <v>340</v>
      </c>
      <c r="B18" s="316"/>
      <c r="C18" s="336"/>
      <c r="D18" s="325"/>
      <c r="E18" s="349"/>
      <c r="F18" s="434">
        <v>0.64100000000000001</v>
      </c>
      <c r="H18" s="62" t="s">
        <v>91</v>
      </c>
    </row>
    <row r="19" spans="1:8">
      <c r="A19" s="316" t="s">
        <v>341</v>
      </c>
      <c r="B19" s="316"/>
      <c r="C19" s="324"/>
      <c r="D19" s="325">
        <v>28.74</v>
      </c>
      <c r="E19" s="322"/>
      <c r="F19" s="435">
        <v>28.74</v>
      </c>
      <c r="H19" s="62" t="s">
        <v>101</v>
      </c>
    </row>
    <row r="20" spans="1:8">
      <c r="A20" s="316" t="s">
        <v>342</v>
      </c>
      <c r="B20" s="316"/>
      <c r="C20" s="336">
        <v>1.2E-2</v>
      </c>
      <c r="D20" s="325">
        <v>157.41800000000001</v>
      </c>
      <c r="E20" s="349">
        <v>0</v>
      </c>
      <c r="F20" s="435">
        <f>620-0.255</f>
        <v>619.745</v>
      </c>
      <c r="H20" s="428" t="s">
        <v>423</v>
      </c>
    </row>
    <row r="21" spans="1:8">
      <c r="A21" s="321" t="s">
        <v>343</v>
      </c>
      <c r="B21" s="321"/>
      <c r="C21" s="322"/>
      <c r="D21" s="323">
        <v>54.435000000000002</v>
      </c>
      <c r="E21" s="324"/>
      <c r="F21" s="433">
        <v>49.640999999999998</v>
      </c>
      <c r="H21" s="62" t="s">
        <v>91</v>
      </c>
    </row>
    <row r="22" spans="1:8">
      <c r="A22" s="321" t="s">
        <v>344</v>
      </c>
      <c r="B22" s="321"/>
      <c r="C22" s="322"/>
      <c r="D22" s="323">
        <v>7.8250000000000002</v>
      </c>
      <c r="E22" s="324"/>
      <c r="F22" s="433">
        <v>0.15</v>
      </c>
      <c r="H22" s="62" t="s">
        <v>91</v>
      </c>
    </row>
    <row r="23" spans="1:8">
      <c r="A23" s="321" t="s">
        <v>345</v>
      </c>
      <c r="B23" s="321"/>
      <c r="C23" s="322"/>
      <c r="D23" s="323">
        <v>63.188000000000002</v>
      </c>
      <c r="E23" s="324"/>
      <c r="F23" s="433">
        <v>63.188000000000002</v>
      </c>
      <c r="H23" s="63" t="s">
        <v>90</v>
      </c>
    </row>
    <row r="24" spans="1:8">
      <c r="A24" s="311" t="s">
        <v>346</v>
      </c>
      <c r="B24" s="311"/>
      <c r="C24" s="332">
        <v>72.727000000000004</v>
      </c>
      <c r="D24" s="340"/>
      <c r="E24" s="333">
        <v>65.903999999999996</v>
      </c>
      <c r="F24" s="341"/>
    </row>
    <row r="25" spans="1:8">
      <c r="A25" s="321" t="s">
        <v>347</v>
      </c>
      <c r="B25" s="321"/>
      <c r="C25" s="335">
        <v>0.95299999999999996</v>
      </c>
      <c r="D25" s="330"/>
      <c r="E25" s="429">
        <v>0.83099999999999996</v>
      </c>
      <c r="F25" s="331"/>
      <c r="H25" s="53" t="s">
        <v>71</v>
      </c>
    </row>
    <row r="26" spans="1:8">
      <c r="A26" s="321" t="s">
        <v>348</v>
      </c>
      <c r="B26" s="321"/>
      <c r="C26" s="337">
        <v>5.2999999999999999E-2</v>
      </c>
      <c r="D26" s="338"/>
      <c r="E26" s="430">
        <v>4.2999999999999997E-2</v>
      </c>
      <c r="F26" s="339"/>
      <c r="H26" s="53" t="s">
        <v>71</v>
      </c>
    </row>
    <row r="27" spans="1:8">
      <c r="A27" s="321" t="s">
        <v>349</v>
      </c>
      <c r="B27" s="321"/>
      <c r="C27" s="337">
        <v>1.4E-2</v>
      </c>
      <c r="D27" s="338"/>
      <c r="E27" s="430">
        <v>1.4E-2</v>
      </c>
      <c r="F27" s="339"/>
      <c r="H27" s="53" t="s">
        <v>71</v>
      </c>
    </row>
    <row r="28" spans="1:8">
      <c r="A28" s="321" t="s">
        <v>350</v>
      </c>
      <c r="B28" s="321"/>
      <c r="C28" s="337">
        <v>14.148999999999999</v>
      </c>
      <c r="D28" s="338"/>
      <c r="E28" s="430">
        <v>13.159000000000001</v>
      </c>
      <c r="F28" s="339"/>
      <c r="H28" s="53" t="s">
        <v>71</v>
      </c>
    </row>
    <row r="29" spans="1:8">
      <c r="A29" s="321" t="s">
        <v>351</v>
      </c>
      <c r="B29" s="321"/>
      <c r="C29" s="337">
        <v>3.8010000000000002</v>
      </c>
      <c r="D29" s="338"/>
      <c r="E29" s="430">
        <v>3.476</v>
      </c>
      <c r="F29" s="339"/>
      <c r="H29" s="53" t="s">
        <v>71</v>
      </c>
    </row>
    <row r="30" spans="1:8">
      <c r="A30" s="321" t="s">
        <v>352</v>
      </c>
      <c r="B30" s="321" t="s">
        <v>401</v>
      </c>
      <c r="C30" s="337">
        <v>53.756999999999998</v>
      </c>
      <c r="D30" s="338"/>
      <c r="E30" s="430">
        <v>48.381999999999998</v>
      </c>
      <c r="F30" s="339"/>
      <c r="H30" s="53" t="s">
        <v>95</v>
      </c>
    </row>
    <row r="31" spans="1:8">
      <c r="A31" s="311" t="s">
        <v>353</v>
      </c>
      <c r="B31" s="311"/>
      <c r="C31" s="332">
        <v>565.60599999999999</v>
      </c>
      <c r="D31" s="340"/>
      <c r="E31" s="333">
        <v>565.60599999999999</v>
      </c>
      <c r="F31" s="341"/>
    </row>
    <row r="32" spans="1:8">
      <c r="A32" s="321" t="s">
        <v>354</v>
      </c>
      <c r="B32" s="321"/>
      <c r="C32" s="335">
        <v>565.60599999999999</v>
      </c>
      <c r="D32" s="330"/>
      <c r="E32" s="429">
        <v>565.60599999999999</v>
      </c>
      <c r="F32" s="331"/>
      <c r="H32" s="54" t="s">
        <v>72</v>
      </c>
    </row>
    <row r="33" spans="1:12">
      <c r="A33" s="311" t="s">
        <v>355</v>
      </c>
      <c r="B33" s="311"/>
      <c r="C33" s="332">
        <v>1344.443</v>
      </c>
      <c r="D33" s="327">
        <v>13.486000000000001</v>
      </c>
      <c r="E33" s="333">
        <v>1823.2080000000001</v>
      </c>
      <c r="F33" s="329">
        <v>99.968000000000004</v>
      </c>
    </row>
    <row r="34" spans="1:12">
      <c r="A34" s="316" t="s">
        <v>356</v>
      </c>
      <c r="B34" s="316"/>
      <c r="C34" s="317"/>
      <c r="D34" s="331"/>
      <c r="E34" s="319"/>
      <c r="F34" s="330"/>
      <c r="H34" s="116"/>
    </row>
    <row r="35" spans="1:12">
      <c r="A35" s="316" t="s">
        <v>357</v>
      </c>
      <c r="B35" s="316"/>
      <c r="C35" s="336">
        <v>6</v>
      </c>
      <c r="D35" s="339"/>
      <c r="E35" s="431">
        <v>6</v>
      </c>
      <c r="F35" s="338"/>
      <c r="H35" s="54" t="s">
        <v>73</v>
      </c>
      <c r="J35" t="s">
        <v>425</v>
      </c>
    </row>
    <row r="36" spans="1:12">
      <c r="A36" s="316" t="s">
        <v>358</v>
      </c>
      <c r="B36" s="316"/>
      <c r="C36" s="336">
        <v>1.929</v>
      </c>
      <c r="D36" s="325">
        <v>12.055</v>
      </c>
      <c r="E36" s="431">
        <v>36.999000000000002</v>
      </c>
      <c r="H36" s="54" t="s">
        <v>286</v>
      </c>
      <c r="J36" t="s">
        <v>426</v>
      </c>
    </row>
    <row r="37" spans="1:12">
      <c r="A37" s="316" t="s">
        <v>358</v>
      </c>
      <c r="B37" s="316"/>
      <c r="C37" s="336"/>
      <c r="D37" s="325"/>
      <c r="E37" s="351"/>
      <c r="F37" s="435">
        <v>87.679000000000002</v>
      </c>
      <c r="H37" s="63" t="s">
        <v>90</v>
      </c>
    </row>
    <row r="38" spans="1:12">
      <c r="A38" s="316" t="s">
        <v>359</v>
      </c>
      <c r="B38" s="316"/>
      <c r="C38" s="324"/>
      <c r="D38" s="339"/>
      <c r="E38" s="431">
        <f>434.333-12.289</f>
        <v>422.04400000000004</v>
      </c>
      <c r="F38" s="352">
        <v>0</v>
      </c>
      <c r="H38" s="58" t="s">
        <v>97</v>
      </c>
    </row>
    <row r="39" spans="1:12">
      <c r="A39" s="316" t="s">
        <v>360</v>
      </c>
      <c r="B39" s="316"/>
      <c r="C39" s="336">
        <v>3.121</v>
      </c>
      <c r="D39" s="339"/>
      <c r="E39" s="431">
        <v>3.121</v>
      </c>
      <c r="F39" s="338"/>
      <c r="H39" s="58" t="s">
        <v>98</v>
      </c>
    </row>
    <row r="40" spans="1:12">
      <c r="A40" s="316" t="s">
        <v>361</v>
      </c>
      <c r="B40" s="316"/>
      <c r="C40" s="336">
        <v>0.86299999999999999</v>
      </c>
      <c r="D40" s="325">
        <v>1.431</v>
      </c>
      <c r="E40" s="431">
        <v>3.8940000000000001</v>
      </c>
      <c r="F40" s="338"/>
      <c r="H40" s="54" t="s">
        <v>285</v>
      </c>
    </row>
    <row r="41" spans="1:12">
      <c r="A41" s="316" t="s">
        <v>362</v>
      </c>
      <c r="B41" s="316"/>
      <c r="C41" s="336">
        <v>5.56</v>
      </c>
      <c r="D41" s="339"/>
      <c r="E41" s="431">
        <v>10.571</v>
      </c>
      <c r="F41" s="338"/>
      <c r="H41" s="57" t="s">
        <v>78</v>
      </c>
    </row>
    <row r="42" spans="1:12">
      <c r="A42" s="321" t="s">
        <v>363</v>
      </c>
      <c r="B42" s="321"/>
      <c r="C42" s="337">
        <v>253.00800000000001</v>
      </c>
      <c r="D42" s="338"/>
      <c r="E42" s="430">
        <v>253.00800000000001</v>
      </c>
      <c r="F42" s="339"/>
      <c r="G42" t="s">
        <v>400</v>
      </c>
      <c r="H42" s="57" t="s">
        <v>76</v>
      </c>
      <c r="L42" s="348">
        <f>(E42+E43+E44)*100000</f>
        <v>132695699.99999999</v>
      </c>
    </row>
    <row r="43" spans="1:12">
      <c r="A43" s="321" t="s">
        <v>364</v>
      </c>
      <c r="B43" s="321"/>
      <c r="C43" s="337">
        <v>418.74799999999999</v>
      </c>
      <c r="D43" s="338"/>
      <c r="E43" s="430">
        <v>418.74799999999999</v>
      </c>
      <c r="F43" s="339"/>
      <c r="G43" t="s">
        <v>400</v>
      </c>
      <c r="H43" s="57" t="s">
        <v>76</v>
      </c>
    </row>
    <row r="44" spans="1:12">
      <c r="A44" s="321" t="s">
        <v>365</v>
      </c>
      <c r="B44" s="321"/>
      <c r="C44" s="337">
        <v>655.20100000000002</v>
      </c>
      <c r="D44" s="338"/>
      <c r="E44" s="430">
        <v>655.20100000000002</v>
      </c>
      <c r="F44" s="339"/>
      <c r="G44" t="s">
        <v>400</v>
      </c>
      <c r="H44" s="57" t="s">
        <v>76</v>
      </c>
    </row>
    <row r="45" spans="1:12">
      <c r="A45" s="321" t="s">
        <v>366</v>
      </c>
      <c r="B45" s="321"/>
      <c r="C45" s="322"/>
      <c r="D45" s="338"/>
      <c r="E45" s="430">
        <v>0.98799999999999999</v>
      </c>
      <c r="F45" s="339"/>
      <c r="H45" s="57" t="s">
        <v>78</v>
      </c>
    </row>
    <row r="46" spans="1:12">
      <c r="A46" s="321" t="s">
        <v>367</v>
      </c>
      <c r="B46" s="321"/>
      <c r="C46" s="337">
        <v>1.2E-2</v>
      </c>
      <c r="D46" s="338"/>
      <c r="E46" s="430">
        <v>0.34399999999999997</v>
      </c>
      <c r="F46" s="339"/>
      <c r="H46" s="57" t="s">
        <v>78</v>
      </c>
    </row>
    <row r="47" spans="1:12">
      <c r="A47" s="311" t="s">
        <v>368</v>
      </c>
      <c r="B47" s="311"/>
      <c r="C47" s="332">
        <v>336.69600000000003</v>
      </c>
      <c r="D47" s="340"/>
      <c r="E47" s="333">
        <v>336.69600000000003</v>
      </c>
      <c r="F47" s="341"/>
    </row>
    <row r="48" spans="1:12">
      <c r="A48" s="321" t="s">
        <v>369</v>
      </c>
      <c r="B48" s="321"/>
      <c r="C48" s="335">
        <v>336.69600000000003</v>
      </c>
      <c r="D48" s="330"/>
      <c r="E48" s="429">
        <v>336.69600000000003</v>
      </c>
      <c r="F48" s="331"/>
      <c r="H48" s="53" t="s">
        <v>83</v>
      </c>
    </row>
    <row r="49" spans="1:8">
      <c r="A49" s="1303"/>
      <c r="B49" s="1303"/>
      <c r="C49" s="1303"/>
      <c r="D49" s="1303"/>
      <c r="E49" s="1303"/>
      <c r="F49" s="1303"/>
      <c r="G49" s="1303"/>
      <c r="H49" s="1303"/>
    </row>
    <row r="50" spans="1:8">
      <c r="A50" s="311" t="s">
        <v>370</v>
      </c>
      <c r="B50" s="311"/>
      <c r="C50" s="326"/>
      <c r="D50" s="340"/>
      <c r="E50" s="328"/>
      <c r="F50" s="329">
        <v>563.54999999999995</v>
      </c>
    </row>
    <row r="51" spans="1:8">
      <c r="A51" s="321" t="s">
        <v>371</v>
      </c>
      <c r="B51" s="3" t="s">
        <v>11</v>
      </c>
      <c r="C51" s="319"/>
      <c r="D51" s="330"/>
      <c r="E51" s="408"/>
      <c r="F51" s="409">
        <v>563.54999999999995</v>
      </c>
    </row>
    <row r="52" spans="1:8">
      <c r="A52" s="311" t="s">
        <v>372</v>
      </c>
      <c r="B52" s="311"/>
      <c r="C52" s="326"/>
      <c r="D52" s="340"/>
      <c r="E52" s="410">
        <v>582.24199999999996</v>
      </c>
      <c r="F52" s="411"/>
    </row>
    <row r="53" spans="1:8">
      <c r="A53" s="316" t="s">
        <v>373</v>
      </c>
      <c r="B53" s="3" t="s">
        <v>19</v>
      </c>
      <c r="C53" s="317"/>
      <c r="D53" s="331"/>
      <c r="E53" s="412">
        <v>582.24199999999996</v>
      </c>
      <c r="F53" s="413"/>
    </row>
    <row r="54" spans="1:8">
      <c r="A54" s="311" t="s">
        <v>374</v>
      </c>
      <c r="B54" s="311"/>
      <c r="C54" s="326"/>
      <c r="D54" s="327">
        <v>9.7780000000000005</v>
      </c>
      <c r="E54" s="410">
        <v>0.14299999999999999</v>
      </c>
      <c r="F54" s="411">
        <v>4.1369999999999996</v>
      </c>
    </row>
    <row r="55" spans="1:8">
      <c r="A55" s="321" t="s">
        <v>375</v>
      </c>
      <c r="B55" s="321"/>
      <c r="C55" s="319"/>
      <c r="D55" s="320">
        <v>3.3000000000000002E-2</v>
      </c>
      <c r="E55" s="408"/>
      <c r="F55" s="414"/>
    </row>
    <row r="56" spans="1:8">
      <c r="A56" s="321" t="s">
        <v>376</v>
      </c>
      <c r="B56" s="321"/>
      <c r="C56" s="322"/>
      <c r="D56" s="323">
        <v>0.19800000000000001</v>
      </c>
      <c r="E56" s="415"/>
      <c r="F56" s="416">
        <v>2.4460000000000002</v>
      </c>
    </row>
    <row r="57" spans="1:8">
      <c r="A57" s="321" t="s">
        <v>377</v>
      </c>
      <c r="B57" s="3" t="s">
        <v>28</v>
      </c>
      <c r="C57" s="322"/>
      <c r="D57" s="323">
        <v>1.6419999999999999</v>
      </c>
      <c r="E57" s="415">
        <v>0.14299999999999999</v>
      </c>
      <c r="F57" s="416"/>
    </row>
    <row r="58" spans="1:8">
      <c r="A58" s="321" t="s">
        <v>378</v>
      </c>
      <c r="B58" s="3" t="s">
        <v>13</v>
      </c>
      <c r="C58" s="322"/>
      <c r="D58" s="338"/>
      <c r="E58" s="415"/>
      <c r="F58" s="417">
        <v>1.6919999999999999</v>
      </c>
    </row>
    <row r="59" spans="1:8">
      <c r="A59" s="321" t="s">
        <v>379</v>
      </c>
      <c r="B59" s="321"/>
      <c r="C59" s="322"/>
      <c r="D59" s="323">
        <v>7.9050000000000002</v>
      </c>
      <c r="E59" s="415"/>
      <c r="F59" s="416"/>
    </row>
    <row r="60" spans="1:8">
      <c r="A60" s="311" t="s">
        <v>380</v>
      </c>
      <c r="B60" s="311"/>
      <c r="C60" s="332">
        <v>19.780999999999999</v>
      </c>
      <c r="D60" s="340"/>
      <c r="E60" s="410">
        <v>36.393999999999998</v>
      </c>
      <c r="F60" s="411">
        <v>0.25</v>
      </c>
    </row>
    <row r="61" spans="1:8">
      <c r="A61" s="316" t="s">
        <v>381</v>
      </c>
      <c r="B61" s="3" t="s">
        <v>28</v>
      </c>
      <c r="C61" s="334">
        <v>0.77</v>
      </c>
      <c r="D61" s="331"/>
      <c r="E61" s="418">
        <v>1.4790000000000001</v>
      </c>
      <c r="F61" s="413"/>
    </row>
    <row r="62" spans="1:8">
      <c r="A62" s="316" t="s">
        <v>382</v>
      </c>
      <c r="B62" s="3" t="s">
        <v>25</v>
      </c>
      <c r="C62" s="336">
        <v>0.17299999999999999</v>
      </c>
      <c r="D62" s="339"/>
      <c r="E62" s="419">
        <v>3.7240000000000002</v>
      </c>
      <c r="F62" s="420"/>
    </row>
    <row r="63" spans="1:8">
      <c r="A63" s="316" t="s">
        <v>383</v>
      </c>
      <c r="B63" s="3" t="s">
        <v>28</v>
      </c>
      <c r="C63" s="336">
        <v>4.5830000000000002</v>
      </c>
      <c r="D63" s="339"/>
      <c r="E63" s="419">
        <v>1.5129999999999999</v>
      </c>
      <c r="F63" s="420">
        <v>0.25</v>
      </c>
    </row>
    <row r="64" spans="1:8">
      <c r="A64" s="342" t="s">
        <v>384</v>
      </c>
      <c r="B64" s="342"/>
      <c r="C64" s="336">
        <v>0.97499999999999998</v>
      </c>
      <c r="D64" s="339"/>
      <c r="E64" s="419"/>
      <c r="F64" s="420"/>
    </row>
    <row r="65" spans="1:6">
      <c r="A65" s="316" t="s">
        <v>385</v>
      </c>
      <c r="B65" s="3" t="s">
        <v>23</v>
      </c>
      <c r="C65" s="336">
        <v>3.4089999999999998</v>
      </c>
      <c r="D65" s="339"/>
      <c r="E65" s="419">
        <v>2.6549999999999998</v>
      </c>
      <c r="F65" s="420"/>
    </row>
    <row r="66" spans="1:6">
      <c r="A66" s="321" t="s">
        <v>386</v>
      </c>
      <c r="B66" s="3" t="s">
        <v>28</v>
      </c>
      <c r="C66" s="337">
        <v>4.4999999999999998E-2</v>
      </c>
      <c r="D66" s="338"/>
      <c r="E66" s="415">
        <v>4.2999999999999997E-2</v>
      </c>
      <c r="F66" s="416"/>
    </row>
    <row r="67" spans="1:6">
      <c r="A67" s="321" t="s">
        <v>387</v>
      </c>
      <c r="B67" s="3" t="s">
        <v>28</v>
      </c>
      <c r="C67" s="322"/>
      <c r="D67" s="338"/>
      <c r="E67" s="415">
        <v>0.68799999999999994</v>
      </c>
      <c r="F67" s="416"/>
    </row>
    <row r="68" spans="1:6">
      <c r="A68" s="321" t="s">
        <v>388</v>
      </c>
      <c r="B68" s="3" t="s">
        <v>27</v>
      </c>
      <c r="C68" s="337">
        <v>1.4379999999999999</v>
      </c>
      <c r="D68" s="338"/>
      <c r="E68" s="415">
        <v>1.4470000000000001</v>
      </c>
      <c r="F68" s="416"/>
    </row>
    <row r="69" spans="1:6">
      <c r="A69" s="321" t="s">
        <v>389</v>
      </c>
      <c r="B69" s="3" t="s">
        <v>27</v>
      </c>
      <c r="C69" s="337">
        <v>5.3760000000000003</v>
      </c>
      <c r="D69" s="338"/>
      <c r="E69" s="415">
        <v>5.3760000000000003</v>
      </c>
      <c r="F69" s="416"/>
    </row>
    <row r="70" spans="1:6">
      <c r="A70" s="321" t="s">
        <v>390</v>
      </c>
      <c r="B70" s="3" t="s">
        <v>28</v>
      </c>
      <c r="C70" s="337">
        <v>0.504</v>
      </c>
      <c r="D70" s="338"/>
      <c r="E70" s="415">
        <v>0.52700000000000002</v>
      </c>
      <c r="F70" s="416"/>
    </row>
    <row r="71" spans="1:6">
      <c r="A71" s="321" t="s">
        <v>391</v>
      </c>
      <c r="B71" s="3" t="s">
        <v>28</v>
      </c>
      <c r="C71" s="322"/>
      <c r="D71" s="338"/>
      <c r="E71" s="415">
        <v>17.785</v>
      </c>
      <c r="F71" s="416"/>
    </row>
    <row r="72" spans="1:6">
      <c r="A72" s="321" t="s">
        <v>392</v>
      </c>
      <c r="B72" s="3" t="s">
        <v>25</v>
      </c>
      <c r="C72" s="337">
        <v>1.151</v>
      </c>
      <c r="D72" s="338"/>
      <c r="E72" s="415">
        <v>1.0569999999999999</v>
      </c>
      <c r="F72" s="416"/>
    </row>
    <row r="73" spans="1:6">
      <c r="A73" s="321" t="s">
        <v>393</v>
      </c>
      <c r="B73" s="3" t="s">
        <v>28</v>
      </c>
      <c r="C73" s="337">
        <v>8.0000000000000002E-3</v>
      </c>
      <c r="D73" s="338"/>
      <c r="E73" s="415">
        <v>8.0000000000000002E-3</v>
      </c>
      <c r="F73" s="416"/>
    </row>
    <row r="74" spans="1:6">
      <c r="A74" s="321" t="s">
        <v>394</v>
      </c>
      <c r="B74" s="3" t="s">
        <v>28</v>
      </c>
      <c r="C74" s="322"/>
      <c r="D74" s="338"/>
      <c r="E74" s="415">
        <v>2.5000000000000001E-2</v>
      </c>
      <c r="F74" s="416"/>
    </row>
    <row r="75" spans="1:6">
      <c r="A75" s="321" t="s">
        <v>395</v>
      </c>
      <c r="B75" s="3" t="s">
        <v>28</v>
      </c>
      <c r="C75" s="322"/>
      <c r="D75" s="338"/>
      <c r="E75" s="415">
        <v>6.7000000000000004E-2</v>
      </c>
      <c r="F75" s="416"/>
    </row>
    <row r="76" spans="1:6">
      <c r="A76" s="321" t="s">
        <v>396</v>
      </c>
      <c r="B76" s="3"/>
      <c r="C76" s="337">
        <v>0</v>
      </c>
      <c r="D76" s="338"/>
      <c r="E76" s="415">
        <v>0</v>
      </c>
      <c r="F76" s="416"/>
    </row>
    <row r="77" spans="1:6">
      <c r="A77" s="321" t="s">
        <v>397</v>
      </c>
      <c r="B77" s="321"/>
      <c r="C77" s="337">
        <v>1.349</v>
      </c>
      <c r="D77" s="338"/>
      <c r="E77" s="415"/>
      <c r="F77" s="416"/>
    </row>
    <row r="78" spans="1:6">
      <c r="A78" s="343" t="s">
        <v>398</v>
      </c>
      <c r="B78" s="343"/>
      <c r="C78" s="324"/>
      <c r="D78" s="339"/>
      <c r="E78" s="419">
        <v>10.003</v>
      </c>
      <c r="F78" s="420"/>
    </row>
    <row r="79" spans="1:6">
      <c r="A79" s="344" t="s">
        <v>399</v>
      </c>
      <c r="B79" s="344"/>
      <c r="C79" s="345">
        <v>2342.3310000000001</v>
      </c>
      <c r="D79" s="313">
        <v>2342.3310000000001</v>
      </c>
      <c r="E79" s="421">
        <v>3423.9639999999999</v>
      </c>
      <c r="F79" s="422">
        <v>3423.9639999999999</v>
      </c>
    </row>
  </sheetData>
  <mergeCells count="11">
    <mergeCell ref="A49:H49"/>
    <mergeCell ref="C6:D6"/>
    <mergeCell ref="E6:F6"/>
    <mergeCell ref="C7:D7"/>
    <mergeCell ref="E7:F7"/>
    <mergeCell ref="A1:D1"/>
    <mergeCell ref="A2:D2"/>
    <mergeCell ref="A3:D3"/>
    <mergeCell ref="A4:F4"/>
    <mergeCell ref="C5:D5"/>
    <mergeCell ref="E5:F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2"/>
  <sheetViews>
    <sheetView workbookViewId="0">
      <selection activeCell="C4" sqref="C4"/>
    </sheetView>
  </sheetViews>
  <sheetFormatPr defaultRowHeight="14.5"/>
  <cols>
    <col min="1" max="1" width="22" customWidth="1"/>
    <col min="2" max="2" width="10.54296875" bestFit="1" customWidth="1"/>
    <col min="3" max="3" width="12.1796875" customWidth="1"/>
    <col min="4" max="4" width="10.1796875" customWidth="1"/>
    <col min="5" max="5" width="12.1796875" bestFit="1" customWidth="1"/>
    <col min="6" max="6" width="27.1796875" style="66" bestFit="1" customWidth="1"/>
    <col min="7" max="7" width="9.81640625" bestFit="1" customWidth="1"/>
    <col min="9" max="9" width="10.54296875" bestFit="1" customWidth="1"/>
    <col min="12" max="12" width="9.81640625" bestFit="1" customWidth="1"/>
    <col min="13" max="13" width="12.453125" bestFit="1" customWidth="1"/>
  </cols>
  <sheetData>
    <row r="1" spans="1:13">
      <c r="A1" s="353" t="s">
        <v>161</v>
      </c>
    </row>
    <row r="3" spans="1:13">
      <c r="A3" s="353" t="s">
        <v>402</v>
      </c>
      <c r="B3" s="115"/>
      <c r="C3" s="115" t="s">
        <v>404</v>
      </c>
      <c r="D3" s="66" t="s">
        <v>405</v>
      </c>
      <c r="E3" s="116" t="s">
        <v>158</v>
      </c>
    </row>
    <row r="4" spans="1:13">
      <c r="A4" s="115">
        <v>43556</v>
      </c>
      <c r="B4" s="115">
        <v>43738</v>
      </c>
      <c r="C4" s="66">
        <v>8582430</v>
      </c>
      <c r="D4" s="66">
        <f>B4-A4</f>
        <v>182</v>
      </c>
      <c r="E4" s="116">
        <f>C4*D4/182</f>
        <v>8582430</v>
      </c>
      <c r="F4" s="66">
        <f>E4/100000</f>
        <v>85.824299999999994</v>
      </c>
      <c r="G4" s="82" t="s">
        <v>159</v>
      </c>
    </row>
    <row r="5" spans="1:13">
      <c r="B5" s="115"/>
      <c r="C5" s="115"/>
      <c r="D5" s="274"/>
      <c r="E5" s="116"/>
      <c r="H5" s="82"/>
    </row>
    <row r="6" spans="1:13">
      <c r="B6" s="115"/>
      <c r="C6" s="115"/>
      <c r="E6" s="116"/>
      <c r="H6" s="82"/>
    </row>
    <row r="7" spans="1:13">
      <c r="A7" s="353" t="s">
        <v>403</v>
      </c>
      <c r="B7" s="115"/>
      <c r="C7" s="115"/>
      <c r="D7" s="66"/>
      <c r="E7" s="116"/>
    </row>
    <row r="8" spans="1:13">
      <c r="A8" s="115">
        <v>43556</v>
      </c>
      <c r="B8" s="115">
        <v>43738</v>
      </c>
      <c r="C8" s="66">
        <v>8582430</v>
      </c>
      <c r="D8" s="66">
        <f>B8-A8</f>
        <v>182</v>
      </c>
      <c r="E8" s="116">
        <f>C8*D8/182</f>
        <v>8582430</v>
      </c>
      <c r="F8" s="66">
        <f>E8/100000</f>
        <v>85.824299999999994</v>
      </c>
      <c r="G8" s="82" t="s">
        <v>159</v>
      </c>
    </row>
    <row r="9" spans="1:13">
      <c r="A9" s="115">
        <v>43556</v>
      </c>
      <c r="B9" s="115">
        <v>43738</v>
      </c>
      <c r="C9" s="66">
        <v>249000</v>
      </c>
      <c r="D9" s="66">
        <f>B9-A9</f>
        <v>182</v>
      </c>
      <c r="E9" s="116">
        <f>C9*D9/182</f>
        <v>249000</v>
      </c>
      <c r="F9" s="66">
        <f>(E8+E9)/100000</f>
        <v>88.314300000000003</v>
      </c>
      <c r="G9" s="82" t="s">
        <v>160</v>
      </c>
    </row>
    <row r="10" spans="1:13">
      <c r="B10" s="115"/>
      <c r="C10" s="115"/>
      <c r="D10" s="274"/>
      <c r="E10" s="116">
        <f>SUM(E8:E9)</f>
        <v>8831430</v>
      </c>
      <c r="G10" s="117"/>
      <c r="L10" s="117"/>
      <c r="M10" s="42"/>
    </row>
    <row r="11" spans="1:13">
      <c r="A11" s="118"/>
      <c r="B11" s="115"/>
      <c r="C11" s="115"/>
      <c r="E11" s="116"/>
      <c r="G11" s="42"/>
      <c r="H11" s="82"/>
      <c r="I11" s="115"/>
      <c r="M11" s="42"/>
    </row>
    <row r="12" spans="1:13">
      <c r="B12" s="115"/>
      <c r="C12" s="115"/>
      <c r="E12" s="116"/>
      <c r="G12" s="41"/>
      <c r="H12" s="82"/>
      <c r="I12" s="115"/>
      <c r="M12" s="4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99"/>
  <sheetViews>
    <sheetView topLeftCell="A10" workbookViewId="0">
      <selection activeCell="F34" sqref="F34"/>
    </sheetView>
  </sheetViews>
  <sheetFormatPr defaultColWidth="9.1796875" defaultRowHeight="14.5"/>
  <cols>
    <col min="1" max="1" width="52.54296875" bestFit="1" customWidth="1"/>
    <col min="2" max="2" width="15.81640625" bestFit="1" customWidth="1"/>
    <col min="3" max="4" width="15.1796875" bestFit="1" customWidth="1"/>
    <col min="5" max="5" width="16.453125" bestFit="1" customWidth="1"/>
  </cols>
  <sheetData>
    <row r="1" spans="1:6" ht="15.5">
      <c r="A1" s="1173" t="s">
        <v>575</v>
      </c>
      <c r="B1" s="1173"/>
      <c r="C1" s="1173"/>
      <c r="D1" s="306"/>
      <c r="E1" s="306"/>
    </row>
    <row r="2" spans="1:6">
      <c r="A2" s="1174" t="s">
        <v>475</v>
      </c>
      <c r="B2" s="1174"/>
      <c r="C2" s="1174"/>
      <c r="D2" s="306"/>
      <c r="E2" s="306"/>
    </row>
    <row r="3" spans="1:6">
      <c r="A3" s="1174" t="s">
        <v>476</v>
      </c>
      <c r="B3" s="1174"/>
      <c r="C3" s="1174"/>
      <c r="D3" s="306"/>
      <c r="E3" s="306"/>
    </row>
    <row r="4" spans="1:6">
      <c r="A4" s="1174" t="s">
        <v>477</v>
      </c>
      <c r="B4" s="1174"/>
      <c r="C4" s="1174"/>
      <c r="D4" s="306"/>
      <c r="E4" s="306"/>
    </row>
    <row r="5" spans="1:6">
      <c r="A5" s="1174" t="s">
        <v>478</v>
      </c>
      <c r="B5" s="1174"/>
      <c r="C5" s="1174"/>
      <c r="D5" s="306"/>
      <c r="E5" s="306"/>
    </row>
    <row r="6" spans="1:6">
      <c r="A6" s="1209" t="s">
        <v>322</v>
      </c>
      <c r="B6" s="1210"/>
      <c r="C6" s="1210"/>
      <c r="D6" s="306"/>
      <c r="E6" s="306"/>
    </row>
    <row r="7" spans="1:6" ht="15.5">
      <c r="A7" s="1211" t="s">
        <v>323</v>
      </c>
      <c r="B7" s="1211"/>
      <c r="C7" s="1211"/>
      <c r="D7" s="306"/>
      <c r="E7" s="306"/>
    </row>
    <row r="8" spans="1:6">
      <c r="A8" s="1174" t="s">
        <v>576</v>
      </c>
      <c r="B8" s="1174"/>
      <c r="C8" s="1174"/>
      <c r="D8" s="306"/>
      <c r="E8" s="306"/>
    </row>
    <row r="9" spans="1:6">
      <c r="A9" s="307" t="s">
        <v>325</v>
      </c>
      <c r="B9" s="1212" t="s">
        <v>575</v>
      </c>
      <c r="C9" s="1175"/>
      <c r="D9" s="1175"/>
      <c r="E9" s="1175"/>
    </row>
    <row r="10" spans="1:6">
      <c r="A10" s="308" t="s">
        <v>0</v>
      </c>
      <c r="B10" s="1213" t="s">
        <v>576</v>
      </c>
      <c r="C10" s="1214"/>
      <c r="D10" s="1214"/>
      <c r="E10" s="1214"/>
    </row>
    <row r="11" spans="1:6">
      <c r="A11" s="308" t="s">
        <v>325</v>
      </c>
      <c r="B11" s="582" t="s">
        <v>577</v>
      </c>
      <c r="C11" s="1215" t="s">
        <v>578</v>
      </c>
      <c r="D11" s="1216"/>
      <c r="E11" s="582" t="s">
        <v>579</v>
      </c>
    </row>
    <row r="12" spans="1:6">
      <c r="A12" s="309" t="s">
        <v>325</v>
      </c>
      <c r="B12" s="585" t="s">
        <v>580</v>
      </c>
      <c r="C12" s="310" t="s">
        <v>330</v>
      </c>
      <c r="D12" s="310" t="s">
        <v>331</v>
      </c>
      <c r="E12" s="585" t="s">
        <v>580</v>
      </c>
    </row>
    <row r="13" spans="1:6">
      <c r="A13" s="311" t="s">
        <v>332</v>
      </c>
      <c r="B13" s="586">
        <v>195648925</v>
      </c>
      <c r="C13" s="587">
        <v>6905715</v>
      </c>
      <c r="D13" s="587">
        <v>2490000</v>
      </c>
      <c r="E13" s="586">
        <v>191233210</v>
      </c>
    </row>
    <row r="14" spans="1:6">
      <c r="A14" s="316" t="s">
        <v>333</v>
      </c>
      <c r="B14" s="588">
        <v>107334625</v>
      </c>
      <c r="C14" s="325">
        <v>4415715</v>
      </c>
      <c r="D14" s="339"/>
      <c r="E14" s="588">
        <v>102918910</v>
      </c>
      <c r="F14" s="53" t="s">
        <v>83</v>
      </c>
    </row>
    <row r="15" spans="1:6">
      <c r="A15" s="321" t="s">
        <v>334</v>
      </c>
      <c r="B15" s="589">
        <v>2490000</v>
      </c>
      <c r="C15" s="325">
        <v>2490000</v>
      </c>
      <c r="D15" s="339"/>
      <c r="E15" s="338"/>
      <c r="F15" s="53" t="s">
        <v>82</v>
      </c>
    </row>
    <row r="16" spans="1:6">
      <c r="A16" s="321" t="s">
        <v>335</v>
      </c>
      <c r="B16" s="589">
        <v>85824300</v>
      </c>
      <c r="C16" s="339"/>
      <c r="D16" s="325">
        <v>2490000</v>
      </c>
      <c r="E16" s="589">
        <v>88314300</v>
      </c>
      <c r="F16" s="53" t="s">
        <v>82</v>
      </c>
    </row>
    <row r="17" spans="1:6">
      <c r="A17" s="311" t="s">
        <v>336</v>
      </c>
      <c r="B17" s="590">
        <v>171075</v>
      </c>
      <c r="C17" s="591">
        <v>11273897</v>
      </c>
      <c r="D17" s="591">
        <v>11640160</v>
      </c>
      <c r="E17" s="590">
        <v>537338</v>
      </c>
    </row>
    <row r="18" spans="1:6">
      <c r="A18" s="316" t="s">
        <v>338</v>
      </c>
      <c r="B18" s="588">
        <v>171075</v>
      </c>
      <c r="C18" s="325">
        <v>11273897</v>
      </c>
      <c r="D18" s="325">
        <v>11640160</v>
      </c>
      <c r="E18" s="588">
        <v>537338</v>
      </c>
      <c r="F18" s="53" t="s">
        <v>87</v>
      </c>
    </row>
    <row r="19" spans="1:6">
      <c r="A19" s="311" t="s">
        <v>339</v>
      </c>
      <c r="B19" s="590">
        <v>16536525.293</v>
      </c>
      <c r="C19" s="591">
        <v>471053950.40700001</v>
      </c>
      <c r="D19" s="591">
        <v>676124129.66400003</v>
      </c>
      <c r="E19" s="590">
        <v>221606704.55000001</v>
      </c>
    </row>
    <row r="20" spans="1:6">
      <c r="A20" s="316" t="s">
        <v>340</v>
      </c>
      <c r="B20" s="592">
        <v>964143.65300000005</v>
      </c>
      <c r="C20" s="325">
        <v>117763529.383</v>
      </c>
      <c r="D20" s="325">
        <v>119385489.767</v>
      </c>
      <c r="E20" s="588">
        <v>657816.73100000003</v>
      </c>
      <c r="F20" s="53" t="s">
        <v>91</v>
      </c>
    </row>
    <row r="21" spans="1:6">
      <c r="A21" s="316" t="s">
        <v>341</v>
      </c>
      <c r="B21" s="588">
        <v>10065447.550000001</v>
      </c>
      <c r="C21" s="325">
        <v>9500000</v>
      </c>
      <c r="D21" s="325">
        <v>8322445</v>
      </c>
      <c r="E21" s="588">
        <v>8887892.5500000007</v>
      </c>
    </row>
    <row r="22" spans="1:6">
      <c r="A22" s="316" t="s">
        <v>342</v>
      </c>
      <c r="B22" s="588">
        <v>438219.85</v>
      </c>
      <c r="C22" s="325">
        <v>329875827.76800001</v>
      </c>
      <c r="D22" s="325">
        <v>534393567.39700001</v>
      </c>
      <c r="E22" s="588">
        <v>204955959.479</v>
      </c>
    </row>
    <row r="23" spans="1:6">
      <c r="A23" s="321" t="s">
        <v>581</v>
      </c>
      <c r="B23" s="338"/>
      <c r="C23" s="339"/>
      <c r="D23" s="325">
        <v>184875</v>
      </c>
      <c r="E23" s="589">
        <v>184875</v>
      </c>
    </row>
    <row r="24" spans="1:6">
      <c r="A24" s="321" t="s">
        <v>582</v>
      </c>
      <c r="B24" s="589">
        <v>68761.755999999994</v>
      </c>
      <c r="C24" s="325">
        <v>68761.755999999994</v>
      </c>
      <c r="D24" s="339"/>
      <c r="E24" s="338"/>
    </row>
    <row r="25" spans="1:6">
      <c r="A25" s="321" t="s">
        <v>583</v>
      </c>
      <c r="B25" s="338"/>
      <c r="C25" s="325">
        <v>6501486</v>
      </c>
      <c r="D25" s="325">
        <v>7298279</v>
      </c>
      <c r="E25" s="589">
        <v>796793</v>
      </c>
    </row>
    <row r="26" spans="1:6">
      <c r="A26" s="321" t="s">
        <v>584</v>
      </c>
      <c r="B26" s="338"/>
      <c r="C26" s="325">
        <v>4385402.5</v>
      </c>
      <c r="D26" s="325">
        <v>4496913.5</v>
      </c>
      <c r="E26" s="589">
        <v>111511</v>
      </c>
    </row>
    <row r="27" spans="1:6">
      <c r="A27" s="321" t="s">
        <v>343</v>
      </c>
      <c r="B27" s="589">
        <v>1784974.79</v>
      </c>
      <c r="C27" s="325">
        <v>1230000</v>
      </c>
      <c r="D27" s="325">
        <v>51917</v>
      </c>
      <c r="E27" s="589">
        <v>606891.79</v>
      </c>
    </row>
    <row r="28" spans="1:6">
      <c r="A28" s="321" t="s">
        <v>344</v>
      </c>
      <c r="B28" s="589">
        <v>124425</v>
      </c>
      <c r="C28" s="325">
        <v>1728943</v>
      </c>
      <c r="D28" s="325">
        <v>1990643</v>
      </c>
      <c r="E28" s="589">
        <v>386125</v>
      </c>
    </row>
    <row r="29" spans="1:6">
      <c r="A29" s="321" t="s">
        <v>345</v>
      </c>
      <c r="B29" s="589">
        <v>5018840</v>
      </c>
      <c r="C29" s="339"/>
      <c r="D29" s="339"/>
      <c r="E29" s="589">
        <v>5018840</v>
      </c>
    </row>
    <row r="30" spans="1:6">
      <c r="A30" s="311" t="s">
        <v>346</v>
      </c>
      <c r="B30" s="593">
        <v>2716646.86</v>
      </c>
      <c r="C30" s="591">
        <v>291275.37</v>
      </c>
      <c r="D30" s="591">
        <v>1091453.25</v>
      </c>
      <c r="E30" s="593">
        <v>1916468.98</v>
      </c>
    </row>
    <row r="31" spans="1:6">
      <c r="A31" s="321" t="s">
        <v>347</v>
      </c>
      <c r="B31" s="594">
        <v>58773.32</v>
      </c>
      <c r="C31" s="339"/>
      <c r="D31" s="339"/>
      <c r="E31" s="594">
        <v>58773.32</v>
      </c>
    </row>
    <row r="32" spans="1:6">
      <c r="A32" s="321" t="s">
        <v>585</v>
      </c>
      <c r="B32" s="338"/>
      <c r="C32" s="325">
        <v>23000</v>
      </c>
      <c r="D32" s="339"/>
      <c r="E32" s="594">
        <v>23000</v>
      </c>
    </row>
    <row r="33" spans="1:5">
      <c r="A33" s="321" t="s">
        <v>348</v>
      </c>
      <c r="B33" s="594">
        <v>2236.33</v>
      </c>
      <c r="C33" s="339"/>
      <c r="D33" s="339"/>
      <c r="E33" s="594">
        <v>2236.33</v>
      </c>
    </row>
    <row r="34" spans="1:5">
      <c r="A34" s="321" t="s">
        <v>349</v>
      </c>
      <c r="B34" s="594">
        <v>1350</v>
      </c>
      <c r="C34" s="339"/>
      <c r="D34" s="339"/>
      <c r="E34" s="594">
        <v>1350</v>
      </c>
    </row>
    <row r="35" spans="1:5">
      <c r="A35" s="321" t="s">
        <v>586</v>
      </c>
      <c r="B35" s="338"/>
      <c r="C35" s="325">
        <v>41388</v>
      </c>
      <c r="D35" s="339"/>
      <c r="E35" s="594">
        <v>41388</v>
      </c>
    </row>
    <row r="36" spans="1:5">
      <c r="A36" s="321" t="s">
        <v>350</v>
      </c>
      <c r="B36" s="594">
        <v>1119150.96</v>
      </c>
      <c r="C36" s="339"/>
      <c r="D36" s="339"/>
      <c r="E36" s="594">
        <v>1119150.96</v>
      </c>
    </row>
    <row r="37" spans="1:5">
      <c r="A37" s="321" t="s">
        <v>351</v>
      </c>
      <c r="B37" s="594">
        <v>282848.64000000001</v>
      </c>
      <c r="C37" s="339"/>
      <c r="D37" s="339"/>
      <c r="E37" s="594">
        <v>282848.64000000001</v>
      </c>
    </row>
    <row r="38" spans="1:5">
      <c r="A38" s="321" t="s">
        <v>587</v>
      </c>
      <c r="B38" s="338"/>
      <c r="C38" s="325">
        <v>12542.37</v>
      </c>
      <c r="D38" s="339"/>
      <c r="E38" s="594">
        <v>12542.37</v>
      </c>
    </row>
    <row r="39" spans="1:5">
      <c r="A39" s="321" t="s">
        <v>588</v>
      </c>
      <c r="B39" s="338"/>
      <c r="C39" s="325">
        <v>17500</v>
      </c>
      <c r="D39" s="339"/>
      <c r="E39" s="594">
        <v>17500</v>
      </c>
    </row>
    <row r="40" spans="1:5">
      <c r="A40" s="321" t="s">
        <v>481</v>
      </c>
      <c r="B40" s="589">
        <v>15957.27</v>
      </c>
      <c r="C40" s="339"/>
      <c r="D40" s="325">
        <v>114726.25</v>
      </c>
      <c r="E40" s="589">
        <v>130683.52</v>
      </c>
    </row>
    <row r="41" spans="1:5">
      <c r="A41" s="321" t="s">
        <v>352</v>
      </c>
      <c r="B41" s="594">
        <v>1268244.8799999999</v>
      </c>
      <c r="C41" s="325">
        <v>196845</v>
      </c>
      <c r="D41" s="325">
        <v>976727</v>
      </c>
      <c r="E41" s="594">
        <v>488362.88</v>
      </c>
    </row>
    <row r="42" spans="1:5">
      <c r="A42" s="311" t="s">
        <v>353</v>
      </c>
      <c r="B42" s="593">
        <v>56560560</v>
      </c>
      <c r="C42" s="595"/>
      <c r="D42" s="595"/>
      <c r="E42" s="593">
        <v>56560560</v>
      </c>
    </row>
    <row r="43" spans="1:5">
      <c r="A43" s="321" t="s">
        <v>354</v>
      </c>
      <c r="B43" s="594">
        <v>56560560</v>
      </c>
      <c r="C43" s="339"/>
      <c r="D43" s="339"/>
      <c r="E43" s="594">
        <v>56560560</v>
      </c>
    </row>
    <row r="44" spans="1:5">
      <c r="A44" s="311" t="s">
        <v>355</v>
      </c>
      <c r="B44" s="593">
        <v>164751977.63299999</v>
      </c>
      <c r="C44" s="591">
        <v>1403033563.0799999</v>
      </c>
      <c r="D44" s="591">
        <v>1395762248.1819999</v>
      </c>
      <c r="E44" s="593">
        <v>172023292.53099999</v>
      </c>
    </row>
    <row r="45" spans="1:5">
      <c r="A45" s="316" t="s">
        <v>356</v>
      </c>
      <c r="B45" s="592">
        <v>10437206.743000001</v>
      </c>
      <c r="C45" s="339"/>
      <c r="D45" s="339"/>
      <c r="E45" s="592">
        <v>10437206.743000001</v>
      </c>
    </row>
    <row r="46" spans="1:5">
      <c r="A46" s="316" t="s">
        <v>357</v>
      </c>
      <c r="B46" s="592">
        <v>639000</v>
      </c>
      <c r="C46" s="339"/>
      <c r="D46" s="325">
        <v>39000</v>
      </c>
      <c r="E46" s="592">
        <v>600000</v>
      </c>
    </row>
    <row r="47" spans="1:5">
      <c r="A47" s="316" t="s">
        <v>358</v>
      </c>
      <c r="B47" s="588">
        <v>12957504.32</v>
      </c>
      <c r="C47" s="325">
        <v>356151292.17000002</v>
      </c>
      <c r="D47" s="325">
        <v>323297269.17000002</v>
      </c>
      <c r="E47" s="592">
        <v>19896518.68</v>
      </c>
    </row>
    <row r="48" spans="1:5">
      <c r="A48" s="316" t="s">
        <v>359</v>
      </c>
      <c r="B48" s="592">
        <v>6002207</v>
      </c>
      <c r="C48" s="325">
        <v>412867629</v>
      </c>
      <c r="D48" s="325">
        <v>418339998</v>
      </c>
      <c r="E48" s="592">
        <v>529838</v>
      </c>
    </row>
    <row r="49" spans="1:5">
      <c r="A49" s="316" t="s">
        <v>589</v>
      </c>
      <c r="B49" s="592">
        <v>63052</v>
      </c>
      <c r="C49" s="325">
        <v>26630</v>
      </c>
      <c r="D49" s="325">
        <v>26603</v>
      </c>
      <c r="E49" s="592">
        <v>63079</v>
      </c>
    </row>
    <row r="50" spans="1:5">
      <c r="A50" s="316" t="s">
        <v>361</v>
      </c>
      <c r="B50" s="592">
        <v>28180497.800000001</v>
      </c>
      <c r="C50" s="325">
        <v>582241413.5</v>
      </c>
      <c r="D50" s="325">
        <v>603005127.01199996</v>
      </c>
      <c r="E50" s="592">
        <v>7416784.2879999997</v>
      </c>
    </row>
    <row r="51" spans="1:5">
      <c r="A51" s="316" t="s">
        <v>590</v>
      </c>
      <c r="B51" s="592">
        <v>25300800</v>
      </c>
      <c r="C51" s="339"/>
      <c r="D51" s="339"/>
      <c r="E51" s="592">
        <v>25300800</v>
      </c>
    </row>
    <row r="52" spans="1:5">
      <c r="A52" s="316" t="s">
        <v>591</v>
      </c>
      <c r="B52" s="592">
        <v>41874840</v>
      </c>
      <c r="C52" s="339"/>
      <c r="D52" s="339"/>
      <c r="E52" s="592">
        <v>41874840</v>
      </c>
    </row>
    <row r="53" spans="1:5">
      <c r="A53" s="316" t="s">
        <v>362</v>
      </c>
      <c r="B53" s="588">
        <v>327498</v>
      </c>
      <c r="C53" s="325">
        <v>51225007</v>
      </c>
      <c r="D53" s="325">
        <v>50892109</v>
      </c>
      <c r="E53" s="592">
        <v>5400</v>
      </c>
    </row>
    <row r="54" spans="1:5">
      <c r="A54" s="316" t="s">
        <v>592</v>
      </c>
      <c r="B54" s="592">
        <v>4690.41</v>
      </c>
      <c r="C54" s="325">
        <v>9794</v>
      </c>
      <c r="D54" s="339"/>
      <c r="E54" s="592">
        <v>14484.41</v>
      </c>
    </row>
    <row r="55" spans="1:5">
      <c r="A55" s="316" t="s">
        <v>593</v>
      </c>
      <c r="B55" s="339"/>
      <c r="C55" s="325">
        <v>70360</v>
      </c>
      <c r="D55" s="339"/>
      <c r="E55" s="592">
        <v>70360</v>
      </c>
    </row>
    <row r="56" spans="1:5">
      <c r="A56" s="321" t="s">
        <v>594</v>
      </c>
      <c r="B56" s="338"/>
      <c r="C56" s="325">
        <v>50704.41</v>
      </c>
      <c r="D56" s="339"/>
      <c r="E56" s="594">
        <v>50704.41</v>
      </c>
    </row>
    <row r="57" spans="1:5">
      <c r="A57" s="321" t="s">
        <v>365</v>
      </c>
      <c r="B57" s="594">
        <v>65520125</v>
      </c>
      <c r="C57" s="339"/>
      <c r="D57" s="339"/>
      <c r="E57" s="594">
        <v>65520125</v>
      </c>
    </row>
    <row r="58" spans="1:5">
      <c r="A58" s="321" t="s">
        <v>595</v>
      </c>
      <c r="B58" s="338"/>
      <c r="C58" s="325">
        <v>15621</v>
      </c>
      <c r="D58" s="325">
        <v>15621</v>
      </c>
      <c r="E58" s="338"/>
    </row>
    <row r="59" spans="1:5">
      <c r="A59" s="321" t="s">
        <v>367</v>
      </c>
      <c r="B59" s="594">
        <v>14561</v>
      </c>
      <c r="C59" s="325">
        <v>375112</v>
      </c>
      <c r="D59" s="325">
        <v>146521</v>
      </c>
      <c r="E59" s="594">
        <v>243152</v>
      </c>
    </row>
    <row r="60" spans="1:5">
      <c r="A60" s="311" t="s">
        <v>368</v>
      </c>
      <c r="B60" s="590">
        <v>11672659.199999999</v>
      </c>
      <c r="C60" s="595"/>
      <c r="D60" s="595"/>
      <c r="E60" s="590">
        <v>11672659.199999999</v>
      </c>
    </row>
    <row r="61" spans="1:5">
      <c r="A61" s="321" t="s">
        <v>369</v>
      </c>
      <c r="B61" s="589">
        <v>11672659.199999999</v>
      </c>
      <c r="C61" s="339"/>
      <c r="D61" s="339"/>
      <c r="E61" s="589">
        <v>11672659.199999999</v>
      </c>
    </row>
    <row r="62" spans="1:5">
      <c r="A62" s="311" t="s">
        <v>370</v>
      </c>
      <c r="B62" s="340"/>
      <c r="C62" s="591">
        <v>234318</v>
      </c>
      <c r="D62" s="591">
        <v>342528427.16399997</v>
      </c>
      <c r="E62" s="590">
        <v>342294109.16399997</v>
      </c>
    </row>
    <row r="63" spans="1:5">
      <c r="A63" s="321" t="s">
        <v>596</v>
      </c>
      <c r="B63" s="338"/>
      <c r="C63" s="325">
        <v>128916</v>
      </c>
      <c r="D63" s="339"/>
      <c r="E63" s="594">
        <v>128916</v>
      </c>
    </row>
    <row r="64" spans="1:5">
      <c r="A64" s="321" t="s">
        <v>371</v>
      </c>
      <c r="B64" s="338"/>
      <c r="C64" s="325">
        <v>40631</v>
      </c>
      <c r="D64" s="325">
        <v>333784532.16399997</v>
      </c>
      <c r="E64" s="589">
        <v>333743901.16399997</v>
      </c>
    </row>
    <row r="65" spans="1:5">
      <c r="A65" s="321" t="s">
        <v>597</v>
      </c>
      <c r="B65" s="338"/>
      <c r="C65" s="339"/>
      <c r="D65" s="325">
        <v>8743895</v>
      </c>
      <c r="E65" s="589">
        <v>8743895</v>
      </c>
    </row>
    <row r="66" spans="1:5">
      <c r="A66" s="321" t="s">
        <v>598</v>
      </c>
      <c r="B66" s="338"/>
      <c r="C66" s="325">
        <v>31927</v>
      </c>
      <c r="D66" s="339"/>
      <c r="E66" s="594">
        <v>31927</v>
      </c>
    </row>
    <row r="67" spans="1:5">
      <c r="A67" s="321" t="s">
        <v>599</v>
      </c>
      <c r="B67" s="338"/>
      <c r="C67" s="325">
        <v>32844</v>
      </c>
      <c r="D67" s="339"/>
      <c r="E67" s="594">
        <v>32844</v>
      </c>
    </row>
    <row r="68" spans="1:5">
      <c r="A68" s="311" t="s">
        <v>372</v>
      </c>
      <c r="B68" s="340"/>
      <c r="C68" s="591">
        <v>521214590.583</v>
      </c>
      <c r="D68" s="595"/>
      <c r="E68" s="593">
        <v>521214590.583</v>
      </c>
    </row>
    <row r="69" spans="1:5">
      <c r="A69" s="316" t="s">
        <v>373</v>
      </c>
      <c r="B69" s="339"/>
      <c r="C69" s="325">
        <v>521214590.583</v>
      </c>
      <c r="D69" s="339"/>
      <c r="E69" s="592">
        <v>521214590.583</v>
      </c>
    </row>
    <row r="70" spans="1:5">
      <c r="A70" s="311" t="s">
        <v>374</v>
      </c>
      <c r="B70" s="340"/>
      <c r="C70" s="591">
        <v>4838632.2929999996</v>
      </c>
      <c r="D70" s="591">
        <v>4843667.2929999996</v>
      </c>
      <c r="E70" s="590">
        <v>5035</v>
      </c>
    </row>
    <row r="71" spans="1:5">
      <c r="A71" s="321" t="s">
        <v>484</v>
      </c>
      <c r="B71" s="338"/>
      <c r="C71" s="325">
        <v>2719</v>
      </c>
      <c r="D71" s="325">
        <v>100</v>
      </c>
      <c r="E71" s="594">
        <v>2619</v>
      </c>
    </row>
    <row r="72" spans="1:5">
      <c r="A72" s="321" t="s">
        <v>376</v>
      </c>
      <c r="B72" s="338"/>
      <c r="C72" s="325">
        <v>4763165.2929999996</v>
      </c>
      <c r="D72" s="325">
        <v>4763165.2929999996</v>
      </c>
      <c r="E72" s="338"/>
    </row>
    <row r="73" spans="1:5">
      <c r="A73" s="321" t="s">
        <v>377</v>
      </c>
      <c r="B73" s="338"/>
      <c r="C73" s="325">
        <v>72748</v>
      </c>
      <c r="D73" s="325">
        <v>80402</v>
      </c>
      <c r="E73" s="589">
        <v>7654</v>
      </c>
    </row>
    <row r="74" spans="1:5">
      <c r="A74" s="311" t="s">
        <v>380</v>
      </c>
      <c r="B74" s="340"/>
      <c r="C74" s="591">
        <v>15063969.218</v>
      </c>
      <c r="D74" s="591">
        <v>7632804.2319999998</v>
      </c>
      <c r="E74" s="593">
        <v>7431164.9859999996</v>
      </c>
    </row>
    <row r="75" spans="1:5">
      <c r="A75" s="316" t="s">
        <v>381</v>
      </c>
      <c r="B75" s="339"/>
      <c r="C75" s="325">
        <v>949216.46</v>
      </c>
      <c r="D75" s="325">
        <v>16766</v>
      </c>
      <c r="E75" s="592">
        <v>932450.46</v>
      </c>
    </row>
    <row r="76" spans="1:5">
      <c r="A76" s="316" t="s">
        <v>600</v>
      </c>
      <c r="B76" s="339"/>
      <c r="C76" s="325">
        <v>1083253</v>
      </c>
      <c r="D76" s="325">
        <v>285031</v>
      </c>
      <c r="E76" s="592">
        <v>798222</v>
      </c>
    </row>
    <row r="77" spans="1:5">
      <c r="A77" s="316" t="s">
        <v>382</v>
      </c>
      <c r="B77" s="339"/>
      <c r="C77" s="325">
        <v>1185634.24</v>
      </c>
      <c r="D77" s="325">
        <v>444613.17</v>
      </c>
      <c r="E77" s="592">
        <v>741021.07</v>
      </c>
    </row>
    <row r="78" spans="1:5">
      <c r="A78" s="316" t="s">
        <v>383</v>
      </c>
      <c r="B78" s="339"/>
      <c r="C78" s="325">
        <v>1055556.5</v>
      </c>
      <c r="D78" s="325">
        <v>424999</v>
      </c>
      <c r="E78" s="592">
        <v>630557.5</v>
      </c>
    </row>
    <row r="79" spans="1:5">
      <c r="A79" s="342" t="s">
        <v>384</v>
      </c>
      <c r="B79" s="339"/>
      <c r="C79" s="325">
        <v>1230000</v>
      </c>
      <c r="D79" s="325">
        <v>1230000</v>
      </c>
      <c r="E79" s="339"/>
    </row>
    <row r="80" spans="1:5">
      <c r="A80" s="316" t="s">
        <v>385</v>
      </c>
      <c r="B80" s="339"/>
      <c r="C80" s="325">
        <v>2696437</v>
      </c>
      <c r="D80" s="325">
        <v>263613</v>
      </c>
      <c r="E80" s="592">
        <v>2432824</v>
      </c>
    </row>
    <row r="81" spans="1:5">
      <c r="A81" s="321" t="s">
        <v>601</v>
      </c>
      <c r="B81" s="338"/>
      <c r="C81" s="325">
        <v>39913</v>
      </c>
      <c r="D81" s="339"/>
      <c r="E81" s="594">
        <v>39913</v>
      </c>
    </row>
    <row r="82" spans="1:5">
      <c r="A82" s="321" t="s">
        <v>386</v>
      </c>
      <c r="B82" s="338"/>
      <c r="C82" s="325">
        <v>7602</v>
      </c>
      <c r="D82" s="339"/>
      <c r="E82" s="594">
        <v>7602</v>
      </c>
    </row>
    <row r="83" spans="1:5">
      <c r="A83" s="321" t="s">
        <v>388</v>
      </c>
      <c r="B83" s="338"/>
      <c r="C83" s="325">
        <v>114726.25</v>
      </c>
      <c r="D83" s="339"/>
      <c r="E83" s="594">
        <v>114726.25</v>
      </c>
    </row>
    <row r="84" spans="1:5">
      <c r="A84" s="321" t="s">
        <v>389</v>
      </c>
      <c r="B84" s="338"/>
      <c r="C84" s="325">
        <v>976727</v>
      </c>
      <c r="D84" s="325">
        <v>196845</v>
      </c>
      <c r="E84" s="594">
        <v>779882</v>
      </c>
    </row>
    <row r="85" spans="1:5">
      <c r="A85" s="321" t="s">
        <v>602</v>
      </c>
      <c r="B85" s="338"/>
      <c r="C85" s="325">
        <v>30000</v>
      </c>
      <c r="D85" s="339"/>
      <c r="E85" s="594">
        <v>30000</v>
      </c>
    </row>
    <row r="86" spans="1:5">
      <c r="A86" s="321" t="s">
        <v>603</v>
      </c>
      <c r="B86" s="338"/>
      <c r="C86" s="325">
        <v>85000</v>
      </c>
      <c r="D86" s="339"/>
      <c r="E86" s="594">
        <v>85000</v>
      </c>
    </row>
    <row r="87" spans="1:5">
      <c r="A87" s="321" t="s">
        <v>390</v>
      </c>
      <c r="B87" s="338"/>
      <c r="C87" s="325">
        <v>56880</v>
      </c>
      <c r="D87" s="339"/>
      <c r="E87" s="594">
        <v>56880</v>
      </c>
    </row>
    <row r="88" spans="1:5">
      <c r="A88" s="321" t="s">
        <v>604</v>
      </c>
      <c r="B88" s="338"/>
      <c r="C88" s="325">
        <v>2505.62</v>
      </c>
      <c r="D88" s="339"/>
      <c r="E88" s="594">
        <v>2505.62</v>
      </c>
    </row>
    <row r="89" spans="1:5">
      <c r="A89" s="321" t="s">
        <v>391</v>
      </c>
      <c r="B89" s="338"/>
      <c r="C89" s="325">
        <v>5018984.2209999999</v>
      </c>
      <c r="D89" s="325">
        <v>4763165.2929999996</v>
      </c>
      <c r="E89" s="594">
        <v>255818.92800000001</v>
      </c>
    </row>
    <row r="90" spans="1:5">
      <c r="A90" s="321" t="s">
        <v>392</v>
      </c>
      <c r="B90" s="338"/>
      <c r="C90" s="325">
        <v>51917</v>
      </c>
      <c r="D90" s="339"/>
      <c r="E90" s="594">
        <v>51917</v>
      </c>
    </row>
    <row r="91" spans="1:5">
      <c r="A91" s="321" t="s">
        <v>485</v>
      </c>
      <c r="B91" s="338"/>
      <c r="C91" s="325">
        <v>8363</v>
      </c>
      <c r="D91" s="339"/>
      <c r="E91" s="594">
        <v>8363</v>
      </c>
    </row>
    <row r="92" spans="1:5">
      <c r="A92" s="321" t="s">
        <v>605</v>
      </c>
      <c r="B92" s="338"/>
      <c r="C92" s="325">
        <v>2076</v>
      </c>
      <c r="D92" s="325">
        <v>7401</v>
      </c>
      <c r="E92" s="589">
        <v>5325</v>
      </c>
    </row>
    <row r="93" spans="1:5">
      <c r="A93" s="321" t="s">
        <v>394</v>
      </c>
      <c r="B93" s="338"/>
      <c r="C93" s="325">
        <v>2500</v>
      </c>
      <c r="D93" s="339"/>
      <c r="E93" s="594">
        <v>2500</v>
      </c>
    </row>
    <row r="94" spans="1:5">
      <c r="A94" s="321" t="s">
        <v>606</v>
      </c>
      <c r="B94" s="338"/>
      <c r="C94" s="325">
        <v>30.827000000000002</v>
      </c>
      <c r="D94" s="325">
        <v>70.769000000000005</v>
      </c>
      <c r="E94" s="589">
        <v>39.942</v>
      </c>
    </row>
    <row r="95" spans="1:5">
      <c r="A95" s="321" t="s">
        <v>607</v>
      </c>
      <c r="B95" s="338"/>
      <c r="C95" s="325">
        <v>2100</v>
      </c>
      <c r="D95" s="325">
        <v>300</v>
      </c>
      <c r="E95" s="594">
        <v>1800</v>
      </c>
    </row>
    <row r="96" spans="1:5">
      <c r="A96" s="321" t="s">
        <v>608</v>
      </c>
      <c r="B96" s="338"/>
      <c r="C96" s="325">
        <v>432645</v>
      </c>
      <c r="D96" s="339"/>
      <c r="E96" s="594">
        <v>432645</v>
      </c>
    </row>
    <row r="97" spans="1:5">
      <c r="A97" s="321" t="s">
        <v>609</v>
      </c>
      <c r="B97" s="338"/>
      <c r="C97" s="325">
        <v>31902.1</v>
      </c>
      <c r="D97" s="339"/>
      <c r="E97" s="594">
        <v>31902.1</v>
      </c>
    </row>
    <row r="98" spans="1:5">
      <c r="A98" s="343" t="s">
        <v>398</v>
      </c>
      <c r="B98" s="339"/>
      <c r="C98" s="323">
        <v>8322445</v>
      </c>
      <c r="D98" s="323">
        <v>119466.166</v>
      </c>
      <c r="E98" s="592">
        <v>8202978.8339999998</v>
      </c>
    </row>
    <row r="99" spans="1:5">
      <c r="A99" s="344" t="s">
        <v>399</v>
      </c>
      <c r="B99" s="596"/>
      <c r="C99" s="315">
        <v>2442232355.9510002</v>
      </c>
      <c r="D99" s="315">
        <v>2442232355.9510002</v>
      </c>
      <c r="E99" s="596"/>
    </row>
  </sheetData>
  <mergeCells count="11">
    <mergeCell ref="A6:C6"/>
    <mergeCell ref="A1:C1"/>
    <mergeCell ref="A2:C2"/>
    <mergeCell ref="A3:C3"/>
    <mergeCell ref="A4:C4"/>
    <mergeCell ref="A5:C5"/>
    <mergeCell ref="A7:C7"/>
    <mergeCell ref="A8:C8"/>
    <mergeCell ref="B9:E9"/>
    <mergeCell ref="B10:E10"/>
    <mergeCell ref="C11:D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2:N23"/>
  <sheetViews>
    <sheetView tabSelected="1" zoomScaleNormal="100" workbookViewId="0">
      <selection sqref="A1:N23"/>
    </sheetView>
  </sheetViews>
  <sheetFormatPr defaultColWidth="8.81640625" defaultRowHeight="14.5"/>
  <cols>
    <col min="2" max="2" width="43.54296875" customWidth="1"/>
    <col min="3" max="7" width="15" hidden="1" customWidth="1"/>
    <col min="8" max="8" width="14.81640625" hidden="1" customWidth="1"/>
    <col min="9" max="13" width="15" bestFit="1" customWidth="1"/>
    <col min="14" max="14" width="14.81640625" bestFit="1" customWidth="1"/>
  </cols>
  <sheetData>
    <row r="2" spans="1:14" ht="14.5" customHeight="1">
      <c r="A2" s="1144" t="s">
        <v>1</v>
      </c>
      <c r="B2" s="1144"/>
      <c r="C2" s="1144"/>
      <c r="D2" s="1144"/>
      <c r="E2" s="1144"/>
      <c r="F2" s="1144"/>
      <c r="G2" s="1144"/>
      <c r="H2" s="1144"/>
      <c r="I2" s="1144"/>
      <c r="J2" s="1144"/>
      <c r="K2" s="1144"/>
      <c r="L2" s="1144"/>
      <c r="M2" s="1144"/>
      <c r="N2" s="1144"/>
    </row>
    <row r="3" spans="1:14" ht="14.5" customHeight="1">
      <c r="A3" s="1144" t="s">
        <v>3</v>
      </c>
      <c r="B3" s="1144"/>
      <c r="C3" s="1144"/>
      <c r="D3" s="1144"/>
      <c r="E3" s="1144"/>
      <c r="F3" s="1144"/>
      <c r="G3" s="1144"/>
      <c r="H3" s="1144"/>
      <c r="I3" s="1144"/>
      <c r="J3" s="1144"/>
      <c r="K3" s="1144"/>
      <c r="L3" s="1144"/>
      <c r="M3" s="1144"/>
      <c r="N3" s="1144"/>
    </row>
    <row r="4" spans="1:14" ht="14.5" customHeight="1">
      <c r="A4" s="1144" t="s">
        <v>313</v>
      </c>
      <c r="B4" s="1144"/>
      <c r="C4" s="1144"/>
      <c r="D4" s="1144"/>
      <c r="E4" s="1144"/>
      <c r="F4" s="1144"/>
      <c r="G4" s="1144"/>
      <c r="H4" s="1144"/>
      <c r="I4" s="1144"/>
      <c r="J4" s="1144"/>
      <c r="K4" s="1144"/>
      <c r="L4" s="1144"/>
      <c r="M4" s="1144"/>
      <c r="N4" s="1144"/>
    </row>
    <row r="5" spans="1:14" ht="14.5" customHeight="1">
      <c r="A5" s="1145" t="s">
        <v>5</v>
      </c>
      <c r="B5" s="1145"/>
      <c r="C5" s="1145"/>
      <c r="D5" s="1145"/>
      <c r="E5" s="1145"/>
      <c r="F5" s="1145"/>
      <c r="G5" s="1145"/>
      <c r="H5" s="1145"/>
      <c r="I5" s="1145"/>
      <c r="J5" s="1145"/>
      <c r="K5" s="1145"/>
      <c r="L5" s="1145"/>
      <c r="M5" s="1145"/>
      <c r="N5" s="1145"/>
    </row>
    <row r="6" spans="1:14" ht="14.5" customHeight="1">
      <c r="A6" s="1144" t="s">
        <v>2125</v>
      </c>
      <c r="B6" s="1144"/>
      <c r="C6" s="1144"/>
      <c r="D6" s="1144"/>
      <c r="E6" s="1144"/>
      <c r="F6" s="1144"/>
      <c r="G6" s="1144"/>
      <c r="H6" s="1144"/>
      <c r="I6" s="1144"/>
      <c r="J6" s="1144"/>
      <c r="K6" s="1144"/>
      <c r="L6" s="1144"/>
      <c r="M6" s="1144"/>
      <c r="N6" s="1144"/>
    </row>
    <row r="7" spans="1:14">
      <c r="A7" s="298"/>
      <c r="B7" s="298"/>
      <c r="C7" s="298"/>
      <c r="D7" s="298"/>
      <c r="E7" s="298"/>
      <c r="F7" s="299"/>
      <c r="N7" s="450" t="s">
        <v>2162</v>
      </c>
    </row>
    <row r="8" spans="1:14">
      <c r="A8" s="1142" t="s">
        <v>1938</v>
      </c>
      <c r="B8" s="1142" t="s">
        <v>0</v>
      </c>
      <c r="C8" s="1147" t="s">
        <v>317</v>
      </c>
      <c r="D8" s="1148"/>
      <c r="E8" s="1149"/>
      <c r="F8" s="1147" t="s">
        <v>1089</v>
      </c>
      <c r="G8" s="1149"/>
      <c r="H8" s="357" t="s">
        <v>1090</v>
      </c>
      <c r="I8" s="1147" t="s">
        <v>317</v>
      </c>
      <c r="J8" s="1148"/>
      <c r="K8" s="1149"/>
      <c r="L8" s="1147" t="s">
        <v>2126</v>
      </c>
      <c r="M8" s="1149"/>
      <c r="N8" s="357" t="s">
        <v>1090</v>
      </c>
    </row>
    <row r="9" spans="1:14">
      <c r="A9" s="1143"/>
      <c r="B9" s="1143"/>
      <c r="C9" s="358" t="s">
        <v>1091</v>
      </c>
      <c r="D9" s="358" t="s">
        <v>1092</v>
      </c>
      <c r="E9" s="358" t="s">
        <v>1087</v>
      </c>
      <c r="F9" s="358" t="s">
        <v>1091</v>
      </c>
      <c r="G9" s="358" t="s">
        <v>1087</v>
      </c>
      <c r="H9" s="358" t="s">
        <v>1094</v>
      </c>
      <c r="I9" s="358" t="s">
        <v>2074</v>
      </c>
      <c r="J9" s="358" t="s">
        <v>1942</v>
      </c>
      <c r="K9" s="358" t="s">
        <v>2073</v>
      </c>
      <c r="L9" s="358" t="s">
        <v>2074</v>
      </c>
      <c r="M9" s="358" t="s">
        <v>2073</v>
      </c>
      <c r="N9" s="358" t="s">
        <v>1943</v>
      </c>
    </row>
    <row r="10" spans="1:14">
      <c r="A10" s="1143"/>
      <c r="B10" s="1143"/>
      <c r="C10" s="358" t="s">
        <v>1085</v>
      </c>
      <c r="D10" s="358" t="s">
        <v>1085</v>
      </c>
      <c r="E10" s="358" t="s">
        <v>1085</v>
      </c>
      <c r="F10" s="358" t="s">
        <v>1085</v>
      </c>
      <c r="G10" s="358" t="s">
        <v>1085</v>
      </c>
      <c r="H10" s="358" t="s">
        <v>1086</v>
      </c>
      <c r="I10" s="358" t="s">
        <v>1085</v>
      </c>
      <c r="J10" s="358" t="s">
        <v>1085</v>
      </c>
      <c r="K10" s="358" t="s">
        <v>1085</v>
      </c>
      <c r="L10" s="358" t="s">
        <v>1085</v>
      </c>
      <c r="M10" s="358" t="s">
        <v>1085</v>
      </c>
      <c r="N10" s="358" t="s">
        <v>1086</v>
      </c>
    </row>
    <row r="11" spans="1:14">
      <c r="A11" s="300">
        <v>1</v>
      </c>
      <c r="B11" s="301" t="s">
        <v>304</v>
      </c>
      <c r="C11" s="584">
        <f>'Regulation 33 - Results'!E16</f>
        <v>543.49700897999992</v>
      </c>
      <c r="D11" s="436">
        <f>'Regulation 33 - Results'!F16</f>
        <v>2465.64</v>
      </c>
      <c r="E11" s="436">
        <f>'Regulation 33 - Results'!G16</f>
        <v>896.72144163999974</v>
      </c>
      <c r="F11" s="584">
        <f>'Regulation 33 - Results'!H16</f>
        <v>3009.1370089799998</v>
      </c>
      <c r="G11" s="436">
        <f>'Regulation 33 - Results'!I16</f>
        <v>3422.9914416399997</v>
      </c>
      <c r="H11" s="436">
        <f>'Regulation 33 - Results'!J16</f>
        <v>8983.2300000000014</v>
      </c>
      <c r="I11" s="584">
        <f>'Regulation 33 - Results'!K16</f>
        <v>4879.1712132900002</v>
      </c>
      <c r="J11" s="436">
        <f>'Regulation 33 - Results'!L16</f>
        <v>6515.96</v>
      </c>
      <c r="K11" s="436">
        <f>'Regulation 33 - Results'!M16</f>
        <v>9573.2800000000007</v>
      </c>
      <c r="L11" s="584">
        <f>'Regulation 33 - Results'!N16</f>
        <v>19046.267004379999</v>
      </c>
      <c r="M11" s="436">
        <f>'Regulation 33 - Results'!O16</f>
        <v>27914.129999999997</v>
      </c>
      <c r="N11" s="436">
        <f>'Regulation 33 - Results'!P16</f>
        <v>35122.620000000003</v>
      </c>
    </row>
    <row r="12" spans="1:14" ht="29">
      <c r="A12" s="300">
        <v>2</v>
      </c>
      <c r="B12" s="985" t="s">
        <v>305</v>
      </c>
      <c r="C12" s="584">
        <f>'Regulation 33 - Results'!E26</f>
        <v>-69.908597490000147</v>
      </c>
      <c r="D12" s="436">
        <f>'Regulation 33 - Results'!F26</f>
        <v>-131.20999999999981</v>
      </c>
      <c r="E12" s="436">
        <f>'Regulation 33 - Results'!G26</f>
        <v>70.066550670000311</v>
      </c>
      <c r="F12" s="584">
        <f>'Regulation 33 - Results'!H26</f>
        <v>-201.11859748999996</v>
      </c>
      <c r="G12" s="436">
        <f>'Regulation 33 - Results'!I26</f>
        <v>400.27655066999978</v>
      </c>
      <c r="H12" s="436">
        <f>'Regulation 33 - Results'!J26</f>
        <v>554.3600000000024</v>
      </c>
      <c r="I12" s="584">
        <f>'Regulation 33 - Results'!K26</f>
        <v>56.914522650001345</v>
      </c>
      <c r="J12" s="436">
        <f>'Regulation 33 - Results'!L26</f>
        <v>262.5600000000004</v>
      </c>
      <c r="K12" s="436">
        <f>'Regulation 33 - Results'!M26</f>
        <v>186.91999999999825</v>
      </c>
      <c r="L12" s="584">
        <f>'Regulation 33 - Results'!N26</f>
        <v>537.84467931964537</v>
      </c>
      <c r="M12" s="436">
        <f>'Regulation 33 - Results'!O26</f>
        <v>459.40000000000146</v>
      </c>
      <c r="N12" s="436">
        <f>'Regulation 33 - Results'!P26</f>
        <v>785.20999999999913</v>
      </c>
    </row>
    <row r="13" spans="1:14" ht="29">
      <c r="A13" s="300">
        <v>3</v>
      </c>
      <c r="B13" s="985" t="s">
        <v>306</v>
      </c>
      <c r="C13" s="584">
        <f>'Regulation 33 - Results'!E30</f>
        <v>-69.908597490000147</v>
      </c>
      <c r="D13" s="436">
        <f>'Regulation 33 - Results'!F30</f>
        <v>-131.20999999999981</v>
      </c>
      <c r="E13" s="436">
        <f>'Regulation 33 - Results'!G30</f>
        <v>70.066550670000311</v>
      </c>
      <c r="F13" s="584">
        <f>'Regulation 33 - Results'!H30</f>
        <v>-201.11859748999996</v>
      </c>
      <c r="G13" s="436">
        <f>'Regulation 33 - Results'!I30</f>
        <v>400.27655066999978</v>
      </c>
      <c r="H13" s="436">
        <f>'Regulation 33 - Results'!J30</f>
        <v>554.3600000000024</v>
      </c>
      <c r="I13" s="584">
        <f>'Regulation 33 - Results'!K30</f>
        <v>56.914522650001345</v>
      </c>
      <c r="J13" s="436">
        <f>'Regulation 33 - Results'!L30</f>
        <v>262.5600000000004</v>
      </c>
      <c r="K13" s="436">
        <f>'Regulation 33 - Results'!M30</f>
        <v>186.91999999999825</v>
      </c>
      <c r="L13" s="584">
        <f>'Regulation 33 - Results'!N30</f>
        <v>537.84467931964537</v>
      </c>
      <c r="M13" s="436">
        <f>'Regulation 33 - Results'!O30</f>
        <v>459.40000000000146</v>
      </c>
      <c r="N13" s="436">
        <f>'Regulation 33 - Results'!P30</f>
        <v>785.20999999999913</v>
      </c>
    </row>
    <row r="14" spans="1:14" ht="29">
      <c r="A14" s="300">
        <v>4</v>
      </c>
      <c r="B14" s="985" t="s">
        <v>307</v>
      </c>
      <c r="C14" s="584">
        <f>'Regulation 33 - Results'!E36</f>
        <v>-70.198925990000149</v>
      </c>
      <c r="D14" s="436">
        <f>'Regulation 33 - Results'!F36</f>
        <v>-131.2199999999998</v>
      </c>
      <c r="E14" s="436">
        <f>'Regulation 33 - Results'!G36</f>
        <v>53.198130939021617</v>
      </c>
      <c r="F14" s="584">
        <f>'Regulation 33 - Results'!H36</f>
        <v>-201.41892598999996</v>
      </c>
      <c r="G14" s="436">
        <f>'Regulation 33 - Results'!I36</f>
        <v>301.76813093902109</v>
      </c>
      <c r="H14" s="436">
        <f>'Regulation 33 - Results'!J36</f>
        <v>414.63000000000238</v>
      </c>
      <c r="I14" s="584">
        <f>'Regulation 33 - Results'!K36</f>
        <v>65.153779950001336</v>
      </c>
      <c r="J14" s="436">
        <f>'Regulation 33 - Results'!L36</f>
        <v>260.78000000000043</v>
      </c>
      <c r="K14" s="436">
        <f>'Regulation 33 - Results'!M36</f>
        <v>182.90999999999826</v>
      </c>
      <c r="L14" s="584">
        <f>'Regulation 33 - Results'!N36</f>
        <v>488.01910001964541</v>
      </c>
      <c r="M14" s="436">
        <f>'Regulation 33 - Results'!O36</f>
        <v>445.20000000000147</v>
      </c>
      <c r="N14" s="436">
        <f>'Regulation 33 - Results'!P36</f>
        <v>765.2399999999991</v>
      </c>
    </row>
    <row r="15" spans="1:14" ht="59" customHeight="1">
      <c r="A15" s="300">
        <v>5</v>
      </c>
      <c r="B15" s="985" t="s">
        <v>308</v>
      </c>
      <c r="C15" s="584">
        <f>'Regulation 33 - Results'!E40</f>
        <v>-70.198925990000149</v>
      </c>
      <c r="D15" s="436">
        <f>'Regulation 33 - Results'!F40</f>
        <v>-131.2199999999998</v>
      </c>
      <c r="E15" s="436">
        <f>'Regulation 33 - Results'!G40</f>
        <v>53.198130939021617</v>
      </c>
      <c r="F15" s="584">
        <f>'Regulation 33 - Results'!H40</f>
        <v>-201.41892598999996</v>
      </c>
      <c r="G15" s="436">
        <f>'Regulation 33 - Results'!I40</f>
        <v>301.76813093902109</v>
      </c>
      <c r="H15" s="436">
        <f>'Regulation 33 - Results'!J40</f>
        <v>414.63000000000238</v>
      </c>
      <c r="I15" s="584">
        <f>'Regulation 33 - Results'!K40</f>
        <v>65.153779950001336</v>
      </c>
      <c r="J15" s="436">
        <f>'Regulation 33 - Results'!L40</f>
        <v>260.78000000000043</v>
      </c>
      <c r="K15" s="436">
        <f>'Regulation 33 - Results'!M40</f>
        <v>182.90999999999826</v>
      </c>
      <c r="L15" s="584">
        <f>'Regulation 33 - Results'!N40</f>
        <v>488.01910001964541</v>
      </c>
      <c r="M15" s="436">
        <f>'Regulation 33 - Results'!O40</f>
        <v>445.20000000000147</v>
      </c>
      <c r="N15" s="436">
        <f>'Regulation 33 - Results'!P40</f>
        <v>763.8599999999991</v>
      </c>
    </row>
    <row r="16" spans="1:14">
      <c r="A16" s="300">
        <v>6</v>
      </c>
      <c r="B16" s="985" t="s">
        <v>309</v>
      </c>
      <c r="C16" s="584">
        <f>'Regulation 33 - Results'!E41</f>
        <v>883.14</v>
      </c>
      <c r="D16" s="436">
        <f>'Regulation 33 - Results'!F41</f>
        <v>883.14</v>
      </c>
      <c r="E16" s="436">
        <f>'Regulation 33 - Results'!G41</f>
        <v>883.14</v>
      </c>
      <c r="F16" s="584">
        <f>'Regulation 33 - Results'!H41</f>
        <v>883.14</v>
      </c>
      <c r="G16" s="436">
        <f>'Regulation 33 - Results'!I41</f>
        <v>883.14</v>
      </c>
      <c r="H16" s="436">
        <f>'Regulation 33 - Results'!J41</f>
        <v>883.14</v>
      </c>
      <c r="I16" s="584">
        <f>'Regulation 33 - Results'!K41</f>
        <v>1315.5103799999999</v>
      </c>
      <c r="J16" s="436">
        <f>'Regulation 33 - Results'!L41</f>
        <v>1315.51</v>
      </c>
      <c r="K16" s="436">
        <f>'Regulation 33 - Results'!M41</f>
        <v>883.14</v>
      </c>
      <c r="L16" s="584">
        <f>'Regulation 33 - Results'!N41</f>
        <v>1315.5103799999999</v>
      </c>
      <c r="M16" s="436">
        <f>'Regulation 33 - Results'!O41</f>
        <v>883.14</v>
      </c>
      <c r="N16" s="436">
        <f>'Regulation 33 - Results'!P41</f>
        <v>1103.93</v>
      </c>
    </row>
    <row r="17" spans="1:14">
      <c r="A17" s="300">
        <v>7</v>
      </c>
      <c r="B17" s="985" t="s">
        <v>2062</v>
      </c>
      <c r="C17" s="584"/>
      <c r="D17" s="436"/>
      <c r="E17" s="436"/>
      <c r="F17" s="584"/>
      <c r="G17" s="436"/>
      <c r="H17" s="436"/>
      <c r="I17" s="584"/>
      <c r="J17" s="305"/>
      <c r="K17" s="305"/>
      <c r="L17" s="572"/>
      <c r="M17" s="305"/>
      <c r="N17" s="305"/>
    </row>
    <row r="18" spans="1:14">
      <c r="A18" s="300"/>
      <c r="B18" s="302" t="s">
        <v>310</v>
      </c>
      <c r="C18" s="584">
        <f>'Regulation 33 - Results'!E45</f>
        <v>-7.948787960006358E-2</v>
      </c>
      <c r="D18" s="436">
        <f>'Regulation 33 - Results'!F45</f>
        <v>-0.15</v>
      </c>
      <c r="E18" s="436">
        <f>'Regulation 33 - Results'!G45</f>
        <v>0.06</v>
      </c>
      <c r="F18" s="584">
        <f>'Regulation 33 - Results'!H45</f>
        <v>-0.22807134315057631</v>
      </c>
      <c r="G18" s="436">
        <f>'Regulation 33 - Results'!I45</f>
        <v>0.34169908614604833</v>
      </c>
      <c r="H18" s="436">
        <f>'Regulation 33 - Results'!J45</f>
        <v>0.46949521027243968</v>
      </c>
      <c r="I18" s="584">
        <f>'Regulation 33 - Results'!K45</f>
        <v>4.9382927985472128E-2</v>
      </c>
      <c r="J18" s="436">
        <f>'Regulation 33 - Results'!L45</f>
        <v>0.2</v>
      </c>
      <c r="K18" s="436">
        <f>'Regulation 33 - Results'!M45</f>
        <v>0.17</v>
      </c>
      <c r="L18" s="584">
        <f>'Regulation 33 - Results'!N45</f>
        <v>0.3756517871515998</v>
      </c>
      <c r="M18" s="436">
        <f>'Regulation 33 - Results'!O45</f>
        <v>0.41695054319332647</v>
      </c>
      <c r="N18" s="436">
        <f>'Regulation 33 - Results'!P45</f>
        <v>0.63</v>
      </c>
    </row>
    <row r="19" spans="1:14">
      <c r="A19" s="300"/>
      <c r="B19" s="302" t="s">
        <v>311</v>
      </c>
      <c r="C19" s="584">
        <f>'Regulation 33 - Results'!E46</f>
        <v>-7.948787960006358E-2</v>
      </c>
      <c r="D19" s="436">
        <f>'Regulation 33 - Results'!F46</f>
        <v>-0.15</v>
      </c>
      <c r="E19" s="436">
        <f>'Regulation 33 - Results'!G46</f>
        <v>0.06</v>
      </c>
      <c r="F19" s="584">
        <f>'Regulation 33 - Results'!H46</f>
        <v>-0.22807134315057631</v>
      </c>
      <c r="G19" s="436">
        <f>'Regulation 33 - Results'!I46</f>
        <v>0.34169908614604833</v>
      </c>
      <c r="H19" s="436">
        <f>'Regulation 33 - Results'!J46</f>
        <v>0.46949521027243968</v>
      </c>
      <c r="I19" s="584">
        <f>'Regulation 33 - Results'!K46</f>
        <v>4.9382927985472128E-2</v>
      </c>
      <c r="J19" s="436">
        <f>'Regulation 33 - Results'!L46</f>
        <v>0.2</v>
      </c>
      <c r="K19" s="436">
        <f>'Regulation 33 - Results'!M46</f>
        <v>0.17</v>
      </c>
      <c r="L19" s="584">
        <f>'Regulation 33 - Results'!N46</f>
        <v>0.3756517871515998</v>
      </c>
      <c r="M19" s="436">
        <f>'Regulation 33 - Results'!O46</f>
        <v>0.41695054319332647</v>
      </c>
      <c r="N19" s="436">
        <f>'Regulation 33 - Results'!P46</f>
        <v>0.63</v>
      </c>
    </row>
    <row r="20" spans="1:14">
      <c r="A20" s="303"/>
      <c r="B20" s="303"/>
      <c r="C20" s="303"/>
      <c r="D20" s="303"/>
      <c r="E20" s="303"/>
    </row>
    <row r="21" spans="1:14" ht="14.5" customHeight="1">
      <c r="A21" s="304">
        <v>1</v>
      </c>
      <c r="B21" s="1146" t="s">
        <v>2154</v>
      </c>
      <c r="C21" s="1146"/>
      <c r="D21" s="1146"/>
      <c r="E21" s="1146"/>
      <c r="F21" s="1146"/>
      <c r="G21" s="1146"/>
      <c r="H21" s="1146"/>
      <c r="I21" s="1146"/>
      <c r="J21" s="1146"/>
      <c r="K21" s="1146"/>
      <c r="L21" s="1146"/>
      <c r="M21" s="1146"/>
      <c r="N21" s="1146"/>
    </row>
    <row r="22" spans="1:14">
      <c r="A22" s="303"/>
      <c r="B22" s="1146"/>
      <c r="C22" s="1146"/>
      <c r="D22" s="1146"/>
      <c r="E22" s="1146"/>
      <c r="F22" s="1146"/>
      <c r="G22" s="1146"/>
      <c r="H22" s="1146"/>
      <c r="I22" s="1146"/>
      <c r="J22" s="1146"/>
      <c r="K22" s="1146"/>
      <c r="L22" s="1146"/>
      <c r="M22" s="1146"/>
      <c r="N22" s="1146"/>
    </row>
    <row r="23" spans="1:14" ht="34" customHeight="1">
      <c r="A23" s="303"/>
      <c r="B23" s="1146"/>
      <c r="C23" s="1146"/>
      <c r="D23" s="1146"/>
      <c r="E23" s="1146"/>
      <c r="F23" s="1146"/>
      <c r="G23" s="1146"/>
      <c r="H23" s="1146"/>
      <c r="I23" s="1146"/>
      <c r="J23" s="1146"/>
      <c r="K23" s="1146"/>
      <c r="L23" s="1146"/>
      <c r="M23" s="1146"/>
      <c r="N23" s="1146"/>
    </row>
  </sheetData>
  <mergeCells count="12">
    <mergeCell ref="B21:N23"/>
    <mergeCell ref="A6:N6"/>
    <mergeCell ref="C8:E8"/>
    <mergeCell ref="F8:G8"/>
    <mergeCell ref="I8:K8"/>
    <mergeCell ref="L8:M8"/>
    <mergeCell ref="B8:B10"/>
    <mergeCell ref="A8:A10"/>
    <mergeCell ref="A2:N2"/>
    <mergeCell ref="A3:N3"/>
    <mergeCell ref="A4:N4"/>
    <mergeCell ref="A5:N5"/>
  </mergeCells>
  <pageMargins left="0.7" right="0.7" top="0.75" bottom="0.75" header="0.3" footer="0.3"/>
  <pageSetup paperSize="9" scale="92" fitToHeight="0"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4:R28"/>
  <sheetViews>
    <sheetView topLeftCell="E1" workbookViewId="0">
      <selection activeCell="I17" sqref="I17"/>
    </sheetView>
  </sheetViews>
  <sheetFormatPr defaultColWidth="9.1796875" defaultRowHeight="14.5"/>
  <cols>
    <col min="1" max="1" width="21.453125" customWidth="1"/>
    <col min="2" max="2" width="12.453125" bestFit="1" customWidth="1"/>
    <col min="3" max="3" width="14.54296875" bestFit="1" customWidth="1"/>
    <col min="4" max="4" width="13.81640625" customWidth="1"/>
    <col min="5" max="5" width="14.453125" bestFit="1" customWidth="1"/>
    <col min="6" max="6" width="19.1796875" bestFit="1" customWidth="1"/>
    <col min="7" max="9" width="19.1796875" customWidth="1"/>
    <col min="10" max="10" width="11.453125" bestFit="1" customWidth="1"/>
    <col min="11" max="11" width="23.54296875" customWidth="1"/>
    <col min="12" max="12" width="13.81640625" customWidth="1"/>
    <col min="13" max="13" width="15" bestFit="1" customWidth="1"/>
    <col min="14" max="14" width="11" bestFit="1" customWidth="1"/>
    <col min="15" max="15" width="12.453125" bestFit="1" customWidth="1"/>
    <col min="16" max="16" width="19.453125" bestFit="1" customWidth="1"/>
    <col min="18" max="18" width="13.81640625" bestFit="1" customWidth="1"/>
  </cols>
  <sheetData>
    <row r="4" spans="1:16" ht="15" thickBot="1"/>
    <row r="5" spans="1:16" ht="15" thickBot="1">
      <c r="A5" s="1219" t="s">
        <v>632</v>
      </c>
      <c r="B5" s="1220"/>
      <c r="C5" s="1220"/>
      <c r="D5" s="1220"/>
      <c r="E5" s="1220"/>
      <c r="F5" s="1221"/>
      <c r="G5" s="683"/>
      <c r="H5" s="683"/>
      <c r="I5" s="683"/>
      <c r="K5" s="1219" t="s">
        <v>633</v>
      </c>
      <c r="L5" s="1220"/>
      <c r="M5" s="1220"/>
      <c r="N5" s="1220"/>
      <c r="O5" s="1220"/>
      <c r="P5" s="1221"/>
    </row>
    <row r="6" spans="1:16">
      <c r="A6" s="642"/>
      <c r="B6" s="642"/>
      <c r="C6" s="642"/>
      <c r="D6" s="642"/>
      <c r="E6" s="642"/>
      <c r="F6" s="642"/>
      <c r="G6" s="642"/>
      <c r="H6" s="642"/>
      <c r="I6" s="642"/>
    </row>
    <row r="7" spans="1:16">
      <c r="A7" s="1225" t="s">
        <v>634</v>
      </c>
      <c r="B7" s="1225"/>
      <c r="C7" s="1225"/>
      <c r="D7" s="1225"/>
      <c r="E7" s="1225"/>
      <c r="F7" s="1225"/>
      <c r="G7" s="684"/>
      <c r="H7" s="684"/>
      <c r="I7" s="684"/>
      <c r="K7" s="1225" t="s">
        <v>634</v>
      </c>
      <c r="L7" s="1225"/>
      <c r="M7" s="1225"/>
      <c r="N7" s="1225"/>
      <c r="O7" s="1225"/>
      <c r="P7" s="1225"/>
    </row>
    <row r="8" spans="1:16">
      <c r="A8" s="643" t="s">
        <v>0</v>
      </c>
      <c r="B8" s="643" t="s">
        <v>540</v>
      </c>
      <c r="C8" s="643" t="s">
        <v>635</v>
      </c>
      <c r="D8" s="643" t="s">
        <v>539</v>
      </c>
      <c r="E8" s="643" t="s">
        <v>698</v>
      </c>
      <c r="F8" s="643" t="s">
        <v>697</v>
      </c>
      <c r="G8" s="685"/>
      <c r="H8" s="685"/>
      <c r="I8" s="685"/>
      <c r="K8" s="643" t="s">
        <v>0</v>
      </c>
      <c r="L8" s="643" t="s">
        <v>540</v>
      </c>
      <c r="M8" s="643" t="s">
        <v>635</v>
      </c>
      <c r="N8" s="643" t="s">
        <v>539</v>
      </c>
      <c r="O8" s="643" t="s">
        <v>866</v>
      </c>
      <c r="P8" s="643" t="s">
        <v>867</v>
      </c>
    </row>
    <row r="9" spans="1:16">
      <c r="A9" s="644" t="s">
        <v>411</v>
      </c>
      <c r="B9" s="644">
        <v>0.1</v>
      </c>
      <c r="C9" s="644">
        <v>1769924.7</v>
      </c>
      <c r="D9" s="645">
        <v>0</v>
      </c>
      <c r="E9" s="645">
        <f>((C9*B9)+(D9*B9))/4*2</f>
        <v>88496.235000000001</v>
      </c>
      <c r="F9" s="645">
        <f>C9+D9-E9</f>
        <v>1681428.4649999999</v>
      </c>
      <c r="G9" s="686"/>
      <c r="H9" s="686"/>
      <c r="I9" s="686"/>
      <c r="K9" s="644" t="s">
        <v>636</v>
      </c>
      <c r="L9" s="644">
        <v>0.1</v>
      </c>
      <c r="M9" s="645">
        <v>31393540.850000001</v>
      </c>
      <c r="N9" s="645">
        <f>45181+103794+181218+142335-7364-25620</f>
        <v>439544</v>
      </c>
      <c r="O9" s="645">
        <f>(M9+N9)*L9/4*2</f>
        <v>1591654.2425000002</v>
      </c>
      <c r="P9" s="645">
        <f>M9+N9-O9</f>
        <v>30241430.607500002</v>
      </c>
    </row>
    <row r="10" spans="1:16">
      <c r="A10" s="644" t="s">
        <v>637</v>
      </c>
      <c r="B10" s="644">
        <v>0.15</v>
      </c>
      <c r="C10" s="644">
        <v>673828.15</v>
      </c>
      <c r="D10" s="645">
        <v>23000</v>
      </c>
      <c r="E10" s="645">
        <f t="shared" ref="E10:E11" si="0">((C10*B10)+(D10*B10))/4*2</f>
        <v>52262.111250000002</v>
      </c>
      <c r="F10" s="645">
        <f t="shared" ref="F10:F11" si="1">C10+D10-E10</f>
        <v>644566.03875000007</v>
      </c>
      <c r="G10" s="686"/>
      <c r="H10" s="686"/>
      <c r="I10" s="686"/>
      <c r="J10" s="42"/>
      <c r="K10" s="644" t="s">
        <v>637</v>
      </c>
      <c r="L10" s="644">
        <v>0.15</v>
      </c>
      <c r="M10" s="645">
        <v>95785756.004999995</v>
      </c>
      <c r="N10" s="645">
        <v>9398</v>
      </c>
      <c r="O10" s="645">
        <f t="shared" ref="O10:O13" si="2">(M10+N10)*L10/4*2</f>
        <v>7184636.5503749996</v>
      </c>
      <c r="P10" s="645">
        <f t="shared" ref="P10:P13" si="3">M10+N10-O10</f>
        <v>88610517.454624996</v>
      </c>
    </row>
    <row r="11" spans="1:16">
      <c r="A11" s="644" t="s">
        <v>637</v>
      </c>
      <c r="B11" s="644">
        <v>0.4</v>
      </c>
      <c r="C11" s="644">
        <v>562.20000000000005</v>
      </c>
      <c r="D11" s="645">
        <f>41388+12542+17500</f>
        <v>71430</v>
      </c>
      <c r="E11" s="645">
        <f t="shared" si="0"/>
        <v>14398.44</v>
      </c>
      <c r="F11" s="645">
        <f t="shared" si="1"/>
        <v>57593.759999999995</v>
      </c>
      <c r="G11" s="686"/>
      <c r="H11" s="686"/>
      <c r="I11" s="686"/>
      <c r="K11" s="644" t="s">
        <v>637</v>
      </c>
      <c r="L11" s="644">
        <v>0.4</v>
      </c>
      <c r="M11" s="645">
        <v>429628.19999999995</v>
      </c>
      <c r="N11" s="645">
        <v>34000</v>
      </c>
      <c r="O11" s="645">
        <f t="shared" si="2"/>
        <v>92725.64</v>
      </c>
      <c r="P11" s="645">
        <f t="shared" si="3"/>
        <v>370902.55999999994</v>
      </c>
    </row>
    <row r="12" spans="1:16">
      <c r="A12" s="1304" t="s">
        <v>194</v>
      </c>
      <c r="B12" s="1304"/>
      <c r="C12" s="646">
        <v>2444315.0500000003</v>
      </c>
      <c r="D12" s="647">
        <f>SUM(D9:D11)</f>
        <v>94430</v>
      </c>
      <c r="E12" s="647">
        <f>SUM(E9:E11)</f>
        <v>155156.78625</v>
      </c>
      <c r="F12" s="647">
        <f>SUM(F9:F11)</f>
        <v>2383588.2637499999</v>
      </c>
      <c r="G12" s="687"/>
      <c r="H12" s="687"/>
      <c r="I12" s="687"/>
      <c r="K12" s="644" t="s">
        <v>411</v>
      </c>
      <c r="L12" s="644">
        <v>0.1</v>
      </c>
      <c r="M12" s="645">
        <v>6373212.2999999998</v>
      </c>
      <c r="N12" s="645">
        <f>1108244-1098957</f>
        <v>9287</v>
      </c>
      <c r="O12" s="645">
        <f t="shared" si="2"/>
        <v>319124.96500000003</v>
      </c>
      <c r="P12" s="645">
        <f t="shared" si="3"/>
        <v>6063374.335</v>
      </c>
    </row>
    <row r="13" spans="1:16">
      <c r="K13" s="644" t="s">
        <v>638</v>
      </c>
      <c r="L13" s="644">
        <v>0.25</v>
      </c>
      <c r="M13" s="645">
        <v>413875</v>
      </c>
      <c r="N13" s="645">
        <v>0</v>
      </c>
      <c r="O13" s="645">
        <f t="shared" si="2"/>
        <v>51734.375</v>
      </c>
      <c r="P13" s="645">
        <f t="shared" si="3"/>
        <v>362140.625</v>
      </c>
    </row>
    <row r="14" spans="1:16">
      <c r="K14" s="1217" t="s">
        <v>194</v>
      </c>
      <c r="L14" s="1218"/>
      <c r="M14" s="648">
        <f>SUM(M9:M13)</f>
        <v>134396012.35499999</v>
      </c>
      <c r="N14" s="648">
        <f>SUM(N9:N13)</f>
        <v>492229</v>
      </c>
      <c r="O14" s="648">
        <f>SUM(O9:O13)</f>
        <v>9239875.7728749998</v>
      </c>
      <c r="P14" s="648">
        <f>SUM(P9:P13)</f>
        <v>125648365.58212499</v>
      </c>
    </row>
    <row r="15" spans="1:16">
      <c r="A15" s="1228" t="s">
        <v>545</v>
      </c>
      <c r="B15" s="1229"/>
      <c r="C15" s="645">
        <v>1916468.98</v>
      </c>
    </row>
    <row r="16" spans="1:16">
      <c r="A16" s="1228" t="s">
        <v>546</v>
      </c>
      <c r="B16" s="1229"/>
      <c r="C16" s="645">
        <f>F12</f>
        <v>2383588.2637499999</v>
      </c>
    </row>
    <row r="17" spans="1:18">
      <c r="A17" s="1228" t="s">
        <v>547</v>
      </c>
      <c r="B17" s="1229"/>
      <c r="C17" s="649">
        <f>C15-C16</f>
        <v>-467119.28374999994</v>
      </c>
      <c r="K17" s="1228" t="s">
        <v>545</v>
      </c>
      <c r="L17" s="1229"/>
      <c r="M17" s="645">
        <v>168957819</v>
      </c>
    </row>
    <row r="18" spans="1:18">
      <c r="A18" s="1228" t="s">
        <v>639</v>
      </c>
      <c r="B18" s="1229"/>
      <c r="C18" s="648">
        <f>-C17*0.22*1.1*1.04</f>
        <v>117564.5813342</v>
      </c>
      <c r="K18" s="1228" t="s">
        <v>546</v>
      </c>
      <c r="L18" s="1229"/>
      <c r="M18" s="649">
        <f>P14</f>
        <v>125648365.58212499</v>
      </c>
    </row>
    <row r="19" spans="1:18">
      <c r="A19" s="1233" t="s">
        <v>640</v>
      </c>
      <c r="B19" s="1233"/>
      <c r="C19" s="647">
        <v>68761.749828510408</v>
      </c>
      <c r="K19" s="1228" t="s">
        <v>547</v>
      </c>
      <c r="L19" s="1229"/>
      <c r="M19" s="649">
        <f>M17-M18</f>
        <v>43309453.417875007</v>
      </c>
      <c r="O19" s="1237"/>
      <c r="P19" s="1237"/>
    </row>
    <row r="20" spans="1:18">
      <c r="K20" s="1228" t="s">
        <v>868</v>
      </c>
      <c r="L20" s="1229"/>
      <c r="M20" s="649">
        <f>M19*0.22*1.1*1.04</f>
        <v>10900123.236210784</v>
      </c>
      <c r="N20">
        <f>+M20/100000+0.69</f>
        <v>109.69123236210784</v>
      </c>
      <c r="P20" s="650"/>
    </row>
    <row r="21" spans="1:18">
      <c r="A21" s="1234" t="s">
        <v>641</v>
      </c>
      <c r="B21" s="1235"/>
      <c r="C21" s="1236"/>
      <c r="K21" s="1233" t="s">
        <v>642</v>
      </c>
      <c r="L21" s="1233"/>
      <c r="M21" s="781">
        <v>8539769.8596159238</v>
      </c>
      <c r="O21" s="42"/>
      <c r="P21" s="650"/>
    </row>
    <row r="22" spans="1:18">
      <c r="A22" s="114" t="s">
        <v>227</v>
      </c>
      <c r="B22" s="651">
        <f>C18</f>
        <v>117564.5813342</v>
      </c>
      <c r="C22" s="652"/>
      <c r="D22" s="42"/>
      <c r="E22" s="42"/>
      <c r="F22" s="42"/>
      <c r="G22" s="42"/>
      <c r="K22" s="1233" t="s">
        <v>643</v>
      </c>
      <c r="L22" s="1233"/>
      <c r="M22" s="645">
        <f>M20-M21</f>
        <v>2360353.3765948601</v>
      </c>
      <c r="P22" s="650"/>
    </row>
    <row r="23" spans="1:18">
      <c r="A23" s="60" t="s">
        <v>222</v>
      </c>
      <c r="B23" s="653">
        <f>C19</f>
        <v>68761.749828510408</v>
      </c>
      <c r="C23" s="654"/>
      <c r="P23" s="650"/>
    </row>
    <row r="24" spans="1:18">
      <c r="A24" s="655" t="s">
        <v>644</v>
      </c>
      <c r="B24" s="655"/>
      <c r="C24" s="656">
        <f>B22+B23</f>
        <v>186326.33116271041</v>
      </c>
      <c r="D24" s="42">
        <f>-C24/100000</f>
        <v>-1.863263311627104</v>
      </c>
      <c r="K24" s="1234" t="s">
        <v>641</v>
      </c>
      <c r="L24" s="1235"/>
      <c r="M24" s="1236"/>
      <c r="P24" s="650"/>
      <c r="Q24" s="42"/>
    </row>
    <row r="25" spans="1:18">
      <c r="K25" s="60" t="s">
        <v>645</v>
      </c>
      <c r="L25" s="653">
        <f>+M22</f>
        <v>2360353.3765948601</v>
      </c>
      <c r="M25" s="654"/>
      <c r="O25" s="1237"/>
      <c r="P25" s="1237"/>
      <c r="R25" s="615"/>
    </row>
    <row r="26" spans="1:18">
      <c r="K26" s="655" t="s">
        <v>646</v>
      </c>
      <c r="L26" s="655"/>
      <c r="M26" s="656">
        <f>L25</f>
        <v>2360353.3765948601</v>
      </c>
      <c r="P26" s="650"/>
    </row>
    <row r="27" spans="1:18">
      <c r="L27" s="42">
        <f>L25/100000</f>
        <v>23.603533765948601</v>
      </c>
      <c r="P27" s="650"/>
    </row>
    <row r="28" spans="1:18">
      <c r="P28" s="650"/>
    </row>
  </sheetData>
  <mergeCells count="21">
    <mergeCell ref="K22:L22"/>
    <mergeCell ref="K24:M24"/>
    <mergeCell ref="O25:P25"/>
    <mergeCell ref="A19:B19"/>
    <mergeCell ref="K19:L19"/>
    <mergeCell ref="O19:P19"/>
    <mergeCell ref="K20:L20"/>
    <mergeCell ref="A21:C21"/>
    <mergeCell ref="K21:L21"/>
    <mergeCell ref="A15:B15"/>
    <mergeCell ref="A16:B16"/>
    <mergeCell ref="A17:B17"/>
    <mergeCell ref="K17:L17"/>
    <mergeCell ref="A18:B18"/>
    <mergeCell ref="K18:L18"/>
    <mergeCell ref="K14:L14"/>
    <mergeCell ref="A5:F5"/>
    <mergeCell ref="K5:P5"/>
    <mergeCell ref="A7:F7"/>
    <mergeCell ref="K7:P7"/>
    <mergeCell ref="A12:B12"/>
  </mergeCell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2:J27"/>
  <sheetViews>
    <sheetView workbookViewId="0">
      <selection activeCell="B13" sqref="B13"/>
    </sheetView>
  </sheetViews>
  <sheetFormatPr defaultColWidth="9.1796875" defaultRowHeight="14.5"/>
  <cols>
    <col min="1" max="1" width="55.54296875" customWidth="1"/>
    <col min="2" max="2" width="26.453125" style="516" customWidth="1"/>
    <col min="3" max="3" width="24" bestFit="1" customWidth="1"/>
    <col min="4" max="4" width="14.1796875" style="615" customWidth="1"/>
    <col min="5" max="5" width="12.81640625" style="615" customWidth="1"/>
    <col min="6" max="6" width="15" style="615" bestFit="1" customWidth="1"/>
    <col min="7" max="7" width="11" style="615" bestFit="1" customWidth="1"/>
    <col min="8" max="9" width="13.81640625" style="615" bestFit="1" customWidth="1"/>
    <col min="10" max="10" width="12.54296875" bestFit="1" customWidth="1"/>
  </cols>
  <sheetData>
    <row r="2" spans="1:6" ht="16">
      <c r="D2" s="657"/>
    </row>
    <row r="3" spans="1:6" ht="15.5">
      <c r="B3" s="658" t="s">
        <v>647</v>
      </c>
      <c r="C3" s="658" t="s">
        <v>648</v>
      </c>
    </row>
    <row r="4" spans="1:6">
      <c r="A4" t="s">
        <v>649</v>
      </c>
      <c r="B4" s="516">
        <f>'Regulation 33 - Results'!H30*100000</f>
        <v>-20111859.748999994</v>
      </c>
      <c r="C4" s="516" t="e">
        <f>'Regulation 33 - Results'!#REF!*100000</f>
        <v>#REF!</v>
      </c>
    </row>
    <row r="6" spans="1:6">
      <c r="A6" t="s">
        <v>166</v>
      </c>
    </row>
    <row r="8" spans="1:6">
      <c r="A8" t="s">
        <v>650</v>
      </c>
      <c r="B8" s="516">
        <f>'Half yearly P&amp;L - 2020-21'!C27</f>
        <v>114726.25</v>
      </c>
      <c r="C8">
        <f>'Trial Balance LS'!D164</f>
        <v>6212706</v>
      </c>
    </row>
    <row r="10" spans="1:6">
      <c r="A10" t="s">
        <v>651</v>
      </c>
      <c r="B10" s="659"/>
    </row>
    <row r="11" spans="1:6">
      <c r="A11" t="s">
        <v>652</v>
      </c>
      <c r="B11" s="659">
        <f>'latim metal IND AS 116'!R31</f>
        <v>-106549.45024862711</v>
      </c>
      <c r="C11">
        <f>'LATIM SOURCING IND AS 116'!N33</f>
        <v>-623682.45354933711</v>
      </c>
    </row>
    <row r="12" spans="1:6">
      <c r="A12" t="s">
        <v>653</v>
      </c>
      <c r="B12" s="516">
        <f>-'DTA DTL_ OLD'!E12</f>
        <v>-155156.78625</v>
      </c>
      <c r="C12" s="42">
        <f>-'DTA DTL_ OLD'!O14</f>
        <v>-9239875.7728749998</v>
      </c>
    </row>
    <row r="14" spans="1:6">
      <c r="A14" t="s">
        <v>654</v>
      </c>
      <c r="B14" s="516">
        <f>SUM(B4:B12)</f>
        <v>-20258839.735498622</v>
      </c>
      <c r="C14" s="516" t="e">
        <f>SUM(C4:C12)</f>
        <v>#REF!</v>
      </c>
    </row>
    <row r="15" spans="1:6">
      <c r="A15" t="s">
        <v>655</v>
      </c>
      <c r="C15" s="516">
        <f>500*100000</f>
        <v>50000000</v>
      </c>
    </row>
    <row r="16" spans="1:6">
      <c r="A16" t="s">
        <v>656</v>
      </c>
      <c r="B16" s="516">
        <f>B14-B15</f>
        <v>-20258839.735498622</v>
      </c>
      <c r="C16" s="516" t="e">
        <f>C14-C15</f>
        <v>#REF!</v>
      </c>
      <c r="D16" s="660"/>
      <c r="E16" s="660"/>
      <c r="F16" s="660"/>
    </row>
    <row r="17" spans="1:10">
      <c r="D17" s="660"/>
      <c r="E17" s="660"/>
      <c r="F17" s="660"/>
    </row>
    <row r="18" spans="1:10">
      <c r="A18" s="82" t="s">
        <v>657</v>
      </c>
      <c r="B18" s="517">
        <f>B16*0.22*1.1*1.04</f>
        <v>-5098744.784630294</v>
      </c>
      <c r="C18" s="517" t="e">
        <f>C16*0.22*1.1*1.04</f>
        <v>#REF!</v>
      </c>
    </row>
    <row r="19" spans="1:10">
      <c r="B19" s="517">
        <f>B18/100000</f>
        <v>-50.987447846302942</v>
      </c>
      <c r="C19" s="517" t="e">
        <f>C18/100000</f>
        <v>#REF!</v>
      </c>
    </row>
    <row r="21" spans="1:10">
      <c r="J21" s="615"/>
    </row>
    <row r="22" spans="1:10">
      <c r="J22" s="117"/>
    </row>
    <row r="23" spans="1:10">
      <c r="J23" s="117"/>
    </row>
    <row r="24" spans="1:10">
      <c r="J24" s="117"/>
    </row>
    <row r="25" spans="1:10">
      <c r="J25" s="117"/>
    </row>
    <row r="26" spans="1:10">
      <c r="J26" s="117"/>
    </row>
    <row r="27" spans="1:10">
      <c r="F27" s="660"/>
      <c r="I27" s="660"/>
      <c r="J27" s="661"/>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38"/>
  <sheetViews>
    <sheetView topLeftCell="H1" workbookViewId="0">
      <selection activeCell="R6" sqref="R6"/>
    </sheetView>
  </sheetViews>
  <sheetFormatPr defaultColWidth="9.1796875" defaultRowHeight="14.5"/>
  <cols>
    <col min="1" max="1" width="8.7265625" customWidth="1"/>
    <col min="2" max="2" width="11.7265625" bestFit="1" customWidth="1"/>
    <col min="3" max="3" width="13.453125" bestFit="1" customWidth="1"/>
    <col min="4" max="4" width="16.81640625" bestFit="1" customWidth="1"/>
    <col min="6" max="6" width="6.453125" bestFit="1" customWidth="1"/>
    <col min="7" max="7" width="11.7265625" bestFit="1" customWidth="1"/>
    <col min="8" max="8" width="16" bestFit="1" customWidth="1"/>
    <col min="9" max="9" width="8.453125" bestFit="1" customWidth="1"/>
    <col min="10" max="10" width="11.1796875" bestFit="1" customWidth="1"/>
    <col min="11" max="11" width="14.81640625" bestFit="1" customWidth="1"/>
    <col min="13" max="13" width="27.1796875" bestFit="1" customWidth="1"/>
    <col min="14" max="14" width="12" bestFit="1" customWidth="1"/>
    <col min="15" max="15" width="10" bestFit="1" customWidth="1"/>
    <col min="16" max="16" width="12.54296875" bestFit="1" customWidth="1"/>
    <col min="17" max="17" width="46" bestFit="1" customWidth="1"/>
    <col min="18" max="18" width="10" bestFit="1" customWidth="1"/>
    <col min="19" max="19" width="8.453125" bestFit="1" customWidth="1"/>
  </cols>
  <sheetData>
    <row r="1" spans="1:19">
      <c r="A1" s="510" t="s">
        <v>658</v>
      </c>
    </row>
    <row r="2" spans="1:19">
      <c r="A2" s="1309" t="s">
        <v>659</v>
      </c>
      <c r="B2" s="1309"/>
      <c r="C2" s="1309"/>
      <c r="D2" s="1309"/>
      <c r="F2" s="1309" t="s">
        <v>660</v>
      </c>
      <c r="G2" s="1309"/>
      <c r="H2" s="1309"/>
      <c r="I2" s="1309"/>
      <c r="J2" s="1309"/>
      <c r="K2" s="1309"/>
    </row>
    <row r="3" spans="1:19">
      <c r="A3" s="662" t="s">
        <v>490</v>
      </c>
      <c r="B3" s="662" t="s">
        <v>491</v>
      </c>
      <c r="C3" s="662" t="s">
        <v>167</v>
      </c>
      <c r="D3" s="662" t="s">
        <v>661</v>
      </c>
      <c r="F3" s="643" t="s">
        <v>490</v>
      </c>
      <c r="G3" s="643" t="s">
        <v>491</v>
      </c>
      <c r="H3" s="643" t="s">
        <v>662</v>
      </c>
      <c r="I3" s="643" t="s">
        <v>495</v>
      </c>
      <c r="J3" s="643" t="s">
        <v>663</v>
      </c>
      <c r="K3" s="643" t="s">
        <v>329</v>
      </c>
    </row>
    <row r="4" spans="1:19">
      <c r="A4" s="663"/>
      <c r="B4" s="664">
        <v>43556</v>
      </c>
      <c r="C4" s="663"/>
      <c r="D4" s="663">
        <v>5371993.1212512329</v>
      </c>
      <c r="F4" s="665"/>
      <c r="G4" s="666">
        <v>43556</v>
      </c>
      <c r="H4" s="663">
        <v>5371993.1212512329</v>
      </c>
      <c r="I4" s="663">
        <v>0</v>
      </c>
      <c r="J4" s="663">
        <v>0</v>
      </c>
      <c r="K4" s="663">
        <f>H4+I4-J4</f>
        <v>5371993.1212512329</v>
      </c>
    </row>
    <row r="5" spans="1:19">
      <c r="A5" s="1310">
        <v>2019</v>
      </c>
      <c r="B5" s="667" t="s">
        <v>496</v>
      </c>
      <c r="C5" s="668">
        <f>$D$4/33</f>
        <v>162787.67034094644</v>
      </c>
      <c r="D5" s="668">
        <f>D4-C5</f>
        <v>5209205.450910286</v>
      </c>
      <c r="F5" s="1311">
        <v>2019</v>
      </c>
      <c r="G5" s="512" t="s">
        <v>496</v>
      </c>
      <c r="H5" s="668">
        <f>K4</f>
        <v>5371993.1212512329</v>
      </c>
      <c r="I5" s="668">
        <f>H5*'[92]Basic Calculation'!$B$5*1/12</f>
        <v>35813.287475008219</v>
      </c>
      <c r="J5" s="668">
        <f>'[92]Basic Calculation'!G3</f>
        <v>195000</v>
      </c>
      <c r="K5" s="668">
        <f>H5+I5-J5</f>
        <v>5212806.4087262414</v>
      </c>
      <c r="M5" s="669">
        <v>43922</v>
      </c>
      <c r="N5" s="82" t="s">
        <v>664</v>
      </c>
      <c r="O5" s="82" t="s">
        <v>665</v>
      </c>
      <c r="P5" s="82" t="s">
        <v>666</v>
      </c>
    </row>
    <row r="6" spans="1:19">
      <c r="A6" s="1310"/>
      <c r="B6" s="667" t="s">
        <v>497</v>
      </c>
      <c r="C6" s="668">
        <f t="shared" ref="C6:C37" si="0">$D$4/33</f>
        <v>162787.67034094644</v>
      </c>
      <c r="D6" s="668">
        <f t="shared" ref="D6:D37" si="1">D5-C6</f>
        <v>5046417.7805693392</v>
      </c>
      <c r="F6" s="1311"/>
      <c r="G6" s="512" t="s">
        <v>497</v>
      </c>
      <c r="H6" s="668">
        <f t="shared" ref="H6:H37" si="2">K5</f>
        <v>5212806.4087262414</v>
      </c>
      <c r="I6" s="668">
        <f>H6*'[92]Basic Calculation'!$B$5*1/12</f>
        <v>34752.042724841609</v>
      </c>
      <c r="J6" s="668">
        <f>'[92]Basic Calculation'!G4</f>
        <v>195000</v>
      </c>
      <c r="K6" s="668">
        <f t="shared" ref="K6:K37" si="3">H6+I6-J6</f>
        <v>5052558.4514510827</v>
      </c>
      <c r="M6" t="s">
        <v>667</v>
      </c>
      <c r="N6" s="670">
        <v>3763015</v>
      </c>
      <c r="O6" s="117">
        <f>D16</f>
        <v>3418541.0771598727</v>
      </c>
      <c r="P6" s="42">
        <f>O6-N6</f>
        <v>-344473.92284012726</v>
      </c>
    </row>
    <row r="7" spans="1:19">
      <c r="A7" s="1310"/>
      <c r="B7" s="667" t="s">
        <v>498</v>
      </c>
      <c r="C7" s="668">
        <f t="shared" si="0"/>
        <v>162787.67034094644</v>
      </c>
      <c r="D7" s="668">
        <f t="shared" si="1"/>
        <v>4883630.1102283923</v>
      </c>
      <c r="F7" s="1311"/>
      <c r="G7" s="512" t="s">
        <v>498</v>
      </c>
      <c r="H7" s="668">
        <f t="shared" si="2"/>
        <v>5052558.4514510827</v>
      </c>
      <c r="I7" s="668">
        <f>H7*'[92]Basic Calculation'!$B$5*1/12</f>
        <v>33683.723009673886</v>
      </c>
      <c r="J7" s="668">
        <f>'[92]Basic Calculation'!G5</f>
        <v>195000</v>
      </c>
      <c r="K7" s="668">
        <f t="shared" si="3"/>
        <v>4891242.1744607566</v>
      </c>
      <c r="M7" t="s">
        <v>668</v>
      </c>
      <c r="N7">
        <v>2150294</v>
      </c>
      <c r="O7" s="117">
        <f>SUM(C5:C16)</f>
        <v>1953452.0440913572</v>
      </c>
      <c r="P7" s="42">
        <f>O7-N7</f>
        <v>-196841.95590864285</v>
      </c>
    </row>
    <row r="8" spans="1:19">
      <c r="A8" s="1310"/>
      <c r="B8" s="667" t="s">
        <v>499</v>
      </c>
      <c r="C8" s="668">
        <f t="shared" si="0"/>
        <v>162787.67034094644</v>
      </c>
      <c r="D8" s="668">
        <f t="shared" si="1"/>
        <v>4720842.4398874454</v>
      </c>
      <c r="F8" s="1311"/>
      <c r="G8" s="512" t="s">
        <v>499</v>
      </c>
      <c r="H8" s="668">
        <f t="shared" si="2"/>
        <v>4891242.1744607566</v>
      </c>
      <c r="I8" s="668">
        <f>H8*'[92]Basic Calculation'!$B$5*1/12</f>
        <v>32608.281163071708</v>
      </c>
      <c r="J8" s="668">
        <f>'[92]Basic Calculation'!G6</f>
        <v>195000</v>
      </c>
      <c r="K8" s="668">
        <f t="shared" si="3"/>
        <v>4728850.4556238279</v>
      </c>
    </row>
    <row r="9" spans="1:19">
      <c r="A9" s="1310"/>
      <c r="B9" s="667" t="s">
        <v>500</v>
      </c>
      <c r="C9" s="671">
        <f t="shared" si="0"/>
        <v>162787.67034094644</v>
      </c>
      <c r="D9" s="671">
        <f t="shared" si="1"/>
        <v>4558054.7695464985</v>
      </c>
      <c r="F9" s="1311"/>
      <c r="G9" s="512" t="s">
        <v>500</v>
      </c>
      <c r="H9" s="668">
        <f t="shared" si="2"/>
        <v>4728850.4556238279</v>
      </c>
      <c r="I9" s="668">
        <f>H9*'[92]Basic Calculation'!$B$5*1/12</f>
        <v>31525.669704158852</v>
      </c>
      <c r="J9" s="668">
        <f>'[92]Basic Calculation'!G7</f>
        <v>195000</v>
      </c>
      <c r="K9" s="668">
        <f t="shared" si="3"/>
        <v>4565376.1253279867</v>
      </c>
      <c r="M9" s="82"/>
      <c r="N9" s="82" t="s">
        <v>669</v>
      </c>
      <c r="O9" s="82" t="s">
        <v>670</v>
      </c>
    </row>
    <row r="10" spans="1:19">
      <c r="A10" s="1310"/>
      <c r="B10" s="667" t="s">
        <v>501</v>
      </c>
      <c r="C10" s="671">
        <f t="shared" si="0"/>
        <v>162787.67034094644</v>
      </c>
      <c r="D10" s="671">
        <f t="shared" si="1"/>
        <v>4395267.0992055517</v>
      </c>
      <c r="F10" s="1311"/>
      <c r="G10" s="512" t="s">
        <v>501</v>
      </c>
      <c r="H10" s="671">
        <f t="shared" si="2"/>
        <v>4565376.1253279867</v>
      </c>
      <c r="I10" s="671">
        <f>H10*'[92]Basic Calculation'!$B$5*1/12</f>
        <v>30435.84083551991</v>
      </c>
      <c r="J10" s="671">
        <f>'[92]Basic Calculation'!G8</f>
        <v>195000</v>
      </c>
      <c r="K10" s="671">
        <f t="shared" si="3"/>
        <v>4400811.9661635067</v>
      </c>
      <c r="M10" t="s">
        <v>671</v>
      </c>
      <c r="N10" s="516">
        <v>59.13</v>
      </c>
      <c r="O10" s="516">
        <v>21.5</v>
      </c>
      <c r="P10" s="516"/>
    </row>
    <row r="11" spans="1:19">
      <c r="A11" s="1310"/>
      <c r="B11" s="667" t="s">
        <v>502</v>
      </c>
      <c r="C11" s="671">
        <f t="shared" si="0"/>
        <v>162787.67034094644</v>
      </c>
      <c r="D11" s="671">
        <f t="shared" si="1"/>
        <v>4232479.4288646048</v>
      </c>
      <c r="F11" s="1311"/>
      <c r="G11" s="512" t="s">
        <v>502</v>
      </c>
      <c r="H11" s="671">
        <f t="shared" si="2"/>
        <v>4400811.9661635067</v>
      </c>
      <c r="I11" s="671">
        <f>H11*'[92]Basic Calculation'!$B$5*1/12</f>
        <v>29338.746441090047</v>
      </c>
      <c r="J11" s="671">
        <f>'[92]Basic Calculation'!G9</f>
        <v>195000</v>
      </c>
      <c r="K11" s="671">
        <f t="shared" si="3"/>
        <v>4235150.7126045972</v>
      </c>
      <c r="M11" t="s">
        <v>672</v>
      </c>
      <c r="N11" s="516">
        <v>0</v>
      </c>
      <c r="O11" s="516">
        <f>SUM(C17:C28)/100000</f>
        <v>19.534520440913571</v>
      </c>
      <c r="P11" s="516">
        <f>SUM(C17:C28)</f>
        <v>1953452.0440913572</v>
      </c>
    </row>
    <row r="12" spans="1:19">
      <c r="A12" s="1310"/>
      <c r="B12" s="667" t="s">
        <v>503</v>
      </c>
      <c r="C12" s="671">
        <f t="shared" si="0"/>
        <v>162787.67034094644</v>
      </c>
      <c r="D12" s="671">
        <f t="shared" si="1"/>
        <v>4069691.7585236584</v>
      </c>
      <c r="F12" s="1311"/>
      <c r="G12" s="512" t="s">
        <v>503</v>
      </c>
      <c r="H12" s="671">
        <f t="shared" si="2"/>
        <v>4235150.7126045972</v>
      </c>
      <c r="I12" s="671">
        <f>H12*'[92]Basic Calculation'!$B$5*1/12</f>
        <v>28234.338084030649</v>
      </c>
      <c r="J12" s="671">
        <f>'[92]Basic Calculation'!G10</f>
        <v>195000</v>
      </c>
      <c r="K12" s="671">
        <f t="shared" si="3"/>
        <v>4068385.0506886281</v>
      </c>
      <c r="M12" s="672" t="s">
        <v>673</v>
      </c>
      <c r="N12" s="516">
        <f>'[92]Basic Calculation'!I40/100000</f>
        <v>-5.4131587874876708</v>
      </c>
      <c r="O12" s="516">
        <f>+P7/100000</f>
        <v>-1.9684195590864284</v>
      </c>
      <c r="P12" s="516"/>
      <c r="Q12" s="673" t="s">
        <v>674</v>
      </c>
      <c r="R12" s="674" t="s">
        <v>675</v>
      </c>
      <c r="S12" s="674" t="s">
        <v>676</v>
      </c>
    </row>
    <row r="13" spans="1:19">
      <c r="A13" s="1310"/>
      <c r="B13" s="667" t="s">
        <v>504</v>
      </c>
      <c r="C13" s="671">
        <f t="shared" si="0"/>
        <v>162787.67034094644</v>
      </c>
      <c r="D13" s="671">
        <f t="shared" si="1"/>
        <v>3906904.088182712</v>
      </c>
      <c r="F13" s="1311"/>
      <c r="G13" s="512" t="s">
        <v>504</v>
      </c>
      <c r="H13" s="671">
        <f t="shared" si="2"/>
        <v>4068385.0506886281</v>
      </c>
      <c r="I13" s="671">
        <f>H13*'[92]Basic Calculation'!$B$5*1/12</f>
        <v>27122.567004590852</v>
      </c>
      <c r="J13" s="671">
        <f>'[92]Basic Calculation'!G11</f>
        <v>195000</v>
      </c>
      <c r="K13" s="671">
        <f t="shared" si="3"/>
        <v>3900507.6176932189</v>
      </c>
      <c r="M13" t="s">
        <v>579</v>
      </c>
      <c r="N13" s="516">
        <f>SUM(N10:N12)</f>
        <v>53.716841212512335</v>
      </c>
      <c r="O13" s="516">
        <f>SUM(O10:O12)</f>
        <v>39.06610088182714</v>
      </c>
      <c r="P13" s="516">
        <f>N13-O13</f>
        <v>14.650740330685196</v>
      </c>
      <c r="Q13" s="305" t="s">
        <v>470</v>
      </c>
      <c r="R13" s="514">
        <f>R28</f>
        <v>20087.538728533567</v>
      </c>
      <c r="S13" s="305"/>
    </row>
    <row r="14" spans="1:19">
      <c r="A14" s="1312">
        <v>2020</v>
      </c>
      <c r="B14" s="675" t="s">
        <v>506</v>
      </c>
      <c r="C14" s="671">
        <f t="shared" si="0"/>
        <v>162787.67034094644</v>
      </c>
      <c r="D14" s="671">
        <f t="shared" si="1"/>
        <v>3744116.4178417656</v>
      </c>
      <c r="F14" s="1313">
        <v>2020</v>
      </c>
      <c r="G14" s="515" t="s">
        <v>506</v>
      </c>
      <c r="H14" s="671">
        <f t="shared" si="2"/>
        <v>3900507.6176932189</v>
      </c>
      <c r="I14" s="671">
        <f>H14*'[92]Basic Calculation'!$B$5*1/12</f>
        <v>26003.384117954793</v>
      </c>
      <c r="J14" s="671">
        <f>'[92]Basic Calculation'!G12</f>
        <v>200000</v>
      </c>
      <c r="K14" s="671">
        <f t="shared" si="3"/>
        <v>3726511.0018111737</v>
      </c>
      <c r="Q14" s="305" t="s">
        <v>677</v>
      </c>
      <c r="R14" s="305"/>
      <c r="S14" s="514">
        <f>R13</f>
        <v>20087.538728533567</v>
      </c>
    </row>
    <row r="15" spans="1:19">
      <c r="A15" s="1312"/>
      <c r="B15" s="675" t="s">
        <v>507</v>
      </c>
      <c r="C15" s="671">
        <f t="shared" si="0"/>
        <v>162787.67034094644</v>
      </c>
      <c r="D15" s="671">
        <f t="shared" si="1"/>
        <v>3581328.7475008192</v>
      </c>
      <c r="F15" s="1313"/>
      <c r="G15" s="515" t="s">
        <v>507</v>
      </c>
      <c r="H15" s="671">
        <f t="shared" si="2"/>
        <v>3726511.0018111737</v>
      </c>
      <c r="I15" s="671">
        <f>H15*'[92]Basic Calculation'!$B$5*1/12</f>
        <v>24843.406678741158</v>
      </c>
      <c r="J15" s="671">
        <f>'[92]Basic Calculation'!G13</f>
        <v>200000</v>
      </c>
      <c r="K15" s="671">
        <f t="shared" si="3"/>
        <v>3551354.4084899151</v>
      </c>
      <c r="Q15" s="676" t="s">
        <v>678</v>
      </c>
      <c r="R15" s="572"/>
      <c r="S15" s="572"/>
    </row>
    <row r="16" spans="1:19">
      <c r="A16" s="1312"/>
      <c r="B16" s="675" t="s">
        <v>509</v>
      </c>
      <c r="C16" s="671">
        <f t="shared" si="0"/>
        <v>162787.67034094644</v>
      </c>
      <c r="D16" s="671">
        <f t="shared" si="1"/>
        <v>3418541.0771598727</v>
      </c>
      <c r="F16" s="1313"/>
      <c r="G16" s="515" t="s">
        <v>509</v>
      </c>
      <c r="H16" s="671">
        <f t="shared" si="2"/>
        <v>3551354.4084899151</v>
      </c>
      <c r="I16" s="671">
        <f>H16*'[92]Basic Calculation'!$B$5*1/12</f>
        <v>23675.696056599434</v>
      </c>
      <c r="J16" s="671">
        <f>'[92]Basic Calculation'!G14</f>
        <v>200000</v>
      </c>
      <c r="K16" s="671">
        <f t="shared" si="3"/>
        <v>3375030.1045465143</v>
      </c>
      <c r="N16" s="82" t="s">
        <v>664</v>
      </c>
      <c r="O16" s="82" t="s">
        <v>665</v>
      </c>
      <c r="P16" s="82" t="s">
        <v>666</v>
      </c>
      <c r="Q16" s="305" t="s">
        <v>167</v>
      </c>
      <c r="R16" s="514">
        <f>R29</f>
        <v>488363.01102283935</v>
      </c>
      <c r="S16" s="305"/>
    </row>
    <row r="17" spans="1:19">
      <c r="A17" s="1312"/>
      <c r="B17" s="675" t="s">
        <v>496</v>
      </c>
      <c r="C17" s="671">
        <f t="shared" si="0"/>
        <v>162787.67034094644</v>
      </c>
      <c r="D17" s="671">
        <f t="shared" si="1"/>
        <v>3255753.4068189263</v>
      </c>
      <c r="F17" s="1313"/>
      <c r="G17" s="515" t="s">
        <v>496</v>
      </c>
      <c r="H17" s="671">
        <f t="shared" si="2"/>
        <v>3375030.1045465143</v>
      </c>
      <c r="I17" s="671">
        <f>H17*'[92]Basic Calculation'!$B$5*1/12</f>
        <v>22500.200696976764</v>
      </c>
      <c r="J17" s="671">
        <f>'[92]Basic Calculation'!G15</f>
        <v>100000</v>
      </c>
      <c r="K17" s="671">
        <f t="shared" si="3"/>
        <v>3297530.3052434912</v>
      </c>
      <c r="M17" t="s">
        <v>679</v>
      </c>
      <c r="N17">
        <v>3961275.3092783326</v>
      </c>
      <c r="O17" s="117">
        <f>K16</f>
        <v>3375030.1045465143</v>
      </c>
      <c r="P17" s="117">
        <f>O17-N17</f>
        <v>-586245.20473181829</v>
      </c>
      <c r="Q17" s="305" t="s">
        <v>680</v>
      </c>
      <c r="R17" s="305"/>
      <c r="S17" s="514">
        <f>R16</f>
        <v>488363.01102283935</v>
      </c>
    </row>
    <row r="18" spans="1:19">
      <c r="A18" s="1312"/>
      <c r="B18" s="675" t="s">
        <v>497</v>
      </c>
      <c r="C18" s="671">
        <f t="shared" si="0"/>
        <v>162787.67034094644</v>
      </c>
      <c r="D18" s="671">
        <f t="shared" si="1"/>
        <v>3092965.7364779799</v>
      </c>
      <c r="F18" s="1313"/>
      <c r="G18" s="515" t="s">
        <v>497</v>
      </c>
      <c r="H18" s="671">
        <f t="shared" si="2"/>
        <v>3297530.3052434912</v>
      </c>
      <c r="I18" s="671">
        <f>H18*'[92]Basic Calculation'!$B$5*1/12</f>
        <v>21983.535368289944</v>
      </c>
      <c r="J18" s="671">
        <f>'[92]Basic Calculation'!G16</f>
        <v>100000</v>
      </c>
      <c r="K18" s="671">
        <f t="shared" si="3"/>
        <v>3219513.840611781</v>
      </c>
      <c r="N18">
        <v>238698</v>
      </c>
      <c r="O18" s="117">
        <f>SUM(I17:I28)</f>
        <v>224943.67528314336</v>
      </c>
      <c r="P18" s="117">
        <f t="shared" ref="P18:P20" si="4">O18-N18</f>
        <v>-13754.324716856645</v>
      </c>
      <c r="Q18" s="676" t="s">
        <v>681</v>
      </c>
      <c r="R18" s="305"/>
      <c r="S18" s="305"/>
    </row>
    <row r="19" spans="1:19">
      <c r="A19" s="1312"/>
      <c r="B19" s="675" t="s">
        <v>498</v>
      </c>
      <c r="C19" s="671">
        <f t="shared" si="0"/>
        <v>162787.67034094644</v>
      </c>
      <c r="D19" s="671">
        <f t="shared" si="1"/>
        <v>2930178.0661370335</v>
      </c>
      <c r="F19" s="1313"/>
      <c r="G19" s="515" t="s">
        <v>498</v>
      </c>
      <c r="H19" s="671">
        <f t="shared" si="2"/>
        <v>3219513.840611781</v>
      </c>
      <c r="I19" s="671">
        <f>H19*'[92]Basic Calculation'!$B$5*1/12</f>
        <v>21463.42560407854</v>
      </c>
      <c r="J19" s="671">
        <f>'[92]Basic Calculation'!G17</f>
        <v>100000</v>
      </c>
      <c r="K19" s="671">
        <f t="shared" si="3"/>
        <v>3140977.2662158594</v>
      </c>
      <c r="N19">
        <v>2415000</v>
      </c>
      <c r="O19" s="117">
        <f>SUM(J17:J28)</f>
        <v>1815000</v>
      </c>
      <c r="P19" s="117">
        <f t="shared" si="4"/>
        <v>-600000</v>
      </c>
      <c r="Q19" s="305" t="s">
        <v>65</v>
      </c>
      <c r="R19" s="514">
        <f>R30</f>
        <v>615000</v>
      </c>
      <c r="S19" s="305"/>
    </row>
    <row r="20" spans="1:19">
      <c r="A20" s="1312"/>
      <c r="B20" s="675" t="s">
        <v>499</v>
      </c>
      <c r="C20" s="671">
        <f t="shared" si="0"/>
        <v>162787.67034094644</v>
      </c>
      <c r="D20" s="671">
        <f t="shared" si="1"/>
        <v>2767390.3957960871</v>
      </c>
      <c r="F20" s="1313"/>
      <c r="G20" s="515" t="s">
        <v>499</v>
      </c>
      <c r="H20" s="671">
        <f t="shared" si="2"/>
        <v>3140977.2662158594</v>
      </c>
      <c r="I20" s="671">
        <f>H20*'[92]Basic Calculation'!$B$5*1/12</f>
        <v>20939.848441439062</v>
      </c>
      <c r="J20" s="671">
        <f>'[92]Basic Calculation'!G18</f>
        <v>100000</v>
      </c>
      <c r="K20" s="671">
        <f t="shared" si="3"/>
        <v>3061917.1146572987</v>
      </c>
      <c r="N20" s="117">
        <f>N17+N18-N19</f>
        <v>1784973.3092783326</v>
      </c>
      <c r="O20" s="117">
        <f>O17+O18-O19</f>
        <v>1784973.7798296576</v>
      </c>
      <c r="P20" s="117">
        <f t="shared" si="4"/>
        <v>0.47055132500827312</v>
      </c>
      <c r="Q20" s="305" t="s">
        <v>682</v>
      </c>
      <c r="R20" s="305"/>
      <c r="S20" s="514">
        <f>R19</f>
        <v>615000</v>
      </c>
    </row>
    <row r="21" spans="1:19">
      <c r="A21" s="1312"/>
      <c r="B21" s="675" t="s">
        <v>500</v>
      </c>
      <c r="C21" s="671">
        <f t="shared" si="0"/>
        <v>162787.67034094644</v>
      </c>
      <c r="D21" s="671">
        <f t="shared" si="1"/>
        <v>2604602.7254551407</v>
      </c>
      <c r="F21" s="1313"/>
      <c r="G21" s="515" t="s">
        <v>500</v>
      </c>
      <c r="H21" s="671">
        <f t="shared" si="2"/>
        <v>3061917.1146572987</v>
      </c>
      <c r="I21" s="671">
        <f>H21*'[92]Basic Calculation'!$B$5*1/12</f>
        <v>20412.780764381991</v>
      </c>
      <c r="J21" s="671">
        <f>'[92]Basic Calculation'!G19</f>
        <v>100000</v>
      </c>
      <c r="K21" s="671">
        <f t="shared" si="3"/>
        <v>2982329.8954216805</v>
      </c>
      <c r="Q21" s="676" t="s">
        <v>683</v>
      </c>
      <c r="R21" s="305"/>
      <c r="S21" s="305"/>
    </row>
    <row r="22" spans="1:19">
      <c r="A22" s="1312"/>
      <c r="B22" s="675" t="s">
        <v>501</v>
      </c>
      <c r="C22" s="671">
        <f t="shared" si="0"/>
        <v>162787.67034094644</v>
      </c>
      <c r="D22" s="671">
        <f t="shared" si="1"/>
        <v>2441815.0551141943</v>
      </c>
      <c r="F22" s="1313"/>
      <c r="G22" s="515" t="s">
        <v>501</v>
      </c>
      <c r="H22" s="671">
        <f t="shared" si="2"/>
        <v>2982329.8954216805</v>
      </c>
      <c r="I22" s="671">
        <f>H22*'[92]Basic Calculation'!$B$5*1/12</f>
        <v>19882.199302811205</v>
      </c>
      <c r="J22" s="671">
        <f>'[92]Basic Calculation'!G20</f>
        <v>100000</v>
      </c>
      <c r="K22" s="671">
        <f t="shared" si="3"/>
        <v>2902212.0947244917</v>
      </c>
      <c r="L22" s="117"/>
      <c r="Q22" s="305" t="s">
        <v>684</v>
      </c>
      <c r="R22" s="514"/>
      <c r="S22" s="305"/>
    </row>
    <row r="23" spans="1:19">
      <c r="A23" s="1312"/>
      <c r="B23" s="675" t="s">
        <v>502</v>
      </c>
      <c r="C23" s="671">
        <f t="shared" si="0"/>
        <v>162787.67034094644</v>
      </c>
      <c r="D23" s="671">
        <f t="shared" si="1"/>
        <v>2279027.3847732479</v>
      </c>
      <c r="F23" s="1313"/>
      <c r="G23" s="515" t="s">
        <v>502</v>
      </c>
      <c r="H23" s="671">
        <f t="shared" si="2"/>
        <v>2902212.0947244917</v>
      </c>
      <c r="I23" s="671">
        <f>H23*'[92]Basic Calculation'!$B$5*1/12</f>
        <v>19348.080631496614</v>
      </c>
      <c r="J23" s="671">
        <f>'[92]Basic Calculation'!G21</f>
        <v>200000</v>
      </c>
      <c r="K23" s="671">
        <f t="shared" si="3"/>
        <v>2721560.1753559881</v>
      </c>
      <c r="M23" t="s">
        <v>685</v>
      </c>
      <c r="Q23" s="305" t="s">
        <v>686</v>
      </c>
      <c r="R23" s="514">
        <f>R19</f>
        <v>615000</v>
      </c>
      <c r="S23" s="514"/>
    </row>
    <row r="24" spans="1:19">
      <c r="A24" s="1312"/>
      <c r="B24" s="675" t="s">
        <v>503</v>
      </c>
      <c r="C24" s="671">
        <f t="shared" si="0"/>
        <v>162787.67034094644</v>
      </c>
      <c r="D24" s="671">
        <f t="shared" si="1"/>
        <v>2116239.7144323015</v>
      </c>
      <c r="F24" s="1313"/>
      <c r="G24" s="515" t="s">
        <v>503</v>
      </c>
      <c r="H24" s="671">
        <f t="shared" si="2"/>
        <v>2721560.1753559881</v>
      </c>
      <c r="I24" s="671">
        <f>H24*'[92]Basic Calculation'!$B$5*1/12</f>
        <v>18143.734502373252</v>
      </c>
      <c r="J24" s="671">
        <f>'[92]Basic Calculation'!G22</f>
        <v>200000</v>
      </c>
      <c r="K24" s="671">
        <f t="shared" si="3"/>
        <v>2539703.9098583614</v>
      </c>
      <c r="M24" t="s">
        <v>687</v>
      </c>
      <c r="N24" s="516">
        <f>O26-N25</f>
        <v>3.4447392284012421</v>
      </c>
      <c r="O24" s="516"/>
      <c r="Q24" s="676" t="s">
        <v>688</v>
      </c>
      <c r="R24" s="305"/>
      <c r="S24" s="668">
        <f>R23</f>
        <v>615000</v>
      </c>
    </row>
    <row r="25" spans="1:19">
      <c r="A25" s="1312"/>
      <c r="B25" s="675" t="s">
        <v>504</v>
      </c>
      <c r="C25" s="671">
        <f t="shared" si="0"/>
        <v>162787.67034094644</v>
      </c>
      <c r="D25" s="671">
        <f t="shared" si="1"/>
        <v>1953452.0440913551</v>
      </c>
      <c r="F25" s="1313"/>
      <c r="G25" s="515" t="s">
        <v>504</v>
      </c>
      <c r="H25" s="671">
        <f t="shared" si="2"/>
        <v>2539703.9098583614</v>
      </c>
      <c r="I25" s="671">
        <f>H25*'[92]Basic Calculation'!$B$5*1/12</f>
        <v>16931.359399055742</v>
      </c>
      <c r="J25" s="671">
        <f>'[92]Basic Calculation'!G23</f>
        <v>200000</v>
      </c>
      <c r="K25" s="671">
        <f t="shared" si="3"/>
        <v>2356635.2692574169</v>
      </c>
      <c r="M25" t="s">
        <v>689</v>
      </c>
      <c r="N25" s="516">
        <f>-O12</f>
        <v>1.9684195590864284</v>
      </c>
      <c r="O25" s="516"/>
    </row>
    <row r="26" spans="1:19">
      <c r="A26" s="1305">
        <v>2021</v>
      </c>
      <c r="B26" s="677" t="s">
        <v>506</v>
      </c>
      <c r="C26" s="671">
        <f t="shared" si="0"/>
        <v>162787.67034094644</v>
      </c>
      <c r="D26" s="671">
        <f t="shared" si="1"/>
        <v>1790664.3737504086</v>
      </c>
      <c r="F26" s="1305">
        <v>2021</v>
      </c>
      <c r="G26" s="677" t="s">
        <v>506</v>
      </c>
      <c r="H26" s="671">
        <f t="shared" si="2"/>
        <v>2356635.2692574169</v>
      </c>
      <c r="I26" s="671">
        <f>H26*'[92]Basic Calculation'!$B$5*1/12</f>
        <v>15710.901795049447</v>
      </c>
      <c r="J26" s="671">
        <f>'[92]Basic Calculation'!G24</f>
        <v>205000</v>
      </c>
      <c r="K26" s="671">
        <f t="shared" si="3"/>
        <v>2167346.1710524666</v>
      </c>
      <c r="M26" s="678" t="s">
        <v>690</v>
      </c>
      <c r="N26" s="516"/>
      <c r="O26" s="516">
        <f>-N12</f>
        <v>5.4131587874876708</v>
      </c>
    </row>
    <row r="27" spans="1:19">
      <c r="A27" s="1306"/>
      <c r="B27" s="677" t="s">
        <v>507</v>
      </c>
      <c r="C27" s="671">
        <f t="shared" si="0"/>
        <v>162787.67034094644</v>
      </c>
      <c r="D27" s="671">
        <f t="shared" si="1"/>
        <v>1627876.7034094622</v>
      </c>
      <c r="F27" s="1306"/>
      <c r="G27" s="677" t="s">
        <v>507</v>
      </c>
      <c r="H27" s="671">
        <f t="shared" si="2"/>
        <v>2167346.1710524666</v>
      </c>
      <c r="I27" s="671">
        <f>H27*'[92]Basic Calculation'!$B$5*1/12</f>
        <v>14448.974473683111</v>
      </c>
      <c r="J27" s="671">
        <f>'[92]Basic Calculation'!G25</f>
        <v>205000</v>
      </c>
      <c r="K27" s="671">
        <f t="shared" si="3"/>
        <v>1976795.1455261498</v>
      </c>
      <c r="N27" s="516"/>
      <c r="O27" s="516"/>
      <c r="Q27" s="1308" t="s">
        <v>691</v>
      </c>
      <c r="R27" s="1308"/>
    </row>
    <row r="28" spans="1:19">
      <c r="A28" s="1306"/>
      <c r="B28" s="677" t="s">
        <v>509</v>
      </c>
      <c r="C28" s="671">
        <f t="shared" si="0"/>
        <v>162787.67034094644</v>
      </c>
      <c r="D28" s="671">
        <f t="shared" si="1"/>
        <v>1465089.0330685158</v>
      </c>
      <c r="F28" s="1306"/>
      <c r="G28" s="677" t="s">
        <v>509</v>
      </c>
      <c r="H28" s="671">
        <f t="shared" si="2"/>
        <v>1976795.1455261498</v>
      </c>
      <c r="I28" s="671">
        <f>H28*'[92]Basic Calculation'!$B$5*1/12</f>
        <v>13178.634303507664</v>
      </c>
      <c r="J28" s="671">
        <f>'[92]Basic Calculation'!G26</f>
        <v>205000</v>
      </c>
      <c r="K28" s="671">
        <f t="shared" si="3"/>
        <v>1784973.7798296574</v>
      </c>
      <c r="M28" t="s">
        <v>692</v>
      </c>
      <c r="N28" s="516">
        <f>-P17/100000</f>
        <v>5.8624520473181825</v>
      </c>
      <c r="O28" s="516"/>
      <c r="Q28" t="s">
        <v>495</v>
      </c>
      <c r="R28" s="117">
        <f>SUM(I32:I34)</f>
        <v>20087.538728533567</v>
      </c>
      <c r="S28" s="42">
        <f>R28/100000</f>
        <v>0.20087538728533566</v>
      </c>
    </row>
    <row r="29" spans="1:19">
      <c r="A29" s="1306"/>
      <c r="B29" s="677" t="s">
        <v>496</v>
      </c>
      <c r="C29" s="671">
        <f t="shared" si="0"/>
        <v>162787.67034094644</v>
      </c>
      <c r="D29" s="671">
        <f t="shared" si="1"/>
        <v>1302301.3627275694</v>
      </c>
      <c r="F29" s="1306"/>
      <c r="G29" s="677" t="s">
        <v>496</v>
      </c>
      <c r="H29" s="671">
        <f t="shared" si="2"/>
        <v>1784973.7798296574</v>
      </c>
      <c r="I29" s="671">
        <f>H29*'[92]Basic Calculation'!$B$5*1/12</f>
        <v>11899.825198864382</v>
      </c>
      <c r="J29" s="671">
        <f>'[92]Basic Calculation'!G27</f>
        <v>205000</v>
      </c>
      <c r="K29" s="671">
        <f t="shared" si="3"/>
        <v>1591873.6050285217</v>
      </c>
      <c r="M29" s="678" t="s">
        <v>693</v>
      </c>
      <c r="N29" s="516"/>
      <c r="O29" s="516">
        <f>N28</f>
        <v>5.8624520473181825</v>
      </c>
      <c r="Q29" t="s">
        <v>508</v>
      </c>
      <c r="R29" s="117">
        <f>SUM(C32:C34)</f>
        <v>488363.01102283935</v>
      </c>
      <c r="S29" s="42">
        <f t="shared" ref="S29:S31" si="5">R29/100000</f>
        <v>4.8836301102283937</v>
      </c>
    </row>
    <row r="30" spans="1:19">
      <c r="A30" s="1306"/>
      <c r="B30" s="677" t="s">
        <v>497</v>
      </c>
      <c r="C30" s="671">
        <f t="shared" si="0"/>
        <v>162787.67034094644</v>
      </c>
      <c r="D30" s="671">
        <f t="shared" si="1"/>
        <v>1139513.692386623</v>
      </c>
      <c r="F30" s="1306"/>
      <c r="G30" s="677" t="s">
        <v>497</v>
      </c>
      <c r="H30" s="671">
        <f t="shared" si="2"/>
        <v>1591873.6050285217</v>
      </c>
      <c r="I30" s="671">
        <f>H30*'[92]Basic Calculation'!$B$5*1/12</f>
        <v>10612.490700190145</v>
      </c>
      <c r="J30" s="671">
        <f>'[92]Basic Calculation'!G28</f>
        <v>205000</v>
      </c>
      <c r="K30" s="671">
        <f t="shared" si="3"/>
        <v>1397486.0957287119</v>
      </c>
      <c r="Q30" t="s">
        <v>510</v>
      </c>
      <c r="R30" s="117">
        <f>SUM(J32:J34)</f>
        <v>615000</v>
      </c>
      <c r="S30" s="42">
        <f t="shared" si="5"/>
        <v>6.15</v>
      </c>
    </row>
    <row r="31" spans="1:19">
      <c r="A31" s="1306"/>
      <c r="B31" s="677" t="s">
        <v>498</v>
      </c>
      <c r="C31" s="671">
        <f t="shared" si="0"/>
        <v>162787.67034094644</v>
      </c>
      <c r="D31" s="671">
        <f t="shared" si="1"/>
        <v>976726.0220456766</v>
      </c>
      <c r="F31" s="1306"/>
      <c r="G31" s="677" t="s">
        <v>498</v>
      </c>
      <c r="H31" s="671">
        <f t="shared" si="2"/>
        <v>1397486.0957287119</v>
      </c>
      <c r="I31" s="671">
        <f>H31*'[92]Basic Calculation'!$B$5*1/12</f>
        <v>9316.5739715247455</v>
      </c>
      <c r="J31" s="671">
        <f>'[92]Basic Calculation'!G29</f>
        <v>205000</v>
      </c>
      <c r="K31" s="671">
        <f t="shared" si="3"/>
        <v>1201802.6697002368</v>
      </c>
      <c r="Q31" s="82" t="s">
        <v>694</v>
      </c>
      <c r="R31" s="117">
        <f>R28+R29-R30</f>
        <v>-106549.45024862711</v>
      </c>
      <c r="S31" s="42">
        <f t="shared" si="5"/>
        <v>-1.065494502486271</v>
      </c>
    </row>
    <row r="32" spans="1:19">
      <c r="A32" s="1306"/>
      <c r="B32" s="677" t="s">
        <v>499</v>
      </c>
      <c r="C32" s="668">
        <f t="shared" si="0"/>
        <v>162787.67034094644</v>
      </c>
      <c r="D32" s="668">
        <f t="shared" si="1"/>
        <v>813938.35170473019</v>
      </c>
      <c r="F32" s="1306"/>
      <c r="G32" s="677" t="s">
        <v>499</v>
      </c>
      <c r="H32" s="668">
        <f t="shared" si="2"/>
        <v>1201802.6697002368</v>
      </c>
      <c r="I32" s="668">
        <f>H32*'[92]Basic Calculation'!$B$5*1/12</f>
        <v>8012.0177980015787</v>
      </c>
      <c r="J32" s="668">
        <f>'[92]Basic Calculation'!G30</f>
        <v>205000</v>
      </c>
      <c r="K32" s="668">
        <f t="shared" si="3"/>
        <v>1004814.6874982384</v>
      </c>
    </row>
    <row r="33" spans="1:18">
      <c r="A33" s="1306"/>
      <c r="B33" s="677" t="s">
        <v>500</v>
      </c>
      <c r="C33" s="668">
        <f t="shared" si="0"/>
        <v>162787.67034094644</v>
      </c>
      <c r="D33" s="668">
        <f t="shared" si="1"/>
        <v>651150.68136378378</v>
      </c>
      <c r="F33" s="1306"/>
      <c r="G33" s="677" t="s">
        <v>500</v>
      </c>
      <c r="H33" s="668">
        <f t="shared" si="2"/>
        <v>1004814.6874982384</v>
      </c>
      <c r="I33" s="668">
        <f>H33*'[92]Basic Calculation'!$B$5*1/12</f>
        <v>6698.7645833215893</v>
      </c>
      <c r="J33" s="668">
        <f>'[92]Basic Calculation'!G31</f>
        <v>205000</v>
      </c>
      <c r="K33" s="668">
        <f t="shared" si="3"/>
        <v>806513.45208156004</v>
      </c>
      <c r="Q33" s="82" t="s">
        <v>695</v>
      </c>
      <c r="R33" s="117">
        <f>D34</f>
        <v>488363.01102283737</v>
      </c>
    </row>
    <row r="34" spans="1:18">
      <c r="A34" s="1306"/>
      <c r="B34" s="677" t="s">
        <v>501</v>
      </c>
      <c r="C34" s="668">
        <f t="shared" si="0"/>
        <v>162787.67034094644</v>
      </c>
      <c r="D34" s="668">
        <f t="shared" si="1"/>
        <v>488363.01102283737</v>
      </c>
      <c r="F34" s="1306"/>
      <c r="G34" s="677" t="s">
        <v>501</v>
      </c>
      <c r="H34" s="668">
        <f t="shared" si="2"/>
        <v>806513.45208156004</v>
      </c>
      <c r="I34" s="668">
        <f>H34*'[92]Basic Calculation'!$B$5*1/12</f>
        <v>5376.7563472104002</v>
      </c>
      <c r="J34" s="668">
        <f>'[92]Basic Calculation'!G32</f>
        <v>205000</v>
      </c>
      <c r="K34" s="668">
        <f t="shared" si="3"/>
        <v>606890.20842877042</v>
      </c>
      <c r="Q34" s="82" t="s">
        <v>696</v>
      </c>
      <c r="R34" s="117">
        <f>K34</f>
        <v>606890.20842877042</v>
      </c>
    </row>
    <row r="35" spans="1:18">
      <c r="A35" s="1306"/>
      <c r="B35" s="677" t="s">
        <v>502</v>
      </c>
      <c r="C35" s="668">
        <f t="shared" si="0"/>
        <v>162787.67034094644</v>
      </c>
      <c r="D35" s="668">
        <f t="shared" si="1"/>
        <v>325575.34068189096</v>
      </c>
      <c r="F35" s="1306"/>
      <c r="G35" s="677" t="s">
        <v>502</v>
      </c>
      <c r="H35" s="668">
        <f t="shared" si="2"/>
        <v>606890.20842877042</v>
      </c>
      <c r="I35" s="668">
        <f>H35*'[92]Basic Calculation'!$B$5*1/12</f>
        <v>4045.9347228584697</v>
      </c>
      <c r="J35" s="668">
        <f>'[92]Basic Calculation'!G33</f>
        <v>205000</v>
      </c>
      <c r="K35" s="668">
        <f t="shared" si="3"/>
        <v>405936.1431516289</v>
      </c>
    </row>
    <row r="36" spans="1:18">
      <c r="A36" s="1306"/>
      <c r="B36" s="677" t="s">
        <v>503</v>
      </c>
      <c r="C36" s="668">
        <f t="shared" si="0"/>
        <v>162787.67034094644</v>
      </c>
      <c r="D36" s="668">
        <f t="shared" si="1"/>
        <v>162787.67034094452</v>
      </c>
      <c r="F36" s="1306"/>
      <c r="G36" s="677" t="s">
        <v>503</v>
      </c>
      <c r="H36" s="668">
        <f t="shared" si="2"/>
        <v>405936.1431516289</v>
      </c>
      <c r="I36" s="668">
        <f>H36*'[92]Basic Calculation'!$B$5*1/12</f>
        <v>2706.2409543441927</v>
      </c>
      <c r="J36" s="668">
        <f>'[92]Basic Calculation'!G34</f>
        <v>205000</v>
      </c>
      <c r="K36" s="668">
        <f t="shared" si="3"/>
        <v>203642.38410597312</v>
      </c>
    </row>
    <row r="37" spans="1:18">
      <c r="A37" s="1307"/>
      <c r="B37" s="677" t="s">
        <v>504</v>
      </c>
      <c r="C37" s="668">
        <f t="shared" si="0"/>
        <v>162787.67034094644</v>
      </c>
      <c r="D37" s="668">
        <f t="shared" si="1"/>
        <v>-1.9208528101444244E-9</v>
      </c>
      <c r="F37" s="1307"/>
      <c r="G37" s="677" t="s">
        <v>504</v>
      </c>
      <c r="H37" s="668">
        <f t="shared" si="2"/>
        <v>203642.38410597312</v>
      </c>
      <c r="I37" s="668">
        <f>H37*'[92]Basic Calculation'!$B$5*1/12</f>
        <v>1357.6158940398209</v>
      </c>
      <c r="J37" s="668">
        <f>'[92]Basic Calculation'!G35</f>
        <v>205000</v>
      </c>
      <c r="K37" s="668">
        <f t="shared" si="3"/>
        <v>1.2951204553246498E-8</v>
      </c>
    </row>
    <row r="38" spans="1:18">
      <c r="C38" s="117">
        <f>SUM(C5:C37)</f>
        <v>5371993.1212512357</v>
      </c>
      <c r="D38" s="117"/>
      <c r="I38" s="117">
        <f>SUM(I4:I37)</f>
        <v>643006.87874877977</v>
      </c>
      <c r="J38" s="661"/>
    </row>
  </sheetData>
  <mergeCells count="9">
    <mergeCell ref="A26:A37"/>
    <mergeCell ref="F26:F37"/>
    <mergeCell ref="Q27:R27"/>
    <mergeCell ref="A2:D2"/>
    <mergeCell ref="F2:K2"/>
    <mergeCell ref="A5:A13"/>
    <mergeCell ref="F5:F13"/>
    <mergeCell ref="A14:A25"/>
    <mergeCell ref="F14:F2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39"/>
  <sheetViews>
    <sheetView topLeftCell="F1" workbookViewId="0">
      <selection activeCell="N11" sqref="N11"/>
    </sheetView>
  </sheetViews>
  <sheetFormatPr defaultColWidth="9.1796875" defaultRowHeight="14.5"/>
  <cols>
    <col min="1" max="1" width="6.26953125" bestFit="1" customWidth="1"/>
    <col min="2" max="2" width="11.7265625" bestFit="1" customWidth="1"/>
    <col min="3" max="3" width="12.54296875" bestFit="1" customWidth="1"/>
    <col min="4" max="4" width="16.26953125" bestFit="1" customWidth="1"/>
    <col min="6" max="6" width="6.26953125" bestFit="1" customWidth="1"/>
    <col min="7" max="7" width="10.54296875" bestFit="1" customWidth="1"/>
    <col min="8" max="8" width="15.26953125" bestFit="1" customWidth="1"/>
    <col min="9" max="9" width="8.7265625" bestFit="1" customWidth="1"/>
    <col min="10" max="10" width="10.7265625" bestFit="1" customWidth="1"/>
    <col min="11" max="11" width="14.1796875" bestFit="1" customWidth="1"/>
    <col min="12" max="12" width="9.81640625" bestFit="1" customWidth="1"/>
    <col min="13" max="13" width="65.26953125" bestFit="1" customWidth="1"/>
    <col min="14" max="14" width="12" bestFit="1" customWidth="1"/>
    <col min="15" max="16" width="10.453125" bestFit="1" customWidth="1"/>
  </cols>
  <sheetData>
    <row r="1" spans="1:16">
      <c r="A1" s="1309" t="s">
        <v>659</v>
      </c>
      <c r="B1" s="1309"/>
      <c r="C1" s="1309"/>
      <c r="D1" s="1309"/>
      <c r="F1" s="1309" t="s">
        <v>660</v>
      </c>
      <c r="G1" s="1309"/>
      <c r="H1" s="1309"/>
      <c r="I1" s="1309"/>
      <c r="J1" s="1309"/>
      <c r="K1" s="1309"/>
    </row>
    <row r="2" spans="1:16">
      <c r="A2" s="662" t="s">
        <v>490</v>
      </c>
      <c r="B2" s="662" t="s">
        <v>491</v>
      </c>
      <c r="C2" s="662" t="s">
        <v>167</v>
      </c>
      <c r="D2" s="662" t="s">
        <v>661</v>
      </c>
      <c r="F2" s="643" t="s">
        <v>490</v>
      </c>
      <c r="G2" s="643" t="s">
        <v>491</v>
      </c>
      <c r="H2" s="643" t="s">
        <v>662</v>
      </c>
      <c r="I2" s="643" t="s">
        <v>495</v>
      </c>
      <c r="J2" s="643" t="s">
        <v>663</v>
      </c>
      <c r="K2" s="643" t="s">
        <v>329</v>
      </c>
    </row>
    <row r="3" spans="1:16">
      <c r="A3" s="663"/>
      <c r="B3" s="664">
        <v>43556</v>
      </c>
      <c r="C3" s="663"/>
      <c r="D3" s="663">
        <f>'[93]Basic Calculation'!I39</f>
        <v>19772634.34080749</v>
      </c>
      <c r="F3" s="665"/>
      <c r="G3" s="666">
        <v>43556</v>
      </c>
      <c r="H3" s="663">
        <f>+'[93]Basic Calculation'!I39</f>
        <v>19772634.34080749</v>
      </c>
      <c r="I3" s="663">
        <v>0</v>
      </c>
      <c r="J3" s="663">
        <v>0</v>
      </c>
      <c r="K3" s="663">
        <f>H3+I3-J3</f>
        <v>19772634.34080749</v>
      </c>
    </row>
    <row r="4" spans="1:16">
      <c r="A4" s="1310">
        <v>2019</v>
      </c>
      <c r="B4" s="667" t="s">
        <v>496</v>
      </c>
      <c r="C4" s="668">
        <f>$D$3/35.5</f>
        <v>556975.61523401376</v>
      </c>
      <c r="D4" s="668">
        <f>D3-C4</f>
        <v>19215658.725573476</v>
      </c>
      <c r="F4" s="1311">
        <v>2019</v>
      </c>
      <c r="G4" s="512" t="s">
        <v>496</v>
      </c>
      <c r="H4" s="668">
        <f>K3</f>
        <v>19772634.34080749</v>
      </c>
      <c r="I4" s="668">
        <f>H4*'[93]Basic Calculation'!$B$5*1/12</f>
        <v>131817.56227204992</v>
      </c>
      <c r="J4" s="668">
        <f>'[93]Basic Calculation'!G3</f>
        <v>715500</v>
      </c>
      <c r="K4" s="668">
        <f>H4+I4-J4</f>
        <v>19188951.90307954</v>
      </c>
      <c r="N4" s="117"/>
    </row>
    <row r="5" spans="1:16">
      <c r="A5" s="1310"/>
      <c r="B5" s="667" t="s">
        <v>497</v>
      </c>
      <c r="C5" s="668">
        <f t="shared" ref="C5:C38" si="0">$D$3/35.5</f>
        <v>556975.61523401376</v>
      </c>
      <c r="D5" s="668">
        <f t="shared" ref="D5:D39" si="1">D4-C5</f>
        <v>18658683.110339463</v>
      </c>
      <c r="F5" s="1311"/>
      <c r="G5" s="512" t="s">
        <v>497</v>
      </c>
      <c r="H5" s="668">
        <f t="shared" ref="H5:H39" si="2">K4</f>
        <v>19188951.90307954</v>
      </c>
      <c r="I5" s="668">
        <f>H5*'[93]Basic Calculation'!$B$5*1/12</f>
        <v>127926.34602053027</v>
      </c>
      <c r="J5" s="668">
        <f>'[93]Basic Calculation'!G4</f>
        <v>715500</v>
      </c>
      <c r="K5" s="668">
        <f t="shared" ref="K5:K39" si="3">H5+I5-J5</f>
        <v>18601378.24910007</v>
      </c>
      <c r="O5" s="117"/>
    </row>
    <row r="6" spans="1:16">
      <c r="A6" s="1310"/>
      <c r="B6" s="667" t="s">
        <v>498</v>
      </c>
      <c r="C6" s="668">
        <f t="shared" si="0"/>
        <v>556975.61523401376</v>
      </c>
      <c r="D6" s="668">
        <f t="shared" si="1"/>
        <v>18101707.495105449</v>
      </c>
      <c r="F6" s="1311"/>
      <c r="G6" s="512" t="s">
        <v>498</v>
      </c>
      <c r="H6" s="668">
        <f t="shared" si="2"/>
        <v>18601378.24910007</v>
      </c>
      <c r="I6" s="668">
        <f>H6*'[93]Basic Calculation'!$B$5*1/12</f>
        <v>124009.18832733382</v>
      </c>
      <c r="J6" s="668">
        <f>'[93]Basic Calculation'!G5</f>
        <v>715500</v>
      </c>
      <c r="K6" s="668">
        <f t="shared" si="3"/>
        <v>18009887.437427405</v>
      </c>
      <c r="N6" s="117"/>
      <c r="P6" s="117"/>
    </row>
    <row r="7" spans="1:16">
      <c r="A7" s="1310"/>
      <c r="B7" s="667" t="s">
        <v>499</v>
      </c>
      <c r="C7" s="668">
        <f t="shared" si="0"/>
        <v>556975.61523401376</v>
      </c>
      <c r="D7" s="668">
        <f t="shared" si="1"/>
        <v>17544731.879871435</v>
      </c>
      <c r="F7" s="1311"/>
      <c r="G7" s="512" t="s">
        <v>499</v>
      </c>
      <c r="H7" s="668">
        <f t="shared" si="2"/>
        <v>18009887.437427405</v>
      </c>
      <c r="I7" s="668">
        <f>H7*'[93]Basic Calculation'!$B$5*1/12</f>
        <v>120065.91624951603</v>
      </c>
      <c r="J7" s="668">
        <f>'[93]Basic Calculation'!G6</f>
        <v>715500</v>
      </c>
      <c r="K7" s="668">
        <f t="shared" si="3"/>
        <v>17414453.353676923</v>
      </c>
      <c r="N7" s="117"/>
    </row>
    <row r="8" spans="1:16">
      <c r="A8" s="1310"/>
      <c r="B8" s="667" t="s">
        <v>500</v>
      </c>
      <c r="C8" s="668">
        <f t="shared" si="0"/>
        <v>556975.61523401376</v>
      </c>
      <c r="D8" s="668">
        <f t="shared" si="1"/>
        <v>16987756.264637422</v>
      </c>
      <c r="F8" s="1311"/>
      <c r="G8" s="512" t="s">
        <v>500</v>
      </c>
      <c r="H8" s="668">
        <f t="shared" si="2"/>
        <v>17414453.353676923</v>
      </c>
      <c r="I8" s="668">
        <f>H8*'[93]Basic Calculation'!$B$5*1/12</f>
        <v>116096.35569117947</v>
      </c>
      <c r="J8" s="668">
        <f>'[93]Basic Calculation'!G7</f>
        <v>715500</v>
      </c>
      <c r="K8" s="668">
        <f t="shared" si="3"/>
        <v>16815049.709368102</v>
      </c>
      <c r="O8" s="117"/>
    </row>
    <row r="9" spans="1:16">
      <c r="A9" s="1310"/>
      <c r="B9" s="667" t="s">
        <v>501</v>
      </c>
      <c r="C9" s="668">
        <f t="shared" si="0"/>
        <v>556975.61523401376</v>
      </c>
      <c r="D9" s="668">
        <f t="shared" si="1"/>
        <v>16430780.649403408</v>
      </c>
      <c r="F9" s="1311"/>
      <c r="G9" s="512" t="s">
        <v>501</v>
      </c>
      <c r="H9" s="668">
        <f t="shared" si="2"/>
        <v>16815049.709368102</v>
      </c>
      <c r="I9" s="668">
        <f>H9*'[93]Basic Calculation'!$B$5*1/12</f>
        <v>112100.33139578735</v>
      </c>
      <c r="J9" s="668">
        <f>'[93]Basic Calculation'!G8</f>
        <v>715500</v>
      </c>
      <c r="K9" s="668">
        <f t="shared" si="3"/>
        <v>16211650.040763889</v>
      </c>
      <c r="N9" s="117"/>
    </row>
    <row r="10" spans="1:16">
      <c r="A10" s="1310"/>
      <c r="B10" s="667" t="s">
        <v>502</v>
      </c>
      <c r="C10" s="679">
        <f t="shared" si="0"/>
        <v>556975.61523401376</v>
      </c>
      <c r="D10" s="668">
        <f t="shared" si="1"/>
        <v>15873805.034169395</v>
      </c>
      <c r="F10" s="1311"/>
      <c r="G10" s="512" t="s">
        <v>502</v>
      </c>
      <c r="H10" s="668">
        <f t="shared" si="2"/>
        <v>16211650.040763889</v>
      </c>
      <c r="I10" s="679">
        <f>H10*'[93]Basic Calculation'!$B$5*1/12</f>
        <v>108077.66693842593</v>
      </c>
      <c r="J10" s="668">
        <f>'[93]Basic Calculation'!G9</f>
        <v>715500</v>
      </c>
      <c r="K10" s="668">
        <f t="shared" si="3"/>
        <v>15604227.707702314</v>
      </c>
      <c r="N10" s="117"/>
    </row>
    <row r="11" spans="1:16">
      <c r="A11" s="1310"/>
      <c r="B11" s="667" t="s">
        <v>503</v>
      </c>
      <c r="C11" s="679">
        <f t="shared" si="0"/>
        <v>556975.61523401376</v>
      </c>
      <c r="D11" s="668">
        <f t="shared" si="1"/>
        <v>15316829.418935381</v>
      </c>
      <c r="F11" s="1311"/>
      <c r="G11" s="512" t="s">
        <v>503</v>
      </c>
      <c r="H11" s="668">
        <f t="shared" si="2"/>
        <v>15604227.707702314</v>
      </c>
      <c r="I11" s="679">
        <f>H11*'[93]Basic Calculation'!$B$5*1/12</f>
        <v>104028.18471801543</v>
      </c>
      <c r="J11" s="668">
        <f>'[93]Basic Calculation'!G10</f>
        <v>715500</v>
      </c>
      <c r="K11" s="668">
        <f t="shared" si="3"/>
        <v>14992755.892420329</v>
      </c>
      <c r="O11" s="117"/>
    </row>
    <row r="12" spans="1:16">
      <c r="A12" s="1310"/>
      <c r="B12" s="667" t="s">
        <v>504</v>
      </c>
      <c r="C12" s="679">
        <f t="shared" si="0"/>
        <v>556975.61523401376</v>
      </c>
      <c r="D12" s="668">
        <f t="shared" si="1"/>
        <v>14759853.803701367</v>
      </c>
      <c r="F12" s="1311"/>
      <c r="G12" s="512" t="s">
        <v>504</v>
      </c>
      <c r="H12" s="668">
        <f t="shared" si="2"/>
        <v>14992755.892420329</v>
      </c>
      <c r="I12" s="679">
        <f>H12*'[93]Basic Calculation'!$B$5*1/12</f>
        <v>99951.705949468873</v>
      </c>
      <c r="J12" s="668">
        <f>'[93]Basic Calculation'!G11</f>
        <v>715500</v>
      </c>
      <c r="K12" s="668">
        <f t="shared" si="3"/>
        <v>14377207.598369798</v>
      </c>
    </row>
    <row r="13" spans="1:16">
      <c r="A13" s="1312">
        <v>2020</v>
      </c>
      <c r="B13" s="675" t="s">
        <v>506</v>
      </c>
      <c r="C13" s="668">
        <f t="shared" si="0"/>
        <v>556975.61523401376</v>
      </c>
      <c r="D13" s="668">
        <f t="shared" si="1"/>
        <v>14202878.188467354</v>
      </c>
      <c r="F13" s="1313">
        <v>2020</v>
      </c>
      <c r="G13" s="515" t="s">
        <v>506</v>
      </c>
      <c r="H13" s="668">
        <f t="shared" si="2"/>
        <v>14377207.598369798</v>
      </c>
      <c r="I13" s="668">
        <f>H13*'[93]Basic Calculation'!$B$5*1/12</f>
        <v>95848.050655798652</v>
      </c>
      <c r="J13" s="668">
        <f>'[93]Basic Calculation'!G12</f>
        <v>715500</v>
      </c>
      <c r="K13" s="668">
        <f t="shared" si="3"/>
        <v>13757555.649025597</v>
      </c>
      <c r="M13" s="673" t="s">
        <v>674</v>
      </c>
      <c r="N13" s="674" t="s">
        <v>675</v>
      </c>
      <c r="O13" s="674" t="s">
        <v>676</v>
      </c>
    </row>
    <row r="14" spans="1:16">
      <c r="A14" s="1312"/>
      <c r="B14" s="675" t="s">
        <v>507</v>
      </c>
      <c r="C14" s="668">
        <f t="shared" si="0"/>
        <v>556975.61523401376</v>
      </c>
      <c r="D14" s="668">
        <f t="shared" si="1"/>
        <v>13645902.57323334</v>
      </c>
      <c r="F14" s="1313"/>
      <c r="G14" s="515" t="s">
        <v>507</v>
      </c>
      <c r="H14" s="668">
        <f t="shared" si="2"/>
        <v>13757555.649025597</v>
      </c>
      <c r="I14" s="668">
        <f>H14*'[93]Basic Calculation'!$B$5*1/12</f>
        <v>91717.037660170638</v>
      </c>
      <c r="J14" s="668">
        <f>'[93]Basic Calculation'!G13</f>
        <v>715500</v>
      </c>
      <c r="K14" s="668">
        <f t="shared" si="3"/>
        <v>13133772.686685767</v>
      </c>
      <c r="M14" s="305" t="s">
        <v>470</v>
      </c>
      <c r="N14" s="514">
        <f>SUM(I31:I33)</f>
        <v>117198.10074862198</v>
      </c>
      <c r="O14" s="305"/>
      <c r="P14" s="42">
        <f>N14/100000</f>
        <v>1.1719810074862198</v>
      </c>
    </row>
    <row r="15" spans="1:16">
      <c r="A15" s="1312"/>
      <c r="B15" s="675" t="s">
        <v>509</v>
      </c>
      <c r="C15" s="668">
        <f t="shared" si="0"/>
        <v>556975.61523401376</v>
      </c>
      <c r="D15" s="680">
        <f t="shared" si="1"/>
        <v>13088926.957999326</v>
      </c>
      <c r="F15" s="1313"/>
      <c r="G15" s="515" t="s">
        <v>509</v>
      </c>
      <c r="H15" s="668">
        <f t="shared" si="2"/>
        <v>13133772.686685767</v>
      </c>
      <c r="I15" s="668">
        <f>H15*'[93]Basic Calculation'!$B$5*1/12</f>
        <v>87558.48457790511</v>
      </c>
      <c r="J15" s="668">
        <f>'[93]Basic Calculation'!G14</f>
        <v>736965</v>
      </c>
      <c r="K15" s="680">
        <f t="shared" si="3"/>
        <v>12484366.171263672</v>
      </c>
      <c r="M15" s="305" t="s">
        <v>677</v>
      </c>
      <c r="N15" s="305"/>
      <c r="O15" s="514">
        <f>N14</f>
        <v>117198.10074862198</v>
      </c>
    </row>
    <row r="16" spans="1:16">
      <c r="A16" s="1312"/>
      <c r="B16" s="675" t="s">
        <v>496</v>
      </c>
      <c r="C16" s="668">
        <f t="shared" si="0"/>
        <v>556975.61523401376</v>
      </c>
      <c r="D16" s="668">
        <f t="shared" si="1"/>
        <v>12531951.342765313</v>
      </c>
      <c r="F16" s="1313"/>
      <c r="G16" s="515" t="s">
        <v>496</v>
      </c>
      <c r="H16" s="668">
        <f t="shared" si="2"/>
        <v>12484366.171263672</v>
      </c>
      <c r="I16" s="668">
        <f>H16*'[93]Basic Calculation'!$B$5*1/12</f>
        <v>83229.10780842448</v>
      </c>
      <c r="J16" s="668">
        <f>'[93]Basic Calculation'!G15</f>
        <v>0</v>
      </c>
      <c r="K16" s="668">
        <f t="shared" si="3"/>
        <v>12567595.279072097</v>
      </c>
      <c r="M16" s="676" t="s">
        <v>678</v>
      </c>
      <c r="N16" s="572"/>
      <c r="O16" s="572"/>
    </row>
    <row r="17" spans="1:18">
      <c r="A17" s="1312"/>
      <c r="B17" s="675" t="s">
        <v>497</v>
      </c>
      <c r="C17" s="668">
        <f t="shared" si="0"/>
        <v>556975.61523401376</v>
      </c>
      <c r="D17" s="668">
        <f t="shared" si="1"/>
        <v>11974975.727531299</v>
      </c>
      <c r="F17" s="1313"/>
      <c r="G17" s="515" t="s">
        <v>497</v>
      </c>
      <c r="H17" s="668">
        <f t="shared" si="2"/>
        <v>12567595.279072097</v>
      </c>
      <c r="I17" s="668">
        <f>H17*'[93]Basic Calculation'!$B$5*1/12</f>
        <v>83783.968527147314</v>
      </c>
      <c r="J17" s="668">
        <f>'[93]Basic Calculation'!G16</f>
        <v>0</v>
      </c>
      <c r="K17" s="668">
        <f t="shared" si="3"/>
        <v>12651379.247599244</v>
      </c>
      <c r="M17" s="305" t="s">
        <v>167</v>
      </c>
      <c r="N17" s="514">
        <f>SUM(C31:C33)</f>
        <v>1670926.8457020414</v>
      </c>
      <c r="O17" s="305"/>
      <c r="P17" s="42">
        <f>N17/100000</f>
        <v>16.709268457020414</v>
      </c>
      <c r="Q17">
        <v>16.5</v>
      </c>
      <c r="R17" s="42">
        <f>P17-Q17</f>
        <v>0.20926845702041419</v>
      </c>
    </row>
    <row r="18" spans="1:18">
      <c r="A18" s="1312"/>
      <c r="B18" s="675" t="s">
        <v>498</v>
      </c>
      <c r="C18" s="668">
        <f t="shared" si="0"/>
        <v>556975.61523401376</v>
      </c>
      <c r="D18" s="668">
        <f t="shared" si="1"/>
        <v>11418000.112297285</v>
      </c>
      <c r="F18" s="1313"/>
      <c r="G18" s="515" t="s">
        <v>498</v>
      </c>
      <c r="H18" s="668">
        <f t="shared" si="2"/>
        <v>12651379.247599244</v>
      </c>
      <c r="I18" s="668">
        <f>H18*'[93]Basic Calculation'!$B$5*1/12</f>
        <v>84342.528317328295</v>
      </c>
      <c r="J18" s="668">
        <f>'[93]Basic Calculation'!G17</f>
        <v>0</v>
      </c>
      <c r="K18" s="668">
        <f t="shared" si="3"/>
        <v>12735721.775916573</v>
      </c>
      <c r="M18" s="305" t="s">
        <v>680</v>
      </c>
      <c r="N18" s="305"/>
      <c r="O18" s="514">
        <f>N17</f>
        <v>1670926.8457020414</v>
      </c>
    </row>
    <row r="19" spans="1:18">
      <c r="A19" s="1312"/>
      <c r="B19" s="675" t="s">
        <v>499</v>
      </c>
      <c r="C19" s="668">
        <f t="shared" si="0"/>
        <v>556975.61523401376</v>
      </c>
      <c r="D19" s="668">
        <f t="shared" si="1"/>
        <v>10861024.497063272</v>
      </c>
      <c r="F19" s="1313"/>
      <c r="G19" s="515" t="s">
        <v>499</v>
      </c>
      <c r="H19" s="668">
        <f t="shared" si="2"/>
        <v>12735721.775916573</v>
      </c>
      <c r="I19" s="668">
        <f>H19*'[93]Basic Calculation'!$B$5*1/12</f>
        <v>84904.811839443821</v>
      </c>
      <c r="J19" s="668">
        <f>'[93]Basic Calculation'!G18</f>
        <v>0</v>
      </c>
      <c r="K19" s="668">
        <f t="shared" si="3"/>
        <v>12820626.587756017</v>
      </c>
      <c r="M19" s="676" t="s">
        <v>681</v>
      </c>
      <c r="N19" s="305"/>
      <c r="O19" s="305"/>
    </row>
    <row r="20" spans="1:18">
      <c r="A20" s="1312"/>
      <c r="B20" s="675" t="s">
        <v>500</v>
      </c>
      <c r="C20" s="668">
        <f t="shared" si="0"/>
        <v>556975.61523401376</v>
      </c>
      <c r="D20" s="668">
        <f t="shared" si="1"/>
        <v>10304048.881829258</v>
      </c>
      <c r="F20" s="1313"/>
      <c r="G20" s="515" t="s">
        <v>500</v>
      </c>
      <c r="H20" s="668">
        <f t="shared" si="2"/>
        <v>12820626.587756017</v>
      </c>
      <c r="I20" s="668">
        <f>H20*'[93]Basic Calculation'!$B$5*1/12</f>
        <v>85470.843918373444</v>
      </c>
      <c r="J20" s="668">
        <f>'[93]Basic Calculation'!G19</f>
        <v>0</v>
      </c>
      <c r="K20" s="668">
        <f t="shared" si="3"/>
        <v>12906097.431674391</v>
      </c>
      <c r="M20" s="305" t="s">
        <v>65</v>
      </c>
      <c r="N20" s="514">
        <f>SUM(J31:J33)</f>
        <v>2411807.4000000004</v>
      </c>
      <c r="O20" s="305"/>
      <c r="P20" s="42">
        <f>N20/100000</f>
        <v>24.118074000000004</v>
      </c>
    </row>
    <row r="21" spans="1:18">
      <c r="A21" s="1312"/>
      <c r="B21" s="675" t="s">
        <v>501</v>
      </c>
      <c r="C21" s="668">
        <f t="shared" si="0"/>
        <v>556975.61523401376</v>
      </c>
      <c r="D21" s="668">
        <f t="shared" si="1"/>
        <v>9747073.2665952444</v>
      </c>
      <c r="F21" s="1313"/>
      <c r="G21" s="515" t="s">
        <v>501</v>
      </c>
      <c r="H21" s="668">
        <f t="shared" si="2"/>
        <v>12906097.431674391</v>
      </c>
      <c r="I21" s="668">
        <f>H21*'[93]Basic Calculation'!$B$5*1/12</f>
        <v>86040.649544495944</v>
      </c>
      <c r="J21" s="668">
        <f>'[93]Basic Calculation'!G20</f>
        <v>0</v>
      </c>
      <c r="K21" s="668">
        <f t="shared" si="3"/>
        <v>12992138.081218887</v>
      </c>
      <c r="M21" s="305" t="s">
        <v>682</v>
      </c>
      <c r="N21" s="305"/>
      <c r="O21" s="514">
        <f>N20</f>
        <v>2411807.4000000004</v>
      </c>
    </row>
    <row r="22" spans="1:18">
      <c r="A22" s="1312"/>
      <c r="B22" s="675" t="s">
        <v>502</v>
      </c>
      <c r="C22" s="668">
        <f t="shared" si="0"/>
        <v>556975.61523401376</v>
      </c>
      <c r="D22" s="668">
        <f t="shared" si="1"/>
        <v>9190097.6513612308</v>
      </c>
      <c r="F22" s="1313"/>
      <c r="G22" s="515" t="s">
        <v>502</v>
      </c>
      <c r="H22" s="668">
        <f t="shared" si="2"/>
        <v>12992138.081218887</v>
      </c>
      <c r="I22" s="668">
        <f>H22*'[93]Basic Calculation'!$B$5*1/12</f>
        <v>86614.253874792586</v>
      </c>
      <c r="J22" s="668">
        <f>'[93]Basic Calculation'!G21</f>
        <v>758430</v>
      </c>
      <c r="K22" s="668">
        <f t="shared" si="3"/>
        <v>12320322.335093679</v>
      </c>
      <c r="L22" s="117"/>
      <c r="M22" s="676" t="s">
        <v>683</v>
      </c>
      <c r="N22" s="305"/>
      <c r="O22" s="305"/>
    </row>
    <row r="23" spans="1:18">
      <c r="A23" s="1312"/>
      <c r="B23" s="675" t="s">
        <v>503</v>
      </c>
      <c r="C23" s="668">
        <f t="shared" si="0"/>
        <v>556975.61523401376</v>
      </c>
      <c r="D23" s="668">
        <f t="shared" si="1"/>
        <v>8633122.0361272171</v>
      </c>
      <c r="F23" s="1313"/>
      <c r="G23" s="515" t="s">
        <v>503</v>
      </c>
      <c r="H23" s="668">
        <f t="shared" si="2"/>
        <v>12320322.335093679</v>
      </c>
      <c r="I23" s="668">
        <f>H23*'[93]Basic Calculation'!$B$5*1/12</f>
        <v>82135.482233957868</v>
      </c>
      <c r="J23" s="668">
        <f>'[93]Basic Calculation'!G22</f>
        <v>758430</v>
      </c>
      <c r="K23" s="668">
        <f t="shared" si="3"/>
        <v>11644027.817327637</v>
      </c>
      <c r="M23" s="305" t="s">
        <v>684</v>
      </c>
      <c r="N23" s="514">
        <f>N20</f>
        <v>2411807.4000000004</v>
      </c>
      <c r="O23" s="305"/>
      <c r="P23" s="42">
        <f>N23/100000</f>
        <v>24.118074000000004</v>
      </c>
    </row>
    <row r="24" spans="1:18">
      <c r="A24" s="1312"/>
      <c r="B24" s="675" t="s">
        <v>504</v>
      </c>
      <c r="C24" s="668">
        <f t="shared" si="0"/>
        <v>556975.61523401376</v>
      </c>
      <c r="D24" s="680">
        <f t="shared" si="1"/>
        <v>8076146.4208932035</v>
      </c>
      <c r="F24" s="1313"/>
      <c r="G24" s="515" t="s">
        <v>504</v>
      </c>
      <c r="H24" s="668">
        <f t="shared" si="2"/>
        <v>11644027.817327637</v>
      </c>
      <c r="I24" s="668">
        <f>H24*'[93]Basic Calculation'!$B$5*1/12</f>
        <v>77626.852115517584</v>
      </c>
      <c r="J24" s="668">
        <f>'[93]Basic Calculation'!G23</f>
        <v>758430</v>
      </c>
      <c r="K24" s="680">
        <f t="shared" si="3"/>
        <v>10963224.669443155</v>
      </c>
      <c r="M24" s="305" t="s">
        <v>686</v>
      </c>
      <c r="N24" s="514"/>
      <c r="O24" s="514">
        <f>N23</f>
        <v>2411807.4000000004</v>
      </c>
      <c r="Q24" s="42"/>
    </row>
    <row r="25" spans="1:18">
      <c r="A25" s="1305">
        <v>2021</v>
      </c>
      <c r="B25" s="677" t="s">
        <v>506</v>
      </c>
      <c r="C25" s="668">
        <f t="shared" si="0"/>
        <v>556975.61523401376</v>
      </c>
      <c r="D25" s="668">
        <f t="shared" si="1"/>
        <v>7519170.8056591898</v>
      </c>
      <c r="F25" s="1305">
        <v>2021</v>
      </c>
      <c r="G25" s="677" t="s">
        <v>506</v>
      </c>
      <c r="H25" s="668">
        <f t="shared" si="2"/>
        <v>10963224.669443155</v>
      </c>
      <c r="I25" s="668">
        <f>H25*'[93]Basic Calculation'!$B$5*1/12</f>
        <v>73088.164462954373</v>
      </c>
      <c r="J25" s="668">
        <f>'[93]Basic Calculation'!G24</f>
        <v>758430</v>
      </c>
      <c r="K25" s="668">
        <f t="shared" si="3"/>
        <v>10277882.833906109</v>
      </c>
      <c r="M25" s="676" t="s">
        <v>688</v>
      </c>
      <c r="N25" s="305"/>
      <c r="O25" s="668"/>
    </row>
    <row r="26" spans="1:18">
      <c r="A26" s="1306"/>
      <c r="B26" s="677" t="s">
        <v>507</v>
      </c>
      <c r="C26" s="668">
        <f t="shared" si="0"/>
        <v>556975.61523401376</v>
      </c>
      <c r="D26" s="668">
        <f t="shared" si="1"/>
        <v>6962195.1904251762</v>
      </c>
      <c r="F26" s="1306"/>
      <c r="G26" s="677" t="s">
        <v>507</v>
      </c>
      <c r="H26" s="668">
        <f t="shared" si="2"/>
        <v>10277882.833906109</v>
      </c>
      <c r="I26" s="668">
        <f>H26*'[93]Basic Calculation'!$B$5*1/12</f>
        <v>68519.218892707388</v>
      </c>
      <c r="J26" s="668">
        <f>'[93]Basic Calculation'!G25</f>
        <v>758430</v>
      </c>
      <c r="K26" s="668">
        <f t="shared" si="3"/>
        <v>9587972.0527988151</v>
      </c>
      <c r="O26" s="117"/>
    </row>
    <row r="27" spans="1:18">
      <c r="A27" s="1306"/>
      <c r="B27" s="677" t="s">
        <v>509</v>
      </c>
      <c r="C27" s="668">
        <f t="shared" si="0"/>
        <v>556975.61523401376</v>
      </c>
      <c r="D27" s="680">
        <f t="shared" si="1"/>
        <v>6405219.5751911625</v>
      </c>
      <c r="F27" s="1306"/>
      <c r="G27" s="677" t="s">
        <v>509</v>
      </c>
      <c r="H27" s="668">
        <f t="shared" si="2"/>
        <v>9587972.0527988151</v>
      </c>
      <c r="I27" s="668">
        <f>H27*'[93]Basic Calculation'!$B$5*1/12</f>
        <v>63919.813685325433</v>
      </c>
      <c r="J27" s="668">
        <f>'[93]Basic Calculation'!G26</f>
        <v>781182.9</v>
      </c>
      <c r="K27" s="681">
        <f t="shared" si="3"/>
        <v>8870708.9664841406</v>
      </c>
      <c r="M27" s="82"/>
      <c r="P27" s="42"/>
    </row>
    <row r="28" spans="1:18">
      <c r="A28" s="1306"/>
      <c r="B28" s="677" t="s">
        <v>496</v>
      </c>
      <c r="C28" s="668">
        <f t="shared" si="0"/>
        <v>556975.61523401376</v>
      </c>
      <c r="D28" s="668">
        <f t="shared" si="1"/>
        <v>5848243.9599571489</v>
      </c>
      <c r="F28" s="1306"/>
      <c r="G28" s="677" t="s">
        <v>496</v>
      </c>
      <c r="H28" s="668">
        <f t="shared" si="2"/>
        <v>8870708.9664841406</v>
      </c>
      <c r="I28" s="668">
        <f>H28*'[93]Basic Calculation'!$B$5*1/12</f>
        <v>59138.059776560935</v>
      </c>
      <c r="J28" s="668">
        <f>'[93]Basic Calculation'!G27</f>
        <v>803935.8</v>
      </c>
      <c r="K28" s="668">
        <f t="shared" si="3"/>
        <v>8125911.2262607021</v>
      </c>
    </row>
    <row r="29" spans="1:18">
      <c r="A29" s="1306"/>
      <c r="B29" s="677" t="s">
        <v>497</v>
      </c>
      <c r="C29" s="668">
        <f t="shared" si="0"/>
        <v>556975.61523401376</v>
      </c>
      <c r="D29" s="668">
        <f t="shared" si="1"/>
        <v>5291268.3447231352</v>
      </c>
      <c r="F29" s="1306"/>
      <c r="G29" s="677" t="s">
        <v>497</v>
      </c>
      <c r="H29" s="668">
        <f t="shared" si="2"/>
        <v>8125911.2262607021</v>
      </c>
      <c r="I29" s="668">
        <f>H29*'[93]Basic Calculation'!$B$5*1/12</f>
        <v>54172.741508404688</v>
      </c>
      <c r="J29" s="668">
        <f>'[93]Basic Calculation'!G28</f>
        <v>803935.8</v>
      </c>
      <c r="K29" s="668">
        <f t="shared" si="3"/>
        <v>7376148.167769107</v>
      </c>
      <c r="L29" s="117"/>
      <c r="M29" s="1141" t="s">
        <v>691</v>
      </c>
      <c r="N29" s="1141"/>
    </row>
    <row r="30" spans="1:18">
      <c r="A30" s="1306"/>
      <c r="B30" s="677" t="s">
        <v>498</v>
      </c>
      <c r="C30" s="668">
        <f t="shared" si="0"/>
        <v>556975.61523401376</v>
      </c>
      <c r="D30" s="668">
        <f t="shared" si="1"/>
        <v>4734292.7294891216</v>
      </c>
      <c r="F30" s="1306"/>
      <c r="G30" s="677" t="s">
        <v>498</v>
      </c>
      <c r="H30" s="668">
        <f t="shared" si="2"/>
        <v>7376148.167769107</v>
      </c>
      <c r="I30" s="668">
        <f>H30*'[93]Basic Calculation'!$B$5*1/12</f>
        <v>49174.321118460713</v>
      </c>
      <c r="J30" s="668">
        <f>'[93]Basic Calculation'!G29</f>
        <v>803935.8</v>
      </c>
      <c r="K30" s="668">
        <f t="shared" si="3"/>
        <v>6621386.6888875682</v>
      </c>
      <c r="L30" s="117">
        <v>2389052.64</v>
      </c>
      <c r="M30" t="s">
        <v>495</v>
      </c>
      <c r="N30" s="117">
        <f>N14</f>
        <v>117198.10074862198</v>
      </c>
      <c r="P30" s="117">
        <f>N30</f>
        <v>117198.10074862198</v>
      </c>
    </row>
    <row r="31" spans="1:18">
      <c r="A31" s="1306"/>
      <c r="B31" s="677" t="s">
        <v>499</v>
      </c>
      <c r="C31" s="668">
        <f t="shared" si="0"/>
        <v>556975.61523401376</v>
      </c>
      <c r="D31" s="668">
        <f t="shared" si="1"/>
        <v>4177317.1142551079</v>
      </c>
      <c r="F31" s="1306"/>
      <c r="G31" s="677" t="s">
        <v>499</v>
      </c>
      <c r="H31" s="668">
        <f t="shared" si="2"/>
        <v>6621386.6888875682</v>
      </c>
      <c r="I31" s="668">
        <f>H31*'[93]Basic Calculation'!$B$5*1/12</f>
        <v>44142.577925917118</v>
      </c>
      <c r="J31" s="668">
        <f>'[93]Basic Calculation'!G30</f>
        <v>803935.8</v>
      </c>
      <c r="K31" s="668">
        <f t="shared" si="3"/>
        <v>5861593.4668134851</v>
      </c>
      <c r="L31" s="117">
        <f>SUM(J28:J30)</f>
        <v>2411807.4000000004</v>
      </c>
      <c r="M31" t="s">
        <v>508</v>
      </c>
      <c r="N31" s="117">
        <f>N17</f>
        <v>1670926.8457020414</v>
      </c>
      <c r="P31" s="117">
        <f>N31-1650000</f>
        <v>20926.845702041406</v>
      </c>
    </row>
    <row r="32" spans="1:18">
      <c r="A32" s="1306"/>
      <c r="B32" s="677" t="s">
        <v>500</v>
      </c>
      <c r="C32" s="668">
        <f t="shared" si="0"/>
        <v>556975.61523401376</v>
      </c>
      <c r="D32" s="668">
        <f t="shared" si="1"/>
        <v>3620341.4990210943</v>
      </c>
      <c r="F32" s="1306"/>
      <c r="G32" s="677" t="s">
        <v>500</v>
      </c>
      <c r="H32" s="668">
        <f t="shared" si="2"/>
        <v>5861593.4668134851</v>
      </c>
      <c r="I32" s="668">
        <f>H32*'[93]Basic Calculation'!$B$5*1/12</f>
        <v>39077.289778756567</v>
      </c>
      <c r="J32" s="668">
        <f>'[93]Basic Calculation'!G31</f>
        <v>803935.8</v>
      </c>
      <c r="K32" s="668">
        <f t="shared" si="3"/>
        <v>5096734.9565922422</v>
      </c>
      <c r="L32" s="117">
        <f>L31-L30</f>
        <v>22754.760000000242</v>
      </c>
      <c r="M32" t="s">
        <v>510</v>
      </c>
      <c r="N32" s="117">
        <f>-O24</f>
        <v>-2411807.4000000004</v>
      </c>
      <c r="P32" s="117">
        <f>N32</f>
        <v>-2411807.4000000004</v>
      </c>
    </row>
    <row r="33" spans="1:16">
      <c r="A33" s="1306"/>
      <c r="B33" s="677" t="s">
        <v>501</v>
      </c>
      <c r="C33" s="668">
        <f t="shared" si="0"/>
        <v>556975.61523401376</v>
      </c>
      <c r="D33" s="668">
        <f t="shared" si="1"/>
        <v>3063365.8837870806</v>
      </c>
      <c r="F33" s="1306"/>
      <c r="G33" s="677" t="s">
        <v>501</v>
      </c>
      <c r="H33" s="668">
        <f t="shared" si="2"/>
        <v>5096734.9565922422</v>
      </c>
      <c r="I33" s="668">
        <f>H33*'[93]Basic Calculation'!$B$5*1/12</f>
        <v>33978.233043948283</v>
      </c>
      <c r="J33" s="668">
        <f>'[93]Basic Calculation'!G32</f>
        <v>803935.8</v>
      </c>
      <c r="K33" s="668">
        <f t="shared" si="3"/>
        <v>4326777.3896361906</v>
      </c>
      <c r="M33" t="s">
        <v>694</v>
      </c>
      <c r="N33" s="117">
        <f>SUM(N30:N32)</f>
        <v>-623682.45354933711</v>
      </c>
      <c r="O33" s="516">
        <f>N33/100000</f>
        <v>-6.2368245354933709</v>
      </c>
      <c r="P33" s="117">
        <f>SUM(P30:P32)</f>
        <v>-2273682.4535493371</v>
      </c>
    </row>
    <row r="34" spans="1:16">
      <c r="A34" s="1306"/>
      <c r="B34" s="677" t="s">
        <v>502</v>
      </c>
      <c r="C34" s="668">
        <f t="shared" si="0"/>
        <v>556975.61523401376</v>
      </c>
      <c r="D34" s="668">
        <f t="shared" si="1"/>
        <v>2506390.268553067</v>
      </c>
      <c r="F34" s="1306"/>
      <c r="G34" s="677" t="s">
        <v>502</v>
      </c>
      <c r="H34" s="668">
        <f t="shared" si="2"/>
        <v>4326777.3896361906</v>
      </c>
      <c r="I34" s="668">
        <f>H34*'[93]Basic Calculation'!$B$5*1/12</f>
        <v>28845.182597574603</v>
      </c>
      <c r="J34" s="668">
        <f>'[93]Basic Calculation'!G33</f>
        <v>803935.8</v>
      </c>
      <c r="K34" s="668">
        <f t="shared" si="3"/>
        <v>3551686.7722337656</v>
      </c>
      <c r="N34" s="117"/>
    </row>
    <row r="35" spans="1:16">
      <c r="A35" s="1306"/>
      <c r="B35" s="677" t="s">
        <v>503</v>
      </c>
      <c r="C35" s="668">
        <f t="shared" si="0"/>
        <v>556975.61523401376</v>
      </c>
      <c r="D35" s="668">
        <f t="shared" si="1"/>
        <v>1949414.6533190534</v>
      </c>
      <c r="F35" s="1306"/>
      <c r="G35" s="677" t="s">
        <v>503</v>
      </c>
      <c r="H35" s="668">
        <f t="shared" si="2"/>
        <v>3551686.7722337656</v>
      </c>
      <c r="I35" s="668">
        <f>H35*'[93]Basic Calculation'!$B$5*1/12</f>
        <v>23677.911814891773</v>
      </c>
      <c r="J35" s="668">
        <f>'[93]Basic Calculation'!G34</f>
        <v>803935.8</v>
      </c>
      <c r="K35" s="668">
        <f t="shared" si="3"/>
        <v>2771428.8840486575</v>
      </c>
      <c r="M35" t="s">
        <v>695</v>
      </c>
      <c r="N35" s="117">
        <f>D33</f>
        <v>3063365.8837870806</v>
      </c>
    </row>
    <row r="36" spans="1:16">
      <c r="A36" s="1307"/>
      <c r="B36" s="677" t="s">
        <v>504</v>
      </c>
      <c r="C36" s="668">
        <f t="shared" si="0"/>
        <v>556975.61523401376</v>
      </c>
      <c r="D36" s="668">
        <f t="shared" si="1"/>
        <v>1392439.0380850397</v>
      </c>
      <c r="F36" s="1307"/>
      <c r="G36" s="677" t="s">
        <v>504</v>
      </c>
      <c r="H36" s="668">
        <f t="shared" si="2"/>
        <v>2771428.8840486575</v>
      </c>
      <c r="I36" s="668">
        <f>H36*'[93]Basic Calculation'!$B$5*1/12</f>
        <v>18476.192560324384</v>
      </c>
      <c r="J36" s="668">
        <f>'[93]Basic Calculation'!G35</f>
        <v>803935.8</v>
      </c>
      <c r="K36" s="668">
        <f t="shared" si="3"/>
        <v>1985969.2766089819</v>
      </c>
      <c r="M36" t="s">
        <v>696</v>
      </c>
      <c r="N36" s="117">
        <f>K33</f>
        <v>4326777.3896361906</v>
      </c>
    </row>
    <row r="37" spans="1:16">
      <c r="A37" s="1314">
        <v>2022</v>
      </c>
      <c r="B37" s="682" t="s">
        <v>506</v>
      </c>
      <c r="C37" s="668">
        <f t="shared" si="0"/>
        <v>556975.61523401376</v>
      </c>
      <c r="D37" s="668">
        <f t="shared" si="1"/>
        <v>835463.42285102594</v>
      </c>
      <c r="F37" s="1314">
        <v>2022</v>
      </c>
      <c r="G37" s="682" t="s">
        <v>506</v>
      </c>
      <c r="H37" s="668">
        <f t="shared" si="2"/>
        <v>1985969.2766089819</v>
      </c>
      <c r="I37" s="668">
        <f>H37*'[93]Basic Calculation'!$B$5*1/12</f>
        <v>13239.795177393213</v>
      </c>
      <c r="J37" s="668">
        <f>'[93]Basic Calculation'!G36</f>
        <v>803935.8</v>
      </c>
      <c r="K37" s="668">
        <f t="shared" si="3"/>
        <v>1195273.271786375</v>
      </c>
    </row>
    <row r="38" spans="1:16">
      <c r="A38" s="1315"/>
      <c r="B38" s="682" t="s">
        <v>507</v>
      </c>
      <c r="C38" s="668">
        <f t="shared" si="0"/>
        <v>556975.61523401376</v>
      </c>
      <c r="D38" s="668">
        <f t="shared" si="1"/>
        <v>278487.80761701218</v>
      </c>
      <c r="F38" s="1315"/>
      <c r="G38" s="682" t="s">
        <v>507</v>
      </c>
      <c r="H38" s="668">
        <f t="shared" si="2"/>
        <v>1195273.271786375</v>
      </c>
      <c r="I38" s="668">
        <f>H38*'[93]Basic Calculation'!$B$5*1/12</f>
        <v>7968.4884785758331</v>
      </c>
      <c r="J38" s="668">
        <f>'[93]Basic Calculation'!G37</f>
        <v>803935.8</v>
      </c>
      <c r="K38" s="668">
        <f t="shared" si="3"/>
        <v>399305.96026495076</v>
      </c>
    </row>
    <row r="39" spans="1:16">
      <c r="A39" s="1316"/>
      <c r="B39" s="682" t="s">
        <v>509</v>
      </c>
      <c r="C39" s="668">
        <f>D38</f>
        <v>278487.80761701218</v>
      </c>
      <c r="D39" s="668">
        <f t="shared" si="1"/>
        <v>0</v>
      </c>
      <c r="F39" s="1316"/>
      <c r="G39" s="682" t="s">
        <v>509</v>
      </c>
      <c r="H39" s="668">
        <f t="shared" si="2"/>
        <v>399305.96026495076</v>
      </c>
      <c r="I39" s="668">
        <f>H39*'[93]Basic Calculation'!$B$5*1/12</f>
        <v>2662.0397350996718</v>
      </c>
      <c r="J39" s="668">
        <f>'[93]Basic Calculation'!G38</f>
        <v>401968</v>
      </c>
      <c r="K39" s="668">
        <f t="shared" si="3"/>
        <v>5.0407834351062775E-8</v>
      </c>
    </row>
  </sheetData>
  <mergeCells count="11">
    <mergeCell ref="A25:A36"/>
    <mergeCell ref="F25:F36"/>
    <mergeCell ref="M29:N29"/>
    <mergeCell ref="A37:A39"/>
    <mergeCell ref="F37:F39"/>
    <mergeCell ref="A1:D1"/>
    <mergeCell ref="F1:K1"/>
    <mergeCell ref="A4:A12"/>
    <mergeCell ref="F4:F12"/>
    <mergeCell ref="A13:A24"/>
    <mergeCell ref="F13:F2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211"/>
  <sheetViews>
    <sheetView topLeftCell="A3" zoomScaleNormal="100" workbookViewId="0">
      <pane xSplit="1" ySplit="4" topLeftCell="B154" activePane="bottomRight" state="frozen"/>
      <selection activeCell="A3" sqref="A3"/>
      <selection pane="topRight" activeCell="B3" sqref="B3"/>
      <selection pane="bottomLeft" activeCell="A7" sqref="A7"/>
      <selection pane="bottomRight" activeCell="D164" sqref="D164"/>
    </sheetView>
  </sheetViews>
  <sheetFormatPr defaultColWidth="9.1796875" defaultRowHeight="14.5"/>
  <cols>
    <col min="1" max="1" width="50.1796875" bestFit="1" customWidth="1"/>
    <col min="2" max="2" width="50.1796875" customWidth="1"/>
    <col min="3" max="3" width="16.453125" bestFit="1" customWidth="1"/>
    <col min="4" max="4" width="15.1796875" bestFit="1" customWidth="1"/>
    <col min="5" max="5" width="15.54296875" bestFit="1" customWidth="1"/>
    <col min="6" max="6" width="15.54296875" customWidth="1"/>
    <col min="7" max="7" width="16.54296875" bestFit="1" customWidth="1"/>
    <col min="8" max="8" width="15.453125" bestFit="1" customWidth="1"/>
    <col min="9" max="10" width="15.1796875" bestFit="1" customWidth="1"/>
    <col min="11" max="11" width="16.453125" bestFit="1" customWidth="1"/>
    <col min="12" max="12" width="13.81640625" bestFit="1" customWidth="1"/>
    <col min="13" max="14" width="11.453125" bestFit="1" customWidth="1"/>
    <col min="15" max="15" width="13.81640625" bestFit="1" customWidth="1"/>
    <col min="16" max="16" width="16.453125" bestFit="1" customWidth="1"/>
    <col min="17" max="18" width="15.1796875" bestFit="1" customWidth="1"/>
    <col min="19" max="19" width="16.453125" bestFit="1" customWidth="1"/>
    <col min="20" max="20" width="15.81640625" bestFit="1" customWidth="1"/>
    <col min="21" max="22" width="13.54296875" bestFit="1" customWidth="1"/>
    <col min="23" max="23" width="15.81640625" bestFit="1" customWidth="1"/>
    <col min="24" max="24" width="15.453125" bestFit="1" customWidth="1"/>
    <col min="25" max="26" width="14.1796875" bestFit="1" customWidth="1"/>
    <col min="27" max="27" width="15.453125" bestFit="1" customWidth="1"/>
  </cols>
  <sheetData>
    <row r="1" spans="1:27" ht="15.5">
      <c r="A1" s="1173" t="s">
        <v>323</v>
      </c>
      <c r="B1" s="1173"/>
      <c r="C1" s="1173"/>
      <c r="D1" s="1173"/>
      <c r="E1" s="306"/>
      <c r="F1" s="306"/>
      <c r="G1" s="306"/>
      <c r="H1" s="306"/>
      <c r="I1" s="306"/>
      <c r="J1" s="306"/>
      <c r="K1" s="306"/>
      <c r="L1" s="306"/>
      <c r="M1" s="306"/>
      <c r="N1" s="306"/>
      <c r="O1" s="306"/>
      <c r="P1" s="306"/>
      <c r="Q1" s="306"/>
      <c r="R1" s="306"/>
      <c r="S1" s="306"/>
      <c r="T1" s="306"/>
      <c r="U1" s="306"/>
      <c r="V1" s="306"/>
      <c r="W1" s="306"/>
      <c r="X1" s="306"/>
      <c r="Y1" s="306"/>
      <c r="Z1" s="306"/>
      <c r="AA1" s="306"/>
    </row>
    <row r="2" spans="1:27">
      <c r="A2" s="1174" t="s">
        <v>576</v>
      </c>
      <c r="B2" s="1174"/>
      <c r="C2" s="1174"/>
      <c r="D2" s="1174"/>
      <c r="E2" s="306"/>
      <c r="F2" s="306"/>
      <c r="G2" s="306"/>
      <c r="H2" s="306"/>
      <c r="I2" s="306"/>
      <c r="J2" s="306"/>
      <c r="K2" s="306"/>
      <c r="L2" s="306"/>
      <c r="M2" s="306"/>
      <c r="N2" s="306"/>
      <c r="O2" s="306"/>
      <c r="P2" s="306"/>
      <c r="Q2" s="306"/>
      <c r="R2" s="306"/>
      <c r="S2" s="306"/>
      <c r="T2" s="306"/>
      <c r="U2" s="306"/>
      <c r="V2" s="306"/>
      <c r="W2" s="306"/>
      <c r="X2" s="306"/>
      <c r="Y2" s="306"/>
      <c r="Z2" s="306"/>
      <c r="AA2" s="306"/>
    </row>
    <row r="3" spans="1:27">
      <c r="A3" s="307" t="s">
        <v>325</v>
      </c>
      <c r="B3" s="307"/>
      <c r="C3" s="1212" t="s">
        <v>325</v>
      </c>
      <c r="D3" s="1175"/>
      <c r="E3" s="1175"/>
      <c r="F3" s="1175"/>
      <c r="G3" s="1175"/>
      <c r="H3" s="1212" t="s">
        <v>699</v>
      </c>
      <c r="I3" s="1175"/>
      <c r="J3" s="1175"/>
      <c r="K3" s="1175"/>
      <c r="L3" s="1262" t="s">
        <v>700</v>
      </c>
      <c r="M3" s="1263"/>
      <c r="N3" s="1263"/>
      <c r="O3" s="1263"/>
      <c r="P3" s="1212" t="s">
        <v>701</v>
      </c>
      <c r="Q3" s="1175"/>
      <c r="R3" s="1175"/>
      <c r="S3" s="1175"/>
      <c r="T3" s="1262" t="s">
        <v>702</v>
      </c>
      <c r="U3" s="1263"/>
      <c r="V3" s="1263"/>
      <c r="W3" s="1263"/>
      <c r="X3" s="1212" t="s">
        <v>703</v>
      </c>
      <c r="Y3" s="1175"/>
      <c r="Z3" s="1175"/>
      <c r="AA3" s="1175"/>
    </row>
    <row r="4" spans="1:27">
      <c r="A4" s="308" t="s">
        <v>0</v>
      </c>
      <c r="B4" s="308"/>
      <c r="C4" s="1269" t="s">
        <v>194</v>
      </c>
      <c r="D4" s="1270"/>
      <c r="E4" s="1270"/>
      <c r="F4" s="1270"/>
      <c r="G4" s="1270"/>
      <c r="H4" s="1213" t="s">
        <v>576</v>
      </c>
      <c r="I4" s="1214"/>
      <c r="J4" s="1214"/>
      <c r="K4" s="1214"/>
      <c r="L4" s="1267" t="s">
        <v>576</v>
      </c>
      <c r="M4" s="1268"/>
      <c r="N4" s="1268"/>
      <c r="O4" s="1268"/>
      <c r="P4" s="1213" t="s">
        <v>576</v>
      </c>
      <c r="Q4" s="1214"/>
      <c r="R4" s="1214"/>
      <c r="S4" s="1214"/>
      <c r="T4" s="1267" t="s">
        <v>576</v>
      </c>
      <c r="U4" s="1268"/>
      <c r="V4" s="1268"/>
      <c r="W4" s="1268"/>
      <c r="X4" s="1213" t="s">
        <v>576</v>
      </c>
      <c r="Y4" s="1214"/>
      <c r="Z4" s="1214"/>
      <c r="AA4" s="1214"/>
    </row>
    <row r="5" spans="1:27">
      <c r="A5" s="308" t="s">
        <v>325</v>
      </c>
      <c r="B5" s="308"/>
      <c r="C5" s="582" t="s">
        <v>577</v>
      </c>
      <c r="D5" s="1215" t="s">
        <v>578</v>
      </c>
      <c r="E5" s="1216"/>
      <c r="F5" s="641"/>
      <c r="G5" s="582" t="s">
        <v>579</v>
      </c>
      <c r="H5" s="582" t="s">
        <v>577</v>
      </c>
      <c r="I5" s="1215" t="s">
        <v>578</v>
      </c>
      <c r="J5" s="1216"/>
      <c r="K5" s="582" t="s">
        <v>579</v>
      </c>
      <c r="L5" s="582" t="s">
        <v>577</v>
      </c>
      <c r="M5" s="1215" t="s">
        <v>578</v>
      </c>
      <c r="N5" s="1216"/>
      <c r="O5" s="582" t="s">
        <v>579</v>
      </c>
      <c r="P5" s="582" t="s">
        <v>577</v>
      </c>
      <c r="Q5" s="1215" t="s">
        <v>578</v>
      </c>
      <c r="R5" s="1216"/>
      <c r="S5" s="582" t="s">
        <v>579</v>
      </c>
      <c r="T5" s="582" t="s">
        <v>577</v>
      </c>
      <c r="U5" s="1215" t="s">
        <v>578</v>
      </c>
      <c r="V5" s="1216"/>
      <c r="W5" s="582" t="s">
        <v>579</v>
      </c>
      <c r="X5" s="582" t="s">
        <v>577</v>
      </c>
      <c r="Y5" s="1215" t="s">
        <v>578</v>
      </c>
      <c r="Z5" s="1216"/>
      <c r="AA5" s="582" t="s">
        <v>579</v>
      </c>
    </row>
    <row r="6" spans="1:27">
      <c r="A6" s="309" t="s">
        <v>325</v>
      </c>
      <c r="B6" s="309"/>
      <c r="C6" s="585" t="s">
        <v>580</v>
      </c>
      <c r="D6" s="310" t="s">
        <v>330</v>
      </c>
      <c r="E6" s="310" t="s">
        <v>331</v>
      </c>
      <c r="F6" s="688"/>
      <c r="G6" s="585" t="s">
        <v>580</v>
      </c>
      <c r="H6" s="585" t="s">
        <v>580</v>
      </c>
      <c r="I6" s="310" t="s">
        <v>330</v>
      </c>
      <c r="J6" s="310" t="s">
        <v>331</v>
      </c>
      <c r="K6" s="585" t="s">
        <v>580</v>
      </c>
      <c r="L6" s="585" t="s">
        <v>580</v>
      </c>
      <c r="M6" s="310" t="s">
        <v>330</v>
      </c>
      <c r="N6" s="310" t="s">
        <v>331</v>
      </c>
      <c r="O6" s="585" t="s">
        <v>580</v>
      </c>
      <c r="P6" s="585" t="s">
        <v>580</v>
      </c>
      <c r="Q6" s="310" t="s">
        <v>330</v>
      </c>
      <c r="R6" s="310" t="s">
        <v>331</v>
      </c>
      <c r="S6" s="585" t="s">
        <v>580</v>
      </c>
      <c r="T6" s="585" t="s">
        <v>580</v>
      </c>
      <c r="U6" s="310" t="s">
        <v>330</v>
      </c>
      <c r="V6" s="310" t="s">
        <v>331</v>
      </c>
      <c r="W6" s="585" t="s">
        <v>580</v>
      </c>
      <c r="X6" s="585" t="s">
        <v>580</v>
      </c>
      <c r="Y6" s="310" t="s">
        <v>330</v>
      </c>
      <c r="Z6" s="310" t="s">
        <v>331</v>
      </c>
      <c r="AA6" s="585" t="s">
        <v>580</v>
      </c>
    </row>
    <row r="7" spans="1:27" hidden="1">
      <c r="A7" s="311" t="s">
        <v>332</v>
      </c>
      <c r="B7" s="311"/>
      <c r="C7" s="689">
        <v>30252390.175000001</v>
      </c>
      <c r="D7" s="690"/>
      <c r="E7" s="691">
        <v>2481694.7999999998</v>
      </c>
      <c r="F7" s="691"/>
      <c r="G7" s="692">
        <v>32734084.975000001</v>
      </c>
      <c r="H7" s="312"/>
      <c r="I7" s="611"/>
      <c r="J7" s="611"/>
      <c r="K7" s="596"/>
      <c r="L7" s="314"/>
      <c r="M7" s="690"/>
      <c r="N7" s="690"/>
      <c r="O7" s="693"/>
      <c r="P7" s="694">
        <v>30252390.175000001</v>
      </c>
      <c r="Q7" s="611"/>
      <c r="R7" s="587">
        <v>2481694.7999999998</v>
      </c>
      <c r="S7" s="586">
        <v>32734084.975000001</v>
      </c>
      <c r="T7" s="314"/>
      <c r="U7" s="690"/>
      <c r="V7" s="690"/>
      <c r="W7" s="693"/>
      <c r="X7" s="312"/>
      <c r="Y7" s="611"/>
      <c r="Z7" s="611"/>
      <c r="AA7" s="596"/>
    </row>
    <row r="8" spans="1:27" hidden="1">
      <c r="A8" s="316" t="s">
        <v>333</v>
      </c>
      <c r="B8" s="316"/>
      <c r="C8" s="695">
        <v>10052190.175000001</v>
      </c>
      <c r="D8" s="330"/>
      <c r="E8" s="320">
        <v>2481694.7999999998</v>
      </c>
      <c r="F8" s="320"/>
      <c r="G8" s="696">
        <v>12533884.975</v>
      </c>
      <c r="H8" s="317"/>
      <c r="I8" s="331"/>
      <c r="J8" s="331"/>
      <c r="K8" s="331"/>
      <c r="L8" s="319"/>
      <c r="M8" s="330"/>
      <c r="N8" s="330"/>
      <c r="O8" s="330"/>
      <c r="P8" s="697">
        <v>10052190.175000001</v>
      </c>
      <c r="Q8" s="331"/>
      <c r="R8" s="318">
        <v>2481694.7999999998</v>
      </c>
      <c r="S8" s="698">
        <v>12533884.975</v>
      </c>
      <c r="T8" s="319"/>
      <c r="U8" s="330"/>
      <c r="V8" s="330"/>
      <c r="W8" s="330"/>
      <c r="X8" s="317"/>
      <c r="Y8" s="331"/>
      <c r="Z8" s="331"/>
      <c r="AA8" s="331"/>
    </row>
    <row r="9" spans="1:27" hidden="1">
      <c r="A9" s="321" t="s">
        <v>704</v>
      </c>
      <c r="B9" s="321"/>
      <c r="C9" s="699">
        <v>20200200</v>
      </c>
      <c r="D9" s="338"/>
      <c r="E9" s="338"/>
      <c r="F9" s="338"/>
      <c r="G9" s="588">
        <v>20200200</v>
      </c>
      <c r="H9" s="322"/>
      <c r="I9" s="339"/>
      <c r="J9" s="339"/>
      <c r="K9" s="338"/>
      <c r="L9" s="324"/>
      <c r="M9" s="338"/>
      <c r="N9" s="338"/>
      <c r="O9" s="339"/>
      <c r="P9" s="700">
        <v>20200200</v>
      </c>
      <c r="Q9" s="339"/>
      <c r="R9" s="339"/>
      <c r="S9" s="589">
        <v>20200200</v>
      </c>
      <c r="T9" s="324"/>
      <c r="U9" s="338"/>
      <c r="V9" s="338"/>
      <c r="W9" s="339"/>
      <c r="X9" s="322"/>
      <c r="Y9" s="339"/>
      <c r="Z9" s="339"/>
      <c r="AA9" s="338"/>
    </row>
    <row r="10" spans="1:27" hidden="1">
      <c r="A10" s="311" t="s">
        <v>336</v>
      </c>
      <c r="B10" s="311"/>
      <c r="C10" s="701">
        <v>348243021.86000001</v>
      </c>
      <c r="D10" s="702">
        <v>338973810.36000001</v>
      </c>
      <c r="E10" s="703">
        <v>296036608.17000002</v>
      </c>
      <c r="F10" s="703"/>
      <c r="G10" s="704">
        <v>305305819.67000002</v>
      </c>
      <c r="H10" s="705">
        <v>195082722</v>
      </c>
      <c r="I10" s="706">
        <v>16371750</v>
      </c>
      <c r="J10" s="595"/>
      <c r="K10" s="707">
        <v>178710972</v>
      </c>
      <c r="L10" s="328"/>
      <c r="M10" s="708"/>
      <c r="N10" s="708"/>
      <c r="O10" s="341"/>
      <c r="P10" s="709">
        <v>153160299.86000001</v>
      </c>
      <c r="Q10" s="591">
        <v>322602060.36000001</v>
      </c>
      <c r="R10" s="591">
        <v>296036608.17000002</v>
      </c>
      <c r="S10" s="590">
        <v>126594847.67</v>
      </c>
      <c r="T10" s="328"/>
      <c r="U10" s="708"/>
      <c r="V10" s="708"/>
      <c r="W10" s="341"/>
      <c r="X10" s="326"/>
      <c r="Y10" s="595"/>
      <c r="Z10" s="595"/>
      <c r="AA10" s="340"/>
    </row>
    <row r="11" spans="1:27" hidden="1">
      <c r="A11" s="316" t="s">
        <v>705</v>
      </c>
      <c r="B11" s="316"/>
      <c r="C11" s="695">
        <v>164162807.18000001</v>
      </c>
      <c r="D11" s="320">
        <v>2373787.19</v>
      </c>
      <c r="E11" s="320">
        <v>2300354</v>
      </c>
      <c r="F11" s="320"/>
      <c r="G11" s="696">
        <v>164089373.99000001</v>
      </c>
      <c r="H11" s="317"/>
      <c r="I11" s="331"/>
      <c r="J11" s="331"/>
      <c r="K11" s="331"/>
      <c r="L11" s="319"/>
      <c r="M11" s="330"/>
      <c r="N11" s="330"/>
      <c r="O11" s="330"/>
      <c r="P11" s="697">
        <v>164162807.18000001</v>
      </c>
      <c r="Q11" s="318">
        <v>2373787.19</v>
      </c>
      <c r="R11" s="318">
        <v>2300354</v>
      </c>
      <c r="S11" s="698">
        <v>164089373.99000001</v>
      </c>
      <c r="T11" s="319"/>
      <c r="U11" s="330"/>
      <c r="V11" s="330"/>
      <c r="W11" s="330"/>
      <c r="X11" s="317"/>
      <c r="Y11" s="331"/>
      <c r="Z11" s="331"/>
      <c r="AA11" s="331"/>
    </row>
    <row r="12" spans="1:27" hidden="1">
      <c r="A12" s="316" t="s">
        <v>337</v>
      </c>
      <c r="B12" s="316"/>
      <c r="C12" s="710">
        <v>197067719</v>
      </c>
      <c r="D12" s="711">
        <v>17045904</v>
      </c>
      <c r="E12" s="323">
        <v>98328</v>
      </c>
      <c r="F12" s="323"/>
      <c r="G12" s="712">
        <v>180120143</v>
      </c>
      <c r="H12" s="713">
        <v>195082722</v>
      </c>
      <c r="I12" s="714">
        <v>16371750</v>
      </c>
      <c r="J12" s="339"/>
      <c r="K12" s="715">
        <v>178710972</v>
      </c>
      <c r="L12" s="322"/>
      <c r="M12" s="338"/>
      <c r="N12" s="338"/>
      <c r="O12" s="338"/>
      <c r="P12" s="699">
        <v>1984997</v>
      </c>
      <c r="Q12" s="325">
        <v>674154</v>
      </c>
      <c r="R12" s="325">
        <v>98328</v>
      </c>
      <c r="S12" s="588">
        <v>1409171</v>
      </c>
      <c r="T12" s="322"/>
      <c r="U12" s="338"/>
      <c r="V12" s="338"/>
      <c r="W12" s="338"/>
      <c r="X12" s="324"/>
      <c r="Y12" s="339"/>
      <c r="Z12" s="339"/>
      <c r="AA12" s="339"/>
    </row>
    <row r="13" spans="1:27" hidden="1">
      <c r="A13" s="316" t="s">
        <v>338</v>
      </c>
      <c r="B13" s="316"/>
      <c r="C13" s="716">
        <v>12987504.32</v>
      </c>
      <c r="D13" s="323">
        <v>319554119.17000002</v>
      </c>
      <c r="E13" s="323">
        <v>293637926.17000002</v>
      </c>
      <c r="F13" s="323"/>
      <c r="G13" s="594">
        <v>38903697.32</v>
      </c>
      <c r="H13" s="324"/>
      <c r="I13" s="339"/>
      <c r="J13" s="339"/>
      <c r="K13" s="339"/>
      <c r="L13" s="322"/>
      <c r="M13" s="338"/>
      <c r="N13" s="338"/>
      <c r="O13" s="338"/>
      <c r="P13" s="717">
        <v>12987504.32</v>
      </c>
      <c r="Q13" s="325">
        <v>319554119.17000002</v>
      </c>
      <c r="R13" s="325">
        <v>293637926.17000002</v>
      </c>
      <c r="S13" s="592">
        <v>38903697.32</v>
      </c>
      <c r="T13" s="322"/>
      <c r="U13" s="338"/>
      <c r="V13" s="338"/>
      <c r="W13" s="338"/>
      <c r="X13" s="324"/>
      <c r="Y13" s="339"/>
      <c r="Z13" s="339"/>
      <c r="AA13" s="339"/>
    </row>
    <row r="14" spans="1:27" hidden="1">
      <c r="A14" s="311" t="s">
        <v>339</v>
      </c>
      <c r="B14" s="311"/>
      <c r="C14" s="701">
        <v>619453447.16999996</v>
      </c>
      <c r="D14" s="702">
        <v>4028569242.7199998</v>
      </c>
      <c r="E14" s="702">
        <v>4058933946.77</v>
      </c>
      <c r="F14" s="702"/>
      <c r="G14" s="704">
        <v>649818151.22000003</v>
      </c>
      <c r="H14" s="705">
        <v>542777244.66999996</v>
      </c>
      <c r="I14" s="706">
        <v>3394114992.6799998</v>
      </c>
      <c r="J14" s="706">
        <v>3437077435.9899998</v>
      </c>
      <c r="K14" s="707">
        <v>585739687.98000002</v>
      </c>
      <c r="L14" s="718">
        <v>750466.48</v>
      </c>
      <c r="M14" s="702">
        <v>717313.36</v>
      </c>
      <c r="N14" s="702">
        <v>1421501.36</v>
      </c>
      <c r="O14" s="719">
        <v>46278.48</v>
      </c>
      <c r="P14" s="709">
        <v>16112117.558</v>
      </c>
      <c r="Q14" s="591">
        <v>411914688.898</v>
      </c>
      <c r="R14" s="591">
        <v>429824032.06599998</v>
      </c>
      <c r="S14" s="590">
        <v>34021460.726000004</v>
      </c>
      <c r="T14" s="720">
        <v>30903614.232000001</v>
      </c>
      <c r="U14" s="703">
        <v>90325369.533999994</v>
      </c>
      <c r="V14" s="703">
        <v>58585568.544</v>
      </c>
      <c r="W14" s="721">
        <v>836186.75800000003</v>
      </c>
      <c r="X14" s="709">
        <v>30410937.193999998</v>
      </c>
      <c r="Y14" s="591">
        <v>131496878.24600001</v>
      </c>
      <c r="Z14" s="591">
        <v>132025408.80599999</v>
      </c>
      <c r="AA14" s="590">
        <v>30939467.754000001</v>
      </c>
    </row>
    <row r="15" spans="1:27" hidden="1">
      <c r="A15" s="316" t="s">
        <v>340</v>
      </c>
      <c r="B15" s="316"/>
      <c r="C15" s="722">
        <v>16562562.34</v>
      </c>
      <c r="D15" s="723">
        <v>919633518.95000005</v>
      </c>
      <c r="E15" s="723">
        <v>897968923.87</v>
      </c>
      <c r="F15" s="723"/>
      <c r="G15" s="724">
        <v>38227157.409999996</v>
      </c>
      <c r="H15" s="725">
        <v>10603963.08</v>
      </c>
      <c r="I15" s="726">
        <v>776394608.08000004</v>
      </c>
      <c r="J15" s="726">
        <v>757051456.74000001</v>
      </c>
      <c r="K15" s="727">
        <v>29947114.420000002</v>
      </c>
      <c r="L15" s="722">
        <v>750466.48</v>
      </c>
      <c r="M15" s="723">
        <v>709215.36</v>
      </c>
      <c r="N15" s="723">
        <v>1413403.36</v>
      </c>
      <c r="O15" s="724">
        <v>46278.48</v>
      </c>
      <c r="P15" s="728">
        <v>6424000.2019999996</v>
      </c>
      <c r="Q15" s="318">
        <v>94274522.626000002</v>
      </c>
      <c r="R15" s="318">
        <v>94686167.341999993</v>
      </c>
      <c r="S15" s="729">
        <v>6012355.4859999996</v>
      </c>
      <c r="T15" s="695">
        <v>1283729.774</v>
      </c>
      <c r="U15" s="320">
        <v>16591417.534</v>
      </c>
      <c r="V15" s="320">
        <v>15399632.544</v>
      </c>
      <c r="W15" s="696">
        <v>91944.784</v>
      </c>
      <c r="X15" s="728">
        <v>67862.350000000006</v>
      </c>
      <c r="Y15" s="318">
        <v>31663755.346000001</v>
      </c>
      <c r="Z15" s="318">
        <v>29418263.886</v>
      </c>
      <c r="AA15" s="729">
        <v>2313353.81</v>
      </c>
    </row>
    <row r="16" spans="1:27" hidden="1">
      <c r="A16" s="316" t="s">
        <v>341</v>
      </c>
      <c r="B16" s="316"/>
      <c r="C16" s="710">
        <v>20471575.399999999</v>
      </c>
      <c r="D16" s="711">
        <v>16979434.41</v>
      </c>
      <c r="E16" s="711">
        <v>37978852.240000002</v>
      </c>
      <c r="F16" s="711"/>
      <c r="G16" s="712">
        <v>41470993.229999997</v>
      </c>
      <c r="H16" s="713">
        <v>2123601.4</v>
      </c>
      <c r="I16" s="714">
        <v>14775925.07</v>
      </c>
      <c r="J16" s="714">
        <v>17547380.899999999</v>
      </c>
      <c r="K16" s="715">
        <v>4895057.2300000004</v>
      </c>
      <c r="L16" s="322"/>
      <c r="M16" s="338"/>
      <c r="N16" s="338"/>
      <c r="O16" s="338"/>
      <c r="P16" s="699">
        <v>18347375</v>
      </c>
      <c r="Q16" s="325">
        <v>2008645.82</v>
      </c>
      <c r="R16" s="325">
        <v>20199707.82</v>
      </c>
      <c r="S16" s="588">
        <v>36538437</v>
      </c>
      <c r="T16" s="700">
        <v>599</v>
      </c>
      <c r="U16" s="323">
        <v>97194</v>
      </c>
      <c r="V16" s="323">
        <v>109494</v>
      </c>
      <c r="W16" s="589">
        <v>12899</v>
      </c>
      <c r="X16" s="324"/>
      <c r="Y16" s="325">
        <v>97669.52</v>
      </c>
      <c r="Z16" s="325">
        <v>122269.52</v>
      </c>
      <c r="AA16" s="588">
        <v>24600</v>
      </c>
    </row>
    <row r="17" spans="1:27" hidden="1">
      <c r="A17" s="316" t="s">
        <v>342</v>
      </c>
      <c r="B17" s="316"/>
      <c r="C17" s="710">
        <v>544601821.65999997</v>
      </c>
      <c r="D17" s="711">
        <v>3068172788.6999998</v>
      </c>
      <c r="E17" s="711">
        <v>3102183179.1500001</v>
      </c>
      <c r="F17" s="711"/>
      <c r="G17" s="712">
        <v>578612212.11000001</v>
      </c>
      <c r="H17" s="713">
        <v>480616433.69999999</v>
      </c>
      <c r="I17" s="714">
        <v>2579340340.1700001</v>
      </c>
      <c r="J17" s="714">
        <v>2642160520.3499999</v>
      </c>
      <c r="K17" s="715">
        <v>543436613.88</v>
      </c>
      <c r="L17" s="322"/>
      <c r="M17" s="711">
        <v>8098</v>
      </c>
      <c r="N17" s="711">
        <v>8098</v>
      </c>
      <c r="O17" s="338"/>
      <c r="P17" s="699">
        <v>3887302.96</v>
      </c>
      <c r="Q17" s="325">
        <v>315452139.15200001</v>
      </c>
      <c r="R17" s="325">
        <v>314453243.40399998</v>
      </c>
      <c r="S17" s="588">
        <v>2888407.2119999998</v>
      </c>
      <c r="T17" s="700">
        <v>29619285.458000001</v>
      </c>
      <c r="U17" s="323">
        <v>73636758</v>
      </c>
      <c r="V17" s="323">
        <v>43076442</v>
      </c>
      <c r="W17" s="594">
        <v>941030.54200000002</v>
      </c>
      <c r="X17" s="699">
        <v>30478799.544</v>
      </c>
      <c r="Y17" s="325">
        <v>99735453.379999995</v>
      </c>
      <c r="Z17" s="325">
        <v>102484875.40000001</v>
      </c>
      <c r="AA17" s="588">
        <v>33228221.563999999</v>
      </c>
    </row>
    <row r="18" spans="1:27" hidden="1">
      <c r="A18" s="321" t="s">
        <v>706</v>
      </c>
      <c r="B18" s="321"/>
      <c r="C18" s="717">
        <v>177057.7</v>
      </c>
      <c r="D18" s="338"/>
      <c r="E18" s="323">
        <v>177057.7</v>
      </c>
      <c r="F18" s="323"/>
      <c r="G18" s="339"/>
      <c r="H18" s="322"/>
      <c r="I18" s="339"/>
      <c r="J18" s="339"/>
      <c r="K18" s="338"/>
      <c r="L18" s="324"/>
      <c r="M18" s="338"/>
      <c r="N18" s="338"/>
      <c r="O18" s="339"/>
      <c r="P18" s="716">
        <v>177057.7</v>
      </c>
      <c r="Q18" s="339"/>
      <c r="R18" s="325">
        <v>177057.7</v>
      </c>
      <c r="S18" s="338"/>
      <c r="T18" s="324"/>
      <c r="U18" s="338"/>
      <c r="V18" s="338"/>
      <c r="W18" s="339"/>
      <c r="X18" s="322"/>
      <c r="Y18" s="339"/>
      <c r="Z18" s="339"/>
      <c r="AA18" s="338"/>
    </row>
    <row r="19" spans="1:27" hidden="1">
      <c r="A19" s="321" t="s">
        <v>581</v>
      </c>
      <c r="B19" s="321"/>
      <c r="C19" s="324"/>
      <c r="D19" s="338"/>
      <c r="E19" s="711">
        <v>597279</v>
      </c>
      <c r="F19" s="711"/>
      <c r="G19" s="715">
        <v>597279</v>
      </c>
      <c r="H19" s="322"/>
      <c r="I19" s="339"/>
      <c r="J19" s="714">
        <v>290307</v>
      </c>
      <c r="K19" s="712">
        <v>290307</v>
      </c>
      <c r="L19" s="324"/>
      <c r="M19" s="338"/>
      <c r="N19" s="338"/>
      <c r="O19" s="339"/>
      <c r="P19" s="322"/>
      <c r="Q19" s="339"/>
      <c r="R19" s="325">
        <v>306972</v>
      </c>
      <c r="S19" s="589">
        <v>306972</v>
      </c>
      <c r="T19" s="324"/>
      <c r="U19" s="338"/>
      <c r="V19" s="338"/>
      <c r="W19" s="339"/>
      <c r="X19" s="322"/>
      <c r="Y19" s="339"/>
      <c r="Z19" s="339"/>
      <c r="AA19" s="338"/>
    </row>
    <row r="20" spans="1:27" hidden="1">
      <c r="A20" s="321" t="s">
        <v>707</v>
      </c>
      <c r="B20" s="321"/>
      <c r="C20" s="713">
        <v>883488.36</v>
      </c>
      <c r="D20" s="711">
        <v>883488.36</v>
      </c>
      <c r="E20" s="338"/>
      <c r="F20" s="338"/>
      <c r="G20" s="339"/>
      <c r="H20" s="710">
        <v>883488.36</v>
      </c>
      <c r="I20" s="714">
        <v>883488.36</v>
      </c>
      <c r="J20" s="339"/>
      <c r="K20" s="338"/>
      <c r="L20" s="324"/>
      <c r="M20" s="338"/>
      <c r="N20" s="338"/>
      <c r="O20" s="339"/>
      <c r="P20" s="322"/>
      <c r="Q20" s="339"/>
      <c r="R20" s="339"/>
      <c r="S20" s="338"/>
      <c r="T20" s="324"/>
      <c r="U20" s="338"/>
      <c r="V20" s="338"/>
      <c r="W20" s="339"/>
      <c r="X20" s="322"/>
      <c r="Y20" s="339"/>
      <c r="Z20" s="339"/>
      <c r="AA20" s="338"/>
    </row>
    <row r="21" spans="1:27" hidden="1">
      <c r="A21" s="321" t="s">
        <v>708</v>
      </c>
      <c r="B21" s="321"/>
      <c r="C21" s="713">
        <v>8870709.2899999991</v>
      </c>
      <c r="D21" s="711">
        <v>4823614</v>
      </c>
      <c r="E21" s="711">
        <v>279683</v>
      </c>
      <c r="F21" s="711"/>
      <c r="G21" s="715">
        <v>4326778.29</v>
      </c>
      <c r="H21" s="710">
        <v>8870709.2899999991</v>
      </c>
      <c r="I21" s="714">
        <v>4823614</v>
      </c>
      <c r="J21" s="714">
        <v>279683</v>
      </c>
      <c r="K21" s="712">
        <v>4326778.29</v>
      </c>
      <c r="L21" s="324"/>
      <c r="M21" s="338"/>
      <c r="N21" s="338"/>
      <c r="O21" s="339"/>
      <c r="P21" s="322"/>
      <c r="Q21" s="339"/>
      <c r="R21" s="339"/>
      <c r="S21" s="338"/>
      <c r="T21" s="324"/>
      <c r="U21" s="338"/>
      <c r="V21" s="338"/>
      <c r="W21" s="339"/>
      <c r="X21" s="322"/>
      <c r="Y21" s="339"/>
      <c r="Z21" s="339"/>
      <c r="AA21" s="338"/>
    </row>
    <row r="22" spans="1:27" hidden="1">
      <c r="A22" s="321" t="s">
        <v>709</v>
      </c>
      <c r="B22" s="321"/>
      <c r="C22" s="324"/>
      <c r="D22" s="338"/>
      <c r="E22" s="711">
        <v>627592</v>
      </c>
      <c r="F22" s="711"/>
      <c r="G22" s="715">
        <v>627592</v>
      </c>
      <c r="H22" s="322"/>
      <c r="I22" s="339"/>
      <c r="J22" s="714">
        <v>627592</v>
      </c>
      <c r="K22" s="712">
        <v>627592</v>
      </c>
      <c r="L22" s="324"/>
      <c r="M22" s="338"/>
      <c r="N22" s="338"/>
      <c r="O22" s="339"/>
      <c r="P22" s="322"/>
      <c r="Q22" s="339"/>
      <c r="R22" s="339"/>
      <c r="S22" s="338"/>
      <c r="T22" s="324"/>
      <c r="U22" s="338"/>
      <c r="V22" s="338"/>
      <c r="W22" s="339"/>
      <c r="X22" s="322"/>
      <c r="Y22" s="339"/>
      <c r="Z22" s="339"/>
      <c r="AA22" s="338"/>
    </row>
    <row r="23" spans="1:27" hidden="1">
      <c r="A23" s="321" t="s">
        <v>710</v>
      </c>
      <c r="B23" s="321"/>
      <c r="C23" s="713">
        <v>60886975</v>
      </c>
      <c r="D23" s="711">
        <v>17897900.800000001</v>
      </c>
      <c r="E23" s="711">
        <v>19121379.800000001</v>
      </c>
      <c r="F23" s="711"/>
      <c r="G23" s="715">
        <v>62110454</v>
      </c>
      <c r="H23" s="710">
        <v>60886975</v>
      </c>
      <c r="I23" s="714">
        <v>17897017</v>
      </c>
      <c r="J23" s="714">
        <v>19120496</v>
      </c>
      <c r="K23" s="712">
        <v>62110454</v>
      </c>
      <c r="L23" s="324"/>
      <c r="M23" s="338"/>
      <c r="N23" s="338"/>
      <c r="O23" s="339"/>
      <c r="P23" s="322"/>
      <c r="Q23" s="325">
        <v>883.8</v>
      </c>
      <c r="R23" s="325">
        <v>883.8</v>
      </c>
      <c r="S23" s="338"/>
      <c r="T23" s="324"/>
      <c r="U23" s="338"/>
      <c r="V23" s="338"/>
      <c r="W23" s="339"/>
      <c r="X23" s="322"/>
      <c r="Y23" s="339"/>
      <c r="Z23" s="339"/>
      <c r="AA23" s="338"/>
    </row>
    <row r="24" spans="1:27" hidden="1">
      <c r="A24" s="321" t="s">
        <v>711</v>
      </c>
      <c r="B24" s="321"/>
      <c r="C24" s="699">
        <v>300000</v>
      </c>
      <c r="D24" s="338"/>
      <c r="E24" s="338"/>
      <c r="F24" s="338"/>
      <c r="G24" s="588">
        <v>300000</v>
      </c>
      <c r="H24" s="322"/>
      <c r="I24" s="339"/>
      <c r="J24" s="339"/>
      <c r="K24" s="338"/>
      <c r="L24" s="324"/>
      <c r="M24" s="338"/>
      <c r="N24" s="338"/>
      <c r="O24" s="339"/>
      <c r="P24" s="700">
        <v>300000</v>
      </c>
      <c r="Q24" s="339"/>
      <c r="R24" s="339"/>
      <c r="S24" s="589">
        <v>300000</v>
      </c>
      <c r="T24" s="324"/>
      <c r="U24" s="338"/>
      <c r="V24" s="338"/>
      <c r="W24" s="339"/>
      <c r="X24" s="322"/>
      <c r="Y24" s="339"/>
      <c r="Z24" s="339"/>
      <c r="AA24" s="338"/>
    </row>
    <row r="25" spans="1:27" hidden="1">
      <c r="A25" s="321" t="s">
        <v>712</v>
      </c>
      <c r="B25" s="321"/>
      <c r="C25" s="699">
        <v>178497.5</v>
      </c>
      <c r="D25" s="323">
        <v>178497.5</v>
      </c>
      <c r="E25" s="338"/>
      <c r="F25" s="338"/>
      <c r="G25" s="339"/>
      <c r="H25" s="322"/>
      <c r="I25" s="339"/>
      <c r="J25" s="339"/>
      <c r="K25" s="338"/>
      <c r="L25" s="324"/>
      <c r="M25" s="338"/>
      <c r="N25" s="338"/>
      <c r="O25" s="339"/>
      <c r="P25" s="700">
        <v>178497.5</v>
      </c>
      <c r="Q25" s="325">
        <v>178497.5</v>
      </c>
      <c r="R25" s="339"/>
      <c r="S25" s="338"/>
      <c r="T25" s="324"/>
      <c r="U25" s="338"/>
      <c r="V25" s="338"/>
      <c r="W25" s="339"/>
      <c r="X25" s="322"/>
      <c r="Y25" s="339"/>
      <c r="Z25" s="339"/>
      <c r="AA25" s="338"/>
    </row>
    <row r="26" spans="1:27" hidden="1">
      <c r="A26" s="311" t="s">
        <v>346</v>
      </c>
      <c r="B26" s="311"/>
      <c r="C26" s="718">
        <v>178123945.94</v>
      </c>
      <c r="D26" s="702">
        <v>1624170.64</v>
      </c>
      <c r="E26" s="702">
        <v>10790296.939999999</v>
      </c>
      <c r="F26" s="702"/>
      <c r="G26" s="719">
        <v>168957819.63999999</v>
      </c>
      <c r="H26" s="730">
        <v>165617009.63999999</v>
      </c>
      <c r="I26" s="706">
        <v>1624170.64</v>
      </c>
      <c r="J26" s="706">
        <v>10790296.939999999</v>
      </c>
      <c r="K26" s="731">
        <v>156450883.34</v>
      </c>
      <c r="L26" s="328"/>
      <c r="M26" s="708"/>
      <c r="N26" s="708"/>
      <c r="O26" s="341"/>
      <c r="P26" s="732">
        <v>12489823.82</v>
      </c>
      <c r="Q26" s="595"/>
      <c r="R26" s="595"/>
      <c r="S26" s="593">
        <v>12489823.82</v>
      </c>
      <c r="T26" s="733">
        <v>17112.48</v>
      </c>
      <c r="U26" s="708"/>
      <c r="V26" s="708"/>
      <c r="W26" s="721">
        <v>17112.48</v>
      </c>
      <c r="X26" s="326"/>
      <c r="Y26" s="595"/>
      <c r="Z26" s="595"/>
      <c r="AA26" s="340"/>
    </row>
    <row r="27" spans="1:27" hidden="1">
      <c r="A27" s="316" t="s">
        <v>713</v>
      </c>
      <c r="B27" s="316"/>
      <c r="C27" s="722">
        <v>22398654.890000001</v>
      </c>
      <c r="D27" s="723">
        <v>181217.83</v>
      </c>
      <c r="E27" s="723">
        <v>111158.94</v>
      </c>
      <c r="F27" s="723"/>
      <c r="G27" s="724">
        <v>22468713.780000001</v>
      </c>
      <c r="H27" s="725">
        <v>22398654.890000001</v>
      </c>
      <c r="I27" s="726">
        <v>181217.83</v>
      </c>
      <c r="J27" s="726">
        <v>111158.94</v>
      </c>
      <c r="K27" s="727">
        <v>22468713.780000001</v>
      </c>
      <c r="L27" s="319"/>
      <c r="M27" s="330"/>
      <c r="N27" s="330"/>
      <c r="O27" s="330"/>
      <c r="P27" s="317"/>
      <c r="Q27" s="331"/>
      <c r="R27" s="331"/>
      <c r="S27" s="331"/>
      <c r="T27" s="319"/>
      <c r="U27" s="330"/>
      <c r="V27" s="330"/>
      <c r="W27" s="330"/>
      <c r="X27" s="317"/>
      <c r="Y27" s="331"/>
      <c r="Z27" s="331"/>
      <c r="AA27" s="331"/>
    </row>
    <row r="28" spans="1:27" hidden="1">
      <c r="A28" s="316" t="s">
        <v>349</v>
      </c>
      <c r="B28" s="316"/>
      <c r="C28" s="734">
        <v>739517.43</v>
      </c>
      <c r="D28" s="711">
        <v>34000</v>
      </c>
      <c r="E28" s="338"/>
      <c r="F28" s="338"/>
      <c r="G28" s="735">
        <v>773517.43</v>
      </c>
      <c r="H28" s="736">
        <v>611918.9</v>
      </c>
      <c r="I28" s="714">
        <v>34000</v>
      </c>
      <c r="J28" s="339"/>
      <c r="K28" s="737">
        <v>645918.9</v>
      </c>
      <c r="L28" s="322"/>
      <c r="M28" s="338"/>
      <c r="N28" s="338"/>
      <c r="O28" s="338"/>
      <c r="P28" s="717">
        <v>127598.53</v>
      </c>
      <c r="Q28" s="339"/>
      <c r="R28" s="339"/>
      <c r="S28" s="592">
        <v>127598.53</v>
      </c>
      <c r="T28" s="322"/>
      <c r="U28" s="338"/>
      <c r="V28" s="338"/>
      <c r="W28" s="338"/>
      <c r="X28" s="324"/>
      <c r="Y28" s="339"/>
      <c r="Z28" s="339"/>
      <c r="AA28" s="339"/>
    </row>
    <row r="29" spans="1:27" hidden="1">
      <c r="A29" s="316" t="s">
        <v>714</v>
      </c>
      <c r="B29" s="316"/>
      <c r="C29" s="734">
        <v>2904251.92</v>
      </c>
      <c r="D29" s="338"/>
      <c r="E29" s="338"/>
      <c r="F29" s="338"/>
      <c r="G29" s="735">
        <v>2904251.92</v>
      </c>
      <c r="H29" s="736">
        <v>2904251.92</v>
      </c>
      <c r="I29" s="339"/>
      <c r="J29" s="339"/>
      <c r="K29" s="737">
        <v>2904251.92</v>
      </c>
      <c r="L29" s="322"/>
      <c r="M29" s="338"/>
      <c r="N29" s="338"/>
      <c r="O29" s="338"/>
      <c r="P29" s="324"/>
      <c r="Q29" s="339"/>
      <c r="R29" s="339"/>
      <c r="S29" s="339"/>
      <c r="T29" s="322"/>
      <c r="U29" s="338"/>
      <c r="V29" s="338"/>
      <c r="W29" s="338"/>
      <c r="X29" s="324"/>
      <c r="Y29" s="339"/>
      <c r="Z29" s="339"/>
      <c r="AA29" s="339"/>
    </row>
    <row r="30" spans="1:27" hidden="1">
      <c r="A30" s="316" t="s">
        <v>715</v>
      </c>
      <c r="B30" s="316"/>
      <c r="C30" s="734">
        <v>9699.7000000000007</v>
      </c>
      <c r="D30" s="338"/>
      <c r="E30" s="338"/>
      <c r="F30" s="338"/>
      <c r="G30" s="735">
        <v>9699.7000000000007</v>
      </c>
      <c r="H30" s="736">
        <v>9699.7000000000007</v>
      </c>
      <c r="I30" s="339"/>
      <c r="J30" s="339"/>
      <c r="K30" s="737">
        <v>9699.7000000000007</v>
      </c>
      <c r="L30" s="322"/>
      <c r="M30" s="338"/>
      <c r="N30" s="338"/>
      <c r="O30" s="338"/>
      <c r="P30" s="324"/>
      <c r="Q30" s="339"/>
      <c r="R30" s="339"/>
      <c r="S30" s="339"/>
      <c r="T30" s="322"/>
      <c r="U30" s="338"/>
      <c r="V30" s="338"/>
      <c r="W30" s="338"/>
      <c r="X30" s="324"/>
      <c r="Y30" s="339"/>
      <c r="Z30" s="339"/>
      <c r="AA30" s="339"/>
    </row>
    <row r="31" spans="1:27" hidden="1">
      <c r="A31" s="316" t="s">
        <v>716</v>
      </c>
      <c r="B31" s="316"/>
      <c r="C31" s="734">
        <v>608896.24</v>
      </c>
      <c r="D31" s="338"/>
      <c r="E31" s="338"/>
      <c r="F31" s="338"/>
      <c r="G31" s="735">
        <v>608896.24</v>
      </c>
      <c r="H31" s="736">
        <v>608896.24</v>
      </c>
      <c r="I31" s="339"/>
      <c r="J31" s="339"/>
      <c r="K31" s="737">
        <v>608896.24</v>
      </c>
      <c r="L31" s="322"/>
      <c r="M31" s="338"/>
      <c r="N31" s="338"/>
      <c r="O31" s="338"/>
      <c r="P31" s="324"/>
      <c r="Q31" s="339"/>
      <c r="R31" s="339"/>
      <c r="S31" s="339"/>
      <c r="T31" s="322"/>
      <c r="U31" s="338"/>
      <c r="V31" s="338"/>
      <c r="W31" s="338"/>
      <c r="X31" s="324"/>
      <c r="Y31" s="339"/>
      <c r="Z31" s="339"/>
      <c r="AA31" s="339"/>
    </row>
    <row r="32" spans="1:27" hidden="1">
      <c r="A32" s="316" t="s">
        <v>717</v>
      </c>
      <c r="B32" s="316"/>
      <c r="C32" s="734">
        <v>745230.88</v>
      </c>
      <c r="D32" s="338"/>
      <c r="E32" s="338"/>
      <c r="F32" s="338"/>
      <c r="G32" s="735">
        <v>745230.88</v>
      </c>
      <c r="H32" s="736">
        <v>745230.88</v>
      </c>
      <c r="I32" s="339"/>
      <c r="J32" s="339"/>
      <c r="K32" s="737">
        <v>745230.88</v>
      </c>
      <c r="L32" s="322"/>
      <c r="M32" s="338"/>
      <c r="N32" s="338"/>
      <c r="O32" s="338"/>
      <c r="P32" s="324"/>
      <c r="Q32" s="339"/>
      <c r="R32" s="339"/>
      <c r="S32" s="339"/>
      <c r="T32" s="322"/>
      <c r="U32" s="338"/>
      <c r="V32" s="338"/>
      <c r="W32" s="338"/>
      <c r="X32" s="324"/>
      <c r="Y32" s="339"/>
      <c r="Z32" s="339"/>
      <c r="AA32" s="339"/>
    </row>
    <row r="33" spans="1:27" hidden="1">
      <c r="A33" s="316" t="s">
        <v>718</v>
      </c>
      <c r="B33" s="316"/>
      <c r="C33" s="700">
        <v>436987.27</v>
      </c>
      <c r="D33" s="338"/>
      <c r="E33" s="338"/>
      <c r="F33" s="338"/>
      <c r="G33" s="589">
        <v>436987.27</v>
      </c>
      <c r="H33" s="324"/>
      <c r="I33" s="339"/>
      <c r="J33" s="339"/>
      <c r="K33" s="339"/>
      <c r="L33" s="322"/>
      <c r="M33" s="338"/>
      <c r="N33" s="338"/>
      <c r="O33" s="338"/>
      <c r="P33" s="699">
        <v>436987.27</v>
      </c>
      <c r="Q33" s="339"/>
      <c r="R33" s="339"/>
      <c r="S33" s="588">
        <v>436987.27</v>
      </c>
      <c r="T33" s="322"/>
      <c r="U33" s="338"/>
      <c r="V33" s="338"/>
      <c r="W33" s="338"/>
      <c r="X33" s="324"/>
      <c r="Y33" s="339"/>
      <c r="Z33" s="339"/>
      <c r="AA33" s="339"/>
    </row>
    <row r="34" spans="1:27" hidden="1">
      <c r="A34" s="316" t="s">
        <v>719</v>
      </c>
      <c r="B34" s="316"/>
      <c r="C34" s="734">
        <v>8323192.1699999999</v>
      </c>
      <c r="D34" s="338"/>
      <c r="E34" s="338"/>
      <c r="F34" s="338"/>
      <c r="G34" s="735">
        <v>8323192.1699999999</v>
      </c>
      <c r="H34" s="736">
        <v>8323192.1699999999</v>
      </c>
      <c r="I34" s="339"/>
      <c r="J34" s="339"/>
      <c r="K34" s="737">
        <v>8323192.1699999999</v>
      </c>
      <c r="L34" s="322"/>
      <c r="M34" s="338"/>
      <c r="N34" s="338"/>
      <c r="O34" s="338"/>
      <c r="P34" s="324"/>
      <c r="Q34" s="339"/>
      <c r="R34" s="339"/>
      <c r="S34" s="339"/>
      <c r="T34" s="322"/>
      <c r="U34" s="338"/>
      <c r="V34" s="338"/>
      <c r="W34" s="338"/>
      <c r="X34" s="324"/>
      <c r="Y34" s="339"/>
      <c r="Z34" s="339"/>
      <c r="AA34" s="339"/>
    </row>
    <row r="35" spans="1:27" hidden="1">
      <c r="A35" s="316" t="s">
        <v>720</v>
      </c>
      <c r="B35" s="316"/>
      <c r="C35" s="734">
        <v>190040.66</v>
      </c>
      <c r="D35" s="711">
        <v>9398.2999999999993</v>
      </c>
      <c r="E35" s="338"/>
      <c r="F35" s="338"/>
      <c r="G35" s="735">
        <v>199438.96</v>
      </c>
      <c r="H35" s="736">
        <v>181159.94</v>
      </c>
      <c r="I35" s="714">
        <v>9398.2999999999993</v>
      </c>
      <c r="J35" s="339"/>
      <c r="K35" s="737">
        <v>190558.24</v>
      </c>
      <c r="L35" s="322"/>
      <c r="M35" s="338"/>
      <c r="N35" s="338"/>
      <c r="O35" s="338"/>
      <c r="P35" s="717">
        <v>8880.7199999999993</v>
      </c>
      <c r="Q35" s="339"/>
      <c r="R35" s="339"/>
      <c r="S35" s="592">
        <v>8880.7199999999993</v>
      </c>
      <c r="T35" s="322"/>
      <c r="U35" s="338"/>
      <c r="V35" s="338"/>
      <c r="W35" s="338"/>
      <c r="X35" s="324"/>
      <c r="Y35" s="339"/>
      <c r="Z35" s="339"/>
      <c r="AA35" s="339"/>
    </row>
    <row r="36" spans="1:27" hidden="1">
      <c r="A36" s="316" t="s">
        <v>721</v>
      </c>
      <c r="B36" s="316"/>
      <c r="C36" s="734">
        <v>168590524.09</v>
      </c>
      <c r="D36" s="711">
        <v>1108243.97</v>
      </c>
      <c r="E36" s="711">
        <v>1098957</v>
      </c>
      <c r="F36" s="711"/>
      <c r="G36" s="735">
        <v>168599811.06</v>
      </c>
      <c r="H36" s="736">
        <v>168590524.09</v>
      </c>
      <c r="I36" s="714">
        <v>1108243.97</v>
      </c>
      <c r="J36" s="714">
        <v>1098957</v>
      </c>
      <c r="K36" s="737">
        <v>168599811.06</v>
      </c>
      <c r="L36" s="322"/>
      <c r="M36" s="338"/>
      <c r="N36" s="338"/>
      <c r="O36" s="338"/>
      <c r="P36" s="324"/>
      <c r="Q36" s="339"/>
      <c r="R36" s="339"/>
      <c r="S36" s="339"/>
      <c r="T36" s="322"/>
      <c r="U36" s="338"/>
      <c r="V36" s="338"/>
      <c r="W36" s="338"/>
      <c r="X36" s="324"/>
      <c r="Y36" s="339"/>
      <c r="Z36" s="339"/>
      <c r="AA36" s="339"/>
    </row>
    <row r="37" spans="1:27" hidden="1">
      <c r="A37" s="316" t="s">
        <v>722</v>
      </c>
      <c r="B37" s="316"/>
      <c r="C37" s="734">
        <v>1617007.36</v>
      </c>
      <c r="D37" s="711">
        <v>291310.53999999998</v>
      </c>
      <c r="E37" s="711">
        <v>25620</v>
      </c>
      <c r="F37" s="711"/>
      <c r="G37" s="735">
        <v>1882697.9</v>
      </c>
      <c r="H37" s="736">
        <v>1617007.36</v>
      </c>
      <c r="I37" s="714">
        <v>291310.53999999998</v>
      </c>
      <c r="J37" s="714">
        <v>25620</v>
      </c>
      <c r="K37" s="737">
        <v>1882697.9</v>
      </c>
      <c r="L37" s="322"/>
      <c r="M37" s="338"/>
      <c r="N37" s="338"/>
      <c r="O37" s="338"/>
      <c r="P37" s="324"/>
      <c r="Q37" s="339"/>
      <c r="R37" s="339"/>
      <c r="S37" s="339"/>
      <c r="T37" s="322"/>
      <c r="U37" s="338"/>
      <c r="V37" s="338"/>
      <c r="W37" s="338"/>
      <c r="X37" s="324"/>
      <c r="Y37" s="339"/>
      <c r="Z37" s="339"/>
      <c r="AA37" s="339"/>
    </row>
    <row r="38" spans="1:27" hidden="1">
      <c r="A38" s="316" t="s">
        <v>723</v>
      </c>
      <c r="B38" s="316"/>
      <c r="C38" s="716">
        <v>5399049.4500000002</v>
      </c>
      <c r="D38" s="338"/>
      <c r="E38" s="338"/>
      <c r="F38" s="338"/>
      <c r="G38" s="594">
        <v>5399049.4500000002</v>
      </c>
      <c r="H38" s="324"/>
      <c r="I38" s="339"/>
      <c r="J38" s="339"/>
      <c r="K38" s="339"/>
      <c r="L38" s="322"/>
      <c r="M38" s="338"/>
      <c r="N38" s="338"/>
      <c r="O38" s="338"/>
      <c r="P38" s="717">
        <v>5399049.4500000002</v>
      </c>
      <c r="Q38" s="339"/>
      <c r="R38" s="339"/>
      <c r="S38" s="592">
        <v>5399049.4500000002</v>
      </c>
      <c r="T38" s="322"/>
      <c r="U38" s="338"/>
      <c r="V38" s="338"/>
      <c r="W38" s="338"/>
      <c r="X38" s="324"/>
      <c r="Y38" s="339"/>
      <c r="Z38" s="339"/>
      <c r="AA38" s="339"/>
    </row>
    <row r="39" spans="1:27" hidden="1">
      <c r="A39" s="321" t="s">
        <v>349</v>
      </c>
      <c r="B39" s="321"/>
      <c r="C39" s="717">
        <v>20912.939999999999</v>
      </c>
      <c r="D39" s="338"/>
      <c r="E39" s="338"/>
      <c r="F39" s="338"/>
      <c r="G39" s="592">
        <v>20912.939999999999</v>
      </c>
      <c r="H39" s="322"/>
      <c r="I39" s="339"/>
      <c r="J39" s="339"/>
      <c r="K39" s="338"/>
      <c r="L39" s="324"/>
      <c r="M39" s="338"/>
      <c r="N39" s="338"/>
      <c r="O39" s="339"/>
      <c r="P39" s="322"/>
      <c r="Q39" s="339"/>
      <c r="R39" s="339"/>
      <c r="S39" s="338"/>
      <c r="T39" s="717">
        <v>20912.939999999999</v>
      </c>
      <c r="U39" s="338"/>
      <c r="V39" s="338"/>
      <c r="W39" s="592">
        <v>20912.939999999999</v>
      </c>
      <c r="X39" s="322"/>
      <c r="Y39" s="339"/>
      <c r="Z39" s="339"/>
      <c r="AA39" s="338"/>
    </row>
    <row r="40" spans="1:27" hidden="1">
      <c r="A40" s="321" t="s">
        <v>724</v>
      </c>
      <c r="B40" s="321"/>
      <c r="C40" s="717">
        <v>46850.6</v>
      </c>
      <c r="D40" s="338"/>
      <c r="E40" s="338"/>
      <c r="F40" s="338"/>
      <c r="G40" s="592">
        <v>46850.6</v>
      </c>
      <c r="H40" s="322"/>
      <c r="I40" s="339"/>
      <c r="J40" s="339"/>
      <c r="K40" s="338"/>
      <c r="L40" s="324"/>
      <c r="M40" s="338"/>
      <c r="N40" s="338"/>
      <c r="O40" s="339"/>
      <c r="P40" s="716">
        <v>46850.6</v>
      </c>
      <c r="Q40" s="339"/>
      <c r="R40" s="339"/>
      <c r="S40" s="594">
        <v>46850.6</v>
      </c>
      <c r="T40" s="324"/>
      <c r="U40" s="338"/>
      <c r="V40" s="338"/>
      <c r="W40" s="339"/>
      <c r="X40" s="322"/>
      <c r="Y40" s="339"/>
      <c r="Z40" s="339"/>
      <c r="AA40" s="338"/>
    </row>
    <row r="41" spans="1:27" hidden="1">
      <c r="A41" s="321" t="s">
        <v>725</v>
      </c>
      <c r="B41" s="321"/>
      <c r="C41" s="736">
        <v>420494.06</v>
      </c>
      <c r="D41" s="338"/>
      <c r="E41" s="338"/>
      <c r="F41" s="338"/>
      <c r="G41" s="737">
        <v>420494.06</v>
      </c>
      <c r="H41" s="734">
        <v>411477.06</v>
      </c>
      <c r="I41" s="339"/>
      <c r="J41" s="339"/>
      <c r="K41" s="735">
        <v>411477.06</v>
      </c>
      <c r="L41" s="324"/>
      <c r="M41" s="338"/>
      <c r="N41" s="338"/>
      <c r="O41" s="339"/>
      <c r="P41" s="322"/>
      <c r="Q41" s="339"/>
      <c r="R41" s="339"/>
      <c r="S41" s="338"/>
      <c r="T41" s="717">
        <v>9017</v>
      </c>
      <c r="U41" s="338"/>
      <c r="V41" s="338"/>
      <c r="W41" s="592">
        <v>9017</v>
      </c>
      <c r="X41" s="322"/>
      <c r="Y41" s="339"/>
      <c r="Z41" s="339"/>
      <c r="AA41" s="338"/>
    </row>
    <row r="42" spans="1:27" hidden="1">
      <c r="A42" s="321" t="s">
        <v>350</v>
      </c>
      <c r="B42" s="321"/>
      <c r="C42" s="717">
        <v>300040.93</v>
      </c>
      <c r="D42" s="338"/>
      <c r="E42" s="338"/>
      <c r="F42" s="338"/>
      <c r="G42" s="592">
        <v>300040.93</v>
      </c>
      <c r="H42" s="322"/>
      <c r="I42" s="339"/>
      <c r="J42" s="339"/>
      <c r="K42" s="338"/>
      <c r="L42" s="324"/>
      <c r="M42" s="338"/>
      <c r="N42" s="338"/>
      <c r="O42" s="339"/>
      <c r="P42" s="716">
        <v>300040.93</v>
      </c>
      <c r="Q42" s="339"/>
      <c r="R42" s="339"/>
      <c r="S42" s="594">
        <v>300040.93</v>
      </c>
      <c r="T42" s="324"/>
      <c r="U42" s="338"/>
      <c r="V42" s="338"/>
      <c r="W42" s="339"/>
      <c r="X42" s="322"/>
      <c r="Y42" s="339"/>
      <c r="Z42" s="339"/>
      <c r="AA42" s="338"/>
    </row>
    <row r="43" spans="1:27" hidden="1">
      <c r="A43" s="321" t="s">
        <v>726</v>
      </c>
      <c r="B43" s="321"/>
      <c r="C43" s="717">
        <v>46439.5</v>
      </c>
      <c r="D43" s="338"/>
      <c r="E43" s="338"/>
      <c r="F43" s="338"/>
      <c r="G43" s="592">
        <v>46439.5</v>
      </c>
      <c r="H43" s="322"/>
      <c r="I43" s="339"/>
      <c r="J43" s="339"/>
      <c r="K43" s="338"/>
      <c r="L43" s="324"/>
      <c r="M43" s="338"/>
      <c r="N43" s="338"/>
      <c r="O43" s="339"/>
      <c r="P43" s="716">
        <v>46439.5</v>
      </c>
      <c r="Q43" s="339"/>
      <c r="R43" s="339"/>
      <c r="S43" s="594">
        <v>46439.5</v>
      </c>
      <c r="T43" s="324"/>
      <c r="U43" s="338"/>
      <c r="V43" s="338"/>
      <c r="W43" s="339"/>
      <c r="X43" s="322"/>
      <c r="Y43" s="339"/>
      <c r="Z43" s="339"/>
      <c r="AA43" s="338"/>
    </row>
    <row r="44" spans="1:27" hidden="1">
      <c r="A44" s="321" t="s">
        <v>727</v>
      </c>
      <c r="B44" s="321"/>
      <c r="C44" s="717">
        <v>35244.910000000003</v>
      </c>
      <c r="D44" s="338"/>
      <c r="E44" s="338"/>
      <c r="F44" s="338"/>
      <c r="G44" s="592">
        <v>35244.910000000003</v>
      </c>
      <c r="H44" s="322"/>
      <c r="I44" s="339"/>
      <c r="J44" s="339"/>
      <c r="K44" s="338"/>
      <c r="L44" s="324"/>
      <c r="M44" s="338"/>
      <c r="N44" s="338"/>
      <c r="O44" s="339"/>
      <c r="P44" s="716">
        <v>35244.910000000003</v>
      </c>
      <c r="Q44" s="339"/>
      <c r="R44" s="339"/>
      <c r="S44" s="594">
        <v>35244.910000000003</v>
      </c>
      <c r="T44" s="324"/>
      <c r="U44" s="338"/>
      <c r="V44" s="338"/>
      <c r="W44" s="339"/>
      <c r="X44" s="322"/>
      <c r="Y44" s="339"/>
      <c r="Z44" s="339"/>
      <c r="AA44" s="338"/>
    </row>
    <row r="45" spans="1:27" hidden="1">
      <c r="A45" s="321" t="s">
        <v>728</v>
      </c>
      <c r="B45" s="321"/>
      <c r="C45" s="717">
        <v>59631.24</v>
      </c>
      <c r="D45" s="338"/>
      <c r="E45" s="338"/>
      <c r="F45" s="338"/>
      <c r="G45" s="592">
        <v>59631.24</v>
      </c>
      <c r="H45" s="322"/>
      <c r="I45" s="339"/>
      <c r="J45" s="339"/>
      <c r="K45" s="338"/>
      <c r="L45" s="324"/>
      <c r="M45" s="338"/>
      <c r="N45" s="338"/>
      <c r="O45" s="339"/>
      <c r="P45" s="716">
        <v>59631.24</v>
      </c>
      <c r="Q45" s="339"/>
      <c r="R45" s="339"/>
      <c r="S45" s="594">
        <v>59631.24</v>
      </c>
      <c r="T45" s="324"/>
      <c r="U45" s="338"/>
      <c r="V45" s="338"/>
      <c r="W45" s="339"/>
      <c r="X45" s="322"/>
      <c r="Y45" s="339"/>
      <c r="Z45" s="339"/>
      <c r="AA45" s="338"/>
    </row>
    <row r="46" spans="1:27" hidden="1">
      <c r="A46" s="321" t="s">
        <v>729</v>
      </c>
      <c r="B46" s="321"/>
      <c r="C46" s="717">
        <v>6943508.8600000003</v>
      </c>
      <c r="D46" s="338"/>
      <c r="E46" s="338"/>
      <c r="F46" s="338"/>
      <c r="G46" s="592">
        <v>6943508.8600000003</v>
      </c>
      <c r="H46" s="322"/>
      <c r="I46" s="339"/>
      <c r="J46" s="339"/>
      <c r="K46" s="338"/>
      <c r="L46" s="324"/>
      <c r="M46" s="338"/>
      <c r="N46" s="338"/>
      <c r="O46" s="339"/>
      <c r="P46" s="716">
        <v>6943508.8600000003</v>
      </c>
      <c r="Q46" s="339"/>
      <c r="R46" s="339"/>
      <c r="S46" s="594">
        <v>6943508.8600000003</v>
      </c>
      <c r="T46" s="324"/>
      <c r="U46" s="338"/>
      <c r="V46" s="338"/>
      <c r="W46" s="339"/>
      <c r="X46" s="322"/>
      <c r="Y46" s="339"/>
      <c r="Z46" s="339"/>
      <c r="AA46" s="338"/>
    </row>
    <row r="47" spans="1:27" hidden="1">
      <c r="A47" s="321" t="s">
        <v>730</v>
      </c>
      <c r="B47" s="321"/>
      <c r="C47" s="736">
        <v>7618.64</v>
      </c>
      <c r="D47" s="338"/>
      <c r="E47" s="338"/>
      <c r="F47" s="338"/>
      <c r="G47" s="737">
        <v>7618.64</v>
      </c>
      <c r="H47" s="734">
        <v>7618.64</v>
      </c>
      <c r="I47" s="339"/>
      <c r="J47" s="339"/>
      <c r="K47" s="735">
        <v>7618.64</v>
      </c>
      <c r="L47" s="324"/>
      <c r="M47" s="338"/>
      <c r="N47" s="338"/>
      <c r="O47" s="339"/>
      <c r="P47" s="322"/>
      <c r="Q47" s="339"/>
      <c r="R47" s="339"/>
      <c r="S47" s="338"/>
      <c r="T47" s="324"/>
      <c r="U47" s="338"/>
      <c r="V47" s="338"/>
      <c r="W47" s="339"/>
      <c r="X47" s="322"/>
      <c r="Y47" s="339"/>
      <c r="Z47" s="339"/>
      <c r="AA47" s="338"/>
    </row>
    <row r="48" spans="1:27" hidden="1">
      <c r="A48" s="321" t="s">
        <v>731</v>
      </c>
      <c r="B48" s="321"/>
      <c r="C48" s="717">
        <v>7638.76</v>
      </c>
      <c r="D48" s="338"/>
      <c r="E48" s="338"/>
      <c r="F48" s="338"/>
      <c r="G48" s="592">
        <v>7638.76</v>
      </c>
      <c r="H48" s="322"/>
      <c r="I48" s="339"/>
      <c r="J48" s="339"/>
      <c r="K48" s="338"/>
      <c r="L48" s="324"/>
      <c r="M48" s="338"/>
      <c r="N48" s="338"/>
      <c r="O48" s="339"/>
      <c r="P48" s="322"/>
      <c r="Q48" s="339"/>
      <c r="R48" s="339"/>
      <c r="S48" s="338"/>
      <c r="T48" s="717">
        <v>7638.76</v>
      </c>
      <c r="U48" s="338"/>
      <c r="V48" s="338"/>
      <c r="W48" s="592">
        <v>7638.76</v>
      </c>
      <c r="X48" s="322"/>
      <c r="Y48" s="339"/>
      <c r="Z48" s="339"/>
      <c r="AA48" s="338"/>
    </row>
    <row r="49" spans="1:27" hidden="1">
      <c r="A49" s="321" t="s">
        <v>732</v>
      </c>
      <c r="B49" s="321"/>
      <c r="C49" s="713">
        <v>49792916.210000001</v>
      </c>
      <c r="D49" s="338"/>
      <c r="E49" s="711">
        <v>6212706</v>
      </c>
      <c r="F49" s="711"/>
      <c r="G49" s="715">
        <v>56005622.210000001</v>
      </c>
      <c r="H49" s="710">
        <v>47197841.340000004</v>
      </c>
      <c r="I49" s="339"/>
      <c r="J49" s="714">
        <v>6212706</v>
      </c>
      <c r="K49" s="712">
        <v>53410547.340000004</v>
      </c>
      <c r="L49" s="324"/>
      <c r="M49" s="338"/>
      <c r="N49" s="338"/>
      <c r="O49" s="339"/>
      <c r="P49" s="700">
        <v>2574618.65</v>
      </c>
      <c r="Q49" s="339"/>
      <c r="R49" s="339"/>
      <c r="S49" s="589">
        <v>2574618.65</v>
      </c>
      <c r="T49" s="699">
        <v>20456.22</v>
      </c>
      <c r="U49" s="338"/>
      <c r="V49" s="338"/>
      <c r="W49" s="588">
        <v>20456.22</v>
      </c>
      <c r="X49" s="322"/>
      <c r="Y49" s="339"/>
      <c r="Z49" s="339"/>
      <c r="AA49" s="338"/>
    </row>
    <row r="50" spans="1:27" hidden="1">
      <c r="A50" s="321" t="s">
        <v>733</v>
      </c>
      <c r="B50" s="321"/>
      <c r="C50" s="736">
        <v>6405219.1900000004</v>
      </c>
      <c r="D50" s="338"/>
      <c r="E50" s="711">
        <v>3341855</v>
      </c>
      <c r="F50" s="711"/>
      <c r="G50" s="737">
        <v>3063364.19</v>
      </c>
      <c r="H50" s="734">
        <v>6405219.1900000004</v>
      </c>
      <c r="I50" s="339"/>
      <c r="J50" s="714">
        <v>3341855</v>
      </c>
      <c r="K50" s="735">
        <v>3063364.19</v>
      </c>
      <c r="L50" s="324"/>
      <c r="M50" s="338"/>
      <c r="N50" s="338"/>
      <c r="O50" s="339"/>
      <c r="P50" s="322"/>
      <c r="Q50" s="339"/>
      <c r="R50" s="339"/>
      <c r="S50" s="338"/>
      <c r="T50" s="324"/>
      <c r="U50" s="338"/>
      <c r="V50" s="338"/>
      <c r="W50" s="339"/>
      <c r="X50" s="322"/>
      <c r="Y50" s="339"/>
      <c r="Z50" s="339"/>
      <c r="AA50" s="338"/>
    </row>
    <row r="51" spans="1:27" hidden="1">
      <c r="A51" s="321" t="s">
        <v>734</v>
      </c>
      <c r="B51" s="321"/>
      <c r="C51" s="717">
        <v>65900</v>
      </c>
      <c r="D51" s="338"/>
      <c r="E51" s="338"/>
      <c r="F51" s="338"/>
      <c r="G51" s="592">
        <v>65900</v>
      </c>
      <c r="H51" s="322"/>
      <c r="I51" s="339"/>
      <c r="J51" s="339"/>
      <c r="K51" s="338"/>
      <c r="L51" s="324"/>
      <c r="M51" s="338"/>
      <c r="N51" s="338"/>
      <c r="O51" s="339"/>
      <c r="P51" s="716">
        <v>65900</v>
      </c>
      <c r="Q51" s="339"/>
      <c r="R51" s="339"/>
      <c r="S51" s="594">
        <v>65900</v>
      </c>
      <c r="T51" s="324"/>
      <c r="U51" s="338"/>
      <c r="V51" s="338"/>
      <c r="W51" s="339"/>
      <c r="X51" s="322"/>
      <c r="Y51" s="339"/>
      <c r="Z51" s="339"/>
      <c r="AA51" s="338"/>
    </row>
    <row r="52" spans="1:27" hidden="1">
      <c r="A52" s="321" t="s">
        <v>735</v>
      </c>
      <c r="B52" s="321"/>
      <c r="C52" s="717">
        <v>2465700</v>
      </c>
      <c r="D52" s="338"/>
      <c r="E52" s="338"/>
      <c r="F52" s="338"/>
      <c r="G52" s="592">
        <v>2465700</v>
      </c>
      <c r="H52" s="322"/>
      <c r="I52" s="339"/>
      <c r="J52" s="339"/>
      <c r="K52" s="338"/>
      <c r="L52" s="324"/>
      <c r="M52" s="338"/>
      <c r="N52" s="338"/>
      <c r="O52" s="339"/>
      <c r="P52" s="716">
        <v>2465700</v>
      </c>
      <c r="Q52" s="339"/>
      <c r="R52" s="339"/>
      <c r="S52" s="594">
        <v>2465700</v>
      </c>
      <c r="T52" s="324"/>
      <c r="U52" s="338"/>
      <c r="V52" s="338"/>
      <c r="W52" s="339"/>
      <c r="X52" s="322"/>
      <c r="Y52" s="339"/>
      <c r="Z52" s="339"/>
      <c r="AA52" s="338"/>
    </row>
    <row r="53" spans="1:27" hidden="1">
      <c r="A53" s="321" t="s">
        <v>736</v>
      </c>
      <c r="B53" s="321"/>
      <c r="C53" s="717">
        <v>1276</v>
      </c>
      <c r="D53" s="338"/>
      <c r="E53" s="338"/>
      <c r="F53" s="338"/>
      <c r="G53" s="592">
        <v>1276</v>
      </c>
      <c r="H53" s="322"/>
      <c r="I53" s="339"/>
      <c r="J53" s="339"/>
      <c r="K53" s="338"/>
      <c r="L53" s="324"/>
      <c r="M53" s="338"/>
      <c r="N53" s="338"/>
      <c r="O53" s="339"/>
      <c r="P53" s="716">
        <v>1276</v>
      </c>
      <c r="Q53" s="339"/>
      <c r="R53" s="339"/>
      <c r="S53" s="594">
        <v>1276</v>
      </c>
      <c r="T53" s="324"/>
      <c r="U53" s="338"/>
      <c r="V53" s="338"/>
      <c r="W53" s="339"/>
      <c r="X53" s="322"/>
      <c r="Y53" s="339"/>
      <c r="Z53" s="339"/>
      <c r="AA53" s="338"/>
    </row>
    <row r="54" spans="1:27" hidden="1">
      <c r="A54" s="321" t="s">
        <v>737</v>
      </c>
      <c r="B54" s="321"/>
      <c r="C54" s="717">
        <v>1309</v>
      </c>
      <c r="D54" s="338"/>
      <c r="E54" s="338"/>
      <c r="F54" s="338"/>
      <c r="G54" s="592">
        <v>1309</v>
      </c>
      <c r="H54" s="322"/>
      <c r="I54" s="339"/>
      <c r="J54" s="339"/>
      <c r="K54" s="338"/>
      <c r="L54" s="324"/>
      <c r="M54" s="338"/>
      <c r="N54" s="338"/>
      <c r="O54" s="339"/>
      <c r="P54" s="716">
        <v>1309</v>
      </c>
      <c r="Q54" s="339"/>
      <c r="R54" s="339"/>
      <c r="S54" s="594">
        <v>1309</v>
      </c>
      <c r="T54" s="324"/>
      <c r="U54" s="338"/>
      <c r="V54" s="338"/>
      <c r="W54" s="339"/>
      <c r="X54" s="322"/>
      <c r="Y54" s="339"/>
      <c r="Z54" s="339"/>
      <c r="AA54" s="338"/>
    </row>
    <row r="55" spans="1:27" hidden="1">
      <c r="A55" s="311" t="s">
        <v>353</v>
      </c>
      <c r="B55" s="311"/>
      <c r="C55" s="718">
        <v>11584372.51</v>
      </c>
      <c r="D55" s="703">
        <v>3220097.7</v>
      </c>
      <c r="E55" s="703">
        <v>680544.95</v>
      </c>
      <c r="F55" s="703"/>
      <c r="G55" s="719">
        <v>14123925.26</v>
      </c>
      <c r="H55" s="730">
        <v>17500</v>
      </c>
      <c r="I55" s="595"/>
      <c r="J55" s="595"/>
      <c r="K55" s="731">
        <v>17500</v>
      </c>
      <c r="L55" s="328"/>
      <c r="M55" s="708"/>
      <c r="N55" s="708"/>
      <c r="O55" s="341"/>
      <c r="P55" s="732">
        <v>11566872.51</v>
      </c>
      <c r="Q55" s="591">
        <v>3220097.7</v>
      </c>
      <c r="R55" s="591">
        <v>680544.95</v>
      </c>
      <c r="S55" s="593">
        <v>14106425.26</v>
      </c>
      <c r="T55" s="328"/>
      <c r="U55" s="708"/>
      <c r="V55" s="708"/>
      <c r="W55" s="341"/>
      <c r="X55" s="326"/>
      <c r="Y55" s="595"/>
      <c r="Z55" s="595"/>
      <c r="AA55" s="340"/>
    </row>
    <row r="56" spans="1:27" hidden="1">
      <c r="A56" s="316" t="s">
        <v>738</v>
      </c>
      <c r="B56" s="316"/>
      <c r="C56" s="738">
        <v>11514055.51</v>
      </c>
      <c r="D56" s="320">
        <v>3220097.7</v>
      </c>
      <c r="E56" s="320">
        <v>680544.95</v>
      </c>
      <c r="F56" s="320"/>
      <c r="G56" s="739">
        <v>14053608.26</v>
      </c>
      <c r="H56" s="317"/>
      <c r="I56" s="331"/>
      <c r="J56" s="331"/>
      <c r="K56" s="331"/>
      <c r="L56" s="319"/>
      <c r="M56" s="330"/>
      <c r="N56" s="330"/>
      <c r="O56" s="330"/>
      <c r="P56" s="728">
        <v>11514055.51</v>
      </c>
      <c r="Q56" s="318">
        <v>3220097.7</v>
      </c>
      <c r="R56" s="318">
        <v>680544.95</v>
      </c>
      <c r="S56" s="729">
        <v>14053608.26</v>
      </c>
      <c r="T56" s="319"/>
      <c r="U56" s="330"/>
      <c r="V56" s="330"/>
      <c r="W56" s="330"/>
      <c r="X56" s="317"/>
      <c r="Y56" s="331"/>
      <c r="Z56" s="331"/>
      <c r="AA56" s="331"/>
    </row>
    <row r="57" spans="1:27" hidden="1">
      <c r="A57" s="321" t="s">
        <v>739</v>
      </c>
      <c r="B57" s="321"/>
      <c r="C57" s="717">
        <v>125000</v>
      </c>
      <c r="D57" s="338"/>
      <c r="E57" s="338"/>
      <c r="F57" s="338"/>
      <c r="G57" s="592">
        <v>125000</v>
      </c>
      <c r="H57" s="322"/>
      <c r="I57" s="339"/>
      <c r="J57" s="339"/>
      <c r="K57" s="338"/>
      <c r="L57" s="324"/>
      <c r="M57" s="338"/>
      <c r="N57" s="338"/>
      <c r="O57" s="339"/>
      <c r="P57" s="716">
        <v>125000</v>
      </c>
      <c r="Q57" s="339"/>
      <c r="R57" s="339"/>
      <c r="S57" s="594">
        <v>125000</v>
      </c>
      <c r="T57" s="324"/>
      <c r="U57" s="338"/>
      <c r="V57" s="338"/>
      <c r="W57" s="339"/>
      <c r="X57" s="322"/>
      <c r="Y57" s="339"/>
      <c r="Z57" s="339"/>
      <c r="AA57" s="338"/>
    </row>
    <row r="58" spans="1:27" hidden="1">
      <c r="A58" s="321" t="s">
        <v>740</v>
      </c>
      <c r="B58" s="321"/>
      <c r="C58" s="699">
        <v>72183</v>
      </c>
      <c r="D58" s="338"/>
      <c r="E58" s="338"/>
      <c r="F58" s="338"/>
      <c r="G58" s="588">
        <v>72183</v>
      </c>
      <c r="H58" s="322"/>
      <c r="I58" s="339"/>
      <c r="J58" s="339"/>
      <c r="K58" s="338"/>
      <c r="L58" s="324"/>
      <c r="M58" s="338"/>
      <c r="N58" s="338"/>
      <c r="O58" s="339"/>
      <c r="P58" s="700">
        <v>72183</v>
      </c>
      <c r="Q58" s="339"/>
      <c r="R58" s="339"/>
      <c r="S58" s="589">
        <v>72183</v>
      </c>
      <c r="T58" s="324"/>
      <c r="U58" s="338"/>
      <c r="V58" s="338"/>
      <c r="W58" s="339"/>
      <c r="X58" s="322"/>
      <c r="Y58" s="339"/>
      <c r="Z58" s="339"/>
      <c r="AA58" s="338"/>
    </row>
    <row r="59" spans="1:27" hidden="1">
      <c r="A59" s="321" t="s">
        <v>741</v>
      </c>
      <c r="B59" s="321"/>
      <c r="C59" s="736">
        <v>17500</v>
      </c>
      <c r="D59" s="338"/>
      <c r="E59" s="338"/>
      <c r="F59" s="338"/>
      <c r="G59" s="737">
        <v>17500</v>
      </c>
      <c r="H59" s="734">
        <v>17500</v>
      </c>
      <c r="I59" s="339"/>
      <c r="J59" s="339"/>
      <c r="K59" s="735">
        <v>17500</v>
      </c>
      <c r="L59" s="324"/>
      <c r="M59" s="338"/>
      <c r="N59" s="338"/>
      <c r="O59" s="339"/>
      <c r="P59" s="322"/>
      <c r="Q59" s="339"/>
      <c r="R59" s="339"/>
      <c r="S59" s="338"/>
      <c r="T59" s="324"/>
      <c r="U59" s="338"/>
      <c r="V59" s="338"/>
      <c r="W59" s="339"/>
      <c r="X59" s="322"/>
      <c r="Y59" s="339"/>
      <c r="Z59" s="339"/>
      <c r="AA59" s="338"/>
    </row>
    <row r="60" spans="1:27" hidden="1">
      <c r="A60" s="311" t="s">
        <v>355</v>
      </c>
      <c r="B60" s="311"/>
      <c r="C60" s="718">
        <v>808082972.27999997</v>
      </c>
      <c r="D60" s="702">
        <v>5953186249.5799999</v>
      </c>
      <c r="E60" s="702">
        <v>6129402497.8900003</v>
      </c>
      <c r="F60" s="702"/>
      <c r="G60" s="719">
        <v>631866723.98000002</v>
      </c>
      <c r="H60" s="730">
        <v>650755995.25</v>
      </c>
      <c r="I60" s="706">
        <v>2476240327.4099998</v>
      </c>
      <c r="J60" s="706">
        <v>2642876510.4099998</v>
      </c>
      <c r="K60" s="731">
        <v>484119812.25</v>
      </c>
      <c r="L60" s="718">
        <v>4187660.23</v>
      </c>
      <c r="M60" s="702">
        <v>4621278</v>
      </c>
      <c r="N60" s="702">
        <v>5758879</v>
      </c>
      <c r="O60" s="719">
        <v>3050059.23</v>
      </c>
      <c r="P60" s="732">
        <v>135763597.44800001</v>
      </c>
      <c r="Q60" s="591">
        <v>3318018410.23</v>
      </c>
      <c r="R60" s="591">
        <v>3322967162.5359998</v>
      </c>
      <c r="S60" s="593">
        <v>130814845.142</v>
      </c>
      <c r="T60" s="733">
        <v>13028660.145</v>
      </c>
      <c r="U60" s="703">
        <v>50441591</v>
      </c>
      <c r="V60" s="703">
        <v>57604168</v>
      </c>
      <c r="W60" s="721">
        <v>5866083.1449999996</v>
      </c>
      <c r="X60" s="732">
        <v>4347059.21</v>
      </c>
      <c r="Y60" s="591">
        <v>103864642.94</v>
      </c>
      <c r="Z60" s="591">
        <v>100195777.94</v>
      </c>
      <c r="AA60" s="593">
        <v>8015924.21</v>
      </c>
    </row>
    <row r="61" spans="1:27" hidden="1">
      <c r="A61" s="316" t="s">
        <v>356</v>
      </c>
      <c r="B61" s="316"/>
      <c r="C61" s="722">
        <v>241299367.83000001</v>
      </c>
      <c r="D61" s="330"/>
      <c r="E61" s="330"/>
      <c r="F61" s="330"/>
      <c r="G61" s="724">
        <v>241299367.83000001</v>
      </c>
      <c r="H61" s="725">
        <v>213460156</v>
      </c>
      <c r="I61" s="331"/>
      <c r="J61" s="331"/>
      <c r="K61" s="727">
        <v>213460156</v>
      </c>
      <c r="L61" s="722">
        <v>2996727.25</v>
      </c>
      <c r="M61" s="330"/>
      <c r="N61" s="330"/>
      <c r="O61" s="724">
        <v>2996727.25</v>
      </c>
      <c r="P61" s="728">
        <v>17683210.971999999</v>
      </c>
      <c r="Q61" s="331"/>
      <c r="R61" s="331"/>
      <c r="S61" s="729">
        <v>17683210.971999999</v>
      </c>
      <c r="T61" s="738">
        <v>6798787.4009999996</v>
      </c>
      <c r="U61" s="330"/>
      <c r="V61" s="330"/>
      <c r="W61" s="739">
        <v>6798787.4009999996</v>
      </c>
      <c r="X61" s="728">
        <v>360486.21</v>
      </c>
      <c r="Y61" s="331"/>
      <c r="Z61" s="331"/>
      <c r="AA61" s="729">
        <v>360486.21</v>
      </c>
    </row>
    <row r="62" spans="1:27" hidden="1">
      <c r="A62" s="316" t="s">
        <v>357</v>
      </c>
      <c r="B62" s="316"/>
      <c r="C62" s="734">
        <v>12381185</v>
      </c>
      <c r="D62" s="711">
        <v>53825</v>
      </c>
      <c r="E62" s="323">
        <v>104000</v>
      </c>
      <c r="F62" s="323"/>
      <c r="G62" s="735">
        <v>12331010</v>
      </c>
      <c r="H62" s="736">
        <v>9042585</v>
      </c>
      <c r="I62" s="714">
        <v>53825</v>
      </c>
      <c r="J62" s="339"/>
      <c r="K62" s="737">
        <v>9096410</v>
      </c>
      <c r="L62" s="322"/>
      <c r="M62" s="338"/>
      <c r="N62" s="338"/>
      <c r="O62" s="338"/>
      <c r="P62" s="717">
        <v>3175600</v>
      </c>
      <c r="Q62" s="339"/>
      <c r="R62" s="339"/>
      <c r="S62" s="592">
        <v>3175600</v>
      </c>
      <c r="T62" s="716">
        <v>65000</v>
      </c>
      <c r="U62" s="338"/>
      <c r="V62" s="323">
        <v>56000</v>
      </c>
      <c r="W62" s="594">
        <v>9000</v>
      </c>
      <c r="X62" s="717">
        <v>98000</v>
      </c>
      <c r="Y62" s="339"/>
      <c r="Z62" s="325">
        <v>48000</v>
      </c>
      <c r="AA62" s="592">
        <v>50000</v>
      </c>
    </row>
    <row r="63" spans="1:27" hidden="1">
      <c r="A63" s="316" t="s">
        <v>358</v>
      </c>
      <c r="B63" s="316"/>
      <c r="C63" s="734">
        <v>2617884.7999999998</v>
      </c>
      <c r="D63" s="711">
        <v>16187583.800000001</v>
      </c>
      <c r="E63" s="711">
        <v>9353057.6400000006</v>
      </c>
      <c r="F63" s="711"/>
      <c r="G63" s="735">
        <v>9452410.9600000009</v>
      </c>
      <c r="H63" s="736">
        <v>264505</v>
      </c>
      <c r="I63" s="714">
        <v>300000</v>
      </c>
      <c r="J63" s="714">
        <v>114322</v>
      </c>
      <c r="K63" s="737">
        <v>450183</v>
      </c>
      <c r="L63" s="322"/>
      <c r="M63" s="338"/>
      <c r="N63" s="338"/>
      <c r="O63" s="338"/>
      <c r="P63" s="717">
        <v>2353379.7999999998</v>
      </c>
      <c r="Q63" s="325">
        <v>15887583.800000001</v>
      </c>
      <c r="R63" s="325">
        <v>9238735.6400000006</v>
      </c>
      <c r="S63" s="592">
        <v>9002227.9600000009</v>
      </c>
      <c r="T63" s="322"/>
      <c r="U63" s="338"/>
      <c r="V63" s="338"/>
      <c r="W63" s="338"/>
      <c r="X63" s="324"/>
      <c r="Y63" s="339"/>
      <c r="Z63" s="339"/>
      <c r="AA63" s="339"/>
    </row>
    <row r="64" spans="1:27" hidden="1">
      <c r="A64" s="316" t="s">
        <v>359</v>
      </c>
      <c r="B64" s="316"/>
      <c r="C64" s="734">
        <v>435373123.51999998</v>
      </c>
      <c r="D64" s="711">
        <v>2940408770.4400001</v>
      </c>
      <c r="E64" s="711">
        <v>3109540166.5799999</v>
      </c>
      <c r="F64" s="711"/>
      <c r="G64" s="735">
        <v>266241727.38</v>
      </c>
      <c r="H64" s="736">
        <v>424268329.51999998</v>
      </c>
      <c r="I64" s="714">
        <v>2473103759</v>
      </c>
      <c r="J64" s="714">
        <v>2639878408.1399999</v>
      </c>
      <c r="K64" s="737">
        <v>257493680.38</v>
      </c>
      <c r="L64" s="734">
        <v>1186508</v>
      </c>
      <c r="M64" s="711">
        <v>4620963</v>
      </c>
      <c r="N64" s="711">
        <v>5758879</v>
      </c>
      <c r="O64" s="735">
        <v>48592</v>
      </c>
      <c r="P64" s="717">
        <v>2541667</v>
      </c>
      <c r="Q64" s="325">
        <v>308562973.5</v>
      </c>
      <c r="R64" s="325">
        <v>308801671.5</v>
      </c>
      <c r="S64" s="592">
        <v>2302969</v>
      </c>
      <c r="T64" s="716">
        <v>6074852</v>
      </c>
      <c r="U64" s="323">
        <v>50395476</v>
      </c>
      <c r="V64" s="323">
        <v>57540236</v>
      </c>
      <c r="W64" s="589">
        <v>1069908</v>
      </c>
      <c r="X64" s="717">
        <v>1301767</v>
      </c>
      <c r="Y64" s="325">
        <v>103725598.94</v>
      </c>
      <c r="Z64" s="325">
        <v>97560971.939999998</v>
      </c>
      <c r="AA64" s="592">
        <v>7466394</v>
      </c>
    </row>
    <row r="65" spans="1:27" hidden="1">
      <c r="A65" s="316" t="s">
        <v>589</v>
      </c>
      <c r="B65" s="316"/>
      <c r="C65" s="734">
        <v>128941.04</v>
      </c>
      <c r="D65" s="711">
        <v>323326</v>
      </c>
      <c r="E65" s="711">
        <v>419102.55</v>
      </c>
      <c r="F65" s="711"/>
      <c r="G65" s="735">
        <v>33164.49</v>
      </c>
      <c r="H65" s="736">
        <v>64211.360000000001</v>
      </c>
      <c r="I65" s="714">
        <v>150000</v>
      </c>
      <c r="J65" s="714">
        <v>196465.55</v>
      </c>
      <c r="K65" s="737">
        <v>17745.810000000001</v>
      </c>
      <c r="L65" s="734">
        <v>1773</v>
      </c>
      <c r="M65" s="711">
        <v>315</v>
      </c>
      <c r="N65" s="338"/>
      <c r="O65" s="735">
        <v>2088</v>
      </c>
      <c r="P65" s="717">
        <v>59876.68</v>
      </c>
      <c r="Q65" s="325">
        <v>163011</v>
      </c>
      <c r="R65" s="325">
        <v>214705</v>
      </c>
      <c r="S65" s="592">
        <v>8182.68</v>
      </c>
      <c r="T65" s="716">
        <v>3080</v>
      </c>
      <c r="U65" s="323">
        <v>10000</v>
      </c>
      <c r="V65" s="323">
        <v>7932</v>
      </c>
      <c r="W65" s="594">
        <v>5148</v>
      </c>
      <c r="X65" s="324"/>
      <c r="Y65" s="339"/>
      <c r="Z65" s="339"/>
      <c r="AA65" s="339"/>
    </row>
    <row r="66" spans="1:27" hidden="1">
      <c r="A66" s="316" t="s">
        <v>361</v>
      </c>
      <c r="B66" s="316"/>
      <c r="C66" s="716">
        <v>51550227.859999999</v>
      </c>
      <c r="D66" s="323">
        <v>2990620847.5100002</v>
      </c>
      <c r="E66" s="323">
        <v>3004081957.6100001</v>
      </c>
      <c r="F66" s="323"/>
      <c r="G66" s="594">
        <v>38089117.759999998</v>
      </c>
      <c r="H66" s="324"/>
      <c r="I66" s="339"/>
      <c r="J66" s="339"/>
      <c r="K66" s="339"/>
      <c r="L66" s="322"/>
      <c r="M66" s="338"/>
      <c r="N66" s="338"/>
      <c r="O66" s="338"/>
      <c r="P66" s="717">
        <v>51550227.859999999</v>
      </c>
      <c r="Q66" s="325">
        <v>2990620847.5100002</v>
      </c>
      <c r="R66" s="325">
        <v>3004081957.6100001</v>
      </c>
      <c r="S66" s="592">
        <v>38089117.759999998</v>
      </c>
      <c r="T66" s="322"/>
      <c r="U66" s="338"/>
      <c r="V66" s="338"/>
      <c r="W66" s="338"/>
      <c r="X66" s="324"/>
      <c r="Y66" s="339"/>
      <c r="Z66" s="339"/>
      <c r="AA66" s="339"/>
    </row>
    <row r="67" spans="1:27" hidden="1">
      <c r="A67" s="316" t="s">
        <v>742</v>
      </c>
      <c r="B67" s="316"/>
      <c r="C67" s="716">
        <v>3210745.0860000001</v>
      </c>
      <c r="D67" s="711">
        <v>790157.05</v>
      </c>
      <c r="E67" s="711">
        <v>4000548.14</v>
      </c>
      <c r="F67" s="711"/>
      <c r="G67" s="594">
        <v>354</v>
      </c>
      <c r="H67" s="324"/>
      <c r="I67" s="714">
        <v>789940.05</v>
      </c>
      <c r="J67" s="714">
        <v>789940.05</v>
      </c>
      <c r="K67" s="339"/>
      <c r="L67" s="322"/>
      <c r="M67" s="338"/>
      <c r="N67" s="338"/>
      <c r="O67" s="338"/>
      <c r="P67" s="717">
        <v>623939.08600000001</v>
      </c>
      <c r="Q67" s="325">
        <v>217</v>
      </c>
      <c r="R67" s="325">
        <v>623802.08600000001</v>
      </c>
      <c r="S67" s="592">
        <v>354</v>
      </c>
      <c r="T67" s="322"/>
      <c r="U67" s="338"/>
      <c r="V67" s="338"/>
      <c r="W67" s="338"/>
      <c r="X67" s="717">
        <v>2586806</v>
      </c>
      <c r="Y67" s="339"/>
      <c r="Z67" s="325">
        <v>2586806</v>
      </c>
      <c r="AA67" s="339"/>
    </row>
    <row r="68" spans="1:27" hidden="1">
      <c r="A68" s="316" t="s">
        <v>592</v>
      </c>
      <c r="B68" s="316"/>
      <c r="C68" s="734">
        <v>1495245.46</v>
      </c>
      <c r="D68" s="711">
        <v>1139036.81</v>
      </c>
      <c r="E68" s="711">
        <v>29155.7</v>
      </c>
      <c r="F68" s="711"/>
      <c r="G68" s="735">
        <v>2605126.5699999998</v>
      </c>
      <c r="H68" s="736">
        <v>1419610.82</v>
      </c>
      <c r="I68" s="714">
        <v>906074.19</v>
      </c>
      <c r="J68" s="714">
        <v>22865</v>
      </c>
      <c r="K68" s="737">
        <v>2302820.0099999998</v>
      </c>
      <c r="L68" s="322"/>
      <c r="M68" s="338"/>
      <c r="N68" s="338"/>
      <c r="O68" s="338"/>
      <c r="P68" s="717">
        <v>11830.9</v>
      </c>
      <c r="Q68" s="325">
        <v>211910.62</v>
      </c>
      <c r="R68" s="325">
        <v>6290.7</v>
      </c>
      <c r="S68" s="592">
        <v>217450.82</v>
      </c>
      <c r="T68" s="716">
        <v>63803.743999999999</v>
      </c>
      <c r="U68" s="323">
        <v>21052</v>
      </c>
      <c r="V68" s="338"/>
      <c r="W68" s="594">
        <v>84855.744000000006</v>
      </c>
      <c r="X68" s="324"/>
      <c r="Y68" s="339"/>
      <c r="Z68" s="339"/>
      <c r="AA68" s="339"/>
    </row>
    <row r="69" spans="1:27" hidden="1">
      <c r="A69" s="316" t="s">
        <v>593</v>
      </c>
      <c r="B69" s="316"/>
      <c r="C69" s="322"/>
      <c r="D69" s="711">
        <v>829255</v>
      </c>
      <c r="E69" s="711">
        <v>1777</v>
      </c>
      <c r="F69" s="711"/>
      <c r="G69" s="735">
        <v>827478</v>
      </c>
      <c r="H69" s="324"/>
      <c r="I69" s="714">
        <v>766645</v>
      </c>
      <c r="J69" s="714">
        <v>1777</v>
      </c>
      <c r="K69" s="737">
        <v>764868</v>
      </c>
      <c r="L69" s="322"/>
      <c r="M69" s="338"/>
      <c r="N69" s="338"/>
      <c r="O69" s="338"/>
      <c r="P69" s="324"/>
      <c r="Q69" s="339"/>
      <c r="R69" s="339"/>
      <c r="S69" s="339"/>
      <c r="T69" s="322"/>
      <c r="U69" s="323">
        <v>15063</v>
      </c>
      <c r="V69" s="338"/>
      <c r="W69" s="594">
        <v>15063</v>
      </c>
      <c r="X69" s="324"/>
      <c r="Y69" s="325">
        <v>47547</v>
      </c>
      <c r="Z69" s="339"/>
      <c r="AA69" s="592">
        <v>47547</v>
      </c>
    </row>
    <row r="70" spans="1:27" hidden="1">
      <c r="A70" s="321" t="s">
        <v>743</v>
      </c>
      <c r="B70" s="321"/>
      <c r="C70" s="717">
        <v>1614887</v>
      </c>
      <c r="D70" s="323">
        <v>90172</v>
      </c>
      <c r="E70" s="338"/>
      <c r="F70" s="338"/>
      <c r="G70" s="592">
        <v>1705059</v>
      </c>
      <c r="H70" s="322"/>
      <c r="I70" s="339"/>
      <c r="J70" s="339"/>
      <c r="K70" s="338"/>
      <c r="L70" s="324"/>
      <c r="M70" s="338"/>
      <c r="N70" s="338"/>
      <c r="O70" s="339"/>
      <c r="P70" s="716">
        <v>1614887</v>
      </c>
      <c r="Q70" s="325">
        <v>90172</v>
      </c>
      <c r="R70" s="339"/>
      <c r="S70" s="594">
        <v>1705059</v>
      </c>
      <c r="T70" s="324"/>
      <c r="U70" s="338"/>
      <c r="V70" s="338"/>
      <c r="W70" s="339"/>
      <c r="X70" s="322"/>
      <c r="Y70" s="339"/>
      <c r="Z70" s="339"/>
      <c r="AA70" s="338"/>
    </row>
    <row r="71" spans="1:27" hidden="1">
      <c r="A71" s="321" t="s">
        <v>744</v>
      </c>
      <c r="B71" s="321"/>
      <c r="C71" s="699">
        <v>8539769.8599999994</v>
      </c>
      <c r="D71" s="323">
        <v>2481694.7999999998</v>
      </c>
      <c r="E71" s="338"/>
      <c r="F71" s="338"/>
      <c r="G71" s="588">
        <v>6058075.0599999996</v>
      </c>
      <c r="H71" s="322"/>
      <c r="I71" s="339"/>
      <c r="J71" s="339"/>
      <c r="K71" s="338"/>
      <c r="L71" s="324"/>
      <c r="M71" s="338"/>
      <c r="N71" s="338"/>
      <c r="O71" s="339"/>
      <c r="P71" s="700">
        <v>8539769.8599999994</v>
      </c>
      <c r="Q71" s="325">
        <v>2481694.7999999998</v>
      </c>
      <c r="R71" s="339"/>
      <c r="S71" s="589">
        <v>6058075.0599999996</v>
      </c>
      <c r="T71" s="324"/>
      <c r="U71" s="338"/>
      <c r="V71" s="338"/>
      <c r="W71" s="339"/>
      <c r="X71" s="322"/>
      <c r="Y71" s="339"/>
      <c r="Z71" s="339"/>
      <c r="AA71" s="338"/>
    </row>
    <row r="72" spans="1:27" hidden="1">
      <c r="A72" s="321" t="s">
        <v>745</v>
      </c>
      <c r="B72" s="321"/>
      <c r="C72" s="736">
        <v>1646292.67</v>
      </c>
      <c r="D72" s="338"/>
      <c r="E72" s="711">
        <v>1646292.67</v>
      </c>
      <c r="F72" s="711"/>
      <c r="G72" s="339"/>
      <c r="H72" s="734">
        <v>1646292.67</v>
      </c>
      <c r="I72" s="339"/>
      <c r="J72" s="714">
        <v>1646292.67</v>
      </c>
      <c r="K72" s="338"/>
      <c r="L72" s="324"/>
      <c r="M72" s="338"/>
      <c r="N72" s="338"/>
      <c r="O72" s="339"/>
      <c r="P72" s="322"/>
      <c r="Q72" s="339"/>
      <c r="R72" s="339"/>
      <c r="S72" s="338"/>
      <c r="T72" s="324"/>
      <c r="U72" s="338"/>
      <c r="V72" s="338"/>
      <c r="W72" s="339"/>
      <c r="X72" s="322"/>
      <c r="Y72" s="339"/>
      <c r="Z72" s="339"/>
      <c r="AA72" s="338"/>
    </row>
    <row r="73" spans="1:27" hidden="1">
      <c r="A73" s="321" t="s">
        <v>746</v>
      </c>
      <c r="B73" s="321"/>
      <c r="C73" s="717">
        <v>43776000</v>
      </c>
      <c r="D73" s="338"/>
      <c r="E73" s="338"/>
      <c r="F73" s="338"/>
      <c r="G73" s="592">
        <v>43776000</v>
      </c>
      <c r="H73" s="322"/>
      <c r="I73" s="339"/>
      <c r="J73" s="339"/>
      <c r="K73" s="338"/>
      <c r="L73" s="324"/>
      <c r="M73" s="338"/>
      <c r="N73" s="338"/>
      <c r="O73" s="339"/>
      <c r="P73" s="716">
        <v>43776000</v>
      </c>
      <c r="Q73" s="339"/>
      <c r="R73" s="339"/>
      <c r="S73" s="594">
        <v>43776000</v>
      </c>
      <c r="T73" s="324"/>
      <c r="U73" s="338"/>
      <c r="V73" s="338"/>
      <c r="W73" s="339"/>
      <c r="X73" s="322"/>
      <c r="Y73" s="339"/>
      <c r="Z73" s="339"/>
      <c r="AA73" s="338"/>
    </row>
    <row r="74" spans="1:27" hidden="1">
      <c r="A74" s="321" t="s">
        <v>747</v>
      </c>
      <c r="B74" s="321"/>
      <c r="C74" s="717">
        <v>20865180</v>
      </c>
      <c r="D74" s="338"/>
      <c r="E74" s="338"/>
      <c r="F74" s="338"/>
      <c r="G74" s="592">
        <v>20865180</v>
      </c>
      <c r="H74" s="322"/>
      <c r="I74" s="339"/>
      <c r="J74" s="339"/>
      <c r="K74" s="338"/>
      <c r="L74" s="324"/>
      <c r="M74" s="338"/>
      <c r="N74" s="338"/>
      <c r="O74" s="339"/>
      <c r="P74" s="716">
        <v>20865180</v>
      </c>
      <c r="Q74" s="339"/>
      <c r="R74" s="339"/>
      <c r="S74" s="594">
        <v>20865180</v>
      </c>
      <c r="T74" s="324"/>
      <c r="U74" s="338"/>
      <c r="V74" s="338"/>
      <c r="W74" s="339"/>
      <c r="X74" s="322"/>
      <c r="Y74" s="339"/>
      <c r="Z74" s="339"/>
      <c r="AA74" s="338"/>
    </row>
    <row r="75" spans="1:27" hidden="1">
      <c r="A75" s="321" t="s">
        <v>748</v>
      </c>
      <c r="B75" s="321"/>
      <c r="C75" s="717">
        <v>23137</v>
      </c>
      <c r="D75" s="338"/>
      <c r="E75" s="338"/>
      <c r="F75" s="338"/>
      <c r="G75" s="592">
        <v>23137</v>
      </c>
      <c r="H75" s="322"/>
      <c r="I75" s="339"/>
      <c r="J75" s="339"/>
      <c r="K75" s="338"/>
      <c r="L75" s="324"/>
      <c r="M75" s="338"/>
      <c r="N75" s="338"/>
      <c r="O75" s="339"/>
      <c r="P75" s="322"/>
      <c r="Q75" s="339"/>
      <c r="R75" s="339"/>
      <c r="S75" s="338"/>
      <c r="T75" s="717">
        <v>23137</v>
      </c>
      <c r="U75" s="338"/>
      <c r="V75" s="338"/>
      <c r="W75" s="592">
        <v>23137</v>
      </c>
      <c r="X75" s="322"/>
      <c r="Y75" s="339"/>
      <c r="Z75" s="339"/>
      <c r="AA75" s="338"/>
    </row>
    <row r="76" spans="1:27" hidden="1">
      <c r="A76" s="321" t="s">
        <v>749</v>
      </c>
      <c r="B76" s="321"/>
      <c r="C76" s="736">
        <v>342070.53</v>
      </c>
      <c r="D76" s="338"/>
      <c r="E76" s="338"/>
      <c r="F76" s="338"/>
      <c r="G76" s="737">
        <v>342070.53</v>
      </c>
      <c r="H76" s="734">
        <v>297376.88</v>
      </c>
      <c r="I76" s="339"/>
      <c r="J76" s="339"/>
      <c r="K76" s="735">
        <v>297376.88</v>
      </c>
      <c r="L76" s="324"/>
      <c r="M76" s="338"/>
      <c r="N76" s="338"/>
      <c r="O76" s="339"/>
      <c r="P76" s="716">
        <v>44693.65</v>
      </c>
      <c r="Q76" s="339"/>
      <c r="R76" s="339"/>
      <c r="S76" s="594">
        <v>44693.65</v>
      </c>
      <c r="T76" s="324"/>
      <c r="U76" s="338"/>
      <c r="V76" s="338"/>
      <c r="W76" s="339"/>
      <c r="X76" s="322"/>
      <c r="Y76" s="339"/>
      <c r="Z76" s="339"/>
      <c r="AA76" s="338"/>
    </row>
    <row r="77" spans="1:27" hidden="1">
      <c r="A77" s="321" t="s">
        <v>750</v>
      </c>
      <c r="B77" s="321"/>
      <c r="C77" s="736">
        <v>128.36000000000001</v>
      </c>
      <c r="D77" s="711">
        <v>7293</v>
      </c>
      <c r="E77" s="338"/>
      <c r="F77" s="338"/>
      <c r="G77" s="737">
        <v>7421.36</v>
      </c>
      <c r="H77" s="710">
        <v>2746</v>
      </c>
      <c r="I77" s="714">
        <v>5314</v>
      </c>
      <c r="J77" s="339"/>
      <c r="K77" s="735">
        <v>2568</v>
      </c>
      <c r="L77" s="324"/>
      <c r="M77" s="338"/>
      <c r="N77" s="338"/>
      <c r="O77" s="339"/>
      <c r="P77" s="716">
        <v>2874.36</v>
      </c>
      <c r="Q77" s="339"/>
      <c r="R77" s="339"/>
      <c r="S77" s="594">
        <v>2874.36</v>
      </c>
      <c r="T77" s="324"/>
      <c r="U77" s="338"/>
      <c r="V77" s="338"/>
      <c r="W77" s="339"/>
      <c r="X77" s="322"/>
      <c r="Y77" s="325">
        <v>1979</v>
      </c>
      <c r="Z77" s="339"/>
      <c r="AA77" s="594">
        <v>1979</v>
      </c>
    </row>
    <row r="78" spans="1:27" hidden="1">
      <c r="A78" s="321" t="s">
        <v>367</v>
      </c>
      <c r="B78" s="321"/>
      <c r="C78" s="736">
        <v>295674</v>
      </c>
      <c r="D78" s="711">
        <v>164770.17000000001</v>
      </c>
      <c r="E78" s="711">
        <v>226440</v>
      </c>
      <c r="F78" s="711"/>
      <c r="G78" s="737">
        <v>234004.17</v>
      </c>
      <c r="H78" s="734">
        <v>295674</v>
      </c>
      <c r="I78" s="714">
        <v>164770.17000000001</v>
      </c>
      <c r="J78" s="714">
        <v>226440</v>
      </c>
      <c r="K78" s="735">
        <v>234004.17</v>
      </c>
      <c r="L78" s="324"/>
      <c r="M78" s="338"/>
      <c r="N78" s="338"/>
      <c r="O78" s="339"/>
      <c r="P78" s="322"/>
      <c r="Q78" s="339"/>
      <c r="R78" s="339"/>
      <c r="S78" s="338"/>
      <c r="T78" s="324"/>
      <c r="U78" s="338"/>
      <c r="V78" s="338"/>
      <c r="W78" s="339"/>
      <c r="X78" s="322"/>
      <c r="Y78" s="339"/>
      <c r="Z78" s="339"/>
      <c r="AA78" s="338"/>
    </row>
    <row r="79" spans="1:27" hidden="1">
      <c r="A79" s="321" t="s">
        <v>751</v>
      </c>
      <c r="B79" s="321"/>
      <c r="C79" s="324"/>
      <c r="D79" s="338"/>
      <c r="E79" s="338"/>
      <c r="F79" s="338"/>
      <c r="G79" s="339"/>
      <c r="H79" s="322"/>
      <c r="I79" s="339"/>
      <c r="J79" s="339"/>
      <c r="K79" s="338"/>
      <c r="L79" s="324"/>
      <c r="M79" s="338"/>
      <c r="N79" s="338"/>
      <c r="O79" s="339"/>
      <c r="P79" s="322"/>
      <c r="Q79" s="339"/>
      <c r="R79" s="339"/>
      <c r="S79" s="338"/>
      <c r="T79" s="324"/>
      <c r="U79" s="338"/>
      <c r="V79" s="338"/>
      <c r="W79" s="339"/>
      <c r="X79" s="322"/>
      <c r="Y79" s="339"/>
      <c r="Z79" s="339"/>
      <c r="AA79" s="338"/>
    </row>
    <row r="80" spans="1:27" hidden="1">
      <c r="A80" s="321" t="s">
        <v>752</v>
      </c>
      <c r="B80" s="321"/>
      <c r="C80" s="324"/>
      <c r="D80" s="323">
        <v>89518</v>
      </c>
      <c r="E80" s="338"/>
      <c r="F80" s="338"/>
      <c r="G80" s="592">
        <v>89518</v>
      </c>
      <c r="H80" s="322"/>
      <c r="I80" s="339"/>
      <c r="J80" s="339"/>
      <c r="K80" s="338"/>
      <c r="L80" s="324"/>
      <c r="M80" s="338"/>
      <c r="N80" s="338"/>
      <c r="O80" s="339"/>
      <c r="P80" s="322"/>
      <c r="Q80" s="339"/>
      <c r="R80" s="339"/>
      <c r="S80" s="338"/>
      <c r="T80" s="324"/>
      <c r="U80" s="338"/>
      <c r="V80" s="338"/>
      <c r="W80" s="339"/>
      <c r="X80" s="322"/>
      <c r="Y80" s="325">
        <v>89518</v>
      </c>
      <c r="Z80" s="339"/>
      <c r="AA80" s="594">
        <v>89518</v>
      </c>
    </row>
    <row r="81" spans="1:27" hidden="1">
      <c r="A81" s="321" t="s">
        <v>753</v>
      </c>
      <c r="B81" s="321"/>
      <c r="C81" s="736">
        <v>2651.98</v>
      </c>
      <c r="D81" s="338"/>
      <c r="E81" s="338"/>
      <c r="F81" s="338"/>
      <c r="G81" s="737">
        <v>2651.98</v>
      </c>
      <c r="H81" s="322"/>
      <c r="I81" s="339"/>
      <c r="J81" s="339"/>
      <c r="K81" s="338"/>
      <c r="L81" s="736">
        <v>2651.98</v>
      </c>
      <c r="M81" s="338"/>
      <c r="N81" s="338"/>
      <c r="O81" s="737">
        <v>2651.98</v>
      </c>
      <c r="P81" s="322"/>
      <c r="Q81" s="339"/>
      <c r="R81" s="339"/>
      <c r="S81" s="338"/>
      <c r="T81" s="324"/>
      <c r="U81" s="338"/>
      <c r="V81" s="338"/>
      <c r="W81" s="339"/>
      <c r="X81" s="322"/>
      <c r="Y81" s="339"/>
      <c r="Z81" s="339"/>
      <c r="AA81" s="338"/>
    </row>
    <row r="82" spans="1:27" hidden="1">
      <c r="A82" s="311" t="s">
        <v>754</v>
      </c>
      <c r="B82" s="311"/>
      <c r="C82" s="718">
        <v>0.36</v>
      </c>
      <c r="D82" s="702">
        <v>4677885326.9300003</v>
      </c>
      <c r="E82" s="702">
        <v>4676343894.9300003</v>
      </c>
      <c r="F82" s="702"/>
      <c r="G82" s="719">
        <v>1541432.36</v>
      </c>
      <c r="H82" s="705">
        <v>78688243.829999998</v>
      </c>
      <c r="I82" s="706">
        <v>2230057515.0500002</v>
      </c>
      <c r="J82" s="706">
        <v>2183506549.4200001</v>
      </c>
      <c r="K82" s="707">
        <v>32137278.199999999</v>
      </c>
      <c r="L82" s="701">
        <v>4937989.21</v>
      </c>
      <c r="M82" s="702">
        <v>5758879</v>
      </c>
      <c r="N82" s="702">
        <v>13125</v>
      </c>
      <c r="O82" s="719">
        <v>807764.79</v>
      </c>
      <c r="P82" s="732">
        <v>39704513.814999998</v>
      </c>
      <c r="Q82" s="591">
        <v>2292599226.4200001</v>
      </c>
      <c r="R82" s="591">
        <v>2317477710.5100002</v>
      </c>
      <c r="S82" s="593">
        <v>14826029.725</v>
      </c>
      <c r="T82" s="733">
        <v>17857841.596999999</v>
      </c>
      <c r="U82" s="703">
        <v>52054808.460000001</v>
      </c>
      <c r="V82" s="703">
        <v>76146778</v>
      </c>
      <c r="W82" s="740">
        <v>6234127.943</v>
      </c>
      <c r="X82" s="732">
        <v>26063877.984000001</v>
      </c>
      <c r="Y82" s="591">
        <v>97414898</v>
      </c>
      <c r="Z82" s="591">
        <v>99199732</v>
      </c>
      <c r="AA82" s="593">
        <v>24279043.984000001</v>
      </c>
    </row>
    <row r="83" spans="1:27" hidden="1">
      <c r="A83" s="321" t="s">
        <v>755</v>
      </c>
      <c r="B83" s="321"/>
      <c r="C83" s="725">
        <v>6180780.0199999996</v>
      </c>
      <c r="D83" s="723">
        <v>99199732</v>
      </c>
      <c r="E83" s="320">
        <v>97414898</v>
      </c>
      <c r="F83" s="320"/>
      <c r="G83" s="727">
        <v>7965614.0199999996</v>
      </c>
      <c r="H83" s="722">
        <v>48869562</v>
      </c>
      <c r="I83" s="726">
        <v>9025545</v>
      </c>
      <c r="J83" s="331"/>
      <c r="K83" s="724">
        <v>57895107</v>
      </c>
      <c r="L83" s="317"/>
      <c r="M83" s="330"/>
      <c r="N83" s="330"/>
      <c r="O83" s="331"/>
      <c r="P83" s="695">
        <v>42688781.983999997</v>
      </c>
      <c r="Q83" s="318">
        <v>90174187</v>
      </c>
      <c r="R83" s="318">
        <v>97414898</v>
      </c>
      <c r="S83" s="696">
        <v>49929492.983999997</v>
      </c>
      <c r="T83" s="317"/>
      <c r="U83" s="330"/>
      <c r="V83" s="330"/>
      <c r="W83" s="331"/>
      <c r="X83" s="319"/>
      <c r="Y83" s="331"/>
      <c r="Z83" s="331"/>
      <c r="AA83" s="330"/>
    </row>
    <row r="84" spans="1:27" hidden="1">
      <c r="A84" s="321" t="s">
        <v>756</v>
      </c>
      <c r="B84" s="321"/>
      <c r="C84" s="713">
        <v>17857841.600000001</v>
      </c>
      <c r="D84" s="711">
        <v>76146778</v>
      </c>
      <c r="E84" s="323">
        <v>50513376.460000001</v>
      </c>
      <c r="F84" s="323"/>
      <c r="G84" s="737">
        <v>7775559.9400000004</v>
      </c>
      <c r="H84" s="734">
        <v>362338630</v>
      </c>
      <c r="I84" s="714">
        <v>57241413</v>
      </c>
      <c r="J84" s="339"/>
      <c r="K84" s="735">
        <v>419580043</v>
      </c>
      <c r="L84" s="324"/>
      <c r="M84" s="338"/>
      <c r="N84" s="338"/>
      <c r="O84" s="339"/>
      <c r="P84" s="700">
        <v>380196471.597</v>
      </c>
      <c r="Q84" s="325">
        <v>18905365</v>
      </c>
      <c r="R84" s="325">
        <v>50513376.460000001</v>
      </c>
      <c r="S84" s="589">
        <v>411804483.05699998</v>
      </c>
      <c r="T84" s="324"/>
      <c r="U84" s="338"/>
      <c r="V84" s="338"/>
      <c r="W84" s="339"/>
      <c r="X84" s="322"/>
      <c r="Y84" s="339"/>
      <c r="Z84" s="339"/>
      <c r="AA84" s="338"/>
    </row>
    <row r="85" spans="1:27" hidden="1">
      <c r="A85" s="321" t="s">
        <v>757</v>
      </c>
      <c r="B85" s="321"/>
      <c r="C85" s="713">
        <v>11074400.99</v>
      </c>
      <c r="D85" s="711">
        <v>2319019142.5100002</v>
      </c>
      <c r="E85" s="711">
        <v>1994396334.9200001</v>
      </c>
      <c r="F85" s="711"/>
      <c r="G85" s="737">
        <v>313548406.60000002</v>
      </c>
      <c r="H85" s="710">
        <v>454707524.36000001</v>
      </c>
      <c r="I85" s="714">
        <v>2163790557.0500002</v>
      </c>
      <c r="J85" s="714">
        <v>1885303657.9200001</v>
      </c>
      <c r="K85" s="712">
        <v>176220625.22999999</v>
      </c>
      <c r="L85" s="736">
        <v>20747869.789999999</v>
      </c>
      <c r="M85" s="711">
        <v>5758879</v>
      </c>
      <c r="N85" s="711">
        <v>13125</v>
      </c>
      <c r="O85" s="737">
        <v>26493623.789999999</v>
      </c>
      <c r="P85" s="322"/>
      <c r="Q85" s="339"/>
      <c r="R85" s="339"/>
      <c r="S85" s="338"/>
      <c r="T85" s="717">
        <v>380196471.597</v>
      </c>
      <c r="U85" s="323">
        <v>52054808.460000001</v>
      </c>
      <c r="V85" s="323">
        <v>18905365</v>
      </c>
      <c r="W85" s="592">
        <v>413345915.05699998</v>
      </c>
      <c r="X85" s="716">
        <v>42688781.983999997</v>
      </c>
      <c r="Y85" s="325">
        <v>97414898</v>
      </c>
      <c r="Z85" s="325">
        <v>90174187</v>
      </c>
      <c r="AA85" s="594">
        <v>49929492.983999997</v>
      </c>
    </row>
    <row r="86" spans="1:27" hidden="1">
      <c r="A86" s="321" t="s">
        <v>758</v>
      </c>
      <c r="B86" s="321"/>
      <c r="C86" s="713">
        <v>60874770.469999999</v>
      </c>
      <c r="D86" s="338"/>
      <c r="E86" s="711">
        <v>298202891.5</v>
      </c>
      <c r="F86" s="711"/>
      <c r="G86" s="715">
        <v>359077661.97000003</v>
      </c>
      <c r="H86" s="710">
        <v>60874770.469999999</v>
      </c>
      <c r="I86" s="339"/>
      <c r="J86" s="714">
        <v>298202891.5</v>
      </c>
      <c r="K86" s="712">
        <v>359077661.97000003</v>
      </c>
      <c r="L86" s="324"/>
      <c r="M86" s="338"/>
      <c r="N86" s="338"/>
      <c r="O86" s="339"/>
      <c r="P86" s="322"/>
      <c r="Q86" s="339"/>
      <c r="R86" s="339"/>
      <c r="S86" s="338"/>
      <c r="T86" s="324"/>
      <c r="U86" s="338"/>
      <c r="V86" s="338"/>
      <c r="W86" s="339"/>
      <c r="X86" s="322"/>
      <c r="Y86" s="339"/>
      <c r="Z86" s="339"/>
      <c r="AA86" s="338"/>
    </row>
    <row r="87" spans="1:27" hidden="1">
      <c r="A87" s="321" t="s">
        <v>759</v>
      </c>
      <c r="B87" s="321"/>
      <c r="C87" s="717">
        <v>0.35</v>
      </c>
      <c r="D87" s="338"/>
      <c r="E87" s="338"/>
      <c r="F87" s="338"/>
      <c r="G87" s="592">
        <v>0.35</v>
      </c>
      <c r="H87" s="322"/>
      <c r="I87" s="339"/>
      <c r="J87" s="339"/>
      <c r="K87" s="338"/>
      <c r="L87" s="324"/>
      <c r="M87" s="338"/>
      <c r="N87" s="338"/>
      <c r="O87" s="339"/>
      <c r="P87" s="700">
        <v>32244657.649999999</v>
      </c>
      <c r="Q87" s="339"/>
      <c r="R87" s="339"/>
      <c r="S87" s="589">
        <v>32244657.649999999</v>
      </c>
      <c r="T87" s="324"/>
      <c r="U87" s="338"/>
      <c r="V87" s="338"/>
      <c r="W87" s="339"/>
      <c r="X87" s="716">
        <v>32244658</v>
      </c>
      <c r="Y87" s="339"/>
      <c r="Z87" s="339"/>
      <c r="AA87" s="594">
        <v>32244658</v>
      </c>
    </row>
    <row r="88" spans="1:27" hidden="1">
      <c r="A88" s="321" t="s">
        <v>760</v>
      </c>
      <c r="B88" s="321"/>
      <c r="C88" s="736">
        <v>4937989.21</v>
      </c>
      <c r="D88" s="323">
        <v>13125</v>
      </c>
      <c r="E88" s="323">
        <v>5758879</v>
      </c>
      <c r="F88" s="323"/>
      <c r="G88" s="715">
        <v>807764.79</v>
      </c>
      <c r="H88" s="734">
        <v>25685859</v>
      </c>
      <c r="I88" s="339"/>
      <c r="J88" s="339"/>
      <c r="K88" s="735">
        <v>25685859</v>
      </c>
      <c r="L88" s="324"/>
      <c r="M88" s="338"/>
      <c r="N88" s="338"/>
      <c r="O88" s="339"/>
      <c r="P88" s="700">
        <v>20747869.789999999</v>
      </c>
      <c r="Q88" s="325">
        <v>13125</v>
      </c>
      <c r="R88" s="325">
        <v>5758879</v>
      </c>
      <c r="S88" s="589">
        <v>26493623.789999999</v>
      </c>
      <c r="T88" s="324"/>
      <c r="U88" s="338"/>
      <c r="V88" s="338"/>
      <c r="W88" s="339"/>
      <c r="X88" s="322"/>
      <c r="Y88" s="339"/>
      <c r="Z88" s="339"/>
      <c r="AA88" s="338"/>
    </row>
    <row r="89" spans="1:27" hidden="1">
      <c r="A89" s="321" t="s">
        <v>761</v>
      </c>
      <c r="B89" s="321"/>
      <c r="C89" s="736">
        <v>17813473.359999999</v>
      </c>
      <c r="D89" s="323">
        <v>1885303657.9200001</v>
      </c>
      <c r="E89" s="323">
        <v>2230057515.0500002</v>
      </c>
      <c r="F89" s="323"/>
      <c r="G89" s="715">
        <v>326940383.76999998</v>
      </c>
      <c r="H89" s="322"/>
      <c r="I89" s="339"/>
      <c r="J89" s="339"/>
      <c r="K89" s="338"/>
      <c r="L89" s="713">
        <v>25685859</v>
      </c>
      <c r="M89" s="338"/>
      <c r="N89" s="338"/>
      <c r="O89" s="715">
        <v>25685859</v>
      </c>
      <c r="P89" s="716">
        <v>454707524.36000001</v>
      </c>
      <c r="Q89" s="325">
        <v>1885303657.9200001</v>
      </c>
      <c r="R89" s="325">
        <v>2163790557.0500002</v>
      </c>
      <c r="S89" s="594">
        <v>176220625.22999999</v>
      </c>
      <c r="T89" s="699">
        <v>362338630</v>
      </c>
      <c r="U89" s="338"/>
      <c r="V89" s="323">
        <v>57241413</v>
      </c>
      <c r="W89" s="588">
        <v>419580043</v>
      </c>
      <c r="X89" s="700">
        <v>48869562</v>
      </c>
      <c r="Y89" s="339"/>
      <c r="Z89" s="325">
        <v>9025545</v>
      </c>
      <c r="AA89" s="589">
        <v>57895107</v>
      </c>
    </row>
    <row r="90" spans="1:27" hidden="1">
      <c r="A90" s="321" t="s">
        <v>762</v>
      </c>
      <c r="B90" s="321"/>
      <c r="C90" s="717">
        <v>60874770.476000004</v>
      </c>
      <c r="D90" s="323">
        <v>298202891.5</v>
      </c>
      <c r="E90" s="338"/>
      <c r="F90" s="338"/>
      <c r="G90" s="592">
        <v>359077661.97600001</v>
      </c>
      <c r="H90" s="322"/>
      <c r="I90" s="339"/>
      <c r="J90" s="339"/>
      <c r="K90" s="338"/>
      <c r="L90" s="324"/>
      <c r="M90" s="338"/>
      <c r="N90" s="338"/>
      <c r="O90" s="339"/>
      <c r="P90" s="716">
        <v>60874770.476000004</v>
      </c>
      <c r="Q90" s="325">
        <v>298202891.5</v>
      </c>
      <c r="R90" s="339"/>
      <c r="S90" s="594">
        <v>359077661.97600001</v>
      </c>
      <c r="T90" s="324"/>
      <c r="U90" s="338"/>
      <c r="V90" s="338"/>
      <c r="W90" s="339"/>
      <c r="X90" s="322"/>
      <c r="Y90" s="339"/>
      <c r="Z90" s="339"/>
      <c r="AA90" s="338"/>
    </row>
    <row r="91" spans="1:27">
      <c r="A91" s="311" t="s">
        <v>370</v>
      </c>
      <c r="B91" s="311"/>
      <c r="C91" s="328"/>
      <c r="D91" s="702">
        <v>11742695.5</v>
      </c>
      <c r="E91" s="702">
        <v>2488118146.1199999</v>
      </c>
      <c r="F91" s="702">
        <f>E91-D91</f>
        <v>2476375450.6199999</v>
      </c>
      <c r="G91" s="704">
        <v>2476375450.6199999</v>
      </c>
      <c r="H91" s="326"/>
      <c r="I91" s="706">
        <v>11668458.5</v>
      </c>
      <c r="J91" s="706">
        <v>2092917809.28</v>
      </c>
      <c r="K91" s="707">
        <v>2081249350.78</v>
      </c>
      <c r="L91" s="328"/>
      <c r="M91" s="708"/>
      <c r="N91" s="702">
        <v>3912157.5</v>
      </c>
      <c r="O91" s="704">
        <v>3912157.5</v>
      </c>
      <c r="P91" s="326"/>
      <c r="Q91" s="595"/>
      <c r="R91" s="591">
        <v>260389609.05000001</v>
      </c>
      <c r="S91" s="590">
        <v>260389609.05000001</v>
      </c>
      <c r="T91" s="328"/>
      <c r="U91" s="703">
        <v>23297</v>
      </c>
      <c r="V91" s="703">
        <v>42643622.039999999</v>
      </c>
      <c r="W91" s="740">
        <v>42620325.039999999</v>
      </c>
      <c r="X91" s="326"/>
      <c r="Y91" s="591">
        <v>50940</v>
      </c>
      <c r="Z91" s="591">
        <v>88254948.25</v>
      </c>
      <c r="AA91" s="590">
        <v>88204008.25</v>
      </c>
    </row>
    <row r="92" spans="1:27">
      <c r="A92" s="321" t="s">
        <v>763</v>
      </c>
      <c r="B92" s="321" t="s">
        <v>62</v>
      </c>
      <c r="C92" s="317"/>
      <c r="D92" s="723">
        <v>33898</v>
      </c>
      <c r="E92" s="330"/>
      <c r="F92" s="330">
        <f>E92-D92</f>
        <v>-33898</v>
      </c>
      <c r="G92" s="727">
        <v>33898</v>
      </c>
      <c r="H92" s="319"/>
      <c r="I92" s="726">
        <v>33898</v>
      </c>
      <c r="J92" s="331"/>
      <c r="K92" s="724">
        <v>33898</v>
      </c>
      <c r="L92" s="317"/>
      <c r="M92" s="330"/>
      <c r="N92" s="330"/>
      <c r="O92" s="331"/>
      <c r="P92" s="319"/>
      <c r="Q92" s="331"/>
      <c r="R92" s="331"/>
      <c r="S92" s="330"/>
      <c r="T92" s="317"/>
      <c r="U92" s="330"/>
      <c r="V92" s="330"/>
      <c r="W92" s="331"/>
      <c r="X92" s="319"/>
      <c r="Y92" s="331"/>
      <c r="Z92" s="331"/>
      <c r="AA92" s="330"/>
    </row>
    <row r="93" spans="1:27">
      <c r="A93" s="321" t="s">
        <v>764</v>
      </c>
      <c r="B93" s="321" t="s">
        <v>62</v>
      </c>
      <c r="C93" s="324"/>
      <c r="D93" s="338"/>
      <c r="E93" s="711">
        <v>118239.75</v>
      </c>
      <c r="F93" s="711">
        <f>E93-D93</f>
        <v>118239.75</v>
      </c>
      <c r="G93" s="715">
        <v>118239.75</v>
      </c>
      <c r="H93" s="322"/>
      <c r="I93" s="339"/>
      <c r="J93" s="714">
        <v>118239.75</v>
      </c>
      <c r="K93" s="712">
        <v>118239.75</v>
      </c>
      <c r="L93" s="324"/>
      <c r="M93" s="338"/>
      <c r="N93" s="338"/>
      <c r="O93" s="339"/>
      <c r="P93" s="322"/>
      <c r="Q93" s="339"/>
      <c r="R93" s="339"/>
      <c r="S93" s="338"/>
      <c r="T93" s="324"/>
      <c r="U93" s="338"/>
      <c r="V93" s="338"/>
      <c r="W93" s="339"/>
      <c r="X93" s="322"/>
      <c r="Y93" s="339"/>
      <c r="Z93" s="339"/>
      <c r="AA93" s="338"/>
    </row>
    <row r="94" spans="1:27">
      <c r="A94" s="321" t="s">
        <v>765</v>
      </c>
      <c r="B94" s="321" t="s">
        <v>62</v>
      </c>
      <c r="C94" s="324"/>
      <c r="D94" s="711">
        <v>9874566</v>
      </c>
      <c r="E94" s="711">
        <v>2047771403.28</v>
      </c>
      <c r="F94" s="711">
        <f t="shared" ref="F94:F103" si="0">E94-D94</f>
        <v>2037896837.28</v>
      </c>
      <c r="G94" s="715">
        <v>2037896837.28</v>
      </c>
      <c r="H94" s="322"/>
      <c r="I94" s="714">
        <v>9874566</v>
      </c>
      <c r="J94" s="714">
        <v>2047771403.28</v>
      </c>
      <c r="K94" s="712">
        <v>2037896837.28</v>
      </c>
      <c r="L94" s="324"/>
      <c r="M94" s="338"/>
      <c r="N94" s="338"/>
      <c r="O94" s="339"/>
      <c r="P94" s="322"/>
      <c r="Q94" s="339"/>
      <c r="R94" s="339"/>
      <c r="S94" s="338"/>
      <c r="T94" s="324"/>
      <c r="U94" s="338"/>
      <c r="V94" s="338"/>
      <c r="W94" s="339"/>
      <c r="X94" s="322"/>
      <c r="Y94" s="339"/>
      <c r="Z94" s="339"/>
      <c r="AA94" s="338"/>
    </row>
    <row r="95" spans="1:27">
      <c r="A95" s="321" t="s">
        <v>766</v>
      </c>
      <c r="B95" s="321" t="s">
        <v>62</v>
      </c>
      <c r="C95" s="324"/>
      <c r="D95" s="338"/>
      <c r="E95" s="323">
        <v>21632633.5</v>
      </c>
      <c r="F95" s="711">
        <f t="shared" si="0"/>
        <v>21632633.5</v>
      </c>
      <c r="G95" s="588">
        <v>21632633.5</v>
      </c>
      <c r="H95" s="322"/>
      <c r="I95" s="339"/>
      <c r="J95" s="339"/>
      <c r="K95" s="338"/>
      <c r="L95" s="324"/>
      <c r="M95" s="338"/>
      <c r="N95" s="338"/>
      <c r="O95" s="339"/>
      <c r="P95" s="322"/>
      <c r="Q95" s="339"/>
      <c r="R95" s="339"/>
      <c r="S95" s="338"/>
      <c r="T95" s="324"/>
      <c r="U95" s="338"/>
      <c r="V95" s="338"/>
      <c r="W95" s="339"/>
      <c r="X95" s="322"/>
      <c r="Y95" s="339"/>
      <c r="Z95" s="325">
        <v>21632633.5</v>
      </c>
      <c r="AA95" s="589">
        <v>21632633.5</v>
      </c>
    </row>
    <row r="96" spans="1:27">
      <c r="A96" s="321" t="s">
        <v>767</v>
      </c>
      <c r="B96" s="321" t="s">
        <v>62</v>
      </c>
      <c r="C96" s="324"/>
      <c r="D96" s="338"/>
      <c r="E96" s="323">
        <v>255269137.80000001</v>
      </c>
      <c r="F96" s="711">
        <f t="shared" si="0"/>
        <v>255269137.80000001</v>
      </c>
      <c r="G96" s="588">
        <v>255269137.80000001</v>
      </c>
      <c r="H96" s="322"/>
      <c r="I96" s="339"/>
      <c r="J96" s="339"/>
      <c r="K96" s="338"/>
      <c r="L96" s="324"/>
      <c r="M96" s="338"/>
      <c r="N96" s="338"/>
      <c r="O96" s="339"/>
      <c r="P96" s="322"/>
      <c r="Q96" s="339"/>
      <c r="R96" s="325">
        <v>255269137.80000001</v>
      </c>
      <c r="S96" s="589">
        <v>255269137.80000001</v>
      </c>
      <c r="T96" s="324"/>
      <c r="U96" s="338"/>
      <c r="V96" s="338"/>
      <c r="W96" s="339"/>
      <c r="X96" s="322"/>
      <c r="Y96" s="339"/>
      <c r="Z96" s="339"/>
      <c r="AA96" s="338"/>
    </row>
    <row r="97" spans="1:27">
      <c r="A97" s="321" t="s">
        <v>768</v>
      </c>
      <c r="B97" s="321" t="s">
        <v>62</v>
      </c>
      <c r="C97" s="324"/>
      <c r="D97" s="338"/>
      <c r="E97" s="711">
        <v>85878.5</v>
      </c>
      <c r="F97" s="711">
        <f t="shared" si="0"/>
        <v>85878.5</v>
      </c>
      <c r="G97" s="715">
        <v>85878.5</v>
      </c>
      <c r="H97" s="322"/>
      <c r="I97" s="339"/>
      <c r="J97" s="714">
        <v>85878.5</v>
      </c>
      <c r="K97" s="712">
        <v>85878.5</v>
      </c>
      <c r="L97" s="324"/>
      <c r="M97" s="338"/>
      <c r="N97" s="338"/>
      <c r="O97" s="339"/>
      <c r="P97" s="322"/>
      <c r="Q97" s="339"/>
      <c r="R97" s="339"/>
      <c r="S97" s="338"/>
      <c r="T97" s="324"/>
      <c r="U97" s="338"/>
      <c r="V97" s="338"/>
      <c r="W97" s="339"/>
      <c r="X97" s="322"/>
      <c r="Y97" s="339"/>
      <c r="Z97" s="339"/>
      <c r="AA97" s="338"/>
    </row>
    <row r="98" spans="1:27">
      <c r="A98" s="321" t="s">
        <v>769</v>
      </c>
      <c r="B98" s="321" t="s">
        <v>62</v>
      </c>
      <c r="C98" s="324"/>
      <c r="D98" s="338"/>
      <c r="E98" s="323">
        <v>56068.5</v>
      </c>
      <c r="F98" s="711">
        <f t="shared" si="0"/>
        <v>56068.5</v>
      </c>
      <c r="G98" s="588">
        <v>56068.5</v>
      </c>
      <c r="H98" s="322"/>
      <c r="I98" s="339"/>
      <c r="J98" s="339"/>
      <c r="K98" s="338"/>
      <c r="L98" s="324"/>
      <c r="M98" s="338"/>
      <c r="N98" s="338"/>
      <c r="O98" s="339"/>
      <c r="P98" s="322"/>
      <c r="Q98" s="339"/>
      <c r="R98" s="339"/>
      <c r="S98" s="338"/>
      <c r="T98" s="324"/>
      <c r="U98" s="338"/>
      <c r="V98" s="323">
        <v>56068.5</v>
      </c>
      <c r="W98" s="588">
        <v>56068.5</v>
      </c>
      <c r="X98" s="322"/>
      <c r="Y98" s="339"/>
      <c r="Z98" s="339"/>
      <c r="AA98" s="338"/>
    </row>
    <row r="99" spans="1:27">
      <c r="A99" s="321" t="s">
        <v>770</v>
      </c>
      <c r="B99" s="321" t="s">
        <v>62</v>
      </c>
      <c r="C99" s="324"/>
      <c r="D99" s="338"/>
      <c r="E99" s="711">
        <v>3912157.5</v>
      </c>
      <c r="F99" s="711">
        <f t="shared" si="0"/>
        <v>3912157.5</v>
      </c>
      <c r="G99" s="715">
        <v>3912157.5</v>
      </c>
      <c r="H99" s="322"/>
      <c r="I99" s="339"/>
      <c r="J99" s="339"/>
      <c r="K99" s="338"/>
      <c r="L99" s="324"/>
      <c r="M99" s="338"/>
      <c r="N99" s="711">
        <v>3912157.5</v>
      </c>
      <c r="O99" s="715">
        <v>3912157.5</v>
      </c>
      <c r="P99" s="322"/>
      <c r="Q99" s="339"/>
      <c r="R99" s="339"/>
      <c r="S99" s="338"/>
      <c r="T99" s="324"/>
      <c r="U99" s="338"/>
      <c r="V99" s="338"/>
      <c r="W99" s="339"/>
      <c r="X99" s="322"/>
      <c r="Y99" s="339"/>
      <c r="Z99" s="339"/>
      <c r="AA99" s="338"/>
    </row>
    <row r="100" spans="1:27">
      <c r="A100" s="321" t="s">
        <v>771</v>
      </c>
      <c r="B100" s="321" t="s">
        <v>62</v>
      </c>
      <c r="C100" s="324"/>
      <c r="D100" s="711">
        <v>374261</v>
      </c>
      <c r="E100" s="711">
        <v>154101991.03999999</v>
      </c>
      <c r="F100" s="711">
        <f t="shared" si="0"/>
        <v>153727730.03999999</v>
      </c>
      <c r="G100" s="715">
        <v>153727730.03999999</v>
      </c>
      <c r="H100" s="322"/>
      <c r="I100" s="714">
        <v>300024</v>
      </c>
      <c r="J100" s="714">
        <v>44892122.75</v>
      </c>
      <c r="K100" s="712">
        <v>44592098.75</v>
      </c>
      <c r="L100" s="324"/>
      <c r="M100" s="338"/>
      <c r="N100" s="338"/>
      <c r="O100" s="339"/>
      <c r="P100" s="322"/>
      <c r="Q100" s="339"/>
      <c r="R100" s="339"/>
      <c r="S100" s="338"/>
      <c r="T100" s="324"/>
      <c r="U100" s="323">
        <v>23297</v>
      </c>
      <c r="V100" s="323">
        <v>42587553.539999999</v>
      </c>
      <c r="W100" s="588">
        <v>42564256.539999999</v>
      </c>
      <c r="X100" s="322"/>
      <c r="Y100" s="325">
        <v>50940</v>
      </c>
      <c r="Z100" s="325">
        <v>66622314.75</v>
      </c>
      <c r="AA100" s="589">
        <v>66571374.75</v>
      </c>
    </row>
    <row r="101" spans="1:27">
      <c r="A101" s="321" t="s">
        <v>772</v>
      </c>
      <c r="B101" s="321" t="s">
        <v>62</v>
      </c>
      <c r="C101" s="324"/>
      <c r="D101" s="338"/>
      <c r="E101" s="323">
        <v>5120471.25</v>
      </c>
      <c r="F101" s="711">
        <f t="shared" si="0"/>
        <v>5120471.25</v>
      </c>
      <c r="G101" s="588">
        <v>5120471.25</v>
      </c>
      <c r="H101" s="322"/>
      <c r="I101" s="339"/>
      <c r="J101" s="339"/>
      <c r="K101" s="338"/>
      <c r="L101" s="324"/>
      <c r="M101" s="338"/>
      <c r="N101" s="338"/>
      <c r="O101" s="339"/>
      <c r="P101" s="322"/>
      <c r="Q101" s="339"/>
      <c r="R101" s="325">
        <v>5120471.25</v>
      </c>
      <c r="S101" s="589">
        <v>5120471.25</v>
      </c>
      <c r="T101" s="324"/>
      <c r="U101" s="338"/>
      <c r="V101" s="338"/>
      <c r="W101" s="339"/>
      <c r="X101" s="322"/>
      <c r="Y101" s="339"/>
      <c r="Z101" s="339"/>
      <c r="AA101" s="338"/>
    </row>
    <row r="102" spans="1:27">
      <c r="A102" s="321" t="s">
        <v>773</v>
      </c>
      <c r="B102" s="321" t="s">
        <v>62</v>
      </c>
      <c r="C102" s="324"/>
      <c r="D102" s="711">
        <v>1245612.5</v>
      </c>
      <c r="E102" s="711">
        <v>17790</v>
      </c>
      <c r="F102" s="711">
        <f t="shared" si="0"/>
        <v>-1227822.5</v>
      </c>
      <c r="G102" s="737">
        <v>1227822.5</v>
      </c>
      <c r="H102" s="322"/>
      <c r="I102" s="714">
        <v>1245612.5</v>
      </c>
      <c r="J102" s="714">
        <v>17790</v>
      </c>
      <c r="K102" s="735">
        <v>1227822.5</v>
      </c>
      <c r="L102" s="324"/>
      <c r="M102" s="338"/>
      <c r="N102" s="338"/>
      <c r="O102" s="339"/>
      <c r="P102" s="322"/>
      <c r="Q102" s="339"/>
      <c r="R102" s="339"/>
      <c r="S102" s="338"/>
      <c r="T102" s="324"/>
      <c r="U102" s="338"/>
      <c r="V102" s="338"/>
      <c r="W102" s="339"/>
      <c r="X102" s="322"/>
      <c r="Y102" s="339"/>
      <c r="Z102" s="339"/>
      <c r="AA102" s="338"/>
    </row>
    <row r="103" spans="1:27">
      <c r="A103" s="321" t="s">
        <v>774</v>
      </c>
      <c r="B103" s="321" t="s">
        <v>62</v>
      </c>
      <c r="C103" s="324"/>
      <c r="D103" s="711">
        <v>214358</v>
      </c>
      <c r="E103" s="711">
        <v>32375</v>
      </c>
      <c r="F103" s="711">
        <f t="shared" si="0"/>
        <v>-181983</v>
      </c>
      <c r="G103" s="737">
        <v>181983</v>
      </c>
      <c r="H103" s="322"/>
      <c r="I103" s="714">
        <v>214358</v>
      </c>
      <c r="J103" s="714">
        <v>32375</v>
      </c>
      <c r="K103" s="735">
        <v>181983</v>
      </c>
      <c r="L103" s="324"/>
      <c r="M103" s="338"/>
      <c r="N103" s="338"/>
      <c r="O103" s="339"/>
      <c r="P103" s="322"/>
      <c r="Q103" s="339"/>
      <c r="R103" s="339"/>
      <c r="S103" s="338"/>
      <c r="T103" s="324"/>
      <c r="U103" s="338"/>
      <c r="V103" s="338"/>
      <c r="W103" s="339"/>
      <c r="X103" s="322"/>
      <c r="Y103" s="339"/>
      <c r="Z103" s="339"/>
      <c r="AA103" s="338"/>
    </row>
    <row r="104" spans="1:27">
      <c r="A104" s="311" t="s">
        <v>372</v>
      </c>
      <c r="B104" s="311"/>
      <c r="C104" s="328"/>
      <c r="D104" s="702">
        <v>2555168448.73</v>
      </c>
      <c r="E104" s="702">
        <v>16480449.699999999</v>
      </c>
      <c r="F104" s="702">
        <f>D104-E104</f>
        <v>2538687999.0300002</v>
      </c>
      <c r="G104" s="719">
        <v>2538687999.0300002</v>
      </c>
      <c r="H104" s="326"/>
      <c r="I104" s="706">
        <v>2177557251.23</v>
      </c>
      <c r="J104" s="706">
        <v>12863451.5</v>
      </c>
      <c r="K104" s="731">
        <v>2164693799.73</v>
      </c>
      <c r="L104" s="328"/>
      <c r="M104" s="708"/>
      <c r="N104" s="708"/>
      <c r="O104" s="341"/>
      <c r="P104" s="326"/>
      <c r="Q104" s="591">
        <v>255417320</v>
      </c>
      <c r="R104" s="591">
        <v>3616998.2</v>
      </c>
      <c r="S104" s="593">
        <v>251800321.80000001</v>
      </c>
      <c r="T104" s="328"/>
      <c r="U104" s="703">
        <v>36190699</v>
      </c>
      <c r="V104" s="708"/>
      <c r="W104" s="721">
        <v>36190699</v>
      </c>
      <c r="X104" s="326"/>
      <c r="Y104" s="591">
        <v>86003178.5</v>
      </c>
      <c r="Z104" s="595"/>
      <c r="AA104" s="593">
        <v>86003178.5</v>
      </c>
    </row>
    <row r="105" spans="1:27">
      <c r="A105" s="316" t="s">
        <v>373</v>
      </c>
      <c r="B105" s="316" t="s">
        <v>123</v>
      </c>
      <c r="C105" s="319"/>
      <c r="D105" s="723">
        <v>2554595368.73</v>
      </c>
      <c r="E105" s="723">
        <v>14478166.699999999</v>
      </c>
      <c r="F105" s="723">
        <f>D105-E105</f>
        <v>2540117202.0300002</v>
      </c>
      <c r="G105" s="724">
        <v>2540117202.0300002</v>
      </c>
      <c r="H105" s="317"/>
      <c r="I105" s="726">
        <v>2176984171.23</v>
      </c>
      <c r="J105" s="726">
        <v>10861168.5</v>
      </c>
      <c r="K105" s="727">
        <v>2166123002.73</v>
      </c>
      <c r="L105" s="319"/>
      <c r="M105" s="330"/>
      <c r="N105" s="330"/>
      <c r="O105" s="330"/>
      <c r="P105" s="317"/>
      <c r="Q105" s="318">
        <v>255417320</v>
      </c>
      <c r="R105" s="318">
        <v>3616998.2</v>
      </c>
      <c r="S105" s="729">
        <v>251800321.80000001</v>
      </c>
      <c r="T105" s="319"/>
      <c r="U105" s="320">
        <v>36190699</v>
      </c>
      <c r="V105" s="330"/>
      <c r="W105" s="739">
        <v>36190699</v>
      </c>
      <c r="X105" s="317"/>
      <c r="Y105" s="318">
        <v>86003178.5</v>
      </c>
      <c r="Z105" s="331"/>
      <c r="AA105" s="729">
        <v>86003178.5</v>
      </c>
    </row>
    <row r="106" spans="1:27">
      <c r="A106" s="321" t="s">
        <v>775</v>
      </c>
      <c r="B106" s="316" t="s">
        <v>123</v>
      </c>
      <c r="C106" s="324"/>
      <c r="D106" s="338"/>
      <c r="E106" s="711">
        <v>766638</v>
      </c>
      <c r="F106" s="711">
        <f>D106-E106</f>
        <v>-766638</v>
      </c>
      <c r="G106" s="715">
        <v>766638</v>
      </c>
      <c r="H106" s="322"/>
      <c r="I106" s="339"/>
      <c r="J106" s="714">
        <v>766638</v>
      </c>
      <c r="K106" s="712">
        <v>766638</v>
      </c>
      <c r="L106" s="324"/>
      <c r="M106" s="338"/>
      <c r="N106" s="338"/>
      <c r="O106" s="339"/>
      <c r="P106" s="322"/>
      <c r="Q106" s="339"/>
      <c r="R106" s="339"/>
      <c r="S106" s="338"/>
      <c r="T106" s="324"/>
      <c r="U106" s="338"/>
      <c r="V106" s="338"/>
      <c r="W106" s="339"/>
      <c r="X106" s="322"/>
      <c r="Y106" s="339"/>
      <c r="Z106" s="339"/>
      <c r="AA106" s="338"/>
    </row>
    <row r="107" spans="1:27">
      <c r="A107" s="321" t="s">
        <v>746</v>
      </c>
      <c r="B107" s="316" t="s">
        <v>123</v>
      </c>
      <c r="C107" s="324"/>
      <c r="D107" s="338"/>
      <c r="E107" s="338"/>
      <c r="F107" s="338"/>
      <c r="G107" s="339"/>
      <c r="H107" s="322"/>
      <c r="I107" s="339"/>
      <c r="J107" s="339"/>
      <c r="K107" s="338"/>
      <c r="L107" s="324"/>
      <c r="M107" s="338"/>
      <c r="N107" s="338"/>
      <c r="O107" s="339"/>
      <c r="P107" s="322"/>
      <c r="Q107" s="339"/>
      <c r="R107" s="339"/>
      <c r="S107" s="338"/>
      <c r="T107" s="324"/>
      <c r="U107" s="338"/>
      <c r="V107" s="338"/>
      <c r="W107" s="339"/>
      <c r="X107" s="322"/>
      <c r="Y107" s="339"/>
      <c r="Z107" s="339"/>
      <c r="AA107" s="338"/>
    </row>
    <row r="108" spans="1:27">
      <c r="A108" s="321" t="s">
        <v>776</v>
      </c>
      <c r="B108" s="316" t="s">
        <v>123</v>
      </c>
      <c r="C108" s="324"/>
      <c r="D108" s="711">
        <v>573080</v>
      </c>
      <c r="E108" s="711">
        <v>1235645</v>
      </c>
      <c r="F108" s="711">
        <f>D108-E108</f>
        <v>-662565</v>
      </c>
      <c r="G108" s="715">
        <v>662565</v>
      </c>
      <c r="H108" s="322"/>
      <c r="I108" s="714">
        <v>573080</v>
      </c>
      <c r="J108" s="714">
        <v>1235645</v>
      </c>
      <c r="K108" s="712">
        <v>662565</v>
      </c>
      <c r="L108" s="324"/>
      <c r="M108" s="338"/>
      <c r="N108" s="338"/>
      <c r="O108" s="339"/>
      <c r="P108" s="322"/>
      <c r="Q108" s="339"/>
      <c r="R108" s="339"/>
      <c r="S108" s="338"/>
      <c r="T108" s="324"/>
      <c r="U108" s="338"/>
      <c r="V108" s="338"/>
      <c r="W108" s="339"/>
      <c r="X108" s="322"/>
      <c r="Y108" s="339"/>
      <c r="Z108" s="339"/>
      <c r="AA108" s="338"/>
    </row>
    <row r="109" spans="1:27">
      <c r="A109" s="311" t="s">
        <v>777</v>
      </c>
      <c r="B109" s="311"/>
      <c r="C109" s="328"/>
      <c r="D109" s="702">
        <v>26528494.890000001</v>
      </c>
      <c r="E109" s="702">
        <v>8290404.7400000002</v>
      </c>
      <c r="F109" s="702">
        <f>D109-E109</f>
        <v>18238090.149999999</v>
      </c>
      <c r="G109" s="719">
        <v>18238090.149999999</v>
      </c>
      <c r="H109" s="326"/>
      <c r="I109" s="706">
        <v>26237796.489999998</v>
      </c>
      <c r="J109" s="706">
        <v>8261482.4199999999</v>
      </c>
      <c r="K109" s="731">
        <v>17976314.07</v>
      </c>
      <c r="L109" s="328"/>
      <c r="M109" s="708"/>
      <c r="N109" s="708"/>
      <c r="O109" s="341"/>
      <c r="P109" s="326"/>
      <c r="Q109" s="591">
        <v>1767.6</v>
      </c>
      <c r="R109" s="591">
        <v>883.8</v>
      </c>
      <c r="S109" s="593">
        <v>883.8</v>
      </c>
      <c r="T109" s="328"/>
      <c r="U109" s="708"/>
      <c r="V109" s="708"/>
      <c r="W109" s="341"/>
      <c r="X109" s="326"/>
      <c r="Y109" s="591">
        <v>288930.8</v>
      </c>
      <c r="Z109" s="591">
        <v>28038.52</v>
      </c>
      <c r="AA109" s="593">
        <v>260892.28</v>
      </c>
    </row>
    <row r="110" spans="1:27">
      <c r="A110" s="321" t="s">
        <v>778</v>
      </c>
      <c r="B110" s="321" t="s">
        <v>123</v>
      </c>
      <c r="C110" s="317"/>
      <c r="D110" s="723">
        <v>2546600</v>
      </c>
      <c r="E110" s="330"/>
      <c r="F110" s="330">
        <f>D110-E110</f>
        <v>2546600</v>
      </c>
      <c r="G110" s="727">
        <v>2546600</v>
      </c>
      <c r="H110" s="319"/>
      <c r="I110" s="726">
        <v>2546600</v>
      </c>
      <c r="J110" s="331"/>
      <c r="K110" s="724">
        <v>2546600</v>
      </c>
      <c r="L110" s="317"/>
      <c r="M110" s="330"/>
      <c r="N110" s="330"/>
      <c r="O110" s="331"/>
      <c r="P110" s="319"/>
      <c r="Q110" s="331"/>
      <c r="R110" s="331"/>
      <c r="S110" s="330"/>
      <c r="T110" s="317"/>
      <c r="U110" s="330"/>
      <c r="V110" s="330"/>
      <c r="W110" s="331"/>
      <c r="X110" s="319"/>
      <c r="Y110" s="331"/>
      <c r="Z110" s="331"/>
      <c r="AA110" s="330"/>
    </row>
    <row r="111" spans="1:27">
      <c r="A111" s="321" t="s">
        <v>779</v>
      </c>
      <c r="B111" s="321" t="s">
        <v>123</v>
      </c>
      <c r="C111" s="324"/>
      <c r="D111" s="711">
        <v>1008990.66</v>
      </c>
      <c r="E111" s="338"/>
      <c r="F111" s="338">
        <f>D111-E111</f>
        <v>1008990.66</v>
      </c>
      <c r="G111" s="737">
        <v>1008990.66</v>
      </c>
      <c r="H111" s="322"/>
      <c r="I111" s="714">
        <v>1008990.66</v>
      </c>
      <c r="J111" s="339"/>
      <c r="K111" s="735">
        <v>1008990.66</v>
      </c>
      <c r="L111" s="324"/>
      <c r="M111" s="338"/>
      <c r="N111" s="338"/>
      <c r="O111" s="339"/>
      <c r="P111" s="322"/>
      <c r="Q111" s="339"/>
      <c r="R111" s="339"/>
      <c r="S111" s="338"/>
      <c r="T111" s="324"/>
      <c r="U111" s="338"/>
      <c r="V111" s="338"/>
      <c r="W111" s="339"/>
      <c r="X111" s="322"/>
      <c r="Y111" s="339"/>
      <c r="Z111" s="339"/>
      <c r="AA111" s="338"/>
    </row>
    <row r="112" spans="1:27">
      <c r="A112" s="321" t="s">
        <v>780</v>
      </c>
      <c r="B112" s="321" t="s">
        <v>123</v>
      </c>
      <c r="C112" s="324"/>
      <c r="D112" s="711">
        <v>551414</v>
      </c>
      <c r="E112" s="338"/>
      <c r="F112" s="338">
        <f t="shared" ref="F112:F119" si="1">D112-E112</f>
        <v>551414</v>
      </c>
      <c r="G112" s="737">
        <v>551414</v>
      </c>
      <c r="H112" s="322"/>
      <c r="I112" s="714">
        <v>551414</v>
      </c>
      <c r="J112" s="339"/>
      <c r="K112" s="735">
        <v>551414</v>
      </c>
      <c r="L112" s="324"/>
      <c r="M112" s="338"/>
      <c r="N112" s="338"/>
      <c r="O112" s="339"/>
      <c r="P112" s="322"/>
      <c r="Q112" s="339"/>
      <c r="R112" s="339"/>
      <c r="S112" s="338"/>
      <c r="T112" s="324"/>
      <c r="U112" s="338"/>
      <c r="V112" s="338"/>
      <c r="W112" s="339"/>
      <c r="X112" s="322"/>
      <c r="Y112" s="339"/>
      <c r="Z112" s="339"/>
      <c r="AA112" s="338"/>
    </row>
    <row r="113" spans="1:27">
      <c r="A113" s="321" t="s">
        <v>781</v>
      </c>
      <c r="B113" s="321" t="s">
        <v>123</v>
      </c>
      <c r="C113" s="324"/>
      <c r="D113" s="711">
        <v>811231</v>
      </c>
      <c r="E113" s="711">
        <v>96000</v>
      </c>
      <c r="F113" s="338">
        <f t="shared" si="1"/>
        <v>715231</v>
      </c>
      <c r="G113" s="737">
        <v>715231</v>
      </c>
      <c r="H113" s="322"/>
      <c r="I113" s="714">
        <v>811231</v>
      </c>
      <c r="J113" s="714">
        <v>96000</v>
      </c>
      <c r="K113" s="735">
        <v>715231</v>
      </c>
      <c r="L113" s="324"/>
      <c r="M113" s="338"/>
      <c r="N113" s="338"/>
      <c r="O113" s="339"/>
      <c r="P113" s="322"/>
      <c r="Q113" s="339"/>
      <c r="R113" s="339"/>
      <c r="S113" s="338"/>
      <c r="T113" s="324"/>
      <c r="U113" s="338"/>
      <c r="V113" s="338"/>
      <c r="W113" s="339"/>
      <c r="X113" s="322"/>
      <c r="Y113" s="339"/>
      <c r="Z113" s="339"/>
      <c r="AA113" s="338"/>
    </row>
    <row r="114" spans="1:27">
      <c r="A114" s="321" t="s">
        <v>782</v>
      </c>
      <c r="B114" s="321" t="s">
        <v>123</v>
      </c>
      <c r="C114" s="324"/>
      <c r="D114" s="323">
        <v>185698.4</v>
      </c>
      <c r="E114" s="323">
        <v>13922.32</v>
      </c>
      <c r="F114" s="338">
        <f t="shared" si="1"/>
        <v>171776.08</v>
      </c>
      <c r="G114" s="592">
        <v>171776.08</v>
      </c>
      <c r="H114" s="322"/>
      <c r="I114" s="339"/>
      <c r="J114" s="339"/>
      <c r="K114" s="338"/>
      <c r="L114" s="324"/>
      <c r="M114" s="338"/>
      <c r="N114" s="338"/>
      <c r="O114" s="339"/>
      <c r="P114" s="322"/>
      <c r="Q114" s="325">
        <v>1767.6</v>
      </c>
      <c r="R114" s="325">
        <v>883.8</v>
      </c>
      <c r="S114" s="594">
        <v>883.8</v>
      </c>
      <c r="T114" s="324"/>
      <c r="U114" s="338"/>
      <c r="V114" s="338"/>
      <c r="W114" s="339"/>
      <c r="X114" s="322"/>
      <c r="Y114" s="325">
        <v>183930.8</v>
      </c>
      <c r="Z114" s="325">
        <v>13038.52</v>
      </c>
      <c r="AA114" s="594">
        <v>170892.28</v>
      </c>
    </row>
    <row r="115" spans="1:27">
      <c r="A115" s="321" t="s">
        <v>783</v>
      </c>
      <c r="B115" s="321" t="s">
        <v>123</v>
      </c>
      <c r="C115" s="324"/>
      <c r="D115" s="323">
        <v>105000</v>
      </c>
      <c r="E115" s="323">
        <v>15000</v>
      </c>
      <c r="F115" s="338">
        <f t="shared" si="1"/>
        <v>90000</v>
      </c>
      <c r="G115" s="592">
        <v>90000</v>
      </c>
      <c r="H115" s="322"/>
      <c r="I115" s="339"/>
      <c r="J115" s="339"/>
      <c r="K115" s="338"/>
      <c r="L115" s="324"/>
      <c r="M115" s="338"/>
      <c r="N115" s="338"/>
      <c r="O115" s="339"/>
      <c r="P115" s="322"/>
      <c r="Q115" s="339"/>
      <c r="R115" s="339"/>
      <c r="S115" s="338"/>
      <c r="T115" s="324"/>
      <c r="U115" s="338"/>
      <c r="V115" s="338"/>
      <c r="W115" s="339"/>
      <c r="X115" s="322"/>
      <c r="Y115" s="325">
        <v>105000</v>
      </c>
      <c r="Z115" s="325">
        <v>15000</v>
      </c>
      <c r="AA115" s="594">
        <v>90000</v>
      </c>
    </row>
    <row r="116" spans="1:27">
      <c r="A116" s="321" t="s">
        <v>784</v>
      </c>
      <c r="B116" s="321" t="s">
        <v>123</v>
      </c>
      <c r="C116" s="324"/>
      <c r="D116" s="711">
        <v>16911865.199999999</v>
      </c>
      <c r="E116" s="711">
        <v>7620773.4199999999</v>
      </c>
      <c r="F116" s="338">
        <f t="shared" si="1"/>
        <v>9291091.7799999993</v>
      </c>
      <c r="G116" s="737">
        <v>9291091.7799999993</v>
      </c>
      <c r="H116" s="322"/>
      <c r="I116" s="714">
        <v>16911865.199999999</v>
      </c>
      <c r="J116" s="714">
        <v>7620773.4199999999</v>
      </c>
      <c r="K116" s="735">
        <v>9291091.7799999993</v>
      </c>
      <c r="L116" s="324"/>
      <c r="M116" s="338"/>
      <c r="N116" s="338"/>
      <c r="O116" s="339"/>
      <c r="P116" s="322"/>
      <c r="Q116" s="339"/>
      <c r="R116" s="339"/>
      <c r="S116" s="338"/>
      <c r="T116" s="324"/>
      <c r="U116" s="338"/>
      <c r="V116" s="338"/>
      <c r="W116" s="339"/>
      <c r="X116" s="322"/>
      <c r="Y116" s="339"/>
      <c r="Z116" s="339"/>
      <c r="AA116" s="338"/>
    </row>
    <row r="117" spans="1:27">
      <c r="A117" s="321" t="s">
        <v>785</v>
      </c>
      <c r="B117" s="321" t="s">
        <v>123</v>
      </c>
      <c r="C117" s="324"/>
      <c r="D117" s="711">
        <v>4340631.63</v>
      </c>
      <c r="E117" s="711">
        <v>309749</v>
      </c>
      <c r="F117" s="338">
        <f t="shared" si="1"/>
        <v>4030882.63</v>
      </c>
      <c r="G117" s="737">
        <v>4030882.63</v>
      </c>
      <c r="H117" s="322"/>
      <c r="I117" s="714">
        <v>4340631.63</v>
      </c>
      <c r="J117" s="714">
        <v>309749</v>
      </c>
      <c r="K117" s="735">
        <v>4030882.63</v>
      </c>
      <c r="L117" s="324"/>
      <c r="M117" s="338"/>
      <c r="N117" s="338"/>
      <c r="O117" s="339"/>
      <c r="P117" s="322"/>
      <c r="Q117" s="339"/>
      <c r="R117" s="339"/>
      <c r="S117" s="338"/>
      <c r="T117" s="324"/>
      <c r="U117" s="338"/>
      <c r="V117" s="338"/>
      <c r="W117" s="339"/>
      <c r="X117" s="322"/>
      <c r="Y117" s="339"/>
      <c r="Z117" s="339"/>
      <c r="AA117" s="338"/>
    </row>
    <row r="118" spans="1:27">
      <c r="A118" s="321" t="s">
        <v>786</v>
      </c>
      <c r="B118" s="321" t="s">
        <v>123</v>
      </c>
      <c r="C118" s="324"/>
      <c r="D118" s="711">
        <v>67064</v>
      </c>
      <c r="E118" s="338"/>
      <c r="F118" s="338">
        <f t="shared" si="1"/>
        <v>67064</v>
      </c>
      <c r="G118" s="737">
        <v>67064</v>
      </c>
      <c r="H118" s="322"/>
      <c r="I118" s="714">
        <v>67064</v>
      </c>
      <c r="J118" s="339"/>
      <c r="K118" s="735">
        <v>67064</v>
      </c>
      <c r="L118" s="324"/>
      <c r="M118" s="338"/>
      <c r="N118" s="338"/>
      <c r="O118" s="339"/>
      <c r="P118" s="322"/>
      <c r="Q118" s="339"/>
      <c r="R118" s="339"/>
      <c r="S118" s="338"/>
      <c r="T118" s="324"/>
      <c r="U118" s="338"/>
      <c r="V118" s="338"/>
      <c r="W118" s="339"/>
      <c r="X118" s="322"/>
      <c r="Y118" s="339"/>
      <c r="Z118" s="339"/>
      <c r="AA118" s="338"/>
    </row>
    <row r="119" spans="1:27">
      <c r="A119" s="321" t="s">
        <v>787</v>
      </c>
      <c r="B119" s="321" t="s">
        <v>123</v>
      </c>
      <c r="C119" s="324"/>
      <c r="D119" s="338"/>
      <c r="E119" s="711">
        <v>234960</v>
      </c>
      <c r="F119" s="338">
        <f t="shared" si="1"/>
        <v>-234960</v>
      </c>
      <c r="G119" s="715">
        <v>234960</v>
      </c>
      <c r="H119" s="322"/>
      <c r="I119" s="339"/>
      <c r="J119" s="714">
        <v>234960</v>
      </c>
      <c r="K119" s="712">
        <v>234960</v>
      </c>
      <c r="L119" s="324"/>
      <c r="M119" s="338"/>
      <c r="N119" s="338"/>
      <c r="O119" s="339"/>
      <c r="P119" s="322"/>
      <c r="Q119" s="339"/>
      <c r="R119" s="339"/>
      <c r="S119" s="338"/>
      <c r="T119" s="324"/>
      <c r="U119" s="338"/>
      <c r="V119" s="338"/>
      <c r="W119" s="339"/>
      <c r="X119" s="322"/>
      <c r="Y119" s="339"/>
      <c r="Z119" s="339"/>
      <c r="AA119" s="338"/>
    </row>
    <row r="120" spans="1:27">
      <c r="A120" s="311" t="s">
        <v>374</v>
      </c>
      <c r="B120" s="311"/>
      <c r="C120" s="328"/>
      <c r="D120" s="702">
        <v>1938565.04</v>
      </c>
      <c r="E120" s="702">
        <v>3209168.74</v>
      </c>
      <c r="F120" s="702"/>
      <c r="G120" s="704">
        <v>1270603.7</v>
      </c>
      <c r="H120" s="326"/>
      <c r="I120" s="706">
        <v>464309</v>
      </c>
      <c r="J120" s="706">
        <v>760768.85</v>
      </c>
      <c r="K120" s="707">
        <v>296459.84999999998</v>
      </c>
      <c r="L120" s="328"/>
      <c r="M120" s="708"/>
      <c r="N120" s="708"/>
      <c r="O120" s="341"/>
      <c r="P120" s="326"/>
      <c r="Q120" s="591">
        <v>1440033.54</v>
      </c>
      <c r="R120" s="591">
        <v>2399702.39</v>
      </c>
      <c r="S120" s="590">
        <v>959668.85</v>
      </c>
      <c r="T120" s="328"/>
      <c r="U120" s="708"/>
      <c r="V120" s="703">
        <v>11340</v>
      </c>
      <c r="W120" s="740">
        <v>11340</v>
      </c>
      <c r="X120" s="326"/>
      <c r="Y120" s="591">
        <v>34222.5</v>
      </c>
      <c r="Z120" s="591">
        <v>37357.5</v>
      </c>
      <c r="AA120" s="590">
        <v>3135</v>
      </c>
    </row>
    <row r="121" spans="1:27">
      <c r="A121" s="321" t="s">
        <v>788</v>
      </c>
      <c r="B121" s="321" t="s">
        <v>13</v>
      </c>
      <c r="C121" s="317"/>
      <c r="D121" s="330"/>
      <c r="E121" s="723">
        <v>867</v>
      </c>
      <c r="F121" s="723">
        <f>E121-D121</f>
        <v>867</v>
      </c>
      <c r="G121" s="741">
        <v>867</v>
      </c>
      <c r="H121" s="319"/>
      <c r="I121" s="331"/>
      <c r="J121" s="726">
        <v>867</v>
      </c>
      <c r="K121" s="742">
        <v>867</v>
      </c>
      <c r="L121" s="317"/>
      <c r="M121" s="330"/>
      <c r="N121" s="330"/>
      <c r="O121" s="331"/>
      <c r="P121" s="319"/>
      <c r="Q121" s="331"/>
      <c r="R121" s="331"/>
      <c r="S121" s="330"/>
      <c r="T121" s="317"/>
      <c r="U121" s="330"/>
      <c r="V121" s="330"/>
      <c r="W121" s="331"/>
      <c r="X121" s="319"/>
      <c r="Y121" s="331"/>
      <c r="Z121" s="331"/>
      <c r="AA121" s="330"/>
    </row>
    <row r="122" spans="1:27">
      <c r="A122" s="321" t="s">
        <v>789</v>
      </c>
      <c r="B122" s="321" t="s">
        <v>13</v>
      </c>
      <c r="C122" s="324"/>
      <c r="D122" s="338"/>
      <c r="E122" s="323">
        <v>61200</v>
      </c>
      <c r="F122" s="323">
        <f>E122-D122</f>
        <v>61200</v>
      </c>
      <c r="G122" s="588">
        <v>61200</v>
      </c>
      <c r="H122" s="322"/>
      <c r="I122" s="339"/>
      <c r="J122" s="339"/>
      <c r="K122" s="338"/>
      <c r="L122" s="324"/>
      <c r="M122" s="338"/>
      <c r="N122" s="338"/>
      <c r="O122" s="339"/>
      <c r="P122" s="322"/>
      <c r="Q122" s="339"/>
      <c r="R122" s="325">
        <v>61200</v>
      </c>
      <c r="S122" s="589">
        <v>61200</v>
      </c>
      <c r="T122" s="324"/>
      <c r="U122" s="338"/>
      <c r="V122" s="338"/>
      <c r="W122" s="339"/>
      <c r="X122" s="322"/>
      <c r="Y122" s="339"/>
      <c r="Z122" s="339"/>
      <c r="AA122" s="338"/>
    </row>
    <row r="123" spans="1:27">
      <c r="A123" s="321" t="s">
        <v>790</v>
      </c>
      <c r="B123" s="321" t="s">
        <v>13</v>
      </c>
      <c r="C123" s="324"/>
      <c r="D123" s="338"/>
      <c r="E123" s="711">
        <v>656406.09</v>
      </c>
      <c r="F123" s="323">
        <f t="shared" ref="F123:F133" si="2">E123-D123</f>
        <v>656406.09</v>
      </c>
      <c r="G123" s="715">
        <v>656406.09</v>
      </c>
      <c r="H123" s="322"/>
      <c r="I123" s="339"/>
      <c r="J123" s="714">
        <v>656406.09</v>
      </c>
      <c r="K123" s="712">
        <v>656406.09</v>
      </c>
      <c r="L123" s="324"/>
      <c r="M123" s="338"/>
      <c r="N123" s="338"/>
      <c r="O123" s="339"/>
      <c r="P123" s="322"/>
      <c r="Q123" s="339"/>
      <c r="R123" s="339"/>
      <c r="S123" s="338"/>
      <c r="T123" s="324"/>
      <c r="U123" s="338"/>
      <c r="V123" s="338"/>
      <c r="W123" s="339"/>
      <c r="X123" s="322"/>
      <c r="Y123" s="339"/>
      <c r="Z123" s="339"/>
      <c r="AA123" s="338"/>
    </row>
    <row r="124" spans="1:27">
      <c r="A124" s="321" t="s">
        <v>791</v>
      </c>
      <c r="B124" s="321" t="s">
        <v>13</v>
      </c>
      <c r="C124" s="324"/>
      <c r="D124" s="323">
        <v>34222.5</v>
      </c>
      <c r="E124" s="323">
        <v>34222.5</v>
      </c>
      <c r="F124" s="323">
        <f t="shared" si="2"/>
        <v>0</v>
      </c>
      <c r="G124" s="339"/>
      <c r="H124" s="322"/>
      <c r="I124" s="339"/>
      <c r="J124" s="339"/>
      <c r="K124" s="338"/>
      <c r="L124" s="324"/>
      <c r="M124" s="338"/>
      <c r="N124" s="338"/>
      <c r="O124" s="339"/>
      <c r="P124" s="322"/>
      <c r="Q124" s="339"/>
      <c r="R124" s="339"/>
      <c r="S124" s="338"/>
      <c r="T124" s="324"/>
      <c r="U124" s="338"/>
      <c r="V124" s="338"/>
      <c r="W124" s="339"/>
      <c r="X124" s="322"/>
      <c r="Y124" s="325">
        <v>34222.5</v>
      </c>
      <c r="Z124" s="325">
        <v>34222.5</v>
      </c>
      <c r="AA124" s="338"/>
    </row>
    <row r="125" spans="1:27">
      <c r="A125" s="321" t="s">
        <v>792</v>
      </c>
      <c r="B125" s="321" t="s">
        <v>13</v>
      </c>
      <c r="C125" s="324"/>
      <c r="D125" s="338"/>
      <c r="E125" s="323">
        <v>11340</v>
      </c>
      <c r="F125" s="323">
        <f t="shared" si="2"/>
        <v>11340</v>
      </c>
      <c r="G125" s="588">
        <v>11340</v>
      </c>
      <c r="H125" s="322"/>
      <c r="I125" s="339"/>
      <c r="J125" s="339"/>
      <c r="K125" s="338"/>
      <c r="L125" s="324"/>
      <c r="M125" s="338"/>
      <c r="N125" s="338"/>
      <c r="O125" s="339"/>
      <c r="P125" s="322"/>
      <c r="Q125" s="339"/>
      <c r="R125" s="339"/>
      <c r="S125" s="338"/>
      <c r="T125" s="324"/>
      <c r="U125" s="338"/>
      <c r="V125" s="323">
        <v>11340</v>
      </c>
      <c r="W125" s="588">
        <v>11340</v>
      </c>
      <c r="X125" s="322"/>
      <c r="Y125" s="339"/>
      <c r="Z125" s="339"/>
      <c r="AA125" s="338"/>
    </row>
    <row r="126" spans="1:27">
      <c r="A126" s="321" t="s">
        <v>793</v>
      </c>
      <c r="B126" s="321" t="s">
        <v>13</v>
      </c>
      <c r="C126" s="324"/>
      <c r="D126" s="323">
        <v>176565.17</v>
      </c>
      <c r="E126" s="323">
        <v>769473.17</v>
      </c>
      <c r="F126" s="323">
        <f t="shared" si="2"/>
        <v>592908</v>
      </c>
      <c r="G126" s="588">
        <v>592908</v>
      </c>
      <c r="H126" s="322"/>
      <c r="I126" s="339"/>
      <c r="J126" s="339"/>
      <c r="K126" s="338"/>
      <c r="L126" s="324"/>
      <c r="M126" s="338"/>
      <c r="N126" s="338"/>
      <c r="O126" s="339"/>
      <c r="P126" s="322"/>
      <c r="Q126" s="325">
        <v>176565.17</v>
      </c>
      <c r="R126" s="325">
        <v>769473.17</v>
      </c>
      <c r="S126" s="589">
        <v>592908</v>
      </c>
      <c r="T126" s="324"/>
      <c r="U126" s="338"/>
      <c r="V126" s="338"/>
      <c r="W126" s="339"/>
      <c r="X126" s="322"/>
      <c r="Y126" s="339"/>
      <c r="Z126" s="339"/>
      <c r="AA126" s="338"/>
    </row>
    <row r="127" spans="1:27">
      <c r="A127" s="321" t="s">
        <v>794</v>
      </c>
      <c r="B127" s="321" t="s">
        <v>13</v>
      </c>
      <c r="C127" s="324"/>
      <c r="D127" s="338"/>
      <c r="E127" s="323">
        <v>123500</v>
      </c>
      <c r="F127" s="323">
        <f t="shared" si="2"/>
        <v>123500</v>
      </c>
      <c r="G127" s="588">
        <v>123500</v>
      </c>
      <c r="H127" s="322"/>
      <c r="I127" s="339"/>
      <c r="J127" s="339"/>
      <c r="K127" s="338"/>
      <c r="L127" s="324"/>
      <c r="M127" s="338"/>
      <c r="N127" s="338"/>
      <c r="O127" s="339"/>
      <c r="P127" s="322"/>
      <c r="Q127" s="339"/>
      <c r="R127" s="325">
        <v>123500</v>
      </c>
      <c r="S127" s="589">
        <v>123500</v>
      </c>
      <c r="T127" s="324"/>
      <c r="U127" s="338"/>
      <c r="V127" s="338"/>
      <c r="W127" s="339"/>
      <c r="X127" s="322"/>
      <c r="Y127" s="339"/>
      <c r="Z127" s="339"/>
      <c r="AA127" s="338"/>
    </row>
    <row r="128" spans="1:27">
      <c r="A128" s="321" t="s">
        <v>795</v>
      </c>
      <c r="B128" s="321" t="s">
        <v>13</v>
      </c>
      <c r="C128" s="324"/>
      <c r="D128" s="338"/>
      <c r="E128" s="711">
        <v>103495.76</v>
      </c>
      <c r="F128" s="323">
        <f t="shared" si="2"/>
        <v>103495.76</v>
      </c>
      <c r="G128" s="715">
        <v>103495.76</v>
      </c>
      <c r="H128" s="322"/>
      <c r="I128" s="339"/>
      <c r="J128" s="714">
        <v>103495.76</v>
      </c>
      <c r="K128" s="712">
        <v>103495.76</v>
      </c>
      <c r="L128" s="324"/>
      <c r="M128" s="338"/>
      <c r="N128" s="338"/>
      <c r="O128" s="339"/>
      <c r="P128" s="322"/>
      <c r="Q128" s="339"/>
      <c r="R128" s="339"/>
      <c r="S128" s="338"/>
      <c r="T128" s="324"/>
      <c r="U128" s="338"/>
      <c r="V128" s="338"/>
      <c r="W128" s="339"/>
      <c r="X128" s="322"/>
      <c r="Y128" s="339"/>
      <c r="Z128" s="339"/>
      <c r="AA128" s="338"/>
    </row>
    <row r="129" spans="1:27">
      <c r="A129" s="321" t="s">
        <v>796</v>
      </c>
      <c r="B129" s="321" t="s">
        <v>13</v>
      </c>
      <c r="C129" s="324"/>
      <c r="D129" s="711">
        <v>464309</v>
      </c>
      <c r="E129" s="338"/>
      <c r="F129" s="323">
        <f t="shared" si="2"/>
        <v>-464309</v>
      </c>
      <c r="G129" s="737">
        <v>464309</v>
      </c>
      <c r="H129" s="322"/>
      <c r="I129" s="714">
        <v>464309</v>
      </c>
      <c r="J129" s="339"/>
      <c r="K129" s="735">
        <v>464309</v>
      </c>
      <c r="L129" s="324"/>
      <c r="M129" s="338"/>
      <c r="N129" s="338"/>
      <c r="O129" s="339"/>
      <c r="P129" s="322"/>
      <c r="Q129" s="339"/>
      <c r="R129" s="339"/>
      <c r="S129" s="338"/>
      <c r="T129" s="324"/>
      <c r="U129" s="338"/>
      <c r="V129" s="338"/>
      <c r="W129" s="339"/>
      <c r="X129" s="322"/>
      <c r="Y129" s="339"/>
      <c r="Z129" s="339"/>
      <c r="AA129" s="338"/>
    </row>
    <row r="130" spans="1:27">
      <c r="A130" s="321" t="s">
        <v>797</v>
      </c>
      <c r="B130" s="321" t="s">
        <v>13</v>
      </c>
      <c r="C130" s="324"/>
      <c r="D130" s="338"/>
      <c r="E130" s="323">
        <v>3135</v>
      </c>
      <c r="F130" s="323">
        <f t="shared" si="2"/>
        <v>3135</v>
      </c>
      <c r="G130" s="588">
        <v>3135</v>
      </c>
      <c r="H130" s="322"/>
      <c r="I130" s="339"/>
      <c r="J130" s="339"/>
      <c r="K130" s="338"/>
      <c r="L130" s="324"/>
      <c r="M130" s="338"/>
      <c r="N130" s="338"/>
      <c r="O130" s="339"/>
      <c r="P130" s="322"/>
      <c r="Q130" s="339"/>
      <c r="R130" s="339"/>
      <c r="S130" s="338"/>
      <c r="T130" s="324"/>
      <c r="U130" s="338"/>
      <c r="V130" s="338"/>
      <c r="W130" s="339"/>
      <c r="X130" s="322"/>
      <c r="Y130" s="339"/>
      <c r="Z130" s="325">
        <v>3135</v>
      </c>
      <c r="AA130" s="589">
        <v>3135</v>
      </c>
    </row>
    <row r="131" spans="1:27">
      <c r="A131" s="321" t="s">
        <v>798</v>
      </c>
      <c r="B131" s="321" t="s">
        <v>13</v>
      </c>
      <c r="C131" s="324"/>
      <c r="D131" s="338"/>
      <c r="E131" s="323">
        <v>1</v>
      </c>
      <c r="F131" s="323">
        <f t="shared" si="2"/>
        <v>1</v>
      </c>
      <c r="G131" s="588">
        <v>1</v>
      </c>
      <c r="H131" s="322"/>
      <c r="I131" s="339"/>
      <c r="J131" s="339"/>
      <c r="K131" s="338"/>
      <c r="L131" s="324"/>
      <c r="M131" s="338"/>
      <c r="N131" s="338"/>
      <c r="O131" s="339"/>
      <c r="P131" s="322"/>
      <c r="Q131" s="339"/>
      <c r="R131" s="325">
        <v>1</v>
      </c>
      <c r="S131" s="589">
        <v>1</v>
      </c>
      <c r="T131" s="324"/>
      <c r="U131" s="338"/>
      <c r="V131" s="338"/>
      <c r="W131" s="339"/>
      <c r="X131" s="322"/>
      <c r="Y131" s="339"/>
      <c r="Z131" s="339"/>
      <c r="AA131" s="338"/>
    </row>
    <row r="132" spans="1:27">
      <c r="A132" s="321" t="s">
        <v>799</v>
      </c>
      <c r="B132" s="321" t="s">
        <v>13</v>
      </c>
      <c r="C132" s="324"/>
      <c r="D132" s="323">
        <v>1263468.3700000001</v>
      </c>
      <c r="E132" s="323">
        <v>1263468.3700000001</v>
      </c>
      <c r="F132" s="323">
        <f t="shared" si="2"/>
        <v>0</v>
      </c>
      <c r="G132" s="339"/>
      <c r="H132" s="322"/>
      <c r="I132" s="339"/>
      <c r="J132" s="339"/>
      <c r="K132" s="338"/>
      <c r="L132" s="324"/>
      <c r="M132" s="338"/>
      <c r="N132" s="338"/>
      <c r="O132" s="339"/>
      <c r="P132" s="322"/>
      <c r="Q132" s="325">
        <v>1263468.3700000001</v>
      </c>
      <c r="R132" s="325">
        <v>1263468.3700000001</v>
      </c>
      <c r="S132" s="338"/>
      <c r="T132" s="324"/>
      <c r="U132" s="338"/>
      <c r="V132" s="338"/>
      <c r="W132" s="339"/>
      <c r="X132" s="322"/>
      <c r="Y132" s="339"/>
      <c r="Z132" s="339"/>
      <c r="AA132" s="338"/>
    </row>
    <row r="133" spans="1:27">
      <c r="A133" s="321" t="s">
        <v>800</v>
      </c>
      <c r="B133" s="321" t="s">
        <v>13</v>
      </c>
      <c r="C133" s="324"/>
      <c r="D133" s="338"/>
      <c r="E133" s="323">
        <v>182059.85</v>
      </c>
      <c r="F133" s="323">
        <f t="shared" si="2"/>
        <v>182059.85</v>
      </c>
      <c r="G133" s="588">
        <v>182059.85</v>
      </c>
      <c r="H133" s="322"/>
      <c r="I133" s="339"/>
      <c r="J133" s="339"/>
      <c r="K133" s="338"/>
      <c r="L133" s="324"/>
      <c r="M133" s="338"/>
      <c r="N133" s="338"/>
      <c r="O133" s="339"/>
      <c r="P133" s="322"/>
      <c r="Q133" s="339"/>
      <c r="R133" s="325">
        <v>182059.85</v>
      </c>
      <c r="S133" s="589">
        <v>182059.85</v>
      </c>
      <c r="T133" s="324"/>
      <c r="U133" s="338"/>
      <c r="V133" s="338"/>
      <c r="W133" s="339"/>
      <c r="X133" s="322"/>
      <c r="Y133" s="339"/>
      <c r="Z133" s="339"/>
      <c r="AA133" s="338"/>
    </row>
    <row r="134" spans="1:27">
      <c r="A134" s="311" t="s">
        <v>380</v>
      </c>
      <c r="B134" s="311"/>
      <c r="C134" s="328"/>
      <c r="D134" s="702">
        <v>128478686.19</v>
      </c>
      <c r="E134" s="702">
        <v>36548134.539999999</v>
      </c>
      <c r="F134" s="702"/>
      <c r="G134" s="719">
        <v>91930551.650000006</v>
      </c>
      <c r="H134" s="326"/>
      <c r="I134" s="706">
        <v>84321288.590000004</v>
      </c>
      <c r="J134" s="706">
        <v>29603554.780000001</v>
      </c>
      <c r="K134" s="731">
        <v>54717733.810000002</v>
      </c>
      <c r="L134" s="328"/>
      <c r="M134" s="702">
        <v>8193</v>
      </c>
      <c r="N134" s="702">
        <v>0.5</v>
      </c>
      <c r="O134" s="719">
        <v>8192.5</v>
      </c>
      <c r="P134" s="326"/>
      <c r="Q134" s="591">
        <v>37316604.004000001</v>
      </c>
      <c r="R134" s="591">
        <v>6655262.2800000003</v>
      </c>
      <c r="S134" s="593">
        <v>30661341.723999999</v>
      </c>
      <c r="T134" s="328"/>
      <c r="U134" s="703">
        <v>6052987.8820000002</v>
      </c>
      <c r="V134" s="703">
        <v>97276.292000000001</v>
      </c>
      <c r="W134" s="721">
        <v>5955711.5899999999</v>
      </c>
      <c r="X134" s="326"/>
      <c r="Y134" s="591">
        <v>779612.71799999999</v>
      </c>
      <c r="Z134" s="591">
        <v>192040.68799999999</v>
      </c>
      <c r="AA134" s="593">
        <v>587572.03</v>
      </c>
    </row>
    <row r="135" spans="1:27">
      <c r="A135" s="316" t="s">
        <v>801</v>
      </c>
      <c r="B135" s="316" t="s">
        <v>128</v>
      </c>
      <c r="C135" s="319"/>
      <c r="D135" s="320">
        <v>387944.23</v>
      </c>
      <c r="E135" s="320">
        <v>32400</v>
      </c>
      <c r="F135" s="320">
        <f>D135-E135</f>
        <v>355544.23</v>
      </c>
      <c r="G135" s="739">
        <v>355544.23</v>
      </c>
      <c r="H135" s="317"/>
      <c r="I135" s="331"/>
      <c r="J135" s="331"/>
      <c r="K135" s="331"/>
      <c r="L135" s="319"/>
      <c r="M135" s="330"/>
      <c r="N135" s="330"/>
      <c r="O135" s="330"/>
      <c r="P135" s="317"/>
      <c r="Q135" s="318">
        <v>387944.23</v>
      </c>
      <c r="R135" s="318">
        <v>32400</v>
      </c>
      <c r="S135" s="729">
        <v>355544.23</v>
      </c>
      <c r="T135" s="319"/>
      <c r="U135" s="330"/>
      <c r="V135" s="330"/>
      <c r="W135" s="330"/>
      <c r="X135" s="317"/>
      <c r="Y135" s="331"/>
      <c r="Z135" s="331"/>
      <c r="AA135" s="331"/>
    </row>
    <row r="136" spans="1:27">
      <c r="A136" s="316" t="s">
        <v>802</v>
      </c>
      <c r="B136" s="316" t="s">
        <v>128</v>
      </c>
      <c r="C136" s="322"/>
      <c r="D136" s="711">
        <v>190850</v>
      </c>
      <c r="E136" s="338"/>
      <c r="F136" s="338">
        <f>D136-E136</f>
        <v>190850</v>
      </c>
      <c r="G136" s="735">
        <v>190850</v>
      </c>
      <c r="H136" s="324"/>
      <c r="I136" s="714">
        <v>190850</v>
      </c>
      <c r="J136" s="339"/>
      <c r="K136" s="737">
        <v>190850</v>
      </c>
      <c r="L136" s="322"/>
      <c r="M136" s="338"/>
      <c r="N136" s="338"/>
      <c r="O136" s="338"/>
      <c r="P136" s="324"/>
      <c r="Q136" s="339"/>
      <c r="R136" s="339"/>
      <c r="S136" s="339"/>
      <c r="T136" s="322"/>
      <c r="U136" s="338"/>
      <c r="V136" s="338"/>
      <c r="W136" s="338"/>
      <c r="X136" s="324"/>
      <c r="Y136" s="339"/>
      <c r="Z136" s="339"/>
      <c r="AA136" s="339"/>
    </row>
    <row r="137" spans="1:27">
      <c r="A137" s="316" t="s">
        <v>803</v>
      </c>
      <c r="B137" s="316" t="s">
        <v>128</v>
      </c>
      <c r="C137" s="322"/>
      <c r="D137" s="323">
        <v>3250</v>
      </c>
      <c r="E137" s="338"/>
      <c r="F137" s="338">
        <f t="shared" ref="F137:F200" si="3">D137-E137</f>
        <v>3250</v>
      </c>
      <c r="G137" s="594">
        <v>3250</v>
      </c>
      <c r="H137" s="324"/>
      <c r="I137" s="339"/>
      <c r="J137" s="339"/>
      <c r="K137" s="339"/>
      <c r="L137" s="322"/>
      <c r="M137" s="338"/>
      <c r="N137" s="338"/>
      <c r="O137" s="338"/>
      <c r="P137" s="324"/>
      <c r="Q137" s="325">
        <v>3250</v>
      </c>
      <c r="R137" s="339"/>
      <c r="S137" s="592">
        <v>3250</v>
      </c>
      <c r="T137" s="322"/>
      <c r="U137" s="338"/>
      <c r="V137" s="338"/>
      <c r="W137" s="338"/>
      <c r="X137" s="324"/>
      <c r="Y137" s="339"/>
      <c r="Z137" s="339"/>
      <c r="AA137" s="339"/>
    </row>
    <row r="138" spans="1:27">
      <c r="A138" s="316" t="s">
        <v>600</v>
      </c>
      <c r="B138" s="316" t="s">
        <v>128</v>
      </c>
      <c r="C138" s="322"/>
      <c r="D138" s="711">
        <v>4658681.78</v>
      </c>
      <c r="E138" s="711">
        <v>1208950.25</v>
      </c>
      <c r="F138" s="338">
        <f t="shared" si="3"/>
        <v>3449731.5300000003</v>
      </c>
      <c r="G138" s="735">
        <v>3449731.53</v>
      </c>
      <c r="H138" s="324"/>
      <c r="I138" s="714">
        <v>4156099.78</v>
      </c>
      <c r="J138" s="714">
        <v>1115619.25</v>
      </c>
      <c r="K138" s="737">
        <v>3040480.53</v>
      </c>
      <c r="L138" s="322"/>
      <c r="M138" s="711">
        <v>8193</v>
      </c>
      <c r="N138" s="338"/>
      <c r="O138" s="735">
        <v>8193</v>
      </c>
      <c r="P138" s="324"/>
      <c r="Q138" s="325">
        <v>30830</v>
      </c>
      <c r="R138" s="339"/>
      <c r="S138" s="592">
        <v>30830</v>
      </c>
      <c r="T138" s="322"/>
      <c r="U138" s="323">
        <v>195251</v>
      </c>
      <c r="V138" s="323">
        <v>23700</v>
      </c>
      <c r="W138" s="594">
        <v>171551</v>
      </c>
      <c r="X138" s="324"/>
      <c r="Y138" s="325">
        <v>268308</v>
      </c>
      <c r="Z138" s="325">
        <v>69631</v>
      </c>
      <c r="AA138" s="592">
        <v>198677</v>
      </c>
    </row>
    <row r="139" spans="1:27">
      <c r="A139" s="316" t="s">
        <v>804</v>
      </c>
      <c r="B139" s="316" t="s">
        <v>128</v>
      </c>
      <c r="C139" s="322"/>
      <c r="D139" s="323">
        <v>35557.5</v>
      </c>
      <c r="E139" s="323">
        <v>13814.82</v>
      </c>
      <c r="F139" s="338">
        <f t="shared" si="3"/>
        <v>21742.68</v>
      </c>
      <c r="G139" s="594">
        <v>21742.68</v>
      </c>
      <c r="H139" s="324"/>
      <c r="I139" s="339"/>
      <c r="J139" s="339"/>
      <c r="K139" s="339"/>
      <c r="L139" s="322"/>
      <c r="M139" s="338"/>
      <c r="N139" s="338"/>
      <c r="O139" s="338"/>
      <c r="P139" s="324"/>
      <c r="Q139" s="325">
        <v>35557.5</v>
      </c>
      <c r="R139" s="325">
        <v>13814.82</v>
      </c>
      <c r="S139" s="592">
        <v>21742.68</v>
      </c>
      <c r="T139" s="322"/>
      <c r="U139" s="338"/>
      <c r="V139" s="338"/>
      <c r="W139" s="338"/>
      <c r="X139" s="324"/>
      <c r="Y139" s="339"/>
      <c r="Z139" s="339"/>
      <c r="AA139" s="339"/>
    </row>
    <row r="140" spans="1:27">
      <c r="A140" s="316" t="s">
        <v>805</v>
      </c>
      <c r="B140" s="316" t="s">
        <v>128</v>
      </c>
      <c r="C140" s="322"/>
      <c r="D140" s="711">
        <v>38083.96</v>
      </c>
      <c r="E140" s="711">
        <v>11632.7</v>
      </c>
      <c r="F140" s="338">
        <f t="shared" si="3"/>
        <v>26451.26</v>
      </c>
      <c r="G140" s="735">
        <v>26451.26</v>
      </c>
      <c r="H140" s="324"/>
      <c r="I140" s="714">
        <v>38083.96</v>
      </c>
      <c r="J140" s="714">
        <v>11632.7</v>
      </c>
      <c r="K140" s="737">
        <v>26451.26</v>
      </c>
      <c r="L140" s="322"/>
      <c r="M140" s="338"/>
      <c r="N140" s="338"/>
      <c r="O140" s="338"/>
      <c r="P140" s="324"/>
      <c r="Q140" s="339"/>
      <c r="R140" s="339"/>
      <c r="S140" s="339"/>
      <c r="T140" s="322"/>
      <c r="U140" s="338"/>
      <c r="V140" s="338"/>
      <c r="W140" s="338"/>
      <c r="X140" s="324"/>
      <c r="Y140" s="339"/>
      <c r="Z140" s="339"/>
      <c r="AA140" s="339"/>
    </row>
    <row r="141" spans="1:27">
      <c r="A141" s="316" t="s">
        <v>806</v>
      </c>
      <c r="B141" s="316" t="s">
        <v>128</v>
      </c>
      <c r="C141" s="322"/>
      <c r="D141" s="711">
        <v>1795</v>
      </c>
      <c r="E141" s="338"/>
      <c r="F141" s="338">
        <f t="shared" si="3"/>
        <v>1795</v>
      </c>
      <c r="G141" s="735">
        <v>1795</v>
      </c>
      <c r="H141" s="324"/>
      <c r="I141" s="714">
        <v>1795</v>
      </c>
      <c r="J141" s="339"/>
      <c r="K141" s="737">
        <v>1795</v>
      </c>
      <c r="L141" s="322"/>
      <c r="M141" s="338"/>
      <c r="N141" s="338"/>
      <c r="O141" s="338"/>
      <c r="P141" s="324"/>
      <c r="Q141" s="339"/>
      <c r="R141" s="339"/>
      <c r="S141" s="339"/>
      <c r="T141" s="322"/>
      <c r="U141" s="338"/>
      <c r="V141" s="338"/>
      <c r="W141" s="338"/>
      <c r="X141" s="324"/>
      <c r="Y141" s="339"/>
      <c r="Z141" s="339"/>
      <c r="AA141" s="339"/>
    </row>
    <row r="142" spans="1:27">
      <c r="A142" s="316" t="s">
        <v>807</v>
      </c>
      <c r="B142" s="316" t="s">
        <v>128</v>
      </c>
      <c r="C142" s="322"/>
      <c r="D142" s="711">
        <v>487411</v>
      </c>
      <c r="E142" s="338"/>
      <c r="F142" s="338">
        <f t="shared" si="3"/>
        <v>487411</v>
      </c>
      <c r="G142" s="735">
        <v>487411</v>
      </c>
      <c r="H142" s="324"/>
      <c r="I142" s="714">
        <v>487411</v>
      </c>
      <c r="J142" s="339"/>
      <c r="K142" s="737">
        <v>487411</v>
      </c>
      <c r="L142" s="322"/>
      <c r="M142" s="338"/>
      <c r="N142" s="338"/>
      <c r="O142" s="338"/>
      <c r="P142" s="324"/>
      <c r="Q142" s="339"/>
      <c r="R142" s="339"/>
      <c r="S142" s="339"/>
      <c r="T142" s="322"/>
      <c r="U142" s="338"/>
      <c r="V142" s="338"/>
      <c r="W142" s="338"/>
      <c r="X142" s="324"/>
      <c r="Y142" s="339"/>
      <c r="Z142" s="339"/>
      <c r="AA142" s="339"/>
    </row>
    <row r="143" spans="1:27">
      <c r="A143" s="316" t="s">
        <v>808</v>
      </c>
      <c r="B143" s="316" t="s">
        <v>126</v>
      </c>
      <c r="C143" s="322"/>
      <c r="D143" s="711">
        <v>36314007.530000001</v>
      </c>
      <c r="E143" s="711">
        <v>15979367</v>
      </c>
      <c r="F143" s="338">
        <f t="shared" si="3"/>
        <v>20334640.530000001</v>
      </c>
      <c r="G143" s="735">
        <v>20334640.530000001</v>
      </c>
      <c r="H143" s="324"/>
      <c r="I143" s="714">
        <v>17976668</v>
      </c>
      <c r="J143" s="714">
        <v>15685525</v>
      </c>
      <c r="K143" s="737">
        <v>2291143</v>
      </c>
      <c r="L143" s="322"/>
      <c r="M143" s="338"/>
      <c r="N143" s="338"/>
      <c r="O143" s="338"/>
      <c r="P143" s="324"/>
      <c r="Q143" s="325">
        <v>18337339.530000001</v>
      </c>
      <c r="R143" s="325">
        <v>293842</v>
      </c>
      <c r="S143" s="592">
        <v>18043497.530000001</v>
      </c>
      <c r="T143" s="322"/>
      <c r="U143" s="338"/>
      <c r="V143" s="338"/>
      <c r="W143" s="338"/>
      <c r="X143" s="324"/>
      <c r="Y143" s="339"/>
      <c r="Z143" s="339"/>
      <c r="AA143" s="339"/>
    </row>
    <row r="144" spans="1:27">
      <c r="A144" s="316" t="s">
        <v>809</v>
      </c>
      <c r="B144" s="316" t="s">
        <v>128</v>
      </c>
      <c r="C144" s="322"/>
      <c r="D144" s="711">
        <v>395809.66</v>
      </c>
      <c r="E144" s="711">
        <v>80000</v>
      </c>
      <c r="F144" s="338">
        <f t="shared" si="3"/>
        <v>315809.65999999997</v>
      </c>
      <c r="G144" s="735">
        <v>315809.65999999997</v>
      </c>
      <c r="H144" s="324"/>
      <c r="I144" s="714">
        <v>395809.66</v>
      </c>
      <c r="J144" s="714">
        <v>80000</v>
      </c>
      <c r="K144" s="737">
        <v>315809.65999999997</v>
      </c>
      <c r="L144" s="322"/>
      <c r="M144" s="338"/>
      <c r="N144" s="338"/>
      <c r="O144" s="338"/>
      <c r="P144" s="324"/>
      <c r="Q144" s="339"/>
      <c r="R144" s="339"/>
      <c r="S144" s="339"/>
      <c r="T144" s="322"/>
      <c r="U144" s="338"/>
      <c r="V144" s="338"/>
      <c r="W144" s="338"/>
      <c r="X144" s="324"/>
      <c r="Y144" s="339"/>
      <c r="Z144" s="339"/>
      <c r="AA144" s="339"/>
    </row>
    <row r="145" spans="1:27">
      <c r="A145" s="316" t="s">
        <v>810</v>
      </c>
      <c r="B145" s="316" t="s">
        <v>128</v>
      </c>
      <c r="C145" s="322"/>
      <c r="D145" s="323">
        <v>597488</v>
      </c>
      <c r="E145" s="323">
        <v>167000</v>
      </c>
      <c r="F145" s="338">
        <f t="shared" si="3"/>
        <v>430488</v>
      </c>
      <c r="G145" s="594">
        <v>430488</v>
      </c>
      <c r="H145" s="324"/>
      <c r="I145" s="339"/>
      <c r="J145" s="339"/>
      <c r="K145" s="339"/>
      <c r="L145" s="322"/>
      <c r="M145" s="338"/>
      <c r="N145" s="338"/>
      <c r="O145" s="338"/>
      <c r="P145" s="324"/>
      <c r="Q145" s="325">
        <v>597488</v>
      </c>
      <c r="R145" s="325">
        <v>167000</v>
      </c>
      <c r="S145" s="592">
        <v>430488</v>
      </c>
      <c r="T145" s="322"/>
      <c r="U145" s="338"/>
      <c r="V145" s="338"/>
      <c r="W145" s="338"/>
      <c r="X145" s="324"/>
      <c r="Y145" s="339"/>
      <c r="Z145" s="339"/>
      <c r="AA145" s="339"/>
    </row>
    <row r="146" spans="1:27">
      <c r="A146" s="316" t="s">
        <v>782</v>
      </c>
      <c r="B146" s="316" t="s">
        <v>128</v>
      </c>
      <c r="C146" s="322"/>
      <c r="D146" s="711">
        <v>1022085</v>
      </c>
      <c r="E146" s="711">
        <v>3200</v>
      </c>
      <c r="F146" s="338">
        <f t="shared" si="3"/>
        <v>1018885</v>
      </c>
      <c r="G146" s="735">
        <v>1018885</v>
      </c>
      <c r="H146" s="324"/>
      <c r="I146" s="714">
        <v>1022085</v>
      </c>
      <c r="J146" s="714">
        <v>3200</v>
      </c>
      <c r="K146" s="737">
        <v>1018885</v>
      </c>
      <c r="L146" s="322"/>
      <c r="M146" s="338"/>
      <c r="N146" s="338"/>
      <c r="O146" s="338"/>
      <c r="P146" s="324"/>
      <c r="Q146" s="339"/>
      <c r="R146" s="339"/>
      <c r="S146" s="339"/>
      <c r="T146" s="322"/>
      <c r="U146" s="338"/>
      <c r="V146" s="338"/>
      <c r="W146" s="338"/>
      <c r="X146" s="324"/>
      <c r="Y146" s="339"/>
      <c r="Z146" s="339"/>
      <c r="AA146" s="339"/>
    </row>
    <row r="147" spans="1:27">
      <c r="A147" s="316" t="s">
        <v>811</v>
      </c>
      <c r="B147" s="316" t="s">
        <v>128</v>
      </c>
      <c r="C147" s="322"/>
      <c r="D147" s="323">
        <v>150691.674</v>
      </c>
      <c r="E147" s="711">
        <v>59407.22</v>
      </c>
      <c r="F147" s="338">
        <f t="shared" si="3"/>
        <v>91284.453999999998</v>
      </c>
      <c r="G147" s="735">
        <v>91284.45</v>
      </c>
      <c r="H147" s="324"/>
      <c r="I147" s="339"/>
      <c r="J147" s="339"/>
      <c r="K147" s="339"/>
      <c r="L147" s="322"/>
      <c r="M147" s="338"/>
      <c r="N147" s="711">
        <v>0.5</v>
      </c>
      <c r="O147" s="712">
        <v>0.5</v>
      </c>
      <c r="P147" s="324"/>
      <c r="Q147" s="325">
        <v>62552.864000000001</v>
      </c>
      <c r="R147" s="325">
        <v>59273.24</v>
      </c>
      <c r="S147" s="592">
        <v>3279.6239999999998</v>
      </c>
      <c r="T147" s="322"/>
      <c r="U147" s="323">
        <v>88122.491999999998</v>
      </c>
      <c r="V147" s="323">
        <v>82.292000000000002</v>
      </c>
      <c r="W147" s="594">
        <v>88040.2</v>
      </c>
      <c r="X147" s="324"/>
      <c r="Y147" s="325">
        <v>16.318000000000001</v>
      </c>
      <c r="Z147" s="325">
        <v>51.188000000000002</v>
      </c>
      <c r="AA147" s="588">
        <v>34.869999999999997</v>
      </c>
    </row>
    <row r="148" spans="1:27">
      <c r="A148" s="316" t="s">
        <v>812</v>
      </c>
      <c r="B148" s="316" t="s">
        <v>128</v>
      </c>
      <c r="C148" s="322"/>
      <c r="D148" s="323">
        <v>396917.58</v>
      </c>
      <c r="E148" s="338"/>
      <c r="F148" s="338">
        <f t="shared" si="3"/>
        <v>396917.58</v>
      </c>
      <c r="G148" s="594">
        <v>396917.58</v>
      </c>
      <c r="H148" s="324"/>
      <c r="I148" s="339"/>
      <c r="J148" s="339"/>
      <c r="K148" s="339"/>
      <c r="L148" s="322"/>
      <c r="M148" s="338"/>
      <c r="N148" s="338"/>
      <c r="O148" s="338"/>
      <c r="P148" s="324"/>
      <c r="Q148" s="325">
        <v>396917.58</v>
      </c>
      <c r="R148" s="339"/>
      <c r="S148" s="592">
        <v>396917.58</v>
      </c>
      <c r="T148" s="322"/>
      <c r="U148" s="338"/>
      <c r="V148" s="338"/>
      <c r="W148" s="338"/>
      <c r="X148" s="324"/>
      <c r="Y148" s="339"/>
      <c r="Z148" s="339"/>
      <c r="AA148" s="339"/>
    </row>
    <row r="149" spans="1:27">
      <c r="A149" s="316" t="s">
        <v>813</v>
      </c>
      <c r="B149" s="316" t="s">
        <v>128</v>
      </c>
      <c r="C149" s="322"/>
      <c r="D149" s="711">
        <v>278780.37</v>
      </c>
      <c r="E149" s="711">
        <v>66765.149999999994</v>
      </c>
      <c r="F149" s="338">
        <f t="shared" si="3"/>
        <v>212015.22</v>
      </c>
      <c r="G149" s="735">
        <v>212015.22</v>
      </c>
      <c r="H149" s="324"/>
      <c r="I149" s="714">
        <v>278780.37</v>
      </c>
      <c r="J149" s="714">
        <v>66765.149999999994</v>
      </c>
      <c r="K149" s="737">
        <v>212015.22</v>
      </c>
      <c r="L149" s="322"/>
      <c r="M149" s="338"/>
      <c r="N149" s="338"/>
      <c r="O149" s="338"/>
      <c r="P149" s="324"/>
      <c r="Q149" s="339"/>
      <c r="R149" s="339"/>
      <c r="S149" s="339"/>
      <c r="T149" s="322"/>
      <c r="U149" s="338"/>
      <c r="V149" s="338"/>
      <c r="W149" s="338"/>
      <c r="X149" s="324"/>
      <c r="Y149" s="339"/>
      <c r="Z149" s="339"/>
      <c r="AA149" s="339"/>
    </row>
    <row r="150" spans="1:27">
      <c r="A150" s="316" t="s">
        <v>814</v>
      </c>
      <c r="B150" s="316" t="s">
        <v>128</v>
      </c>
      <c r="C150" s="322"/>
      <c r="D150" s="711">
        <v>121445.25</v>
      </c>
      <c r="E150" s="711">
        <v>1880</v>
      </c>
      <c r="F150" s="338">
        <f t="shared" si="3"/>
        <v>119565.25</v>
      </c>
      <c r="G150" s="735">
        <v>119565.25</v>
      </c>
      <c r="H150" s="324"/>
      <c r="I150" s="714">
        <v>121445.25</v>
      </c>
      <c r="J150" s="714">
        <v>1880</v>
      </c>
      <c r="K150" s="737">
        <v>119565.25</v>
      </c>
      <c r="L150" s="322"/>
      <c r="M150" s="338"/>
      <c r="N150" s="338"/>
      <c r="O150" s="338"/>
      <c r="P150" s="324"/>
      <c r="Q150" s="339"/>
      <c r="R150" s="339"/>
      <c r="S150" s="339"/>
      <c r="T150" s="322"/>
      <c r="U150" s="338"/>
      <c r="V150" s="338"/>
      <c r="W150" s="338"/>
      <c r="X150" s="324"/>
      <c r="Y150" s="339"/>
      <c r="Z150" s="339"/>
      <c r="AA150" s="339"/>
    </row>
    <row r="151" spans="1:27">
      <c r="A151" s="342" t="s">
        <v>384</v>
      </c>
      <c r="B151" s="316" t="s">
        <v>128</v>
      </c>
      <c r="C151" s="322"/>
      <c r="D151" s="711">
        <v>5119234.09</v>
      </c>
      <c r="E151" s="711">
        <v>4864007</v>
      </c>
      <c r="F151" s="338">
        <f t="shared" si="3"/>
        <v>255227.08999999985</v>
      </c>
      <c r="G151" s="735">
        <v>255227.09</v>
      </c>
      <c r="H151" s="324"/>
      <c r="I151" s="714">
        <v>5089534.09</v>
      </c>
      <c r="J151" s="714">
        <v>4854107</v>
      </c>
      <c r="K151" s="737">
        <v>235427.09</v>
      </c>
      <c r="L151" s="322"/>
      <c r="M151" s="338"/>
      <c r="N151" s="338"/>
      <c r="O151" s="338"/>
      <c r="P151" s="324"/>
      <c r="Q151" s="339"/>
      <c r="R151" s="339"/>
      <c r="S151" s="339"/>
      <c r="T151" s="322"/>
      <c r="U151" s="323">
        <v>29700</v>
      </c>
      <c r="V151" s="323">
        <v>9900</v>
      </c>
      <c r="W151" s="594">
        <v>19800</v>
      </c>
      <c r="X151" s="324"/>
      <c r="Y151" s="339"/>
      <c r="Z151" s="339"/>
      <c r="AA151" s="339"/>
    </row>
    <row r="152" spans="1:27">
      <c r="A152" s="316" t="s">
        <v>815</v>
      </c>
      <c r="B152" s="316" t="s">
        <v>128</v>
      </c>
      <c r="C152" s="322"/>
      <c r="D152" s="711">
        <v>2222966.7400000002</v>
      </c>
      <c r="E152" s="323">
        <v>45610</v>
      </c>
      <c r="F152" s="338">
        <f t="shared" si="3"/>
        <v>2177356.7400000002</v>
      </c>
      <c r="G152" s="735">
        <v>2177356.7400000002</v>
      </c>
      <c r="H152" s="324"/>
      <c r="I152" s="714">
        <v>1949249.74</v>
      </c>
      <c r="J152" s="339"/>
      <c r="K152" s="737">
        <v>1949249.74</v>
      </c>
      <c r="L152" s="322"/>
      <c r="M152" s="338"/>
      <c r="N152" s="338"/>
      <c r="O152" s="338"/>
      <c r="P152" s="324"/>
      <c r="Q152" s="325">
        <v>273717</v>
      </c>
      <c r="R152" s="325">
        <v>45610</v>
      </c>
      <c r="S152" s="592">
        <v>228107</v>
      </c>
      <c r="T152" s="322"/>
      <c r="U152" s="338"/>
      <c r="V152" s="338"/>
      <c r="W152" s="338"/>
      <c r="X152" s="324"/>
      <c r="Y152" s="339"/>
      <c r="Z152" s="339"/>
      <c r="AA152" s="339"/>
    </row>
    <row r="153" spans="1:27">
      <c r="A153" s="316" t="s">
        <v>816</v>
      </c>
      <c r="B153" s="316" t="s">
        <v>125</v>
      </c>
      <c r="C153" s="322"/>
      <c r="D153" s="711">
        <v>22578367.100000001</v>
      </c>
      <c r="E153" s="711">
        <v>6599717</v>
      </c>
      <c r="F153" s="338">
        <f t="shared" si="3"/>
        <v>15978650.100000001</v>
      </c>
      <c r="G153" s="735">
        <v>15978650.1</v>
      </c>
      <c r="H153" s="324"/>
      <c r="I153" s="714">
        <v>14135126</v>
      </c>
      <c r="J153" s="714">
        <v>4800489</v>
      </c>
      <c r="K153" s="737">
        <v>9334637</v>
      </c>
      <c r="L153" s="322"/>
      <c r="M153" s="338"/>
      <c r="N153" s="338"/>
      <c r="O153" s="338"/>
      <c r="P153" s="324"/>
      <c r="Q153" s="325">
        <v>8263241.0999999996</v>
      </c>
      <c r="R153" s="325">
        <v>1739228</v>
      </c>
      <c r="S153" s="592">
        <v>6524013.0999999996</v>
      </c>
      <c r="T153" s="322"/>
      <c r="U153" s="323">
        <v>180000</v>
      </c>
      <c r="V153" s="323">
        <v>60000</v>
      </c>
      <c r="W153" s="594">
        <v>120000</v>
      </c>
      <c r="X153" s="324"/>
      <c r="Y153" s="339"/>
      <c r="Z153" s="339"/>
      <c r="AA153" s="339"/>
    </row>
    <row r="154" spans="1:27">
      <c r="A154" s="316" t="s">
        <v>817</v>
      </c>
      <c r="B154" s="316" t="s">
        <v>125</v>
      </c>
      <c r="C154" s="322"/>
      <c r="D154" s="711">
        <v>142396</v>
      </c>
      <c r="E154" s="711">
        <v>11255</v>
      </c>
      <c r="F154" s="338">
        <f t="shared" si="3"/>
        <v>131141</v>
      </c>
      <c r="G154" s="735">
        <v>131141</v>
      </c>
      <c r="H154" s="324"/>
      <c r="I154" s="714">
        <v>142396</v>
      </c>
      <c r="J154" s="714">
        <v>11255</v>
      </c>
      <c r="K154" s="737">
        <v>131141</v>
      </c>
      <c r="L154" s="322"/>
      <c r="M154" s="338"/>
      <c r="N154" s="338"/>
      <c r="O154" s="338"/>
      <c r="P154" s="324"/>
      <c r="Q154" s="339"/>
      <c r="R154" s="339"/>
      <c r="S154" s="339"/>
      <c r="T154" s="322"/>
      <c r="U154" s="338"/>
      <c r="V154" s="338"/>
      <c r="W154" s="338"/>
      <c r="X154" s="324"/>
      <c r="Y154" s="339"/>
      <c r="Z154" s="339"/>
      <c r="AA154" s="339"/>
    </row>
    <row r="155" spans="1:27">
      <c r="A155" s="316" t="s">
        <v>818</v>
      </c>
      <c r="B155" s="316" t="s">
        <v>128</v>
      </c>
      <c r="C155" s="322"/>
      <c r="D155" s="711">
        <v>7258622.5</v>
      </c>
      <c r="E155" s="711">
        <v>816476</v>
      </c>
      <c r="F155" s="338">
        <f t="shared" si="3"/>
        <v>6442146.5</v>
      </c>
      <c r="G155" s="735">
        <v>6442146.5</v>
      </c>
      <c r="H155" s="324"/>
      <c r="I155" s="714">
        <v>7258622.5</v>
      </c>
      <c r="J155" s="714">
        <v>816476</v>
      </c>
      <c r="K155" s="737">
        <v>6442146.5</v>
      </c>
      <c r="L155" s="322"/>
      <c r="M155" s="338"/>
      <c r="N155" s="338"/>
      <c r="O155" s="338"/>
      <c r="P155" s="324"/>
      <c r="Q155" s="339"/>
      <c r="R155" s="339"/>
      <c r="S155" s="339"/>
      <c r="T155" s="322"/>
      <c r="U155" s="338"/>
      <c r="V155" s="338"/>
      <c r="W155" s="338"/>
      <c r="X155" s="324"/>
      <c r="Y155" s="339"/>
      <c r="Z155" s="339"/>
      <c r="AA155" s="339"/>
    </row>
    <row r="156" spans="1:27">
      <c r="A156" s="316" t="s">
        <v>819</v>
      </c>
      <c r="B156" s="316" t="s">
        <v>128</v>
      </c>
      <c r="C156" s="322"/>
      <c r="D156" s="711">
        <v>47101</v>
      </c>
      <c r="E156" s="338"/>
      <c r="F156" s="338">
        <f t="shared" si="3"/>
        <v>47101</v>
      </c>
      <c r="G156" s="735">
        <v>47101</v>
      </c>
      <c r="H156" s="324"/>
      <c r="I156" s="714">
        <v>47101</v>
      </c>
      <c r="J156" s="339"/>
      <c r="K156" s="737">
        <v>47101</v>
      </c>
      <c r="L156" s="322"/>
      <c r="M156" s="338"/>
      <c r="N156" s="338"/>
      <c r="O156" s="338"/>
      <c r="P156" s="324"/>
      <c r="Q156" s="339"/>
      <c r="R156" s="339"/>
      <c r="S156" s="339"/>
      <c r="T156" s="322"/>
      <c r="U156" s="338"/>
      <c r="V156" s="338"/>
      <c r="W156" s="338"/>
      <c r="X156" s="324"/>
      <c r="Y156" s="339"/>
      <c r="Z156" s="339"/>
      <c r="AA156" s="339"/>
    </row>
    <row r="157" spans="1:27">
      <c r="A157" s="321" t="s">
        <v>820</v>
      </c>
      <c r="B157" s="316" t="s">
        <v>128</v>
      </c>
      <c r="C157" s="324"/>
      <c r="D157" s="711">
        <v>26333</v>
      </c>
      <c r="E157" s="338"/>
      <c r="F157" s="338">
        <f t="shared" si="3"/>
        <v>26333</v>
      </c>
      <c r="G157" s="737">
        <v>26333</v>
      </c>
      <c r="H157" s="322"/>
      <c r="I157" s="714">
        <v>26333</v>
      </c>
      <c r="J157" s="339"/>
      <c r="K157" s="735">
        <v>26333</v>
      </c>
      <c r="L157" s="324"/>
      <c r="M157" s="338"/>
      <c r="N157" s="338"/>
      <c r="O157" s="339"/>
      <c r="P157" s="322"/>
      <c r="Q157" s="339"/>
      <c r="R157" s="339"/>
      <c r="S157" s="338"/>
      <c r="T157" s="324"/>
      <c r="U157" s="338"/>
      <c r="V157" s="338"/>
      <c r="W157" s="339"/>
      <c r="X157" s="322"/>
      <c r="Y157" s="339"/>
      <c r="Z157" s="339"/>
      <c r="AA157" s="338"/>
    </row>
    <row r="158" spans="1:27">
      <c r="A158" s="321" t="s">
        <v>821</v>
      </c>
      <c r="B158" s="316" t="s">
        <v>128</v>
      </c>
      <c r="C158" s="324"/>
      <c r="D158" s="323">
        <v>8255</v>
      </c>
      <c r="E158" s="338"/>
      <c r="F158" s="338">
        <f t="shared" si="3"/>
        <v>8255</v>
      </c>
      <c r="G158" s="592">
        <v>8255</v>
      </c>
      <c r="H158" s="322"/>
      <c r="I158" s="339"/>
      <c r="J158" s="339"/>
      <c r="K158" s="338"/>
      <c r="L158" s="324"/>
      <c r="M158" s="338"/>
      <c r="N158" s="338"/>
      <c r="O158" s="339"/>
      <c r="P158" s="322"/>
      <c r="Q158" s="339"/>
      <c r="R158" s="339"/>
      <c r="S158" s="338"/>
      <c r="T158" s="324"/>
      <c r="U158" s="338"/>
      <c r="V158" s="338"/>
      <c r="W158" s="339"/>
      <c r="X158" s="322"/>
      <c r="Y158" s="325">
        <v>8255</v>
      </c>
      <c r="Z158" s="339"/>
      <c r="AA158" s="594">
        <v>8255</v>
      </c>
    </row>
    <row r="159" spans="1:27">
      <c r="A159" s="321" t="s">
        <v>822</v>
      </c>
      <c r="B159" s="316" t="s">
        <v>128</v>
      </c>
      <c r="C159" s="324"/>
      <c r="D159" s="711">
        <v>67000</v>
      </c>
      <c r="E159" s="338"/>
      <c r="F159" s="338">
        <f t="shared" si="3"/>
        <v>67000</v>
      </c>
      <c r="G159" s="737">
        <v>67000</v>
      </c>
      <c r="H159" s="322"/>
      <c r="I159" s="714">
        <v>67000</v>
      </c>
      <c r="J159" s="339"/>
      <c r="K159" s="735">
        <v>67000</v>
      </c>
      <c r="L159" s="324"/>
      <c r="M159" s="338"/>
      <c r="N159" s="338"/>
      <c r="O159" s="339"/>
      <c r="P159" s="322"/>
      <c r="Q159" s="339"/>
      <c r="R159" s="339"/>
      <c r="S159" s="338"/>
      <c r="T159" s="324"/>
      <c r="U159" s="338"/>
      <c r="V159" s="338"/>
      <c r="W159" s="339"/>
      <c r="X159" s="322"/>
      <c r="Y159" s="339"/>
      <c r="Z159" s="339"/>
      <c r="AA159" s="338"/>
    </row>
    <row r="160" spans="1:27">
      <c r="A160" s="321" t="s">
        <v>823</v>
      </c>
      <c r="B160" s="316" t="s">
        <v>128</v>
      </c>
      <c r="C160" s="324"/>
      <c r="D160" s="711">
        <v>21900</v>
      </c>
      <c r="E160" s="338"/>
      <c r="F160" s="338">
        <f t="shared" si="3"/>
        <v>21900</v>
      </c>
      <c r="G160" s="737">
        <v>21900</v>
      </c>
      <c r="H160" s="322"/>
      <c r="I160" s="714">
        <v>21900</v>
      </c>
      <c r="J160" s="339"/>
      <c r="K160" s="735">
        <v>21900</v>
      </c>
      <c r="L160" s="324"/>
      <c r="M160" s="338"/>
      <c r="N160" s="338"/>
      <c r="O160" s="339"/>
      <c r="P160" s="322"/>
      <c r="Q160" s="339"/>
      <c r="R160" s="339"/>
      <c r="S160" s="338"/>
      <c r="T160" s="324"/>
      <c r="U160" s="338"/>
      <c r="V160" s="338"/>
      <c r="W160" s="339"/>
      <c r="X160" s="322"/>
      <c r="Y160" s="339"/>
      <c r="Z160" s="339"/>
      <c r="AA160" s="338"/>
    </row>
    <row r="161" spans="1:27">
      <c r="A161" s="321" t="s">
        <v>824</v>
      </c>
      <c r="B161" s="316" t="s">
        <v>128</v>
      </c>
      <c r="C161" s="324"/>
      <c r="D161" s="323">
        <v>143296.54999999999</v>
      </c>
      <c r="E161" s="338"/>
      <c r="F161" s="338">
        <f t="shared" si="3"/>
        <v>143296.54999999999</v>
      </c>
      <c r="G161" s="592">
        <v>143296.54999999999</v>
      </c>
      <c r="H161" s="322"/>
      <c r="I161" s="339"/>
      <c r="J161" s="339"/>
      <c r="K161" s="338"/>
      <c r="L161" s="324"/>
      <c r="M161" s="338"/>
      <c r="N161" s="338"/>
      <c r="O161" s="339"/>
      <c r="P161" s="322"/>
      <c r="Q161" s="325">
        <v>143296.54999999999</v>
      </c>
      <c r="R161" s="339"/>
      <c r="S161" s="594">
        <v>143296.54999999999</v>
      </c>
      <c r="T161" s="324"/>
      <c r="U161" s="338"/>
      <c r="V161" s="338"/>
      <c r="W161" s="339"/>
      <c r="X161" s="322"/>
      <c r="Y161" s="339"/>
      <c r="Z161" s="339"/>
      <c r="AA161" s="338"/>
    </row>
    <row r="162" spans="1:27">
      <c r="A162" s="321" t="s">
        <v>806</v>
      </c>
      <c r="B162" s="316" t="s">
        <v>128</v>
      </c>
      <c r="C162" s="324"/>
      <c r="D162" s="323">
        <v>2568</v>
      </c>
      <c r="E162" s="338"/>
      <c r="F162" s="338">
        <f t="shared" si="3"/>
        <v>2568</v>
      </c>
      <c r="G162" s="592">
        <v>2568</v>
      </c>
      <c r="H162" s="322"/>
      <c r="I162" s="339"/>
      <c r="J162" s="339"/>
      <c r="K162" s="338"/>
      <c r="L162" s="324"/>
      <c r="M162" s="338"/>
      <c r="N162" s="338"/>
      <c r="O162" s="339"/>
      <c r="P162" s="322"/>
      <c r="Q162" s="325">
        <v>2568</v>
      </c>
      <c r="R162" s="339"/>
      <c r="S162" s="594">
        <v>2568</v>
      </c>
      <c r="T162" s="324"/>
      <c r="U162" s="338"/>
      <c r="V162" s="338"/>
      <c r="W162" s="339"/>
      <c r="X162" s="322"/>
      <c r="Y162" s="339"/>
      <c r="Z162" s="339"/>
      <c r="AA162" s="338"/>
    </row>
    <row r="163" spans="1:27">
      <c r="A163" s="321" t="s">
        <v>825</v>
      </c>
      <c r="B163" s="321" t="s">
        <v>127</v>
      </c>
      <c r="C163" s="324"/>
      <c r="D163" s="711">
        <v>3341855</v>
      </c>
      <c r="E163" s="338"/>
      <c r="F163" s="338">
        <f t="shared" si="3"/>
        <v>3341855</v>
      </c>
      <c r="G163" s="737">
        <v>3341855</v>
      </c>
      <c r="H163" s="322"/>
      <c r="I163" s="714">
        <v>3341855</v>
      </c>
      <c r="J163" s="339"/>
      <c r="K163" s="735">
        <v>3341855</v>
      </c>
      <c r="L163" s="324"/>
      <c r="M163" s="338"/>
      <c r="N163" s="338"/>
      <c r="O163" s="339"/>
      <c r="P163" s="322"/>
      <c r="Q163" s="339"/>
      <c r="R163" s="339"/>
      <c r="S163" s="338"/>
      <c r="T163" s="324"/>
      <c r="U163" s="338"/>
      <c r="V163" s="338"/>
      <c r="W163" s="339"/>
      <c r="X163" s="322"/>
      <c r="Y163" s="339"/>
      <c r="Z163" s="339"/>
      <c r="AA163" s="338"/>
    </row>
    <row r="164" spans="1:27">
      <c r="A164" s="321" t="s">
        <v>826</v>
      </c>
      <c r="B164" s="321" t="s">
        <v>127</v>
      </c>
      <c r="C164" s="324"/>
      <c r="D164" s="711">
        <v>6212706</v>
      </c>
      <c r="E164" s="338"/>
      <c r="F164" s="338">
        <f t="shared" si="3"/>
        <v>6212706</v>
      </c>
      <c r="G164" s="737">
        <v>6212706</v>
      </c>
      <c r="H164" s="322"/>
      <c r="I164" s="714">
        <v>6212706</v>
      </c>
      <c r="J164" s="339"/>
      <c r="K164" s="735">
        <v>6212706</v>
      </c>
      <c r="L164" s="324"/>
      <c r="M164" s="338"/>
      <c r="N164" s="338"/>
      <c r="O164" s="339"/>
      <c r="P164" s="322"/>
      <c r="Q164" s="339"/>
      <c r="R164" s="339"/>
      <c r="S164" s="338"/>
      <c r="T164" s="324"/>
      <c r="U164" s="338"/>
      <c r="V164" s="338"/>
      <c r="W164" s="339"/>
      <c r="X164" s="322"/>
      <c r="Y164" s="339"/>
      <c r="Z164" s="339"/>
      <c r="AA164" s="338"/>
    </row>
    <row r="165" spans="1:27">
      <c r="A165" s="321" t="s">
        <v>827</v>
      </c>
      <c r="B165" s="321" t="s">
        <v>128</v>
      </c>
      <c r="C165" s="324"/>
      <c r="D165" s="711">
        <v>46949</v>
      </c>
      <c r="E165" s="338"/>
      <c r="F165" s="338">
        <f t="shared" si="3"/>
        <v>46949</v>
      </c>
      <c r="G165" s="737">
        <v>46949</v>
      </c>
      <c r="H165" s="322"/>
      <c r="I165" s="714">
        <v>46949</v>
      </c>
      <c r="J165" s="339"/>
      <c r="K165" s="735">
        <v>46949</v>
      </c>
      <c r="L165" s="324"/>
      <c r="M165" s="338"/>
      <c r="N165" s="338"/>
      <c r="O165" s="339"/>
      <c r="P165" s="322"/>
      <c r="Q165" s="339"/>
      <c r="R165" s="339"/>
      <c r="S165" s="338"/>
      <c r="T165" s="324"/>
      <c r="U165" s="338"/>
      <c r="V165" s="338"/>
      <c r="W165" s="339"/>
      <c r="X165" s="322"/>
      <c r="Y165" s="339"/>
      <c r="Z165" s="339"/>
      <c r="AA165" s="338"/>
    </row>
    <row r="166" spans="1:27">
      <c r="A166" s="321" t="s">
        <v>828</v>
      </c>
      <c r="B166" s="321" t="s">
        <v>128</v>
      </c>
      <c r="C166" s="324"/>
      <c r="D166" s="338"/>
      <c r="E166" s="338"/>
      <c r="F166" s="338">
        <f t="shared" si="3"/>
        <v>0</v>
      </c>
      <c r="G166" s="339"/>
      <c r="H166" s="322"/>
      <c r="I166" s="339"/>
      <c r="J166" s="339"/>
      <c r="K166" s="338"/>
      <c r="L166" s="324"/>
      <c r="M166" s="338"/>
      <c r="N166" s="338"/>
      <c r="O166" s="339"/>
      <c r="P166" s="322"/>
      <c r="Q166" s="339"/>
      <c r="R166" s="339"/>
      <c r="S166" s="338"/>
      <c r="T166" s="324"/>
      <c r="U166" s="338"/>
      <c r="V166" s="338"/>
      <c r="W166" s="339"/>
      <c r="X166" s="322"/>
      <c r="Y166" s="339"/>
      <c r="Z166" s="339"/>
      <c r="AA166" s="338"/>
    </row>
    <row r="167" spans="1:27">
      <c r="A167" s="321" t="s">
        <v>484</v>
      </c>
      <c r="B167" s="321" t="s">
        <v>128</v>
      </c>
      <c r="C167" s="324"/>
      <c r="D167" s="338"/>
      <c r="E167" s="711">
        <v>400</v>
      </c>
      <c r="F167" s="338">
        <f t="shared" si="3"/>
        <v>-400</v>
      </c>
      <c r="G167" s="715">
        <v>400</v>
      </c>
      <c r="H167" s="322"/>
      <c r="I167" s="339"/>
      <c r="J167" s="714">
        <v>400</v>
      </c>
      <c r="K167" s="712">
        <v>400</v>
      </c>
      <c r="L167" s="324"/>
      <c r="M167" s="338"/>
      <c r="N167" s="338"/>
      <c r="O167" s="339"/>
      <c r="P167" s="322"/>
      <c r="Q167" s="339"/>
      <c r="R167" s="339"/>
      <c r="S167" s="338"/>
      <c r="T167" s="324"/>
      <c r="U167" s="338"/>
      <c r="V167" s="338"/>
      <c r="W167" s="339"/>
      <c r="X167" s="322"/>
      <c r="Y167" s="339"/>
      <c r="Z167" s="339"/>
      <c r="AA167" s="338"/>
    </row>
    <row r="168" spans="1:27">
      <c r="A168" s="321" t="s">
        <v>829</v>
      </c>
      <c r="B168" s="321" t="s">
        <v>128</v>
      </c>
      <c r="C168" s="324"/>
      <c r="D168" s="711">
        <v>998</v>
      </c>
      <c r="E168" s="338"/>
      <c r="F168" s="338">
        <f t="shared" si="3"/>
        <v>998</v>
      </c>
      <c r="G168" s="737">
        <v>998</v>
      </c>
      <c r="H168" s="322"/>
      <c r="I168" s="714">
        <v>998</v>
      </c>
      <c r="J168" s="339"/>
      <c r="K168" s="735">
        <v>998</v>
      </c>
      <c r="L168" s="324"/>
      <c r="M168" s="338"/>
      <c r="N168" s="338"/>
      <c r="O168" s="339"/>
      <c r="P168" s="322"/>
      <c r="Q168" s="339"/>
      <c r="R168" s="339"/>
      <c r="S168" s="338"/>
      <c r="T168" s="324"/>
      <c r="U168" s="338"/>
      <c r="V168" s="338"/>
      <c r="W168" s="339"/>
      <c r="X168" s="322"/>
      <c r="Y168" s="339"/>
      <c r="Z168" s="339"/>
      <c r="AA168" s="338"/>
    </row>
    <row r="169" spans="1:27">
      <c r="A169" s="321" t="s">
        <v>830</v>
      </c>
      <c r="B169" s="321" t="s">
        <v>128</v>
      </c>
      <c r="C169" s="324"/>
      <c r="D169" s="711">
        <v>1000</v>
      </c>
      <c r="E169" s="338"/>
      <c r="F169" s="338">
        <f t="shared" si="3"/>
        <v>1000</v>
      </c>
      <c r="G169" s="737">
        <v>1000</v>
      </c>
      <c r="H169" s="322"/>
      <c r="I169" s="714">
        <v>1000</v>
      </c>
      <c r="J169" s="339"/>
      <c r="K169" s="735">
        <v>1000</v>
      </c>
      <c r="L169" s="324"/>
      <c r="M169" s="338"/>
      <c r="N169" s="338"/>
      <c r="O169" s="339"/>
      <c r="P169" s="322"/>
      <c r="Q169" s="339"/>
      <c r="R169" s="339"/>
      <c r="S169" s="338"/>
      <c r="T169" s="324"/>
      <c r="U169" s="338"/>
      <c r="V169" s="338"/>
      <c r="W169" s="339"/>
      <c r="X169" s="322"/>
      <c r="Y169" s="339"/>
      <c r="Z169" s="339"/>
      <c r="AA169" s="338"/>
    </row>
    <row r="170" spans="1:27">
      <c r="A170" s="321" t="s">
        <v>603</v>
      </c>
      <c r="B170" s="321" t="s">
        <v>128</v>
      </c>
      <c r="C170" s="324"/>
      <c r="D170" s="711">
        <v>251000</v>
      </c>
      <c r="E170" s="338"/>
      <c r="F170" s="338">
        <f t="shared" si="3"/>
        <v>251000</v>
      </c>
      <c r="G170" s="737">
        <v>251000</v>
      </c>
      <c r="H170" s="322"/>
      <c r="I170" s="714">
        <v>51000</v>
      </c>
      <c r="J170" s="339"/>
      <c r="K170" s="735">
        <v>51000</v>
      </c>
      <c r="L170" s="324"/>
      <c r="M170" s="338"/>
      <c r="N170" s="338"/>
      <c r="O170" s="339"/>
      <c r="P170" s="322"/>
      <c r="Q170" s="325">
        <v>200000</v>
      </c>
      <c r="R170" s="339"/>
      <c r="S170" s="594">
        <v>200000</v>
      </c>
      <c r="T170" s="324"/>
      <c r="U170" s="338"/>
      <c r="V170" s="338"/>
      <c r="W170" s="339"/>
      <c r="X170" s="322"/>
      <c r="Y170" s="339"/>
      <c r="Z170" s="339"/>
      <c r="AA170" s="338"/>
    </row>
    <row r="171" spans="1:27">
      <c r="A171" s="321" t="s">
        <v>831</v>
      </c>
      <c r="B171" s="321" t="s">
        <v>128</v>
      </c>
      <c r="C171" s="324"/>
      <c r="D171" s="711">
        <v>177364.38</v>
      </c>
      <c r="E171" s="338"/>
      <c r="F171" s="338">
        <f t="shared" si="3"/>
        <v>177364.38</v>
      </c>
      <c r="G171" s="737">
        <v>177364.38</v>
      </c>
      <c r="H171" s="322"/>
      <c r="I171" s="714">
        <v>177364.38</v>
      </c>
      <c r="J171" s="339"/>
      <c r="K171" s="735">
        <v>177364.38</v>
      </c>
      <c r="L171" s="324"/>
      <c r="M171" s="338"/>
      <c r="N171" s="338"/>
      <c r="O171" s="339"/>
      <c r="P171" s="322"/>
      <c r="Q171" s="339"/>
      <c r="R171" s="339"/>
      <c r="S171" s="338"/>
      <c r="T171" s="324"/>
      <c r="U171" s="338"/>
      <c r="V171" s="338"/>
      <c r="W171" s="339"/>
      <c r="X171" s="322"/>
      <c r="Y171" s="339"/>
      <c r="Z171" s="339"/>
      <c r="AA171" s="338"/>
    </row>
    <row r="172" spans="1:27">
      <c r="A172" s="321" t="s">
        <v>832</v>
      </c>
      <c r="B172" s="321" t="s">
        <v>128</v>
      </c>
      <c r="C172" s="324"/>
      <c r="D172" s="323">
        <v>1200</v>
      </c>
      <c r="E172" s="338"/>
      <c r="F172" s="338">
        <f t="shared" si="3"/>
        <v>1200</v>
      </c>
      <c r="G172" s="592">
        <v>1200</v>
      </c>
      <c r="H172" s="322"/>
      <c r="I172" s="339"/>
      <c r="J172" s="339"/>
      <c r="K172" s="338"/>
      <c r="L172" s="324"/>
      <c r="M172" s="338"/>
      <c r="N172" s="338"/>
      <c r="O172" s="339"/>
      <c r="P172" s="322"/>
      <c r="Q172" s="339"/>
      <c r="R172" s="339"/>
      <c r="S172" s="338"/>
      <c r="T172" s="324"/>
      <c r="U172" s="323">
        <v>1200</v>
      </c>
      <c r="V172" s="338"/>
      <c r="W172" s="592">
        <v>1200</v>
      </c>
      <c r="X172" s="322"/>
      <c r="Y172" s="339"/>
      <c r="Z172" s="339"/>
      <c r="AA172" s="338"/>
    </row>
    <row r="173" spans="1:27">
      <c r="A173" s="321" t="s">
        <v>833</v>
      </c>
      <c r="B173" s="321" t="s">
        <v>128</v>
      </c>
      <c r="C173" s="324"/>
      <c r="D173" s="711">
        <v>6778768.4299999997</v>
      </c>
      <c r="E173" s="338"/>
      <c r="F173" s="338">
        <f t="shared" si="3"/>
        <v>6778768.4299999997</v>
      </c>
      <c r="G173" s="737">
        <v>6778768.4299999997</v>
      </c>
      <c r="H173" s="322"/>
      <c r="I173" s="714">
        <v>6778768.4299999997</v>
      </c>
      <c r="J173" s="339"/>
      <c r="K173" s="735">
        <v>6778768.4299999997</v>
      </c>
      <c r="L173" s="324"/>
      <c r="M173" s="338"/>
      <c r="N173" s="338"/>
      <c r="O173" s="339"/>
      <c r="P173" s="322"/>
      <c r="Q173" s="339"/>
      <c r="R173" s="339"/>
      <c r="S173" s="338"/>
      <c r="T173" s="324"/>
      <c r="U173" s="338"/>
      <c r="V173" s="338"/>
      <c r="W173" s="339"/>
      <c r="X173" s="322"/>
      <c r="Y173" s="339"/>
      <c r="Z173" s="339"/>
      <c r="AA173" s="338"/>
    </row>
    <row r="174" spans="1:27">
      <c r="A174" s="321" t="s">
        <v>834</v>
      </c>
      <c r="B174" s="321" t="s">
        <v>128</v>
      </c>
      <c r="C174" s="324"/>
      <c r="D174" s="323">
        <v>361479.4</v>
      </c>
      <c r="E174" s="323">
        <v>34222.5</v>
      </c>
      <c r="F174" s="338">
        <f t="shared" si="3"/>
        <v>327256.90000000002</v>
      </c>
      <c r="G174" s="592">
        <v>327256.90000000002</v>
      </c>
      <c r="H174" s="322"/>
      <c r="I174" s="339"/>
      <c r="J174" s="339"/>
      <c r="K174" s="338"/>
      <c r="L174" s="324"/>
      <c r="M174" s="338"/>
      <c r="N174" s="338"/>
      <c r="O174" s="339"/>
      <c r="P174" s="322"/>
      <c r="Q174" s="339"/>
      <c r="R174" s="339"/>
      <c r="S174" s="338"/>
      <c r="T174" s="324"/>
      <c r="U174" s="338"/>
      <c r="V174" s="338"/>
      <c r="W174" s="339"/>
      <c r="X174" s="322"/>
      <c r="Y174" s="325">
        <v>361479.4</v>
      </c>
      <c r="Z174" s="325">
        <v>34222.5</v>
      </c>
      <c r="AA174" s="594">
        <v>327256.90000000002</v>
      </c>
    </row>
    <row r="175" spans="1:27">
      <c r="A175" s="321" t="s">
        <v>835</v>
      </c>
      <c r="B175" s="321" t="s">
        <v>128</v>
      </c>
      <c r="C175" s="324"/>
      <c r="D175" s="711">
        <v>1992875.41</v>
      </c>
      <c r="E175" s="338"/>
      <c r="F175" s="338">
        <f t="shared" si="3"/>
        <v>1992875.41</v>
      </c>
      <c r="G175" s="737">
        <v>1992875.41</v>
      </c>
      <c r="H175" s="322"/>
      <c r="I175" s="714">
        <v>1992875.41</v>
      </c>
      <c r="J175" s="339"/>
      <c r="K175" s="735">
        <v>1992875.41</v>
      </c>
      <c r="L175" s="324"/>
      <c r="M175" s="338"/>
      <c r="N175" s="338"/>
      <c r="O175" s="339"/>
      <c r="P175" s="322"/>
      <c r="Q175" s="339"/>
      <c r="R175" s="339"/>
      <c r="S175" s="338"/>
      <c r="T175" s="324"/>
      <c r="U175" s="338"/>
      <c r="V175" s="338"/>
      <c r="W175" s="339"/>
      <c r="X175" s="322"/>
      <c r="Y175" s="339"/>
      <c r="Z175" s="339"/>
      <c r="AA175" s="338"/>
    </row>
    <row r="176" spans="1:27">
      <c r="A176" s="321" t="s">
        <v>836</v>
      </c>
      <c r="B176" s="321" t="s">
        <v>128</v>
      </c>
      <c r="C176" s="324"/>
      <c r="D176" s="711">
        <v>5500</v>
      </c>
      <c r="E176" s="338"/>
      <c r="F176" s="338">
        <f t="shared" si="3"/>
        <v>5500</v>
      </c>
      <c r="G176" s="737">
        <v>5500</v>
      </c>
      <c r="H176" s="322"/>
      <c r="I176" s="714">
        <v>5500</v>
      </c>
      <c r="J176" s="339"/>
      <c r="K176" s="735">
        <v>5500</v>
      </c>
      <c r="L176" s="324"/>
      <c r="M176" s="338"/>
      <c r="N176" s="338"/>
      <c r="O176" s="339"/>
      <c r="P176" s="322"/>
      <c r="Q176" s="339"/>
      <c r="R176" s="339"/>
      <c r="S176" s="338"/>
      <c r="T176" s="324"/>
      <c r="U176" s="338"/>
      <c r="V176" s="338"/>
      <c r="W176" s="339"/>
      <c r="X176" s="322"/>
      <c r="Y176" s="339"/>
      <c r="Z176" s="339"/>
      <c r="AA176" s="338"/>
    </row>
    <row r="177" spans="1:27">
      <c r="A177" s="321" t="s">
        <v>837</v>
      </c>
      <c r="B177" s="321" t="s">
        <v>128</v>
      </c>
      <c r="C177" s="324"/>
      <c r="D177" s="711">
        <v>8787561.5700000003</v>
      </c>
      <c r="E177" s="711">
        <v>90952</v>
      </c>
      <c r="F177" s="338">
        <f t="shared" si="3"/>
        <v>8696609.5700000003</v>
      </c>
      <c r="G177" s="737">
        <v>8696609.5700000003</v>
      </c>
      <c r="H177" s="322"/>
      <c r="I177" s="714">
        <v>8787561.5700000003</v>
      </c>
      <c r="J177" s="714">
        <v>90952</v>
      </c>
      <c r="K177" s="735">
        <v>8696609.5700000003</v>
      </c>
      <c r="L177" s="324"/>
      <c r="M177" s="338"/>
      <c r="N177" s="338"/>
      <c r="O177" s="339"/>
      <c r="P177" s="322"/>
      <c r="Q177" s="339"/>
      <c r="R177" s="339"/>
      <c r="S177" s="338"/>
      <c r="T177" s="324"/>
      <c r="U177" s="338"/>
      <c r="V177" s="338"/>
      <c r="W177" s="339"/>
      <c r="X177" s="322"/>
      <c r="Y177" s="339"/>
      <c r="Z177" s="339"/>
      <c r="AA177" s="338"/>
    </row>
    <row r="178" spans="1:27">
      <c r="A178" s="321" t="s">
        <v>838</v>
      </c>
      <c r="B178" s="321" t="s">
        <v>128</v>
      </c>
      <c r="C178" s="324"/>
      <c r="D178" s="323">
        <v>88136</v>
      </c>
      <c r="E178" s="323">
        <v>88136</v>
      </c>
      <c r="F178" s="338">
        <f t="shared" si="3"/>
        <v>0</v>
      </c>
      <c r="G178" s="339"/>
      <c r="H178" s="322"/>
      <c r="I178" s="339"/>
      <c r="J178" s="339"/>
      <c r="K178" s="338"/>
      <c r="L178" s="324"/>
      <c r="M178" s="338"/>
      <c r="N178" s="338"/>
      <c r="O178" s="339"/>
      <c r="P178" s="322"/>
      <c r="Q178" s="339"/>
      <c r="R178" s="339"/>
      <c r="S178" s="338"/>
      <c r="T178" s="324"/>
      <c r="U178" s="338"/>
      <c r="V178" s="338"/>
      <c r="W178" s="339"/>
      <c r="X178" s="322"/>
      <c r="Y178" s="325">
        <v>88136</v>
      </c>
      <c r="Z178" s="325">
        <v>88136</v>
      </c>
      <c r="AA178" s="338"/>
    </row>
    <row r="179" spans="1:27">
      <c r="A179" s="321" t="s">
        <v>839</v>
      </c>
      <c r="B179" s="321" t="s">
        <v>128</v>
      </c>
      <c r="C179" s="324"/>
      <c r="D179" s="323">
        <v>36217.25</v>
      </c>
      <c r="E179" s="323">
        <v>19000</v>
      </c>
      <c r="F179" s="338">
        <f t="shared" si="3"/>
        <v>17217.25</v>
      </c>
      <c r="G179" s="592">
        <v>17217.25</v>
      </c>
      <c r="H179" s="322"/>
      <c r="I179" s="339"/>
      <c r="J179" s="339"/>
      <c r="K179" s="338"/>
      <c r="L179" s="324"/>
      <c r="M179" s="338"/>
      <c r="N179" s="338"/>
      <c r="O179" s="339"/>
      <c r="P179" s="322"/>
      <c r="Q179" s="325">
        <v>36217.25</v>
      </c>
      <c r="R179" s="325">
        <v>19000</v>
      </c>
      <c r="S179" s="594">
        <v>17217.25</v>
      </c>
      <c r="T179" s="324"/>
      <c r="U179" s="338"/>
      <c r="V179" s="338"/>
      <c r="W179" s="339"/>
      <c r="X179" s="322"/>
      <c r="Y179" s="339"/>
      <c r="Z179" s="339"/>
      <c r="AA179" s="338"/>
    </row>
    <row r="180" spans="1:27">
      <c r="A180" s="321" t="s">
        <v>840</v>
      </c>
      <c r="B180" s="321" t="s">
        <v>128</v>
      </c>
      <c r="C180" s="324"/>
      <c r="D180" s="323">
        <v>133759</v>
      </c>
      <c r="E180" s="338"/>
      <c r="F180" s="338">
        <f t="shared" si="3"/>
        <v>133759</v>
      </c>
      <c r="G180" s="592">
        <v>133759</v>
      </c>
      <c r="H180" s="322"/>
      <c r="I180" s="339"/>
      <c r="J180" s="339"/>
      <c r="K180" s="338"/>
      <c r="L180" s="324"/>
      <c r="M180" s="338"/>
      <c r="N180" s="338"/>
      <c r="O180" s="339"/>
      <c r="P180" s="322"/>
      <c r="Q180" s="325">
        <v>133759</v>
      </c>
      <c r="R180" s="339"/>
      <c r="S180" s="594">
        <v>133759</v>
      </c>
      <c r="T180" s="324"/>
      <c r="U180" s="338"/>
      <c r="V180" s="338"/>
      <c r="W180" s="339"/>
      <c r="X180" s="322"/>
      <c r="Y180" s="339"/>
      <c r="Z180" s="339"/>
      <c r="AA180" s="338"/>
    </row>
    <row r="181" spans="1:27">
      <c r="A181" s="321" t="s">
        <v>841</v>
      </c>
      <c r="B181" s="321" t="s">
        <v>128</v>
      </c>
      <c r="C181" s="324"/>
      <c r="D181" s="711">
        <v>900</v>
      </c>
      <c r="E181" s="338"/>
      <c r="F181" s="338">
        <f t="shared" si="3"/>
        <v>900</v>
      </c>
      <c r="G181" s="737">
        <v>900</v>
      </c>
      <c r="H181" s="322"/>
      <c r="I181" s="714">
        <v>900</v>
      </c>
      <c r="J181" s="339"/>
      <c r="K181" s="735">
        <v>900</v>
      </c>
      <c r="L181" s="324"/>
      <c r="M181" s="338"/>
      <c r="N181" s="338"/>
      <c r="O181" s="339"/>
      <c r="P181" s="322"/>
      <c r="Q181" s="339"/>
      <c r="R181" s="339"/>
      <c r="S181" s="338"/>
      <c r="T181" s="324"/>
      <c r="U181" s="338"/>
      <c r="V181" s="338"/>
      <c r="W181" s="339"/>
      <c r="X181" s="322"/>
      <c r="Y181" s="339"/>
      <c r="Z181" s="339"/>
      <c r="AA181" s="338"/>
    </row>
    <row r="182" spans="1:27">
      <c r="A182" s="321" t="s">
        <v>842</v>
      </c>
      <c r="B182" s="321" t="s">
        <v>128</v>
      </c>
      <c r="C182" s="324"/>
      <c r="D182" s="323">
        <v>2201.64</v>
      </c>
      <c r="E182" s="338"/>
      <c r="F182" s="338">
        <f t="shared" si="3"/>
        <v>2201.64</v>
      </c>
      <c r="G182" s="592">
        <v>2201.64</v>
      </c>
      <c r="H182" s="322"/>
      <c r="I182" s="339"/>
      <c r="J182" s="339"/>
      <c r="K182" s="338"/>
      <c r="L182" s="324"/>
      <c r="M182" s="338"/>
      <c r="N182" s="338"/>
      <c r="O182" s="339"/>
      <c r="P182" s="322"/>
      <c r="Q182" s="339"/>
      <c r="R182" s="339"/>
      <c r="S182" s="338"/>
      <c r="T182" s="324"/>
      <c r="U182" s="323">
        <v>2201.64</v>
      </c>
      <c r="V182" s="338"/>
      <c r="W182" s="592">
        <v>2201.64</v>
      </c>
      <c r="X182" s="322"/>
      <c r="Y182" s="339"/>
      <c r="Z182" s="339"/>
      <c r="AA182" s="338"/>
    </row>
    <row r="183" spans="1:27">
      <c r="A183" s="321" t="s">
        <v>843</v>
      </c>
      <c r="B183" s="321" t="s">
        <v>126</v>
      </c>
      <c r="C183" s="324"/>
      <c r="D183" s="711">
        <v>279683</v>
      </c>
      <c r="E183" s="338"/>
      <c r="F183" s="338">
        <f t="shared" si="3"/>
        <v>279683</v>
      </c>
      <c r="G183" s="737">
        <v>279683</v>
      </c>
      <c r="H183" s="322"/>
      <c r="I183" s="714">
        <v>279683</v>
      </c>
      <c r="J183" s="339"/>
      <c r="K183" s="735">
        <v>279683</v>
      </c>
      <c r="L183" s="324"/>
      <c r="M183" s="338"/>
      <c r="N183" s="338"/>
      <c r="O183" s="339"/>
      <c r="P183" s="322"/>
      <c r="Q183" s="339"/>
      <c r="R183" s="339"/>
      <c r="S183" s="338"/>
      <c r="T183" s="324"/>
      <c r="U183" s="338"/>
      <c r="V183" s="338"/>
      <c r="W183" s="339"/>
      <c r="X183" s="322"/>
      <c r="Y183" s="339"/>
      <c r="Z183" s="339"/>
      <c r="AA183" s="338"/>
    </row>
    <row r="184" spans="1:27">
      <c r="A184" s="321" t="s">
        <v>844</v>
      </c>
      <c r="B184" s="321" t="s">
        <v>128</v>
      </c>
      <c r="C184" s="324"/>
      <c r="D184" s="711">
        <v>1064017.1499999999</v>
      </c>
      <c r="E184" s="711">
        <v>507941</v>
      </c>
      <c r="F184" s="338">
        <f t="shared" si="3"/>
        <v>556076.14999999991</v>
      </c>
      <c r="G184" s="737">
        <v>556076.15</v>
      </c>
      <c r="H184" s="322"/>
      <c r="I184" s="714">
        <v>1064017.1499999999</v>
      </c>
      <c r="J184" s="714">
        <v>507941</v>
      </c>
      <c r="K184" s="735">
        <v>556076.15</v>
      </c>
      <c r="L184" s="324"/>
      <c r="M184" s="338"/>
      <c r="N184" s="338"/>
      <c r="O184" s="339"/>
      <c r="P184" s="322"/>
      <c r="Q184" s="339"/>
      <c r="R184" s="339"/>
      <c r="S184" s="338"/>
      <c r="T184" s="324"/>
      <c r="U184" s="338"/>
      <c r="V184" s="338"/>
      <c r="W184" s="339"/>
      <c r="X184" s="322"/>
      <c r="Y184" s="339"/>
      <c r="Z184" s="339"/>
      <c r="AA184" s="338"/>
    </row>
    <row r="185" spans="1:27">
      <c r="A185" s="321" t="s">
        <v>845</v>
      </c>
      <c r="B185" s="321" t="s">
        <v>128</v>
      </c>
      <c r="C185" s="324"/>
      <c r="D185" s="323">
        <v>223230.56</v>
      </c>
      <c r="E185" s="338"/>
      <c r="F185" s="338">
        <f t="shared" si="3"/>
        <v>223230.56</v>
      </c>
      <c r="G185" s="592">
        <v>223230.56</v>
      </c>
      <c r="H185" s="322"/>
      <c r="I185" s="339"/>
      <c r="J185" s="339"/>
      <c r="K185" s="338"/>
      <c r="L185" s="324"/>
      <c r="M185" s="338"/>
      <c r="N185" s="338"/>
      <c r="O185" s="339"/>
      <c r="P185" s="322"/>
      <c r="Q185" s="325">
        <v>223230.56</v>
      </c>
      <c r="R185" s="339"/>
      <c r="S185" s="594">
        <v>223230.56</v>
      </c>
      <c r="T185" s="324"/>
      <c r="U185" s="338"/>
      <c r="V185" s="338"/>
      <c r="W185" s="339"/>
      <c r="X185" s="322"/>
      <c r="Y185" s="339"/>
      <c r="Z185" s="339"/>
      <c r="AA185" s="338"/>
    </row>
    <row r="186" spans="1:27">
      <c r="A186" s="321" t="s">
        <v>846</v>
      </c>
      <c r="B186" s="321" t="s">
        <v>128</v>
      </c>
      <c r="C186" s="324"/>
      <c r="D186" s="323">
        <v>256241.12</v>
      </c>
      <c r="E186" s="338"/>
      <c r="F186" s="338">
        <f t="shared" si="3"/>
        <v>256241.12</v>
      </c>
      <c r="G186" s="592">
        <v>256241.12</v>
      </c>
      <c r="H186" s="322"/>
      <c r="I186" s="339"/>
      <c r="J186" s="339"/>
      <c r="K186" s="338"/>
      <c r="L186" s="324"/>
      <c r="M186" s="338"/>
      <c r="N186" s="338"/>
      <c r="O186" s="339"/>
      <c r="P186" s="322"/>
      <c r="Q186" s="325">
        <v>256241.12</v>
      </c>
      <c r="R186" s="339"/>
      <c r="S186" s="594">
        <v>256241.12</v>
      </c>
      <c r="T186" s="324"/>
      <c r="U186" s="338"/>
      <c r="V186" s="338"/>
      <c r="W186" s="339"/>
      <c r="X186" s="322"/>
      <c r="Y186" s="339"/>
      <c r="Z186" s="339"/>
      <c r="AA186" s="338"/>
    </row>
    <row r="187" spans="1:27">
      <c r="A187" s="321" t="s">
        <v>847</v>
      </c>
      <c r="B187" s="321" t="s">
        <v>128</v>
      </c>
      <c r="C187" s="324"/>
      <c r="D187" s="323">
        <v>109438.77</v>
      </c>
      <c r="E187" s="338"/>
      <c r="F187" s="338">
        <f t="shared" si="3"/>
        <v>109438.77</v>
      </c>
      <c r="G187" s="592">
        <v>109438.77</v>
      </c>
      <c r="H187" s="322"/>
      <c r="I187" s="339"/>
      <c r="J187" s="339"/>
      <c r="K187" s="338"/>
      <c r="L187" s="324"/>
      <c r="M187" s="338"/>
      <c r="N187" s="338"/>
      <c r="O187" s="339"/>
      <c r="P187" s="322"/>
      <c r="Q187" s="339"/>
      <c r="R187" s="339"/>
      <c r="S187" s="338"/>
      <c r="T187" s="324"/>
      <c r="U187" s="323">
        <v>109438.77</v>
      </c>
      <c r="V187" s="338"/>
      <c r="W187" s="592">
        <v>109438.77</v>
      </c>
      <c r="X187" s="322"/>
      <c r="Y187" s="339"/>
      <c r="Z187" s="339"/>
      <c r="AA187" s="338"/>
    </row>
    <row r="188" spans="1:27">
      <c r="A188" s="321" t="s">
        <v>848</v>
      </c>
      <c r="B188" s="321" t="s">
        <v>128</v>
      </c>
      <c r="C188" s="324"/>
      <c r="D188" s="323">
        <v>4255724.72</v>
      </c>
      <c r="E188" s="323">
        <v>4203568.8</v>
      </c>
      <c r="F188" s="338">
        <f t="shared" si="3"/>
        <v>52155.919999999925</v>
      </c>
      <c r="G188" s="592">
        <v>52155.92</v>
      </c>
      <c r="H188" s="322"/>
      <c r="I188" s="339"/>
      <c r="J188" s="339"/>
      <c r="K188" s="338"/>
      <c r="L188" s="324"/>
      <c r="M188" s="338"/>
      <c r="N188" s="338"/>
      <c r="O188" s="339"/>
      <c r="P188" s="322"/>
      <c r="Q188" s="325">
        <v>4255724.72</v>
      </c>
      <c r="R188" s="325">
        <v>4203568.8</v>
      </c>
      <c r="S188" s="594">
        <v>52155.92</v>
      </c>
      <c r="T188" s="324"/>
      <c r="U188" s="338"/>
      <c r="V188" s="338"/>
      <c r="W188" s="339"/>
      <c r="X188" s="322"/>
      <c r="Y188" s="339"/>
      <c r="Z188" s="339"/>
      <c r="AA188" s="338"/>
    </row>
    <row r="189" spans="1:27">
      <c r="A189" s="321" t="s">
        <v>849</v>
      </c>
      <c r="B189" s="321" t="s">
        <v>128</v>
      </c>
      <c r="C189" s="324"/>
      <c r="D189" s="323">
        <v>5284</v>
      </c>
      <c r="E189" s="338"/>
      <c r="F189" s="338">
        <f t="shared" si="3"/>
        <v>5284</v>
      </c>
      <c r="G189" s="592">
        <v>5284</v>
      </c>
      <c r="H189" s="322"/>
      <c r="I189" s="339"/>
      <c r="J189" s="339"/>
      <c r="K189" s="338"/>
      <c r="L189" s="324"/>
      <c r="M189" s="338"/>
      <c r="N189" s="338"/>
      <c r="O189" s="339"/>
      <c r="P189" s="322"/>
      <c r="Q189" s="325">
        <v>5284</v>
      </c>
      <c r="R189" s="339"/>
      <c r="S189" s="594">
        <v>5284</v>
      </c>
      <c r="T189" s="324"/>
      <c r="U189" s="338"/>
      <c r="V189" s="338"/>
      <c r="W189" s="339"/>
      <c r="X189" s="322"/>
      <c r="Y189" s="339"/>
      <c r="Z189" s="339"/>
      <c r="AA189" s="338"/>
    </row>
    <row r="190" spans="1:27">
      <c r="A190" s="321" t="s">
        <v>850</v>
      </c>
      <c r="B190" s="321" t="s">
        <v>128</v>
      </c>
      <c r="C190" s="324"/>
      <c r="D190" s="711">
        <v>16000</v>
      </c>
      <c r="E190" s="338"/>
      <c r="F190" s="338">
        <f t="shared" si="3"/>
        <v>16000</v>
      </c>
      <c r="G190" s="737">
        <v>16000</v>
      </c>
      <c r="H190" s="322"/>
      <c r="I190" s="714">
        <v>8000</v>
      </c>
      <c r="J190" s="339"/>
      <c r="K190" s="735">
        <v>8000</v>
      </c>
      <c r="L190" s="324"/>
      <c r="M190" s="338"/>
      <c r="N190" s="338"/>
      <c r="O190" s="339"/>
      <c r="P190" s="322"/>
      <c r="Q190" s="325">
        <v>8000</v>
      </c>
      <c r="R190" s="339"/>
      <c r="S190" s="594">
        <v>8000</v>
      </c>
      <c r="T190" s="324"/>
      <c r="U190" s="338"/>
      <c r="V190" s="338"/>
      <c r="W190" s="339"/>
      <c r="X190" s="322"/>
      <c r="Y190" s="339"/>
      <c r="Z190" s="339"/>
      <c r="AA190" s="338"/>
    </row>
    <row r="191" spans="1:27">
      <c r="A191" s="321" t="s">
        <v>605</v>
      </c>
      <c r="B191" s="321" t="s">
        <v>128</v>
      </c>
      <c r="C191" s="324"/>
      <c r="D191" s="711">
        <v>76534.039999999994</v>
      </c>
      <c r="E191" s="711">
        <v>1191845.46</v>
      </c>
      <c r="F191" s="338">
        <f t="shared" si="3"/>
        <v>-1115311.42</v>
      </c>
      <c r="G191" s="715">
        <v>1115311.42</v>
      </c>
      <c r="H191" s="322"/>
      <c r="I191" s="714">
        <v>71116.039999999994</v>
      </c>
      <c r="J191" s="714">
        <v>1191845.46</v>
      </c>
      <c r="K191" s="712">
        <v>1120729.42</v>
      </c>
      <c r="L191" s="324"/>
      <c r="M191" s="338"/>
      <c r="N191" s="338"/>
      <c r="O191" s="339"/>
      <c r="P191" s="322"/>
      <c r="Q191" s="339"/>
      <c r="R191" s="339"/>
      <c r="S191" s="338"/>
      <c r="T191" s="324"/>
      <c r="U191" s="338"/>
      <c r="V191" s="338"/>
      <c r="W191" s="339"/>
      <c r="X191" s="322"/>
      <c r="Y191" s="325">
        <v>5418</v>
      </c>
      <c r="Z191" s="339"/>
      <c r="AA191" s="594">
        <v>5418</v>
      </c>
    </row>
    <row r="192" spans="1:27">
      <c r="A192" s="321" t="s">
        <v>851</v>
      </c>
      <c r="B192" s="321" t="s">
        <v>128</v>
      </c>
      <c r="C192" s="324"/>
      <c r="D192" s="323">
        <v>510</v>
      </c>
      <c r="E192" s="338"/>
      <c r="F192" s="338">
        <f t="shared" si="3"/>
        <v>510</v>
      </c>
      <c r="G192" s="592">
        <v>510</v>
      </c>
      <c r="H192" s="322"/>
      <c r="I192" s="339"/>
      <c r="J192" s="339"/>
      <c r="K192" s="338"/>
      <c r="L192" s="324"/>
      <c r="M192" s="338"/>
      <c r="N192" s="338"/>
      <c r="O192" s="339"/>
      <c r="P192" s="322"/>
      <c r="Q192" s="339"/>
      <c r="R192" s="339"/>
      <c r="S192" s="338"/>
      <c r="T192" s="324"/>
      <c r="U192" s="323">
        <v>510</v>
      </c>
      <c r="V192" s="338"/>
      <c r="W192" s="592">
        <v>510</v>
      </c>
      <c r="X192" s="322"/>
      <c r="Y192" s="339"/>
      <c r="Z192" s="339"/>
      <c r="AA192" s="338"/>
    </row>
    <row r="193" spans="1:27">
      <c r="A193" s="321" t="s">
        <v>852</v>
      </c>
      <c r="B193" s="321" t="s">
        <v>128</v>
      </c>
      <c r="C193" s="324"/>
      <c r="D193" s="711">
        <v>6358.66</v>
      </c>
      <c r="E193" s="338"/>
      <c r="F193" s="338">
        <f t="shared" si="3"/>
        <v>6358.66</v>
      </c>
      <c r="G193" s="737">
        <v>6358.66</v>
      </c>
      <c r="H193" s="322"/>
      <c r="I193" s="714">
        <v>6358.66</v>
      </c>
      <c r="J193" s="339"/>
      <c r="K193" s="735">
        <v>6358.66</v>
      </c>
      <c r="L193" s="324"/>
      <c r="M193" s="338"/>
      <c r="N193" s="338"/>
      <c r="O193" s="339"/>
      <c r="P193" s="322"/>
      <c r="Q193" s="339"/>
      <c r="R193" s="339"/>
      <c r="S193" s="338"/>
      <c r="T193" s="324"/>
      <c r="U193" s="338"/>
      <c r="V193" s="338"/>
      <c r="W193" s="339"/>
      <c r="X193" s="322"/>
      <c r="Y193" s="339"/>
      <c r="Z193" s="339"/>
      <c r="AA193" s="338"/>
    </row>
    <row r="194" spans="1:27">
      <c r="A194" s="321" t="s">
        <v>853</v>
      </c>
      <c r="B194" s="321" t="s">
        <v>128</v>
      </c>
      <c r="C194" s="324"/>
      <c r="D194" s="323">
        <v>2800</v>
      </c>
      <c r="E194" s="338"/>
      <c r="F194" s="338">
        <f t="shared" si="3"/>
        <v>2800</v>
      </c>
      <c r="G194" s="592">
        <v>2800</v>
      </c>
      <c r="H194" s="322"/>
      <c r="I194" s="339"/>
      <c r="J194" s="339"/>
      <c r="K194" s="338"/>
      <c r="L194" s="324"/>
      <c r="M194" s="338"/>
      <c r="N194" s="338"/>
      <c r="O194" s="339"/>
      <c r="P194" s="322"/>
      <c r="Q194" s="325">
        <v>2800</v>
      </c>
      <c r="R194" s="339"/>
      <c r="S194" s="594">
        <v>2800</v>
      </c>
      <c r="T194" s="324"/>
      <c r="U194" s="338"/>
      <c r="V194" s="338"/>
      <c r="W194" s="339"/>
      <c r="X194" s="322"/>
      <c r="Y194" s="339"/>
      <c r="Z194" s="339"/>
      <c r="AA194" s="338"/>
    </row>
    <row r="195" spans="1:27">
      <c r="A195" s="321" t="s">
        <v>854</v>
      </c>
      <c r="B195" s="321" t="s">
        <v>128</v>
      </c>
      <c r="C195" s="324"/>
      <c r="D195" s="338"/>
      <c r="E195" s="338"/>
      <c r="F195" s="338">
        <f t="shared" si="3"/>
        <v>0</v>
      </c>
      <c r="G195" s="339"/>
      <c r="H195" s="322"/>
      <c r="I195" s="339"/>
      <c r="J195" s="339"/>
      <c r="K195" s="338"/>
      <c r="L195" s="324"/>
      <c r="M195" s="338"/>
      <c r="N195" s="338"/>
      <c r="O195" s="339"/>
      <c r="P195" s="322"/>
      <c r="Q195" s="339"/>
      <c r="R195" s="339"/>
      <c r="S195" s="338"/>
      <c r="T195" s="324"/>
      <c r="U195" s="338"/>
      <c r="V195" s="338"/>
      <c r="W195" s="339"/>
      <c r="X195" s="322"/>
      <c r="Y195" s="339"/>
      <c r="Z195" s="339"/>
      <c r="AA195" s="338"/>
    </row>
    <row r="196" spans="1:27">
      <c r="A196" s="321" t="s">
        <v>855</v>
      </c>
      <c r="B196" s="321" t="s">
        <v>128</v>
      </c>
      <c r="C196" s="324"/>
      <c r="D196" s="323">
        <v>2500</v>
      </c>
      <c r="E196" s="338"/>
      <c r="F196" s="338">
        <f t="shared" si="3"/>
        <v>2500</v>
      </c>
      <c r="G196" s="592">
        <v>2500</v>
      </c>
      <c r="H196" s="322"/>
      <c r="I196" s="339"/>
      <c r="J196" s="339"/>
      <c r="K196" s="338"/>
      <c r="L196" s="324"/>
      <c r="M196" s="338"/>
      <c r="N196" s="338"/>
      <c r="O196" s="339"/>
      <c r="P196" s="322"/>
      <c r="Q196" s="325">
        <v>2500</v>
      </c>
      <c r="R196" s="339"/>
      <c r="S196" s="594">
        <v>2500</v>
      </c>
      <c r="T196" s="324"/>
      <c r="U196" s="338"/>
      <c r="V196" s="338"/>
      <c r="W196" s="339"/>
      <c r="X196" s="322"/>
      <c r="Y196" s="339"/>
      <c r="Z196" s="339"/>
      <c r="AA196" s="338"/>
    </row>
    <row r="197" spans="1:27">
      <c r="A197" s="321" t="s">
        <v>856</v>
      </c>
      <c r="B197" s="321" t="s">
        <v>128</v>
      </c>
      <c r="C197" s="324"/>
      <c r="D197" s="711">
        <v>2500</v>
      </c>
      <c r="E197" s="338"/>
      <c r="F197" s="338">
        <f t="shared" si="3"/>
        <v>2500</v>
      </c>
      <c r="G197" s="737">
        <v>2500</v>
      </c>
      <c r="H197" s="322"/>
      <c r="I197" s="714">
        <v>2500</v>
      </c>
      <c r="J197" s="339"/>
      <c r="K197" s="735">
        <v>2500</v>
      </c>
      <c r="L197" s="324"/>
      <c r="M197" s="338"/>
      <c r="N197" s="338"/>
      <c r="O197" s="339"/>
      <c r="P197" s="322"/>
      <c r="Q197" s="339"/>
      <c r="R197" s="339"/>
      <c r="S197" s="338"/>
      <c r="T197" s="324"/>
      <c r="U197" s="338"/>
      <c r="V197" s="338"/>
      <c r="W197" s="339"/>
      <c r="X197" s="322"/>
      <c r="Y197" s="339"/>
      <c r="Z197" s="339"/>
      <c r="AA197" s="338"/>
    </row>
    <row r="198" spans="1:27">
      <c r="A198" s="321" t="s">
        <v>857</v>
      </c>
      <c r="B198" s="321" t="s">
        <v>128</v>
      </c>
      <c r="C198" s="324"/>
      <c r="D198" s="711">
        <v>10522617.199999999</v>
      </c>
      <c r="E198" s="711">
        <v>217611</v>
      </c>
      <c r="F198" s="338">
        <f t="shared" si="3"/>
        <v>10305006.199999999</v>
      </c>
      <c r="G198" s="737">
        <v>10305006.199999999</v>
      </c>
      <c r="H198" s="322"/>
      <c r="I198" s="714">
        <v>1434173.2</v>
      </c>
      <c r="J198" s="714">
        <v>142611</v>
      </c>
      <c r="K198" s="735">
        <v>1291562.2</v>
      </c>
      <c r="L198" s="324"/>
      <c r="M198" s="338"/>
      <c r="N198" s="338"/>
      <c r="O198" s="339"/>
      <c r="P198" s="322"/>
      <c r="Q198" s="325">
        <v>3650807</v>
      </c>
      <c r="R198" s="325">
        <v>75000</v>
      </c>
      <c r="S198" s="594">
        <v>3575807</v>
      </c>
      <c r="T198" s="324"/>
      <c r="U198" s="323">
        <v>5437637</v>
      </c>
      <c r="V198" s="338"/>
      <c r="W198" s="592">
        <v>5437637</v>
      </c>
      <c r="X198" s="322"/>
      <c r="Y198" s="339"/>
      <c r="Z198" s="339"/>
      <c r="AA198" s="338"/>
    </row>
    <row r="199" spans="1:27">
      <c r="A199" s="321" t="s">
        <v>858</v>
      </c>
      <c r="B199" s="321" t="s">
        <v>128</v>
      </c>
      <c r="C199" s="324"/>
      <c r="D199" s="711">
        <v>10480</v>
      </c>
      <c r="E199" s="323">
        <v>6525.42</v>
      </c>
      <c r="F199" s="338">
        <f t="shared" si="3"/>
        <v>3954.58</v>
      </c>
      <c r="G199" s="737">
        <v>3954.58</v>
      </c>
      <c r="H199" s="322"/>
      <c r="I199" s="714">
        <v>10480</v>
      </c>
      <c r="J199" s="339"/>
      <c r="K199" s="735">
        <v>10480</v>
      </c>
      <c r="L199" s="324"/>
      <c r="M199" s="338"/>
      <c r="N199" s="338"/>
      <c r="O199" s="339"/>
      <c r="P199" s="322"/>
      <c r="Q199" s="339"/>
      <c r="R199" s="325">
        <v>6525.42</v>
      </c>
      <c r="S199" s="589">
        <v>6525.42</v>
      </c>
      <c r="T199" s="324"/>
      <c r="U199" s="338"/>
      <c r="V199" s="338"/>
      <c r="W199" s="339"/>
      <c r="X199" s="322"/>
      <c r="Y199" s="339"/>
      <c r="Z199" s="339"/>
      <c r="AA199" s="338"/>
    </row>
    <row r="200" spans="1:27">
      <c r="A200" s="480" t="s">
        <v>384</v>
      </c>
      <c r="B200" s="321" t="s">
        <v>128</v>
      </c>
      <c r="C200" s="324"/>
      <c r="D200" s="323">
        <v>48000</v>
      </c>
      <c r="E200" s="338"/>
      <c r="F200" s="338">
        <f t="shared" si="3"/>
        <v>48000</v>
      </c>
      <c r="G200" s="592">
        <v>48000</v>
      </c>
      <c r="H200" s="322"/>
      <c r="I200" s="339"/>
      <c r="J200" s="339"/>
      <c r="K200" s="338"/>
      <c r="L200" s="324"/>
      <c r="M200" s="338"/>
      <c r="N200" s="338"/>
      <c r="O200" s="339"/>
      <c r="P200" s="322"/>
      <c r="Q200" s="339"/>
      <c r="R200" s="339"/>
      <c r="S200" s="338"/>
      <c r="T200" s="324"/>
      <c r="U200" s="338"/>
      <c r="V200" s="338"/>
      <c r="W200" s="339"/>
      <c r="X200" s="322"/>
      <c r="Y200" s="325">
        <v>48000</v>
      </c>
      <c r="Z200" s="339"/>
      <c r="AA200" s="594">
        <v>48000</v>
      </c>
    </row>
    <row r="201" spans="1:27">
      <c r="A201" s="321" t="s">
        <v>859</v>
      </c>
      <c r="B201" s="321" t="s">
        <v>128</v>
      </c>
      <c r="C201" s="324"/>
      <c r="D201" s="323">
        <v>1638.98</v>
      </c>
      <c r="E201" s="338"/>
      <c r="F201" s="338">
        <f t="shared" ref="F201:F208" si="4">D201-E201</f>
        <v>1638.98</v>
      </c>
      <c r="G201" s="592">
        <v>1638.98</v>
      </c>
      <c r="H201" s="322"/>
      <c r="I201" s="339"/>
      <c r="J201" s="339"/>
      <c r="K201" s="338"/>
      <c r="L201" s="324"/>
      <c r="M201" s="338"/>
      <c r="N201" s="338"/>
      <c r="O201" s="339"/>
      <c r="P201" s="322"/>
      <c r="Q201" s="339"/>
      <c r="R201" s="339"/>
      <c r="S201" s="338"/>
      <c r="T201" s="324"/>
      <c r="U201" s="323">
        <v>1638.98</v>
      </c>
      <c r="V201" s="338"/>
      <c r="W201" s="592">
        <v>1638.98</v>
      </c>
      <c r="X201" s="322"/>
      <c r="Y201" s="339"/>
      <c r="Z201" s="339"/>
      <c r="AA201" s="338"/>
    </row>
    <row r="202" spans="1:27">
      <c r="A202" s="321" t="s">
        <v>860</v>
      </c>
      <c r="B202" s="321" t="s">
        <v>128</v>
      </c>
      <c r="C202" s="324"/>
      <c r="D202" s="711">
        <v>480.4</v>
      </c>
      <c r="E202" s="711">
        <v>300.22000000000003</v>
      </c>
      <c r="F202" s="338">
        <f t="shared" si="4"/>
        <v>180.17999999999995</v>
      </c>
      <c r="G202" s="737">
        <v>180.18</v>
      </c>
      <c r="H202" s="322"/>
      <c r="I202" s="714">
        <v>480.4</v>
      </c>
      <c r="J202" s="714">
        <v>300.22000000000003</v>
      </c>
      <c r="K202" s="735">
        <v>180.18</v>
      </c>
      <c r="L202" s="324"/>
      <c r="M202" s="338"/>
      <c r="N202" s="338"/>
      <c r="O202" s="339"/>
      <c r="P202" s="322"/>
      <c r="Q202" s="339"/>
      <c r="R202" s="339"/>
      <c r="S202" s="338"/>
      <c r="T202" s="324"/>
      <c r="U202" s="338"/>
      <c r="V202" s="338"/>
      <c r="W202" s="339"/>
      <c r="X202" s="322"/>
      <c r="Y202" s="339"/>
      <c r="Z202" s="339"/>
      <c r="AA202" s="338"/>
    </row>
    <row r="203" spans="1:27">
      <c r="A203" s="321" t="s">
        <v>861</v>
      </c>
      <c r="B203" s="321" t="s">
        <v>128</v>
      </c>
      <c r="C203" s="324"/>
      <c r="D203" s="711">
        <v>564112</v>
      </c>
      <c r="E203" s="711">
        <v>222556</v>
      </c>
      <c r="F203" s="338">
        <f t="shared" si="4"/>
        <v>341556</v>
      </c>
      <c r="G203" s="737">
        <v>341556</v>
      </c>
      <c r="H203" s="322"/>
      <c r="I203" s="714">
        <v>564112</v>
      </c>
      <c r="J203" s="714">
        <v>222556</v>
      </c>
      <c r="K203" s="735">
        <v>341556</v>
      </c>
      <c r="L203" s="324"/>
      <c r="M203" s="338"/>
      <c r="N203" s="338"/>
      <c r="O203" s="339"/>
      <c r="P203" s="322"/>
      <c r="Q203" s="339"/>
      <c r="R203" s="339"/>
      <c r="S203" s="338"/>
      <c r="T203" s="324"/>
      <c r="U203" s="338"/>
      <c r="V203" s="338"/>
      <c r="W203" s="339"/>
      <c r="X203" s="322"/>
      <c r="Y203" s="339"/>
      <c r="Z203" s="339"/>
      <c r="AA203" s="338"/>
    </row>
    <row r="204" spans="1:27">
      <c r="A204" s="321" t="s">
        <v>607</v>
      </c>
      <c r="B204" s="321" t="s">
        <v>128</v>
      </c>
      <c r="C204" s="324"/>
      <c r="D204" s="323">
        <v>7188</v>
      </c>
      <c r="E204" s="323">
        <v>3594</v>
      </c>
      <c r="F204" s="338">
        <f t="shared" si="4"/>
        <v>3594</v>
      </c>
      <c r="G204" s="592">
        <v>3594</v>
      </c>
      <c r="H204" s="322"/>
      <c r="I204" s="339"/>
      <c r="J204" s="339"/>
      <c r="K204" s="338"/>
      <c r="L204" s="324"/>
      <c r="M204" s="338"/>
      <c r="N204" s="338"/>
      <c r="O204" s="339"/>
      <c r="P204" s="322"/>
      <c r="Q204" s="339"/>
      <c r="R204" s="339"/>
      <c r="S204" s="338"/>
      <c r="T204" s="324"/>
      <c r="U204" s="323">
        <v>7188</v>
      </c>
      <c r="V204" s="323">
        <v>3594</v>
      </c>
      <c r="W204" s="592">
        <v>3594</v>
      </c>
      <c r="X204" s="322"/>
      <c r="Y204" s="339"/>
      <c r="Z204" s="339"/>
      <c r="AA204" s="338"/>
    </row>
    <row r="205" spans="1:27">
      <c r="A205" s="321" t="s">
        <v>608</v>
      </c>
      <c r="B205" s="321" t="s">
        <v>128</v>
      </c>
      <c r="C205" s="324"/>
      <c r="D205" s="323">
        <v>4338</v>
      </c>
      <c r="E205" s="338"/>
      <c r="F205" s="338">
        <f t="shared" si="4"/>
        <v>4338</v>
      </c>
      <c r="G205" s="592">
        <v>4338</v>
      </c>
      <c r="H205" s="322"/>
      <c r="I205" s="339"/>
      <c r="J205" s="339"/>
      <c r="K205" s="338"/>
      <c r="L205" s="324"/>
      <c r="M205" s="338"/>
      <c r="N205" s="338"/>
      <c r="O205" s="339"/>
      <c r="P205" s="322"/>
      <c r="Q205" s="325">
        <v>4338</v>
      </c>
      <c r="R205" s="339"/>
      <c r="S205" s="594">
        <v>4338</v>
      </c>
      <c r="T205" s="324"/>
      <c r="U205" s="338"/>
      <c r="V205" s="338"/>
      <c r="W205" s="339"/>
      <c r="X205" s="322"/>
      <c r="Y205" s="339"/>
      <c r="Z205" s="339"/>
      <c r="AA205" s="338"/>
    </row>
    <row r="206" spans="1:27">
      <c r="A206" s="321" t="s">
        <v>862</v>
      </c>
      <c r="B206" s="321" t="s">
        <v>128</v>
      </c>
      <c r="C206" s="324"/>
      <c r="D206" s="323">
        <v>100</v>
      </c>
      <c r="E206" s="338"/>
      <c r="F206" s="338">
        <f t="shared" si="4"/>
        <v>100</v>
      </c>
      <c r="G206" s="592">
        <v>100</v>
      </c>
      <c r="H206" s="322"/>
      <c r="I206" s="339"/>
      <c r="J206" s="339"/>
      <c r="K206" s="338"/>
      <c r="L206" s="324"/>
      <c r="M206" s="338"/>
      <c r="N206" s="338"/>
      <c r="O206" s="339"/>
      <c r="P206" s="322"/>
      <c r="Q206" s="339"/>
      <c r="R206" s="339"/>
      <c r="S206" s="338"/>
      <c r="T206" s="324"/>
      <c r="U206" s="323">
        <v>100</v>
      </c>
      <c r="V206" s="338"/>
      <c r="W206" s="592">
        <v>100</v>
      </c>
      <c r="X206" s="322"/>
      <c r="Y206" s="339"/>
      <c r="Z206" s="339"/>
      <c r="AA206" s="338"/>
    </row>
    <row r="207" spans="1:27">
      <c r="A207" s="321" t="s">
        <v>863</v>
      </c>
      <c r="B207" s="321" t="s">
        <v>128</v>
      </c>
      <c r="C207" s="324"/>
      <c r="D207" s="323">
        <v>3000</v>
      </c>
      <c r="E207" s="338"/>
      <c r="F207" s="338">
        <f t="shared" si="4"/>
        <v>3000</v>
      </c>
      <c r="G207" s="592">
        <v>3000</v>
      </c>
      <c r="H207" s="322"/>
      <c r="I207" s="339"/>
      <c r="J207" s="339"/>
      <c r="K207" s="338"/>
      <c r="L207" s="324"/>
      <c r="M207" s="338"/>
      <c r="N207" s="338"/>
      <c r="O207" s="339"/>
      <c r="P207" s="322"/>
      <c r="Q207" s="325">
        <v>3000</v>
      </c>
      <c r="R207" s="339"/>
      <c r="S207" s="594">
        <v>3000</v>
      </c>
      <c r="T207" s="324"/>
      <c r="U207" s="338"/>
      <c r="V207" s="338"/>
      <c r="W207" s="339"/>
      <c r="X207" s="322"/>
      <c r="Y207" s="339"/>
      <c r="Z207" s="339"/>
      <c r="AA207" s="338"/>
    </row>
    <row r="208" spans="1:27">
      <c r="A208" s="321" t="s">
        <v>864</v>
      </c>
      <c r="B208" s="321" t="s">
        <v>128</v>
      </c>
      <c r="C208" s="324"/>
      <c r="D208" s="711">
        <v>76600</v>
      </c>
      <c r="E208" s="338"/>
      <c r="F208" s="338">
        <f t="shared" si="4"/>
        <v>76600</v>
      </c>
      <c r="G208" s="737">
        <v>76600</v>
      </c>
      <c r="H208" s="322"/>
      <c r="I208" s="714">
        <v>76600</v>
      </c>
      <c r="J208" s="339"/>
      <c r="K208" s="735">
        <v>76600</v>
      </c>
      <c r="L208" s="324"/>
      <c r="M208" s="338"/>
      <c r="N208" s="338"/>
      <c r="O208" s="339"/>
      <c r="P208" s="322"/>
      <c r="Q208" s="339"/>
      <c r="R208" s="339"/>
      <c r="S208" s="338"/>
      <c r="T208" s="324"/>
      <c r="U208" s="338"/>
      <c r="V208" s="338"/>
      <c r="W208" s="339"/>
      <c r="X208" s="322"/>
      <c r="Y208" s="339"/>
      <c r="Z208" s="339"/>
      <c r="AA208" s="338"/>
    </row>
    <row r="209" spans="1:27">
      <c r="A209" s="343" t="s">
        <v>398</v>
      </c>
      <c r="B209" s="343"/>
      <c r="C209" s="734">
        <v>157484.16</v>
      </c>
      <c r="D209" s="339"/>
      <c r="E209" s="339"/>
      <c r="F209" s="339"/>
      <c r="G209" s="735">
        <v>157484.16</v>
      </c>
      <c r="H209" s="736">
        <v>157705.60999999999</v>
      </c>
      <c r="I209" s="338"/>
      <c r="J209" s="338"/>
      <c r="K209" s="737">
        <v>157705.60999999999</v>
      </c>
      <c r="L209" s="322"/>
      <c r="M209" s="339"/>
      <c r="N209" s="339"/>
      <c r="O209" s="338"/>
      <c r="P209" s="324"/>
      <c r="Q209" s="338"/>
      <c r="R209" s="338"/>
      <c r="S209" s="339"/>
      <c r="T209" s="700">
        <v>221.44800000000001</v>
      </c>
      <c r="U209" s="339"/>
      <c r="V209" s="339"/>
      <c r="W209" s="589">
        <v>221.44800000000001</v>
      </c>
      <c r="X209" s="324"/>
      <c r="Y209" s="338"/>
      <c r="Z209" s="338"/>
      <c r="AA209" s="339"/>
    </row>
    <row r="210" spans="1:27">
      <c r="A210" s="743" t="s">
        <v>865</v>
      </c>
      <c r="B210" s="743"/>
      <c r="C210" s="734">
        <v>83.96</v>
      </c>
      <c r="D210" s="339"/>
      <c r="E210" s="339"/>
      <c r="F210" s="339"/>
      <c r="G210" s="735">
        <v>83.96</v>
      </c>
      <c r="H210" s="324"/>
      <c r="I210" s="338"/>
      <c r="J210" s="338"/>
      <c r="K210" s="339"/>
      <c r="L210" s="710">
        <v>137.5</v>
      </c>
      <c r="M210" s="339"/>
      <c r="N210" s="339"/>
      <c r="O210" s="712">
        <v>137.5</v>
      </c>
      <c r="P210" s="324"/>
      <c r="Q210" s="338"/>
      <c r="R210" s="338"/>
      <c r="S210" s="339"/>
      <c r="T210" s="716">
        <v>221.458</v>
      </c>
      <c r="U210" s="339"/>
      <c r="V210" s="339"/>
      <c r="W210" s="594">
        <v>221.458</v>
      </c>
      <c r="X210" s="324"/>
      <c r="Y210" s="338"/>
      <c r="Z210" s="338"/>
      <c r="AA210" s="339"/>
    </row>
    <row r="211" spans="1:27">
      <c r="A211" s="344" t="s">
        <v>399</v>
      </c>
      <c r="B211" s="344"/>
      <c r="C211" s="744">
        <v>5.0000000000000001E-3</v>
      </c>
      <c r="D211" s="745">
        <v>17727315788.279999</v>
      </c>
      <c r="E211" s="313">
        <v>17727315788.290001</v>
      </c>
      <c r="F211" s="313"/>
      <c r="G211" s="746">
        <v>5.0000000000000001E-3</v>
      </c>
      <c r="H211" s="312"/>
      <c r="I211" s="747">
        <v>10418657859.59</v>
      </c>
      <c r="J211" s="747">
        <v>10418657859.59</v>
      </c>
      <c r="K211" s="596"/>
      <c r="L211" s="314"/>
      <c r="M211" s="745">
        <v>11105663.359999999</v>
      </c>
      <c r="N211" s="745">
        <v>11105663.359999999</v>
      </c>
      <c r="O211" s="693"/>
      <c r="P211" s="312"/>
      <c r="Q211" s="315">
        <v>6642530208.7519999</v>
      </c>
      <c r="R211" s="315">
        <v>6642530208.7519999</v>
      </c>
      <c r="S211" s="596"/>
      <c r="T211" s="314"/>
      <c r="U211" s="313">
        <v>235088752.87599999</v>
      </c>
      <c r="V211" s="313">
        <v>235088752.87599999</v>
      </c>
      <c r="W211" s="693"/>
      <c r="X211" s="312"/>
      <c r="Y211" s="315">
        <v>419933303.704</v>
      </c>
      <c r="Z211" s="315">
        <v>419933303.704</v>
      </c>
      <c r="AA211" s="596"/>
    </row>
  </sheetData>
  <mergeCells count="20">
    <mergeCell ref="Y5:Z5"/>
    <mergeCell ref="T3:W3"/>
    <mergeCell ref="X3:AA3"/>
    <mergeCell ref="C4:G4"/>
    <mergeCell ref="H4:K4"/>
    <mergeCell ref="L4:O4"/>
    <mergeCell ref="P4:S4"/>
    <mergeCell ref="T4:W4"/>
    <mergeCell ref="X4:AA4"/>
    <mergeCell ref="P3:S3"/>
    <mergeCell ref="D5:E5"/>
    <mergeCell ref="I5:J5"/>
    <mergeCell ref="M5:N5"/>
    <mergeCell ref="Q5:R5"/>
    <mergeCell ref="U5:V5"/>
    <mergeCell ref="A1:D1"/>
    <mergeCell ref="A2:D2"/>
    <mergeCell ref="C3:G3"/>
    <mergeCell ref="H3:K3"/>
    <mergeCell ref="L3:O3"/>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4.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A53" sqref="A53"/>
    </sheetView>
  </sheetViews>
  <sheetFormatPr defaultRowHeight="14.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36"/>
  <sheetViews>
    <sheetView topLeftCell="A7" workbookViewId="0">
      <selection activeCell="K22" sqref="K22"/>
    </sheetView>
  </sheetViews>
  <sheetFormatPr defaultColWidth="8.81640625" defaultRowHeight="14.5"/>
  <cols>
    <col min="1" max="1" width="11.54296875" customWidth="1"/>
    <col min="2" max="2" width="5" bestFit="1" customWidth="1"/>
    <col min="3" max="3" width="10.54296875" bestFit="1" customWidth="1"/>
    <col min="4" max="4" width="15.1796875" customWidth="1"/>
    <col min="5" max="5" width="12.453125" bestFit="1" customWidth="1"/>
    <col min="6" max="6" width="8.81640625" bestFit="1" customWidth="1"/>
    <col min="7" max="7" width="12.453125" bestFit="1" customWidth="1"/>
    <col min="8" max="8" width="16.81640625" customWidth="1"/>
    <col min="10" max="10" width="40.453125" bestFit="1" customWidth="1"/>
    <col min="11" max="11" width="19.1796875" customWidth="1"/>
    <col min="12" max="12" width="17.54296875" bestFit="1" customWidth="1"/>
    <col min="13" max="13" width="12.54296875" bestFit="1" customWidth="1"/>
  </cols>
  <sheetData>
    <row r="1" spans="1:13">
      <c r="A1" s="510"/>
    </row>
    <row r="2" spans="1:13" ht="28.75" customHeight="1">
      <c r="B2" s="1320" t="s">
        <v>490</v>
      </c>
      <c r="C2" s="1320" t="s">
        <v>491</v>
      </c>
      <c r="D2" s="1322" t="s">
        <v>492</v>
      </c>
      <c r="E2" s="1324" t="s">
        <v>493</v>
      </c>
      <c r="F2" s="1324"/>
      <c r="G2" s="1324"/>
      <c r="H2" s="1325" t="s">
        <v>494</v>
      </c>
    </row>
    <row r="3" spans="1:13">
      <c r="B3" s="1321"/>
      <c r="C3" s="1321"/>
      <c r="D3" s="1323"/>
      <c r="E3" s="511" t="s">
        <v>167</v>
      </c>
      <c r="F3" s="511" t="s">
        <v>495</v>
      </c>
      <c r="G3" s="511" t="s">
        <v>194</v>
      </c>
      <c r="H3" s="1325"/>
    </row>
    <row r="4" spans="1:13">
      <c r="B4" s="1311">
        <v>2019</v>
      </c>
      <c r="C4" s="512" t="s">
        <v>496</v>
      </c>
      <c r="D4" s="513">
        <f>+'[94]Basic Calculation'!G3</f>
        <v>195000</v>
      </c>
      <c r="E4" s="513">
        <f>+'[94]Amortisation of Liability &amp; ROU'!C4</f>
        <v>179191.19231148041</v>
      </c>
      <c r="F4" s="513">
        <f>+'[94]Amortisation of Liability &amp; ROU'!I4</f>
        <v>39422.062308525688</v>
      </c>
      <c r="G4" s="513">
        <f>E4+F4</f>
        <v>218613.2546200061</v>
      </c>
      <c r="H4" s="514">
        <f>D4-G4</f>
        <v>-23613.254620006104</v>
      </c>
    </row>
    <row r="5" spans="1:13">
      <c r="B5" s="1311"/>
      <c r="C5" s="512" t="s">
        <v>497</v>
      </c>
      <c r="D5" s="513">
        <f>+'[94]Basic Calculation'!G4</f>
        <v>195000</v>
      </c>
      <c r="E5" s="513">
        <f>+'[94]Amortisation of Liability &amp; ROU'!C5</f>
        <v>179191.19231148041</v>
      </c>
      <c r="F5" s="513">
        <f>+'[94]Amortisation of Liability &amp; ROU'!I5</f>
        <v>38384.876057249196</v>
      </c>
      <c r="G5" s="513">
        <f t="shared" ref="G5:G36" si="0">E5+F5</f>
        <v>217576.06836872961</v>
      </c>
      <c r="H5" s="514">
        <f t="shared" ref="H5:H36" si="1">D5-G5</f>
        <v>-22576.068368729611</v>
      </c>
    </row>
    <row r="6" spans="1:13">
      <c r="B6" s="1311"/>
      <c r="C6" s="512" t="s">
        <v>498</v>
      </c>
      <c r="D6" s="513">
        <f>+'[94]Basic Calculation'!G5</f>
        <v>195000</v>
      </c>
      <c r="E6" s="513">
        <f>+'[94]Amortisation of Liability &amp; ROU'!C6</f>
        <v>179191.19231148041</v>
      </c>
      <c r="F6" s="513">
        <f>+'[94]Amortisation of Liability &amp; ROU'!I6</f>
        <v>37340.775230964195</v>
      </c>
      <c r="G6" s="513">
        <f t="shared" si="0"/>
        <v>216531.96754244459</v>
      </c>
      <c r="H6" s="514">
        <f t="shared" si="1"/>
        <v>-21531.967542444589</v>
      </c>
    </row>
    <row r="7" spans="1:13">
      <c r="B7" s="1311"/>
      <c r="C7" s="512" t="s">
        <v>499</v>
      </c>
      <c r="D7" s="513">
        <f>+'[94]Basic Calculation'!G6</f>
        <v>195000</v>
      </c>
      <c r="E7" s="513">
        <f>+'[94]Amortisation of Liability &amp; ROU'!C7</f>
        <v>179191.19231148041</v>
      </c>
      <c r="F7" s="513">
        <f>+'[94]Amortisation of Liability &amp; ROU'!I7</f>
        <v>36289.713732503958</v>
      </c>
      <c r="G7" s="513">
        <f t="shared" si="0"/>
        <v>215480.90604398437</v>
      </c>
      <c r="H7" s="514">
        <f t="shared" si="1"/>
        <v>-20480.906043984374</v>
      </c>
    </row>
    <row r="8" spans="1:13">
      <c r="B8" s="1311"/>
      <c r="C8" s="512" t="s">
        <v>500</v>
      </c>
      <c r="D8" s="513">
        <f>+'[94]Basic Calculation'!G7</f>
        <v>195000</v>
      </c>
      <c r="E8" s="513">
        <f>+'[94]Amortisation of Liability &amp; ROU'!C8</f>
        <v>179191.19231148041</v>
      </c>
      <c r="F8" s="513">
        <f>+'[94]Amortisation of Liability &amp; ROU'!I8</f>
        <v>35231.64515738732</v>
      </c>
      <c r="G8" s="513">
        <f t="shared" si="0"/>
        <v>214422.83746886771</v>
      </c>
      <c r="H8" s="514">
        <f t="shared" si="1"/>
        <v>-19422.837468867714</v>
      </c>
    </row>
    <row r="9" spans="1:13">
      <c r="B9" s="1311"/>
      <c r="C9" s="512" t="s">
        <v>501</v>
      </c>
      <c r="D9" s="513">
        <f>+'[94]Basic Calculation'!G8</f>
        <v>195000</v>
      </c>
      <c r="E9" s="513">
        <f>+'[94]Amortisation of Liability &amp; ROU'!C9</f>
        <v>179191.19231148041</v>
      </c>
      <c r="F9" s="513">
        <f>+'[94]Amortisation of Liability &amp; ROU'!I9</f>
        <v>34166.522791769901</v>
      </c>
      <c r="G9" s="513">
        <f t="shared" si="0"/>
        <v>213357.71510325032</v>
      </c>
      <c r="H9" s="514">
        <f t="shared" si="1"/>
        <v>-18357.715103250317</v>
      </c>
    </row>
    <row r="10" spans="1:13">
      <c r="B10" s="1311"/>
      <c r="C10" s="512" t="s">
        <v>502</v>
      </c>
      <c r="D10" s="513">
        <f>+'[94]Basic Calculation'!G9</f>
        <v>195000</v>
      </c>
      <c r="E10" s="513">
        <f>+'[94]Amortisation of Liability &amp; ROU'!C10</f>
        <v>179191.19231148041</v>
      </c>
      <c r="F10" s="513">
        <f>+'[94]Amortisation of Liability &amp; ROU'!I10</f>
        <v>33094.299610381706</v>
      </c>
      <c r="G10" s="513">
        <f t="shared" si="0"/>
        <v>212285.49192186212</v>
      </c>
      <c r="H10" s="514">
        <f t="shared" si="1"/>
        <v>-17285.491921862122</v>
      </c>
    </row>
    <row r="11" spans="1:13">
      <c r="B11" s="1311"/>
      <c r="C11" s="512" t="s">
        <v>503</v>
      </c>
      <c r="D11" s="513">
        <f>+'[94]Basic Calculation'!G10</f>
        <v>195000</v>
      </c>
      <c r="E11" s="513">
        <f>+'[94]Amortisation of Liability &amp; ROU'!C11</f>
        <v>179191.19231148041</v>
      </c>
      <c r="F11" s="513">
        <f>+'[94]Amortisation of Liability &amp; ROU'!I11</f>
        <v>32014.928274450915</v>
      </c>
      <c r="G11" s="513">
        <f t="shared" si="0"/>
        <v>211206.12058593132</v>
      </c>
      <c r="H11" s="514">
        <f t="shared" si="1"/>
        <v>-16206.12058593132</v>
      </c>
    </row>
    <row r="12" spans="1:13">
      <c r="B12" s="1311"/>
      <c r="C12" s="512" t="s">
        <v>504</v>
      </c>
      <c r="D12" s="513">
        <f>+'[94]Basic Calculation'!G11</f>
        <v>195000</v>
      </c>
      <c r="E12" s="513">
        <f>+'[94]Amortisation of Liability &amp; ROU'!C12</f>
        <v>179191.19231148041</v>
      </c>
      <c r="F12" s="513">
        <f>+'[94]Amortisation of Liability &amp; ROU'!I12</f>
        <v>30928.361129613924</v>
      </c>
      <c r="G12" s="513">
        <f t="shared" si="0"/>
        <v>210119.55344109432</v>
      </c>
      <c r="H12" s="514">
        <f t="shared" si="1"/>
        <v>-15119.553441094322</v>
      </c>
      <c r="J12" s="1308" t="s">
        <v>505</v>
      </c>
      <c r="K12" s="1308"/>
    </row>
    <row r="13" spans="1:13">
      <c r="B13" s="1313">
        <v>2020</v>
      </c>
      <c r="C13" s="515" t="s">
        <v>506</v>
      </c>
      <c r="D13" s="513">
        <f>+'[94]Basic Calculation'!G12</f>
        <v>200000</v>
      </c>
      <c r="E13" s="513">
        <f>+'[94]Amortisation of Liability &amp; ROU'!C13</f>
        <v>179191.19231148041</v>
      </c>
      <c r="F13" s="513">
        <f>+'[94]Amortisation of Liability &amp; ROU'!I13</f>
        <v>29834.550203811348</v>
      </c>
      <c r="G13" s="513">
        <f t="shared" si="0"/>
        <v>209025.74251529176</v>
      </c>
      <c r="H13" s="514">
        <f t="shared" si="1"/>
        <v>-9025.7425152917567</v>
      </c>
      <c r="J13" t="s">
        <v>495</v>
      </c>
      <c r="K13" s="516">
        <f>SUM(F16:F21)</f>
        <v>140936.78544616076</v>
      </c>
    </row>
    <row r="14" spans="1:13">
      <c r="B14" s="1313"/>
      <c r="C14" s="515" t="s">
        <v>507</v>
      </c>
      <c r="D14" s="513">
        <f>+'[94]Basic Calculation'!G13</f>
        <v>200000</v>
      </c>
      <c r="E14" s="513">
        <f>+'[94]Amortisation of Liability &amp; ROU'!C14</f>
        <v>179191.19231148041</v>
      </c>
      <c r="F14" s="513">
        <f>+'[94]Amortisation of Liability &amp; ROU'!I14</f>
        <v>28700.113871836758</v>
      </c>
      <c r="G14" s="513">
        <f t="shared" si="0"/>
        <v>207891.30618331715</v>
      </c>
      <c r="H14" s="514">
        <f t="shared" si="1"/>
        <v>-7891.3061833171523</v>
      </c>
      <c r="J14" t="s">
        <v>508</v>
      </c>
      <c r="K14" s="516">
        <f>SUM(E16:E21)</f>
        <v>1075147.1538688825</v>
      </c>
    </row>
    <row r="15" spans="1:13">
      <c r="B15" s="1313"/>
      <c r="C15" s="515" t="s">
        <v>509</v>
      </c>
      <c r="D15" s="513">
        <f>+'[94]Basic Calculation'!G14</f>
        <v>200000</v>
      </c>
      <c r="E15" s="513">
        <f>+'[94]Amortisation of Liability &amp; ROU'!C15</f>
        <v>179191.19231148041</v>
      </c>
      <c r="F15" s="513">
        <f>+'[94]Amortisation of Liability &amp; ROU'!I15</f>
        <v>27558.114630982338</v>
      </c>
      <c r="G15" s="513">
        <f t="shared" si="0"/>
        <v>206749.30694246275</v>
      </c>
      <c r="H15" s="514">
        <f t="shared" si="1"/>
        <v>-6749.3069424627465</v>
      </c>
      <c r="J15" t="s">
        <v>510</v>
      </c>
      <c r="K15" s="516">
        <v>600000</v>
      </c>
      <c r="L15" t="s">
        <v>520</v>
      </c>
      <c r="M15" s="41">
        <v>600000</v>
      </c>
    </row>
    <row r="16" spans="1:13">
      <c r="B16" s="1313"/>
      <c r="C16" s="515" t="s">
        <v>496</v>
      </c>
      <c r="D16" s="513">
        <f>+'[94]Basic Calculation'!G15</f>
        <v>200000</v>
      </c>
      <c r="E16" s="513">
        <f>+'[94]Amortisation of Liability &amp; ROU'!C16</f>
        <v>179191.19231148041</v>
      </c>
      <c r="F16" s="513">
        <f>+'[94]Amortisation of Liability &amp; ROU'!I16</f>
        <v>26408.502061855554</v>
      </c>
      <c r="G16" s="513">
        <f t="shared" si="0"/>
        <v>205599.69437333595</v>
      </c>
      <c r="H16" s="514">
        <f t="shared" si="1"/>
        <v>-5599.6943733359512</v>
      </c>
      <c r="J16" s="82" t="s">
        <v>511</v>
      </c>
      <c r="K16" s="517">
        <f>+K15-K14-K13</f>
        <v>-616083.93931504316</v>
      </c>
    </row>
    <row r="17" spans="2:13">
      <c r="B17" s="1313"/>
      <c r="C17" s="515" t="s">
        <v>497</v>
      </c>
      <c r="D17" s="513">
        <f>+'[94]Basic Calculation'!G16</f>
        <v>200000</v>
      </c>
      <c r="E17" s="513">
        <f>+'[94]Amortisation of Liability &amp; ROU'!C17</f>
        <v>179191.19231148041</v>
      </c>
      <c r="F17" s="513">
        <f>+'[94]Amortisation of Liability &amp; ROU'!I17</f>
        <v>25251.225408934592</v>
      </c>
      <c r="G17" s="513">
        <f t="shared" si="0"/>
        <v>204442.41772041499</v>
      </c>
      <c r="H17" s="514">
        <f t="shared" si="1"/>
        <v>-4442.4177204149892</v>
      </c>
      <c r="K17" s="516"/>
    </row>
    <row r="18" spans="2:13">
      <c r="B18" s="1313"/>
      <c r="C18" s="515" t="s">
        <v>498</v>
      </c>
      <c r="D18" s="513">
        <f>+'[94]Basic Calculation'!G17</f>
        <v>200000</v>
      </c>
      <c r="E18" s="513">
        <f>+'[94]Amortisation of Liability &amp; ROU'!C18</f>
        <v>179191.19231148041</v>
      </c>
      <c r="F18" s="513">
        <f>+'[94]Amortisation of Liability &amp; ROU'!I18</f>
        <v>24086.233578327487</v>
      </c>
      <c r="G18" s="513">
        <f t="shared" si="0"/>
        <v>203277.4258898079</v>
      </c>
      <c r="H18" s="514">
        <f t="shared" si="1"/>
        <v>-3277.4258898078988</v>
      </c>
      <c r="J18" t="s">
        <v>513</v>
      </c>
      <c r="K18" s="517">
        <f>+'[94]Amortisation of Liability &amp; ROU'!D21</f>
        <v>2687867.8846722022</v>
      </c>
    </row>
    <row r="19" spans="2:13">
      <c r="B19" s="1313"/>
      <c r="C19" s="515" t="s">
        <v>499</v>
      </c>
      <c r="D19" s="513">
        <f>+'[94]Basic Calculation'!G18</f>
        <v>200000</v>
      </c>
      <c r="E19" s="513">
        <f>+'[94]Amortisation of Liability &amp; ROU'!C19</f>
        <v>179191.19231148041</v>
      </c>
      <c r="F19" s="513">
        <f>+'[94]Amortisation of Liability &amp; ROU'!I19</f>
        <v>22913.475135516335</v>
      </c>
      <c r="G19" s="513">
        <f t="shared" si="0"/>
        <v>202104.66744699675</v>
      </c>
      <c r="H19" s="514">
        <f t="shared" si="1"/>
        <v>-2104.6674469967547</v>
      </c>
      <c r="J19" t="s">
        <v>514</v>
      </c>
      <c r="K19" s="517">
        <f>+'[94]Amortisation of Liability &amp; ROU'!K21+600000</f>
        <v>3502212.0947244936</v>
      </c>
      <c r="M19" s="41"/>
    </row>
    <row r="20" spans="2:13">
      <c r="B20" s="1313"/>
      <c r="C20" s="515" t="s">
        <v>500</v>
      </c>
      <c r="D20" s="513">
        <f>+'[94]Basic Calculation'!G19</f>
        <v>200000</v>
      </c>
      <c r="E20" s="513">
        <f>+'[94]Amortisation of Liability &amp; ROU'!C20</f>
        <v>179191.19231148041</v>
      </c>
      <c r="F20" s="513">
        <f>+'[94]Amortisation of Liability &amp; ROU'!I20</f>
        <v>21732.898303086444</v>
      </c>
      <c r="G20" s="513">
        <f t="shared" si="0"/>
        <v>200924.09061456684</v>
      </c>
      <c r="H20" s="514">
        <f t="shared" si="1"/>
        <v>-924.0906145668414</v>
      </c>
      <c r="K20" s="42"/>
      <c r="M20" s="42"/>
    </row>
    <row r="21" spans="2:13">
      <c r="B21" s="1313"/>
      <c r="C21" s="515" t="s">
        <v>501</v>
      </c>
      <c r="D21" s="513">
        <f>+'[94]Basic Calculation'!G20</f>
        <v>200000</v>
      </c>
      <c r="E21" s="513">
        <f>+'[94]Amortisation of Liability &amp; ROU'!C21</f>
        <v>179191.19231148041</v>
      </c>
      <c r="F21" s="513">
        <f>+'[94]Amortisation of Liability &amp; ROU'!I21</f>
        <v>20544.450958440353</v>
      </c>
      <c r="G21" s="513">
        <f t="shared" si="0"/>
        <v>199735.64326992075</v>
      </c>
      <c r="H21" s="514">
        <f t="shared" si="1"/>
        <v>264.35673007924925</v>
      </c>
      <c r="J21" s="82" t="s">
        <v>515</v>
      </c>
      <c r="M21" s="42"/>
    </row>
    <row r="22" spans="2:13">
      <c r="B22" s="1313"/>
      <c r="C22" s="515" t="s">
        <v>502</v>
      </c>
      <c r="D22" s="513">
        <f>+'[94]Basic Calculation'!G21</f>
        <v>200000</v>
      </c>
      <c r="E22" s="513">
        <f>+'[94]Amortisation of Liability &amp; ROU'!C22</f>
        <v>179191.19231148041</v>
      </c>
      <c r="F22" s="513">
        <f>+'[94]Amortisation of Liability &amp; ROU'!I22</f>
        <v>19348.080631496625</v>
      </c>
      <c r="G22" s="513">
        <f t="shared" si="0"/>
        <v>198539.27294297703</v>
      </c>
      <c r="H22" s="514">
        <f t="shared" si="1"/>
        <v>1460.7270570229739</v>
      </c>
      <c r="J22" t="s">
        <v>516</v>
      </c>
      <c r="K22">
        <v>3763013</v>
      </c>
    </row>
    <row r="23" spans="2:13">
      <c r="B23" s="1313"/>
      <c r="C23" s="515" t="s">
        <v>503</v>
      </c>
      <c r="D23" s="513">
        <f>+'[94]Basic Calculation'!G22</f>
        <v>200000</v>
      </c>
      <c r="E23" s="513">
        <f>+'[94]Amortisation of Liability &amp; ROU'!C23</f>
        <v>179191.19231148041</v>
      </c>
      <c r="F23" s="513">
        <f>+'[94]Amortisation of Liability &amp; ROU'!I23</f>
        <v>18143.734502373271</v>
      </c>
      <c r="G23" s="513">
        <f t="shared" si="0"/>
        <v>197334.92681385367</v>
      </c>
      <c r="H23" s="514">
        <f t="shared" si="1"/>
        <v>2665.0731861463282</v>
      </c>
      <c r="J23" t="s">
        <v>517</v>
      </c>
      <c r="K23">
        <v>3961276</v>
      </c>
    </row>
    <row r="24" spans="2:13">
      <c r="B24" s="1313"/>
      <c r="C24" s="515" t="s">
        <v>504</v>
      </c>
      <c r="D24" s="513">
        <f>+'[94]Basic Calculation'!G23</f>
        <v>200000</v>
      </c>
      <c r="E24" s="513">
        <f>+'[94]Amortisation of Liability &amp; ROU'!C24</f>
        <v>179191.19231148041</v>
      </c>
      <c r="F24" s="513">
        <f>+'[94]Amortisation of Liability &amp; ROU'!I24</f>
        <v>16931.35939905576</v>
      </c>
      <c r="G24" s="513">
        <f t="shared" si="0"/>
        <v>196122.55171053618</v>
      </c>
      <c r="H24" s="514">
        <f t="shared" si="1"/>
        <v>3877.4482894638204</v>
      </c>
    </row>
    <row r="25" spans="2:13">
      <c r="B25" s="1317">
        <v>2021</v>
      </c>
      <c r="C25" s="518" t="s">
        <v>506</v>
      </c>
      <c r="D25" s="513">
        <f>+'[94]Basic Calculation'!G24</f>
        <v>205000</v>
      </c>
      <c r="E25" s="513">
        <f>+'[94]Amortisation of Liability &amp; ROU'!C25</f>
        <v>179191.19231148041</v>
      </c>
      <c r="F25" s="513">
        <f>+'[94]Amortisation of Liability &amp; ROU'!I25</f>
        <v>15710.901795049462</v>
      </c>
      <c r="G25" s="513">
        <f t="shared" si="0"/>
        <v>194902.09410652987</v>
      </c>
      <c r="H25" s="514">
        <f t="shared" si="1"/>
        <v>10097.905893470132</v>
      </c>
      <c r="J25" t="s">
        <v>518</v>
      </c>
    </row>
    <row r="26" spans="2:13">
      <c r="B26" s="1318"/>
      <c r="C26" s="518" t="s">
        <v>507</v>
      </c>
      <c r="D26" s="513">
        <f>+'[94]Basic Calculation'!G25</f>
        <v>205000</v>
      </c>
      <c r="E26" s="513">
        <f>+'[94]Amortisation of Liability &amp; ROU'!C26</f>
        <v>179191.19231148041</v>
      </c>
      <c r="F26" s="513">
        <f>+'[94]Amortisation of Liability &amp; ROU'!I26</f>
        <v>14448.974473683127</v>
      </c>
      <c r="G26" s="513">
        <f t="shared" si="0"/>
        <v>193640.16678516354</v>
      </c>
      <c r="H26" s="514">
        <f t="shared" si="1"/>
        <v>11359.833214836457</v>
      </c>
      <c r="J26" t="s">
        <v>516</v>
      </c>
      <c r="K26" s="42">
        <f>+K22-K18</f>
        <v>1075145.1153277978</v>
      </c>
    </row>
    <row r="27" spans="2:13">
      <c r="B27" s="1318"/>
      <c r="C27" s="518" t="s">
        <v>509</v>
      </c>
      <c r="D27" s="513">
        <f>+'[94]Basic Calculation'!G26</f>
        <v>205000</v>
      </c>
      <c r="E27" s="513">
        <f>+'[94]Amortisation of Liability &amp; ROU'!C27</f>
        <v>179191.19231148041</v>
      </c>
      <c r="F27" s="513">
        <f>+'[94]Amortisation of Liability &amp; ROU'!I27</f>
        <v>13178.634303507681</v>
      </c>
      <c r="G27" s="513">
        <f t="shared" si="0"/>
        <v>192369.82661498809</v>
      </c>
      <c r="H27" s="514">
        <f t="shared" si="1"/>
        <v>12630.173385011905</v>
      </c>
      <c r="J27" t="s">
        <v>519</v>
      </c>
      <c r="K27" s="42">
        <f>+K23-K19</f>
        <v>459063.90527550643</v>
      </c>
    </row>
    <row r="28" spans="2:13">
      <c r="B28" s="1318"/>
      <c r="C28" s="518" t="s">
        <v>496</v>
      </c>
      <c r="D28" s="513">
        <f>+'[94]Basic Calculation'!G27</f>
        <v>205000</v>
      </c>
      <c r="E28" s="513">
        <f>+'[94]Amortisation of Liability &amp; ROU'!C28</f>
        <v>179191.19231148041</v>
      </c>
      <c r="F28" s="513">
        <f>+'[94]Amortisation of Liability &amp; ROU'!I28</f>
        <v>11899.825198864399</v>
      </c>
      <c r="G28" s="513">
        <f t="shared" si="0"/>
        <v>191091.0175103448</v>
      </c>
      <c r="H28" s="514">
        <f t="shared" si="1"/>
        <v>13908.982489655202</v>
      </c>
      <c r="K28" s="519">
        <f>+K26-K27</f>
        <v>616081.2100522914</v>
      </c>
    </row>
    <row r="29" spans="2:13">
      <c r="B29" s="1318"/>
      <c r="C29" s="518" t="s">
        <v>497</v>
      </c>
      <c r="D29" s="513">
        <f>+'[94]Basic Calculation'!G28</f>
        <v>205000</v>
      </c>
      <c r="E29" s="513">
        <f>+'[94]Amortisation of Liability &amp; ROU'!C29</f>
        <v>179191.19231148041</v>
      </c>
      <c r="F29" s="513">
        <f>+'[94]Amortisation of Liability &amp; ROU'!I29</f>
        <v>10612.490700190161</v>
      </c>
      <c r="G29" s="513">
        <f t="shared" si="0"/>
        <v>189803.68301167057</v>
      </c>
      <c r="H29" s="514">
        <f t="shared" si="1"/>
        <v>15196.316988329432</v>
      </c>
    </row>
    <row r="30" spans="2:13">
      <c r="B30" s="1318"/>
      <c r="C30" s="518" t="s">
        <v>498</v>
      </c>
      <c r="D30" s="513">
        <f>+'[94]Basic Calculation'!G29</f>
        <v>205000</v>
      </c>
      <c r="E30" s="513">
        <f>+'[94]Amortisation of Liability &amp; ROU'!C30</f>
        <v>179191.19231148041</v>
      </c>
      <c r="F30" s="513">
        <f>+'[94]Amortisation of Liability &amp; ROU'!I30</f>
        <v>9316.5739715247619</v>
      </c>
      <c r="G30" s="513">
        <f t="shared" si="0"/>
        <v>188507.76628300518</v>
      </c>
      <c r="H30" s="514">
        <f t="shared" si="1"/>
        <v>16492.233716994815</v>
      </c>
    </row>
    <row r="31" spans="2:13">
      <c r="B31" s="1318"/>
      <c r="C31" s="518" t="s">
        <v>499</v>
      </c>
      <c r="D31" s="513">
        <f>+'[94]Basic Calculation'!G30</f>
        <v>205000</v>
      </c>
      <c r="E31" s="513">
        <f>+'[94]Amortisation of Liability &amp; ROU'!C31</f>
        <v>179191.19231148041</v>
      </c>
      <c r="F31" s="513">
        <f>+'[94]Amortisation of Liability &amp; ROU'!I31</f>
        <v>8012.0177980015942</v>
      </c>
      <c r="G31" s="513">
        <f t="shared" si="0"/>
        <v>187203.210109482</v>
      </c>
      <c r="H31" s="514">
        <f t="shared" si="1"/>
        <v>17796.789890518005</v>
      </c>
    </row>
    <row r="32" spans="2:13">
      <c r="B32" s="1318"/>
      <c r="C32" s="518" t="s">
        <v>500</v>
      </c>
      <c r="D32" s="513">
        <f>+'[94]Basic Calculation'!G31</f>
        <v>205000</v>
      </c>
      <c r="E32" s="513">
        <f>+'[94]Amortisation of Liability &amp; ROU'!C32</f>
        <v>179191.19231148041</v>
      </c>
      <c r="F32" s="513">
        <f>+'[94]Amortisation of Liability &amp; ROU'!I32</f>
        <v>6698.7645833216047</v>
      </c>
      <c r="G32" s="513">
        <f t="shared" si="0"/>
        <v>185889.95689480202</v>
      </c>
      <c r="H32" s="514">
        <f t="shared" si="1"/>
        <v>19110.043105197983</v>
      </c>
    </row>
    <row r="33" spans="2:8">
      <c r="B33" s="1318"/>
      <c r="C33" s="518" t="s">
        <v>501</v>
      </c>
      <c r="D33" s="513">
        <f>+'[94]Basic Calculation'!G32</f>
        <v>205000</v>
      </c>
      <c r="E33" s="513">
        <f>+'[94]Amortisation of Liability &amp; ROU'!C33</f>
        <v>179191.19231148041</v>
      </c>
      <c r="F33" s="513">
        <f>+'[94]Amortisation of Liability &amp; ROU'!I33</f>
        <v>5376.7563472104157</v>
      </c>
      <c r="G33" s="513">
        <f t="shared" si="0"/>
        <v>184567.94865869082</v>
      </c>
      <c r="H33" s="514">
        <f t="shared" si="1"/>
        <v>20432.051341309183</v>
      </c>
    </row>
    <row r="34" spans="2:8">
      <c r="B34" s="1318"/>
      <c r="C34" s="518" t="s">
        <v>502</v>
      </c>
      <c r="D34" s="513">
        <f>+'[94]Basic Calculation'!G33</f>
        <v>205000</v>
      </c>
      <c r="E34" s="513">
        <f>+'[94]Amortisation of Liability &amp; ROU'!C34</f>
        <v>179191.19231148041</v>
      </c>
      <c r="F34" s="513">
        <f>+'[94]Amortisation of Liability &amp; ROU'!I34</f>
        <v>4045.9347228584852</v>
      </c>
      <c r="G34" s="513">
        <f t="shared" si="0"/>
        <v>183237.12703433889</v>
      </c>
      <c r="H34" s="514">
        <f t="shared" si="1"/>
        <v>21762.87296566111</v>
      </c>
    </row>
    <row r="35" spans="2:8">
      <c r="B35" s="1318"/>
      <c r="C35" s="518" t="s">
        <v>503</v>
      </c>
      <c r="D35" s="513">
        <f>+'[94]Basic Calculation'!G34</f>
        <v>205000</v>
      </c>
      <c r="E35" s="513">
        <f>+'[94]Amortisation of Liability &amp; ROU'!C35</f>
        <v>179191.19231148041</v>
      </c>
      <c r="F35" s="513">
        <f>+'[94]Amortisation of Liability &amp; ROU'!I35</f>
        <v>2706.2409543442081</v>
      </c>
      <c r="G35" s="513">
        <f t="shared" si="0"/>
        <v>181897.43326582463</v>
      </c>
      <c r="H35" s="514">
        <f t="shared" si="1"/>
        <v>23102.566734175372</v>
      </c>
    </row>
    <row r="36" spans="2:8">
      <c r="B36" s="1319"/>
      <c r="C36" s="518" t="s">
        <v>504</v>
      </c>
      <c r="D36" s="513">
        <f>+'[94]Basic Calculation'!G35</f>
        <v>205000</v>
      </c>
      <c r="E36" s="513">
        <f>+'[94]Amortisation of Liability &amp; ROU'!C36</f>
        <v>179191.19231148041</v>
      </c>
      <c r="F36" s="513">
        <f>+'[94]Amortisation of Liability &amp; ROU'!I36</f>
        <v>1357.6158940398363</v>
      </c>
      <c r="G36" s="513">
        <f t="shared" si="0"/>
        <v>180548.80820552024</v>
      </c>
      <c r="H36" s="514">
        <f t="shared" si="1"/>
        <v>24451.191794479761</v>
      </c>
    </row>
  </sheetData>
  <mergeCells count="9">
    <mergeCell ref="J12:K12"/>
    <mergeCell ref="B13:B24"/>
    <mergeCell ref="B25:B36"/>
    <mergeCell ref="B2:B3"/>
    <mergeCell ref="C2:C3"/>
    <mergeCell ref="D2:D3"/>
    <mergeCell ref="E2:G2"/>
    <mergeCell ref="H2:H3"/>
    <mergeCell ref="B4:B12"/>
  </mergeCells>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7:G41"/>
  <sheetViews>
    <sheetView workbookViewId="0">
      <selection activeCell="C8" sqref="C8"/>
    </sheetView>
  </sheetViews>
  <sheetFormatPr defaultRowHeight="14.5"/>
  <cols>
    <col min="1" max="1" width="25.1796875" customWidth="1"/>
    <col min="2" max="2" width="10.54296875" bestFit="1" customWidth="1"/>
    <col min="3" max="3" width="15.54296875" bestFit="1" customWidth="1"/>
    <col min="4" max="4" width="18.453125" bestFit="1" customWidth="1"/>
    <col min="5" max="5" width="29.453125" bestFit="1" customWidth="1"/>
    <col min="6" max="6" width="17.1796875" customWidth="1"/>
  </cols>
  <sheetData>
    <row r="7" spans="1:6">
      <c r="A7" s="572" t="s">
        <v>0</v>
      </c>
      <c r="B7" s="305" t="s">
        <v>540</v>
      </c>
      <c r="C7" s="305" t="s">
        <v>538</v>
      </c>
      <c r="D7" s="305" t="s">
        <v>539</v>
      </c>
      <c r="E7" s="305" t="s">
        <v>542</v>
      </c>
      <c r="F7" s="305" t="s">
        <v>543</v>
      </c>
    </row>
    <row r="8" spans="1:6">
      <c r="A8" s="570" t="s">
        <v>410</v>
      </c>
      <c r="B8" s="570">
        <v>0.1</v>
      </c>
      <c r="C8" s="570">
        <v>30799301</v>
      </c>
      <c r="D8" s="570">
        <v>2465700</v>
      </c>
      <c r="E8" s="570">
        <f>+((C8+D8)*B8)/2</f>
        <v>1663250.05</v>
      </c>
      <c r="F8" s="570">
        <f>+C8+D8-E8</f>
        <v>31601750.949999999</v>
      </c>
    </row>
    <row r="9" spans="1:6">
      <c r="A9" s="570" t="s">
        <v>411</v>
      </c>
      <c r="B9" s="570">
        <v>0.1</v>
      </c>
      <c r="C9" s="570">
        <v>7081347</v>
      </c>
      <c r="D9" s="570"/>
      <c r="E9" s="570">
        <f t="shared" ref="E9:E12" si="0">+((C9+D9)*B9)/2</f>
        <v>354067.35000000003</v>
      </c>
      <c r="F9" s="570">
        <f t="shared" ref="F9:F12" si="1">+C9+D9-E9</f>
        <v>6727279.6500000004</v>
      </c>
    </row>
    <row r="10" spans="1:6">
      <c r="A10" s="570" t="s">
        <v>412</v>
      </c>
      <c r="B10" s="570">
        <v>0.15</v>
      </c>
      <c r="C10" s="570">
        <v>112564495</v>
      </c>
      <c r="D10" s="570"/>
      <c r="E10" s="570">
        <f t="shared" si="0"/>
        <v>8442337.125</v>
      </c>
      <c r="F10" s="570">
        <f t="shared" si="1"/>
        <v>104122157.875</v>
      </c>
    </row>
    <row r="11" spans="1:6">
      <c r="A11" s="570" t="s">
        <v>412</v>
      </c>
      <c r="B11" s="570">
        <v>0.4</v>
      </c>
      <c r="C11" s="570">
        <v>507943</v>
      </c>
      <c r="D11" s="570"/>
      <c r="E11" s="570">
        <f t="shared" si="0"/>
        <v>101588.6</v>
      </c>
      <c r="F11" s="570">
        <f t="shared" si="1"/>
        <v>406354.4</v>
      </c>
    </row>
    <row r="12" spans="1:6">
      <c r="A12" s="570" t="s">
        <v>541</v>
      </c>
      <c r="B12" s="570">
        <v>0.25</v>
      </c>
      <c r="C12" s="570">
        <v>388500</v>
      </c>
      <c r="D12" s="570"/>
      <c r="E12" s="570">
        <f t="shared" si="0"/>
        <v>48562.5</v>
      </c>
      <c r="F12" s="570">
        <f t="shared" si="1"/>
        <v>339937.5</v>
      </c>
    </row>
    <row r="13" spans="1:6">
      <c r="A13" s="570"/>
      <c r="B13" s="570"/>
      <c r="C13" s="570">
        <f>SUM(C8:C12)</f>
        <v>151341586</v>
      </c>
      <c r="D13" s="570"/>
      <c r="E13" s="570">
        <f>SUM(E8:E12)</f>
        <v>10609805.625</v>
      </c>
      <c r="F13" s="571">
        <f>SUM(F8:F12)</f>
        <v>143197480.375</v>
      </c>
    </row>
    <row r="16" spans="1:6">
      <c r="C16" s="510" t="s">
        <v>544</v>
      </c>
    </row>
    <row r="18" spans="1:6">
      <c r="C18" s="1228" t="s">
        <v>545</v>
      </c>
      <c r="D18" s="1229"/>
      <c r="E18" s="573">
        <f>+'Regulation 33 - Balance Sheet_'!G8*100000</f>
        <v>176882507.74000001</v>
      </c>
    </row>
    <row r="19" spans="1:6">
      <c r="C19" s="1228" t="s">
        <v>546</v>
      </c>
      <c r="D19" s="1229"/>
      <c r="E19" s="573">
        <f>+F13</f>
        <v>143197480.375</v>
      </c>
    </row>
    <row r="20" spans="1:6">
      <c r="C20" s="1228" t="s">
        <v>547</v>
      </c>
      <c r="D20" s="1229"/>
      <c r="E20" s="573">
        <f>+E18-E19</f>
        <v>33685027.36500001</v>
      </c>
    </row>
    <row r="21" spans="1:6">
      <c r="C21" s="1228" t="s">
        <v>550</v>
      </c>
      <c r="D21" s="1229"/>
      <c r="E21" s="573">
        <f>+E20*0.25*1.04</f>
        <v>8758107.1149000023</v>
      </c>
    </row>
    <row r="22" spans="1:6">
      <c r="C22" s="1228" t="s">
        <v>548</v>
      </c>
      <c r="D22" s="1229"/>
      <c r="E22" s="573">
        <v>7306905</v>
      </c>
    </row>
    <row r="23" spans="1:6">
      <c r="C23" s="1228" t="s">
        <v>549</v>
      </c>
      <c r="D23" s="1229"/>
      <c r="E23" s="573">
        <f>+E21-E22</f>
        <v>1451202.1149000023</v>
      </c>
    </row>
    <row r="26" spans="1:6">
      <c r="A26" t="s">
        <v>551</v>
      </c>
      <c r="E26" t="s">
        <v>561</v>
      </c>
    </row>
    <row r="28" spans="1:6">
      <c r="A28" t="s">
        <v>552</v>
      </c>
      <c r="C28" s="41">
        <f>+'Regulation 33 - Results'!N30*100000</f>
        <v>53784467.931964539</v>
      </c>
      <c r="E28" t="s">
        <v>552</v>
      </c>
      <c r="F28" s="42">
        <f>+C28</f>
        <v>53784467.931964539</v>
      </c>
    </row>
    <row r="29" spans="1:6">
      <c r="A29" t="s">
        <v>553</v>
      </c>
      <c r="C29" s="41"/>
      <c r="E29" s="82" t="s">
        <v>562</v>
      </c>
    </row>
    <row r="30" spans="1:6">
      <c r="A30" t="s">
        <v>554</v>
      </c>
      <c r="C30" s="41">
        <f>+'Regulation 33 - Results'!N23*100000</f>
        <v>20468571.670000002</v>
      </c>
      <c r="E30" t="s">
        <v>563</v>
      </c>
      <c r="F30" s="42">
        <v>-40570536</v>
      </c>
    </row>
    <row r="31" spans="1:6">
      <c r="A31" t="s">
        <v>555</v>
      </c>
      <c r="C31" s="41">
        <f>+E13*-1</f>
        <v>-10609805.625</v>
      </c>
    </row>
    <row r="32" spans="1:6">
      <c r="A32" t="s">
        <v>557</v>
      </c>
      <c r="C32" s="41">
        <v>97254</v>
      </c>
      <c r="E32" s="82" t="s">
        <v>564</v>
      </c>
    </row>
    <row r="33" spans="1:7">
      <c r="C33" s="41"/>
      <c r="E33" t="s">
        <v>565</v>
      </c>
      <c r="F33" s="41">
        <f>-456.545071102494*100000</f>
        <v>-45654507.1102494</v>
      </c>
    </row>
    <row r="34" spans="1:7">
      <c r="C34" s="41"/>
      <c r="E34" t="s">
        <v>566</v>
      </c>
      <c r="F34" s="42">
        <f>+C36-F33</f>
        <v>-82914492.8897506</v>
      </c>
    </row>
    <row r="35" spans="1:7">
      <c r="A35" t="s">
        <v>556</v>
      </c>
      <c r="C35" s="41">
        <f>SUM(C28:C34)</f>
        <v>63740487.976964533</v>
      </c>
      <c r="F35" s="42"/>
    </row>
    <row r="36" spans="1:7" ht="43.5">
      <c r="A36" s="118" t="s">
        <v>560</v>
      </c>
      <c r="C36" s="41">
        <f>-1285.69*100000</f>
        <v>-128569000</v>
      </c>
      <c r="E36" s="82" t="s">
        <v>567</v>
      </c>
      <c r="F36" s="519">
        <f>+F28+F33</f>
        <v>8129960.8217151389</v>
      </c>
    </row>
    <row r="37" spans="1:7">
      <c r="C37" s="41"/>
      <c r="E37" s="82" t="s">
        <v>164</v>
      </c>
      <c r="F37" s="497">
        <f>+F36*0.15*1.07*1.04</f>
        <v>1357053.060360691</v>
      </c>
      <c r="G37">
        <f>0.15*1.07*1.04</f>
        <v>0.16692000000000001</v>
      </c>
    </row>
    <row r="38" spans="1:7">
      <c r="A38" t="s">
        <v>558</v>
      </c>
      <c r="C38" s="41">
        <f>+C35+C36</f>
        <v>-64828512.023035467</v>
      </c>
      <c r="F38" s="581">
        <f>+F37/100000</f>
        <v>13.57053060360691</v>
      </c>
    </row>
    <row r="39" spans="1:7">
      <c r="C39" s="41"/>
    </row>
    <row r="40" spans="1:7">
      <c r="A40" t="s">
        <v>559</v>
      </c>
      <c r="C40" s="41" t="s">
        <v>181</v>
      </c>
    </row>
    <row r="41" spans="1:7">
      <c r="C41" s="41"/>
    </row>
  </sheetData>
  <mergeCells count="6">
    <mergeCell ref="C23:D23"/>
    <mergeCell ref="C18:D18"/>
    <mergeCell ref="C19:D19"/>
    <mergeCell ref="C20:D20"/>
    <mergeCell ref="C21:D21"/>
    <mergeCell ref="C22:D2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Q84"/>
  <sheetViews>
    <sheetView topLeftCell="A3" workbookViewId="0">
      <selection activeCell="A3" sqref="A3:H3"/>
    </sheetView>
  </sheetViews>
  <sheetFormatPr defaultColWidth="59.1796875" defaultRowHeight="11.5"/>
  <cols>
    <col min="1" max="2" width="3.54296875" style="261" customWidth="1"/>
    <col min="3" max="3" width="59.1796875" style="147" bestFit="1" customWidth="1"/>
    <col min="4" max="4" width="16.1796875" style="147" customWidth="1"/>
    <col min="5" max="5" width="15.453125" style="147" bestFit="1" customWidth="1"/>
    <col min="6" max="6" width="15.54296875" style="147" bestFit="1" customWidth="1"/>
    <col min="7" max="7" width="14.54296875" style="147" bestFit="1" customWidth="1"/>
    <col min="8" max="8" width="16" style="147" bestFit="1" customWidth="1"/>
    <col min="9" max="9" width="9.1796875" style="147" customWidth="1"/>
    <col min="10" max="10" width="15.81640625" style="147" bestFit="1" customWidth="1"/>
    <col min="11" max="11" width="9.1796875" style="147" customWidth="1"/>
    <col min="12" max="12" width="10.81640625" style="147" customWidth="1"/>
    <col min="13" max="253" width="9.1796875" style="147" customWidth="1"/>
    <col min="254" max="255" width="3.54296875" style="147" customWidth="1"/>
    <col min="256" max="16384" width="59.1796875" style="147"/>
  </cols>
  <sheetData>
    <row r="1" spans="1:14" ht="13" customHeight="1">
      <c r="A1" s="1326" t="s">
        <v>186</v>
      </c>
      <c r="B1" s="1327"/>
      <c r="C1" s="1327"/>
      <c r="D1" s="1327"/>
      <c r="E1" s="1327"/>
      <c r="F1" s="1327"/>
      <c r="G1" s="1327"/>
      <c r="H1" s="1328"/>
    </row>
    <row r="2" spans="1:14" ht="13" customHeight="1">
      <c r="A2" s="1329" t="s">
        <v>418</v>
      </c>
      <c r="B2" s="1330"/>
      <c r="C2" s="1330"/>
      <c r="D2" s="1330"/>
      <c r="E2" s="1330"/>
      <c r="F2" s="1330"/>
      <c r="G2" s="1330"/>
      <c r="H2" s="1331"/>
    </row>
    <row r="3" spans="1:14" ht="13" customHeight="1">
      <c r="A3" s="1332" t="s">
        <v>187</v>
      </c>
      <c r="B3" s="1333"/>
      <c r="C3" s="1333"/>
      <c r="D3" s="1333"/>
      <c r="E3" s="1333"/>
      <c r="F3" s="1333"/>
      <c r="G3" s="1333"/>
      <c r="H3" s="1334"/>
    </row>
    <row r="4" spans="1:14" ht="13" customHeight="1">
      <c r="A4" s="148"/>
      <c r="B4" s="149"/>
      <c r="C4" s="150"/>
      <c r="D4" s="150"/>
      <c r="E4" s="150"/>
      <c r="F4" s="150"/>
      <c r="G4" s="150"/>
      <c r="H4" s="151"/>
      <c r="I4" s="152"/>
      <c r="J4" s="152"/>
      <c r="K4" s="153"/>
      <c r="L4" s="154"/>
      <c r="M4" s="155"/>
      <c r="N4" s="156"/>
    </row>
    <row r="5" spans="1:14" ht="13" customHeight="1">
      <c r="A5" s="157" t="s">
        <v>188</v>
      </c>
      <c r="B5" s="158"/>
      <c r="C5" s="159"/>
      <c r="D5" s="159"/>
      <c r="E5" s="159"/>
      <c r="F5" s="159"/>
      <c r="G5" s="160"/>
      <c r="H5" s="161"/>
      <c r="I5" s="155"/>
      <c r="J5" s="155"/>
      <c r="K5" s="155"/>
    </row>
    <row r="6" spans="1:14" ht="13" customHeight="1">
      <c r="A6" s="162" t="s">
        <v>189</v>
      </c>
      <c r="B6" s="163"/>
      <c r="C6" s="164"/>
      <c r="D6" s="164"/>
      <c r="E6" s="164"/>
      <c r="F6" s="164"/>
      <c r="G6" s="159"/>
      <c r="H6" s="165"/>
      <c r="I6" s="155"/>
      <c r="J6" s="152"/>
      <c r="K6" s="155"/>
    </row>
    <row r="7" spans="1:14" ht="13" customHeight="1">
      <c r="A7" s="166"/>
      <c r="B7" s="167"/>
      <c r="C7" s="164"/>
      <c r="D7" s="164"/>
      <c r="E7" s="164"/>
      <c r="F7" s="164"/>
      <c r="G7" s="159"/>
      <c r="H7" s="165"/>
      <c r="I7" s="155"/>
      <c r="J7" s="152"/>
      <c r="K7" s="155"/>
    </row>
    <row r="8" spans="1:14" ht="13" customHeight="1">
      <c r="A8" s="168"/>
      <c r="B8" s="169" t="s">
        <v>0</v>
      </c>
      <c r="C8" s="170"/>
      <c r="D8" s="170"/>
      <c r="E8" s="170"/>
      <c r="F8" s="171"/>
      <c r="G8" s="171"/>
      <c r="H8" s="170" t="s">
        <v>190</v>
      </c>
      <c r="I8" s="155"/>
      <c r="J8" s="155"/>
      <c r="K8" s="155"/>
    </row>
    <row r="9" spans="1:14" ht="13" customHeight="1">
      <c r="A9" s="157"/>
      <c r="B9" s="170"/>
      <c r="C9" s="170"/>
      <c r="D9" s="170"/>
      <c r="E9" s="170"/>
      <c r="F9" s="170"/>
      <c r="G9" s="170"/>
      <c r="H9" s="172"/>
      <c r="I9" s="155"/>
      <c r="J9" s="155"/>
      <c r="K9" s="155"/>
    </row>
    <row r="10" spans="1:14" ht="13" customHeight="1">
      <c r="A10" s="157"/>
      <c r="B10" s="170"/>
      <c r="C10" s="170"/>
      <c r="D10" s="170"/>
      <c r="E10" s="170"/>
      <c r="F10" s="170"/>
      <c r="G10" s="170"/>
      <c r="H10" s="172" t="s">
        <v>191</v>
      </c>
      <c r="I10" s="155"/>
      <c r="J10" s="424" t="s">
        <v>407</v>
      </c>
      <c r="K10" s="147">
        <f>13482336-1284064</f>
        <v>12198272</v>
      </c>
    </row>
    <row r="11" spans="1:14" ht="13" customHeight="1">
      <c r="A11" s="157"/>
      <c r="B11" s="170"/>
      <c r="C11" s="170"/>
      <c r="D11" s="170"/>
      <c r="E11" s="170"/>
      <c r="F11" s="173"/>
      <c r="G11" s="170"/>
      <c r="H11" s="174">
        <v>43373</v>
      </c>
      <c r="I11" s="155"/>
      <c r="J11" s="424" t="s">
        <v>408</v>
      </c>
      <c r="K11" s="147">
        <v>32497</v>
      </c>
    </row>
    <row r="12" spans="1:14" ht="13" customHeight="1">
      <c r="A12" s="157"/>
      <c r="B12" s="175" t="s">
        <v>192</v>
      </c>
      <c r="C12" s="159"/>
      <c r="D12" s="159"/>
      <c r="F12" s="176"/>
      <c r="G12" s="159"/>
      <c r="H12" s="177"/>
      <c r="I12" s="155"/>
      <c r="J12" s="424" t="s">
        <v>409</v>
      </c>
      <c r="K12" s="147">
        <f>277399693-71482443</f>
        <v>205917250</v>
      </c>
    </row>
    <row r="13" spans="1:14" ht="13" customHeight="1">
      <c r="A13" s="157"/>
      <c r="B13" s="178"/>
      <c r="C13" s="178" t="s">
        <v>193</v>
      </c>
      <c r="D13" s="178"/>
      <c r="G13" s="178"/>
      <c r="H13" s="179">
        <f>+H42+H43</f>
        <v>16170316.531200008</v>
      </c>
      <c r="I13" s="155"/>
      <c r="K13" s="147">
        <f>SUM(K10:K12)</f>
        <v>218148019</v>
      </c>
    </row>
    <row r="14" spans="1:14" ht="13" customHeight="1">
      <c r="A14" s="157"/>
      <c r="B14" s="158"/>
      <c r="D14" s="182"/>
      <c r="G14" s="182" t="s">
        <v>194</v>
      </c>
      <c r="H14" s="183">
        <v>0</v>
      </c>
      <c r="I14" s="155"/>
      <c r="J14" s="155"/>
      <c r="K14" s="155"/>
    </row>
    <row r="15" spans="1:14" ht="13" customHeight="1">
      <c r="A15" s="157"/>
      <c r="B15" s="175" t="s">
        <v>195</v>
      </c>
      <c r="C15" s="159"/>
      <c r="D15" s="159"/>
      <c r="G15" s="159"/>
      <c r="H15" s="179"/>
      <c r="I15" s="155"/>
      <c r="K15" s="155"/>
    </row>
    <row r="16" spans="1:14" ht="13" customHeight="1">
      <c r="A16" s="157"/>
      <c r="B16" s="184"/>
      <c r="C16" s="178" t="s">
        <v>196</v>
      </c>
      <c r="D16" s="178"/>
      <c r="G16" s="178"/>
      <c r="H16" s="179">
        <v>0</v>
      </c>
      <c r="I16" s="155"/>
      <c r="J16" s="155"/>
      <c r="K16" s="155"/>
      <c r="L16" s="147" t="s">
        <v>415</v>
      </c>
    </row>
    <row r="17" spans="1:17" ht="13" customHeight="1">
      <c r="A17" s="157"/>
      <c r="B17" s="184"/>
      <c r="C17" s="178" t="s">
        <v>197</v>
      </c>
      <c r="D17" s="178"/>
      <c r="G17" s="178"/>
      <c r="H17" s="179">
        <v>0</v>
      </c>
      <c r="I17" s="155"/>
      <c r="J17" s="155" t="s">
        <v>410</v>
      </c>
      <c r="K17" s="155">
        <v>33634575</v>
      </c>
      <c r="L17" s="147">
        <v>576631</v>
      </c>
      <c r="M17" s="147">
        <v>10</v>
      </c>
      <c r="N17" s="147">
        <f>K17+L17</f>
        <v>34211206</v>
      </c>
      <c r="O17" s="147">
        <f>(K17+L17)*10%</f>
        <v>3421120.6</v>
      </c>
      <c r="P17" s="147">
        <f>O17/2</f>
        <v>1710560.3</v>
      </c>
      <c r="Q17" s="147">
        <f>N17-P17</f>
        <v>32500645.699999999</v>
      </c>
    </row>
    <row r="18" spans="1:17" ht="13" customHeight="1">
      <c r="A18" s="157"/>
      <c r="B18" s="184"/>
      <c r="C18" s="178" t="s">
        <v>198</v>
      </c>
      <c r="D18" s="178"/>
      <c r="G18" s="178"/>
      <c r="H18" s="179">
        <v>0</v>
      </c>
      <c r="I18" s="155"/>
      <c r="J18" s="155" t="s">
        <v>411</v>
      </c>
      <c r="K18" s="155">
        <v>7868163</v>
      </c>
      <c r="M18" s="147">
        <v>10</v>
      </c>
      <c r="N18" s="147">
        <f>K18+L18</f>
        <v>7868163</v>
      </c>
      <c r="O18" s="147">
        <f>(K18+L18)*10%</f>
        <v>786816.3</v>
      </c>
      <c r="P18" s="147">
        <f>O18/2</f>
        <v>393408.15</v>
      </c>
      <c r="Q18" s="147">
        <f>N18-P18</f>
        <v>7474754.8499999996</v>
      </c>
    </row>
    <row r="19" spans="1:17" ht="13" customHeight="1">
      <c r="A19" s="157"/>
      <c r="B19" s="184"/>
      <c r="C19" s="178" t="s">
        <v>199</v>
      </c>
      <c r="D19" s="178"/>
      <c r="G19" s="178"/>
      <c r="H19" s="179">
        <f>H61</f>
        <v>14467187.279999999</v>
      </c>
      <c r="I19" s="155"/>
      <c r="J19" s="155" t="s">
        <v>412</v>
      </c>
      <c r="K19" s="155">
        <v>132368818</v>
      </c>
      <c r="L19" s="147">
        <v>60000</v>
      </c>
      <c r="M19" s="147">
        <v>15</v>
      </c>
      <c r="N19" s="147">
        <f>K19+L19</f>
        <v>132428818</v>
      </c>
      <c r="O19" s="147">
        <f>(K19+L19)*10%</f>
        <v>13242881.800000001</v>
      </c>
      <c r="P19" s="147">
        <f>O19/2</f>
        <v>6621440.9000000004</v>
      </c>
      <c r="Q19" s="147">
        <f>N19-P19</f>
        <v>125807377.09999999</v>
      </c>
    </row>
    <row r="20" spans="1:17" ht="13" customHeight="1">
      <c r="A20" s="157"/>
      <c r="B20" s="158"/>
      <c r="D20" s="182"/>
      <c r="G20" s="182" t="s">
        <v>194</v>
      </c>
      <c r="H20" s="183">
        <v>0</v>
      </c>
      <c r="I20" s="155"/>
      <c r="J20" s="180" t="s">
        <v>413</v>
      </c>
      <c r="K20" s="181">
        <v>758705</v>
      </c>
      <c r="M20" s="147">
        <v>40</v>
      </c>
      <c r="N20" s="147">
        <f>K20+L20</f>
        <v>758705</v>
      </c>
      <c r="O20" s="147">
        <f>(K20+L20)*10%</f>
        <v>75870.5</v>
      </c>
      <c r="P20" s="147">
        <f>O20/2</f>
        <v>37935.25</v>
      </c>
      <c r="Q20" s="147">
        <f>N20-P20</f>
        <v>720769.75</v>
      </c>
    </row>
    <row r="21" spans="1:17" ht="13" customHeight="1">
      <c r="A21" s="157"/>
      <c r="B21" s="158"/>
      <c r="D21" s="182"/>
      <c r="G21" s="182" t="s">
        <v>200</v>
      </c>
      <c r="H21" s="179">
        <v>0</v>
      </c>
      <c r="I21" s="185"/>
      <c r="J21" s="180" t="s">
        <v>414</v>
      </c>
      <c r="K21" s="180">
        <v>168000</v>
      </c>
      <c r="L21" s="147">
        <v>350000</v>
      </c>
      <c r="M21" s="147">
        <v>25</v>
      </c>
      <c r="N21" s="147">
        <f>K21+L21</f>
        <v>518000</v>
      </c>
      <c r="O21" s="147">
        <f>(K21+L21)*10%</f>
        <v>51800</v>
      </c>
      <c r="P21" s="147">
        <f>O21/2</f>
        <v>25900</v>
      </c>
      <c r="Q21" s="147">
        <f>N21-P21</f>
        <v>492100</v>
      </c>
    </row>
    <row r="22" spans="1:17" ht="13" customHeight="1">
      <c r="A22" s="157"/>
      <c r="B22" s="175"/>
      <c r="C22" s="178" t="s">
        <v>201</v>
      </c>
      <c r="D22" s="178"/>
      <c r="G22" s="178"/>
      <c r="H22" s="179"/>
      <c r="I22" s="155"/>
      <c r="J22" s="155"/>
      <c r="K22" s="155">
        <f>SUM(K17:K21)</f>
        <v>174798261</v>
      </c>
      <c r="L22" s="186"/>
      <c r="M22" s="186"/>
      <c r="N22" s="187"/>
      <c r="Q22" s="147">
        <f>SUM(Q17:Q21)</f>
        <v>166995647.39999998</v>
      </c>
    </row>
    <row r="23" spans="1:17" ht="13" customHeight="1" thickBot="1">
      <c r="A23" s="157"/>
      <c r="B23" s="175" t="s">
        <v>202</v>
      </c>
      <c r="C23" s="159"/>
      <c r="D23" s="159"/>
      <c r="G23" s="159"/>
      <c r="H23" s="188">
        <f>H13-H19</f>
        <v>1703129.2512000091</v>
      </c>
    </row>
    <row r="24" spans="1:17" ht="13" customHeight="1" thickTop="1">
      <c r="A24" s="189"/>
      <c r="B24" s="190"/>
      <c r="C24" s="190"/>
      <c r="D24" s="190"/>
      <c r="E24" s="190"/>
      <c r="F24" s="191"/>
      <c r="G24" s="191"/>
      <c r="H24" s="192"/>
    </row>
    <row r="25" spans="1:17" ht="13" customHeight="1">
      <c r="A25" s="193" t="s">
        <v>203</v>
      </c>
      <c r="B25" s="194"/>
      <c r="C25" s="194"/>
      <c r="D25" s="194"/>
      <c r="E25" s="194"/>
      <c r="F25" s="194" t="s">
        <v>204</v>
      </c>
      <c r="G25" s="194" t="s">
        <v>204</v>
      </c>
      <c r="H25" s="195"/>
      <c r="I25" s="196"/>
      <c r="J25" s="197"/>
    </row>
    <row r="26" spans="1:17" ht="13" customHeight="1">
      <c r="A26" s="198"/>
      <c r="B26" s="194"/>
      <c r="C26" s="194"/>
      <c r="D26" s="194"/>
      <c r="E26" s="194"/>
      <c r="F26" s="194"/>
      <c r="G26" s="194"/>
      <c r="H26" s="199"/>
      <c r="J26" s="200"/>
    </row>
    <row r="27" spans="1:17" ht="13" customHeight="1">
      <c r="A27" s="201">
        <v>1</v>
      </c>
      <c r="B27" s="202" t="s">
        <v>205</v>
      </c>
      <c r="C27" s="202"/>
      <c r="D27" s="202"/>
      <c r="E27" s="203" t="s">
        <v>206</v>
      </c>
      <c r="F27" s="204">
        <v>0</v>
      </c>
      <c r="G27" s="204"/>
      <c r="H27" s="205"/>
      <c r="J27" s="206"/>
    </row>
    <row r="28" spans="1:17" ht="13" customHeight="1">
      <c r="A28" s="207"/>
      <c r="B28" s="208" t="s">
        <v>207</v>
      </c>
      <c r="C28" s="208"/>
      <c r="D28" s="202"/>
      <c r="E28" s="203" t="s">
        <v>206</v>
      </c>
      <c r="F28" s="204"/>
      <c r="G28" s="204"/>
      <c r="H28" s="205"/>
    </row>
    <row r="29" spans="1:17" ht="13" customHeight="1">
      <c r="A29" s="207"/>
      <c r="B29" s="147"/>
      <c r="C29" s="208" t="s">
        <v>208</v>
      </c>
      <c r="D29" s="202"/>
      <c r="E29" s="203" t="s">
        <v>209</v>
      </c>
      <c r="F29" s="204"/>
      <c r="G29" s="204">
        <v>0</v>
      </c>
      <c r="H29" s="199"/>
    </row>
    <row r="30" spans="1:17" ht="13" customHeight="1">
      <c r="A30" s="207"/>
      <c r="B30" s="147"/>
      <c r="C30" s="208" t="s">
        <v>210</v>
      </c>
      <c r="D30" s="202"/>
      <c r="E30" s="209" t="s">
        <v>209</v>
      </c>
      <c r="F30" s="204"/>
      <c r="G30" s="204"/>
      <c r="H30" s="199"/>
    </row>
    <row r="31" spans="1:17" ht="13" customHeight="1">
      <c r="A31" s="207"/>
      <c r="B31" s="208"/>
      <c r="C31" s="208"/>
      <c r="D31" s="202"/>
      <c r="F31" s="204"/>
      <c r="G31" s="204"/>
      <c r="H31" s="199"/>
    </row>
    <row r="32" spans="1:17" ht="13" customHeight="1">
      <c r="A32" s="207">
        <v>2</v>
      </c>
      <c r="B32" s="208" t="s">
        <v>211</v>
      </c>
      <c r="C32" s="208"/>
      <c r="D32" s="202"/>
      <c r="E32" s="203" t="s">
        <v>206</v>
      </c>
      <c r="F32" s="204"/>
      <c r="G32" s="204"/>
      <c r="H32" s="205"/>
    </row>
    <row r="33" spans="1:12" ht="13" customHeight="1">
      <c r="A33" s="207"/>
      <c r="B33" s="208" t="s">
        <v>212</v>
      </c>
      <c r="C33" s="208"/>
      <c r="D33" s="202"/>
      <c r="E33" s="203" t="s">
        <v>206</v>
      </c>
      <c r="F33" s="204">
        <v>0</v>
      </c>
      <c r="G33" s="204"/>
      <c r="H33" s="205"/>
    </row>
    <row r="34" spans="1:12" ht="13" customHeight="1">
      <c r="A34" s="207"/>
      <c r="B34" s="147"/>
      <c r="C34" s="208" t="s">
        <v>213</v>
      </c>
      <c r="D34" s="202"/>
      <c r="E34" s="203" t="s">
        <v>209</v>
      </c>
      <c r="F34" s="204"/>
      <c r="G34" s="204"/>
      <c r="H34" s="205"/>
    </row>
    <row r="35" spans="1:12" ht="13" customHeight="1">
      <c r="A35" s="201"/>
      <c r="B35" s="147"/>
      <c r="C35" s="202" t="s">
        <v>214</v>
      </c>
      <c r="D35" s="202"/>
      <c r="E35" s="209" t="s">
        <v>209</v>
      </c>
      <c r="F35" s="204"/>
      <c r="G35" s="204">
        <v>0</v>
      </c>
      <c r="H35" s="205"/>
    </row>
    <row r="36" spans="1:12" ht="13" customHeight="1">
      <c r="A36" s="201"/>
      <c r="B36" s="202"/>
      <c r="C36" s="202"/>
      <c r="D36" s="202"/>
      <c r="E36" s="202"/>
      <c r="F36" s="204"/>
      <c r="G36" s="204"/>
      <c r="H36" s="199"/>
    </row>
    <row r="37" spans="1:12" ht="13" customHeight="1">
      <c r="A37" s="201"/>
      <c r="B37" s="202" t="s">
        <v>215</v>
      </c>
      <c r="C37" s="202"/>
      <c r="D37" s="202"/>
      <c r="F37" s="210"/>
      <c r="G37" s="204">
        <v>0</v>
      </c>
      <c r="H37" s="199"/>
    </row>
    <row r="38" spans="1:12" ht="13" customHeight="1">
      <c r="A38" s="201"/>
      <c r="B38" s="202" t="s">
        <v>216</v>
      </c>
      <c r="C38" s="202"/>
      <c r="D38" s="202"/>
      <c r="F38" s="204"/>
      <c r="G38" s="204">
        <v>0</v>
      </c>
      <c r="H38" s="199"/>
    </row>
    <row r="39" spans="1:12" ht="13" customHeight="1">
      <c r="A39" s="201"/>
      <c r="B39" s="202"/>
      <c r="C39" s="202"/>
      <c r="D39" s="202"/>
      <c r="E39" s="202"/>
      <c r="F39" s="211"/>
      <c r="G39" s="202"/>
      <c r="H39" s="199"/>
    </row>
    <row r="40" spans="1:12" ht="25">
      <c r="A40" s="212"/>
      <c r="B40" s="1335" t="s">
        <v>0</v>
      </c>
      <c r="C40" s="1336"/>
      <c r="D40" s="213" t="s">
        <v>217</v>
      </c>
      <c r="E40" s="213" t="s">
        <v>218</v>
      </c>
      <c r="F40" s="214" t="s">
        <v>219</v>
      </c>
      <c r="G40" s="214" t="s">
        <v>220</v>
      </c>
      <c r="H40" s="213" t="s">
        <v>221</v>
      </c>
    </row>
    <row r="41" spans="1:12" ht="13" customHeight="1">
      <c r="A41" s="215" t="s">
        <v>222</v>
      </c>
      <c r="B41" s="215"/>
      <c r="C41" s="215"/>
      <c r="D41" s="215"/>
      <c r="E41" s="216"/>
      <c r="F41" s="215"/>
      <c r="G41" s="215"/>
      <c r="H41" s="216"/>
      <c r="J41" s="217"/>
    </row>
    <row r="42" spans="1:12" ht="13" customHeight="1">
      <c r="A42" s="215">
        <v>1</v>
      </c>
      <c r="B42" s="218" t="s">
        <v>193</v>
      </c>
      <c r="C42" s="215"/>
      <c r="D42" s="219">
        <f>K13</f>
        <v>218148019</v>
      </c>
      <c r="E42" s="220">
        <f>Q22</f>
        <v>166995647.39999998</v>
      </c>
      <c r="F42" s="221">
        <f>D42-E42</f>
        <v>51152371.600000024</v>
      </c>
      <c r="G42" s="222">
        <v>0.312</v>
      </c>
      <c r="H42" s="425">
        <f>+G42*F42</f>
        <v>15959539.939200008</v>
      </c>
      <c r="J42" s="217"/>
    </row>
    <row r="43" spans="1:12" ht="13" customHeight="1">
      <c r="A43" s="215">
        <v>2</v>
      </c>
      <c r="B43" s="218" t="s">
        <v>419</v>
      </c>
      <c r="C43" s="215"/>
      <c r="D43" s="219"/>
      <c r="E43" s="220"/>
      <c r="F43" s="221">
        <f>337783*2</f>
        <v>675566</v>
      </c>
      <c r="G43" s="222">
        <v>0.312</v>
      </c>
      <c r="H43" s="425">
        <f>+G43*F43</f>
        <v>210776.592</v>
      </c>
      <c r="J43" s="217"/>
    </row>
    <row r="44" spans="1:12" ht="13" customHeight="1">
      <c r="A44" s="215"/>
      <c r="B44" s="215"/>
      <c r="C44" s="215"/>
      <c r="D44" s="215"/>
      <c r="E44" s="215"/>
      <c r="F44" s="223"/>
      <c r="G44" s="223"/>
      <c r="H44" s="223"/>
      <c r="J44" s="217"/>
      <c r="K44" s="217"/>
      <c r="L44" s="224"/>
    </row>
    <row r="45" spans="1:12" ht="13" customHeight="1">
      <c r="A45" s="225"/>
      <c r="B45" s="1335" t="s">
        <v>0</v>
      </c>
      <c r="C45" s="1336"/>
      <c r="D45" s="214" t="s">
        <v>223</v>
      </c>
      <c r="E45" s="213" t="s">
        <v>218</v>
      </c>
      <c r="F45" s="214" t="s">
        <v>219</v>
      </c>
      <c r="G45" s="214" t="s">
        <v>220</v>
      </c>
      <c r="H45" s="214" t="s">
        <v>224</v>
      </c>
    </row>
    <row r="46" spans="1:12" ht="13" customHeight="1">
      <c r="A46" s="225"/>
      <c r="B46" s="225"/>
      <c r="C46" s="225"/>
      <c r="D46" s="214" t="s">
        <v>225</v>
      </c>
      <c r="E46" s="214"/>
      <c r="F46" s="214"/>
      <c r="G46" s="214"/>
      <c r="H46" s="214" t="s">
        <v>226</v>
      </c>
      <c r="J46" s="206"/>
      <c r="K46" s="206"/>
    </row>
    <row r="47" spans="1:12" ht="13" customHeight="1">
      <c r="A47" s="215" t="s">
        <v>227</v>
      </c>
      <c r="B47" s="215"/>
      <c r="C47" s="215"/>
      <c r="D47" s="215"/>
      <c r="E47" s="215"/>
      <c r="F47" s="215"/>
      <c r="G47" s="215"/>
      <c r="H47" s="215"/>
      <c r="J47" s="226"/>
    </row>
    <row r="48" spans="1:12" ht="13" customHeight="1">
      <c r="A48" s="215"/>
      <c r="B48" s="215"/>
      <c r="C48" s="215"/>
      <c r="D48" s="215"/>
      <c r="E48" s="215"/>
      <c r="F48" s="215"/>
      <c r="G48" s="215"/>
      <c r="H48" s="215"/>
      <c r="J48" s="226"/>
    </row>
    <row r="49" spans="1:12" ht="13" customHeight="1">
      <c r="A49" s="227">
        <v>1</v>
      </c>
      <c r="B49" s="227" t="s">
        <v>228</v>
      </c>
      <c r="C49" s="227"/>
      <c r="D49" s="221"/>
      <c r="E49" s="221">
        <v>0</v>
      </c>
      <c r="F49" s="221">
        <v>0</v>
      </c>
      <c r="G49" s="222">
        <v>0.312</v>
      </c>
      <c r="H49" s="221">
        <v>0</v>
      </c>
      <c r="J49" s="229"/>
      <c r="K49" s="230"/>
      <c r="L49" s="231"/>
    </row>
    <row r="50" spans="1:12" ht="13" customHeight="1">
      <c r="A50" s="227">
        <v>2</v>
      </c>
      <c r="B50" s="227" t="s">
        <v>229</v>
      </c>
      <c r="C50" s="227"/>
      <c r="D50" s="221"/>
      <c r="E50" s="221">
        <v>0</v>
      </c>
      <c r="F50" s="221">
        <v>0</v>
      </c>
      <c r="G50" s="222">
        <v>0.312</v>
      </c>
      <c r="H50" s="221">
        <v>0</v>
      </c>
      <c r="J50" s="229"/>
      <c r="K50" s="230"/>
      <c r="L50" s="231"/>
    </row>
    <row r="51" spans="1:12" ht="13" customHeight="1">
      <c r="A51" s="227">
        <v>2</v>
      </c>
      <c r="B51" s="227" t="s">
        <v>230</v>
      </c>
      <c r="C51" s="227"/>
      <c r="D51" s="221"/>
      <c r="E51" s="221">
        <v>0</v>
      </c>
      <c r="F51" s="221">
        <v>0</v>
      </c>
      <c r="G51" s="222">
        <v>0.312</v>
      </c>
      <c r="H51" s="221">
        <v>0</v>
      </c>
      <c r="J51" s="229"/>
      <c r="K51" s="230"/>
      <c r="L51" s="231"/>
    </row>
    <row r="52" spans="1:12" ht="13" customHeight="1">
      <c r="A52" s="227">
        <v>3</v>
      </c>
      <c r="B52" s="227" t="s">
        <v>231</v>
      </c>
      <c r="C52" s="227"/>
      <c r="D52" s="221">
        <v>0</v>
      </c>
      <c r="E52" s="221">
        <v>0</v>
      </c>
      <c r="F52" s="221">
        <v>0</v>
      </c>
      <c r="G52" s="222">
        <v>0.312</v>
      </c>
      <c r="H52" s="221">
        <v>0</v>
      </c>
      <c r="J52" s="229"/>
      <c r="K52" s="230"/>
      <c r="L52" s="231"/>
    </row>
    <row r="53" spans="1:12" ht="13" customHeight="1">
      <c r="A53" s="227"/>
      <c r="B53" s="227"/>
      <c r="C53" s="232" t="s">
        <v>232</v>
      </c>
      <c r="D53" s="233">
        <v>0</v>
      </c>
      <c r="E53" s="233">
        <v>0</v>
      </c>
      <c r="F53" s="233">
        <v>0</v>
      </c>
      <c r="G53" s="233"/>
      <c r="H53" s="233">
        <v>0</v>
      </c>
      <c r="J53" s="234"/>
      <c r="K53" s="235"/>
      <c r="L53" s="236"/>
    </row>
    <row r="54" spans="1:12" ht="13" hidden="1" customHeight="1">
      <c r="A54" s="227"/>
      <c r="B54" s="227"/>
      <c r="C54" s="227"/>
      <c r="D54" s="233"/>
      <c r="E54" s="233"/>
      <c r="F54" s="221"/>
      <c r="G54" s="237"/>
      <c r="H54" s="233"/>
      <c r="K54" s="238"/>
      <c r="L54" s="224"/>
    </row>
    <row r="55" spans="1:12" ht="13" hidden="1" customHeight="1">
      <c r="A55" s="227">
        <v>3</v>
      </c>
      <c r="B55" s="227" t="s">
        <v>233</v>
      </c>
      <c r="C55" s="227"/>
      <c r="D55" s="221" t="e">
        <v>#REF!</v>
      </c>
      <c r="E55" s="221">
        <v>0</v>
      </c>
      <c r="F55" s="221" t="e">
        <v>#REF!</v>
      </c>
      <c r="G55" s="228">
        <v>0.309</v>
      </c>
      <c r="H55" s="221" t="e">
        <v>#REF!</v>
      </c>
      <c r="K55" s="238"/>
      <c r="L55" s="224"/>
    </row>
    <row r="56" spans="1:12" ht="13" hidden="1" customHeight="1">
      <c r="A56" s="227">
        <v>5</v>
      </c>
      <c r="B56" s="227" t="s">
        <v>233</v>
      </c>
      <c r="C56" s="227"/>
      <c r="D56" s="221" t="e">
        <v>#REF!</v>
      </c>
      <c r="E56" s="221">
        <v>0</v>
      </c>
      <c r="F56" s="221" t="e">
        <v>#REF!</v>
      </c>
      <c r="G56" s="228">
        <v>0.309</v>
      </c>
      <c r="H56" s="221" t="e">
        <v>#REF!</v>
      </c>
      <c r="K56" s="238"/>
      <c r="L56" s="224"/>
    </row>
    <row r="57" spans="1:12" ht="13" hidden="1" customHeight="1">
      <c r="A57" s="227"/>
      <c r="B57" s="227"/>
      <c r="C57" s="232" t="s">
        <v>232</v>
      </c>
      <c r="D57" s="233" t="e">
        <v>#REF!</v>
      </c>
      <c r="E57" s="233">
        <v>0</v>
      </c>
      <c r="F57" s="221" t="e">
        <v>#REF!</v>
      </c>
      <c r="G57" s="237"/>
      <c r="H57" s="233" t="e">
        <v>#REF!</v>
      </c>
      <c r="J57" s="239"/>
      <c r="K57" s="240"/>
      <c r="L57" s="239"/>
    </row>
    <row r="58" spans="1:12" ht="13" hidden="1" customHeight="1">
      <c r="A58" s="227">
        <v>5</v>
      </c>
      <c r="B58" s="227" t="s">
        <v>234</v>
      </c>
      <c r="C58" s="227"/>
      <c r="D58" s="221" t="e">
        <v>#REF!</v>
      </c>
      <c r="E58" s="221">
        <v>0</v>
      </c>
      <c r="F58" s="221" t="e">
        <v>#REF!</v>
      </c>
      <c r="G58" s="228">
        <v>0.309</v>
      </c>
      <c r="H58" s="221" t="e">
        <v>#REF!</v>
      </c>
      <c r="K58" s="230"/>
      <c r="L58" s="231"/>
    </row>
    <row r="59" spans="1:12" ht="13" customHeight="1">
      <c r="A59" s="227"/>
      <c r="B59" s="227"/>
      <c r="C59" s="227"/>
      <c r="D59" s="221"/>
      <c r="E59" s="221"/>
      <c r="F59" s="221"/>
      <c r="G59" s="228"/>
      <c r="H59" s="221"/>
      <c r="K59" s="230"/>
      <c r="L59" s="231"/>
    </row>
    <row r="60" spans="1:12" ht="13" customHeight="1">
      <c r="A60" s="215">
        <v>4</v>
      </c>
      <c r="B60" s="215"/>
      <c r="C60" s="215"/>
      <c r="D60" s="221"/>
      <c r="E60" s="221">
        <v>0</v>
      </c>
      <c r="F60" s="221">
        <v>0</v>
      </c>
      <c r="G60" s="222"/>
      <c r="H60" s="221">
        <v>0</v>
      </c>
      <c r="K60" s="230"/>
      <c r="L60" s="231"/>
    </row>
    <row r="61" spans="1:12" ht="13" customHeight="1">
      <c r="A61" s="215"/>
      <c r="B61" s="215" t="s">
        <v>427</v>
      </c>
      <c r="C61" s="215"/>
      <c r="E61" s="221">
        <v>46369190</v>
      </c>
      <c r="F61" s="221">
        <f>E61</f>
        <v>46369190</v>
      </c>
      <c r="G61" s="222">
        <v>0.312</v>
      </c>
      <c r="H61" s="425">
        <f>+G61*F61</f>
        <v>14467187.279999999</v>
      </c>
      <c r="K61" s="230"/>
      <c r="L61" s="231"/>
    </row>
    <row r="62" spans="1:12" ht="13" customHeight="1">
      <c r="A62" s="215"/>
      <c r="B62" s="215"/>
      <c r="C62" s="215"/>
      <c r="D62" s="221">
        <v>0</v>
      </c>
      <c r="E62" s="221">
        <v>0</v>
      </c>
      <c r="F62" s="221">
        <v>0</v>
      </c>
      <c r="G62" s="222"/>
      <c r="H62" s="221">
        <v>0</v>
      </c>
      <c r="K62" s="230"/>
      <c r="L62" s="231"/>
    </row>
    <row r="63" spans="1:12" ht="13" customHeight="1">
      <c r="A63" s="215"/>
      <c r="B63" s="215"/>
      <c r="C63" s="241" t="s">
        <v>232</v>
      </c>
      <c r="D63" s="233">
        <v>0</v>
      </c>
      <c r="E63" s="233">
        <v>0</v>
      </c>
      <c r="F63" s="221">
        <v>0</v>
      </c>
      <c r="G63" s="242"/>
      <c r="H63" s="233">
        <v>0</v>
      </c>
      <c r="K63" s="230"/>
      <c r="L63" s="231"/>
    </row>
    <row r="64" spans="1:12" ht="13" customHeight="1">
      <c r="A64" s="227"/>
      <c r="B64" s="227"/>
      <c r="C64" s="227"/>
      <c r="D64" s="221"/>
      <c r="E64" s="221"/>
      <c r="F64" s="221"/>
      <c r="G64" s="228"/>
      <c r="H64" s="221"/>
      <c r="K64" s="230"/>
      <c r="L64" s="231"/>
    </row>
    <row r="65" spans="1:12" ht="13" customHeight="1">
      <c r="A65" s="227"/>
      <c r="B65" s="227"/>
      <c r="C65" s="227"/>
      <c r="D65" s="221"/>
      <c r="E65" s="221"/>
      <c r="F65" s="233"/>
      <c r="G65" s="228"/>
      <c r="H65" s="233"/>
      <c r="K65" s="238"/>
      <c r="L65" s="224"/>
    </row>
    <row r="66" spans="1:12" ht="13" customHeight="1">
      <c r="A66" s="227"/>
      <c r="B66" s="227"/>
      <c r="C66" s="227"/>
      <c r="D66" s="243"/>
      <c r="E66" s="227"/>
      <c r="F66" s="227"/>
      <c r="G66" s="228"/>
      <c r="H66" s="221"/>
      <c r="K66" s="238"/>
      <c r="L66" s="224"/>
    </row>
    <row r="67" spans="1:12" s="246" customFormat="1" ht="13" customHeight="1">
      <c r="A67" s="225"/>
      <c r="B67" s="225"/>
      <c r="C67" s="244" t="s">
        <v>235</v>
      </c>
      <c r="D67" s="245">
        <v>0</v>
      </c>
      <c r="E67" s="225"/>
      <c r="F67" s="245">
        <v>0</v>
      </c>
      <c r="G67" s="225"/>
      <c r="H67" s="245">
        <f>H61</f>
        <v>14467187.279999999</v>
      </c>
      <c r="J67" s="247"/>
      <c r="K67" s="248"/>
      <c r="L67" s="247"/>
    </row>
    <row r="68" spans="1:12" ht="13" customHeight="1">
      <c r="A68" s="249" t="s">
        <v>236</v>
      </c>
      <c r="B68" s="250"/>
      <c r="C68" s="250"/>
      <c r="D68" s="250"/>
      <c r="E68" s="250"/>
      <c r="F68" s="250"/>
      <c r="G68" s="251"/>
      <c r="H68" s="252">
        <f>H42+H43-H67</f>
        <v>1703129.2512000091</v>
      </c>
      <c r="L68" s="253"/>
    </row>
    <row r="69" spans="1:12" ht="13" customHeight="1">
      <c r="A69" s="215"/>
      <c r="B69" s="215"/>
      <c r="C69" s="215"/>
      <c r="D69" s="215"/>
      <c r="E69" s="215"/>
      <c r="F69" s="215"/>
      <c r="G69" s="215"/>
      <c r="H69" s="215">
        <v>7536704</v>
      </c>
      <c r="I69" s="147" t="s">
        <v>416</v>
      </c>
    </row>
    <row r="70" spans="1:12" ht="13" customHeight="1">
      <c r="A70" s="201"/>
      <c r="B70" s="194"/>
      <c r="C70" s="194"/>
      <c r="D70" s="194"/>
      <c r="E70" s="194"/>
      <c r="F70" s="202"/>
      <c r="G70" s="202"/>
      <c r="H70" s="254">
        <f>H68-H69</f>
        <v>-5833574.7487999909</v>
      </c>
      <c r="I70" s="147" t="s">
        <v>417</v>
      </c>
    </row>
    <row r="71" spans="1:12" ht="13" customHeight="1">
      <c r="A71" s="193"/>
      <c r="B71" s="194"/>
      <c r="C71" s="194"/>
      <c r="D71" s="194"/>
      <c r="E71" s="194"/>
      <c r="F71" s="194"/>
      <c r="G71" s="194"/>
      <c r="H71" s="199"/>
    </row>
    <row r="72" spans="1:12" ht="13" customHeight="1">
      <c r="A72" s="198"/>
      <c r="B72" s="194"/>
      <c r="C72" s="194"/>
      <c r="D72" s="194"/>
      <c r="E72" s="194"/>
      <c r="F72" s="194"/>
      <c r="G72" s="194"/>
      <c r="H72" s="199"/>
    </row>
    <row r="73" spans="1:12" ht="13" customHeight="1">
      <c r="A73" s="198"/>
      <c r="B73" s="194"/>
      <c r="C73" s="194"/>
      <c r="D73" s="197"/>
      <c r="E73" s="194"/>
      <c r="F73" s="194"/>
      <c r="G73" s="194"/>
      <c r="H73" s="255"/>
    </row>
    <row r="74" spans="1:12" ht="13" customHeight="1">
      <c r="A74" s="198"/>
      <c r="B74" s="194"/>
      <c r="C74" s="194" t="s">
        <v>237</v>
      </c>
      <c r="D74" s="194"/>
      <c r="E74" s="194"/>
      <c r="G74" s="194"/>
      <c r="H74" s="199"/>
    </row>
    <row r="75" spans="1:12" ht="13" customHeight="1">
      <c r="A75" s="198"/>
      <c r="B75" s="194"/>
      <c r="C75" s="194" t="s">
        <v>238</v>
      </c>
      <c r="D75" s="194"/>
      <c r="E75" s="194"/>
      <c r="G75" s="194"/>
      <c r="H75" s="199"/>
    </row>
    <row r="76" spans="1:12" ht="13" customHeight="1">
      <c r="A76" s="198"/>
      <c r="B76" s="194"/>
      <c r="C76" s="194"/>
      <c r="D76" s="194"/>
      <c r="E76" s="194"/>
      <c r="F76" s="194"/>
      <c r="G76" s="194"/>
      <c r="H76" s="199"/>
    </row>
    <row r="77" spans="1:12" ht="13" customHeight="1">
      <c r="A77" s="198"/>
      <c r="B77" s="194"/>
      <c r="C77" s="194"/>
      <c r="D77" s="194"/>
      <c r="E77" s="194"/>
      <c r="F77" s="194"/>
      <c r="G77" s="194"/>
      <c r="H77" s="199"/>
    </row>
    <row r="78" spans="1:12" ht="13" customHeight="1">
      <c r="A78" s="198"/>
      <c r="B78" s="194"/>
      <c r="C78" s="194"/>
      <c r="D78" s="194"/>
      <c r="E78" s="194"/>
      <c r="F78" s="194"/>
      <c r="G78" s="194"/>
      <c r="H78" s="199"/>
    </row>
    <row r="79" spans="1:12" ht="13" customHeight="1">
      <c r="A79" s="198"/>
      <c r="B79" s="194"/>
      <c r="C79" s="194"/>
      <c r="D79" s="194"/>
      <c r="E79" s="194"/>
      <c r="F79" s="194"/>
      <c r="G79" s="194"/>
      <c r="H79" s="199"/>
    </row>
    <row r="80" spans="1:12" ht="13" customHeight="1">
      <c r="A80" s="198"/>
      <c r="B80" s="256"/>
      <c r="C80" s="194"/>
      <c r="D80" s="257"/>
      <c r="E80" s="194"/>
      <c r="F80" s="194"/>
      <c r="G80" s="194"/>
      <c r="H80" s="199"/>
    </row>
    <row r="81" spans="1:8" ht="13" customHeight="1">
      <c r="A81" s="198"/>
      <c r="B81" s="256"/>
      <c r="C81" s="194"/>
      <c r="D81" s="257"/>
      <c r="E81" s="194"/>
      <c r="F81" s="194"/>
      <c r="G81" s="194"/>
      <c r="H81" s="199"/>
    </row>
    <row r="82" spans="1:8" ht="13" customHeight="1">
      <c r="A82" s="198"/>
      <c r="B82" s="194"/>
      <c r="C82" s="194"/>
      <c r="D82" s="194"/>
      <c r="E82" s="194"/>
      <c r="F82" s="194"/>
      <c r="G82" s="194"/>
      <c r="H82" s="199"/>
    </row>
    <row r="83" spans="1:8" ht="13" customHeight="1">
      <c r="A83" s="198"/>
      <c r="B83" s="194"/>
      <c r="C83" s="194"/>
      <c r="D83" s="194"/>
      <c r="E83" s="194"/>
      <c r="F83" s="194"/>
      <c r="G83" s="194"/>
      <c r="H83" s="199"/>
    </row>
    <row r="84" spans="1:8" ht="13" customHeight="1">
      <c r="A84" s="258"/>
      <c r="B84" s="259"/>
      <c r="C84" s="259"/>
      <c r="D84" s="259"/>
      <c r="E84" s="259"/>
      <c r="F84" s="259"/>
      <c r="G84" s="259"/>
      <c r="H84" s="260"/>
    </row>
  </sheetData>
  <mergeCells count="5">
    <mergeCell ref="A1:H1"/>
    <mergeCell ref="A2:H2"/>
    <mergeCell ref="A3:H3"/>
    <mergeCell ref="B40:C40"/>
    <mergeCell ref="B45:C4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A64"/>
  <sheetViews>
    <sheetView view="pageBreakPreview" topLeftCell="A49" zoomScaleSheetLayoutView="100" workbookViewId="0">
      <selection activeCell="A60" sqref="A60"/>
    </sheetView>
  </sheetViews>
  <sheetFormatPr defaultRowHeight="14.5"/>
  <cols>
    <col min="1" max="1" width="44.1796875" bestFit="1" customWidth="1"/>
    <col min="2" max="2" width="23.26953125" style="41" bestFit="1" customWidth="1"/>
    <col min="3" max="3" width="15.1796875" style="41" customWidth="1"/>
    <col min="4" max="4" width="13.81640625" style="41" customWidth="1"/>
    <col min="5" max="6" width="15.54296875" hidden="1" customWidth="1"/>
    <col min="7" max="7" width="13.453125" style="41" customWidth="1"/>
    <col min="8" max="8" width="12.81640625" customWidth="1"/>
    <col min="10" max="10" width="28.453125" hidden="1" customWidth="1"/>
    <col min="11" max="11" width="19.1796875" hidden="1" customWidth="1"/>
    <col min="12" max="13" width="8.81640625" hidden="1" customWidth="1"/>
    <col min="14" max="14" width="10.1796875" hidden="1" customWidth="1"/>
    <col min="15" max="18" width="8.81640625" hidden="1" customWidth="1"/>
    <col min="19" max="19" width="31.54296875" hidden="1" customWidth="1"/>
    <col min="20" max="20" width="0" hidden="1" customWidth="1"/>
    <col min="21" max="21" width="45" customWidth="1"/>
    <col min="22" max="23" width="10.54296875" bestFit="1" customWidth="1"/>
    <col min="25" max="25" width="10.1796875" bestFit="1" customWidth="1"/>
  </cols>
  <sheetData>
    <row r="1" spans="1:23">
      <c r="A1" s="1141" t="s">
        <v>1</v>
      </c>
      <c r="B1" s="1141"/>
      <c r="C1" s="1141"/>
      <c r="D1" s="1141"/>
      <c r="E1" s="1141"/>
      <c r="F1" s="1141"/>
      <c r="G1" s="1141"/>
      <c r="H1" s="1141"/>
    </row>
    <row r="2" spans="1:23">
      <c r="A2" s="1141" t="s">
        <v>568</v>
      </c>
      <c r="B2" s="1141"/>
      <c r="C2" s="1141"/>
      <c r="D2" s="1141"/>
      <c r="E2" s="1141"/>
      <c r="F2" s="1141"/>
      <c r="G2" s="1141"/>
      <c r="H2" s="1141"/>
    </row>
    <row r="3" spans="1:23" ht="14.5" customHeight="1">
      <c r="A3" s="1154" t="s">
        <v>0</v>
      </c>
      <c r="B3" s="1155" t="s">
        <v>93</v>
      </c>
      <c r="C3" s="1155"/>
      <c r="D3" s="1157"/>
      <c r="E3" s="1152" t="s">
        <v>93</v>
      </c>
      <c r="F3" s="1153"/>
      <c r="G3" s="1152" t="s">
        <v>111</v>
      </c>
      <c r="H3" s="1152"/>
      <c r="J3" s="1151" t="s">
        <v>108</v>
      </c>
    </row>
    <row r="4" spans="1:23" ht="43.4" customHeight="1">
      <c r="A4" s="1154"/>
      <c r="B4" s="1158" t="s">
        <v>474</v>
      </c>
      <c r="C4" s="1158" t="s">
        <v>569</v>
      </c>
      <c r="D4" s="1160" t="s">
        <v>570</v>
      </c>
      <c r="E4" s="1152" t="s">
        <v>316</v>
      </c>
      <c r="F4" s="1152" t="s">
        <v>421</v>
      </c>
      <c r="G4" s="1155" t="s">
        <v>569</v>
      </c>
      <c r="H4" s="1156" t="s">
        <v>570</v>
      </c>
      <c r="J4" s="1151"/>
      <c r="U4" s="42">
        <f>+'Regulation 33 - Balance Sheet_'!H14-'Regulation 33 - Balance Sheet_'!G14+'Regulation 33 - Balance Sheet_'!H13-'Regulation 33 - Balance Sheet_'!G13+'Regulation 33 - Balance Sheet_'!H22-'Regulation 33 - Balance Sheet_'!G22+'Regulation 33 - Balance Sheet_'!H25-'Regulation 33 - Balance Sheet_'!G25+'Regulation 33 - Balance Sheet_'!H26-'Regulation 33 - Balance Sheet_'!G26+'Regulation 33 - Balance Sheet_'!H24-'Regulation 33 - Balance Sheet_'!G24</f>
        <v>-791.00201760000004</v>
      </c>
    </row>
    <row r="5" spans="1:23">
      <c r="A5" s="1154"/>
      <c r="B5" s="1159"/>
      <c r="C5" s="1159"/>
      <c r="D5" s="1161"/>
      <c r="E5" s="1152"/>
      <c r="F5" s="1152"/>
      <c r="G5" s="1155"/>
      <c r="H5" s="1156"/>
      <c r="J5" s="266"/>
      <c r="U5" s="42">
        <f>+'Regulation 33 - Balance Sheet_'!G52-'Regulation 33 - Balance Sheet_'!H52+'Regulation 33 - Balance Sheet_'!G53-'Regulation 33 - Balance Sheet_'!H53+'Regulation 33 - Balance Sheet_'!G51-'Regulation 33 - Balance Sheet_'!H51+'Regulation 33 - Balance Sheet_'!G50-'Regulation 33 - Balance Sheet_'!H50+'Regulation 33 - Balance Sheet_'!G40-'Regulation 33 - Balance Sheet_'!H40+'Regulation 33 - Balance Sheet_'!G41-'Regulation 33 - Balance Sheet_'!H41</f>
        <v>-720.18325282739318</v>
      </c>
    </row>
    <row r="6" spans="1:23">
      <c r="A6" s="50" t="s">
        <v>94</v>
      </c>
      <c r="B6" s="481"/>
      <c r="C6" s="481"/>
      <c r="D6" s="481"/>
      <c r="E6" s="51"/>
      <c r="F6" s="114"/>
      <c r="H6" s="114"/>
      <c r="I6" s="42"/>
    </row>
    <row r="7" spans="1:23">
      <c r="A7" s="52" t="s">
        <v>70</v>
      </c>
      <c r="B7" s="482"/>
      <c r="C7" s="482"/>
      <c r="D7" s="482"/>
      <c r="E7" s="75"/>
      <c r="F7" s="60"/>
      <c r="H7" s="60"/>
      <c r="I7" s="42"/>
      <c r="W7" s="115">
        <v>43921</v>
      </c>
    </row>
    <row r="8" spans="1:23">
      <c r="A8" s="53" t="s">
        <v>71</v>
      </c>
      <c r="B8" s="483">
        <f>+'q2_FY2020-21'!B27+'q2_FY2020-21'!B28+'q2_FY2020-21'!B29+'q2_FY2020-21'!B30+'q2_FY2020-21'!B31-'q2_FY2020-21'!C32</f>
        <v>1375681.25</v>
      </c>
      <c r="C8" s="544">
        <f>+B8/100000</f>
        <v>13.756812500000001</v>
      </c>
      <c r="D8" s="544">
        <v>27.18</v>
      </c>
      <c r="E8" s="76">
        <f>'Latim Metals - TB'!E25+'Latim Metals - TB'!E26+'Latim Metals - TB'!E27+'Latim Metals - TB'!E28+'Latim Metals - TB'!E29</f>
        <v>17.523</v>
      </c>
      <c r="F8" s="120">
        <v>20.41</v>
      </c>
      <c r="G8" s="506">
        <f>+C8+V8</f>
        <v>1768.8250774000001</v>
      </c>
      <c r="H8" s="549">
        <v>1805.93</v>
      </c>
      <c r="J8" s="41">
        <v>2170.8825735</v>
      </c>
      <c r="K8" s="42">
        <v>217088257.34999999</v>
      </c>
      <c r="U8" s="524" t="s">
        <v>71</v>
      </c>
      <c r="V8" s="506">
        <v>1755.0682649</v>
      </c>
    </row>
    <row r="9" spans="1:23">
      <c r="A9" s="53" t="s">
        <v>428</v>
      </c>
      <c r="B9" s="483">
        <f>+'q2_FY2020-21'!B33-'INDAS 116 METALS'!K14</f>
        <v>2687865.8461311175</v>
      </c>
      <c r="C9" s="546">
        <f>+B9/100000</f>
        <v>26.878658461311176</v>
      </c>
      <c r="D9" s="546">
        <v>0</v>
      </c>
      <c r="E9" s="579">
        <f>'Latim Metals - TB'!E30</f>
        <v>48.381999999999998</v>
      </c>
      <c r="F9" s="580">
        <v>0</v>
      </c>
      <c r="G9" s="526">
        <f>+C9+V9</f>
        <v>144.58779430919259</v>
      </c>
      <c r="H9" s="580">
        <v>0</v>
      </c>
      <c r="J9" s="41">
        <v>87.976072699999989</v>
      </c>
      <c r="K9" s="42">
        <v>8797607.2699999996</v>
      </c>
      <c r="U9" s="524" t="s">
        <v>428</v>
      </c>
      <c r="V9" s="506">
        <v>117.7091358478814</v>
      </c>
      <c r="W9" s="575">
        <f>15806655.3852869/100000</f>
        <v>158.06655385286899</v>
      </c>
    </row>
    <row r="10" spans="1:23">
      <c r="A10" s="53" t="s">
        <v>95</v>
      </c>
      <c r="B10" s="483"/>
      <c r="C10" s="544">
        <v>0</v>
      </c>
      <c r="D10" s="544">
        <v>0</v>
      </c>
      <c r="E10" s="76">
        <v>0</v>
      </c>
      <c r="F10" s="120">
        <v>0</v>
      </c>
      <c r="G10" s="506">
        <f>+V11+C10</f>
        <v>4.6889624000000003</v>
      </c>
      <c r="H10" s="549">
        <v>2.48</v>
      </c>
      <c r="J10" s="41">
        <v>1.2760000000000001E-2</v>
      </c>
      <c r="K10" s="42">
        <v>1276</v>
      </c>
      <c r="U10" s="524" t="s">
        <v>524</v>
      </c>
      <c r="V10" s="506"/>
    </row>
    <row r="11" spans="1:23">
      <c r="A11" s="53" t="s">
        <v>96</v>
      </c>
      <c r="B11" s="483"/>
      <c r="C11" s="544"/>
      <c r="D11" s="544"/>
      <c r="E11" s="76"/>
      <c r="F11" s="120"/>
      <c r="G11" s="506"/>
      <c r="H11" s="549"/>
      <c r="J11" s="41"/>
      <c r="U11" s="524" t="s">
        <v>525</v>
      </c>
      <c r="V11" s="506">
        <v>4.6889624000000003</v>
      </c>
    </row>
    <row r="12" spans="1:23">
      <c r="A12" s="54" t="s">
        <v>72</v>
      </c>
      <c r="B12" s="484">
        <f>+'q2_FY2020-21'!B35</f>
        <v>56560560</v>
      </c>
      <c r="C12" s="544">
        <f t="shared" ref="C12:C13" si="0">+B12/100000</f>
        <v>565.60559999999998</v>
      </c>
      <c r="D12" s="544">
        <v>565.61</v>
      </c>
      <c r="E12" s="76">
        <f>'Latim Metals - TB'!E32</f>
        <v>565.60599999999999</v>
      </c>
      <c r="F12" s="120">
        <v>565.61</v>
      </c>
      <c r="G12" s="506">
        <v>111.86</v>
      </c>
      <c r="H12" s="549">
        <v>111.79</v>
      </c>
      <c r="J12" s="41">
        <v>111.79</v>
      </c>
      <c r="U12" s="524" t="s">
        <v>526</v>
      </c>
      <c r="V12" s="506"/>
    </row>
    <row r="13" spans="1:23">
      <c r="A13" s="54" t="s">
        <v>73</v>
      </c>
      <c r="B13" s="484">
        <f>+'q2_FY2020-21'!B38</f>
        <v>600000</v>
      </c>
      <c r="C13" s="544">
        <f t="shared" si="0"/>
        <v>6</v>
      </c>
      <c r="D13" s="544">
        <v>6.39</v>
      </c>
      <c r="E13" s="76">
        <f>'Latim Metals - TB'!E35</f>
        <v>6</v>
      </c>
      <c r="F13" s="120">
        <v>4.5</v>
      </c>
      <c r="G13" s="506">
        <f>+C13+V14</f>
        <v>129.95999999999998</v>
      </c>
      <c r="H13" s="549">
        <v>126.28</v>
      </c>
      <c r="J13" s="41">
        <v>119.91067000000001</v>
      </c>
      <c r="K13" s="82" t="s">
        <v>110</v>
      </c>
      <c r="O13" s="41">
        <v>8.0538399999999992</v>
      </c>
      <c r="U13" s="525" t="s">
        <v>72</v>
      </c>
      <c r="V13" s="506">
        <v>116.96455149999998</v>
      </c>
    </row>
    <row r="14" spans="1:23">
      <c r="A14" s="53" t="s">
        <v>74</v>
      </c>
      <c r="B14" s="483"/>
      <c r="C14" s="544">
        <v>0</v>
      </c>
      <c r="D14" s="544"/>
      <c r="E14" s="76">
        <v>0</v>
      </c>
      <c r="F14" s="120">
        <v>1.35</v>
      </c>
      <c r="G14" s="506">
        <f>+V16+C14</f>
        <v>0</v>
      </c>
      <c r="H14" s="549">
        <v>0</v>
      </c>
      <c r="J14" s="41">
        <v>8.0538399999999992</v>
      </c>
      <c r="L14" s="42"/>
      <c r="U14" s="525" t="s">
        <v>73</v>
      </c>
      <c r="V14" s="506">
        <v>123.96</v>
      </c>
    </row>
    <row r="15" spans="1:23">
      <c r="A15" s="55"/>
      <c r="B15" s="485"/>
      <c r="C15" s="485"/>
      <c r="D15" s="485"/>
      <c r="E15" s="77"/>
      <c r="F15" s="60"/>
      <c r="G15" s="506"/>
      <c r="H15" s="549"/>
      <c r="J15" s="41"/>
      <c r="U15" s="524" t="s">
        <v>527</v>
      </c>
      <c r="V15" s="506"/>
    </row>
    <row r="16" spans="1:23">
      <c r="A16" s="56" t="s">
        <v>75</v>
      </c>
      <c r="B16" s="486"/>
      <c r="C16" s="545"/>
      <c r="D16" s="545"/>
      <c r="E16" s="76"/>
      <c r="F16" s="60"/>
      <c r="G16" s="506"/>
      <c r="H16" s="549"/>
      <c r="J16" s="41"/>
      <c r="U16" s="524" t="s">
        <v>528</v>
      </c>
      <c r="V16" s="506">
        <v>0</v>
      </c>
    </row>
    <row r="17" spans="1:25">
      <c r="A17" s="57" t="s">
        <v>76</v>
      </c>
      <c r="B17" s="487">
        <f>+'q2_FY2020-21'!B45+'q2_FY2020-21'!B46+'q2_FY2020-21'!B47+'q2_FY2020-21'!B53</f>
        <v>245592071</v>
      </c>
      <c r="C17" s="544">
        <f>+B17/100000</f>
        <v>2455.9207099999999</v>
      </c>
      <c r="D17" s="544">
        <v>1431.33</v>
      </c>
      <c r="E17" s="76">
        <f>'Latim Metals - TB'!E42+'Latim Metals - TB'!E43+'Latim Metals - TB'!E44</f>
        <v>1326.9569999999999</v>
      </c>
      <c r="F17" s="76">
        <v>1326.9569999999999</v>
      </c>
      <c r="G17" s="506">
        <f>+V19+C17</f>
        <v>7275.82647</v>
      </c>
      <c r="H17" s="549">
        <v>4490.7299999999996</v>
      </c>
      <c r="J17" s="41">
        <v>5909.7711042033543</v>
      </c>
      <c r="V17" s="526"/>
    </row>
    <row r="18" spans="1:25">
      <c r="A18" s="57" t="s">
        <v>77</v>
      </c>
      <c r="B18" s="487"/>
      <c r="C18" s="546"/>
      <c r="D18" s="546"/>
      <c r="E18" s="76"/>
      <c r="F18" s="120"/>
      <c r="G18" s="506"/>
      <c r="H18" s="549"/>
      <c r="J18" s="41"/>
      <c r="T18" s="3"/>
      <c r="U18" s="82" t="s">
        <v>75</v>
      </c>
      <c r="V18" s="506"/>
    </row>
    <row r="19" spans="1:25">
      <c r="A19" s="54" t="s">
        <v>72</v>
      </c>
      <c r="B19" s="484"/>
      <c r="C19" s="547">
        <v>0</v>
      </c>
      <c r="D19" s="547">
        <v>0</v>
      </c>
      <c r="E19" s="76">
        <v>0</v>
      </c>
      <c r="F19" s="120">
        <v>0</v>
      </c>
      <c r="G19" s="506">
        <f>+V21</f>
        <v>5.0999999999999996</v>
      </c>
      <c r="H19" s="549">
        <v>4.05</v>
      </c>
      <c r="J19" s="41">
        <v>7.5054614999999991</v>
      </c>
      <c r="T19" s="3"/>
      <c r="U19" s="524" t="s">
        <v>76</v>
      </c>
      <c r="V19" s="506">
        <v>4819.9057599999996</v>
      </c>
    </row>
    <row r="20" spans="1:25">
      <c r="A20" s="58" t="s">
        <v>97</v>
      </c>
      <c r="B20" s="488"/>
      <c r="C20" s="548">
        <v>0</v>
      </c>
      <c r="D20" s="548">
        <v>60.02</v>
      </c>
      <c r="E20" s="76">
        <f>'Latim Metals - TB'!E38</f>
        <v>422.04400000000004</v>
      </c>
      <c r="F20" s="120">
        <v>0</v>
      </c>
      <c r="G20" s="506">
        <f>+C20+V22</f>
        <v>5174.9119275000003</v>
      </c>
      <c r="H20" s="549">
        <v>4484.7299999999996</v>
      </c>
      <c r="J20" s="41">
        <v>3154.1719201000001</v>
      </c>
      <c r="N20" s="3"/>
      <c r="O20" s="3"/>
      <c r="T20" s="3"/>
      <c r="U20" s="524" t="s">
        <v>77</v>
      </c>
      <c r="V20" s="506"/>
    </row>
    <row r="21" spans="1:25">
      <c r="A21" s="58" t="s">
        <v>98</v>
      </c>
      <c r="B21" s="488">
        <f>+'q2_FY2020-21'!B42+'q2_FY2020-21'!B43-'q2_FY2020-21'!C43</f>
        <v>782588.34</v>
      </c>
      <c r="C21" s="544">
        <f t="shared" ref="C21:C22" si="1">+B21/100000</f>
        <v>7.8258833999999995</v>
      </c>
      <c r="D21" s="544">
        <v>282.44</v>
      </c>
      <c r="E21" s="76">
        <f>'Latim Metals - TB'!E39+'Latim Metals - TB'!E40</f>
        <v>7.0150000000000006</v>
      </c>
      <c r="F21" s="120">
        <v>4.29</v>
      </c>
      <c r="G21" s="506">
        <f>+V23+C21</f>
        <v>12.1758238</v>
      </c>
      <c r="H21" s="565">
        <v>595.69000000000005</v>
      </c>
      <c r="I21" s="42">
        <f>+G21-H21</f>
        <v>-583.51417620000007</v>
      </c>
      <c r="J21" s="41">
        <v>180.2805329</v>
      </c>
      <c r="K21" s="82" t="s">
        <v>109</v>
      </c>
      <c r="N21" s="3"/>
      <c r="O21" s="3"/>
      <c r="T21" s="3"/>
      <c r="U21" s="527" t="s">
        <v>72</v>
      </c>
      <c r="V21" s="506">
        <v>5.0999999999999996</v>
      </c>
    </row>
    <row r="22" spans="1:25">
      <c r="A22" s="54" t="s">
        <v>285</v>
      </c>
      <c r="B22" s="484"/>
      <c r="C22" s="544">
        <f t="shared" si="1"/>
        <v>0</v>
      </c>
      <c r="D22" s="544">
        <v>0</v>
      </c>
      <c r="E22" s="76">
        <v>0</v>
      </c>
      <c r="F22" s="120">
        <v>0</v>
      </c>
      <c r="G22" s="506">
        <f>+V24+C22</f>
        <v>488.0948788</v>
      </c>
      <c r="H22" s="549">
        <v>218.47</v>
      </c>
      <c r="J22" s="41"/>
      <c r="K22">
        <v>1907962</v>
      </c>
      <c r="N22" s="1150"/>
      <c r="O22" s="3"/>
      <c r="T22" s="3"/>
      <c r="U22" s="525" t="s">
        <v>97</v>
      </c>
      <c r="V22" s="506">
        <v>5174.9119275000003</v>
      </c>
    </row>
    <row r="23" spans="1:25">
      <c r="A23" s="54" t="s">
        <v>286</v>
      </c>
      <c r="B23" s="484">
        <f>+'q2_FY2020-21'!B39</f>
        <v>0</v>
      </c>
      <c r="C23" s="547">
        <v>0</v>
      </c>
      <c r="D23" s="547">
        <v>0</v>
      </c>
      <c r="E23" s="76">
        <f>'Latim Metals - TB'!E36</f>
        <v>36.999000000000002</v>
      </c>
      <c r="F23" s="120">
        <v>45.73</v>
      </c>
      <c r="G23" s="506">
        <v>0</v>
      </c>
      <c r="H23" s="549">
        <v>0</v>
      </c>
      <c r="J23" s="41"/>
      <c r="L23" s="42">
        <v>0</v>
      </c>
      <c r="M23" s="42">
        <v>0</v>
      </c>
      <c r="N23" s="1150"/>
      <c r="O23" s="3"/>
      <c r="T23" s="3"/>
      <c r="U23" s="525" t="s">
        <v>98</v>
      </c>
      <c r="V23" s="506">
        <v>4.3499403999999995</v>
      </c>
      <c r="Y23" s="42"/>
    </row>
    <row r="24" spans="1:25">
      <c r="A24" s="54" t="s">
        <v>287</v>
      </c>
      <c r="B24" s="484"/>
      <c r="C24" s="547">
        <v>0</v>
      </c>
      <c r="D24" s="547">
        <v>0.3</v>
      </c>
      <c r="E24" s="76">
        <v>0</v>
      </c>
      <c r="F24" s="120">
        <v>0</v>
      </c>
      <c r="G24" s="506">
        <f>+V25+C24</f>
        <v>11.980613400000001</v>
      </c>
      <c r="H24" s="549">
        <v>16.149999999999999</v>
      </c>
      <c r="J24" s="41">
        <v>10.83445</v>
      </c>
      <c r="N24" s="3"/>
      <c r="O24" s="3"/>
      <c r="T24" s="3"/>
      <c r="U24" s="525" t="s">
        <v>529</v>
      </c>
      <c r="V24" s="506">
        <v>488.0948788</v>
      </c>
    </row>
    <row r="25" spans="1:25">
      <c r="A25" s="57" t="s">
        <v>78</v>
      </c>
      <c r="B25" s="487">
        <f>+'q2_FY2020-21'!B44+'q2_FY2020-21'!B48+'q2_FY2020-21'!B20</f>
        <v>4828688.8420000002</v>
      </c>
      <c r="C25" s="544">
        <f>+B25/100000</f>
        <v>48.286888420000004</v>
      </c>
      <c r="D25" s="544">
        <v>208.69</v>
      </c>
      <c r="E25" s="76">
        <f>'Latim Metals - TB'!E17+'Latim Metals - TB'!E41+'Latim Metals - TB'!E45+'Latim Metals - TB'!E46</f>
        <v>15.416999999999998</v>
      </c>
      <c r="F25" s="120">
        <v>7.93</v>
      </c>
      <c r="G25" s="506">
        <f>+V27+C25</f>
        <v>1606.7465253999999</v>
      </c>
      <c r="H25" s="549">
        <v>1127.8699999999999</v>
      </c>
      <c r="J25" s="41">
        <v>881.64058666000005</v>
      </c>
      <c r="P25" s="269">
        <v>19665716</v>
      </c>
      <c r="Q25" s="269" t="s">
        <v>244</v>
      </c>
      <c r="R25" s="270"/>
      <c r="S25" s="270"/>
      <c r="U25" s="525" t="s">
        <v>530</v>
      </c>
      <c r="V25" s="506">
        <v>11.980613400000001</v>
      </c>
    </row>
    <row r="26" spans="1:25">
      <c r="A26" s="53" t="s">
        <v>424</v>
      </c>
      <c r="B26" s="483"/>
      <c r="C26" s="544">
        <v>0</v>
      </c>
      <c r="D26" s="544">
        <v>0</v>
      </c>
      <c r="E26" s="76">
        <v>0</v>
      </c>
      <c r="F26" s="120">
        <v>0</v>
      </c>
      <c r="G26" s="506">
        <f>+V26</f>
        <v>42.99</v>
      </c>
      <c r="H26" s="549">
        <v>0</v>
      </c>
      <c r="J26" s="41"/>
      <c r="P26" s="269"/>
      <c r="Q26" s="269"/>
      <c r="R26" s="270"/>
      <c r="S26" s="270"/>
      <c r="U26" s="524" t="s">
        <v>531</v>
      </c>
      <c r="V26" s="506">
        <v>42.99</v>
      </c>
    </row>
    <row r="27" spans="1:25">
      <c r="A27" s="58"/>
      <c r="B27" s="488"/>
      <c r="C27" s="548"/>
      <c r="D27" s="548"/>
      <c r="E27" s="76"/>
      <c r="F27" s="60"/>
      <c r="G27" s="506"/>
      <c r="H27" s="60"/>
      <c r="J27" s="41"/>
      <c r="U27" s="524" t="s">
        <v>532</v>
      </c>
      <c r="V27" s="506">
        <v>1558.4596369799999</v>
      </c>
    </row>
    <row r="28" spans="1:25" ht="15" thickBot="1">
      <c r="A28" s="56" t="s">
        <v>79</v>
      </c>
      <c r="B28" s="78">
        <f>SUM(B7:B27)</f>
        <v>312427455.27813107</v>
      </c>
      <c r="C28" s="78">
        <f>SUM(C7:C27)</f>
        <v>3124.2745527813108</v>
      </c>
      <c r="D28" s="78">
        <f>SUM(D8:D27)-0.01</f>
        <v>2581.9499999999998</v>
      </c>
      <c r="E28" s="78">
        <f>SUM(E8:E26)</f>
        <v>2445.9429999999993</v>
      </c>
      <c r="F28" s="78">
        <f>SUM(F8:F26)</f>
        <v>1976.7769999999998</v>
      </c>
      <c r="G28" s="440">
        <f>SUM(G8:G26)</f>
        <v>16777.748073009196</v>
      </c>
      <c r="H28" s="78">
        <f>SUM(H8:H26)</f>
        <v>12984.169999999998</v>
      </c>
      <c r="J28" s="78">
        <v>12642.829971563355</v>
      </c>
      <c r="L28" s="42"/>
      <c r="U28" s="525"/>
      <c r="V28" s="526"/>
      <c r="Y28" s="42"/>
    </row>
    <row r="29" spans="1:25" ht="15" thickTop="1">
      <c r="A29" s="55"/>
      <c r="B29" s="485"/>
      <c r="C29" s="485"/>
      <c r="D29" s="485"/>
      <c r="E29" s="76"/>
      <c r="F29" s="60"/>
      <c r="G29" s="506"/>
      <c r="H29" s="60"/>
      <c r="J29" s="41"/>
      <c r="U29" s="82" t="s">
        <v>79</v>
      </c>
      <c r="V29" s="528">
        <f>SUM(V8:V28)</f>
        <v>14224.18367172788</v>
      </c>
      <c r="W29" s="42"/>
      <c r="X29" s="42"/>
    </row>
    <row r="30" spans="1:25">
      <c r="A30" s="59" t="s">
        <v>80</v>
      </c>
      <c r="B30" s="489"/>
      <c r="C30" s="489"/>
      <c r="D30" s="489"/>
      <c r="E30" s="76"/>
      <c r="F30" s="60"/>
      <c r="G30" s="506"/>
      <c r="H30" s="60"/>
      <c r="J30" s="41"/>
      <c r="V30" s="506"/>
    </row>
    <row r="31" spans="1:25">
      <c r="A31" s="56" t="s">
        <v>81</v>
      </c>
      <c r="B31" s="486"/>
      <c r="C31" s="545"/>
      <c r="D31" s="545"/>
      <c r="E31" s="76"/>
      <c r="F31" s="60"/>
      <c r="G31" s="506"/>
      <c r="H31" s="60"/>
      <c r="J31" s="41"/>
      <c r="U31" s="529" t="s">
        <v>80</v>
      </c>
      <c r="V31" s="530"/>
    </row>
    <row r="32" spans="1:25">
      <c r="A32" s="53" t="s">
        <v>82</v>
      </c>
      <c r="B32" s="483">
        <f>+'q2_FY2020-21'!C16+'q2_FY2020-21'!C15</f>
        <v>88314300</v>
      </c>
      <c r="C32" s="544">
        <f t="shared" ref="C32:C33" si="2">+B32/100000</f>
        <v>883.14300000000003</v>
      </c>
      <c r="D32" s="544">
        <v>883.14</v>
      </c>
      <c r="E32" s="76">
        <f>'Latim Metals - TB'!F11+'Latim Metals - TB'!F12</f>
        <v>883.14300000000003</v>
      </c>
      <c r="F32" s="120">
        <v>883.14</v>
      </c>
      <c r="G32" s="506">
        <f>+V33+C32-V33</f>
        <v>883.14300000000003</v>
      </c>
      <c r="H32" s="549">
        <v>883.14</v>
      </c>
      <c r="J32" s="41">
        <v>202.00200000000001</v>
      </c>
      <c r="U32" s="82" t="s">
        <v>81</v>
      </c>
      <c r="V32" s="506"/>
    </row>
    <row r="33" spans="1:27">
      <c r="A33" s="53" t="s">
        <v>83</v>
      </c>
      <c r="B33" s="483">
        <f>+'q2_FY2020-21'!C14-'q2_FY2020-21'!B54-'q2_FY2020-21'!B50+'INDAS 116 METALS'!K16</f>
        <v>56068216.445684962</v>
      </c>
      <c r="C33" s="544">
        <f t="shared" si="2"/>
        <v>560.68216445684959</v>
      </c>
      <c r="D33" s="544">
        <v>1190.08</v>
      </c>
      <c r="E33" s="76">
        <f>'Latim Metals - TB'!F10-'Latim Metals - TB'!E48+'Regulation 33 - Results'!H40</f>
        <v>535.23107401000004</v>
      </c>
      <c r="F33" s="120">
        <v>736.66</v>
      </c>
      <c r="G33" s="506" t="e">
        <f>+H33+'Regulation 33 - Results'!#REF!</f>
        <v>#REF!</v>
      </c>
      <c r="H33" s="549">
        <v>925.44</v>
      </c>
      <c r="I33" s="42"/>
      <c r="J33" s="41">
        <v>756.55076947935606</v>
      </c>
      <c r="U33" s="524" t="s">
        <v>82</v>
      </c>
      <c r="V33" s="506">
        <v>202.00200000000001</v>
      </c>
      <c r="Y33" s="41"/>
    </row>
    <row r="34" spans="1:27">
      <c r="A34" s="60"/>
      <c r="B34" s="120"/>
      <c r="C34" s="549"/>
      <c r="D34" s="549"/>
      <c r="E34" s="79"/>
      <c r="F34" s="60"/>
      <c r="G34" s="506"/>
      <c r="H34" s="549"/>
      <c r="J34" s="41"/>
      <c r="U34" s="524" t="s">
        <v>83</v>
      </c>
      <c r="V34" s="506">
        <f>-229.12422241853-1.27</f>
        <v>-230.39422241853001</v>
      </c>
    </row>
    <row r="35" spans="1:27">
      <c r="A35" s="56" t="s">
        <v>84</v>
      </c>
      <c r="B35" s="486"/>
      <c r="C35" s="545"/>
      <c r="D35" s="545"/>
      <c r="E35" s="80"/>
      <c r="F35" s="60"/>
      <c r="G35" s="506"/>
      <c r="H35" s="549"/>
      <c r="J35" s="41"/>
      <c r="V35" s="526"/>
      <c r="AA35" s="42"/>
    </row>
    <row r="36" spans="1:27">
      <c r="A36" s="61" t="s">
        <v>85</v>
      </c>
      <c r="B36" s="490"/>
      <c r="C36" s="550"/>
      <c r="D36" s="550"/>
      <c r="E36" s="75"/>
      <c r="F36" s="60"/>
      <c r="G36" s="506"/>
      <c r="H36" s="549"/>
      <c r="J36" s="41"/>
      <c r="U36" s="82" t="s">
        <v>84</v>
      </c>
      <c r="V36" s="526"/>
      <c r="Y36" s="42"/>
    </row>
    <row r="37" spans="1:27">
      <c r="A37" s="62" t="s">
        <v>86</v>
      </c>
      <c r="B37" s="539"/>
      <c r="C37" s="551"/>
      <c r="D37" s="552"/>
      <c r="E37" s="76"/>
      <c r="F37" s="60"/>
      <c r="G37" s="556"/>
      <c r="H37" s="549"/>
      <c r="I37" s="42"/>
      <c r="J37" s="41"/>
      <c r="U37" s="531" t="s">
        <v>85</v>
      </c>
      <c r="V37" s="526"/>
    </row>
    <row r="38" spans="1:27">
      <c r="A38" s="63" t="s">
        <v>87</v>
      </c>
      <c r="B38" s="540">
        <f>+'q2_FY2020-21'!C18</f>
        <v>5296603</v>
      </c>
      <c r="C38" s="544">
        <f>+B38/100000</f>
        <v>52.966030000000003</v>
      </c>
      <c r="D38" s="553">
        <v>1.71</v>
      </c>
      <c r="E38" s="76">
        <v>0</v>
      </c>
      <c r="F38" s="120">
        <v>0</v>
      </c>
      <c r="G38" s="556">
        <f>+V39+C38</f>
        <v>1779.8107068000002</v>
      </c>
      <c r="H38" s="549">
        <v>1452.67</v>
      </c>
      <c r="J38" s="41"/>
      <c r="U38" s="532" t="s">
        <v>86</v>
      </c>
      <c r="V38" s="526"/>
      <c r="W38" t="s">
        <v>538</v>
      </c>
    </row>
    <row r="39" spans="1:27">
      <c r="A39" s="63" t="s">
        <v>429</v>
      </c>
      <c r="B39" s="493">
        <f>+'q2_FY2020-21'!C23+'INDAS 116 METALS'!K13-'INDAS 116 METALS'!M15</f>
        <v>3502212.7854461609</v>
      </c>
      <c r="C39" s="544">
        <f>+B39/100000</f>
        <v>35.022127854461608</v>
      </c>
      <c r="D39" s="554">
        <v>0</v>
      </c>
      <c r="E39" s="438">
        <v>0</v>
      </c>
      <c r="F39" s="120">
        <v>0</v>
      </c>
      <c r="G39" s="556">
        <f>+V40+C39</f>
        <v>164.94350866665059</v>
      </c>
      <c r="H39" s="556">
        <v>11.92</v>
      </c>
      <c r="J39" s="41"/>
      <c r="U39" s="439" t="s">
        <v>87</v>
      </c>
      <c r="V39" s="506">
        <v>1726.8446768000001</v>
      </c>
    </row>
    <row r="40" spans="1:27">
      <c r="A40" s="62" t="s">
        <v>88</v>
      </c>
      <c r="B40" s="494"/>
      <c r="C40" s="551">
        <v>0</v>
      </c>
      <c r="D40" s="555">
        <v>17.850000000000001</v>
      </c>
      <c r="E40" s="41">
        <v>0</v>
      </c>
      <c r="F40" s="120">
        <v>7.91</v>
      </c>
      <c r="G40" s="556">
        <f>+V41+C40</f>
        <v>265.59359000000001</v>
      </c>
      <c r="H40" s="549">
        <v>0</v>
      </c>
      <c r="J40" s="41">
        <v>32.828940000000003</v>
      </c>
      <c r="U40" s="439" t="s">
        <v>429</v>
      </c>
      <c r="V40" s="506">
        <v>129.92138081218897</v>
      </c>
      <c r="W40">
        <f>16930626/100000</f>
        <v>169.30626000000001</v>
      </c>
      <c r="X40" s="42"/>
    </row>
    <row r="41" spans="1:27">
      <c r="A41" s="62" t="s">
        <v>99</v>
      </c>
      <c r="B41" s="539"/>
      <c r="C41" s="551">
        <v>0</v>
      </c>
      <c r="D41" s="552">
        <v>0.69</v>
      </c>
      <c r="E41" s="76">
        <v>0</v>
      </c>
      <c r="F41" s="120">
        <v>0</v>
      </c>
      <c r="G41" s="577">
        <f>+V42+C41+('DTA DTL'!E23/100000)</f>
        <v>87.582021149000013</v>
      </c>
      <c r="H41" s="549">
        <v>86.09</v>
      </c>
      <c r="I41" s="42"/>
      <c r="J41" s="41">
        <v>131.86373606400008</v>
      </c>
      <c r="U41" s="532" t="s">
        <v>88</v>
      </c>
      <c r="V41" s="506">
        <f>159.73+1.27+56.87637+47.71722</f>
        <v>265.59359000000001</v>
      </c>
    </row>
    <row r="42" spans="1:27">
      <c r="A42" s="62" t="s">
        <v>489</v>
      </c>
      <c r="B42" s="427"/>
      <c r="C42" s="556"/>
      <c r="D42" s="549"/>
      <c r="E42" s="79"/>
      <c r="F42" s="60"/>
      <c r="G42" s="556">
        <v>0</v>
      </c>
      <c r="H42" s="549">
        <v>0</v>
      </c>
      <c r="J42" s="41"/>
      <c r="O42">
        <v>6.36</v>
      </c>
      <c r="U42" s="532" t="s">
        <v>99</v>
      </c>
      <c r="V42" s="506">
        <v>73.069999999999993</v>
      </c>
    </row>
    <row r="43" spans="1:27">
      <c r="A43" s="61" t="s">
        <v>89</v>
      </c>
      <c r="B43" s="538"/>
      <c r="C43" s="550"/>
      <c r="D43" s="557"/>
      <c r="E43" s="76"/>
      <c r="F43" s="60"/>
      <c r="G43" s="556"/>
      <c r="H43" s="549"/>
      <c r="J43" s="41"/>
      <c r="V43" s="526"/>
    </row>
    <row r="44" spans="1:27">
      <c r="A44" s="62" t="s">
        <v>86</v>
      </c>
      <c r="B44" s="539"/>
      <c r="C44" s="551"/>
      <c r="D44" s="552"/>
      <c r="E44" s="76"/>
      <c r="F44" s="60"/>
      <c r="G44" s="556"/>
      <c r="H44" s="549"/>
      <c r="J44" s="41"/>
      <c r="U44" s="531" t="s">
        <v>89</v>
      </c>
      <c r="V44" s="526"/>
      <c r="Y44" s="42"/>
    </row>
    <row r="45" spans="1:27">
      <c r="A45" s="64" t="s">
        <v>87</v>
      </c>
      <c r="B45" s="541"/>
      <c r="C45" s="558">
        <v>0</v>
      </c>
      <c r="D45" s="559">
        <v>0</v>
      </c>
      <c r="E45" s="267">
        <f>'Latim Metals - TB'!F15</f>
        <v>37.207999999999998</v>
      </c>
      <c r="F45" s="120">
        <v>0</v>
      </c>
      <c r="G45" s="556">
        <f>+V46+C45</f>
        <v>1690.6303718000001</v>
      </c>
      <c r="H45" s="549">
        <v>1641.63</v>
      </c>
      <c r="J45" s="41">
        <v>6402.2448386000005</v>
      </c>
      <c r="U45" s="532" t="s">
        <v>86</v>
      </c>
      <c r="V45" s="526"/>
      <c r="Y45" s="42"/>
    </row>
    <row r="46" spans="1:27">
      <c r="A46" s="439" t="s">
        <v>429</v>
      </c>
      <c r="B46" s="495"/>
      <c r="C46" s="560">
        <v>0</v>
      </c>
      <c r="D46" s="561">
        <v>0</v>
      </c>
      <c r="E46" s="267">
        <v>0</v>
      </c>
      <c r="F46" s="120">
        <v>0</v>
      </c>
      <c r="G46" s="556">
        <v>0</v>
      </c>
      <c r="H46" s="549">
        <v>0</v>
      </c>
      <c r="J46" s="41"/>
      <c r="U46" s="533" t="s">
        <v>87</v>
      </c>
      <c r="V46" s="506">
        <v>1690.6303718000001</v>
      </c>
      <c r="Y46" s="42"/>
    </row>
    <row r="47" spans="1:27">
      <c r="A47" s="63" t="s">
        <v>431</v>
      </c>
      <c r="B47" s="540"/>
      <c r="C47" s="560"/>
      <c r="D47" s="562"/>
      <c r="E47" s="76"/>
      <c r="F47" s="120"/>
      <c r="G47" s="556"/>
      <c r="H47" s="549"/>
      <c r="J47" s="41">
        <v>5027.0934572999995</v>
      </c>
      <c r="U47" s="439" t="s">
        <v>429</v>
      </c>
      <c r="V47" s="526"/>
      <c r="Y47" s="42"/>
    </row>
    <row r="48" spans="1:27">
      <c r="A48" s="428" t="s">
        <v>422</v>
      </c>
      <c r="B48" s="542"/>
      <c r="C48" s="563">
        <v>0</v>
      </c>
      <c r="D48" s="564">
        <v>0</v>
      </c>
      <c r="E48" s="76">
        <v>0</v>
      </c>
      <c r="F48" s="120">
        <v>0</v>
      </c>
      <c r="G48" s="556">
        <v>0</v>
      </c>
      <c r="H48" s="556">
        <v>0.51</v>
      </c>
      <c r="J48" s="41"/>
      <c r="U48" s="439" t="s">
        <v>431</v>
      </c>
      <c r="V48" s="506">
        <v>10139.56977111</v>
      </c>
    </row>
    <row r="49" spans="1:22">
      <c r="A49" s="428" t="s">
        <v>423</v>
      </c>
      <c r="B49" s="496">
        <f>+'q2_FY2020-21'!C22</f>
        <v>124262854.215</v>
      </c>
      <c r="C49" s="544">
        <f t="shared" ref="C49:C51" si="3">+B49/100000</f>
        <v>1242.6285421499999</v>
      </c>
      <c r="D49" s="553">
        <v>206.6</v>
      </c>
      <c r="E49" s="76">
        <f>'Latim Metals - TB'!F20</f>
        <v>619.745</v>
      </c>
      <c r="F49" s="120">
        <v>320.08999999999997</v>
      </c>
      <c r="G49" s="506">
        <f>+V48+C49-0.01</f>
        <v>11382.18831326</v>
      </c>
      <c r="H49" s="556">
        <v>6305.65</v>
      </c>
      <c r="J49" s="41"/>
      <c r="U49" s="534" t="s">
        <v>533</v>
      </c>
      <c r="V49" s="526"/>
    </row>
    <row r="50" spans="1:22">
      <c r="A50" s="63" t="s">
        <v>430</v>
      </c>
      <c r="B50" s="492">
        <f>+'q2_FY2020-21'!C40+'q2_FY2020-21'!C25</f>
        <v>34730283</v>
      </c>
      <c r="C50" s="544">
        <f t="shared" si="3"/>
        <v>347.30282999999997</v>
      </c>
      <c r="D50" s="544">
        <v>129.88</v>
      </c>
      <c r="E50" s="76">
        <f>'Latim Metals - TB'!F23+'Latim Metals - TB'!F37</f>
        <v>150.86700000000002</v>
      </c>
      <c r="F50" s="120">
        <v>1.41</v>
      </c>
      <c r="G50" s="506">
        <f>+V51+C50</f>
        <v>347.30282999999997</v>
      </c>
      <c r="H50" s="566">
        <v>1311.12</v>
      </c>
      <c r="J50" s="41">
        <v>0</v>
      </c>
      <c r="U50" s="534" t="s">
        <v>534</v>
      </c>
      <c r="V50" s="526"/>
    </row>
    <row r="51" spans="1:22">
      <c r="A51" s="62" t="s">
        <v>91</v>
      </c>
      <c r="B51" s="491">
        <f>+'q2_FY2020-21'!C21+'q2_FY2020-21'!C24+'q2_FY2020-21'!C51</f>
        <v>252986</v>
      </c>
      <c r="C51" s="544">
        <f t="shared" si="3"/>
        <v>2.5298600000000002</v>
      </c>
      <c r="D51" s="544">
        <v>51.35</v>
      </c>
      <c r="E51" s="76">
        <f>'Latim Metals - TB'!F18+'Latim Metals - TB'!F21+'Latim Metals - TB'!F22</f>
        <v>50.431999999999995</v>
      </c>
      <c r="F51" s="120">
        <v>0.67</v>
      </c>
      <c r="G51" s="506">
        <f>+C51+V54</f>
        <v>328.97777542</v>
      </c>
      <c r="H51" s="549">
        <v>267.72000000000003</v>
      </c>
      <c r="J51" s="41">
        <v>127.83320856000003</v>
      </c>
      <c r="U51" s="439" t="s">
        <v>430</v>
      </c>
      <c r="V51" s="526"/>
    </row>
    <row r="52" spans="1:22">
      <c r="A52" s="62" t="s">
        <v>100</v>
      </c>
      <c r="B52" s="491"/>
      <c r="C52" s="551">
        <v>0</v>
      </c>
      <c r="D52" s="551">
        <v>0</v>
      </c>
      <c r="E52" s="76">
        <v>0</v>
      </c>
      <c r="F52" s="120">
        <v>0</v>
      </c>
      <c r="G52" s="506">
        <f>+V52</f>
        <v>0</v>
      </c>
      <c r="H52" s="549">
        <v>0.18</v>
      </c>
      <c r="J52" s="41">
        <v>11.76643</v>
      </c>
      <c r="U52" s="535" t="s">
        <v>88</v>
      </c>
      <c r="V52" s="506">
        <v>0</v>
      </c>
    </row>
    <row r="53" spans="1:22">
      <c r="A53" s="62" t="s">
        <v>432</v>
      </c>
      <c r="B53" s="491"/>
      <c r="C53" s="551">
        <v>0</v>
      </c>
      <c r="D53" s="551">
        <v>100.65</v>
      </c>
      <c r="E53" s="76">
        <f>'Latim Metals - TB'!F19</f>
        <v>28.74</v>
      </c>
      <c r="F53" s="120">
        <v>26.9</v>
      </c>
      <c r="G53" s="506">
        <f>+'DTA DTL'!F37/100000</f>
        <v>13.57053060360691</v>
      </c>
      <c r="H53" s="549">
        <v>98.1</v>
      </c>
      <c r="J53" s="41">
        <v>-49.353409999999997</v>
      </c>
      <c r="U53" s="532" t="s">
        <v>535</v>
      </c>
      <c r="V53" s="506">
        <v>0</v>
      </c>
    </row>
    <row r="54" spans="1:22">
      <c r="A54" s="60"/>
      <c r="B54" s="120"/>
      <c r="C54" s="549"/>
      <c r="D54" s="549"/>
      <c r="E54" s="75"/>
      <c r="F54" s="60"/>
      <c r="G54" s="506"/>
      <c r="H54" s="60"/>
      <c r="U54" s="532" t="s">
        <v>536</v>
      </c>
      <c r="V54" s="506">
        <v>326.44791542000002</v>
      </c>
    </row>
    <row r="55" spans="1:22" ht="15" thickBot="1">
      <c r="A55" s="65" t="s">
        <v>92</v>
      </c>
      <c r="B55" s="78">
        <f>SUM(B29:B54)</f>
        <v>312427455.44613111</v>
      </c>
      <c r="C55" s="78">
        <f>SUM(C29:C54)</f>
        <v>3124.2745544613113</v>
      </c>
      <c r="D55" s="78">
        <f>SUM(D29:D54)</f>
        <v>2581.9499999999998</v>
      </c>
      <c r="E55" s="78">
        <f>SUM(E32:E53)</f>
        <v>2305.3660740099999</v>
      </c>
      <c r="F55" s="78">
        <f>SUM(F32:F53)</f>
        <v>1976.7800000000002</v>
      </c>
      <c r="G55" s="536" t="e">
        <f>SUM(G32:G53)</f>
        <v>#REF!</v>
      </c>
      <c r="H55" s="78">
        <f>SUM(H32:H53)</f>
        <v>12984.169999999998</v>
      </c>
      <c r="J55" s="78">
        <v>12642.829970003355</v>
      </c>
      <c r="L55" s="271">
        <v>-1.5599998732795939E-6</v>
      </c>
      <c r="M55" s="42">
        <v>-7.7999993663979694E-7</v>
      </c>
      <c r="V55" s="42">
        <f>SUM(V33:V54)</f>
        <v>14323.685483523659</v>
      </c>
    </row>
    <row r="56" spans="1:22" ht="15" thickTop="1">
      <c r="B56" s="41">
        <f>+B28-B55</f>
        <v>-0.16800004243850708</v>
      </c>
      <c r="G56" s="578" t="e">
        <f>+G28-G55</f>
        <v>#REF!</v>
      </c>
      <c r="H56" s="574"/>
      <c r="M56" s="42">
        <v>-3.1199997465591878E-6</v>
      </c>
      <c r="V56" s="42">
        <f>+V55-V29</f>
        <v>99.501811795778849</v>
      </c>
    </row>
    <row r="58" spans="1:22">
      <c r="A58" s="82"/>
      <c r="B58" s="497"/>
      <c r="C58" s="497"/>
      <c r="D58" s="497"/>
      <c r="E58" s="82"/>
      <c r="F58" s="355"/>
      <c r="G58" s="498"/>
      <c r="H58" s="449" t="s">
        <v>56</v>
      </c>
    </row>
    <row r="59" spans="1:22">
      <c r="A59" s="82"/>
      <c r="B59" s="497"/>
      <c r="C59" s="497"/>
      <c r="D59" s="497"/>
      <c r="E59" s="82"/>
      <c r="F59" s="82"/>
      <c r="G59" s="498"/>
      <c r="H59" s="450"/>
    </row>
    <row r="60" spans="1:22">
      <c r="A60" s="355" t="s">
        <v>55</v>
      </c>
      <c r="B60" s="498"/>
      <c r="C60" s="498"/>
      <c r="D60" s="498"/>
      <c r="E60" s="82"/>
      <c r="F60" s="82"/>
      <c r="G60" s="498"/>
      <c r="H60" s="450"/>
    </row>
    <row r="61" spans="1:22">
      <c r="A61" s="355" t="s">
        <v>1334</v>
      </c>
      <c r="B61" s="498"/>
      <c r="C61" s="498"/>
      <c r="D61" s="498"/>
      <c r="E61" s="82"/>
      <c r="F61" s="82"/>
      <c r="G61" s="498"/>
      <c r="H61" s="450"/>
    </row>
    <row r="62" spans="1:22">
      <c r="A62" s="82"/>
      <c r="B62" s="497"/>
      <c r="C62" s="497"/>
      <c r="D62" s="497"/>
      <c r="E62" s="82"/>
      <c r="F62" s="355"/>
      <c r="G62" s="498"/>
      <c r="H62" s="449" t="s">
        <v>57</v>
      </c>
    </row>
    <row r="63" spans="1:22">
      <c r="A63" s="82"/>
      <c r="B63" s="497"/>
      <c r="C63" s="497"/>
      <c r="D63" s="497"/>
      <c r="E63" s="82"/>
      <c r="F63" s="355"/>
      <c r="G63" s="498"/>
      <c r="H63" s="449" t="s">
        <v>58</v>
      </c>
    </row>
    <row r="64" spans="1:22">
      <c r="A64" s="82"/>
      <c r="B64" s="497"/>
      <c r="C64" s="497"/>
      <c r="D64" s="497"/>
      <c r="E64" s="82"/>
      <c r="F64" s="355"/>
      <c r="G64" s="498"/>
      <c r="H64" s="449" t="s">
        <v>59</v>
      </c>
    </row>
  </sheetData>
  <mergeCells count="15">
    <mergeCell ref="A1:H1"/>
    <mergeCell ref="A2:H2"/>
    <mergeCell ref="N22:N23"/>
    <mergeCell ref="J3:J4"/>
    <mergeCell ref="E3:F3"/>
    <mergeCell ref="G3:H3"/>
    <mergeCell ref="A3:A5"/>
    <mergeCell ref="E4:E5"/>
    <mergeCell ref="G4:G5"/>
    <mergeCell ref="F4:F5"/>
    <mergeCell ref="H4:H5"/>
    <mergeCell ref="B3:D3"/>
    <mergeCell ref="B4:B5"/>
    <mergeCell ref="D4:D5"/>
    <mergeCell ref="C4:C5"/>
  </mergeCells>
  <pageMargins left="0.7" right="0.7" top="0.75" bottom="0.75" header="0.3" footer="0.3"/>
  <pageSetup paperSize="9" scale="6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J141"/>
  <sheetViews>
    <sheetView view="pageBreakPreview" zoomScale="85" zoomScaleNormal="115" zoomScaleSheetLayoutView="85" workbookViewId="0">
      <selection activeCell="C18" sqref="C18:D18"/>
    </sheetView>
  </sheetViews>
  <sheetFormatPr defaultColWidth="8.453125" defaultRowHeight="14.5" zeroHeight="1"/>
  <cols>
    <col min="1" max="1" width="4.7265625" style="354" customWidth="1"/>
    <col min="2" max="2" width="2.54296875" style="354" customWidth="1"/>
    <col min="3" max="3" width="16.453125" style="354" customWidth="1"/>
    <col min="4" max="4" width="33.7265625" style="354" customWidth="1"/>
    <col min="5" max="10" width="16.453125" style="354" hidden="1" customWidth="1"/>
    <col min="11" max="11" width="17.81640625" style="354" customWidth="1"/>
    <col min="12" max="16" width="15.453125" style="354" customWidth="1"/>
    <col min="17" max="17" width="13.1796875" style="354" customWidth="1"/>
    <col min="18" max="18" width="52.7265625" style="354" hidden="1" customWidth="1"/>
    <col min="19" max="19" width="9.7265625" style="832" hidden="1" customWidth="1"/>
    <col min="20" max="20" width="19.7265625" style="354" hidden="1" customWidth="1"/>
    <col min="21" max="22" width="13.1796875" style="354" hidden="1" customWidth="1"/>
    <col min="23" max="23" width="13.1796875" style="354" customWidth="1"/>
    <col min="24" max="24" width="14.54296875" style="354" bestFit="1" customWidth="1"/>
    <col min="25" max="25" width="12" style="354" customWidth="1"/>
    <col min="26" max="31" width="8.453125" style="354" customWidth="1"/>
    <col min="32" max="32" width="17.1796875" style="354" customWidth="1"/>
    <col min="33" max="33" width="12.1796875" style="354" customWidth="1"/>
    <col min="34" max="34" width="12" style="354" customWidth="1"/>
    <col min="35" max="35" width="9.81640625" style="354" customWidth="1"/>
    <col min="36" max="37" width="8.453125" style="354" customWidth="1"/>
    <col min="38" max="16384" width="8.453125" style="354"/>
  </cols>
  <sheetData>
    <row r="1" spans="1:35">
      <c r="A1" s="1144" t="s">
        <v>1</v>
      </c>
      <c r="B1" s="1144"/>
      <c r="C1" s="1144"/>
      <c r="D1" s="1144"/>
      <c r="E1" s="1144"/>
      <c r="F1" s="1144"/>
      <c r="G1" s="1144"/>
      <c r="H1" s="1144"/>
      <c r="I1" s="1144"/>
      <c r="J1" s="1144"/>
      <c r="K1" s="1144"/>
      <c r="L1" s="1144"/>
      <c r="M1" s="1144"/>
      <c r="N1" s="1144"/>
      <c r="O1" s="1144"/>
      <c r="P1" s="1144"/>
      <c r="Q1" s="346"/>
      <c r="R1" s="346"/>
      <c r="S1" s="831"/>
      <c r="T1" s="346"/>
      <c r="U1" s="346"/>
      <c r="V1" s="346"/>
      <c r="W1" s="346"/>
      <c r="X1" s="346"/>
    </row>
    <row r="2" spans="1:35" ht="14.9" hidden="1" customHeight="1">
      <c r="A2" s="1144" t="s">
        <v>2</v>
      </c>
      <c r="B2" s="1144"/>
      <c r="C2" s="1144"/>
      <c r="D2" s="1144"/>
      <c r="E2" s="1144"/>
      <c r="F2" s="1144"/>
      <c r="G2" s="1144"/>
      <c r="H2" s="1144"/>
      <c r="I2" s="1144"/>
      <c r="J2" s="1144"/>
      <c r="K2" s="1144"/>
      <c r="L2" s="1144"/>
      <c r="M2" s="1144"/>
      <c r="N2" s="1144"/>
      <c r="O2" s="1144"/>
      <c r="P2" s="1144"/>
      <c r="Q2" s="346"/>
      <c r="R2" s="346"/>
      <c r="S2" s="831"/>
      <c r="T2" s="346"/>
      <c r="U2" s="346"/>
      <c r="V2" s="346"/>
      <c r="W2" s="346"/>
      <c r="X2" s="346"/>
    </row>
    <row r="3" spans="1:35">
      <c r="A3" s="1144" t="s">
        <v>3</v>
      </c>
      <c r="B3" s="1144"/>
      <c r="C3" s="1144"/>
      <c r="D3" s="1144"/>
      <c r="E3" s="1144"/>
      <c r="F3" s="1144"/>
      <c r="G3" s="1144"/>
      <c r="H3" s="1144"/>
      <c r="I3" s="1144"/>
      <c r="J3" s="1144"/>
      <c r="K3" s="1144"/>
      <c r="L3" s="1144"/>
      <c r="M3" s="1144"/>
      <c r="N3" s="1144"/>
      <c r="O3" s="1144"/>
      <c r="P3" s="1144"/>
      <c r="Q3" s="346"/>
      <c r="R3" s="346"/>
      <c r="S3" s="831"/>
      <c r="T3" s="346"/>
      <c r="U3" s="346"/>
      <c r="V3" s="346"/>
      <c r="W3" s="346"/>
      <c r="X3" s="346"/>
    </row>
    <row r="4" spans="1:35">
      <c r="A4" s="1144" t="s">
        <v>313</v>
      </c>
      <c r="B4" s="1144"/>
      <c r="C4" s="1144"/>
      <c r="D4" s="1144"/>
      <c r="E4" s="1144"/>
      <c r="F4" s="1144"/>
      <c r="G4" s="1144"/>
      <c r="H4" s="1144"/>
      <c r="I4" s="1144"/>
      <c r="J4" s="1144"/>
      <c r="K4" s="1144"/>
      <c r="L4" s="1144"/>
      <c r="M4" s="1144"/>
      <c r="N4" s="1144"/>
      <c r="O4" s="1144"/>
      <c r="P4" s="1144"/>
      <c r="Q4" s="346"/>
      <c r="R4" s="346"/>
      <c r="S4" s="831"/>
      <c r="T4" s="346"/>
      <c r="U4" s="346"/>
      <c r="V4" s="346"/>
      <c r="W4" s="346"/>
      <c r="X4" s="346"/>
    </row>
    <row r="5" spans="1:35">
      <c r="A5" s="1145" t="s">
        <v>314</v>
      </c>
      <c r="B5" s="1145"/>
      <c r="C5" s="1145"/>
      <c r="D5" s="1145"/>
      <c r="E5" s="1145"/>
      <c r="F5" s="1145"/>
      <c r="G5" s="1145"/>
      <c r="H5" s="1145"/>
      <c r="I5" s="1145"/>
      <c r="J5" s="1145"/>
      <c r="K5" s="1145"/>
      <c r="L5" s="1145"/>
      <c r="M5" s="1145"/>
      <c r="N5" s="1145"/>
      <c r="O5" s="1145"/>
      <c r="P5" s="1145"/>
      <c r="Q5" s="347"/>
      <c r="R5" s="347"/>
      <c r="S5" s="426"/>
      <c r="T5" s="347"/>
      <c r="U5" s="347"/>
      <c r="V5" s="347"/>
      <c r="W5" s="347"/>
      <c r="X5" s="347"/>
    </row>
    <row r="6" spans="1:35" ht="14.9" customHeight="1">
      <c r="A6" s="1144" t="s">
        <v>2163</v>
      </c>
      <c r="B6" s="1144"/>
      <c r="C6" s="1144"/>
      <c r="D6" s="1144"/>
      <c r="E6" s="1144"/>
      <c r="F6" s="1144"/>
      <c r="G6" s="1144"/>
      <c r="H6" s="1144"/>
      <c r="I6" s="1144"/>
      <c r="J6" s="1144"/>
      <c r="K6" s="1144"/>
      <c r="L6" s="1144"/>
      <c r="M6" s="1144"/>
      <c r="N6" s="1144"/>
      <c r="O6" s="1144"/>
      <c r="P6" s="1144"/>
      <c r="Q6" s="346"/>
      <c r="R6" s="346"/>
      <c r="S6" s="831"/>
      <c r="T6" s="346"/>
      <c r="U6" s="346"/>
      <c r="V6" s="346"/>
      <c r="W6" s="346"/>
      <c r="X6" s="346"/>
    </row>
    <row r="7" spans="1:35">
      <c r="A7" s="297"/>
      <c r="B7" s="346"/>
      <c r="C7" s="346"/>
      <c r="D7" s="346"/>
      <c r="E7" s="346"/>
      <c r="F7" s="346"/>
      <c r="G7" s="346"/>
      <c r="H7" s="346"/>
      <c r="I7" s="355"/>
      <c r="J7" s="355"/>
      <c r="K7" s="355"/>
      <c r="L7" s="355"/>
      <c r="M7" s="355"/>
      <c r="N7" s="1162" t="s">
        <v>61</v>
      </c>
      <c r="O7" s="1162"/>
      <c r="P7" s="1162"/>
      <c r="Q7" s="355"/>
      <c r="X7" s="354">
        <v>100000</v>
      </c>
    </row>
    <row r="8" spans="1:35">
      <c r="A8" s="1165"/>
      <c r="B8" s="1166"/>
      <c r="C8" s="1166"/>
      <c r="D8" s="1166"/>
      <c r="E8" s="1147" t="s">
        <v>317</v>
      </c>
      <c r="F8" s="1148"/>
      <c r="G8" s="1149"/>
      <c r="H8" s="1147" t="s">
        <v>318</v>
      </c>
      <c r="I8" s="1149"/>
      <c r="J8" s="357" t="s">
        <v>319</v>
      </c>
      <c r="K8" s="1147" t="s">
        <v>317</v>
      </c>
      <c r="L8" s="1148"/>
      <c r="M8" s="1149"/>
      <c r="N8" s="1147" t="s">
        <v>2072</v>
      </c>
      <c r="O8" s="1149"/>
      <c r="P8" s="357" t="s">
        <v>319</v>
      </c>
      <c r="Q8" s="356"/>
      <c r="R8" s="356"/>
      <c r="S8" s="833"/>
      <c r="T8" s="356"/>
      <c r="U8" s="356"/>
      <c r="V8" s="356"/>
      <c r="W8" s="356"/>
      <c r="X8" s="356"/>
    </row>
    <row r="9" spans="1:35" ht="20.25" customHeight="1">
      <c r="A9" s="1165"/>
      <c r="B9" s="1166"/>
      <c r="C9" s="1166"/>
      <c r="D9" s="1166"/>
      <c r="E9" s="358" t="s">
        <v>1091</v>
      </c>
      <c r="F9" s="358" t="s">
        <v>1092</v>
      </c>
      <c r="G9" s="358" t="s">
        <v>1087</v>
      </c>
      <c r="H9" s="358" t="s">
        <v>1091</v>
      </c>
      <c r="I9" s="358" t="s">
        <v>1087</v>
      </c>
      <c r="J9" s="358" t="s">
        <v>1094</v>
      </c>
      <c r="K9" s="358" t="s">
        <v>2074</v>
      </c>
      <c r="L9" s="358" t="s">
        <v>1942</v>
      </c>
      <c r="M9" s="358" t="s">
        <v>2073</v>
      </c>
      <c r="N9" s="358" t="s">
        <v>2074</v>
      </c>
      <c r="O9" s="358" t="s">
        <v>2073</v>
      </c>
      <c r="P9" s="358" t="s">
        <v>1943</v>
      </c>
      <c r="Q9" s="347"/>
      <c r="S9" s="426"/>
      <c r="T9" s="347"/>
      <c r="U9" s="347"/>
      <c r="V9" s="347"/>
      <c r="W9" s="347"/>
      <c r="X9" s="347"/>
      <c r="Z9" s="347"/>
      <c r="AB9" s="347"/>
    </row>
    <row r="10" spans="1:35">
      <c r="A10" s="1165"/>
      <c r="B10" s="1166" t="s">
        <v>7</v>
      </c>
      <c r="C10" s="1166"/>
      <c r="D10" s="1166"/>
      <c r="E10" s="792" t="s">
        <v>1085</v>
      </c>
      <c r="F10" s="792" t="s">
        <v>1085</v>
      </c>
      <c r="G10" s="792" t="s">
        <v>1085</v>
      </c>
      <c r="H10" s="792" t="s">
        <v>1085</v>
      </c>
      <c r="I10" s="792" t="s">
        <v>1085</v>
      </c>
      <c r="J10" s="792" t="s">
        <v>1086</v>
      </c>
      <c r="K10" s="988" t="s">
        <v>1940</v>
      </c>
      <c r="L10" s="792" t="s">
        <v>1940</v>
      </c>
      <c r="M10" s="792" t="s">
        <v>1940</v>
      </c>
      <c r="N10" s="792" t="s">
        <v>1940</v>
      </c>
      <c r="O10" s="792" t="s">
        <v>1940</v>
      </c>
      <c r="P10" s="792" t="s">
        <v>1941</v>
      </c>
    </row>
    <row r="11" spans="1:35">
      <c r="A11" s="793">
        <v>-1</v>
      </c>
      <c r="B11" s="1167" t="s">
        <v>8</v>
      </c>
      <c r="C11" s="1168"/>
      <c r="D11" s="1169"/>
      <c r="E11" s="793">
        <v>-3</v>
      </c>
      <c r="F11" s="793">
        <v>-4</v>
      </c>
      <c r="G11" s="793">
        <v>-5</v>
      </c>
      <c r="H11" s="793">
        <v>-6</v>
      </c>
      <c r="I11" s="793">
        <v>-7</v>
      </c>
      <c r="J11" s="793">
        <v>-8</v>
      </c>
      <c r="K11" s="793">
        <v>-3</v>
      </c>
      <c r="L11" s="793">
        <v>-4</v>
      </c>
      <c r="M11" s="793">
        <v>-5</v>
      </c>
      <c r="N11" s="793">
        <v>-6</v>
      </c>
      <c r="O11" s="793">
        <v>-7</v>
      </c>
      <c r="P11" s="793">
        <v>-8</v>
      </c>
      <c r="Q11" s="359"/>
      <c r="R11" s="359"/>
      <c r="S11" s="834"/>
      <c r="T11" s="359"/>
      <c r="U11" s="359"/>
      <c r="V11" s="359"/>
      <c r="W11" s="359"/>
      <c r="X11" s="359"/>
      <c r="Y11" s="355"/>
    </row>
    <row r="12" spans="1:35">
      <c r="A12" s="360"/>
      <c r="E12" s="361"/>
      <c r="F12" s="361"/>
      <c r="G12" s="361"/>
      <c r="H12" s="361"/>
      <c r="I12" s="361"/>
      <c r="J12" s="361"/>
      <c r="K12" s="361"/>
      <c r="L12" s="361"/>
      <c r="M12" s="361"/>
      <c r="N12" s="361"/>
      <c r="O12" s="361"/>
      <c r="P12" s="362"/>
      <c r="Y12" s="355"/>
      <c r="AF12" s="363"/>
      <c r="AG12" s="364"/>
      <c r="AH12" s="363"/>
      <c r="AI12" s="363"/>
    </row>
    <row r="13" spans="1:35">
      <c r="A13" s="365">
        <v>1</v>
      </c>
      <c r="B13" s="297" t="s">
        <v>1330</v>
      </c>
      <c r="C13" s="297"/>
      <c r="D13" s="355"/>
      <c r="E13" s="361"/>
      <c r="F13" s="366"/>
      <c r="G13" s="366"/>
      <c r="H13" s="361"/>
      <c r="I13" s="361"/>
      <c r="J13" s="361"/>
      <c r="K13" s="361"/>
      <c r="L13" s="361"/>
      <c r="M13" s="361"/>
      <c r="N13" s="361"/>
      <c r="O13" s="361"/>
      <c r="P13" s="361"/>
      <c r="AF13" s="363"/>
      <c r="AG13" s="364"/>
      <c r="AH13" s="363"/>
      <c r="AI13" s="363"/>
    </row>
    <row r="14" spans="1:35">
      <c r="A14" s="367" t="s">
        <v>10</v>
      </c>
      <c r="B14" s="354" t="s">
        <v>11</v>
      </c>
      <c r="E14" s="368">
        <f>SUMIF('LMIL - P&amp;L - Q2 (FY 2022-23)'!F12:F57,'Regulation 33 - Results'!B14,'LMIL - P&amp;L - Q2 (FY 2022-23)'!G11:G57)+(5113000.25/100000)</f>
        <v>539.32690749999995</v>
      </c>
      <c r="F14" s="369">
        <v>2437.91</v>
      </c>
      <c r="G14" s="369">
        <v>896.67109163999976</v>
      </c>
      <c r="H14" s="368">
        <f>E14+F14</f>
        <v>2977.2369074999997</v>
      </c>
      <c r="I14" s="369">
        <v>3422.9410916399997</v>
      </c>
      <c r="J14" s="407">
        <v>8937.86</v>
      </c>
      <c r="K14" s="368">
        <f>(Chennai!F5+Cochin!F5+Umbergaon!F5+ho!F5-Intercompany!$O$87-Intercompany!$O$89-Intercompany!$F$90)/100000</f>
        <v>4782.7081452000002</v>
      </c>
      <c r="L14" s="369">
        <v>6329.86</v>
      </c>
      <c r="M14" s="369">
        <v>9471.7800000000007</v>
      </c>
      <c r="N14" s="368">
        <f>K14+X14</f>
        <v>18665.209761229999</v>
      </c>
      <c r="O14" s="369">
        <v>27701.78</v>
      </c>
      <c r="P14" s="407">
        <v>34816.94</v>
      </c>
      <c r="Q14" s="377"/>
      <c r="R14" s="363" t="s">
        <v>62</v>
      </c>
      <c r="S14" s="835">
        <v>6227.8881718000002</v>
      </c>
      <c r="T14" s="363"/>
      <c r="U14" s="370"/>
      <c r="V14" s="370"/>
      <c r="W14" s="370"/>
      <c r="X14" s="370">
        <v>13882.50161603</v>
      </c>
      <c r="AF14" s="363"/>
      <c r="AG14" s="364"/>
      <c r="AH14" s="363"/>
      <c r="AI14" s="371"/>
    </row>
    <row r="15" spans="1:35">
      <c r="A15" s="372" t="s">
        <v>12</v>
      </c>
      <c r="B15" s="354" t="s">
        <v>13</v>
      </c>
      <c r="E15" s="368">
        <f>+'LMIL - P&amp;L - Q2 (FY 2022-23)'!G24+'LMIL - P&amp;L - Q2 (FY 2022-23)'!G26+'LMIL - P&amp;L - Q2 (FY 2022-23)'!G27</f>
        <v>4.1701014800000005</v>
      </c>
      <c r="F15" s="369">
        <v>27.73</v>
      </c>
      <c r="G15" s="369">
        <v>5.0349999999999999E-2</v>
      </c>
      <c r="H15" s="368">
        <f>E15+F15</f>
        <v>31.90010148</v>
      </c>
      <c r="I15" s="369">
        <v>5.0349999999999999E-2</v>
      </c>
      <c r="J15" s="407">
        <v>45.36</v>
      </c>
      <c r="K15" s="368">
        <f>(Chennai!F12-Chennai!B20+Cochin!F13+Umbergaon!E16-Umbergaon!B47+ho!F16)/100000</f>
        <v>96.473068089999998</v>
      </c>
      <c r="L15" s="369">
        <v>186.1</v>
      </c>
      <c r="M15" s="369">
        <v>101.5</v>
      </c>
      <c r="N15" s="368">
        <f>K15+X15-0.01</f>
        <v>381.05724314999998</v>
      </c>
      <c r="O15" s="369">
        <v>212.35</v>
      </c>
      <c r="P15" s="407">
        <v>305.68</v>
      </c>
      <c r="Q15" s="377"/>
      <c r="R15" s="363" t="s">
        <v>13</v>
      </c>
      <c r="S15" s="835">
        <v>50.305942699999996</v>
      </c>
      <c r="T15" s="363"/>
      <c r="U15" s="370"/>
      <c r="V15" s="370"/>
      <c r="W15" s="370"/>
      <c r="X15" s="370">
        <v>284.59417505999994</v>
      </c>
      <c r="AF15" s="363"/>
      <c r="AG15" s="364"/>
      <c r="AH15" s="363"/>
      <c r="AI15" s="363"/>
    </row>
    <row r="16" spans="1:35" ht="15" thickBot="1">
      <c r="A16" s="373"/>
      <c r="B16" s="355" t="s">
        <v>14</v>
      </c>
      <c r="E16" s="374">
        <f t="shared" ref="E16:F16" si="0">E14+E15</f>
        <v>543.49700897999992</v>
      </c>
      <c r="F16" s="374">
        <f t="shared" si="0"/>
        <v>2465.64</v>
      </c>
      <c r="G16" s="374">
        <v>896.72144163999974</v>
      </c>
      <c r="H16" s="374">
        <f>H14+H15</f>
        <v>3009.1370089799998</v>
      </c>
      <c r="I16" s="374">
        <v>3422.9914416399997</v>
      </c>
      <c r="J16" s="797">
        <f>J14+J15+0.01</f>
        <v>8983.2300000000014</v>
      </c>
      <c r="K16" s="865">
        <f>K14+K15-0.01</f>
        <v>4879.1712132900002</v>
      </c>
      <c r="L16" s="374">
        <f t="shared" ref="L16:P16" si="1">L14+L15</f>
        <v>6515.96</v>
      </c>
      <c r="M16" s="374">
        <f>+M14+M15</f>
        <v>9573.2800000000007</v>
      </c>
      <c r="N16" s="865">
        <f>N14+N15</f>
        <v>19046.267004379999</v>
      </c>
      <c r="O16" s="374">
        <f>+O14+O15</f>
        <v>27914.129999999997</v>
      </c>
      <c r="P16" s="374">
        <f t="shared" si="1"/>
        <v>35122.620000000003</v>
      </c>
      <c r="Q16" s="388"/>
      <c r="R16" s="82"/>
      <c r="S16" s="836">
        <f>SUM(S14:S15)</f>
        <v>6278.1941145000001</v>
      </c>
      <c r="T16" s="363"/>
      <c r="U16" s="375"/>
      <c r="V16" s="375"/>
      <c r="W16" s="375"/>
      <c r="X16" s="375">
        <v>14167.085791089999</v>
      </c>
      <c r="AF16" s="363"/>
      <c r="AG16" s="364"/>
      <c r="AH16" s="363"/>
      <c r="AI16" s="371"/>
    </row>
    <row r="17" spans="1:36" ht="15" thickTop="1">
      <c r="A17" s="365">
        <v>2</v>
      </c>
      <c r="B17" s="297" t="s">
        <v>15</v>
      </c>
      <c r="C17" s="355"/>
      <c r="E17" s="368"/>
      <c r="F17" s="369"/>
      <c r="G17" s="369"/>
      <c r="H17" s="368"/>
      <c r="I17" s="369"/>
      <c r="J17" s="406"/>
      <c r="K17" s="865"/>
      <c r="L17" s="369"/>
      <c r="M17" s="369"/>
      <c r="N17" s="865"/>
      <c r="O17" s="369"/>
      <c r="P17" s="369"/>
      <c r="Q17" s="388"/>
      <c r="R17" s="363"/>
      <c r="S17" s="835"/>
      <c r="T17" s="363"/>
      <c r="AF17" s="363"/>
      <c r="AG17" s="364"/>
      <c r="AH17" s="363"/>
      <c r="AI17" s="363"/>
    </row>
    <row r="18" spans="1:36">
      <c r="A18" s="373"/>
      <c r="B18" s="376" t="s">
        <v>16</v>
      </c>
      <c r="C18" s="1170" t="s">
        <v>17</v>
      </c>
      <c r="D18" s="1171"/>
      <c r="E18" s="368">
        <v>0</v>
      </c>
      <c r="F18" s="369">
        <v>0</v>
      </c>
      <c r="G18" s="369">
        <v>0</v>
      </c>
      <c r="H18" s="368">
        <v>0</v>
      </c>
      <c r="I18" s="369">
        <v>0</v>
      </c>
      <c r="J18" s="406">
        <v>0</v>
      </c>
      <c r="K18" s="368">
        <f>(+Umbergaon!K7+Umbergaon!C7-Umbergaon!M7-Intercompany!$F$88)/100000</f>
        <v>3784.6381930299999</v>
      </c>
      <c r="L18" s="369">
        <v>4978.6400000000003</v>
      </c>
      <c r="M18" s="369">
        <v>6297.46</v>
      </c>
      <c r="N18" s="368">
        <f>K18+X18-0.01</f>
        <v>13005.441719158942</v>
      </c>
      <c r="O18" s="369">
        <v>16170.03</v>
      </c>
      <c r="P18" s="369">
        <v>21125.34</v>
      </c>
      <c r="Q18" s="388"/>
      <c r="R18" s="363" t="s">
        <v>122</v>
      </c>
      <c r="S18" s="835">
        <v>6000.3161150999995</v>
      </c>
      <c r="T18" s="363"/>
      <c r="U18" s="370"/>
      <c r="V18" s="377"/>
      <c r="W18" s="388"/>
      <c r="X18" s="370">
        <v>9220.8135261289426</v>
      </c>
      <c r="AF18" s="363"/>
      <c r="AG18" s="364"/>
      <c r="AI18" s="363"/>
      <c r="AJ18" s="363"/>
    </row>
    <row r="19" spans="1:36">
      <c r="A19" s="373"/>
      <c r="B19" s="376" t="s">
        <v>18</v>
      </c>
      <c r="C19" s="437" t="s">
        <v>19</v>
      </c>
      <c r="E19" s="368">
        <f>SUMIF('LMIL - P&amp;L - Q2 (FY 2022-23)'!B12:B57,'Regulation 33 - Results'!C19,'LMIL - P&amp;L - Q2 (FY 2022-23)'!C11:C57)</f>
        <v>626.39500846999999</v>
      </c>
      <c r="F19" s="369">
        <v>2571.2399999999998</v>
      </c>
      <c r="G19" s="369">
        <v>3037.4559058299997</v>
      </c>
      <c r="H19" s="368">
        <f>+E19+F19</f>
        <v>3197.6350084699998</v>
      </c>
      <c r="I19" s="369">
        <v>5212.1459058299997</v>
      </c>
      <c r="J19" s="406">
        <v>10163.74</v>
      </c>
      <c r="K19" s="368">
        <f>(+Chennai!C9+Cochin!C8+ho!C10-Intercompany!$L$88-Intercompany!$I$92)/100000</f>
        <v>594.78271209000002</v>
      </c>
      <c r="L19" s="369">
        <v>1982.7</v>
      </c>
      <c r="M19" s="369">
        <v>3434.06</v>
      </c>
      <c r="N19" s="368">
        <f>K19+X19</f>
        <v>3605.0600191900003</v>
      </c>
      <c r="O19" s="369">
        <v>12112.74</v>
      </c>
      <c r="P19" s="369">
        <v>12261.48</v>
      </c>
      <c r="Q19" s="388"/>
      <c r="R19" s="363" t="s">
        <v>123</v>
      </c>
      <c r="S19" s="835">
        <v>161.26170929999898</v>
      </c>
      <c r="T19" s="363"/>
      <c r="U19" s="370"/>
      <c r="V19" s="377"/>
      <c r="W19" s="370"/>
      <c r="X19" s="370">
        <v>3010.2773071000001</v>
      </c>
      <c r="AF19" s="363"/>
      <c r="AG19" s="364"/>
      <c r="AI19" s="363"/>
    </row>
    <row r="20" spans="1:36" ht="41" customHeight="1">
      <c r="A20" s="373"/>
      <c r="B20" s="376" t="s">
        <v>20</v>
      </c>
      <c r="C20" s="1172" t="s">
        <v>21</v>
      </c>
      <c r="D20" s="1171"/>
      <c r="E20" s="368">
        <f>('LMIL - P&amp;L - Q2 (FY 2022-23)'!C12+'LMIL - P&amp;L - Q2 (FY 2022-23)'!C13+'LMIL - P&amp;L - Q2 (FY 2022-23)'!C14)-('LMIL - P&amp;L - Q2 (FY 2022-23)'!G18+'LMIL - P&amp;L - Q2 (FY 2022-23)'!G19+'LMIL - P&amp;L - Q2 (FY 2022-23)'!G20)</f>
        <v>-132.72388013</v>
      </c>
      <c r="F20" s="369">
        <v>-42.57</v>
      </c>
      <c r="G20" s="369">
        <v>-2237.2526647200002</v>
      </c>
      <c r="H20" s="368">
        <f>+E20+F20</f>
        <v>-175.29388012999999</v>
      </c>
      <c r="I20" s="369">
        <v>-2263.74266472</v>
      </c>
      <c r="J20" s="369">
        <v>-1968.93</v>
      </c>
      <c r="K20" s="368">
        <f>((Chennai!C5-Chennai!F8)+(Cochin!C5-Cochin!F8)+(Umbergaon!K8-Umbergaon!M8)+(ho!C5-ho!F7))/100000</f>
        <v>-61.426587820000051</v>
      </c>
      <c r="L20" s="369">
        <v>-1180.8</v>
      </c>
      <c r="M20" s="369">
        <v>-990.97</v>
      </c>
      <c r="N20" s="368">
        <f>K20+X20</f>
        <v>359.21047253140802</v>
      </c>
      <c r="O20" s="369">
        <v>-2677.63</v>
      </c>
      <c r="P20" s="369">
        <v>-1418.93</v>
      </c>
      <c r="Q20" s="388"/>
      <c r="R20" s="363" t="s">
        <v>124</v>
      </c>
      <c r="S20" s="835">
        <v>342.78606967000007</v>
      </c>
      <c r="T20" s="363"/>
      <c r="U20" s="370"/>
      <c r="V20" s="377"/>
      <c r="W20" s="370"/>
      <c r="X20" s="370">
        <v>420.63706035140808</v>
      </c>
      <c r="AG20" s="378"/>
      <c r="AI20" s="363"/>
    </row>
    <row r="21" spans="1:36">
      <c r="A21" s="373"/>
      <c r="B21" s="376" t="s">
        <v>22</v>
      </c>
      <c r="C21" s="437" t="s">
        <v>23</v>
      </c>
      <c r="E21" s="368">
        <f>+'LMIL - P&amp;L - Q2 (FY 2022-23)'!C27</f>
        <v>16.667020000000001</v>
      </c>
      <c r="F21" s="369">
        <v>17.11</v>
      </c>
      <c r="G21" s="369">
        <v>13.348240000000002</v>
      </c>
      <c r="H21" s="368">
        <f>+E21+F21</f>
        <v>33.77702</v>
      </c>
      <c r="I21" s="369">
        <v>24.628240000000002</v>
      </c>
      <c r="J21" s="369">
        <v>52.23</v>
      </c>
      <c r="K21" s="368">
        <f>(+Umbergaon!B37+Umbergaon!B38+ho!B19)/100000</f>
        <v>78.19126279999999</v>
      </c>
      <c r="L21" s="369">
        <v>74.67</v>
      </c>
      <c r="M21" s="369">
        <v>116.26</v>
      </c>
      <c r="N21" s="368">
        <f>K21+X21</f>
        <v>222.3987328</v>
      </c>
      <c r="O21" s="369">
        <v>316.85000000000002</v>
      </c>
      <c r="P21" s="369">
        <v>399.31</v>
      </c>
      <c r="Q21" s="388"/>
      <c r="R21" s="363" t="s">
        <v>125</v>
      </c>
      <c r="S21" s="835">
        <v>85.756099199999994</v>
      </c>
      <c r="T21" s="363"/>
      <c r="U21" s="370"/>
      <c r="V21" s="377"/>
      <c r="W21" s="370"/>
      <c r="X21" s="370">
        <v>144.20747</v>
      </c>
      <c r="AH21" s="379"/>
      <c r="AI21" s="363"/>
    </row>
    <row r="22" spans="1:36" ht="15" thickBot="1">
      <c r="A22" s="373"/>
      <c r="B22" s="354" t="s">
        <v>24</v>
      </c>
      <c r="C22" s="437" t="s">
        <v>25</v>
      </c>
      <c r="E22" s="368">
        <f>+'LMIL - P&amp;L - Q2 (FY 2022-23)'!C23</f>
        <v>1.72418</v>
      </c>
      <c r="F22" s="369">
        <v>17.600000000000001</v>
      </c>
      <c r="G22" s="369">
        <v>5.5793806999999997</v>
      </c>
      <c r="H22" s="368">
        <f t="shared" ref="H22:H24" si="2">+E22+F22</f>
        <v>19.324180000000002</v>
      </c>
      <c r="I22" s="369">
        <v>7.9293806999999994</v>
      </c>
      <c r="J22" s="369">
        <v>38.06</v>
      </c>
      <c r="K22" s="368">
        <f>(+Umbergaon!B30+Umbergaon!B48+ho!B16)/100000</f>
        <v>143.33250441000001</v>
      </c>
      <c r="L22" s="369">
        <v>121.92</v>
      </c>
      <c r="M22" s="369">
        <v>158.29</v>
      </c>
      <c r="N22" s="368">
        <f>K22+X22</f>
        <v>383.65467331000002</v>
      </c>
      <c r="O22" s="369">
        <v>502.35</v>
      </c>
      <c r="P22" s="369">
        <v>663.89</v>
      </c>
      <c r="Q22" s="388"/>
      <c r="R22" s="363" t="s">
        <v>126</v>
      </c>
      <c r="S22" s="835">
        <v>219.94399390000001</v>
      </c>
      <c r="T22" s="363"/>
      <c r="U22" s="370"/>
      <c r="V22" s="377"/>
      <c r="W22" s="370"/>
      <c r="X22" s="370">
        <v>240.32216890000001</v>
      </c>
    </row>
    <row r="23" spans="1:36">
      <c r="A23" s="373"/>
      <c r="B23" s="354" t="s">
        <v>26</v>
      </c>
      <c r="C23" s="437" t="s">
        <v>27</v>
      </c>
      <c r="E23" s="368">
        <f>+'LMIL - P&amp;L - Q2 (FY 2022-23)'!C32+'LMIL - P&amp;L - Q2 (FY 2022-23)'!C33</f>
        <v>6.7984985</v>
      </c>
      <c r="F23" s="369">
        <v>6.86</v>
      </c>
      <c r="G23" s="369">
        <v>3.4860824999999993</v>
      </c>
      <c r="H23" s="368">
        <f t="shared" si="2"/>
        <v>13.6584985</v>
      </c>
      <c r="I23" s="369">
        <v>8.9460824999999993</v>
      </c>
      <c r="J23" s="369">
        <v>17.02</v>
      </c>
      <c r="K23" s="368">
        <f>(+Umbergaon!B42+Umbergaon!B43+ho!B25+ho!B26)/100000</f>
        <v>68.553807299999988</v>
      </c>
      <c r="L23" s="369">
        <v>68.150000000000006</v>
      </c>
      <c r="M23" s="369">
        <v>66.569999999999993</v>
      </c>
      <c r="N23" s="368">
        <f>K23+X23-0.01</f>
        <v>204.6857167</v>
      </c>
      <c r="O23" s="369">
        <v>195.22</v>
      </c>
      <c r="P23" s="369">
        <v>263.74</v>
      </c>
      <c r="Q23" s="388"/>
      <c r="R23" s="363" t="s">
        <v>127</v>
      </c>
      <c r="S23" s="835">
        <v>53.583359999999999</v>
      </c>
      <c r="T23" s="363"/>
      <c r="U23" s="370"/>
      <c r="V23" s="377"/>
      <c r="W23" s="370"/>
      <c r="X23" s="370">
        <v>136.1419094</v>
      </c>
      <c r="Y23" s="380"/>
      <c r="Z23" s="381"/>
      <c r="AA23" s="381"/>
      <c r="AB23" s="381"/>
      <c r="AC23" s="381"/>
      <c r="AD23" s="382"/>
    </row>
    <row r="24" spans="1:36">
      <c r="A24" s="373"/>
      <c r="B24" s="354" t="s">
        <v>64</v>
      </c>
      <c r="C24" s="437" t="s">
        <v>28</v>
      </c>
      <c r="E24" s="368">
        <f>+('LMIL - P&amp;L - Q2 (FY 2022-23)'!C21+'LMIL - P&amp;L - Q2 (FY 2022-23)'!C22+'LMIL - P&amp;L - Q2 (FY 2022-23)'!C24+'LMIL - P&amp;L - Q2 (FY 2022-23)'!C25+'LMIL - P&amp;L - Q2 (FY 2022-23)'!C28+'LMIL - P&amp;L - Q2 (FY 2022-23)'!C29+'LMIL - P&amp;L - Q2 (FY 2022-23)'!C30+'LMIL - P&amp;L - Q2 (FY 2022-23)'!C31+'LMIL - P&amp;L - Q2 (FY 2022-23)'!C35+'LMIL - P&amp;L - Q2 (FY 2022-23)'!C36+'LMIL - P&amp;L - Q2 (FY 2022-23)'!C37+'LMIL - P&amp;L - Q2 (FY 2022-23)'!C39+'LMIL - P&amp;L - Q2 (FY 2022-23)'!C41+'LMIL - P&amp;L - Q2 (FY 2022-23)'!C44+'LMIL - P&amp;L - Q2 (FY 2022-23)'!C45+'LMIL - P&amp;L - Q2 (FY 2022-23)'!C46+'LMIL - P&amp;L - Q2 (FY 2022-23)'!C47+'LMIL - P&amp;L - Q2 (FY 2022-23)'!C49+'LMIL - P&amp;L - Q2 (FY 2022-23)'!C52+'LMIL - P&amp;L - Q2 (FY 2022-23)'!C53+'LMIL - P&amp;L - Q2 (FY 2022-23)'!C54+'LMIL - P&amp;L - Q2 (FY 2022-23)'!C56)</f>
        <v>94.544779629999979</v>
      </c>
      <c r="F24" s="369">
        <v>26.61</v>
      </c>
      <c r="G24" s="369">
        <v>4.0179466599999998</v>
      </c>
      <c r="H24" s="368">
        <f t="shared" si="2"/>
        <v>121.15477962999998</v>
      </c>
      <c r="I24" s="369">
        <v>32.807946659999999</v>
      </c>
      <c r="J24" s="369">
        <v>126.74</v>
      </c>
      <c r="K24" s="368">
        <f>(+Chennai!C11+Chennai!B18+Chennai!B19+Chennai!B21+Chennai!B22+Chennai!B23+Chennai!B24+Chennai!B17+Cochin!C11+Cochin!B16+Cochin!B17+Cochin!B18+Cochin!B19+Cochin!B20+Cochin!B21+Cochin!B22+Cochin!B23+Cochin!B24+Cochin!B25+Cochin!B26+Cochin!B27+Cochin!B28+Umbergaon!C12+Umbergaon!B26+Umbergaon!B27+Umbergaon!B28+Umbergaon!B29+Umbergaon!B31+Umbergaon!B32+Umbergaon!B33+Umbergaon!B34+Umbergaon!B35+Umbergaon!B36+Umbergaon!B39+Umbergaon!B40+Umbergaon!B41+Umbergaon!B44+Umbergaon!B45+Umbergaon!B46+Umbergaon!B49+Umbergaon!B50+Umbergaon!B51+Umbergaon!B52+Umbergaon!B53+Umbergaon!B54+Umbergaon!B55+Umbergaon!B56-Umbergaon!E17+ho!B15+ho!B17+ho!B18+ho!B20+ho!B21+ho!B22+ho!B23+ho!B27+ho!B28+ho!B29+ho!B30+ho!B32+ho!B33+ho!B34+ho!B35+ho!B36+ho!B37+ho!B38+ho!B39+ho!B40+ho!B41+ho!B42+ho!B43)/100000</f>
        <v>214.20479882999999</v>
      </c>
      <c r="L24" s="369">
        <v>208.12</v>
      </c>
      <c r="M24" s="369">
        <v>304.69</v>
      </c>
      <c r="N24" s="368">
        <f>K24+X24</f>
        <v>727.97099136999998</v>
      </c>
      <c r="O24" s="369">
        <v>835.17</v>
      </c>
      <c r="P24" s="369">
        <v>1042.58</v>
      </c>
      <c r="Q24" s="388"/>
      <c r="R24" s="363" t="s">
        <v>128</v>
      </c>
      <c r="S24" s="835">
        <v>220.21938597999997</v>
      </c>
      <c r="T24" s="363"/>
      <c r="U24" s="370"/>
      <c r="V24" s="377"/>
      <c r="W24" s="370"/>
      <c r="X24" s="370">
        <v>513.76619254000002</v>
      </c>
      <c r="Y24" s="383"/>
      <c r="AD24" s="384"/>
    </row>
    <row r="25" spans="1:36" ht="15" thickBot="1">
      <c r="A25" s="373"/>
      <c r="B25" s="355" t="s">
        <v>29</v>
      </c>
      <c r="C25" s="355"/>
      <c r="D25" s="355"/>
      <c r="E25" s="374">
        <f>SUM(E18:E24)</f>
        <v>613.40560647000007</v>
      </c>
      <c r="F25" s="374">
        <f>SUM(F18:F24)-0.01</f>
        <v>2596.8399999999997</v>
      </c>
      <c r="G25" s="374">
        <v>826.65489096999943</v>
      </c>
      <c r="H25" s="374">
        <f>SUM(H18:H24)</f>
        <v>3210.2556064699997</v>
      </c>
      <c r="I25" s="374">
        <v>3022.7148909699999</v>
      </c>
      <c r="J25" s="374">
        <f>SUM(J18:J24)+0.01</f>
        <v>8428.869999999999</v>
      </c>
      <c r="K25" s="865">
        <f>SUM(K18:K24)-0.02</f>
        <v>4822.2566906399989</v>
      </c>
      <c r="L25" s="374">
        <f>SUM(L18:L24)</f>
        <v>6253.4</v>
      </c>
      <c r="M25" s="374">
        <f>+SUM(M18:M24)</f>
        <v>9386.3600000000024</v>
      </c>
      <c r="N25" s="865">
        <f>SUM(N18:N24)</f>
        <v>18508.422325060354</v>
      </c>
      <c r="O25" s="374">
        <f>+SUM(O18:O24)</f>
        <v>27454.729999999996</v>
      </c>
      <c r="P25" s="374">
        <f>SUM(P18:P24)</f>
        <v>34337.410000000003</v>
      </c>
      <c r="Q25" s="388"/>
      <c r="R25" s="82"/>
      <c r="S25" s="836">
        <f>SUM(S18:S24)</f>
        <v>7083.8667331499983</v>
      </c>
      <c r="T25" s="363"/>
      <c r="U25" s="375"/>
      <c r="V25" s="375"/>
      <c r="W25" s="375"/>
      <c r="X25" s="375">
        <v>13686.165634420351</v>
      </c>
      <c r="Y25" s="385"/>
      <c r="Z25" s="386"/>
      <c r="AA25" s="386"/>
      <c r="AB25" s="386"/>
      <c r="AC25" s="386"/>
      <c r="AD25" s="387"/>
    </row>
    <row r="26" spans="1:36" ht="15" thickTop="1">
      <c r="A26" s="365">
        <v>3</v>
      </c>
      <c r="B26" s="355" t="s">
        <v>30</v>
      </c>
      <c r="C26" s="355"/>
      <c r="D26" s="355"/>
      <c r="E26" s="368">
        <f>E16-E25</f>
        <v>-69.908597490000147</v>
      </c>
      <c r="F26" s="368">
        <f>F16-F25-0.01</f>
        <v>-131.20999999999981</v>
      </c>
      <c r="G26" s="368">
        <v>70.066550670000311</v>
      </c>
      <c r="H26" s="368">
        <f>H16-H25</f>
        <v>-201.11859748999996</v>
      </c>
      <c r="I26" s="369">
        <v>400.27655066999978</v>
      </c>
      <c r="J26" s="369">
        <f t="shared" ref="J26:P26" si="3">J16-J25</f>
        <v>554.3600000000024</v>
      </c>
      <c r="K26" s="865">
        <f t="shared" si="3"/>
        <v>56.914522650001345</v>
      </c>
      <c r="L26" s="368">
        <f t="shared" si="3"/>
        <v>262.5600000000004</v>
      </c>
      <c r="M26" s="368">
        <f t="shared" si="3"/>
        <v>186.91999999999825</v>
      </c>
      <c r="N26" s="865">
        <f t="shared" si="3"/>
        <v>537.84467931964537</v>
      </c>
      <c r="O26" s="368">
        <f t="shared" si="3"/>
        <v>459.40000000000146</v>
      </c>
      <c r="P26" s="369">
        <f t="shared" si="3"/>
        <v>785.20999999999913</v>
      </c>
      <c r="Q26" s="388"/>
      <c r="R26" s="82"/>
      <c r="S26" s="835"/>
      <c r="T26" s="363"/>
      <c r="U26" s="375">
        <v>0</v>
      </c>
      <c r="V26" s="375"/>
      <c r="W26" s="375">
        <v>0</v>
      </c>
      <c r="X26" s="375">
        <v>480.92015666964835</v>
      </c>
    </row>
    <row r="27" spans="1:36" hidden="1">
      <c r="A27" s="365"/>
      <c r="B27" s="355"/>
      <c r="C27" s="355"/>
      <c r="D27" s="355"/>
      <c r="E27" s="368"/>
      <c r="F27" s="369"/>
      <c r="G27" s="369"/>
      <c r="H27" s="368"/>
      <c r="I27" s="369"/>
      <c r="J27" s="406"/>
      <c r="K27" s="368"/>
      <c r="L27" s="369"/>
      <c r="M27" s="369"/>
      <c r="N27" s="368"/>
      <c r="O27" s="369"/>
      <c r="P27" s="369"/>
      <c r="Q27" s="388"/>
      <c r="R27" s="363" t="s">
        <v>631</v>
      </c>
      <c r="S27" s="835">
        <v>-805.67261864999818</v>
      </c>
      <c r="T27" s="363"/>
    </row>
    <row r="28" spans="1:36" hidden="1">
      <c r="A28" s="365"/>
      <c r="B28" s="355"/>
      <c r="C28" s="355"/>
      <c r="D28" s="355"/>
      <c r="E28" s="368"/>
      <c r="F28" s="369"/>
      <c r="G28" s="369"/>
      <c r="H28" s="368"/>
      <c r="I28" s="369"/>
      <c r="J28" s="406"/>
      <c r="K28" s="368"/>
      <c r="L28" s="369"/>
      <c r="M28" s="369"/>
      <c r="N28" s="368"/>
      <c r="O28" s="369"/>
      <c r="P28" s="369"/>
      <c r="Q28" s="388"/>
      <c r="R28" s="363"/>
      <c r="S28" s="835"/>
      <c r="T28" s="363"/>
    </row>
    <row r="29" spans="1:36">
      <c r="A29" s="367"/>
      <c r="B29" s="354" t="s">
        <v>31</v>
      </c>
      <c r="E29" s="368">
        <v>0</v>
      </c>
      <c r="F29" s="369">
        <v>0</v>
      </c>
      <c r="G29" s="369">
        <v>0</v>
      </c>
      <c r="H29" s="368">
        <v>0</v>
      </c>
      <c r="I29" s="369">
        <v>0</v>
      </c>
      <c r="J29" s="406">
        <v>0</v>
      </c>
      <c r="K29" s="368">
        <v>0</v>
      </c>
      <c r="L29" s="369">
        <v>0</v>
      </c>
      <c r="M29" s="369">
        <v>0</v>
      </c>
      <c r="N29" s="368">
        <v>0</v>
      </c>
      <c r="O29" s="369">
        <v>0</v>
      </c>
      <c r="P29" s="369">
        <v>0</v>
      </c>
      <c r="Q29" s="388"/>
      <c r="R29" s="363"/>
      <c r="S29" s="835"/>
      <c r="T29" s="363"/>
      <c r="U29" s="388"/>
      <c r="V29" s="388"/>
      <c r="W29" s="388"/>
      <c r="X29" s="388">
        <v>0</v>
      </c>
    </row>
    <row r="30" spans="1:36">
      <c r="A30" s="365">
        <v>4</v>
      </c>
      <c r="B30" s="355" t="s">
        <v>32</v>
      </c>
      <c r="C30" s="355"/>
      <c r="D30" s="355"/>
      <c r="E30" s="374">
        <f t="shared" ref="E30:P30" si="4">SUM(E26:E29)</f>
        <v>-69.908597490000147</v>
      </c>
      <c r="F30" s="374">
        <f t="shared" si="4"/>
        <v>-131.20999999999981</v>
      </c>
      <c r="G30" s="374">
        <v>70.066550670000311</v>
      </c>
      <c r="H30" s="865">
        <f>H26-H29</f>
        <v>-201.11859748999996</v>
      </c>
      <c r="I30" s="374">
        <v>400.27655066999978</v>
      </c>
      <c r="J30" s="374">
        <f t="shared" ref="J30" si="5">SUM(J26:J29)</f>
        <v>554.3600000000024</v>
      </c>
      <c r="K30" s="865">
        <f>K26-K29</f>
        <v>56.914522650001345</v>
      </c>
      <c r="L30" s="374">
        <f t="shared" si="4"/>
        <v>262.5600000000004</v>
      </c>
      <c r="M30" s="374">
        <f>M26-K29</f>
        <v>186.91999999999825</v>
      </c>
      <c r="N30" s="865">
        <f>N26-N29</f>
        <v>537.84467931964537</v>
      </c>
      <c r="O30" s="374">
        <f>O26-M29</f>
        <v>459.40000000000146</v>
      </c>
      <c r="P30" s="374">
        <f t="shared" si="4"/>
        <v>785.20999999999913</v>
      </c>
      <c r="Q30" s="388"/>
      <c r="R30" s="82" t="s">
        <v>631</v>
      </c>
      <c r="S30" s="835">
        <f>S16-S25</f>
        <v>-805.67261864999818</v>
      </c>
      <c r="T30" s="363"/>
      <c r="U30" s="375"/>
      <c r="V30" s="375"/>
      <c r="W30" s="375"/>
      <c r="X30" s="375">
        <v>480.92015666964835</v>
      </c>
    </row>
    <row r="31" spans="1:36">
      <c r="A31" s="365">
        <v>5</v>
      </c>
      <c r="B31" s="354" t="s">
        <v>33</v>
      </c>
      <c r="E31" s="368"/>
      <c r="F31" s="369"/>
      <c r="G31" s="369"/>
      <c r="H31" s="865"/>
      <c r="I31" s="369"/>
      <c r="J31" s="406"/>
      <c r="K31" s="865"/>
      <c r="L31" s="369"/>
      <c r="M31" s="369"/>
      <c r="N31" s="865"/>
      <c r="O31" s="369"/>
      <c r="P31" s="369"/>
      <c r="Q31" s="388"/>
      <c r="R31" s="363"/>
      <c r="S31" s="835"/>
      <c r="T31" s="363"/>
    </row>
    <row r="32" spans="1:36">
      <c r="A32" s="373"/>
      <c r="B32" s="354" t="s">
        <v>34</v>
      </c>
      <c r="C32" s="354" t="s">
        <v>35</v>
      </c>
      <c r="E32" s="369">
        <v>0</v>
      </c>
      <c r="F32" s="369">
        <v>0</v>
      </c>
      <c r="G32" s="369">
        <v>17.541683042605797</v>
      </c>
      <c r="H32" s="368">
        <v>0</v>
      </c>
      <c r="I32" s="369">
        <v>100.3716830426058</v>
      </c>
      <c r="J32" s="406">
        <v>143.25</v>
      </c>
      <c r="K32" s="368">
        <f>((ho!B31))/100000</f>
        <v>-10.93407</v>
      </c>
      <c r="L32" s="369">
        <v>0.64</v>
      </c>
      <c r="M32" s="369">
        <v>0</v>
      </c>
      <c r="N32" s="368">
        <f>K32+X32</f>
        <v>43.464999999999996</v>
      </c>
      <c r="O32" s="369">
        <v>0</v>
      </c>
      <c r="P32" s="369">
        <v>0</v>
      </c>
      <c r="Q32" s="375"/>
      <c r="R32" s="363"/>
      <c r="S32" s="835"/>
      <c r="T32" s="363"/>
      <c r="U32" s="389"/>
      <c r="V32" s="389"/>
      <c r="W32" s="389"/>
      <c r="X32" s="389">
        <v>54.399069999999995</v>
      </c>
    </row>
    <row r="33" spans="1:24" hidden="1">
      <c r="A33" s="373"/>
      <c r="B33" s="437" t="s">
        <v>18</v>
      </c>
      <c r="C33" s="437" t="s">
        <v>488</v>
      </c>
      <c r="E33" s="369">
        <v>0</v>
      </c>
      <c r="F33" s="369">
        <v>0</v>
      </c>
      <c r="G33" s="369"/>
      <c r="H33" s="368"/>
      <c r="I33" s="369"/>
      <c r="J33" s="406">
        <v>0</v>
      </c>
      <c r="K33" s="368"/>
      <c r="L33" s="368">
        <v>0</v>
      </c>
      <c r="M33" s="368">
        <v>0</v>
      </c>
      <c r="N33" s="368"/>
      <c r="O33" s="368">
        <v>0</v>
      </c>
      <c r="P33" s="369">
        <v>0</v>
      </c>
      <c r="Q33" s="388"/>
      <c r="R33" s="363"/>
      <c r="S33" s="835"/>
      <c r="T33" s="363"/>
      <c r="U33" s="389"/>
      <c r="V33" s="389"/>
      <c r="W33" s="389"/>
      <c r="X33" s="389"/>
    </row>
    <row r="34" spans="1:24">
      <c r="A34" s="390"/>
      <c r="B34" s="437" t="s">
        <v>18</v>
      </c>
      <c r="C34" s="437" t="s">
        <v>36</v>
      </c>
      <c r="E34" s="368">
        <f>29032.85/100000</f>
        <v>0.29032849999999999</v>
      </c>
      <c r="F34" s="369">
        <v>0.01</v>
      </c>
      <c r="G34" s="369">
        <v>-0.67326331162710407</v>
      </c>
      <c r="H34" s="368">
        <f>E34+F34</f>
        <v>0.3003285</v>
      </c>
      <c r="I34" s="369">
        <v>-1.863263311627104</v>
      </c>
      <c r="J34" s="369">
        <v>-3.52</v>
      </c>
      <c r="K34" s="368">
        <f>(+ho!B24)/100000</f>
        <v>2.6848127000000002</v>
      </c>
      <c r="L34" s="369">
        <v>1.1399999999999999</v>
      </c>
      <c r="M34" s="369">
        <v>4.01</v>
      </c>
      <c r="N34" s="368">
        <f>K34+X34</f>
        <v>6.3505792999999997</v>
      </c>
      <c r="O34" s="369">
        <v>14.2</v>
      </c>
      <c r="P34" s="568">
        <v>19.97</v>
      </c>
      <c r="Q34" s="388"/>
      <c r="R34" s="363"/>
      <c r="S34" s="835"/>
      <c r="T34" s="363"/>
      <c r="U34" s="389"/>
      <c r="V34" s="389"/>
      <c r="W34" s="377"/>
      <c r="X34" s="377">
        <v>3.6657665999999995</v>
      </c>
    </row>
    <row r="35" spans="1:24" hidden="1">
      <c r="A35" s="390"/>
      <c r="B35" s="437" t="s">
        <v>20</v>
      </c>
      <c r="C35" s="437" t="s">
        <v>488</v>
      </c>
      <c r="E35" s="368"/>
      <c r="F35" s="369"/>
      <c r="G35" s="369"/>
      <c r="H35" s="368"/>
      <c r="I35" s="369"/>
      <c r="J35" s="369"/>
      <c r="K35" s="368">
        <v>0</v>
      </c>
      <c r="L35" s="369">
        <v>0</v>
      </c>
      <c r="M35" s="369">
        <v>0</v>
      </c>
      <c r="N35" s="368">
        <f>K35+L35</f>
        <v>0</v>
      </c>
      <c r="O35" s="369">
        <v>0</v>
      </c>
      <c r="P35" s="568">
        <v>0</v>
      </c>
      <c r="Q35" s="388"/>
      <c r="R35" s="363"/>
      <c r="S35" s="835"/>
      <c r="T35" s="363"/>
      <c r="U35" s="389"/>
      <c r="V35" s="389"/>
      <c r="W35" s="377"/>
      <c r="X35" s="377">
        <v>0</v>
      </c>
    </row>
    <row r="36" spans="1:24">
      <c r="A36" s="391">
        <v>6</v>
      </c>
      <c r="B36" s="392" t="s">
        <v>1331</v>
      </c>
      <c r="C36" s="355"/>
      <c r="D36" s="355"/>
      <c r="E36" s="374">
        <f>E30-SUM(E32:E34)</f>
        <v>-70.198925990000149</v>
      </c>
      <c r="F36" s="374">
        <f>F30-SUM(F32:F34)</f>
        <v>-131.2199999999998</v>
      </c>
      <c r="G36" s="374">
        <v>53.198130939021617</v>
      </c>
      <c r="H36" s="865">
        <f>H30-H34</f>
        <v>-201.41892598999996</v>
      </c>
      <c r="I36" s="374">
        <v>301.76813093902109</v>
      </c>
      <c r="J36" s="402">
        <f>J30-SUM(J32:J34)</f>
        <v>414.63000000000238</v>
      </c>
      <c r="K36" s="374">
        <f>K30-K34-K32-0.01</f>
        <v>65.153779950001336</v>
      </c>
      <c r="L36" s="374">
        <f>L30-SUM(L32:L34)</f>
        <v>260.78000000000043</v>
      </c>
      <c r="M36" s="374">
        <f>M30-M34</f>
        <v>182.90999999999826</v>
      </c>
      <c r="N36" s="865">
        <f>N30-N32-N34-0.01</f>
        <v>488.01910001964541</v>
      </c>
      <c r="O36" s="374">
        <f>O30-O34</f>
        <v>445.20000000000147</v>
      </c>
      <c r="P36" s="374">
        <f>P30-SUM(P32:P35)</f>
        <v>765.2399999999991</v>
      </c>
      <c r="Q36" s="388"/>
      <c r="R36" s="388"/>
      <c r="S36" s="835"/>
      <c r="T36" s="363"/>
      <c r="U36" s="375"/>
      <c r="V36" s="375"/>
      <c r="W36" s="375"/>
      <c r="X36" s="375">
        <v>422.84532006964838</v>
      </c>
    </row>
    <row r="37" spans="1:24">
      <c r="A37" s="391">
        <v>7</v>
      </c>
      <c r="B37" s="393" t="s">
        <v>1332</v>
      </c>
      <c r="D37" s="394"/>
      <c r="E37" s="368"/>
      <c r="F37" s="369"/>
      <c r="G37" s="369"/>
      <c r="H37" s="865"/>
      <c r="I37" s="369"/>
      <c r="J37" s="369"/>
      <c r="K37" s="865"/>
      <c r="L37" s="369"/>
      <c r="M37" s="369"/>
      <c r="N37" s="865"/>
      <c r="O37" s="369"/>
      <c r="P37" s="369"/>
      <c r="Q37" s="388"/>
      <c r="R37" s="371"/>
      <c r="S37" s="835"/>
      <c r="T37" s="363"/>
      <c r="U37" s="388"/>
      <c r="V37" s="388"/>
      <c r="W37" s="388"/>
      <c r="X37" s="388"/>
    </row>
    <row r="38" spans="1:24" hidden="1">
      <c r="A38" s="391"/>
      <c r="B38" s="423" t="s">
        <v>1093</v>
      </c>
      <c r="D38" s="394"/>
      <c r="E38" s="368">
        <v>0</v>
      </c>
      <c r="F38" s="369">
        <v>0</v>
      </c>
      <c r="G38" s="369">
        <v>0</v>
      </c>
      <c r="H38" s="368">
        <v>0</v>
      </c>
      <c r="I38" s="369">
        <v>0</v>
      </c>
      <c r="J38" s="369">
        <v>0</v>
      </c>
      <c r="K38" s="368">
        <v>0</v>
      </c>
      <c r="L38" s="369">
        <v>0</v>
      </c>
      <c r="M38" s="369">
        <v>0</v>
      </c>
      <c r="N38" s="368">
        <f>K38+L38</f>
        <v>0</v>
      </c>
      <c r="O38" s="369">
        <v>0</v>
      </c>
      <c r="P38" s="369">
        <v>0</v>
      </c>
      <c r="Q38" s="388"/>
      <c r="R38" s="371"/>
      <c r="S38" s="835"/>
      <c r="T38" s="363"/>
      <c r="U38" s="388"/>
      <c r="V38" s="388"/>
      <c r="W38" s="388"/>
      <c r="X38" s="388">
        <v>0</v>
      </c>
    </row>
    <row r="39" spans="1:24">
      <c r="A39" s="391"/>
      <c r="B39" s="423" t="s">
        <v>406</v>
      </c>
      <c r="D39" s="394"/>
      <c r="E39" s="368">
        <v>0</v>
      </c>
      <c r="F39" s="369">
        <v>0</v>
      </c>
      <c r="G39" s="369">
        <v>0</v>
      </c>
      <c r="H39" s="368">
        <v>0</v>
      </c>
      <c r="I39" s="369">
        <v>0</v>
      </c>
      <c r="J39" s="369">
        <v>0</v>
      </c>
      <c r="K39" s="368">
        <v>0</v>
      </c>
      <c r="L39" s="369">
        <v>0</v>
      </c>
      <c r="M39" s="369">
        <v>0</v>
      </c>
      <c r="N39" s="368">
        <v>0</v>
      </c>
      <c r="O39" s="369">
        <v>0</v>
      </c>
      <c r="P39" s="369">
        <v>-1.38</v>
      </c>
      <c r="Q39" s="388"/>
      <c r="R39" s="363"/>
      <c r="S39" s="835"/>
      <c r="T39" s="363"/>
      <c r="U39" s="388"/>
      <c r="V39" s="388"/>
      <c r="W39" s="388"/>
      <c r="X39" s="388">
        <v>0</v>
      </c>
    </row>
    <row r="40" spans="1:24">
      <c r="A40" s="391">
        <v>8</v>
      </c>
      <c r="B40" s="393" t="s">
        <v>40</v>
      </c>
      <c r="C40" s="394"/>
      <c r="D40" s="394"/>
      <c r="E40" s="374">
        <f>E36+E37</f>
        <v>-70.198925990000149</v>
      </c>
      <c r="F40" s="374">
        <f>F36+F37</f>
        <v>-131.2199999999998</v>
      </c>
      <c r="G40" s="374">
        <v>53.198130939021617</v>
      </c>
      <c r="H40" s="865">
        <f>H36+H38+H39</f>
        <v>-201.41892598999996</v>
      </c>
      <c r="I40" s="374">
        <v>301.76813093902109</v>
      </c>
      <c r="J40" s="402">
        <f>J36+J37</f>
        <v>414.63000000000238</v>
      </c>
      <c r="K40" s="374">
        <f>K36-K38-K39</f>
        <v>65.153779950001336</v>
      </c>
      <c r="L40" s="374">
        <f>L36+L38+L39</f>
        <v>260.78000000000043</v>
      </c>
      <c r="M40" s="402">
        <f>M36-M38-M39</f>
        <v>182.90999999999826</v>
      </c>
      <c r="N40" s="865">
        <f>N36+N38</f>
        <v>488.01910001964541</v>
      </c>
      <c r="O40" s="402">
        <f>O36+O38</f>
        <v>445.20000000000147</v>
      </c>
      <c r="P40" s="374">
        <f>P36+P39</f>
        <v>763.8599999999991</v>
      </c>
      <c r="Q40" s="388"/>
      <c r="R40" s="363"/>
      <c r="S40" s="835"/>
      <c r="T40" s="363"/>
      <c r="U40" s="375"/>
      <c r="V40" s="375"/>
      <c r="W40" s="375"/>
      <c r="X40" s="375">
        <v>422.84532006964838</v>
      </c>
    </row>
    <row r="41" spans="1:24">
      <c r="A41" s="391">
        <v>9</v>
      </c>
      <c r="B41" s="437" t="s">
        <v>1937</v>
      </c>
      <c r="E41" s="807">
        <v>883.14</v>
      </c>
      <c r="F41" s="369">
        <v>883.14</v>
      </c>
      <c r="G41" s="369">
        <v>883.14</v>
      </c>
      <c r="H41" s="807">
        <v>883.14</v>
      </c>
      <c r="I41" s="369">
        <v>883.14</v>
      </c>
      <c r="J41" s="369">
        <v>883.14</v>
      </c>
      <c r="K41" s="865">
        <f>+'EPS Working- Yash'!F36/100000</f>
        <v>1315.5103799999999</v>
      </c>
      <c r="L41" s="369">
        <v>1315.51</v>
      </c>
      <c r="M41" s="369">
        <v>883.14</v>
      </c>
      <c r="N41" s="865">
        <f>+'EPS Working- Yash'!F36/100000</f>
        <v>1315.5103799999999</v>
      </c>
      <c r="O41" s="369">
        <v>883.14</v>
      </c>
      <c r="P41" s="369">
        <v>1103.93</v>
      </c>
      <c r="Q41" s="388"/>
      <c r="R41" s="363"/>
      <c r="S41" s="835"/>
      <c r="T41" s="363"/>
      <c r="X41" s="354">
        <v>1315.5103799999999</v>
      </c>
    </row>
    <row r="42" spans="1:24">
      <c r="A42" s="391">
        <v>10</v>
      </c>
      <c r="B42" s="354" t="s">
        <v>312</v>
      </c>
      <c r="E42" s="368"/>
      <c r="F42" s="369">
        <v>0</v>
      </c>
      <c r="G42" s="369">
        <v>0</v>
      </c>
      <c r="H42" s="368"/>
      <c r="I42" s="369">
        <v>0</v>
      </c>
      <c r="J42" s="369">
        <v>1516.4</v>
      </c>
      <c r="K42" s="368">
        <v>0</v>
      </c>
      <c r="L42" s="368">
        <v>0</v>
      </c>
      <c r="M42" s="369">
        <v>0</v>
      </c>
      <c r="N42" s="368">
        <v>0</v>
      </c>
      <c r="O42" s="369">
        <v>0</v>
      </c>
      <c r="P42" s="568">
        <v>4224.33</v>
      </c>
      <c r="Q42" s="583"/>
      <c r="R42" s="363"/>
      <c r="S42" s="835"/>
      <c r="T42" s="363"/>
      <c r="X42" s="354">
        <v>0</v>
      </c>
    </row>
    <row r="43" spans="1:24">
      <c r="A43" s="395" t="s">
        <v>1936</v>
      </c>
      <c r="B43" s="396" t="s">
        <v>47</v>
      </c>
      <c r="E43" s="368"/>
      <c r="F43" s="369"/>
      <c r="G43" s="369"/>
      <c r="H43" s="368"/>
      <c r="I43" s="369"/>
      <c r="J43" s="369"/>
      <c r="K43" s="368"/>
      <c r="L43" s="369"/>
      <c r="M43" s="369"/>
      <c r="N43" s="368"/>
      <c r="O43" s="369"/>
      <c r="P43" s="369"/>
      <c r="Q43" s="388"/>
      <c r="R43" s="363"/>
      <c r="S43" s="835"/>
      <c r="T43" s="363"/>
    </row>
    <row r="44" spans="1:24">
      <c r="A44" s="391"/>
      <c r="B44" s="437" t="s">
        <v>1932</v>
      </c>
      <c r="E44" s="368"/>
      <c r="F44" s="369"/>
      <c r="G44" s="369"/>
      <c r="H44" s="368"/>
      <c r="I44" s="369"/>
      <c r="J44" s="369"/>
      <c r="K44" s="368"/>
      <c r="L44" s="369"/>
      <c r="M44" s="369"/>
      <c r="N44" s="368"/>
      <c r="O44" s="369"/>
      <c r="P44" s="369"/>
      <c r="Q44" s="388"/>
      <c r="R44" s="363"/>
      <c r="S44" s="835"/>
      <c r="T44" s="363"/>
    </row>
    <row r="45" spans="1:24">
      <c r="A45" s="395"/>
      <c r="B45" s="354" t="s">
        <v>34</v>
      </c>
      <c r="C45" s="354" t="s">
        <v>49</v>
      </c>
      <c r="E45" s="368">
        <f>E40/E41</f>
        <v>-7.948787960006358E-2</v>
      </c>
      <c r="F45" s="369">
        <v>-0.15</v>
      </c>
      <c r="G45" s="369">
        <v>0.06</v>
      </c>
      <c r="H45" s="368">
        <f>H40/H41</f>
        <v>-0.22807134315057631</v>
      </c>
      <c r="I45" s="369">
        <f t="shared" ref="I45:J45" si="6">I36/I41</f>
        <v>0.34169908614604833</v>
      </c>
      <c r="J45" s="369">
        <f t="shared" si="6"/>
        <v>0.46949521027243968</v>
      </c>
      <c r="K45" s="368">
        <f>+'EPS Working- Aman'!AJ69</f>
        <v>4.9382927985472128E-2</v>
      </c>
      <c r="L45" s="369">
        <v>0.2</v>
      </c>
      <c r="M45" s="369">
        <v>0.17</v>
      </c>
      <c r="N45" s="368">
        <f>+'EPS Working- Aman'!AE69</f>
        <v>0.3756517871515998</v>
      </c>
      <c r="O45" s="369">
        <f>+'EPS Working- Aman'!AE77</f>
        <v>0.41695054319332647</v>
      </c>
      <c r="P45" s="369">
        <v>0.63</v>
      </c>
      <c r="Q45" s="388"/>
      <c r="R45" s="363"/>
      <c r="S45" s="835"/>
      <c r="T45" s="363"/>
      <c r="X45" s="354">
        <v>0.32805192350665063</v>
      </c>
    </row>
    <row r="46" spans="1:24">
      <c r="A46" s="397"/>
      <c r="B46" s="398" t="s">
        <v>18</v>
      </c>
      <c r="C46" s="398" t="s">
        <v>50</v>
      </c>
      <c r="D46" s="398"/>
      <c r="E46" s="864">
        <f>E40/E41</f>
        <v>-7.948787960006358E-2</v>
      </c>
      <c r="F46" s="405">
        <f>F45</f>
        <v>-0.15</v>
      </c>
      <c r="G46" s="405">
        <v>0.06</v>
      </c>
      <c r="H46" s="368">
        <f>H40/H41</f>
        <v>-0.22807134315057631</v>
      </c>
      <c r="I46" s="405">
        <f>I40/I41</f>
        <v>0.34169908614604833</v>
      </c>
      <c r="J46" s="405">
        <f>J36/J41</f>
        <v>0.46949521027243968</v>
      </c>
      <c r="K46" s="368">
        <f t="shared" ref="K46:P46" si="7">+K45</f>
        <v>4.9382927985472128E-2</v>
      </c>
      <c r="L46" s="405">
        <f t="shared" si="7"/>
        <v>0.2</v>
      </c>
      <c r="M46" s="405">
        <v>0.17</v>
      </c>
      <c r="N46" s="368">
        <f t="shared" si="7"/>
        <v>0.3756517871515998</v>
      </c>
      <c r="O46" s="405">
        <f t="shared" si="7"/>
        <v>0.41695054319332647</v>
      </c>
      <c r="P46" s="405">
        <f t="shared" si="7"/>
        <v>0.63</v>
      </c>
      <c r="Q46" s="388"/>
      <c r="R46" s="363"/>
      <c r="S46" s="835"/>
      <c r="T46" s="363"/>
      <c r="X46" s="354">
        <v>0.32805192350665063</v>
      </c>
    </row>
    <row r="47" spans="1:24">
      <c r="A47" s="399"/>
      <c r="E47" s="375"/>
      <c r="F47" s="388"/>
      <c r="G47" s="388"/>
      <c r="H47" s="866"/>
      <c r="I47" s="388"/>
      <c r="J47" s="388"/>
      <c r="K47" s="866"/>
      <c r="L47" s="375"/>
      <c r="M47" s="375"/>
      <c r="N47" s="867"/>
      <c r="O47" s="375"/>
      <c r="P47" s="375"/>
      <c r="Q47" s="375"/>
      <c r="R47" s="363"/>
      <c r="S47" s="835"/>
      <c r="T47" s="363"/>
    </row>
    <row r="48" spans="1:24">
      <c r="A48" s="376" t="s">
        <v>51</v>
      </c>
      <c r="E48" s="375"/>
      <c r="F48" s="388"/>
      <c r="G48" s="388"/>
      <c r="H48" s="375"/>
      <c r="I48" s="388"/>
      <c r="J48" s="388"/>
      <c r="K48" s="375"/>
      <c r="L48" s="375"/>
      <c r="M48" s="375"/>
      <c r="R48" s="363"/>
      <c r="S48" s="835"/>
      <c r="T48" s="363"/>
    </row>
    <row r="49" spans="1:20" ht="50.5" customHeight="1">
      <c r="A49" s="400">
        <v>1</v>
      </c>
      <c r="B49" s="1163" t="s">
        <v>2156</v>
      </c>
      <c r="C49" s="1163"/>
      <c r="D49" s="1163"/>
      <c r="E49" s="1163"/>
      <c r="F49" s="1163"/>
      <c r="G49" s="1163"/>
      <c r="H49" s="1163"/>
      <c r="I49" s="1163"/>
      <c r="J49" s="1163"/>
      <c r="K49" s="1163"/>
      <c r="L49" s="1163"/>
      <c r="M49" s="1163"/>
      <c r="N49" s="1163"/>
      <c r="O49" s="1163"/>
      <c r="P49" s="1163"/>
      <c r="Q49" s="537"/>
      <c r="R49" s="363"/>
      <c r="S49" s="835"/>
      <c r="T49" s="363"/>
    </row>
    <row r="50" spans="1:20" ht="42" customHeight="1">
      <c r="A50" s="401" t="s">
        <v>52</v>
      </c>
      <c r="B50" s="1163" t="s">
        <v>267</v>
      </c>
      <c r="C50" s="1163"/>
      <c r="D50" s="1163"/>
      <c r="E50" s="1163"/>
      <c r="F50" s="1163"/>
      <c r="G50" s="1163"/>
      <c r="H50" s="1163"/>
      <c r="I50" s="1163"/>
      <c r="J50" s="1163"/>
      <c r="K50" s="1163"/>
      <c r="L50" s="1163"/>
      <c r="M50" s="1163"/>
      <c r="N50" s="1163"/>
      <c r="O50" s="1163"/>
      <c r="P50" s="1163"/>
      <c r="Q50" s="537"/>
      <c r="R50" s="363"/>
      <c r="S50" s="835"/>
      <c r="T50" s="363"/>
    </row>
    <row r="51" spans="1:20" ht="130" customHeight="1">
      <c r="A51" s="400">
        <v>3</v>
      </c>
      <c r="B51" s="1163" t="s">
        <v>2164</v>
      </c>
      <c r="C51" s="1163"/>
      <c r="D51" s="1163"/>
      <c r="E51" s="1163"/>
      <c r="F51" s="1163"/>
      <c r="G51" s="1163"/>
      <c r="H51" s="1163"/>
      <c r="I51" s="1163"/>
      <c r="J51" s="1163"/>
      <c r="K51" s="1163"/>
      <c r="L51" s="1163"/>
      <c r="M51" s="1163"/>
      <c r="N51" s="1163"/>
      <c r="O51" s="1163"/>
      <c r="P51" s="1163"/>
      <c r="Q51" s="537"/>
      <c r="R51" s="363"/>
      <c r="S51" s="835"/>
      <c r="T51" s="363"/>
    </row>
    <row r="52" spans="1:20" ht="51.5" customHeight="1">
      <c r="A52" s="401" t="s">
        <v>2166</v>
      </c>
      <c r="B52" s="1164" t="s">
        <v>2165</v>
      </c>
      <c r="C52" s="1164"/>
      <c r="D52" s="1164"/>
      <c r="E52" s="1164"/>
      <c r="F52" s="1164"/>
      <c r="G52" s="1164"/>
      <c r="H52" s="1164"/>
      <c r="I52" s="1164"/>
      <c r="J52" s="1164"/>
      <c r="K52" s="1164"/>
      <c r="L52" s="1164"/>
      <c r="M52" s="1164"/>
    </row>
    <row r="53" spans="1:20" hidden="1">
      <c r="A53" s="401"/>
      <c r="B53" s="1023"/>
      <c r="C53" s="1023"/>
      <c r="D53" s="1023"/>
      <c r="E53" s="1023"/>
      <c r="F53" s="1023"/>
      <c r="G53" s="1023"/>
      <c r="H53" s="1023"/>
      <c r="I53" s="1023"/>
      <c r="J53" s="1023"/>
      <c r="K53" s="1023"/>
      <c r="L53" s="1023"/>
      <c r="P53" s="1024" t="s">
        <v>1350</v>
      </c>
    </row>
    <row r="54" spans="1:20" ht="58" hidden="1">
      <c r="A54" s="401"/>
      <c r="B54" s="1025"/>
      <c r="C54" s="1025"/>
      <c r="D54" s="358" t="s">
        <v>0</v>
      </c>
      <c r="E54" s="358" t="s">
        <v>1335</v>
      </c>
      <c r="F54" s="358" t="s">
        <v>1336</v>
      </c>
      <c r="G54" s="358" t="s">
        <v>1337</v>
      </c>
      <c r="H54" s="1026"/>
      <c r="I54" s="1026"/>
      <c r="J54" s="1026"/>
      <c r="K54" s="358" t="s">
        <v>2157</v>
      </c>
      <c r="L54" s="358" t="s">
        <v>2158</v>
      </c>
      <c r="M54" s="358" t="s">
        <v>2159</v>
      </c>
      <c r="N54" s="358" t="s">
        <v>2160</v>
      </c>
      <c r="O54" s="358" t="s">
        <v>2161</v>
      </c>
      <c r="P54" s="358" t="s">
        <v>2063</v>
      </c>
      <c r="S54" s="354"/>
      <c r="T54" s="832"/>
    </row>
    <row r="55" spans="1:20" ht="29">
      <c r="A55" s="401"/>
      <c r="B55" s="1025"/>
      <c r="C55" s="1025"/>
      <c r="D55" s="1027" t="s">
        <v>420</v>
      </c>
      <c r="E55" s="1028"/>
      <c r="F55" s="1028"/>
      <c r="G55" s="1028"/>
      <c r="H55" s="1025"/>
      <c r="I55" s="1025"/>
      <c r="J55" s="1025"/>
      <c r="K55" s="1029"/>
      <c r="L55" s="1030"/>
      <c r="M55" s="1030"/>
      <c r="N55" s="1030"/>
      <c r="O55" s="1030"/>
      <c r="P55" s="1030"/>
      <c r="S55" s="354"/>
      <c r="T55" s="832"/>
    </row>
    <row r="56" spans="1:20">
      <c r="A56" s="401"/>
      <c r="B56" s="1025"/>
      <c r="C56" s="1025"/>
      <c r="D56" s="1048" t="s">
        <v>2066</v>
      </c>
      <c r="E56" s="1031">
        <f>E14</f>
        <v>539.32690749999995</v>
      </c>
      <c r="F56" s="1031">
        <f>F14</f>
        <v>2437.91</v>
      </c>
      <c r="G56" s="1031">
        <f>J14</f>
        <v>8937.86</v>
      </c>
      <c r="H56" s="1025"/>
      <c r="I56" s="1025"/>
      <c r="J56" s="1025"/>
      <c r="K56" s="1032">
        <f t="shared" ref="K56:P56" si="8">+K14</f>
        <v>4782.7081452000002</v>
      </c>
      <c r="L56" s="1033">
        <f t="shared" si="8"/>
        <v>6329.86</v>
      </c>
      <c r="M56" s="1033">
        <f t="shared" si="8"/>
        <v>9471.7800000000007</v>
      </c>
      <c r="N56" s="1033">
        <f t="shared" si="8"/>
        <v>18665.209761229999</v>
      </c>
      <c r="O56" s="1033">
        <f t="shared" si="8"/>
        <v>27701.78</v>
      </c>
      <c r="P56" s="1033">
        <f t="shared" si="8"/>
        <v>34816.94</v>
      </c>
      <c r="S56" s="354"/>
      <c r="T56" s="832"/>
    </row>
    <row r="57" spans="1:20">
      <c r="A57" s="401"/>
      <c r="B57" s="1025"/>
      <c r="C57" s="1025"/>
      <c r="D57" s="1029" t="s">
        <v>275</v>
      </c>
      <c r="E57" s="1031">
        <v>0</v>
      </c>
      <c r="F57" s="1031">
        <v>0</v>
      </c>
      <c r="G57" s="1031">
        <v>0</v>
      </c>
      <c r="H57" s="1025"/>
      <c r="I57" s="1025"/>
      <c r="J57" s="1025"/>
      <c r="K57" s="984">
        <v>0</v>
      </c>
      <c r="L57" s="984">
        <v>0</v>
      </c>
      <c r="M57" s="984">
        <v>0</v>
      </c>
      <c r="N57" s="984">
        <v>0</v>
      </c>
      <c r="O57" s="984">
        <v>0</v>
      </c>
      <c r="P57" s="984">
        <v>0</v>
      </c>
      <c r="S57" s="354"/>
      <c r="T57" s="832"/>
    </row>
    <row r="58" spans="1:20">
      <c r="A58" s="401"/>
      <c r="B58" s="1025"/>
      <c r="C58" s="1025"/>
      <c r="D58" s="1027" t="s">
        <v>277</v>
      </c>
      <c r="E58" s="1034">
        <f>SUM(E56:E57)</f>
        <v>539.32690749999995</v>
      </c>
      <c r="F58" s="1034">
        <f>SUM(F56:F57)</f>
        <v>2437.91</v>
      </c>
      <c r="G58" s="1034">
        <f>SUM(G56:G57)</f>
        <v>8937.86</v>
      </c>
      <c r="H58" s="1025"/>
      <c r="I58" s="1025"/>
      <c r="J58" s="1025"/>
      <c r="K58" s="1035">
        <f>+K56+K57</f>
        <v>4782.7081452000002</v>
      </c>
      <c r="L58" s="797">
        <f>+L56+L57</f>
        <v>6329.86</v>
      </c>
      <c r="M58" s="797">
        <f t="shared" ref="M58:P58" si="9">+M56+M57</f>
        <v>9471.7800000000007</v>
      </c>
      <c r="N58" s="797">
        <f t="shared" si="9"/>
        <v>18665.209761229999</v>
      </c>
      <c r="O58" s="797">
        <f t="shared" si="9"/>
        <v>27701.78</v>
      </c>
      <c r="P58" s="797">
        <f t="shared" si="9"/>
        <v>34816.94</v>
      </c>
      <c r="S58" s="354"/>
      <c r="T58" s="832"/>
    </row>
    <row r="59" spans="1:20">
      <c r="A59" s="401"/>
      <c r="B59" s="1025"/>
      <c r="C59" s="1025"/>
      <c r="D59" s="1036"/>
      <c r="E59" s="1037"/>
      <c r="F59" s="1037"/>
      <c r="G59" s="1037"/>
      <c r="H59" s="1025"/>
      <c r="I59" s="1025"/>
      <c r="J59" s="1025"/>
      <c r="K59" s="1038"/>
      <c r="L59" s="1039"/>
      <c r="M59" s="1039"/>
      <c r="N59" s="1039"/>
      <c r="O59" s="1039"/>
      <c r="P59" s="1039"/>
      <c r="S59" s="354"/>
      <c r="T59" s="832"/>
    </row>
    <row r="60" spans="1:20">
      <c r="A60" s="401"/>
      <c r="B60" s="1025"/>
      <c r="C60" s="1025"/>
      <c r="D60" s="1027" t="s">
        <v>276</v>
      </c>
      <c r="E60" s="1028"/>
      <c r="F60" s="1028"/>
      <c r="G60" s="1028"/>
      <c r="H60" s="1025"/>
      <c r="I60" s="1025"/>
      <c r="J60" s="1025"/>
      <c r="K60" s="1040"/>
      <c r="L60" s="1033"/>
      <c r="M60" s="1033"/>
      <c r="N60" s="1033"/>
      <c r="O60" s="1033"/>
      <c r="P60" s="1033"/>
      <c r="S60" s="354"/>
      <c r="T60" s="832"/>
    </row>
    <row r="61" spans="1:20">
      <c r="A61" s="401"/>
      <c r="B61" s="1025"/>
      <c r="C61" s="1025"/>
      <c r="D61" s="1048" t="s">
        <v>2066</v>
      </c>
      <c r="E61" s="402">
        <f>E36</f>
        <v>-70.198925990000149</v>
      </c>
      <c r="F61" s="402">
        <f>F36</f>
        <v>-131.2199999999998</v>
      </c>
      <c r="G61" s="402">
        <f>J40</f>
        <v>414.63000000000238</v>
      </c>
      <c r="H61" s="1025"/>
      <c r="I61" s="1025"/>
      <c r="J61" s="1025"/>
      <c r="K61" s="1040">
        <f t="shared" ref="K61:P61" si="10">+K40</f>
        <v>65.153779950001336</v>
      </c>
      <c r="L61" s="1040">
        <f t="shared" si="10"/>
        <v>260.78000000000043</v>
      </c>
      <c r="M61" s="1040">
        <f t="shared" si="10"/>
        <v>182.90999999999826</v>
      </c>
      <c r="N61" s="1040">
        <f t="shared" si="10"/>
        <v>488.01910001964541</v>
      </c>
      <c r="O61" s="1040">
        <f t="shared" si="10"/>
        <v>445.20000000000147</v>
      </c>
      <c r="P61" s="1040">
        <f t="shared" si="10"/>
        <v>763.8599999999991</v>
      </c>
      <c r="S61" s="354"/>
      <c r="T61" s="832"/>
    </row>
    <row r="62" spans="1:20">
      <c r="A62" s="401"/>
      <c r="B62" s="1025"/>
      <c r="C62" s="1025"/>
      <c r="D62" s="1029" t="s">
        <v>275</v>
      </c>
      <c r="E62" s="402" t="e">
        <f>#REF!</f>
        <v>#REF!</v>
      </c>
      <c r="F62" s="402" t="e">
        <f>#REF!</f>
        <v>#REF!</v>
      </c>
      <c r="G62" s="402">
        <v>0</v>
      </c>
      <c r="H62" s="1025"/>
      <c r="I62" s="1025"/>
      <c r="J62" s="1025"/>
      <c r="K62" s="984">
        <v>0</v>
      </c>
      <c r="L62" s="984">
        <v>0</v>
      </c>
      <c r="M62" s="984">
        <v>0</v>
      </c>
      <c r="N62" s="984">
        <v>0</v>
      </c>
      <c r="O62" s="984">
        <v>0</v>
      </c>
      <c r="P62" s="984">
        <v>0</v>
      </c>
      <c r="S62" s="354"/>
      <c r="T62" s="832"/>
    </row>
    <row r="63" spans="1:20">
      <c r="A63" s="401"/>
      <c r="B63" s="1025"/>
      <c r="C63" s="1025"/>
      <c r="D63" s="1027" t="s">
        <v>278</v>
      </c>
      <c r="E63" s="374" t="e">
        <f>SUM(E61:E62)</f>
        <v>#REF!</v>
      </c>
      <c r="F63" s="374" t="e">
        <f>SUM(F61:F62)</f>
        <v>#REF!</v>
      </c>
      <c r="G63" s="374">
        <f>SUM(G61:G62)</f>
        <v>414.63000000000238</v>
      </c>
      <c r="H63" s="1025"/>
      <c r="I63" s="1025"/>
      <c r="J63" s="1025"/>
      <c r="K63" s="1041">
        <f>+K61+K62</f>
        <v>65.153779950001336</v>
      </c>
      <c r="L63" s="1041">
        <f t="shared" ref="L63:P63" si="11">+L61+L62</f>
        <v>260.78000000000043</v>
      </c>
      <c r="M63" s="1041">
        <f t="shared" si="11"/>
        <v>182.90999999999826</v>
      </c>
      <c r="N63" s="1041">
        <f t="shared" si="11"/>
        <v>488.01910001964541</v>
      </c>
      <c r="O63" s="1041">
        <f t="shared" si="11"/>
        <v>445.20000000000147</v>
      </c>
      <c r="P63" s="1041">
        <f t="shared" si="11"/>
        <v>763.8599999999991</v>
      </c>
      <c r="S63" s="354"/>
      <c r="T63" s="832"/>
    </row>
    <row r="64" spans="1:20">
      <c r="A64" s="401"/>
      <c r="B64" s="1025"/>
      <c r="C64" s="1025"/>
      <c r="D64" s="1025"/>
      <c r="E64" s="1042"/>
      <c r="F64" s="1042"/>
      <c r="G64" s="1042"/>
      <c r="H64" s="1042"/>
      <c r="I64" s="1042"/>
      <c r="J64" s="1025"/>
      <c r="K64" s="1025"/>
      <c r="L64" s="1025"/>
      <c r="M64" s="1025"/>
    </row>
    <row r="65" spans="1:17" hidden="1">
      <c r="A65" s="401"/>
      <c r="B65" s="1025"/>
      <c r="C65" s="1025"/>
      <c r="D65" s="1025"/>
      <c r="E65" s="1042"/>
      <c r="F65" s="1042"/>
      <c r="G65" s="1042"/>
      <c r="H65" s="1042"/>
      <c r="I65" s="1042"/>
      <c r="J65" s="1025"/>
      <c r="K65" s="1025"/>
      <c r="L65" s="1024" t="s">
        <v>1935</v>
      </c>
      <c r="M65" s="1025"/>
    </row>
    <row r="66" spans="1:17" ht="58" hidden="1">
      <c r="A66" s="401"/>
      <c r="B66" s="1025"/>
      <c r="C66" s="1025"/>
      <c r="D66" s="358" t="s">
        <v>1371</v>
      </c>
      <c r="E66" s="1043" t="s">
        <v>1372</v>
      </c>
      <c r="F66" s="1043" t="s">
        <v>1337</v>
      </c>
      <c r="G66" s="1042"/>
      <c r="H66" s="1042"/>
      <c r="I66" s="1042"/>
      <c r="J66" s="1025"/>
      <c r="K66" s="358" t="s">
        <v>2064</v>
      </c>
      <c r="L66" s="358" t="s">
        <v>2065</v>
      </c>
      <c r="M66" s="1025"/>
    </row>
    <row r="67" spans="1:17" hidden="1">
      <c r="A67" s="401"/>
      <c r="B67" s="1025"/>
      <c r="C67" s="1025"/>
      <c r="D67" s="1048" t="s">
        <v>2066</v>
      </c>
      <c r="E67" s="1044">
        <v>896.06834699000001</v>
      </c>
      <c r="F67" s="1044">
        <v>879.95606999999995</v>
      </c>
      <c r="G67" s="1042"/>
      <c r="H67" s="1042"/>
      <c r="I67" s="1042"/>
      <c r="J67" s="1025"/>
      <c r="K67" s="1045">
        <f>+'Regulation 33 - Balance Sheet'!G22+'Regulation 33 - Balance Sheet'!G8+'Regulation 33 - Balance Sheet'!G9+'Regulation 33 - Balance Sheet'!G10+'Regulation 33 - Balance Sheet'!G19-K68</f>
        <v>9480.1338874499997</v>
      </c>
      <c r="L67" s="1045">
        <v>7799.39</v>
      </c>
      <c r="M67" s="1025"/>
    </row>
    <row r="68" spans="1:17" hidden="1">
      <c r="A68" s="401"/>
      <c r="B68" s="1025"/>
      <c r="C68" s="1025"/>
      <c r="D68" s="1029" t="s">
        <v>275</v>
      </c>
      <c r="E68" s="1044">
        <v>2825.1966499999999</v>
      </c>
      <c r="F68" s="1044">
        <v>2702.5716499999999</v>
      </c>
      <c r="G68" s="1042"/>
      <c r="H68" s="1042"/>
      <c r="I68" s="1042"/>
      <c r="J68" s="1025"/>
      <c r="K68" s="1045">
        <v>3471.61</v>
      </c>
      <c r="L68" s="1045">
        <v>3471.61</v>
      </c>
      <c r="M68" s="1025"/>
    </row>
    <row r="69" spans="1:17" hidden="1">
      <c r="A69" s="401"/>
      <c r="B69" s="1025"/>
      <c r="C69" s="1025"/>
      <c r="D69" s="1029" t="s">
        <v>284</v>
      </c>
      <c r="E69" s="1044">
        <v>885.97069076999969</v>
      </c>
      <c r="F69" s="1044">
        <v>902.8122800000001</v>
      </c>
      <c r="G69" s="1042"/>
      <c r="H69" s="1042"/>
      <c r="I69" s="1042"/>
      <c r="J69" s="1025"/>
      <c r="K69" s="1045">
        <f>+'Regulation 33 - Balance Sheet'!G21+'Regulation 33 - Balance Sheet'!G12+'Regulation 33 - Balance Sheet'!G13+'Regulation 33 - Balance Sheet'!G23+'Regulation 33 - Balance Sheet'!G24+'Regulation 33 - Balance Sheet'!G26+'Regulation 33 - Balance Sheet'!G27</f>
        <v>1829.9685041300004</v>
      </c>
      <c r="L69" s="1045">
        <v>1237.8900000000001</v>
      </c>
      <c r="M69" s="1025"/>
    </row>
    <row r="70" spans="1:17" hidden="1">
      <c r="A70" s="401"/>
      <c r="B70" s="1025"/>
      <c r="C70" s="1025"/>
      <c r="D70" s="1027" t="s">
        <v>1373</v>
      </c>
      <c r="E70" s="1043">
        <v>4607.2356877599996</v>
      </c>
      <c r="F70" s="1043">
        <v>4485.34</v>
      </c>
      <c r="G70" s="1042"/>
      <c r="H70" s="1042"/>
      <c r="I70" s="1042"/>
      <c r="J70" s="1025"/>
      <c r="K70" s="1046">
        <f>+K67+K68+K69</f>
        <v>14781.71239158</v>
      </c>
      <c r="L70" s="1046">
        <f>+L67+L68+L69</f>
        <v>12508.89</v>
      </c>
      <c r="M70" s="1025"/>
    </row>
    <row r="71" spans="1:17" hidden="1">
      <c r="A71" s="401"/>
      <c r="B71" s="1025"/>
      <c r="C71" s="1025"/>
      <c r="D71" s="1025"/>
      <c r="E71" s="1042"/>
      <c r="F71" s="1042"/>
      <c r="G71" s="1042"/>
      <c r="H71" s="1042"/>
      <c r="I71" s="1042"/>
      <c r="J71" s="1025"/>
      <c r="K71" s="1025"/>
      <c r="L71" s="1025"/>
      <c r="M71" s="1025"/>
    </row>
    <row r="72" spans="1:17" hidden="1">
      <c r="A72" s="401"/>
      <c r="B72" s="1025"/>
      <c r="C72" s="1025"/>
      <c r="D72" s="1049" t="s">
        <v>282</v>
      </c>
      <c r="E72" s="1044"/>
      <c r="F72" s="1044"/>
      <c r="G72" s="1042"/>
      <c r="H72" s="1042"/>
      <c r="I72" s="1042"/>
      <c r="J72" s="1025"/>
      <c r="K72" s="1047"/>
      <c r="L72" s="1029"/>
      <c r="M72" s="1025"/>
    </row>
    <row r="73" spans="1:17" hidden="1">
      <c r="A73" s="401"/>
      <c r="B73" s="1025"/>
      <c r="C73" s="1025"/>
      <c r="D73" s="1048" t="s">
        <v>2066</v>
      </c>
      <c r="E73" s="1044">
        <v>325.46634610000001</v>
      </c>
      <c r="F73" s="1044">
        <v>1765.2501199999999</v>
      </c>
      <c r="G73" s="1042"/>
      <c r="H73" s="1042"/>
      <c r="I73" s="1042"/>
      <c r="J73" s="1025"/>
      <c r="K73" s="1045">
        <f>+'Regulation 33 - Balance Sheet'!G52+'Regulation 33 - Balance Sheet'!G41+'Regulation 33 - Balance Sheet'!G49+'Regulation 33 - Balance Sheet'!G51</f>
        <v>3097.0499018</v>
      </c>
      <c r="L73" s="1045">
        <v>2208.81</v>
      </c>
      <c r="M73" s="1025"/>
    </row>
    <row r="74" spans="1:17" hidden="1">
      <c r="A74" s="401"/>
      <c r="B74" s="1025"/>
      <c r="C74" s="1025"/>
      <c r="D74" s="1029" t="s">
        <v>275</v>
      </c>
      <c r="E74" s="1044">
        <v>41.1524</v>
      </c>
      <c r="F74" s="1044">
        <v>91.351399999999998</v>
      </c>
      <c r="G74" s="1042"/>
      <c r="H74" s="1042"/>
      <c r="I74" s="1042"/>
      <c r="J74" s="1025"/>
      <c r="K74" s="1045">
        <v>0</v>
      </c>
      <c r="L74" s="1045">
        <f>4115240/100000</f>
        <v>41.1524</v>
      </c>
      <c r="M74" s="1025"/>
    </row>
    <row r="75" spans="1:17" ht="29" hidden="1">
      <c r="A75" s="401"/>
      <c r="B75" s="1025"/>
      <c r="C75" s="1025"/>
      <c r="D75" s="1029" t="s">
        <v>1374</v>
      </c>
      <c r="E75" s="1044">
        <v>4240.6250966600001</v>
      </c>
      <c r="F75" s="1044">
        <v>2628.73848</v>
      </c>
      <c r="G75" s="1042"/>
      <c r="H75" s="1042"/>
      <c r="I75" s="1042"/>
      <c r="J75" s="1025"/>
      <c r="K75" s="1045">
        <f>+'Regulation 33 - Balance Sheet'!G40+'Regulation 33 - Balance Sheet'!G42+'Regulation 33 - Balance Sheet'!G43+'Regulation 33 - Balance Sheet'!G47+'Regulation 33 - Balance Sheet'!G53+'Regulation 33 - Balance Sheet'!G54+'Regulation 33 - Balance Sheet'!G55+'Regulation 33 - Balance Sheet'!G57-K74</f>
        <v>4135.1408899500002</v>
      </c>
      <c r="L75" s="1045">
        <v>4930.67</v>
      </c>
      <c r="M75" s="1025"/>
    </row>
    <row r="76" spans="1:17" hidden="1">
      <c r="A76" s="401"/>
      <c r="B76" s="1025"/>
      <c r="C76" s="1025"/>
      <c r="D76" s="1027" t="s">
        <v>1375</v>
      </c>
      <c r="E76" s="1043">
        <v>4607.24384276</v>
      </c>
      <c r="F76" s="1043">
        <v>4485.34</v>
      </c>
      <c r="G76" s="1042"/>
      <c r="H76" s="1042"/>
      <c r="I76" s="1042"/>
      <c r="J76" s="1025"/>
      <c r="K76" s="1046">
        <f>+K73+K74+K75</f>
        <v>7232.1907917500002</v>
      </c>
      <c r="L76" s="1046">
        <f>+L73+L74+L75</f>
        <v>7180.6324000000004</v>
      </c>
      <c r="M76" s="1025"/>
    </row>
    <row r="77" spans="1:17" ht="12" customHeight="1">
      <c r="A77" s="400"/>
      <c r="B77" s="403"/>
      <c r="C77" s="403"/>
      <c r="D77" s="403"/>
      <c r="E77" s="403"/>
      <c r="F77" s="403"/>
      <c r="G77" s="403"/>
      <c r="H77" s="403"/>
      <c r="I77" s="403"/>
      <c r="J77" s="403"/>
      <c r="K77" s="403"/>
      <c r="L77" s="403"/>
      <c r="M77" s="403"/>
    </row>
    <row r="78" spans="1:17" ht="20.5" customHeight="1">
      <c r="A78" s="400">
        <v>5</v>
      </c>
      <c r="B78" s="1163" t="s">
        <v>1333</v>
      </c>
      <c r="C78" s="1163"/>
      <c r="D78" s="1163"/>
      <c r="E78" s="1163"/>
      <c r="F78" s="1163"/>
      <c r="G78" s="1163"/>
      <c r="H78" s="1163"/>
      <c r="I78" s="1163"/>
      <c r="J78" s="1163"/>
      <c r="K78" s="1163"/>
      <c r="L78" s="1163"/>
      <c r="M78" s="1163"/>
      <c r="N78" s="1163"/>
      <c r="O78" s="1163"/>
      <c r="P78" s="1163"/>
      <c r="Q78" s="537"/>
    </row>
    <row r="79" spans="1:17" ht="28.5" customHeight="1">
      <c r="A79" s="400">
        <v>6</v>
      </c>
      <c r="B79" s="1163" t="s">
        <v>54</v>
      </c>
      <c r="C79" s="1163"/>
      <c r="D79" s="1163"/>
      <c r="E79" s="1163"/>
      <c r="F79" s="1163"/>
      <c r="G79" s="1163"/>
      <c r="H79" s="1163"/>
      <c r="I79" s="1163"/>
      <c r="J79" s="1163"/>
      <c r="K79" s="1163"/>
      <c r="L79" s="1163"/>
      <c r="M79" s="1163"/>
      <c r="N79" s="1163"/>
      <c r="O79" s="1163"/>
      <c r="P79" s="1163"/>
      <c r="Q79" s="537"/>
    </row>
    <row r="80" spans="1:17" ht="29" customHeight="1">
      <c r="A80" s="400"/>
      <c r="B80" s="537"/>
      <c r="C80" s="537"/>
      <c r="D80" s="537"/>
      <c r="E80" s="537"/>
      <c r="F80" s="537"/>
      <c r="G80" s="537"/>
      <c r="H80" s="537"/>
      <c r="I80" s="537"/>
      <c r="J80" s="537"/>
      <c r="K80" s="537"/>
      <c r="L80" s="537"/>
      <c r="M80" s="537"/>
      <c r="N80" s="537"/>
      <c r="O80" s="537"/>
      <c r="P80" s="537"/>
      <c r="Q80" s="537"/>
    </row>
    <row r="81" spans="1:17" ht="12" customHeight="1">
      <c r="A81" s="400"/>
      <c r="B81" s="537"/>
      <c r="C81" s="537"/>
      <c r="D81" s="537"/>
      <c r="E81" s="537"/>
      <c r="F81" s="537"/>
      <c r="G81" s="537"/>
      <c r="H81" s="537"/>
      <c r="I81" s="537"/>
      <c r="J81" s="537"/>
      <c r="K81" s="537"/>
      <c r="L81" s="537"/>
      <c r="M81" s="537"/>
      <c r="N81" s="449" t="s">
        <v>56</v>
      </c>
      <c r="O81" s="537"/>
      <c r="P81" s="537"/>
      <c r="Q81" s="537"/>
    </row>
    <row r="82" spans="1:17">
      <c r="B82" s="355"/>
      <c r="C82" s="355"/>
      <c r="D82" s="355"/>
      <c r="F82" s="355" t="s">
        <v>57</v>
      </c>
      <c r="N82" s="450"/>
      <c r="O82" s="404"/>
      <c r="P82" s="404" t="e">
        <v>#REF!</v>
      </c>
      <c r="Q82" s="404"/>
    </row>
    <row r="83" spans="1:17">
      <c r="B83" s="355" t="s">
        <v>55</v>
      </c>
      <c r="C83" s="355"/>
      <c r="D83" s="355"/>
      <c r="F83" s="355" t="s">
        <v>58</v>
      </c>
      <c r="N83" s="450"/>
      <c r="O83" s="404"/>
      <c r="P83" s="404" t="e">
        <v>#REF!</v>
      </c>
      <c r="Q83" s="404"/>
    </row>
    <row r="84" spans="1:17">
      <c r="B84" s="355" t="str">
        <f>'Regulation 33 - Balance Sheet'!A68</f>
        <v>Date: 14th February 2025</v>
      </c>
      <c r="C84" s="355"/>
      <c r="D84" s="355"/>
      <c r="F84" s="355" t="s">
        <v>59</v>
      </c>
      <c r="N84" s="450"/>
      <c r="O84" s="404"/>
      <c r="P84" s="404"/>
      <c r="Q84" s="404"/>
    </row>
    <row r="85" spans="1:17">
      <c r="N85" s="449" t="s">
        <v>57</v>
      </c>
    </row>
    <row r="86" spans="1:17">
      <c r="N86" s="449" t="s">
        <v>58</v>
      </c>
    </row>
    <row r="87" spans="1:17">
      <c r="N87" s="449" t="s">
        <v>59</v>
      </c>
    </row>
    <row r="88" spans="1:17"/>
    <row r="89" spans="1:17"/>
    <row r="90" spans="1:17"/>
    <row r="91" spans="1:17"/>
    <row r="92" spans="1:17"/>
    <row r="93" spans="1:17"/>
    <row r="94" spans="1:17"/>
    <row r="95" spans="1:17"/>
    <row r="96" spans="1:17"/>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sheetData>
  <mergeCells count="23">
    <mergeCell ref="B51:P51"/>
    <mergeCell ref="B79:P79"/>
    <mergeCell ref="B78:P78"/>
    <mergeCell ref="A6:P6"/>
    <mergeCell ref="B49:P49"/>
    <mergeCell ref="B50:P50"/>
    <mergeCell ref="B52:M52"/>
    <mergeCell ref="A8:A10"/>
    <mergeCell ref="B8:D9"/>
    <mergeCell ref="B10:D10"/>
    <mergeCell ref="B11:D11"/>
    <mergeCell ref="C18:D18"/>
    <mergeCell ref="C20:D20"/>
    <mergeCell ref="E8:G8"/>
    <mergeCell ref="H8:I8"/>
    <mergeCell ref="K8:M8"/>
    <mergeCell ref="N8:O8"/>
    <mergeCell ref="N7:P7"/>
    <mergeCell ref="A1:P1"/>
    <mergeCell ref="A2:P2"/>
    <mergeCell ref="A3:P3"/>
    <mergeCell ref="A4:P4"/>
    <mergeCell ref="A5:P5"/>
  </mergeCells>
  <printOptions horizontalCentered="1"/>
  <pageMargins left="0.7" right="0.7" top="0.75" bottom="0.34" header="0.3" footer="0.3"/>
  <pageSetup paperSize="9" scale="44" orientation="landscape" r:id="rId1"/>
  <rowBreaks count="1" manualBreakCount="1">
    <brk id="46"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050DC-6124-45BC-94F5-9262E1DE31C1}">
  <sheetPr>
    <tabColor rgb="FF002060"/>
  </sheetPr>
  <dimension ref="A1:M58"/>
  <sheetViews>
    <sheetView workbookViewId="0">
      <selection activeCell="J44" sqref="J44"/>
    </sheetView>
  </sheetViews>
  <sheetFormatPr defaultRowHeight="14.5"/>
  <cols>
    <col min="1" max="1" width="34.1796875" bestFit="1" customWidth="1"/>
    <col min="2" max="2" width="14.1796875" bestFit="1" customWidth="1"/>
    <col min="3" max="3" width="13.54296875" bestFit="1" customWidth="1"/>
    <col min="4" max="4" width="34.453125" bestFit="1" customWidth="1"/>
    <col min="5" max="5" width="14.1796875" bestFit="1" customWidth="1"/>
    <col min="6" max="6" width="13.54296875" bestFit="1" customWidth="1"/>
    <col min="11" max="11" width="15.81640625" bestFit="1" customWidth="1"/>
    <col min="13" max="13" width="15.81640625" bestFit="1" customWidth="1"/>
  </cols>
  <sheetData>
    <row r="1" spans="1:13" ht="15.5">
      <c r="A1" s="1173" t="s">
        <v>398</v>
      </c>
      <c r="B1" s="1173"/>
      <c r="C1" s="1173"/>
      <c r="D1" s="306"/>
      <c r="E1" s="306"/>
      <c r="F1" s="306"/>
    </row>
    <row r="2" spans="1:13">
      <c r="A2" s="1174" t="s">
        <v>2086</v>
      </c>
      <c r="B2" s="1174"/>
      <c r="C2" s="1174"/>
      <c r="D2" s="306"/>
      <c r="E2" s="306"/>
      <c r="F2" s="306"/>
    </row>
    <row r="3" spans="1:13">
      <c r="A3" s="307" t="s">
        <v>325</v>
      </c>
      <c r="B3" s="1175" t="s">
        <v>1380</v>
      </c>
      <c r="C3" s="1176"/>
      <c r="D3" s="597" t="s">
        <v>325</v>
      </c>
      <c r="E3" s="1175" t="s">
        <v>1380</v>
      </c>
      <c r="F3" s="1175"/>
    </row>
    <row r="4" spans="1:13">
      <c r="A4" s="598" t="s">
        <v>0</v>
      </c>
      <c r="B4" s="1177" t="s">
        <v>2086</v>
      </c>
      <c r="C4" s="1178"/>
      <c r="D4" s="599" t="s">
        <v>0</v>
      </c>
      <c r="E4" s="1177" t="s">
        <v>2086</v>
      </c>
      <c r="F4" s="1177"/>
    </row>
    <row r="5" spans="1:13">
      <c r="A5" s="311" t="s">
        <v>356</v>
      </c>
      <c r="B5" s="330"/>
      <c r="C5" s="1053">
        <v>264927454</v>
      </c>
      <c r="D5" s="601" t="s">
        <v>370</v>
      </c>
      <c r="E5" s="338"/>
      <c r="F5" s="1052">
        <v>389276229.07999998</v>
      </c>
    </row>
    <row r="6" spans="1:13">
      <c r="A6" s="480" t="s">
        <v>2080</v>
      </c>
      <c r="B6" s="591">
        <v>264927454</v>
      </c>
      <c r="C6" s="603"/>
      <c r="D6" s="604" t="s">
        <v>1383</v>
      </c>
      <c r="E6" s="323">
        <v>39595177.259999998</v>
      </c>
      <c r="F6" s="605"/>
      <c r="K6" t="s">
        <v>2111</v>
      </c>
      <c r="M6" t="s">
        <v>486</v>
      </c>
    </row>
    <row r="7" spans="1:13" ht="36">
      <c r="A7" s="311" t="s">
        <v>372</v>
      </c>
      <c r="B7" s="338"/>
      <c r="C7" s="1051">
        <v>472351787.30299997</v>
      </c>
      <c r="D7" s="1050" t="s">
        <v>2085</v>
      </c>
      <c r="E7" s="323">
        <v>44908.47</v>
      </c>
      <c r="F7" s="605"/>
      <c r="J7" t="s">
        <v>2109</v>
      </c>
      <c r="K7" s="41">
        <v>136092278</v>
      </c>
      <c r="M7" s="41">
        <v>201970598</v>
      </c>
    </row>
    <row r="8" spans="1:13">
      <c r="A8" s="342" t="s">
        <v>2084</v>
      </c>
      <c r="B8" s="323">
        <v>4965837</v>
      </c>
      <c r="C8" s="603"/>
      <c r="D8" s="604" t="s">
        <v>765</v>
      </c>
      <c r="E8" s="323">
        <v>250185367.34999999</v>
      </c>
      <c r="F8" s="605"/>
      <c r="J8" t="s">
        <v>2110</v>
      </c>
      <c r="K8" s="41">
        <v>128835176</v>
      </c>
      <c r="M8" s="41">
        <v>200008774</v>
      </c>
    </row>
    <row r="9" spans="1:13">
      <c r="A9" s="342" t="s">
        <v>2083</v>
      </c>
      <c r="B9" s="323">
        <v>93288670.533000007</v>
      </c>
      <c r="C9" s="603"/>
      <c r="D9" s="604" t="s">
        <v>768</v>
      </c>
      <c r="E9" s="323">
        <v>76310.5</v>
      </c>
      <c r="F9" s="605"/>
    </row>
    <row r="10" spans="1:13">
      <c r="A10" s="342" t="s">
        <v>2082</v>
      </c>
      <c r="B10" s="323">
        <v>348875974.76999998</v>
      </c>
      <c r="C10" s="603"/>
      <c r="D10" s="604" t="s">
        <v>771</v>
      </c>
      <c r="E10" s="591">
        <v>99374465.5</v>
      </c>
      <c r="F10" s="605"/>
    </row>
    <row r="11" spans="1:13">
      <c r="A11" s="342" t="s">
        <v>2081</v>
      </c>
      <c r="B11" s="591">
        <v>25221305</v>
      </c>
      <c r="C11" s="603"/>
      <c r="D11" s="607" t="s">
        <v>486</v>
      </c>
      <c r="E11" s="338"/>
      <c r="F11" s="1052">
        <v>401979372</v>
      </c>
    </row>
    <row r="12" spans="1:13">
      <c r="A12" s="311" t="s">
        <v>777</v>
      </c>
      <c r="B12" s="338"/>
      <c r="C12" s="1051">
        <v>12348560.279999999</v>
      </c>
      <c r="D12" s="604" t="s">
        <v>2080</v>
      </c>
      <c r="E12" s="591">
        <v>401979372</v>
      </c>
      <c r="F12" s="605"/>
    </row>
    <row r="13" spans="1:13">
      <c r="A13" s="342" t="s">
        <v>1391</v>
      </c>
      <c r="B13" s="323">
        <v>150</v>
      </c>
      <c r="C13" s="603"/>
      <c r="D13" s="338"/>
      <c r="E13" s="313">
        <v>791255601.08000004</v>
      </c>
      <c r="F13" s="306"/>
    </row>
    <row r="14" spans="1:13">
      <c r="A14" s="480" t="s">
        <v>778</v>
      </c>
      <c r="B14" s="323">
        <v>618715</v>
      </c>
      <c r="C14" s="603"/>
      <c r="D14" s="804" t="s">
        <v>2079</v>
      </c>
      <c r="E14" s="338"/>
      <c r="F14" s="805">
        <v>41627799.497000001</v>
      </c>
    </row>
    <row r="15" spans="1:13">
      <c r="A15" s="480" t="s">
        <v>779</v>
      </c>
      <c r="B15" s="323">
        <v>766193.9</v>
      </c>
      <c r="C15" s="603"/>
      <c r="D15" s="607" t="s">
        <v>374</v>
      </c>
      <c r="E15" s="338"/>
      <c r="F15" s="602">
        <v>631454.57400000002</v>
      </c>
    </row>
    <row r="16" spans="1:13">
      <c r="A16" s="480" t="s">
        <v>780</v>
      </c>
      <c r="B16" s="323">
        <v>95945</v>
      </c>
      <c r="C16" s="603"/>
      <c r="D16" s="604" t="s">
        <v>790</v>
      </c>
      <c r="E16" s="862">
        <v>661970.57400000002</v>
      </c>
      <c r="F16" s="605"/>
    </row>
    <row r="17" spans="1:6">
      <c r="A17" s="480" t="s">
        <v>833</v>
      </c>
      <c r="B17" s="323">
        <v>2815993.6</v>
      </c>
      <c r="C17" s="603"/>
      <c r="D17" s="604" t="s">
        <v>797</v>
      </c>
      <c r="E17" s="591">
        <v>-30516</v>
      </c>
      <c r="F17" s="605"/>
    </row>
    <row r="18" spans="1:6">
      <c r="A18" s="480" t="s">
        <v>1392</v>
      </c>
      <c r="B18" s="323">
        <v>2250</v>
      </c>
      <c r="C18" s="603"/>
      <c r="D18" s="306"/>
      <c r="E18" s="306"/>
      <c r="F18" s="306"/>
    </row>
    <row r="19" spans="1:6">
      <c r="A19" s="480" t="s">
        <v>837</v>
      </c>
      <c r="B19" s="323">
        <v>4109074.84</v>
      </c>
      <c r="C19" s="603"/>
      <c r="D19" s="306"/>
      <c r="E19" s="306"/>
      <c r="F19" s="306"/>
    </row>
    <row r="20" spans="1:6">
      <c r="A20" s="480" t="s">
        <v>844</v>
      </c>
      <c r="B20" s="323">
        <v>83582</v>
      </c>
      <c r="C20" s="603"/>
      <c r="D20" s="306"/>
      <c r="E20" s="306"/>
      <c r="F20" s="306"/>
    </row>
    <row r="21" spans="1:6">
      <c r="A21" s="480" t="s">
        <v>784</v>
      </c>
      <c r="B21" s="323">
        <v>2989105.44</v>
      </c>
      <c r="C21" s="603"/>
      <c r="D21" s="306"/>
      <c r="E21" s="306"/>
      <c r="F21" s="306"/>
    </row>
    <row r="22" spans="1:6">
      <c r="A22" s="480" t="s">
        <v>785</v>
      </c>
      <c r="B22" s="591">
        <v>867550.5</v>
      </c>
      <c r="C22" s="603"/>
      <c r="D22" s="306"/>
      <c r="E22" s="306"/>
      <c r="F22" s="306"/>
    </row>
    <row r="23" spans="1:6">
      <c r="A23" s="609" t="s">
        <v>2078</v>
      </c>
      <c r="B23" s="338"/>
      <c r="C23" s="610">
        <v>41627799.497000001</v>
      </c>
      <c r="D23" s="306"/>
      <c r="E23" s="306"/>
      <c r="F23" s="306"/>
    </row>
    <row r="24" spans="1:6">
      <c r="A24" s="338"/>
      <c r="B24" s="313">
        <v>791255601.08000004</v>
      </c>
      <c r="C24" s="306"/>
      <c r="D24" s="306"/>
      <c r="E24" s="306"/>
      <c r="F24" s="306"/>
    </row>
    <row r="25" spans="1:6">
      <c r="A25" s="311" t="s">
        <v>380</v>
      </c>
      <c r="B25" s="338"/>
      <c r="C25" s="606">
        <v>17256567.807999998</v>
      </c>
      <c r="D25" s="306"/>
      <c r="E25" s="306"/>
      <c r="F25" s="306"/>
    </row>
    <row r="26" spans="1:6">
      <c r="A26" s="342" t="s">
        <v>802</v>
      </c>
      <c r="B26" s="323">
        <v>10000</v>
      </c>
      <c r="C26" s="603"/>
      <c r="D26" s="306"/>
      <c r="E26" s="306"/>
      <c r="F26" s="306"/>
    </row>
    <row r="27" spans="1:6">
      <c r="A27" s="342" t="s">
        <v>600</v>
      </c>
      <c r="B27" s="323">
        <v>738078.45</v>
      </c>
      <c r="C27" s="603"/>
      <c r="D27" s="306"/>
      <c r="E27" s="306"/>
      <c r="F27" s="306"/>
    </row>
    <row r="28" spans="1:6">
      <c r="A28" s="342" t="s">
        <v>805</v>
      </c>
      <c r="B28" s="323">
        <v>10732.17</v>
      </c>
      <c r="C28" s="603"/>
      <c r="D28" s="306"/>
      <c r="E28" s="306"/>
      <c r="F28" s="306"/>
    </row>
    <row r="29" spans="1:6">
      <c r="A29" s="342" t="s">
        <v>806</v>
      </c>
      <c r="B29" s="323">
        <v>12732</v>
      </c>
      <c r="C29" s="603"/>
      <c r="D29" s="306"/>
      <c r="E29" s="306"/>
      <c r="F29" s="306"/>
    </row>
    <row r="30" spans="1:6">
      <c r="A30" s="342" t="s">
        <v>808</v>
      </c>
      <c r="B30" s="862">
        <v>309620.14</v>
      </c>
      <c r="C30" s="603"/>
      <c r="D30" s="306"/>
      <c r="E30" s="306"/>
      <c r="F30" s="306"/>
    </row>
    <row r="31" spans="1:6">
      <c r="A31" s="342" t="s">
        <v>383</v>
      </c>
      <c r="B31" s="323">
        <v>671570</v>
      </c>
      <c r="C31" s="603"/>
      <c r="D31" s="306"/>
      <c r="E31" s="306"/>
      <c r="F31" s="306"/>
    </row>
    <row r="32" spans="1:6">
      <c r="A32" s="342" t="s">
        <v>782</v>
      </c>
      <c r="B32" s="323">
        <v>721082.5</v>
      </c>
      <c r="C32" s="603"/>
      <c r="D32" s="306"/>
      <c r="E32" s="306"/>
      <c r="F32" s="306"/>
    </row>
    <row r="33" spans="1:6">
      <c r="A33" s="342" t="s">
        <v>813</v>
      </c>
      <c r="B33" s="323">
        <v>16409</v>
      </c>
      <c r="C33" s="603"/>
      <c r="D33" s="306"/>
      <c r="E33" s="306"/>
      <c r="F33" s="306"/>
    </row>
    <row r="34" spans="1:6">
      <c r="A34" s="342" t="s">
        <v>814</v>
      </c>
      <c r="B34" s="323">
        <v>62502.55</v>
      </c>
      <c r="C34" s="603"/>
      <c r="D34" s="306"/>
      <c r="E34" s="306"/>
      <c r="F34" s="306"/>
    </row>
    <row r="35" spans="1:6">
      <c r="A35" s="342" t="s">
        <v>384</v>
      </c>
      <c r="B35" s="323">
        <v>-0.24</v>
      </c>
      <c r="C35" s="603"/>
      <c r="D35" s="306"/>
      <c r="E35" s="306"/>
      <c r="F35" s="306"/>
    </row>
    <row r="36" spans="1:6">
      <c r="A36" s="342" t="s">
        <v>815</v>
      </c>
      <c r="B36" s="323">
        <v>525044</v>
      </c>
      <c r="C36" s="603"/>
      <c r="D36" s="306"/>
      <c r="E36" s="306"/>
      <c r="F36" s="306"/>
    </row>
    <row r="37" spans="1:6">
      <c r="A37" s="342" t="s">
        <v>816</v>
      </c>
      <c r="B37" s="862">
        <v>4712590</v>
      </c>
      <c r="C37" s="603"/>
      <c r="D37" s="306"/>
      <c r="E37" s="306"/>
      <c r="F37" s="306"/>
    </row>
    <row r="38" spans="1:6">
      <c r="A38" s="342" t="s">
        <v>817</v>
      </c>
      <c r="B38" s="862">
        <v>282957</v>
      </c>
      <c r="C38" s="603"/>
      <c r="D38" s="306"/>
      <c r="E38" s="306"/>
      <c r="F38" s="306"/>
    </row>
    <row r="39" spans="1:6">
      <c r="A39" s="342" t="s">
        <v>818</v>
      </c>
      <c r="B39" s="323">
        <v>979593</v>
      </c>
      <c r="C39" s="603"/>
      <c r="D39" s="306"/>
      <c r="E39" s="306"/>
      <c r="F39" s="306"/>
    </row>
    <row r="40" spans="1:6">
      <c r="A40" s="342" t="s">
        <v>819</v>
      </c>
      <c r="B40" s="323">
        <v>24319</v>
      </c>
      <c r="C40" s="603"/>
      <c r="D40" s="306"/>
      <c r="E40" s="306"/>
      <c r="F40" s="306"/>
    </row>
    <row r="41" spans="1:6">
      <c r="A41" s="480" t="s">
        <v>386</v>
      </c>
      <c r="B41" s="323">
        <v>4497</v>
      </c>
      <c r="C41" s="603"/>
      <c r="D41" s="306"/>
      <c r="E41" s="306"/>
      <c r="F41" s="306"/>
    </row>
    <row r="42" spans="1:6">
      <c r="A42" s="480" t="s">
        <v>825</v>
      </c>
      <c r="B42" s="862">
        <v>2501985</v>
      </c>
      <c r="C42" s="603"/>
      <c r="D42" s="306"/>
      <c r="E42" s="306"/>
      <c r="F42" s="306"/>
    </row>
    <row r="43" spans="1:6">
      <c r="A43" s="480" t="s">
        <v>826</v>
      </c>
      <c r="B43" s="862">
        <v>3549606.46</v>
      </c>
      <c r="C43" s="603"/>
      <c r="D43" s="306"/>
      <c r="E43" s="306"/>
      <c r="F43" s="306"/>
    </row>
    <row r="44" spans="1:6">
      <c r="A44" s="480" t="s">
        <v>830</v>
      </c>
      <c r="B44" s="323">
        <v>246</v>
      </c>
      <c r="C44" s="603"/>
      <c r="D44" s="306"/>
      <c r="E44" s="306"/>
      <c r="F44" s="306"/>
    </row>
    <row r="45" spans="1:6">
      <c r="A45" s="480" t="s">
        <v>831</v>
      </c>
      <c r="B45" s="323">
        <v>141753</v>
      </c>
      <c r="C45" s="603"/>
      <c r="D45" s="306"/>
      <c r="E45" s="306"/>
      <c r="F45" s="306"/>
    </row>
    <row r="46" spans="1:6">
      <c r="A46" s="480" t="s">
        <v>2077</v>
      </c>
      <c r="B46" s="323">
        <v>49850</v>
      </c>
      <c r="C46" s="603"/>
      <c r="D46" s="306"/>
      <c r="E46" s="306"/>
      <c r="F46" s="306"/>
    </row>
    <row r="47" spans="1:6">
      <c r="A47" s="480" t="s">
        <v>835</v>
      </c>
      <c r="B47" s="862">
        <v>639304.60199999996</v>
      </c>
      <c r="C47" s="603"/>
      <c r="D47" s="306"/>
      <c r="E47" s="306"/>
      <c r="F47" s="306"/>
    </row>
    <row r="48" spans="1:6">
      <c r="A48" s="480" t="s">
        <v>843</v>
      </c>
      <c r="B48" s="862">
        <v>755427</v>
      </c>
      <c r="C48" s="603"/>
      <c r="D48" s="306"/>
      <c r="E48" s="306"/>
      <c r="F48" s="306"/>
    </row>
    <row r="49" spans="1:6">
      <c r="A49" s="480" t="s">
        <v>2076</v>
      </c>
      <c r="B49" s="323">
        <v>125000</v>
      </c>
      <c r="C49" s="603"/>
      <c r="D49" s="306"/>
      <c r="E49" s="306"/>
      <c r="F49" s="306"/>
    </row>
    <row r="50" spans="1:6">
      <c r="A50" s="480" t="s">
        <v>605</v>
      </c>
      <c r="B50" s="323">
        <v>-1578</v>
      </c>
      <c r="C50" s="603"/>
      <c r="D50" s="306"/>
      <c r="E50" s="306"/>
      <c r="F50" s="306"/>
    </row>
    <row r="51" spans="1:6">
      <c r="A51" s="480" t="s">
        <v>2075</v>
      </c>
      <c r="B51" s="323">
        <v>472</v>
      </c>
      <c r="C51" s="603"/>
      <c r="D51" s="306"/>
      <c r="E51" s="306"/>
      <c r="F51" s="306"/>
    </row>
    <row r="52" spans="1:6">
      <c r="A52" s="480" t="s">
        <v>852</v>
      </c>
      <c r="B52" s="323">
        <v>677.88</v>
      </c>
      <c r="C52" s="603"/>
      <c r="D52" s="306"/>
      <c r="E52" s="306"/>
      <c r="F52" s="306"/>
    </row>
    <row r="53" spans="1:6">
      <c r="A53" s="480" t="s">
        <v>1854</v>
      </c>
      <c r="B53" s="323">
        <v>-1175</v>
      </c>
      <c r="C53" s="603"/>
      <c r="D53" s="306"/>
      <c r="E53" s="306"/>
      <c r="F53" s="306"/>
    </row>
    <row r="54" spans="1:6">
      <c r="A54" s="480" t="s">
        <v>860</v>
      </c>
      <c r="B54" s="323">
        <v>28.065999999999999</v>
      </c>
      <c r="C54" s="603"/>
      <c r="D54" s="306"/>
      <c r="E54" s="306"/>
      <c r="F54" s="306"/>
    </row>
    <row r="55" spans="1:6">
      <c r="A55" s="480" t="s">
        <v>861</v>
      </c>
      <c r="B55" s="323">
        <v>211497</v>
      </c>
      <c r="C55" s="603"/>
      <c r="D55" s="306"/>
      <c r="E55" s="306"/>
      <c r="F55" s="306"/>
    </row>
    <row r="56" spans="1:6">
      <c r="A56" s="480" t="s">
        <v>1418</v>
      </c>
      <c r="B56" s="591">
        <v>201747.23</v>
      </c>
      <c r="C56" s="603"/>
      <c r="D56" s="306"/>
      <c r="E56" s="306"/>
      <c r="F56" s="306"/>
    </row>
    <row r="57" spans="1:6">
      <c r="A57" s="609" t="s">
        <v>615</v>
      </c>
      <c r="B57" s="338"/>
      <c r="C57" s="610">
        <v>25002686.263</v>
      </c>
      <c r="D57" s="306"/>
      <c r="E57" s="306"/>
      <c r="F57" s="306"/>
    </row>
    <row r="58" spans="1:6">
      <c r="A58" s="344" t="s">
        <v>194</v>
      </c>
      <c r="B58" s="611"/>
      <c r="C58" s="612">
        <v>42259254.071000002</v>
      </c>
      <c r="D58" s="613" t="s">
        <v>194</v>
      </c>
      <c r="E58" s="611"/>
      <c r="F58" s="313">
        <v>42259254.071000002</v>
      </c>
    </row>
  </sheetData>
  <mergeCells count="6">
    <mergeCell ref="A1:C1"/>
    <mergeCell ref="A2:C2"/>
    <mergeCell ref="B3:C3"/>
    <mergeCell ref="B4:C4"/>
    <mergeCell ref="E3:F3"/>
    <mergeCell ref="E4:F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EB4E-D393-4623-94B0-28888DD9F379}">
  <sheetPr>
    <tabColor rgb="FF002060"/>
  </sheetPr>
  <dimension ref="A1:F44"/>
  <sheetViews>
    <sheetView workbookViewId="0">
      <selection activeCell="J44" sqref="J44"/>
    </sheetView>
  </sheetViews>
  <sheetFormatPr defaultRowHeight="14.5"/>
  <cols>
    <col min="1" max="1" width="40.26953125" bestFit="1" customWidth="1"/>
    <col min="2" max="2" width="13" bestFit="1" customWidth="1"/>
    <col min="3" max="3" width="12.453125" bestFit="1" customWidth="1"/>
    <col min="4" max="4" width="51" bestFit="1" customWidth="1"/>
    <col min="5" max="5" width="12" bestFit="1" customWidth="1"/>
    <col min="6" max="6" width="13" bestFit="1" customWidth="1"/>
  </cols>
  <sheetData>
    <row r="1" spans="1:6" ht="15.5">
      <c r="A1" s="1173" t="s">
        <v>398</v>
      </c>
      <c r="B1" s="1173"/>
      <c r="C1" s="1173"/>
      <c r="D1" s="306"/>
      <c r="E1" s="306"/>
      <c r="F1" s="306"/>
    </row>
    <row r="2" spans="1:6">
      <c r="A2" s="1174" t="s">
        <v>2086</v>
      </c>
      <c r="B2" s="1174"/>
      <c r="C2" s="1174"/>
      <c r="D2" s="306"/>
      <c r="E2" s="306"/>
      <c r="F2" s="306"/>
    </row>
    <row r="3" spans="1:6">
      <c r="A3" s="307" t="s">
        <v>325</v>
      </c>
      <c r="B3" s="1175" t="s">
        <v>575</v>
      </c>
      <c r="C3" s="1176"/>
      <c r="D3" s="597" t="s">
        <v>325</v>
      </c>
      <c r="E3" s="1175" t="s">
        <v>575</v>
      </c>
      <c r="F3" s="1175"/>
    </row>
    <row r="4" spans="1:6">
      <c r="A4" s="598" t="s">
        <v>0</v>
      </c>
      <c r="B4" s="1177" t="s">
        <v>2086</v>
      </c>
      <c r="C4" s="1178"/>
      <c r="D4" s="599" t="s">
        <v>0</v>
      </c>
      <c r="E4" s="1177" t="s">
        <v>2086</v>
      </c>
      <c r="F4" s="1177"/>
    </row>
    <row r="5" spans="1:6">
      <c r="A5" s="311" t="s">
        <v>356</v>
      </c>
      <c r="B5" s="330"/>
      <c r="C5" s="1053">
        <v>1640288.9</v>
      </c>
      <c r="D5" s="601" t="s">
        <v>370</v>
      </c>
      <c r="E5" s="338"/>
      <c r="F5" s="1052">
        <v>1315790</v>
      </c>
    </row>
    <row r="6" spans="1:6">
      <c r="A6" s="480" t="s">
        <v>612</v>
      </c>
      <c r="B6" s="323">
        <v>1503800</v>
      </c>
      <c r="C6" s="603"/>
      <c r="D6" s="604" t="s">
        <v>371</v>
      </c>
      <c r="E6" s="591">
        <v>1315790</v>
      </c>
      <c r="F6" s="605"/>
    </row>
    <row r="7" spans="1:6">
      <c r="A7" s="480" t="s">
        <v>2098</v>
      </c>
      <c r="B7" s="323">
        <v>22622.9</v>
      </c>
      <c r="C7" s="603"/>
      <c r="D7" s="607" t="s">
        <v>486</v>
      </c>
      <c r="E7" s="338"/>
      <c r="F7" s="1052">
        <v>1659865.9</v>
      </c>
    </row>
    <row r="8" spans="1:6">
      <c r="A8" s="480" t="s">
        <v>2097</v>
      </c>
      <c r="B8" s="323">
        <v>56343</v>
      </c>
      <c r="C8" s="603"/>
      <c r="D8" s="608" t="s">
        <v>2100</v>
      </c>
      <c r="E8" s="323">
        <v>11000</v>
      </c>
      <c r="F8" s="605"/>
    </row>
    <row r="9" spans="1:6">
      <c r="A9" s="480" t="s">
        <v>2096</v>
      </c>
      <c r="B9" s="591">
        <v>57523</v>
      </c>
      <c r="C9" s="603"/>
      <c r="D9" s="608" t="s">
        <v>2099</v>
      </c>
      <c r="E9" s="323">
        <v>8577</v>
      </c>
      <c r="F9" s="605"/>
    </row>
    <row r="10" spans="1:6">
      <c r="A10" s="311" t="s">
        <v>372</v>
      </c>
      <c r="B10" s="338"/>
      <c r="C10" s="1051">
        <v>1467527</v>
      </c>
      <c r="D10" s="604" t="s">
        <v>612</v>
      </c>
      <c r="E10" s="323">
        <v>1503800</v>
      </c>
      <c r="F10" s="605"/>
    </row>
    <row r="11" spans="1:6">
      <c r="A11" s="342" t="s">
        <v>373</v>
      </c>
      <c r="B11" s="591">
        <v>1467527</v>
      </c>
      <c r="C11" s="603"/>
      <c r="D11" s="604" t="s">
        <v>2098</v>
      </c>
      <c r="E11" s="323">
        <v>22622.9</v>
      </c>
      <c r="F11" s="605"/>
    </row>
    <row r="12" spans="1:6">
      <c r="A12" s="338"/>
      <c r="B12" s="313">
        <v>3107815.9</v>
      </c>
      <c r="C12" s="306"/>
      <c r="D12" s="604" t="s">
        <v>2097</v>
      </c>
      <c r="E12" s="323">
        <v>56343</v>
      </c>
      <c r="F12" s="605"/>
    </row>
    <row r="13" spans="1:6">
      <c r="A13" s="609" t="s">
        <v>1101</v>
      </c>
      <c r="B13" s="338"/>
      <c r="C13" s="610">
        <v>132160</v>
      </c>
      <c r="D13" s="604" t="s">
        <v>2096</v>
      </c>
      <c r="E13" s="591">
        <v>57523</v>
      </c>
      <c r="F13" s="605"/>
    </row>
    <row r="14" spans="1:6">
      <c r="A14" s="311" t="s">
        <v>380</v>
      </c>
      <c r="B14" s="338"/>
      <c r="C14" s="606">
        <v>19493252.524999999</v>
      </c>
      <c r="D14" s="804" t="s">
        <v>1103</v>
      </c>
      <c r="E14" s="338"/>
      <c r="F14" s="805">
        <v>132160</v>
      </c>
    </row>
    <row r="15" spans="1:6">
      <c r="A15" s="342" t="s">
        <v>381</v>
      </c>
      <c r="B15" s="323">
        <v>1319357.97</v>
      </c>
      <c r="C15" s="603"/>
      <c r="D15" s="338"/>
      <c r="E15" s="313">
        <v>3107815.9</v>
      </c>
      <c r="F15" s="306"/>
    </row>
    <row r="16" spans="1:6">
      <c r="A16" s="342" t="s">
        <v>382</v>
      </c>
      <c r="B16" s="862">
        <v>13268203.301000001</v>
      </c>
      <c r="C16" s="603"/>
      <c r="D16" s="607" t="s">
        <v>374</v>
      </c>
      <c r="E16" s="338"/>
      <c r="F16" s="1052">
        <v>9255498.6099999994</v>
      </c>
    </row>
    <row r="17" spans="1:6">
      <c r="A17" s="342" t="s">
        <v>383</v>
      </c>
      <c r="B17" s="323">
        <v>491371.98</v>
      </c>
      <c r="C17" s="603"/>
      <c r="D17" s="604" t="s">
        <v>2095</v>
      </c>
      <c r="E17" s="323">
        <v>8840250.2200000007</v>
      </c>
      <c r="F17" s="605"/>
    </row>
    <row r="18" spans="1:6">
      <c r="A18" s="342" t="s">
        <v>2094</v>
      </c>
      <c r="B18" s="323">
        <v>30750</v>
      </c>
      <c r="C18" s="603"/>
      <c r="D18" s="604" t="s">
        <v>2093</v>
      </c>
      <c r="E18" s="323">
        <v>189273.39</v>
      </c>
      <c r="F18" s="605"/>
    </row>
    <row r="19" spans="1:6">
      <c r="A19" s="342" t="s">
        <v>385</v>
      </c>
      <c r="B19" s="862">
        <v>2823579.28</v>
      </c>
      <c r="C19" s="603"/>
      <c r="D19" s="604" t="s">
        <v>377</v>
      </c>
      <c r="E19" s="323">
        <v>225000</v>
      </c>
      <c r="F19" s="605"/>
    </row>
    <row r="20" spans="1:6">
      <c r="A20" s="480" t="s">
        <v>601</v>
      </c>
      <c r="B20" s="323">
        <v>340093.8</v>
      </c>
      <c r="C20" s="603"/>
      <c r="D20" s="604" t="s">
        <v>797</v>
      </c>
      <c r="E20" s="591">
        <v>975</v>
      </c>
      <c r="F20" s="605"/>
    </row>
    <row r="21" spans="1:6">
      <c r="A21" s="480" t="s">
        <v>386</v>
      </c>
      <c r="B21" s="323">
        <v>14230.73</v>
      </c>
      <c r="C21" s="603"/>
      <c r="D21" s="804" t="s">
        <v>1108</v>
      </c>
      <c r="E21" s="338"/>
      <c r="F21" s="805">
        <v>10369913.914999999</v>
      </c>
    </row>
    <row r="22" spans="1:6">
      <c r="A22" s="480" t="s">
        <v>806</v>
      </c>
      <c r="B22" s="323">
        <v>21534.47</v>
      </c>
      <c r="C22" s="603"/>
      <c r="D22" s="306"/>
      <c r="E22" s="306"/>
      <c r="F22" s="306"/>
    </row>
    <row r="23" spans="1:6">
      <c r="A23" s="480" t="s">
        <v>1109</v>
      </c>
      <c r="B23" s="323">
        <v>225120</v>
      </c>
      <c r="C23" s="603"/>
      <c r="D23" s="306"/>
      <c r="E23" s="306"/>
      <c r="F23" s="306"/>
    </row>
    <row r="24" spans="1:6">
      <c r="A24" s="480" t="s">
        <v>1401</v>
      </c>
      <c r="B24" s="862">
        <v>268481.27</v>
      </c>
      <c r="C24" s="603"/>
      <c r="D24" s="306"/>
      <c r="E24" s="306"/>
      <c r="F24" s="306"/>
    </row>
    <row r="25" spans="1:6">
      <c r="A25" s="480" t="s">
        <v>388</v>
      </c>
      <c r="B25" s="862">
        <v>149460.26999999999</v>
      </c>
      <c r="C25" s="603"/>
      <c r="D25" s="306"/>
      <c r="E25" s="306"/>
      <c r="F25" s="306"/>
    </row>
    <row r="26" spans="1:6">
      <c r="A26" s="480" t="s">
        <v>389</v>
      </c>
      <c r="B26" s="862">
        <v>654329</v>
      </c>
      <c r="C26" s="603"/>
      <c r="D26" s="306"/>
      <c r="E26" s="306"/>
      <c r="F26" s="306"/>
    </row>
    <row r="27" spans="1:6">
      <c r="A27" s="480" t="s">
        <v>1111</v>
      </c>
      <c r="B27" s="323">
        <v>1088</v>
      </c>
      <c r="C27" s="603"/>
      <c r="D27" s="306"/>
      <c r="E27" s="306"/>
      <c r="F27" s="306"/>
    </row>
    <row r="28" spans="1:6">
      <c r="A28" s="480" t="s">
        <v>390</v>
      </c>
      <c r="B28" s="323">
        <v>90230</v>
      </c>
      <c r="C28" s="603"/>
      <c r="D28" s="306"/>
      <c r="E28" s="306"/>
      <c r="F28" s="306"/>
    </row>
    <row r="29" spans="1:6">
      <c r="A29" s="480" t="s">
        <v>1901</v>
      </c>
      <c r="B29" s="323">
        <v>623105.94999999995</v>
      </c>
      <c r="C29" s="603"/>
      <c r="D29" s="306"/>
      <c r="E29" s="306"/>
      <c r="F29" s="306"/>
    </row>
    <row r="30" spans="1:6">
      <c r="A30" s="480" t="s">
        <v>2092</v>
      </c>
      <c r="B30" s="323">
        <v>85620</v>
      </c>
      <c r="C30" s="603"/>
      <c r="D30" s="306"/>
      <c r="E30" s="306"/>
      <c r="F30" s="306"/>
    </row>
    <row r="31" spans="1:6">
      <c r="A31" s="480" t="s">
        <v>2091</v>
      </c>
      <c r="B31" s="862">
        <v>-1093407</v>
      </c>
      <c r="C31" s="603"/>
      <c r="D31" s="306"/>
      <c r="E31" s="306"/>
      <c r="F31" s="306"/>
    </row>
    <row r="32" spans="1:6">
      <c r="A32" s="480" t="s">
        <v>485</v>
      </c>
      <c r="B32" s="323">
        <v>12200</v>
      </c>
      <c r="C32" s="603"/>
      <c r="D32" s="306"/>
      <c r="E32" s="306"/>
      <c r="F32" s="306"/>
    </row>
    <row r="33" spans="1:6">
      <c r="A33" s="480" t="s">
        <v>1407</v>
      </c>
      <c r="B33" s="323">
        <v>5600</v>
      </c>
      <c r="C33" s="603"/>
      <c r="D33" s="306"/>
      <c r="E33" s="306"/>
      <c r="F33" s="306"/>
    </row>
    <row r="34" spans="1:6">
      <c r="A34" s="480" t="s">
        <v>2090</v>
      </c>
      <c r="B34" s="323">
        <v>5000</v>
      </c>
      <c r="C34" s="603"/>
      <c r="D34" s="306"/>
      <c r="E34" s="306"/>
      <c r="F34" s="306"/>
    </row>
    <row r="35" spans="1:6">
      <c r="A35" s="480" t="s">
        <v>605</v>
      </c>
      <c r="B35" s="323">
        <v>7527</v>
      </c>
      <c r="C35" s="603"/>
      <c r="D35" s="306"/>
      <c r="E35" s="306"/>
      <c r="F35" s="306"/>
    </row>
    <row r="36" spans="1:6">
      <c r="A36" s="480" t="s">
        <v>2089</v>
      </c>
      <c r="B36" s="323">
        <v>639</v>
      </c>
      <c r="C36" s="603"/>
      <c r="D36" s="306"/>
      <c r="E36" s="306"/>
      <c r="F36" s="306"/>
    </row>
    <row r="37" spans="1:6">
      <c r="A37" s="480" t="s">
        <v>2088</v>
      </c>
      <c r="B37" s="323">
        <v>6324</v>
      </c>
      <c r="C37" s="603"/>
      <c r="D37" s="306"/>
      <c r="E37" s="306"/>
      <c r="F37" s="306"/>
    </row>
    <row r="38" spans="1:6">
      <c r="A38" s="480" t="s">
        <v>606</v>
      </c>
      <c r="B38" s="323">
        <v>96.233999999999995</v>
      </c>
      <c r="C38" s="603"/>
      <c r="D38" s="306"/>
      <c r="E38" s="306"/>
      <c r="F38" s="306"/>
    </row>
    <row r="39" spans="1:6">
      <c r="A39" s="480" t="s">
        <v>1418</v>
      </c>
      <c r="B39" s="323">
        <v>5939</v>
      </c>
      <c r="C39" s="603"/>
      <c r="D39" s="306"/>
      <c r="E39" s="306"/>
      <c r="F39" s="306"/>
    </row>
    <row r="40" spans="1:6">
      <c r="A40" s="480" t="s">
        <v>607</v>
      </c>
      <c r="B40" s="323">
        <v>5593.27</v>
      </c>
      <c r="C40" s="603"/>
      <c r="D40" s="306"/>
      <c r="E40" s="306"/>
      <c r="F40" s="306"/>
    </row>
    <row r="41" spans="1:6">
      <c r="A41" s="480" t="s">
        <v>2087</v>
      </c>
      <c r="B41" s="323">
        <v>4485</v>
      </c>
      <c r="C41" s="603"/>
      <c r="D41" s="306"/>
      <c r="E41" s="306"/>
      <c r="F41" s="306"/>
    </row>
    <row r="42" spans="1:6">
      <c r="A42" s="480" t="s">
        <v>608</v>
      </c>
      <c r="B42" s="323">
        <v>123700</v>
      </c>
      <c r="C42" s="603"/>
      <c r="D42" s="306"/>
      <c r="E42" s="306"/>
      <c r="F42" s="306"/>
    </row>
    <row r="43" spans="1:6">
      <c r="A43" s="480" t="s">
        <v>863</v>
      </c>
      <c r="B43" s="323">
        <v>3000</v>
      </c>
      <c r="C43" s="603"/>
      <c r="D43" s="306"/>
      <c r="E43" s="306"/>
      <c r="F43" s="306"/>
    </row>
    <row r="44" spans="1:6">
      <c r="A44" s="344" t="s">
        <v>194</v>
      </c>
      <c r="B44" s="611"/>
      <c r="C44" s="612">
        <v>19625412.524999999</v>
      </c>
      <c r="D44" s="613" t="s">
        <v>194</v>
      </c>
      <c r="E44" s="611"/>
      <c r="F44" s="313">
        <v>19625412.524999999</v>
      </c>
    </row>
  </sheetData>
  <mergeCells count="6">
    <mergeCell ref="A1:C1"/>
    <mergeCell ref="A2:C2"/>
    <mergeCell ref="B3:C3"/>
    <mergeCell ref="B4:C4"/>
    <mergeCell ref="E3:F3"/>
    <mergeCell ref="E4:F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9697-309E-435D-8344-E337379F9382}">
  <sheetPr>
    <tabColor rgb="FF002060"/>
  </sheetPr>
  <dimension ref="A1:F30"/>
  <sheetViews>
    <sheetView topLeftCell="A4" workbookViewId="0">
      <selection activeCell="J44" sqref="J44"/>
    </sheetView>
  </sheetViews>
  <sheetFormatPr defaultRowHeight="14.5"/>
  <cols>
    <col min="1" max="1" width="46.1796875" bestFit="1" customWidth="1"/>
    <col min="2" max="2" width="13" bestFit="1" customWidth="1"/>
    <col min="3" max="3" width="12.453125" bestFit="1" customWidth="1"/>
    <col min="4" max="4" width="38.7265625" bestFit="1" customWidth="1"/>
    <col min="5" max="5" width="13" bestFit="1" customWidth="1"/>
    <col min="6" max="6" width="12.453125" bestFit="1" customWidth="1"/>
  </cols>
  <sheetData>
    <row r="1" spans="1:6" ht="15.5">
      <c r="A1" s="1173" t="s">
        <v>398</v>
      </c>
      <c r="B1" s="1173"/>
      <c r="C1" s="1173"/>
      <c r="D1" s="306"/>
      <c r="E1" s="306"/>
      <c r="F1" s="306"/>
    </row>
    <row r="2" spans="1:6">
      <c r="A2" s="1174" t="s">
        <v>2086</v>
      </c>
      <c r="B2" s="1174"/>
      <c r="C2" s="1174"/>
      <c r="D2" s="306"/>
      <c r="E2" s="306"/>
      <c r="F2" s="306"/>
    </row>
    <row r="3" spans="1:6">
      <c r="A3" s="307" t="s">
        <v>325</v>
      </c>
      <c r="B3" s="1175" t="s">
        <v>1379</v>
      </c>
      <c r="C3" s="1176"/>
      <c r="D3" s="597" t="s">
        <v>325</v>
      </c>
      <c r="E3" s="1175" t="s">
        <v>1379</v>
      </c>
      <c r="F3" s="1175"/>
    </row>
    <row r="4" spans="1:6">
      <c r="A4" s="598" t="s">
        <v>0</v>
      </c>
      <c r="B4" s="1177" t="s">
        <v>2086</v>
      </c>
      <c r="C4" s="1178"/>
      <c r="D4" s="599" t="s">
        <v>0</v>
      </c>
      <c r="E4" s="1177" t="s">
        <v>2086</v>
      </c>
      <c r="F4" s="1177"/>
    </row>
    <row r="5" spans="1:6">
      <c r="A5" s="311" t="s">
        <v>356</v>
      </c>
      <c r="B5" s="330"/>
      <c r="C5" s="600">
        <v>12090148.398</v>
      </c>
      <c r="D5" s="601" t="s">
        <v>370</v>
      </c>
      <c r="E5" s="338"/>
      <c r="F5" s="602">
        <v>10027552.189999999</v>
      </c>
    </row>
    <row r="6" spans="1:6">
      <c r="A6" s="342" t="s">
        <v>611</v>
      </c>
      <c r="B6" s="323">
        <v>12098843.638</v>
      </c>
      <c r="C6" s="603"/>
      <c r="D6" s="604" t="s">
        <v>769</v>
      </c>
      <c r="E6" s="323">
        <v>22052</v>
      </c>
      <c r="F6" s="605"/>
    </row>
    <row r="7" spans="1:6">
      <c r="A7" s="480" t="s">
        <v>613</v>
      </c>
      <c r="B7" s="591">
        <v>-8695.24</v>
      </c>
      <c r="C7" s="603"/>
      <c r="D7" s="604" t="s">
        <v>771</v>
      </c>
      <c r="E7" s="591">
        <v>10005500.189999999</v>
      </c>
      <c r="F7" s="605"/>
    </row>
    <row r="8" spans="1:6">
      <c r="A8" s="311" t="s">
        <v>372</v>
      </c>
      <c r="B8" s="338"/>
      <c r="C8" s="606">
        <v>33654580.399999999</v>
      </c>
      <c r="D8" s="607" t="s">
        <v>486</v>
      </c>
      <c r="E8" s="338"/>
      <c r="F8" s="602">
        <v>37296525.307999998</v>
      </c>
    </row>
    <row r="9" spans="1:6">
      <c r="A9" s="342" t="s">
        <v>2104</v>
      </c>
      <c r="B9" s="323">
        <v>2290852.7999999998</v>
      </c>
      <c r="C9" s="603"/>
      <c r="D9" s="608" t="s">
        <v>611</v>
      </c>
      <c r="E9" s="323">
        <v>37335892.737999998</v>
      </c>
      <c r="F9" s="605"/>
    </row>
    <row r="10" spans="1:6">
      <c r="A10" s="342" t="s">
        <v>1051</v>
      </c>
      <c r="B10" s="591">
        <v>31363727.600000001</v>
      </c>
      <c r="C10" s="603"/>
      <c r="D10" s="604" t="s">
        <v>613</v>
      </c>
      <c r="E10" s="591">
        <v>-39367.43</v>
      </c>
      <c r="F10" s="605"/>
    </row>
    <row r="11" spans="1:6">
      <c r="A11" s="311" t="s">
        <v>777</v>
      </c>
      <c r="B11" s="338"/>
      <c r="C11" s="606">
        <v>3000</v>
      </c>
      <c r="D11" s="338"/>
      <c r="E11" s="313">
        <v>47324077.498000003</v>
      </c>
      <c r="F11" s="306"/>
    </row>
    <row r="12" spans="1:6">
      <c r="A12" s="480" t="s">
        <v>1393</v>
      </c>
      <c r="B12" s="591">
        <v>3000</v>
      </c>
      <c r="C12" s="603"/>
      <c r="D12" s="804" t="s">
        <v>2079</v>
      </c>
      <c r="E12" s="338"/>
      <c r="F12" s="805">
        <v>1576348.7</v>
      </c>
    </row>
    <row r="13" spans="1:6">
      <c r="A13" s="609" t="s">
        <v>2078</v>
      </c>
      <c r="B13" s="338"/>
      <c r="C13" s="610">
        <v>1576348.7</v>
      </c>
      <c r="D13" s="607" t="s">
        <v>374</v>
      </c>
      <c r="E13" s="338"/>
      <c r="F13" s="602">
        <v>23527.02</v>
      </c>
    </row>
    <row r="14" spans="1:6">
      <c r="A14" s="338"/>
      <c r="B14" s="313">
        <v>47324077.498000003</v>
      </c>
      <c r="C14" s="306"/>
      <c r="D14" s="604" t="s">
        <v>792</v>
      </c>
      <c r="E14" s="323">
        <v>23381.02</v>
      </c>
      <c r="F14" s="605"/>
    </row>
    <row r="15" spans="1:6">
      <c r="A15" s="311" t="s">
        <v>380</v>
      </c>
      <c r="B15" s="338"/>
      <c r="C15" s="606">
        <v>290404.99200000003</v>
      </c>
      <c r="D15" s="604" t="s">
        <v>797</v>
      </c>
      <c r="E15" s="591">
        <v>146</v>
      </c>
      <c r="F15" s="605"/>
    </row>
    <row r="16" spans="1:6">
      <c r="A16" s="342" t="s">
        <v>600</v>
      </c>
      <c r="B16" s="323">
        <v>27918</v>
      </c>
      <c r="C16" s="603"/>
      <c r="D16" s="306"/>
      <c r="E16" s="306"/>
      <c r="F16" s="306"/>
    </row>
    <row r="17" spans="1:6">
      <c r="A17" s="342" t="s">
        <v>808</v>
      </c>
      <c r="B17" s="323">
        <v>1810</v>
      </c>
      <c r="C17" s="603"/>
      <c r="D17" s="306"/>
      <c r="E17" s="306"/>
      <c r="F17" s="306"/>
    </row>
    <row r="18" spans="1:6">
      <c r="A18" s="342" t="s">
        <v>811</v>
      </c>
      <c r="B18" s="323">
        <v>-2990.5479999999998</v>
      </c>
      <c r="C18" s="603"/>
      <c r="D18" s="306"/>
      <c r="E18" s="306"/>
      <c r="F18" s="306"/>
    </row>
    <row r="19" spans="1:6">
      <c r="A19" s="342" t="s">
        <v>384</v>
      </c>
      <c r="B19" s="323">
        <v>12600</v>
      </c>
      <c r="C19" s="603"/>
      <c r="D19" s="306"/>
      <c r="E19" s="306"/>
      <c r="F19" s="306"/>
    </row>
    <row r="20" spans="1:6">
      <c r="A20" s="480" t="s">
        <v>832</v>
      </c>
      <c r="B20" s="323">
        <v>635</v>
      </c>
      <c r="C20" s="603"/>
      <c r="D20" s="306"/>
      <c r="E20" s="306"/>
      <c r="F20" s="306"/>
    </row>
    <row r="21" spans="1:6">
      <c r="A21" s="480" t="s">
        <v>2103</v>
      </c>
      <c r="B21" s="323">
        <v>28588.94</v>
      </c>
      <c r="C21" s="603"/>
      <c r="D21" s="306"/>
      <c r="E21" s="306"/>
      <c r="F21" s="306"/>
    </row>
    <row r="22" spans="1:6">
      <c r="A22" s="480" t="s">
        <v>1406</v>
      </c>
      <c r="B22" s="323">
        <v>2121</v>
      </c>
      <c r="C22" s="603"/>
      <c r="D22" s="306"/>
      <c r="E22" s="306"/>
      <c r="F22" s="306"/>
    </row>
    <row r="23" spans="1:6">
      <c r="A23" s="480" t="s">
        <v>847</v>
      </c>
      <c r="B23" s="323">
        <v>56074.6</v>
      </c>
      <c r="C23" s="603"/>
      <c r="D23" s="306"/>
      <c r="E23" s="306"/>
      <c r="F23" s="306"/>
    </row>
    <row r="24" spans="1:6">
      <c r="A24" s="480" t="s">
        <v>2102</v>
      </c>
      <c r="B24" s="323">
        <v>2226</v>
      </c>
      <c r="C24" s="603"/>
      <c r="D24" s="306"/>
      <c r="E24" s="306"/>
      <c r="F24" s="306"/>
    </row>
    <row r="25" spans="1:6">
      <c r="A25" s="480" t="s">
        <v>1054</v>
      </c>
      <c r="B25" s="323">
        <v>740</v>
      </c>
      <c r="C25" s="603"/>
      <c r="D25" s="306"/>
      <c r="E25" s="306"/>
      <c r="F25" s="306"/>
    </row>
    <row r="26" spans="1:6">
      <c r="A26" s="480" t="s">
        <v>1418</v>
      </c>
      <c r="B26" s="323">
        <v>1649</v>
      </c>
      <c r="C26" s="603"/>
      <c r="D26" s="306"/>
      <c r="E26" s="306"/>
      <c r="F26" s="306"/>
    </row>
    <row r="27" spans="1:6">
      <c r="A27" s="480" t="s">
        <v>2101</v>
      </c>
      <c r="B27" s="323">
        <v>156893</v>
      </c>
      <c r="C27" s="603"/>
      <c r="D27" s="306"/>
      <c r="E27" s="306"/>
      <c r="F27" s="306"/>
    </row>
    <row r="28" spans="1:6">
      <c r="A28" s="480" t="s">
        <v>862</v>
      </c>
      <c r="B28" s="591">
        <v>2140</v>
      </c>
      <c r="C28" s="603"/>
      <c r="D28" s="306"/>
      <c r="E28" s="306"/>
      <c r="F28" s="306"/>
    </row>
    <row r="29" spans="1:6">
      <c r="A29" s="609" t="s">
        <v>615</v>
      </c>
      <c r="B29" s="338"/>
      <c r="C29" s="610">
        <v>1309470.7279999999</v>
      </c>
      <c r="D29" s="306"/>
      <c r="E29" s="306"/>
      <c r="F29" s="306"/>
    </row>
    <row r="30" spans="1:6">
      <c r="A30" s="344" t="s">
        <v>194</v>
      </c>
      <c r="B30" s="611"/>
      <c r="C30" s="612">
        <v>1599875.72</v>
      </c>
      <c r="D30" s="613" t="s">
        <v>194</v>
      </c>
      <c r="E30" s="611"/>
      <c r="F30" s="313">
        <v>1599875.72</v>
      </c>
    </row>
  </sheetData>
  <mergeCells count="6">
    <mergeCell ref="A1:C1"/>
    <mergeCell ref="A2:C2"/>
    <mergeCell ref="B3:C3"/>
    <mergeCell ref="B4:C4"/>
    <mergeCell ref="E3:F3"/>
    <mergeCell ref="E4:F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7</vt:i4>
      </vt:variant>
    </vt:vector>
  </HeadingPairs>
  <TitlesOfParts>
    <vt:vector size="56" baseType="lpstr">
      <vt:lpstr>EPS Working- Yash</vt:lpstr>
      <vt:lpstr>Result </vt:lpstr>
      <vt:lpstr>BS</vt:lpstr>
      <vt:lpstr>Newspaper</vt:lpstr>
      <vt:lpstr>Regulation 33 - Balance Sheet_</vt:lpstr>
      <vt:lpstr>Regulation 33 - Results</vt:lpstr>
      <vt:lpstr>Umbergaon</vt:lpstr>
      <vt:lpstr>ho</vt:lpstr>
      <vt:lpstr>Cochin</vt:lpstr>
      <vt:lpstr>Chennai</vt:lpstr>
      <vt:lpstr>EPS Working- Aman</vt:lpstr>
      <vt:lpstr>Intercompany</vt:lpstr>
      <vt:lpstr>Current Non Current of Loan Q2 </vt:lpstr>
      <vt:lpstr>Debtors Creditors Q2</vt:lpstr>
      <vt:lpstr>Lease Liab Q2</vt:lpstr>
      <vt:lpstr>Gratuity Provision </vt:lpstr>
      <vt:lpstr>Regulation 33 - Balance Sheet</vt:lpstr>
      <vt:lpstr>Cashflow</vt:lpstr>
      <vt:lpstr>EPS Working (2)</vt:lpstr>
      <vt:lpstr>Standalone - Cashflow- Before M</vt:lpstr>
      <vt:lpstr>TB-30-09-2021</vt:lpstr>
      <vt:lpstr>TB - F.Y. 2022-23 (Half Yearly)</vt:lpstr>
      <vt:lpstr>Sheet1</vt:lpstr>
      <vt:lpstr>DTA-DTL LMIL Q2 2022-23</vt:lpstr>
      <vt:lpstr>Result Working Final - LSIPL</vt:lpstr>
      <vt:lpstr>Main Working Sheet - Final</vt:lpstr>
      <vt:lpstr>Adjustment Working F.Y. 2021-22</vt:lpstr>
      <vt:lpstr>Half yearly P&amp;L - 2020-21</vt:lpstr>
      <vt:lpstr>LMIL - P&amp;L - Q2 (FY 2022-23)</vt:lpstr>
      <vt:lpstr>LMIL - BS SUMIF Formula</vt:lpstr>
      <vt:lpstr>Working File Q2 P&amp;L</vt:lpstr>
      <vt:lpstr>Working File Q2 BS</vt:lpstr>
      <vt:lpstr>q2_FY2020-21</vt:lpstr>
      <vt:lpstr>Analytic review</vt:lpstr>
      <vt:lpstr>Latim Sourcing_profit</vt:lpstr>
      <vt:lpstr>Provision for Tax</vt:lpstr>
      <vt:lpstr>Latim Metals - TB</vt:lpstr>
      <vt:lpstr>EPS Working</vt:lpstr>
      <vt:lpstr>Q2 FY 21-22</vt:lpstr>
      <vt:lpstr>DTA DTL_ OLD</vt:lpstr>
      <vt:lpstr>IT PROVISION_</vt:lpstr>
      <vt:lpstr>latim metal IND AS 116</vt:lpstr>
      <vt:lpstr>LATIM SOURCING IND AS 116</vt:lpstr>
      <vt:lpstr>Trial Balance LS</vt:lpstr>
      <vt:lpstr>BS Q2 21-22</vt:lpstr>
      <vt:lpstr>PNL Q2 21-22</vt:lpstr>
      <vt:lpstr>INDAS 116 METALS</vt:lpstr>
      <vt:lpstr>DTA DTL</vt:lpstr>
      <vt:lpstr>Def Tax</vt:lpstr>
      <vt:lpstr>'Analytic review'!Print_Area</vt:lpstr>
      <vt:lpstr>Cashflow!Print_Area</vt:lpstr>
      <vt:lpstr>'LMIL - BS SUMIF Formula'!Print_Area</vt:lpstr>
      <vt:lpstr>'Regulation 33 - Balance Sheet'!Print_Area</vt:lpstr>
      <vt:lpstr>'Regulation 33 - Balance Sheet_'!Print_Area</vt:lpstr>
      <vt:lpstr>'Regulation 33 - Results'!Print_Area</vt:lpstr>
      <vt:lpstr>'Standalone - Cashflow- Before 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2025-02-13T08:28:29Z</dcterms:modified>
</cp:coreProperties>
</file>